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6690" windowWidth="19440" windowHeight="6735"/>
  </bookViews>
  <sheets>
    <sheet name="ImportantDisclosures" sheetId="43" r:id="rId1"/>
    <sheet name="CircularReferenceAlert" sheetId="46" r:id="rId2"/>
    <sheet name="Cover" sheetId="37" r:id="rId3"/>
    <sheet name="Valuation" sheetId="38" r:id="rId4"/>
    <sheet name="Model" sheetId="1" r:id="rId5"/>
    <sheet name="IndexInformation" sheetId="44" r:id="rId6"/>
    <sheet name="ModPubIndex" sheetId="45" r:id="rId7"/>
    <sheet name="MW-Cache" sheetId="18" state="veryHidden" r:id="rId8"/>
    <sheet name="__FDSCACHE__" sheetId="21" state="veryHidden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_FDS_HYPERLINK_TOGGLE_STATE__" hidden="1">"ON"</definedName>
    <definedName name="__FDS_UNIQUE_RANGE_ID_GENERATOR_COUNTER" hidden="1">1</definedName>
    <definedName name="_7__123Graph_XLIQUIDS" hidden="1">[1]P!$R$29:$AK$29</definedName>
    <definedName name="_9__123Graph_XR_M_MARG" hidden="1">[1]P!$R$29:$AK$29</definedName>
    <definedName name="_bdm.257850C137A5411797F488D6C53B96EA.edm" hidden="1">[2]Total.Op.Leases!$A:$IV</definedName>
    <definedName name="_bdm.AAC8DFECFBD648E0A364F75B29A5197A.edm" hidden="1">[2]Model!$A:$IV</definedName>
    <definedName name="_Order1" hidden="1">255</definedName>
    <definedName name="AdditionalInstructions">IndexInformation!$B$42</definedName>
    <definedName name="Address" localSheetId="0">ImportantDisclosures!$A$2:$A$2</definedName>
    <definedName name="AirTran">{"Client Name or Project Name"}</definedName>
    <definedName name="AirtranAirways">{"Client Name or Project Name"}</definedName>
    <definedName name="ANA" localSheetId="6">ModPubIndex!$A$7</definedName>
    <definedName name="anscount" hidden="1">1</definedName>
    <definedName name="Authors" localSheetId="0">ImportantDisclosures!$A$7</definedName>
    <definedName name="Authors" localSheetId="5">IndexInformation!$B$18</definedName>
    <definedName name="basept">[3]Valuation!$BE$37</definedName>
    <definedName name="BRO" localSheetId="6">ModPubIndex!$A$1</definedName>
    <definedName name="Buttons" localSheetId="1">CircularReferenceAlert!$B$13:$B$15</definedName>
    <definedName name="CopyrightStamp">ImportantDisclosures!$A$27</definedName>
    <definedName name="COU" localSheetId="6">ModPubIndex!$A$5</definedName>
    <definedName name="CQEnd" localSheetId="5">IndexInformation!$B$31</definedName>
    <definedName name="Currency" localSheetId="5">IndexInformation!$B$24</definedName>
    <definedName name="CurrentStockPrice" localSheetId="5">IndexInformation!$B$23</definedName>
    <definedName name="CurrQtrEPS" localSheetId="5">IndexInformation!$B$29</definedName>
    <definedName name="CurrYearEPS" localSheetId="5">IndexInformation!$B$11</definedName>
    <definedName name="CurrYearTotalRevenue" localSheetId="5">IndexInformation!$B$10</definedName>
    <definedName name="CurrYearTotalRevenueActual" localSheetId="5">IndexInformation!$B$32</definedName>
    <definedName name="CUSIP" localSheetId="5">IndexInformation!$B$20</definedName>
    <definedName name="CYEnd" localSheetId="5">IndexInformation!$B$30</definedName>
    <definedName name="Date" localSheetId="0">ImportantDisclosures!$A$8</definedName>
    <definedName name="Deleted" localSheetId="5">IndexInformation!$B$27</definedName>
    <definedName name="Description" localSheetId="5">IndexInformation!$B$7</definedName>
    <definedName name="Discipline" localSheetId="5">IndexInformation!$B$3</definedName>
    <definedName name="DISCIPLINE" localSheetId="6">ModPubIndex!$A$12</definedName>
    <definedName name="DisclosuresText">ImportantDisclosures!$A$22</definedName>
    <definedName name="Distribution" localSheetId="5">IndexInformation!$B$26</definedName>
    <definedName name="DistTable" localSheetId="0">ImportantDisclosures!#REF!</definedName>
    <definedName name="DistTablePreamble" localSheetId="0">ImportantDisclosures!#REF!</definedName>
    <definedName name="DOCDAT" localSheetId="6">ModPubIndex!$A$2</definedName>
    <definedName name="DOCTIME" localSheetId="6">ModPubIndex!$A$3</definedName>
    <definedName name="DocType" localSheetId="5">IndexInformation!$B$5</definedName>
    <definedName name="EMAIL_ALERT" localSheetId="6">ModPubIndex!$A$10</definedName>
    <definedName name="EmailAlert" localSheetId="5">IndexInformation!$B$28</definedName>
    <definedName name="FiveYearGrowthRate" localSheetId="5">IndexInformation!$B$16</definedName>
    <definedName name="FollowingYearEPS" localSheetId="5">IndexInformation!$B$15</definedName>
    <definedName name="FollowingYearTotalRevenue" localSheetId="5">IndexInformation!$B$14</definedName>
    <definedName name="FollowingYearTotalRevenueActual" localSheetId="5">IndexInformation!$B$34</definedName>
    <definedName name="HL" localSheetId="6">ModPubIndex!$A$8</definedName>
    <definedName name="IND" localSheetId="6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00_ACQ_52_WK_LOW_PCT" hidden="1">"c2347"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39489.6256597222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BLU">{"Client Name or Project Name"}</definedName>
    <definedName name="KeepVersions" localSheetId="5">IndexInformation!$B$8</definedName>
    <definedName name="LanguageCode">IndexInformation!$B$38</definedName>
    <definedName name="LastCell" localSheetId="0">ImportantDisclosures!$A$22</definedName>
    <definedName name="Linking_1">Valuation!$K$6:$R$56</definedName>
    <definedName name="Linking_2">Valuation!$K$58:$R$73</definedName>
    <definedName name="Linking_3">Valuation!$K$6:$S$56</definedName>
    <definedName name="Linking_4">Valuation!$B$36:$I$51</definedName>
    <definedName name="Linking_5">Valuation!$K$6:$U$56</definedName>
    <definedName name="MacroVersion" localSheetId="5">IndexInformation!$B$1</definedName>
    <definedName name="MaxChange" localSheetId="1">CircularReferenceAlert!$B$9</definedName>
    <definedName name="MaxIterations" localSheetId="1">CircularReferenceAlert!$B$8</definedName>
    <definedName name="ModelPrice" localSheetId="0">ImportantDisclosures!$A$14</definedName>
    <definedName name="Multiplier" localSheetId="5">IndexInformation!$B$35</definedName>
    <definedName name="NextYearEPS" localSheetId="5">IndexInformation!$B$13</definedName>
    <definedName name="NextYearTotalRevenue" localSheetId="5">IndexInformation!$B$12</definedName>
    <definedName name="NextYearTotalRevenueActual" localSheetId="5">IndexInformation!$B$33</definedName>
    <definedName name="ObjectType">IndexInformation!$B$37</definedName>
    <definedName name="PANA" localSheetId="6">ModPubIndex!$A$11</definedName>
    <definedName name="PathName" localSheetId="5">IndexInformation!$B$25</definedName>
    <definedName name="_xlnm.Print_Area" localSheetId="4">Model!$A$1:$R$72</definedName>
    <definedName name="_xlnm.Print_Area" localSheetId="3">Valuation!$A$1:$R$72</definedName>
    <definedName name="_xlnm.Print_Area">[4]CENMODEL!#REF!</definedName>
    <definedName name="_xlnm.Print_Titles" localSheetId="4">Model!$1:$2</definedName>
    <definedName name="_xlnm.Print_Titles">#REF!</definedName>
    <definedName name="PRODUCT" localSheetId="6">ModPubIndex!$A$6</definedName>
    <definedName name="ProjectName">{"Client Name or Project Name"}</definedName>
    <definedName name="PSYM" localSheetId="6">ModPubIndex!$A$4</definedName>
    <definedName name="PublishDate" localSheetId="5">IndexInformation!$B$2</definedName>
    <definedName name="Rating" localSheetId="5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5">IndexInformation!$B$4</definedName>
    <definedName name="RIC" localSheetId="5">IndexInformation!$B$21</definedName>
    <definedName name="SECSettlement" localSheetId="0">ImportantDisclosures!#REF!</definedName>
    <definedName name="SEDOL" localSheetId="5">IndexInformation!$B$22</definedName>
    <definedName name="SedolTicker">"B3ZG8F4"</definedName>
    <definedName name="SourceDefined" localSheetId="0">ImportantDisclosures!$A$19</definedName>
    <definedName name="Statement">[0]!Statement</definedName>
    <definedName name="StockRating" localSheetId="0">ImportantDisclosures!$A$11</definedName>
    <definedName name="SubjectCode" localSheetId="5">IndexInformation!$B$6</definedName>
    <definedName name="SubmitterUserId">IndexInformation!$B$39</definedName>
    <definedName name="SUPPRESSED" localSheetId="6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5">IndexInformation!$B$19</definedName>
    <definedName name="Update_This">[5]!Update_This</definedName>
    <definedName name="UpdateReason" localSheetId="5">IndexInformation!$B$17</definedName>
    <definedName name="USRegDisclosures" localSheetId="0">ImportantDisclosures!#REF!</definedName>
    <definedName name="Version">"June 29, 2004"</definedName>
  </definedNames>
  <calcPr calcId="145621" calcMode="autoNoTable"/>
</workbook>
</file>

<file path=xl/calcChain.xml><?xml version="1.0" encoding="utf-8"?>
<calcChain xmlns="http://schemas.openxmlformats.org/spreadsheetml/2006/main">
  <c r="AU32" i="1" l="1"/>
  <c r="BE57" i="1"/>
  <c r="AK474" i="1" l="1"/>
  <c r="AK473" i="1"/>
  <c r="AK472" i="1"/>
  <c r="AK471" i="1"/>
  <c r="AK470" i="1"/>
  <c r="AK469" i="1"/>
  <c r="AK468" i="1"/>
  <c r="AS465" i="1"/>
  <c r="AR465" i="1"/>
  <c r="AP465" i="1"/>
  <c r="AN465" i="1"/>
  <c r="AM465" i="1"/>
  <c r="AK464" i="1"/>
  <c r="AK461" i="1"/>
  <c r="AK460" i="1"/>
  <c r="AK459" i="1"/>
  <c r="AK458" i="1"/>
  <c r="AK457" i="1"/>
  <c r="AK456" i="1"/>
  <c r="AK455" i="1"/>
  <c r="AS452" i="1"/>
  <c r="AR452" i="1"/>
  <c r="AN452" i="1"/>
  <c r="AM452" i="1"/>
  <c r="AK451" i="1"/>
  <c r="AK448" i="1"/>
  <c r="AK447" i="1"/>
  <c r="AK446" i="1"/>
  <c r="AK445" i="1"/>
  <c r="AK444" i="1"/>
  <c r="AK443" i="1"/>
  <c r="AK442" i="1"/>
  <c r="AL439" i="1"/>
  <c r="AL438" i="1"/>
  <c r="AL434" i="1"/>
  <c r="AL433" i="1" s="1"/>
  <c r="AS436" i="1"/>
  <c r="AS437" i="1" s="1"/>
  <c r="AR436" i="1"/>
  <c r="AS430" i="1"/>
  <c r="AR430" i="1"/>
  <c r="AN430" i="1"/>
  <c r="AM430" i="1"/>
  <c r="AK429" i="1"/>
  <c r="Y369" i="1"/>
  <c r="X368" i="1"/>
  <c r="AD358" i="1"/>
  <c r="AD360" i="1" s="1"/>
  <c r="AC358" i="1"/>
  <c r="AC360" i="1" s="1"/>
  <c r="AB358" i="1"/>
  <c r="AB360" i="1" s="1"/>
  <c r="AA358" i="1"/>
  <c r="AA360" i="1" s="1"/>
  <c r="Y358" i="1"/>
  <c r="Y360" i="1" s="1"/>
  <c r="X358" i="1"/>
  <c r="X360" i="1" s="1"/>
  <c r="AD352" i="1"/>
  <c r="AC352" i="1"/>
  <c r="AB352" i="1"/>
  <c r="AA352" i="1"/>
  <c r="Z348" i="1"/>
  <c r="X348" i="1"/>
  <c r="Y348" i="1" s="1"/>
  <c r="AD306" i="1"/>
  <c r="AC306" i="1"/>
  <c r="AB306" i="1"/>
  <c r="AA306" i="1"/>
  <c r="Y306" i="1"/>
  <c r="X306" i="1"/>
  <c r="W306" i="1"/>
  <c r="V306" i="1"/>
  <c r="T306" i="1"/>
  <c r="S306" i="1"/>
  <c r="R306" i="1"/>
  <c r="Q306" i="1"/>
  <c r="O306" i="1"/>
  <c r="N306" i="1"/>
  <c r="M306" i="1"/>
  <c r="L306" i="1"/>
  <c r="J306" i="1"/>
  <c r="I306" i="1"/>
  <c r="H306" i="1"/>
  <c r="G306" i="1"/>
  <c r="BR299" i="1"/>
  <c r="BQ299" i="1"/>
  <c r="BP299" i="1"/>
  <c r="BO299" i="1"/>
  <c r="BM299" i="1"/>
  <c r="BL299" i="1"/>
  <c r="BK299" i="1"/>
  <c r="BJ299" i="1"/>
  <c r="AZ299" i="1"/>
  <c r="AU299" i="1"/>
  <c r="AP299" i="1"/>
  <c r="AK299" i="1"/>
  <c r="AF299" i="1"/>
  <c r="AA299" i="1"/>
  <c r="Y299" i="1"/>
  <c r="V299" i="1"/>
  <c r="T299" i="1"/>
  <c r="S299" i="1"/>
  <c r="R299" i="1"/>
  <c r="Q299" i="1"/>
  <c r="N299" i="1"/>
  <c r="M299" i="1"/>
  <c r="L299" i="1"/>
  <c r="J299" i="1"/>
  <c r="I299" i="1"/>
  <c r="H299" i="1"/>
  <c r="G299" i="1"/>
  <c r="F299" i="1"/>
  <c r="BS288" i="1"/>
  <c r="E295" i="1"/>
  <c r="D295" i="1"/>
  <c r="C295" i="1"/>
  <c r="B295" i="1"/>
  <c r="BC293" i="1"/>
  <c r="BD293" i="1" s="1"/>
  <c r="BB293" i="1"/>
  <c r="BA293" i="1"/>
  <c r="AZ293" i="1"/>
  <c r="AX293" i="1"/>
  <c r="AW293" i="1"/>
  <c r="AV293" i="1"/>
  <c r="AU293" i="1"/>
  <c r="AT293" i="1"/>
  <c r="AS293" i="1"/>
  <c r="AR293" i="1"/>
  <c r="AQ293" i="1"/>
  <c r="AP293" i="1"/>
  <c r="AN293" i="1"/>
  <c r="AO293" i="1" s="1"/>
  <c r="AM293" i="1"/>
  <c r="AL293" i="1"/>
  <c r="AK293" i="1"/>
  <c r="AK294" i="1" s="1"/>
  <c r="AK295" i="1" s="1"/>
  <c r="AI293" i="1"/>
  <c r="AJ293" i="1" s="1"/>
  <c r="AH293" i="1"/>
  <c r="AG293" i="1"/>
  <c r="AF293" i="1"/>
  <c r="AF294" i="1" s="1"/>
  <c r="AF295" i="1" s="1"/>
  <c r="AD293" i="1"/>
  <c r="AE293" i="1" s="1"/>
  <c r="AC293" i="1"/>
  <c r="AB293" i="1"/>
  <c r="AB294" i="1" s="1"/>
  <c r="AB295" i="1" s="1"/>
  <c r="AA293" i="1"/>
  <c r="AA294" i="1" s="1"/>
  <c r="AA295" i="1" s="1"/>
  <c r="Z293" i="1"/>
  <c r="Y293" i="1"/>
  <c r="Y294" i="1" s="1"/>
  <c r="Y295" i="1" s="1"/>
  <c r="X293" i="1"/>
  <c r="W293" i="1"/>
  <c r="W294" i="1" s="1"/>
  <c r="W295" i="1" s="1"/>
  <c r="V293" i="1"/>
  <c r="T293" i="1"/>
  <c r="U293" i="1" s="1"/>
  <c r="S293" i="1"/>
  <c r="R293" i="1"/>
  <c r="Q293" i="1"/>
  <c r="O293" i="1"/>
  <c r="N293" i="1"/>
  <c r="M293" i="1"/>
  <c r="M294" i="1" s="1"/>
  <c r="M295" i="1" s="1"/>
  <c r="L293" i="1"/>
  <c r="K293" i="1"/>
  <c r="J293" i="1"/>
  <c r="J294" i="1" s="1"/>
  <c r="J295" i="1" s="1"/>
  <c r="I293" i="1"/>
  <c r="I294" i="1" s="1"/>
  <c r="I295" i="1" s="1"/>
  <c r="H293" i="1"/>
  <c r="G293" i="1"/>
  <c r="F293" i="1"/>
  <c r="AY292" i="1"/>
  <c r="AY291" i="1"/>
  <c r="AY290" i="1"/>
  <c r="AY289" i="1"/>
  <c r="AY288" i="1"/>
  <c r="AT292" i="1"/>
  <c r="AT291" i="1"/>
  <c r="AT290" i="1"/>
  <c r="AT289" i="1"/>
  <c r="AT288" i="1"/>
  <c r="AO292" i="1"/>
  <c r="AO291" i="1"/>
  <c r="AO290" i="1"/>
  <c r="AO289" i="1"/>
  <c r="AO288" i="1"/>
  <c r="AJ292" i="1"/>
  <c r="AJ291" i="1"/>
  <c r="AJ290" i="1"/>
  <c r="AJ289" i="1"/>
  <c r="AJ288" i="1"/>
  <c r="AE292" i="1"/>
  <c r="AE291" i="1"/>
  <c r="AE290" i="1"/>
  <c r="AE289" i="1"/>
  <c r="AE288" i="1"/>
  <c r="Z292" i="1"/>
  <c r="Z291" i="1"/>
  <c r="Z290" i="1"/>
  <c r="Z289" i="1"/>
  <c r="Z288" i="1"/>
  <c r="U292" i="1"/>
  <c r="U291" i="1"/>
  <c r="U290" i="1"/>
  <c r="U289" i="1"/>
  <c r="U288" i="1"/>
  <c r="P292" i="1"/>
  <c r="P291" i="1"/>
  <c r="P290" i="1"/>
  <c r="P289" i="1"/>
  <c r="P288" i="1"/>
  <c r="BD292" i="1"/>
  <c r="BD291" i="1"/>
  <c r="BD290" i="1"/>
  <c r="BI289" i="1"/>
  <c r="BN289" i="1" s="1"/>
  <c r="BS289" i="1" s="1"/>
  <c r="BE289" i="1"/>
  <c r="BF289" i="1" s="1"/>
  <c r="BG289" i="1" s="1"/>
  <c r="BH289" i="1" s="1"/>
  <c r="BD289" i="1"/>
  <c r="BD288" i="1"/>
  <c r="BI288" i="1" s="1"/>
  <c r="BN288" i="1" s="1"/>
  <c r="AT286" i="1"/>
  <c r="AP286" i="1"/>
  <c r="AL286" i="1"/>
  <c r="AL294" i="1" s="1"/>
  <c r="AL295" i="1" s="1"/>
  <c r="AI286" i="1"/>
  <c r="AJ286" i="1" s="1"/>
  <c r="AH286" i="1"/>
  <c r="AB286" i="1"/>
  <c r="AA286" i="1"/>
  <c r="Z286" i="1"/>
  <c r="Y286" i="1"/>
  <c r="V286" i="1"/>
  <c r="BC285" i="1"/>
  <c r="BD285" i="1" s="1"/>
  <c r="BB285" i="1"/>
  <c r="BB286" i="1" s="1"/>
  <c r="BB294" i="1" s="1"/>
  <c r="BB295" i="1" s="1"/>
  <c r="BA285" i="1"/>
  <c r="BA286" i="1" s="1"/>
  <c r="AZ285" i="1"/>
  <c r="AZ286" i="1" s="1"/>
  <c r="AX285" i="1"/>
  <c r="AW285" i="1"/>
  <c r="AW286" i="1" s="1"/>
  <c r="AV285" i="1"/>
  <c r="AV286" i="1" s="1"/>
  <c r="AU285" i="1"/>
  <c r="AU286" i="1" s="1"/>
  <c r="AT285" i="1"/>
  <c r="AS285" i="1"/>
  <c r="AS286" i="1" s="1"/>
  <c r="AR285" i="1"/>
  <c r="AR286" i="1" s="1"/>
  <c r="AQ285" i="1"/>
  <c r="AQ286" i="1" s="1"/>
  <c r="AP285" i="1"/>
  <c r="AN285" i="1"/>
  <c r="AO285" i="1" s="1"/>
  <c r="AM285" i="1"/>
  <c r="AM286" i="1" s="1"/>
  <c r="AL285" i="1"/>
  <c r="AK285" i="1"/>
  <c r="AK286" i="1" s="1"/>
  <c r="AI285" i="1"/>
  <c r="AJ285" i="1" s="1"/>
  <c r="AH285" i="1"/>
  <c r="AG285" i="1"/>
  <c r="AG286" i="1" s="1"/>
  <c r="AF285" i="1"/>
  <c r="AF286" i="1" s="1"/>
  <c r="AD285" i="1"/>
  <c r="AE285" i="1" s="1"/>
  <c r="AC285" i="1"/>
  <c r="AC286" i="1" s="1"/>
  <c r="AB285" i="1"/>
  <c r="AA285" i="1"/>
  <c r="W285" i="1"/>
  <c r="W286" i="1" s="1"/>
  <c r="V285" i="1"/>
  <c r="N285" i="1"/>
  <c r="N286" i="1" s="1"/>
  <c r="N294" i="1" s="1"/>
  <c r="N295" i="1" s="1"/>
  <c r="M285" i="1"/>
  <c r="M286" i="1" s="1"/>
  <c r="L285" i="1"/>
  <c r="L286" i="1" s="1"/>
  <c r="K285" i="1"/>
  <c r="K286" i="1" s="1"/>
  <c r="J285" i="1"/>
  <c r="J286" i="1" s="1"/>
  <c r="I285" i="1"/>
  <c r="I286" i="1" s="1"/>
  <c r="H285" i="1"/>
  <c r="H286" i="1" s="1"/>
  <c r="G285" i="1"/>
  <c r="G286" i="1" s="1"/>
  <c r="AY283" i="1"/>
  <c r="AY282" i="1"/>
  <c r="AY281" i="1"/>
  <c r="AY280" i="1"/>
  <c r="AY275" i="1"/>
  <c r="AY274" i="1"/>
  <c r="AT283" i="1"/>
  <c r="AT282" i="1"/>
  <c r="AT281" i="1"/>
  <c r="AT280" i="1"/>
  <c r="AT279" i="1"/>
  <c r="AT275" i="1"/>
  <c r="AT274" i="1"/>
  <c r="AO283" i="1"/>
  <c r="AO282" i="1"/>
  <c r="AO281" i="1"/>
  <c r="AO280" i="1"/>
  <c r="AO277" i="1"/>
  <c r="AO275" i="1"/>
  <c r="AO274" i="1"/>
  <c r="AJ283" i="1"/>
  <c r="AJ282" i="1"/>
  <c r="AJ281" i="1"/>
  <c r="AJ280" i="1"/>
  <c r="AJ275" i="1"/>
  <c r="AJ274" i="1"/>
  <c r="AE283" i="1"/>
  <c r="AE282" i="1"/>
  <c r="AE281" i="1"/>
  <c r="AE280" i="1"/>
  <c r="AE277" i="1"/>
  <c r="AE275" i="1"/>
  <c r="AE274" i="1"/>
  <c r="Z283" i="1"/>
  <c r="Y283" i="1"/>
  <c r="U283" i="1"/>
  <c r="U282" i="1"/>
  <c r="U281" i="1"/>
  <c r="U279" i="1"/>
  <c r="U275" i="1"/>
  <c r="P283" i="1"/>
  <c r="Z282" i="1"/>
  <c r="Z280" i="1"/>
  <c r="Z275" i="1"/>
  <c r="Z274" i="1"/>
  <c r="X282" i="1"/>
  <c r="X281" i="1"/>
  <c r="P281" i="1"/>
  <c r="P279" i="1"/>
  <c r="P275" i="1"/>
  <c r="P274" i="1"/>
  <c r="V280" i="1"/>
  <c r="T280" i="1"/>
  <c r="T285" i="1" s="1"/>
  <c r="S280" i="1"/>
  <c r="R280" i="1"/>
  <c r="Q280" i="1"/>
  <c r="O280" i="1"/>
  <c r="F280" i="1"/>
  <c r="F285" i="1" s="1"/>
  <c r="F286" i="1" s="1"/>
  <c r="F277" i="1"/>
  <c r="I277" i="1"/>
  <c r="H277" i="1"/>
  <c r="G277" i="1"/>
  <c r="BC277" i="1"/>
  <c r="BB277" i="1"/>
  <c r="BA277" i="1"/>
  <c r="AZ277" i="1"/>
  <c r="AX277" i="1"/>
  <c r="AY277" i="1" s="1"/>
  <c r="AW277" i="1"/>
  <c r="AV277" i="1"/>
  <c r="AU277" i="1"/>
  <c r="AS277" i="1"/>
  <c r="AT277" i="1" s="1"/>
  <c r="AR277" i="1"/>
  <c r="AQ277" i="1"/>
  <c r="AP277" i="1"/>
  <c r="AN277" i="1"/>
  <c r="AM277" i="1"/>
  <c r="AL277" i="1"/>
  <c r="AK277" i="1"/>
  <c r="AI277" i="1"/>
  <c r="AJ277" i="1" s="1"/>
  <c r="AH277" i="1"/>
  <c r="AG277" i="1"/>
  <c r="AF277" i="1"/>
  <c r="AD277" i="1"/>
  <c r="AC277" i="1"/>
  <c r="AB277" i="1"/>
  <c r="AA277" i="1"/>
  <c r="Y277" i="1"/>
  <c r="Z277" i="1" s="1"/>
  <c r="X277" i="1"/>
  <c r="W277" i="1"/>
  <c r="V277" i="1"/>
  <c r="S277" i="1"/>
  <c r="R277" i="1"/>
  <c r="Q277" i="1"/>
  <c r="O277" i="1"/>
  <c r="N277" i="1"/>
  <c r="M277" i="1"/>
  <c r="L277" i="1"/>
  <c r="K277" i="1"/>
  <c r="J277" i="1"/>
  <c r="BD283" i="1"/>
  <c r="BD282" i="1"/>
  <c r="BD281" i="1"/>
  <c r="BD280" i="1"/>
  <c r="BD277" i="1"/>
  <c r="BD275" i="1"/>
  <c r="BD274" i="1"/>
  <c r="V274" i="1"/>
  <c r="T274" i="1"/>
  <c r="U274" i="1" s="1"/>
  <c r="U277" i="1" s="1"/>
  <c r="AY272" i="1"/>
  <c r="AY258" i="1"/>
  <c r="AY306" i="1" s="1"/>
  <c r="AY255" i="1"/>
  <c r="AT272" i="1"/>
  <c r="AT258" i="1"/>
  <c r="AT306" i="1" s="1"/>
  <c r="AT255" i="1"/>
  <c r="AO272" i="1"/>
  <c r="AO271" i="1"/>
  <c r="AO258" i="1"/>
  <c r="AO306" i="1" s="1"/>
  <c r="AO255" i="1"/>
  <c r="AJ272" i="1"/>
  <c r="AJ267" i="1"/>
  <c r="AJ258" i="1"/>
  <c r="AJ255" i="1"/>
  <c r="AE272" i="1"/>
  <c r="AE267" i="1"/>
  <c r="AE258" i="1"/>
  <c r="AE306" i="1" s="1"/>
  <c r="AE255" i="1"/>
  <c r="Z272" i="1"/>
  <c r="Z267" i="1"/>
  <c r="Z258" i="1"/>
  <c r="Z306" i="1" s="1"/>
  <c r="U272" i="1"/>
  <c r="U271" i="1"/>
  <c r="U267" i="1"/>
  <c r="U264" i="1"/>
  <c r="U258" i="1"/>
  <c r="U306" i="1" s="1"/>
  <c r="U255" i="1"/>
  <c r="P272" i="1"/>
  <c r="P271" i="1"/>
  <c r="P267" i="1"/>
  <c r="P266" i="1"/>
  <c r="P268" i="1" s="1"/>
  <c r="P264" i="1"/>
  <c r="P258" i="1"/>
  <c r="P255" i="1"/>
  <c r="O271" i="1"/>
  <c r="N271" i="1"/>
  <c r="M271" i="1"/>
  <c r="L271" i="1"/>
  <c r="K271" i="1"/>
  <c r="J271" i="1"/>
  <c r="I271" i="1"/>
  <c r="H271" i="1"/>
  <c r="G271" i="1"/>
  <c r="F271" i="1"/>
  <c r="F269" i="1"/>
  <c r="BC271" i="1"/>
  <c r="BB271" i="1"/>
  <c r="BA271" i="1"/>
  <c r="AZ271" i="1"/>
  <c r="AN271" i="1"/>
  <c r="AM271" i="1"/>
  <c r="AL271" i="1"/>
  <c r="AK271" i="1"/>
  <c r="AL269" i="1"/>
  <c r="AL268" i="1"/>
  <c r="AI271" i="1"/>
  <c r="AJ271" i="1" s="1"/>
  <c r="AH271" i="1"/>
  <c r="AG271" i="1"/>
  <c r="AF271" i="1"/>
  <c r="AD271" i="1"/>
  <c r="AE271" i="1" s="1"/>
  <c r="AC271" i="1"/>
  <c r="AB271" i="1"/>
  <c r="AA271" i="1"/>
  <c r="Y271" i="1"/>
  <c r="Z271" i="1" s="1"/>
  <c r="X271" i="1"/>
  <c r="W271" i="1"/>
  <c r="V271" i="1"/>
  <c r="W268" i="1"/>
  <c r="V268" i="1"/>
  <c r="V269" i="1" s="1"/>
  <c r="T271" i="1"/>
  <c r="S271" i="1"/>
  <c r="R271" i="1"/>
  <c r="R269" i="1" s="1"/>
  <c r="Q271" i="1"/>
  <c r="R268" i="1"/>
  <c r="Q268" i="1"/>
  <c r="Q269" i="1" s="1"/>
  <c r="M268" i="1"/>
  <c r="M269" i="1" s="1"/>
  <c r="J268" i="1"/>
  <c r="J269" i="1" s="1"/>
  <c r="AN266" i="1"/>
  <c r="W267" i="1"/>
  <c r="W266" i="1"/>
  <c r="M267" i="1"/>
  <c r="N267" i="1" s="1"/>
  <c r="N268" i="1" s="1"/>
  <c r="N269" i="1" s="1"/>
  <c r="L267" i="1"/>
  <c r="L268" i="1" s="1"/>
  <c r="V266" i="1"/>
  <c r="O266" i="1"/>
  <c r="O268" i="1" s="1"/>
  <c r="O269" i="1" s="1"/>
  <c r="K266" i="1"/>
  <c r="G267" i="1"/>
  <c r="F266" i="1"/>
  <c r="F268" i="1" s="1"/>
  <c r="BC266" i="1"/>
  <c r="BC268" i="1" s="1"/>
  <c r="BC269" i="1" s="1"/>
  <c r="BB266" i="1"/>
  <c r="BA266" i="1"/>
  <c r="AZ266" i="1"/>
  <c r="AX271" i="1"/>
  <c r="AY271" i="1" s="1"/>
  <c r="AW271" i="1"/>
  <c r="AV271" i="1"/>
  <c r="AU271" i="1"/>
  <c r="AX266" i="1"/>
  <c r="AW266" i="1"/>
  <c r="AV266" i="1"/>
  <c r="AU266" i="1"/>
  <c r="AS271" i="1"/>
  <c r="AR271" i="1"/>
  <c r="AQ271" i="1"/>
  <c r="AP271" i="1"/>
  <c r="AS266" i="1"/>
  <c r="AR266" i="1"/>
  <c r="AQ266" i="1"/>
  <c r="AP266" i="1"/>
  <c r="AM266" i="1"/>
  <c r="AM268" i="1" s="1"/>
  <c r="AM269" i="1" s="1"/>
  <c r="AL266" i="1"/>
  <c r="AK266" i="1"/>
  <c r="AK268" i="1" s="1"/>
  <c r="AK269" i="1" s="1"/>
  <c r="AI266" i="1"/>
  <c r="AI268" i="1" s="1"/>
  <c r="AH266" i="1"/>
  <c r="AH268" i="1" s="1"/>
  <c r="AH269" i="1" s="1"/>
  <c r="AG266" i="1"/>
  <c r="AG268" i="1" s="1"/>
  <c r="AG269" i="1" s="1"/>
  <c r="AF266" i="1"/>
  <c r="AF268" i="1" s="1"/>
  <c r="AF269" i="1" s="1"/>
  <c r="AD266" i="1"/>
  <c r="AC266" i="1"/>
  <c r="AC268" i="1" s="1"/>
  <c r="AC269" i="1" s="1"/>
  <c r="AB266" i="1"/>
  <c r="AB268" i="1" s="1"/>
  <c r="AA266" i="1"/>
  <c r="AA268" i="1" s="1"/>
  <c r="AA269" i="1" s="1"/>
  <c r="Y266" i="1"/>
  <c r="X266" i="1"/>
  <c r="X268" i="1" s="1"/>
  <c r="X269" i="1" s="1"/>
  <c r="T266" i="1"/>
  <c r="S266" i="1"/>
  <c r="S268" i="1" s="1"/>
  <c r="S269" i="1" s="1"/>
  <c r="R266" i="1"/>
  <c r="F258" i="1"/>
  <c r="F255" i="1"/>
  <c r="K258" i="1"/>
  <c r="K306" i="1" s="1"/>
  <c r="K255" i="1"/>
  <c r="AK255" i="1"/>
  <c r="AF255" i="1"/>
  <c r="AG255" i="1" s="1"/>
  <c r="AA255" i="1"/>
  <c r="Y255" i="1"/>
  <c r="Z255" i="1" s="1"/>
  <c r="BD272" i="1"/>
  <c r="BD271" i="1"/>
  <c r="BD269" i="1"/>
  <c r="BD268" i="1"/>
  <c r="BD267" i="1"/>
  <c r="BD266" i="1"/>
  <c r="AZ255" i="1"/>
  <c r="BA255" i="1" s="1"/>
  <c r="AN249" i="1"/>
  <c r="AO249" i="1" s="1"/>
  <c r="AP249" i="1" s="1"/>
  <c r="AJ249" i="1"/>
  <c r="AJ245" i="1"/>
  <c r="AE249" i="1"/>
  <c r="AE245" i="1"/>
  <c r="Z249" i="1"/>
  <c r="Z245" i="1"/>
  <c r="Y245" i="1" s="1"/>
  <c r="Y246" i="1" s="1"/>
  <c r="U249" i="1"/>
  <c r="P249" i="1"/>
  <c r="K249" i="1"/>
  <c r="AZ248" i="1"/>
  <c r="AU248" i="1"/>
  <c r="AP248" i="1"/>
  <c r="AK248" i="1"/>
  <c r="AF248" i="1"/>
  <c r="AA248" i="1"/>
  <c r="Y248" i="1"/>
  <c r="V248" i="1"/>
  <c r="Q248" i="1"/>
  <c r="G248" i="1"/>
  <c r="F248" i="1"/>
  <c r="F251" i="1" s="1"/>
  <c r="BD249" i="1"/>
  <c r="BE249" i="1" s="1"/>
  <c r="BA247" i="1"/>
  <c r="AV247" i="1"/>
  <c r="AQ247" i="1"/>
  <c r="AQ246" i="1" s="1"/>
  <c r="AL247" i="1"/>
  <c r="X247" i="1"/>
  <c r="W247" i="1"/>
  <c r="Z247" i="1" s="1"/>
  <c r="BI246" i="1"/>
  <c r="BI243" i="1"/>
  <c r="AK246" i="1"/>
  <c r="AG247" i="1"/>
  <c r="AH247" i="1" s="1"/>
  <c r="AC247" i="1"/>
  <c r="AB247" i="1"/>
  <c r="R247" i="1"/>
  <c r="Q246" i="1"/>
  <c r="L248" i="1"/>
  <c r="L247" i="1"/>
  <c r="L246" i="1"/>
  <c r="BS243" i="1"/>
  <c r="BN243" i="1"/>
  <c r="AZ245" i="1"/>
  <c r="BA245" i="1" s="1"/>
  <c r="AU245" i="1"/>
  <c r="AQ245" i="1"/>
  <c r="AO245" i="1"/>
  <c r="W245" i="1"/>
  <c r="X245" i="1" s="1"/>
  <c r="X280" i="1" s="1"/>
  <c r="S245" i="1"/>
  <c r="T245" i="1" s="1"/>
  <c r="U245" i="1" s="1"/>
  <c r="N245" i="1"/>
  <c r="O245" i="1" s="1"/>
  <c r="M245" i="1"/>
  <c r="P245" i="1" s="1"/>
  <c r="H247" i="1"/>
  <c r="H246" i="1"/>
  <c r="H245" i="1"/>
  <c r="I245" i="1" s="1"/>
  <c r="J245" i="1" s="1"/>
  <c r="F246" i="1"/>
  <c r="G245" i="1"/>
  <c r="F245" i="1"/>
  <c r="BG243" i="1"/>
  <c r="BH243" i="1" s="1"/>
  <c r="BF243" i="1"/>
  <c r="BE243" i="1"/>
  <c r="AZ241" i="1"/>
  <c r="AV241" i="1"/>
  <c r="AU241" i="1"/>
  <c r="AQ241" i="1"/>
  <c r="AP241" i="1"/>
  <c r="AP246" i="1" s="1"/>
  <c r="AK241" i="1"/>
  <c r="AF241" i="1"/>
  <c r="AF246" i="1" s="1"/>
  <c r="AB241" i="1"/>
  <c r="AB246" i="1" s="1"/>
  <c r="AA241" i="1"/>
  <c r="AA246" i="1" s="1"/>
  <c r="Y241" i="1"/>
  <c r="V241" i="1"/>
  <c r="V246" i="1" s="1"/>
  <c r="T241" i="1"/>
  <c r="S241" i="1"/>
  <c r="R241" i="1"/>
  <c r="Q241" i="1"/>
  <c r="O241" i="1"/>
  <c r="N241" i="1"/>
  <c r="M241" i="1"/>
  <c r="L241" i="1"/>
  <c r="J241" i="1"/>
  <c r="I241" i="1"/>
  <c r="H241" i="1"/>
  <c r="G241" i="1"/>
  <c r="G246" i="1" s="1"/>
  <c r="F241" i="1"/>
  <c r="BD240" i="1"/>
  <c r="BD238" i="1"/>
  <c r="Z238" i="1"/>
  <c r="U240" i="1"/>
  <c r="U241" i="1" s="1"/>
  <c r="U239" i="1"/>
  <c r="U238" i="1"/>
  <c r="P240" i="1"/>
  <c r="P239" i="1"/>
  <c r="P238" i="1"/>
  <c r="K240" i="1"/>
  <c r="K239" i="1"/>
  <c r="K299" i="1" s="1"/>
  <c r="K238" i="1"/>
  <c r="K241" i="1" s="1"/>
  <c r="BA239" i="1"/>
  <c r="BA299" i="1" s="1"/>
  <c r="AY240" i="1"/>
  <c r="AX240" i="1"/>
  <c r="AW240" i="1"/>
  <c r="AW241" i="1" s="1"/>
  <c r="AW239" i="1"/>
  <c r="AV239" i="1"/>
  <c r="AV299" i="1" s="1"/>
  <c r="AS240" i="1"/>
  <c r="AR240" i="1"/>
  <c r="AQ240" i="1"/>
  <c r="AR239" i="1"/>
  <c r="AQ239" i="1"/>
  <c r="AQ299" i="1" s="1"/>
  <c r="AN240" i="1"/>
  <c r="AM240" i="1"/>
  <c r="AL240" i="1"/>
  <c r="AL241" i="1" s="1"/>
  <c r="AM239" i="1"/>
  <c r="AL239" i="1"/>
  <c r="AL299" i="1" s="1"/>
  <c r="AI240" i="1"/>
  <c r="AH240" i="1"/>
  <c r="AG240" i="1"/>
  <c r="AG241" i="1" s="1"/>
  <c r="AH239" i="1"/>
  <c r="AG239" i="1"/>
  <c r="AG299" i="1" s="1"/>
  <c r="AD240" i="1"/>
  <c r="AC240" i="1"/>
  <c r="AB240" i="1"/>
  <c r="AC239" i="1"/>
  <c r="AB239" i="1"/>
  <c r="AB299" i="1" s="1"/>
  <c r="W240" i="1"/>
  <c r="X239" i="1"/>
  <c r="W239" i="1"/>
  <c r="Z239" i="1" s="1"/>
  <c r="O239" i="1"/>
  <c r="O299" i="1" s="1"/>
  <c r="AY238" i="1"/>
  <c r="AT238" i="1"/>
  <c r="AO238" i="1"/>
  <c r="AJ238" i="1"/>
  <c r="AE238" i="1"/>
  <c r="AV236" i="1"/>
  <c r="AW236" i="1" s="1"/>
  <c r="AQ236" i="1"/>
  <c r="AR236" i="1" s="1"/>
  <c r="AS236" i="1" s="1"/>
  <c r="AL236" i="1"/>
  <c r="AG236" i="1"/>
  <c r="AB236" i="1"/>
  <c r="W236" i="1"/>
  <c r="R236" i="1"/>
  <c r="S236" i="1" s="1"/>
  <c r="T236" i="1" s="1"/>
  <c r="M236" i="1"/>
  <c r="H236" i="1"/>
  <c r="BB236" i="1"/>
  <c r="BC236" i="1" s="1"/>
  <c r="BA236" i="1"/>
  <c r="BB235" i="1"/>
  <c r="AQ235" i="1"/>
  <c r="AL235" i="1"/>
  <c r="AF235" i="1"/>
  <c r="AA235" i="1"/>
  <c r="BI234" i="1"/>
  <c r="BI229" i="1"/>
  <c r="BI228" i="1"/>
  <c r="BI227" i="1"/>
  <c r="BD234" i="1"/>
  <c r="AY234" i="1"/>
  <c r="AT234" i="1"/>
  <c r="AO234" i="1"/>
  <c r="AI234" i="1"/>
  <c r="AJ234" i="1" s="1"/>
  <c r="AB234" i="1"/>
  <c r="W234" i="1"/>
  <c r="Z234" i="1" s="1"/>
  <c r="T234" i="1"/>
  <c r="R234" i="1"/>
  <c r="S234" i="1" s="1"/>
  <c r="O234" i="1"/>
  <c r="M234" i="1"/>
  <c r="J234" i="1"/>
  <c r="H234" i="1"/>
  <c r="I234" i="1" s="1"/>
  <c r="BS228" i="1"/>
  <c r="BS227" i="1"/>
  <c r="BN228" i="1"/>
  <c r="BN227" i="1"/>
  <c r="AU233" i="1"/>
  <c r="AP233" i="1"/>
  <c r="AK233" i="1"/>
  <c r="L233" i="1"/>
  <c r="F233" i="1"/>
  <c r="BG228" i="1"/>
  <c r="BF228" i="1"/>
  <c r="BE228" i="1"/>
  <c r="BH228" i="1" s="1"/>
  <c r="BA228" i="1"/>
  <c r="BB228" i="1" s="1"/>
  <c r="BC228" i="1" s="1"/>
  <c r="AZ228" i="1"/>
  <c r="BD228" i="1" s="1"/>
  <c r="AU228" i="1"/>
  <c r="AV228" i="1" s="1"/>
  <c r="AW228" i="1" s="1"/>
  <c r="AX228" i="1" s="1"/>
  <c r="AQ228" i="1"/>
  <c r="AR228" i="1" s="1"/>
  <c r="AS228" i="1" s="1"/>
  <c r="AP228" i="1"/>
  <c r="AK228" i="1"/>
  <c r="AG228" i="1"/>
  <c r="AF228" i="1"/>
  <c r="AF233" i="1" s="1"/>
  <c r="AC228" i="1"/>
  <c r="AA228" i="1"/>
  <c r="AB228" i="1" s="1"/>
  <c r="AB233" i="1" s="1"/>
  <c r="Z228" i="1"/>
  <c r="W228" i="1"/>
  <c r="X228" i="1" s="1"/>
  <c r="Y228" i="1" s="1"/>
  <c r="V228" i="1"/>
  <c r="V233" i="1" s="1"/>
  <c r="Q228" i="1"/>
  <c r="M228" i="1"/>
  <c r="L228" i="1"/>
  <c r="L235" i="1" s="1"/>
  <c r="I228" i="1"/>
  <c r="G228" i="1"/>
  <c r="H228" i="1" s="1"/>
  <c r="F228" i="1"/>
  <c r="F235" i="1" s="1"/>
  <c r="BH227" i="1"/>
  <c r="BG227" i="1"/>
  <c r="BF227" i="1"/>
  <c r="BE227" i="1"/>
  <c r="BB227" i="1"/>
  <c r="BC227" i="1" s="1"/>
  <c r="BA227" i="1"/>
  <c r="BA233" i="1" s="1"/>
  <c r="AZ227" i="1"/>
  <c r="AZ235" i="1" s="1"/>
  <c r="AW227" i="1"/>
  <c r="AV227" i="1"/>
  <c r="AU227" i="1"/>
  <c r="AU235" i="1" s="1"/>
  <c r="AR227" i="1"/>
  <c r="AQ227" i="1"/>
  <c r="AQ233" i="1" s="1"/>
  <c r="AP227" i="1"/>
  <c r="AP235" i="1" s="1"/>
  <c r="AN227" i="1"/>
  <c r="AM227" i="1"/>
  <c r="AL227" i="1"/>
  <c r="AK227" i="1"/>
  <c r="AK235" i="1" s="1"/>
  <c r="AF227" i="1"/>
  <c r="AB227" i="1"/>
  <c r="Z227" i="1"/>
  <c r="V227" i="1"/>
  <c r="L227" i="1"/>
  <c r="H227" i="1"/>
  <c r="F227" i="1"/>
  <c r="AV225" i="1"/>
  <c r="AW225" i="1" s="1"/>
  <c r="AQ225" i="1"/>
  <c r="AR225" i="1" s="1"/>
  <c r="AL225" i="1"/>
  <c r="AM225" i="1" s="1"/>
  <c r="AN225" i="1" s="1"/>
  <c r="AG225" i="1"/>
  <c r="AH225" i="1" s="1"/>
  <c r="AB225" i="1"/>
  <c r="AC225" i="1" s="1"/>
  <c r="Z222" i="1"/>
  <c r="W225" i="1"/>
  <c r="R225" i="1"/>
  <c r="M225" i="1"/>
  <c r="H225" i="1"/>
  <c r="BB225" i="1"/>
  <c r="BA225" i="1"/>
  <c r="BI220" i="1"/>
  <c r="BC223" i="1"/>
  <c r="BB223" i="1"/>
  <c r="BA223" i="1"/>
  <c r="AZ223" i="1"/>
  <c r="AX223" i="1"/>
  <c r="AW223" i="1"/>
  <c r="AV223" i="1"/>
  <c r="AU223" i="1"/>
  <c r="AS223" i="1"/>
  <c r="AR223" i="1"/>
  <c r="AQ223" i="1"/>
  <c r="AP223" i="1"/>
  <c r="AN223" i="1"/>
  <c r="AM223" i="1"/>
  <c r="AL223" i="1"/>
  <c r="AK223" i="1"/>
  <c r="AI223" i="1"/>
  <c r="AH223" i="1"/>
  <c r="AG223" i="1"/>
  <c r="AF223" i="1"/>
  <c r="AD223" i="1"/>
  <c r="AC223" i="1"/>
  <c r="AB223" i="1"/>
  <c r="AA223" i="1"/>
  <c r="X223" i="1"/>
  <c r="V223" i="1"/>
  <c r="R223" i="1"/>
  <c r="Q223" i="1"/>
  <c r="O223" i="1"/>
  <c r="N223" i="1"/>
  <c r="M223" i="1"/>
  <c r="L223" i="1"/>
  <c r="J223" i="1"/>
  <c r="F223" i="1"/>
  <c r="AY222" i="1"/>
  <c r="AY220" i="1"/>
  <c r="AT222" i="1"/>
  <c r="AT220" i="1"/>
  <c r="AO222" i="1"/>
  <c r="AO220" i="1"/>
  <c r="AJ222" i="1"/>
  <c r="AJ220" i="1"/>
  <c r="AE222" i="1"/>
  <c r="AE220" i="1"/>
  <c r="S222" i="1"/>
  <c r="P222" i="1"/>
  <c r="K222" i="1"/>
  <c r="BD222" i="1"/>
  <c r="AU221" i="1"/>
  <c r="AN221" i="1"/>
  <c r="AM221" i="1"/>
  <c r="AL221" i="1"/>
  <c r="AK221" i="1"/>
  <c r="AI221" i="1"/>
  <c r="AH221" i="1"/>
  <c r="AG221" i="1"/>
  <c r="AF221" i="1"/>
  <c r="AD221" i="1"/>
  <c r="AC221" i="1"/>
  <c r="AB221" i="1"/>
  <c r="AA221" i="1"/>
  <c r="AA219" i="1" s="1"/>
  <c r="AE219" i="1" s="1"/>
  <c r="AE221" i="1" s="1"/>
  <c r="X221" i="1"/>
  <c r="W221" i="1"/>
  <c r="V221" i="1"/>
  <c r="Q221" i="1"/>
  <c r="L221" i="1"/>
  <c r="G221" i="1"/>
  <c r="BD220" i="1"/>
  <c r="Y220" i="1"/>
  <c r="Z220" i="1" s="1"/>
  <c r="M220" i="1"/>
  <c r="M219" i="1"/>
  <c r="K220" i="1"/>
  <c r="AD219" i="1"/>
  <c r="AC219" i="1"/>
  <c r="AB219" i="1"/>
  <c r="Y219" i="1"/>
  <c r="X219" i="1"/>
  <c r="W219" i="1"/>
  <c r="Z219" i="1" s="1"/>
  <c r="R220" i="1"/>
  <c r="R219" i="1"/>
  <c r="O220" i="1"/>
  <c r="P220" i="1" s="1"/>
  <c r="F219" i="1"/>
  <c r="F221" i="1" s="1"/>
  <c r="BC219" i="1"/>
  <c r="BC221" i="1" s="1"/>
  <c r="BB219" i="1"/>
  <c r="BB221" i="1" s="1"/>
  <c r="BA219" i="1"/>
  <c r="BA221" i="1" s="1"/>
  <c r="AZ219" i="1"/>
  <c r="AZ221" i="1" s="1"/>
  <c r="AX219" i="1"/>
  <c r="AX221" i="1" s="1"/>
  <c r="AW219" i="1"/>
  <c r="AW221" i="1" s="1"/>
  <c r="AV219" i="1"/>
  <c r="AV221" i="1" s="1"/>
  <c r="AU219" i="1"/>
  <c r="AY219" i="1" s="1"/>
  <c r="AY221" i="1" s="1"/>
  <c r="AS219" i="1"/>
  <c r="AS221" i="1" s="1"/>
  <c r="AR219" i="1"/>
  <c r="AR221" i="1" s="1"/>
  <c r="AQ219" i="1"/>
  <c r="AQ221" i="1" s="1"/>
  <c r="AP219" i="1"/>
  <c r="AT219" i="1" s="1"/>
  <c r="AN219" i="1"/>
  <c r="AN267" i="1" s="1"/>
  <c r="AO267" i="1" s="1"/>
  <c r="AM219" i="1"/>
  <c r="AL219" i="1"/>
  <c r="AK219" i="1"/>
  <c r="AO219" i="1" s="1"/>
  <c r="AO221" i="1" s="1"/>
  <c r="AI219" i="1"/>
  <c r="AH219" i="1"/>
  <c r="AG219" i="1"/>
  <c r="AF219" i="1"/>
  <c r="AJ219" i="1" s="1"/>
  <c r="I219" i="1"/>
  <c r="J219" i="1" s="1"/>
  <c r="J221" i="1" s="1"/>
  <c r="H219" i="1"/>
  <c r="H221" i="1" s="1"/>
  <c r="BS194" i="1"/>
  <c r="BS193" i="1"/>
  <c r="BN194" i="1"/>
  <c r="BN195" i="1" s="1"/>
  <c r="BN193" i="1"/>
  <c r="F194" i="1"/>
  <c r="F193" i="1"/>
  <c r="F188" i="1"/>
  <c r="BE194" i="1"/>
  <c r="BC194" i="1"/>
  <c r="BB194" i="1"/>
  <c r="BA194" i="1"/>
  <c r="AZ194" i="1"/>
  <c r="AX194" i="1"/>
  <c r="AW194" i="1"/>
  <c r="AV194" i="1"/>
  <c r="AU194" i="1"/>
  <c r="AS194" i="1"/>
  <c r="AR194" i="1"/>
  <c r="AQ194" i="1"/>
  <c r="AP194" i="1"/>
  <c r="AN194" i="1"/>
  <c r="AM194" i="1"/>
  <c r="AL194" i="1"/>
  <c r="AK194" i="1"/>
  <c r="AI194" i="1"/>
  <c r="AH194" i="1"/>
  <c r="AG194" i="1"/>
  <c r="AF194" i="1"/>
  <c r="AD194" i="1"/>
  <c r="AC194" i="1"/>
  <c r="AB194" i="1"/>
  <c r="AA194" i="1"/>
  <c r="Y194" i="1"/>
  <c r="X194" i="1"/>
  <c r="W194" i="1"/>
  <c r="V194" i="1"/>
  <c r="U194" i="1"/>
  <c r="T194" i="1"/>
  <c r="S194" i="1"/>
  <c r="R194" i="1"/>
  <c r="Q194" i="1"/>
  <c r="O194" i="1"/>
  <c r="N194" i="1"/>
  <c r="M194" i="1"/>
  <c r="L194" i="1"/>
  <c r="J194" i="1"/>
  <c r="BE193" i="1"/>
  <c r="BC193" i="1"/>
  <c r="BB193" i="1"/>
  <c r="BA193" i="1"/>
  <c r="AZ193" i="1"/>
  <c r="AX193" i="1"/>
  <c r="AW193" i="1"/>
  <c r="AV193" i="1"/>
  <c r="AU193" i="1"/>
  <c r="AS193" i="1"/>
  <c r="AR193" i="1"/>
  <c r="AQ193" i="1"/>
  <c r="AP193" i="1"/>
  <c r="AN193" i="1"/>
  <c r="AM193" i="1"/>
  <c r="AL193" i="1"/>
  <c r="AK193" i="1"/>
  <c r="AI193" i="1"/>
  <c r="AH193" i="1"/>
  <c r="AG193" i="1"/>
  <c r="AF193" i="1"/>
  <c r="AD193" i="1"/>
  <c r="AC193" i="1"/>
  <c r="AB193" i="1"/>
  <c r="AA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J193" i="1"/>
  <c r="BC188" i="1"/>
  <c r="BB188" i="1"/>
  <c r="BA188" i="1"/>
  <c r="AZ188" i="1"/>
  <c r="AX188" i="1"/>
  <c r="AW188" i="1"/>
  <c r="AV188" i="1"/>
  <c r="AU188" i="1"/>
  <c r="AS188" i="1"/>
  <c r="AR188" i="1"/>
  <c r="AQ188" i="1"/>
  <c r="AP188" i="1"/>
  <c r="AN188" i="1"/>
  <c r="AM188" i="1"/>
  <c r="AL188" i="1"/>
  <c r="AK188" i="1"/>
  <c r="AI188" i="1"/>
  <c r="AH188" i="1"/>
  <c r="AG188" i="1"/>
  <c r="AF188" i="1"/>
  <c r="AD188" i="1"/>
  <c r="AC188" i="1"/>
  <c r="AB188" i="1"/>
  <c r="AA188" i="1"/>
  <c r="Y188" i="1"/>
  <c r="X188" i="1"/>
  <c r="W188" i="1"/>
  <c r="V188" i="1"/>
  <c r="T188" i="1"/>
  <c r="S188" i="1"/>
  <c r="R188" i="1"/>
  <c r="Q188" i="1"/>
  <c r="O188" i="1"/>
  <c r="N188" i="1"/>
  <c r="M188" i="1"/>
  <c r="L188" i="1"/>
  <c r="J188" i="1"/>
  <c r="F186" i="1"/>
  <c r="F182" i="1"/>
  <c r="BC186" i="1"/>
  <c r="BB186" i="1"/>
  <c r="BA186" i="1"/>
  <c r="AZ186" i="1"/>
  <c r="AX186" i="1"/>
  <c r="AW186" i="1"/>
  <c r="AV186" i="1"/>
  <c r="AU186" i="1"/>
  <c r="AS186" i="1"/>
  <c r="AR186" i="1"/>
  <c r="AQ186" i="1"/>
  <c r="AP186" i="1"/>
  <c r="AN186" i="1"/>
  <c r="AM186" i="1"/>
  <c r="AL186" i="1"/>
  <c r="AK186" i="1"/>
  <c r="AI186" i="1"/>
  <c r="AH186" i="1"/>
  <c r="AG186" i="1"/>
  <c r="AF186" i="1"/>
  <c r="AD186" i="1"/>
  <c r="AC186" i="1"/>
  <c r="AB186" i="1"/>
  <c r="AA186" i="1"/>
  <c r="Y186" i="1"/>
  <c r="X186" i="1"/>
  <c r="W186" i="1"/>
  <c r="V186" i="1"/>
  <c r="T186" i="1"/>
  <c r="S186" i="1"/>
  <c r="R186" i="1"/>
  <c r="Q186" i="1"/>
  <c r="O186" i="1"/>
  <c r="N186" i="1"/>
  <c r="M186" i="1"/>
  <c r="L186" i="1"/>
  <c r="J186" i="1"/>
  <c r="BC184" i="1"/>
  <c r="BB184" i="1"/>
  <c r="BA184" i="1"/>
  <c r="AZ184" i="1"/>
  <c r="AX184" i="1"/>
  <c r="AW184" i="1"/>
  <c r="AV184" i="1"/>
  <c r="AU184" i="1"/>
  <c r="AS184" i="1"/>
  <c r="AR184" i="1"/>
  <c r="AQ184" i="1"/>
  <c r="AP184" i="1"/>
  <c r="AN184" i="1"/>
  <c r="AM184" i="1"/>
  <c r="AL184" i="1"/>
  <c r="AK184" i="1"/>
  <c r="BC182" i="1"/>
  <c r="BB182" i="1"/>
  <c r="BA182" i="1"/>
  <c r="AZ182" i="1"/>
  <c r="AX182" i="1"/>
  <c r="AW182" i="1"/>
  <c r="AV182" i="1"/>
  <c r="AU182" i="1"/>
  <c r="AS182" i="1"/>
  <c r="AR182" i="1"/>
  <c r="AQ182" i="1"/>
  <c r="AP182" i="1"/>
  <c r="AN182" i="1"/>
  <c r="AM182" i="1"/>
  <c r="AL182" i="1"/>
  <c r="AK182" i="1"/>
  <c r="AI182" i="1"/>
  <c r="AH182" i="1"/>
  <c r="AG182" i="1"/>
  <c r="AF182" i="1"/>
  <c r="AD182" i="1"/>
  <c r="AC182" i="1"/>
  <c r="AB182" i="1"/>
  <c r="AA182" i="1"/>
  <c r="Y182" i="1"/>
  <c r="X182" i="1"/>
  <c r="W182" i="1"/>
  <c r="V182" i="1"/>
  <c r="T182" i="1"/>
  <c r="S182" i="1"/>
  <c r="R182" i="1"/>
  <c r="Q182" i="1"/>
  <c r="O182" i="1"/>
  <c r="N182" i="1"/>
  <c r="M182" i="1"/>
  <c r="L182" i="1"/>
  <c r="J182" i="1"/>
  <c r="BS174" i="1"/>
  <c r="BN174" i="1"/>
  <c r="BH174" i="1"/>
  <c r="BG174" i="1"/>
  <c r="BF174" i="1"/>
  <c r="BE174" i="1"/>
  <c r="BB174" i="1"/>
  <c r="AZ174" i="1"/>
  <c r="AX174" i="1"/>
  <c r="AW174" i="1"/>
  <c r="AV174" i="1"/>
  <c r="AU174" i="1"/>
  <c r="AS174" i="1"/>
  <c r="AR174" i="1"/>
  <c r="AP174" i="1"/>
  <c r="AN174" i="1"/>
  <c r="AM174" i="1"/>
  <c r="AL174" i="1"/>
  <c r="AK174" i="1"/>
  <c r="AI174" i="1"/>
  <c r="AH174" i="1"/>
  <c r="AG174" i="1"/>
  <c r="AD174" i="1"/>
  <c r="AB174" i="1"/>
  <c r="AA174" i="1"/>
  <c r="Y174" i="1"/>
  <c r="X174" i="1"/>
  <c r="W174" i="1"/>
  <c r="V174" i="1"/>
  <c r="T174" i="1"/>
  <c r="S174" i="1"/>
  <c r="J174" i="1"/>
  <c r="I174" i="1"/>
  <c r="H174" i="1"/>
  <c r="G174" i="1"/>
  <c r="F174" i="1"/>
  <c r="BI173" i="1"/>
  <c r="BI172" i="1"/>
  <c r="BI171" i="1"/>
  <c r="BD173" i="1"/>
  <c r="BD171" i="1"/>
  <c r="AY173" i="1"/>
  <c r="AY172" i="1"/>
  <c r="AY171" i="1"/>
  <c r="AY174" i="1" s="1"/>
  <c r="AT173" i="1"/>
  <c r="AS173" i="1"/>
  <c r="AO173" i="1"/>
  <c r="AO172" i="1"/>
  <c r="AO174" i="1" s="1"/>
  <c r="AO171" i="1"/>
  <c r="AK173" i="1"/>
  <c r="AF173" i="1"/>
  <c r="AJ173" i="1" s="1"/>
  <c r="AD173" i="1"/>
  <c r="AC173" i="1"/>
  <c r="AE173" i="1" s="1"/>
  <c r="Z173" i="1"/>
  <c r="Z172" i="1"/>
  <c r="Z174" i="1" s="1"/>
  <c r="Z171" i="1"/>
  <c r="U172" i="1"/>
  <c r="U171" i="1"/>
  <c r="K173" i="1"/>
  <c r="AT172" i="1"/>
  <c r="AT171" i="1"/>
  <c r="AT174" i="1" s="1"/>
  <c r="AJ172" i="1"/>
  <c r="AJ171" i="1"/>
  <c r="AE172" i="1"/>
  <c r="AE171" i="1"/>
  <c r="P172" i="1"/>
  <c r="P171" i="1"/>
  <c r="K172" i="1"/>
  <c r="K171" i="1"/>
  <c r="BC167" i="1"/>
  <c r="BB167" i="1" s="1"/>
  <c r="BA167" i="1"/>
  <c r="AZ167" i="1"/>
  <c r="AX167" i="1"/>
  <c r="AW167" i="1" s="1"/>
  <c r="AV167" i="1"/>
  <c r="AU167" i="1"/>
  <c r="AS167" i="1"/>
  <c r="AR167" i="1" s="1"/>
  <c r="AQ167" i="1" s="1"/>
  <c r="AP167" i="1" s="1"/>
  <c r="AN167" i="1"/>
  <c r="AM167" i="1" s="1"/>
  <c r="AL167" i="1"/>
  <c r="AK167" i="1" s="1"/>
  <c r="AI167" i="1"/>
  <c r="AH167" i="1" s="1"/>
  <c r="AG167" i="1"/>
  <c r="AF167" i="1"/>
  <c r="AD167" i="1"/>
  <c r="AC167" i="1" s="1"/>
  <c r="AB167" i="1"/>
  <c r="AA167" i="1"/>
  <c r="Z167" i="1"/>
  <c r="BC164" i="1"/>
  <c r="AQ164" i="1"/>
  <c r="AM164" i="1"/>
  <c r="W164" i="1"/>
  <c r="BE163" i="1"/>
  <c r="BE164" i="1" s="1"/>
  <c r="BD163" i="1"/>
  <c r="BC165" i="1"/>
  <c r="BA164" i="1"/>
  <c r="AW165" i="1"/>
  <c r="AV164" i="1"/>
  <c r="AT163" i="1"/>
  <c r="AR164" i="1"/>
  <c r="AQ165" i="1"/>
  <c r="AN164" i="1"/>
  <c r="AM165" i="1"/>
  <c r="AJ163" i="1"/>
  <c r="AK164" i="1" s="1"/>
  <c r="AI164" i="1"/>
  <c r="AI165" i="1"/>
  <c r="AG165" i="1"/>
  <c r="AC164" i="1"/>
  <c r="AB164" i="1"/>
  <c r="X164" i="1"/>
  <c r="BE160" i="1"/>
  <c r="BE161" i="1" s="1"/>
  <c r="BC160" i="1"/>
  <c r="BB160" i="1"/>
  <c r="BA160" i="1"/>
  <c r="AX160" i="1"/>
  <c r="AX162" i="1" s="1"/>
  <c r="AW160" i="1"/>
  <c r="AW161" i="1" s="1"/>
  <c r="AV160" i="1"/>
  <c r="AS160" i="1"/>
  <c r="AR160" i="1"/>
  <c r="AR161" i="1" s="1"/>
  <c r="AQ160" i="1"/>
  <c r="AN160" i="1"/>
  <c r="AM160" i="1"/>
  <c r="AL160" i="1"/>
  <c r="AK160" i="1"/>
  <c r="AK161" i="1" s="1"/>
  <c r="AI160" i="1"/>
  <c r="AI161" i="1" s="1"/>
  <c r="AH160" i="1"/>
  <c r="AG160" i="1"/>
  <c r="AD160" i="1"/>
  <c r="AC160" i="1"/>
  <c r="AC161" i="1" s="1"/>
  <c r="AB160" i="1"/>
  <c r="Y160" i="1"/>
  <c r="X160" i="1"/>
  <c r="W160" i="1"/>
  <c r="AY158" i="1"/>
  <c r="AY157" i="1"/>
  <c r="AT158" i="1"/>
  <c r="AT157" i="1"/>
  <c r="AO158" i="1"/>
  <c r="AO157" i="1"/>
  <c r="AJ158" i="1"/>
  <c r="AJ157" i="1"/>
  <c r="AE158" i="1"/>
  <c r="AE157" i="1"/>
  <c r="Z158" i="1"/>
  <c r="BC157" i="1"/>
  <c r="BB157" i="1"/>
  <c r="BA157" i="1"/>
  <c r="AZ157" i="1"/>
  <c r="AX157" i="1"/>
  <c r="AW157" i="1"/>
  <c r="AV157" i="1"/>
  <c r="AU157" i="1"/>
  <c r="AS157" i="1"/>
  <c r="AR157" i="1"/>
  <c r="AQ157" i="1"/>
  <c r="AP157" i="1"/>
  <c r="AN157" i="1"/>
  <c r="AM157" i="1"/>
  <c r="AL157" i="1"/>
  <c r="AK157" i="1"/>
  <c r="AI157" i="1"/>
  <c r="AH157" i="1"/>
  <c r="AG157" i="1"/>
  <c r="AF157" i="1"/>
  <c r="AD157" i="1"/>
  <c r="AC157" i="1"/>
  <c r="AB157" i="1"/>
  <c r="AA157" i="1"/>
  <c r="Y157" i="1"/>
  <c r="X157" i="1"/>
  <c r="W157" i="1"/>
  <c r="U154" i="1"/>
  <c r="U155" i="1" s="1"/>
  <c r="P154" i="1"/>
  <c r="K154" i="1" s="1"/>
  <c r="F154" i="1" s="1"/>
  <c r="BF155" i="1"/>
  <c r="BG155" i="1" s="1"/>
  <c r="BH155" i="1" s="1"/>
  <c r="BD155" i="1"/>
  <c r="BD158" i="1" s="1"/>
  <c r="BE154" i="1"/>
  <c r="BE156" i="1" s="1"/>
  <c r="BE239" i="1" s="1"/>
  <c r="BD154" i="1"/>
  <c r="BD146" i="1"/>
  <c r="AY146" i="1"/>
  <c r="AY223" i="1" s="1"/>
  <c r="AT146" i="1"/>
  <c r="AO146" i="1"/>
  <c r="AO223" i="1" s="1"/>
  <c r="AJ146" i="1"/>
  <c r="AE146" i="1"/>
  <c r="AE223" i="1" s="1"/>
  <c r="Z146" i="1"/>
  <c r="W146" i="1"/>
  <c r="W223" i="1" s="1"/>
  <c r="U146" i="1"/>
  <c r="P146" i="1"/>
  <c r="K146" i="1"/>
  <c r="BS139" i="1"/>
  <c r="BN139" i="1"/>
  <c r="BB142" i="1"/>
  <c r="AQ142" i="1"/>
  <c r="AM142" i="1"/>
  <c r="AL142" i="1"/>
  <c r="AH142" i="1"/>
  <c r="W142" i="1"/>
  <c r="S142" i="1"/>
  <c r="R142" i="1"/>
  <c r="N142" i="1"/>
  <c r="BI141" i="1"/>
  <c r="BN141" i="1" s="1"/>
  <c r="BS141" i="1" s="1"/>
  <c r="BD141" i="1"/>
  <c r="BD140" i="1"/>
  <c r="BD138" i="1"/>
  <c r="BD194" i="1" s="1"/>
  <c r="AY141" i="1"/>
  <c r="AY140" i="1"/>
  <c r="AY138" i="1"/>
  <c r="AY194" i="1" s="1"/>
  <c r="AT141" i="1"/>
  <c r="AT140" i="1"/>
  <c r="AT138" i="1"/>
  <c r="AT194" i="1" s="1"/>
  <c r="AO141" i="1"/>
  <c r="AO140" i="1"/>
  <c r="AO138" i="1"/>
  <c r="AO194" i="1" s="1"/>
  <c r="AJ141" i="1"/>
  <c r="AJ140" i="1"/>
  <c r="AJ138" i="1"/>
  <c r="AJ194" i="1" s="1"/>
  <c r="AE141" i="1"/>
  <c r="AE140" i="1"/>
  <c r="AE138" i="1"/>
  <c r="AE194" i="1" s="1"/>
  <c r="Z141" i="1"/>
  <c r="Z140" i="1"/>
  <c r="Z138" i="1"/>
  <c r="Z194" i="1" s="1"/>
  <c r="U141" i="1"/>
  <c r="U140" i="1"/>
  <c r="U139" i="1"/>
  <c r="P141" i="1"/>
  <c r="P140" i="1"/>
  <c r="P138" i="1"/>
  <c r="P194" i="1" s="1"/>
  <c r="K141" i="1"/>
  <c r="K140" i="1"/>
  <c r="K138" i="1"/>
  <c r="K194" i="1" s="1"/>
  <c r="BE139" i="1"/>
  <c r="BE142" i="1" s="1"/>
  <c r="BC139" i="1"/>
  <c r="BC142" i="1" s="1"/>
  <c r="BB139" i="1"/>
  <c r="BA139" i="1"/>
  <c r="BA142" i="1" s="1"/>
  <c r="AZ139" i="1"/>
  <c r="AZ142" i="1" s="1"/>
  <c r="AX139" i="1"/>
  <c r="AX142" i="1" s="1"/>
  <c r="AW139" i="1"/>
  <c r="AW142" i="1" s="1"/>
  <c r="AV139" i="1"/>
  <c r="AV142" i="1" s="1"/>
  <c r="AU139" i="1"/>
  <c r="AU142" i="1" s="1"/>
  <c r="AS139" i="1"/>
  <c r="AS142" i="1" s="1"/>
  <c r="AR139" i="1"/>
  <c r="AR142" i="1" s="1"/>
  <c r="AQ139" i="1"/>
  <c r="AP139" i="1"/>
  <c r="AP142" i="1" s="1"/>
  <c r="AN139" i="1"/>
  <c r="AN142" i="1" s="1"/>
  <c r="AM139" i="1"/>
  <c r="AL139" i="1"/>
  <c r="AK139" i="1"/>
  <c r="AK142" i="1" s="1"/>
  <c r="AI139" i="1"/>
  <c r="AI142" i="1" s="1"/>
  <c r="AH139" i="1"/>
  <c r="AG139" i="1"/>
  <c r="AG142" i="1" s="1"/>
  <c r="AF139" i="1"/>
  <c r="AF142" i="1" s="1"/>
  <c r="AD139" i="1"/>
  <c r="AD142" i="1" s="1"/>
  <c r="AC139" i="1"/>
  <c r="AC142" i="1" s="1"/>
  <c r="AB139" i="1"/>
  <c r="AB142" i="1" s="1"/>
  <c r="AA139" i="1"/>
  <c r="AA142" i="1" s="1"/>
  <c r="Y139" i="1"/>
  <c r="Y142" i="1" s="1"/>
  <c r="X139" i="1"/>
  <c r="X142" i="1" s="1"/>
  <c r="W139" i="1"/>
  <c r="V139" i="1"/>
  <c r="V142" i="1" s="1"/>
  <c r="T139" i="1"/>
  <c r="T142" i="1" s="1"/>
  <c r="S139" i="1"/>
  <c r="R139" i="1"/>
  <c r="Q139" i="1"/>
  <c r="Q142" i="1" s="1"/>
  <c r="U142" i="1" s="1"/>
  <c r="O139" i="1"/>
  <c r="O142" i="1" s="1"/>
  <c r="N139" i="1"/>
  <c r="M139" i="1"/>
  <c r="M142" i="1" s="1"/>
  <c r="L139" i="1"/>
  <c r="L142" i="1" s="1"/>
  <c r="J139" i="1"/>
  <c r="J142" i="1" s="1"/>
  <c r="I139" i="1"/>
  <c r="I142" i="1" s="1"/>
  <c r="H139" i="1"/>
  <c r="H142" i="1" s="1"/>
  <c r="G139" i="1"/>
  <c r="G142" i="1" s="1"/>
  <c r="F139" i="1"/>
  <c r="F142" i="1" s="1"/>
  <c r="BF140" i="1"/>
  <c r="BG138" i="1"/>
  <c r="BG194" i="1" s="1"/>
  <c r="BF138" i="1"/>
  <c r="BF194" i="1" s="1"/>
  <c r="AT136" i="1"/>
  <c r="AT135" i="1"/>
  <c r="AT134" i="1"/>
  <c r="AT193" i="1" s="1"/>
  <c r="AO136" i="1"/>
  <c r="AO135" i="1"/>
  <c r="AO134" i="1"/>
  <c r="AO193" i="1" s="1"/>
  <c r="J136" i="1"/>
  <c r="I136" i="1"/>
  <c r="BD136" i="1"/>
  <c r="BC136" i="1"/>
  <c r="AZ136" i="1"/>
  <c r="AY136" i="1"/>
  <c r="BD135" i="1"/>
  <c r="BC135" i="1"/>
  <c r="BB135" i="1"/>
  <c r="BB136" i="1" s="1"/>
  <c r="BA135" i="1"/>
  <c r="BA136" i="1" s="1"/>
  <c r="AZ135" i="1"/>
  <c r="AY135" i="1"/>
  <c r="AX135" i="1"/>
  <c r="AW135" i="1"/>
  <c r="AV135" i="1"/>
  <c r="AU135" i="1"/>
  <c r="AS135" i="1"/>
  <c r="AR135" i="1"/>
  <c r="AQ135" i="1"/>
  <c r="AP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Y135" i="1"/>
  <c r="X135" i="1"/>
  <c r="W135" i="1"/>
  <c r="T135" i="1"/>
  <c r="S135" i="1"/>
  <c r="R135" i="1"/>
  <c r="O135" i="1"/>
  <c r="N135" i="1"/>
  <c r="M135" i="1"/>
  <c r="L135" i="1"/>
  <c r="K135" i="1"/>
  <c r="K136" i="1" s="1"/>
  <c r="J135" i="1"/>
  <c r="I135" i="1"/>
  <c r="H135" i="1"/>
  <c r="H136" i="1" s="1"/>
  <c r="G135" i="1"/>
  <c r="G136" i="1" s="1"/>
  <c r="BF134" i="1"/>
  <c r="BF193" i="1" s="1"/>
  <c r="BD134" i="1"/>
  <c r="BD193" i="1" s="1"/>
  <c r="AY134" i="1"/>
  <c r="AY193" i="1" s="1"/>
  <c r="AJ134" i="1"/>
  <c r="AJ193" i="1" s="1"/>
  <c r="AE134" i="1"/>
  <c r="AE193" i="1" s="1"/>
  <c r="Z134" i="1"/>
  <c r="Z193" i="1" s="1"/>
  <c r="K134" i="1"/>
  <c r="K193" i="1" s="1"/>
  <c r="F126" i="1"/>
  <c r="CE109" i="1"/>
  <c r="CD109" i="1"/>
  <c r="CG108" i="1"/>
  <c r="CF108" i="1"/>
  <c r="CF109" i="1" s="1"/>
  <c r="CD108" i="1"/>
  <c r="AZ111" i="1"/>
  <c r="BB109" i="1"/>
  <c r="AL109" i="1"/>
  <c r="BB106" i="1"/>
  <c r="AZ106" i="1"/>
  <c r="AZ119" i="1" s="1"/>
  <c r="AX106" i="1"/>
  <c r="AP106" i="1"/>
  <c r="AP109" i="1" s="1"/>
  <c r="AL106" i="1"/>
  <c r="AH106" i="1"/>
  <c r="AY105" i="1"/>
  <c r="AY104" i="1"/>
  <c r="AY103" i="1"/>
  <c r="AT105" i="1"/>
  <c r="AT97" i="1" s="1"/>
  <c r="AT104" i="1"/>
  <c r="AT103" i="1"/>
  <c r="AO105" i="1"/>
  <c r="AO104" i="1"/>
  <c r="AO103" i="1"/>
  <c r="AJ105" i="1"/>
  <c r="AJ104" i="1"/>
  <c r="AJ103" i="1"/>
  <c r="AJ97" i="1" s="1"/>
  <c r="AE105" i="1"/>
  <c r="AE104" i="1"/>
  <c r="AE103" i="1"/>
  <c r="Z105" i="1"/>
  <c r="Z97" i="1" s="1"/>
  <c r="Z104" i="1"/>
  <c r="Z103" i="1"/>
  <c r="V105" i="1"/>
  <c r="U105" i="1"/>
  <c r="P105" i="1"/>
  <c r="P104" i="1"/>
  <c r="P103" i="1"/>
  <c r="K105" i="1"/>
  <c r="K97" i="1" s="1"/>
  <c r="K104" i="1"/>
  <c r="K103" i="1"/>
  <c r="U104" i="1"/>
  <c r="U103" i="1"/>
  <c r="BD105" i="1"/>
  <c r="BD104" i="1"/>
  <c r="BD97" i="1" s="1"/>
  <c r="BD98" i="1" s="1"/>
  <c r="BD103" i="1"/>
  <c r="BE100" i="1"/>
  <c r="AZ100" i="1"/>
  <c r="BC99" i="1"/>
  <c r="AX99" i="1"/>
  <c r="AN99" i="1"/>
  <c r="AI99" i="1"/>
  <c r="Y99" i="1"/>
  <c r="T99" i="1"/>
  <c r="O99" i="1"/>
  <c r="AZ98" i="1"/>
  <c r="AV98" i="1"/>
  <c r="AR98" i="1"/>
  <c r="AN98" i="1"/>
  <c r="AJ98" i="1"/>
  <c r="AF98" i="1"/>
  <c r="AB98" i="1"/>
  <c r="X98" i="1"/>
  <c r="T98" i="1"/>
  <c r="L98" i="1"/>
  <c r="AY97" i="1"/>
  <c r="AY98" i="1" s="1"/>
  <c r="AX97" i="1"/>
  <c r="AW97" i="1"/>
  <c r="AV97" i="1"/>
  <c r="AV100" i="1" s="1"/>
  <c r="AU97" i="1"/>
  <c r="AU98" i="1" s="1"/>
  <c r="AS97" i="1"/>
  <c r="AR97" i="1"/>
  <c r="AR100" i="1" s="1"/>
  <c r="AQ97" i="1"/>
  <c r="AQ98" i="1" s="1"/>
  <c r="AP97" i="1"/>
  <c r="AO97" i="1"/>
  <c r="AN97" i="1"/>
  <c r="AN100" i="1" s="1"/>
  <c r="AM97" i="1"/>
  <c r="AM99" i="1" s="1"/>
  <c r="AL97" i="1"/>
  <c r="AK97" i="1"/>
  <c r="AI97" i="1"/>
  <c r="AI98" i="1" s="1"/>
  <c r="AH97" i="1"/>
  <c r="AH99" i="1" s="1"/>
  <c r="AG97" i="1"/>
  <c r="AF97" i="1"/>
  <c r="AF100" i="1" s="1"/>
  <c r="AE97" i="1"/>
  <c r="AE98" i="1" s="1"/>
  <c r="AD97" i="1"/>
  <c r="AC97" i="1"/>
  <c r="AB97" i="1"/>
  <c r="AB100" i="1" s="1"/>
  <c r="AA97" i="1"/>
  <c r="AA98" i="1" s="1"/>
  <c r="Y97" i="1"/>
  <c r="Y100" i="1" s="1"/>
  <c r="Y101" i="1" s="1"/>
  <c r="X97" i="1"/>
  <c r="X100" i="1" s="1"/>
  <c r="W97" i="1"/>
  <c r="W98" i="1" s="1"/>
  <c r="V97" i="1"/>
  <c r="U97" i="1"/>
  <c r="U100" i="1" s="1"/>
  <c r="T97" i="1"/>
  <c r="T100" i="1" s="1"/>
  <c r="S97" i="1"/>
  <c r="S99" i="1" s="1"/>
  <c r="R97" i="1"/>
  <c r="Q97" i="1"/>
  <c r="P97" i="1"/>
  <c r="O97" i="1"/>
  <c r="O98" i="1" s="1"/>
  <c r="N97" i="1"/>
  <c r="M97" i="1"/>
  <c r="L97" i="1"/>
  <c r="L100" i="1" s="1"/>
  <c r="J97" i="1"/>
  <c r="J100" i="1" s="1"/>
  <c r="I97" i="1"/>
  <c r="I100" i="1" s="1"/>
  <c r="H97" i="1"/>
  <c r="H100" i="1" s="1"/>
  <c r="G97" i="1"/>
  <c r="G100" i="1" s="1"/>
  <c r="F97" i="1"/>
  <c r="F100" i="1" s="1"/>
  <c r="CG96" i="1"/>
  <c r="CF96" i="1"/>
  <c r="CE96" i="1"/>
  <c r="CD96" i="1"/>
  <c r="BC97" i="1"/>
  <c r="BB97" i="1"/>
  <c r="BA97" i="1"/>
  <c r="BA100" i="1" s="1"/>
  <c r="BC95" i="1"/>
  <c r="BB95" i="1"/>
  <c r="BA95" i="1"/>
  <c r="AX95" i="1"/>
  <c r="AW95" i="1"/>
  <c r="AV95" i="1"/>
  <c r="AS95" i="1"/>
  <c r="AR95" i="1"/>
  <c r="AQ95" i="1"/>
  <c r="AN95" i="1"/>
  <c r="AM95" i="1"/>
  <c r="AL95" i="1"/>
  <c r="AI95" i="1"/>
  <c r="AH95" i="1"/>
  <c r="AG95" i="1"/>
  <c r="AD95" i="1"/>
  <c r="AC95" i="1"/>
  <c r="AB95" i="1"/>
  <c r="Y95" i="1"/>
  <c r="X95" i="1"/>
  <c r="W95" i="1"/>
  <c r="R95" i="1"/>
  <c r="Q95" i="1"/>
  <c r="M95" i="1"/>
  <c r="L95" i="1"/>
  <c r="BV94" i="1"/>
  <c r="BE94" i="1"/>
  <c r="BC94" i="1"/>
  <c r="BB94" i="1"/>
  <c r="BA94" i="1"/>
  <c r="AZ94" i="1"/>
  <c r="AX94" i="1"/>
  <c r="AW94" i="1"/>
  <c r="AV94" i="1"/>
  <c r="AU94" i="1"/>
  <c r="AS94" i="1"/>
  <c r="AR94" i="1"/>
  <c r="AQ94" i="1"/>
  <c r="AP94" i="1"/>
  <c r="AN94" i="1"/>
  <c r="BY94" i="1" s="1"/>
  <c r="AM94" i="1"/>
  <c r="BX94" i="1" s="1"/>
  <c r="AL94" i="1"/>
  <c r="BW94" i="1" s="1"/>
  <c r="AK94" i="1"/>
  <c r="AI94" i="1"/>
  <c r="AH94" i="1"/>
  <c r="AG94" i="1"/>
  <c r="AF94" i="1"/>
  <c r="AD94" i="1"/>
  <c r="AC94" i="1"/>
  <c r="AB94" i="1"/>
  <c r="AA94" i="1"/>
  <c r="Y94" i="1"/>
  <c r="X94" i="1"/>
  <c r="W94" i="1"/>
  <c r="V94" i="1"/>
  <c r="T94" i="1"/>
  <c r="S94" i="1"/>
  <c r="R94" i="1"/>
  <c r="Q94" i="1"/>
  <c r="O94" i="1"/>
  <c r="N94" i="1"/>
  <c r="M94" i="1"/>
  <c r="L94" i="1"/>
  <c r="J94" i="1"/>
  <c r="I94" i="1"/>
  <c r="H94" i="1"/>
  <c r="BC93" i="1"/>
  <c r="BB93" i="1"/>
  <c r="BA93" i="1"/>
  <c r="AZ93" i="1"/>
  <c r="AX93" i="1"/>
  <c r="AW93" i="1"/>
  <c r="AV93" i="1"/>
  <c r="AU93" i="1"/>
  <c r="AS93" i="1"/>
  <c r="AR93" i="1"/>
  <c r="AQ93" i="1"/>
  <c r="AP93" i="1"/>
  <c r="AN93" i="1"/>
  <c r="AM93" i="1"/>
  <c r="AL93" i="1"/>
  <c r="AK93" i="1"/>
  <c r="AI93" i="1"/>
  <c r="AH93" i="1"/>
  <c r="AG93" i="1"/>
  <c r="AF93" i="1"/>
  <c r="AD93" i="1"/>
  <c r="AC93" i="1"/>
  <c r="AB93" i="1"/>
  <c r="AA93" i="1"/>
  <c r="Y93" i="1"/>
  <c r="X93" i="1"/>
  <c r="W93" i="1"/>
  <c r="V93" i="1"/>
  <c r="T93" i="1"/>
  <c r="S93" i="1"/>
  <c r="R93" i="1"/>
  <c r="Q93" i="1"/>
  <c r="O93" i="1"/>
  <c r="N93" i="1"/>
  <c r="M93" i="1"/>
  <c r="L93" i="1"/>
  <c r="K93" i="1"/>
  <c r="BH92" i="1"/>
  <c r="BG92" i="1"/>
  <c r="BF92" i="1"/>
  <c r="BF94" i="1" s="1"/>
  <c r="BI92" i="1"/>
  <c r="S16" i="38" s="1"/>
  <c r="BD92" i="1"/>
  <c r="AY92" i="1"/>
  <c r="AY188" i="1" s="1"/>
  <c r="AT92" i="1"/>
  <c r="AT106" i="1" s="1"/>
  <c r="AO92" i="1"/>
  <c r="AJ92" i="1"/>
  <c r="AE92" i="1"/>
  <c r="AE188" i="1" s="1"/>
  <c r="Z92" i="1"/>
  <c r="U92" i="1"/>
  <c r="P92" i="1"/>
  <c r="K92" i="1"/>
  <c r="K188" i="1" s="1"/>
  <c r="BC91" i="1"/>
  <c r="J90" i="1"/>
  <c r="I90" i="1"/>
  <c r="H90" i="1"/>
  <c r="G90" i="1"/>
  <c r="F90" i="1"/>
  <c r="BE90" i="1"/>
  <c r="BC90" i="1"/>
  <c r="BH90" i="1" s="1"/>
  <c r="BB90" i="1"/>
  <c r="BB91" i="1" s="1"/>
  <c r="BA90" i="1"/>
  <c r="AZ90" i="1"/>
  <c r="BC88" i="1"/>
  <c r="BB88" i="1"/>
  <c r="BA88" i="1"/>
  <c r="AZ88" i="1"/>
  <c r="AX90" i="1"/>
  <c r="AX91" i="1" s="1"/>
  <c r="AW90" i="1"/>
  <c r="AV90" i="1"/>
  <c r="AV91" i="1" s="1"/>
  <c r="AU90" i="1"/>
  <c r="AU91" i="1" s="1"/>
  <c r="AX88" i="1"/>
  <c r="AW88" i="1"/>
  <c r="AV88" i="1"/>
  <c r="AU88" i="1"/>
  <c r="AS90" i="1"/>
  <c r="AS91" i="1" s="1"/>
  <c r="AR90" i="1"/>
  <c r="AR91" i="1" s="1"/>
  <c r="AQ90" i="1"/>
  <c r="AQ91" i="1" s="1"/>
  <c r="AP90" i="1"/>
  <c r="AP91" i="1" s="1"/>
  <c r="AS88" i="1"/>
  <c r="AR88" i="1"/>
  <c r="AQ88" i="1"/>
  <c r="AP88" i="1"/>
  <c r="AN90" i="1"/>
  <c r="AN91" i="1" s="1"/>
  <c r="AM90" i="1"/>
  <c r="AL90" i="1"/>
  <c r="AL91" i="1" s="1"/>
  <c r="AK90" i="1"/>
  <c r="AK91" i="1" s="1"/>
  <c r="AN88" i="1"/>
  <c r="BY88" i="1" s="1"/>
  <c r="AM88" i="1"/>
  <c r="BX88" i="1" s="1"/>
  <c r="AL88" i="1"/>
  <c r="BW88" i="1" s="1"/>
  <c r="AK88" i="1"/>
  <c r="BV88" i="1" s="1"/>
  <c r="AI90" i="1"/>
  <c r="AI91" i="1" s="1"/>
  <c r="AH90" i="1"/>
  <c r="AH91" i="1" s="1"/>
  <c r="AG90" i="1"/>
  <c r="AG91" i="1" s="1"/>
  <c r="AF90" i="1"/>
  <c r="AF91" i="1" s="1"/>
  <c r="AI88" i="1"/>
  <c r="AH88" i="1"/>
  <c r="AG88" i="1"/>
  <c r="AF88" i="1"/>
  <c r="AD90" i="1"/>
  <c r="AD91" i="1" s="1"/>
  <c r="AC90" i="1"/>
  <c r="AB90" i="1"/>
  <c r="AB91" i="1" s="1"/>
  <c r="AA90" i="1"/>
  <c r="AA91" i="1" s="1"/>
  <c r="AD88" i="1"/>
  <c r="AC88" i="1"/>
  <c r="AB88" i="1"/>
  <c r="AA88" i="1"/>
  <c r="Y90" i="1"/>
  <c r="Y91" i="1" s="1"/>
  <c r="X90" i="1"/>
  <c r="X91" i="1" s="1"/>
  <c r="W90" i="1"/>
  <c r="W91" i="1" s="1"/>
  <c r="V90" i="1"/>
  <c r="V91" i="1" s="1"/>
  <c r="Y88" i="1"/>
  <c r="X88" i="1"/>
  <c r="W88" i="1"/>
  <c r="V88" i="1"/>
  <c r="T90" i="1"/>
  <c r="T91" i="1" s="1"/>
  <c r="S90" i="1"/>
  <c r="R90" i="1"/>
  <c r="R91" i="1" s="1"/>
  <c r="Q90" i="1"/>
  <c r="Q91" i="1" s="1"/>
  <c r="T88" i="1"/>
  <c r="S88" i="1"/>
  <c r="R88" i="1"/>
  <c r="Q88" i="1"/>
  <c r="O90" i="1"/>
  <c r="O91" i="1" s="1"/>
  <c r="N90" i="1"/>
  <c r="N91" i="1" s="1"/>
  <c r="M90" i="1"/>
  <c r="M91" i="1" s="1"/>
  <c r="L90" i="1"/>
  <c r="L91" i="1" s="1"/>
  <c r="O88" i="1"/>
  <c r="N88" i="1"/>
  <c r="M88" i="1"/>
  <c r="L88" i="1"/>
  <c r="J88" i="1"/>
  <c r="I88" i="1"/>
  <c r="H88" i="1"/>
  <c r="BC87" i="1"/>
  <c r="BB87" i="1"/>
  <c r="BA87" i="1"/>
  <c r="AZ87" i="1"/>
  <c r="AX87" i="1"/>
  <c r="AW87" i="1"/>
  <c r="AV87" i="1"/>
  <c r="AU87" i="1"/>
  <c r="AS87" i="1"/>
  <c r="AR87" i="1"/>
  <c r="AQ87" i="1"/>
  <c r="AP87" i="1"/>
  <c r="AN87" i="1"/>
  <c r="AM87" i="1"/>
  <c r="AL87" i="1"/>
  <c r="AK87" i="1"/>
  <c r="AI87" i="1"/>
  <c r="AH87" i="1"/>
  <c r="AG87" i="1"/>
  <c r="AF87" i="1"/>
  <c r="AD87" i="1"/>
  <c r="AC87" i="1"/>
  <c r="AB87" i="1"/>
  <c r="AA87" i="1"/>
  <c r="Z87" i="1"/>
  <c r="Y87" i="1"/>
  <c r="X87" i="1"/>
  <c r="W87" i="1"/>
  <c r="V87" i="1"/>
  <c r="T87" i="1"/>
  <c r="S87" i="1"/>
  <c r="R87" i="1"/>
  <c r="Q87" i="1"/>
  <c r="O87" i="1"/>
  <c r="N87" i="1"/>
  <c r="M87" i="1"/>
  <c r="L87" i="1"/>
  <c r="BD86" i="1"/>
  <c r="AY86" i="1"/>
  <c r="AT86" i="1"/>
  <c r="AO86" i="1"/>
  <c r="AJ86" i="1"/>
  <c r="AE86" i="1"/>
  <c r="Z86" i="1"/>
  <c r="U86" i="1"/>
  <c r="P86" i="1"/>
  <c r="K86" i="1"/>
  <c r="BX83" i="1"/>
  <c r="BC83" i="1"/>
  <c r="BB83" i="1"/>
  <c r="BA83" i="1"/>
  <c r="AZ83" i="1"/>
  <c r="AX83" i="1"/>
  <c r="AW83" i="1"/>
  <c r="AV83" i="1"/>
  <c r="AU83" i="1"/>
  <c r="AS83" i="1"/>
  <c r="AR83" i="1"/>
  <c r="AQ83" i="1"/>
  <c r="AP83" i="1"/>
  <c r="AN83" i="1"/>
  <c r="BY83" i="1" s="1"/>
  <c r="AM83" i="1"/>
  <c r="AL83" i="1"/>
  <c r="BW83" i="1" s="1"/>
  <c r="AK83" i="1"/>
  <c r="BV83" i="1" s="1"/>
  <c r="AI83" i="1"/>
  <c r="AH83" i="1"/>
  <c r="AG83" i="1"/>
  <c r="AF83" i="1"/>
  <c r="AD83" i="1"/>
  <c r="AC83" i="1"/>
  <c r="AB83" i="1"/>
  <c r="AA83" i="1"/>
  <c r="Y83" i="1"/>
  <c r="X83" i="1"/>
  <c r="W83" i="1"/>
  <c r="V83" i="1"/>
  <c r="T83" i="1"/>
  <c r="S83" i="1"/>
  <c r="R83" i="1"/>
  <c r="Q83" i="1"/>
  <c r="O83" i="1"/>
  <c r="N83" i="1"/>
  <c r="M83" i="1"/>
  <c r="L83" i="1"/>
  <c r="J83" i="1"/>
  <c r="I83" i="1"/>
  <c r="H83" i="1"/>
  <c r="BD82" i="1"/>
  <c r="BC82" i="1"/>
  <c r="BB82" i="1"/>
  <c r="BA82" i="1"/>
  <c r="AZ82" i="1"/>
  <c r="AX82" i="1"/>
  <c r="AW82" i="1"/>
  <c r="AV82" i="1"/>
  <c r="AU82" i="1"/>
  <c r="AS82" i="1"/>
  <c r="AR82" i="1"/>
  <c r="AQ82" i="1"/>
  <c r="AP82" i="1"/>
  <c r="AN82" i="1"/>
  <c r="AM82" i="1"/>
  <c r="AL82" i="1"/>
  <c r="AK82" i="1"/>
  <c r="AJ82" i="1"/>
  <c r="AI82" i="1"/>
  <c r="AH82" i="1"/>
  <c r="AG82" i="1"/>
  <c r="AF82" i="1"/>
  <c r="AD82" i="1"/>
  <c r="AC82" i="1"/>
  <c r="AB82" i="1"/>
  <c r="AA82" i="1"/>
  <c r="Y82" i="1"/>
  <c r="X82" i="1"/>
  <c r="W82" i="1"/>
  <c r="V82" i="1"/>
  <c r="T82" i="1"/>
  <c r="S82" i="1"/>
  <c r="R82" i="1"/>
  <c r="Q82" i="1"/>
  <c r="P82" i="1"/>
  <c r="O82" i="1"/>
  <c r="N82" i="1"/>
  <c r="M82" i="1"/>
  <c r="L82" i="1"/>
  <c r="AY81" i="1"/>
  <c r="AY73" i="1"/>
  <c r="AY74" i="1" s="1"/>
  <c r="AT81" i="1"/>
  <c r="AT73" i="1"/>
  <c r="AO81" i="1"/>
  <c r="AO73" i="1"/>
  <c r="AJ81" i="1"/>
  <c r="AJ74" i="1"/>
  <c r="AJ73" i="1"/>
  <c r="AE81" i="1"/>
  <c r="AE73" i="1"/>
  <c r="Z81" i="1"/>
  <c r="U81" i="1"/>
  <c r="P81" i="1"/>
  <c r="P186" i="1" s="1"/>
  <c r="P73" i="1"/>
  <c r="K81" i="1"/>
  <c r="K186" i="1" s="1"/>
  <c r="BD81" i="1"/>
  <c r="BC80" i="1"/>
  <c r="BC114" i="1" s="1"/>
  <c r="BB80" i="1"/>
  <c r="BB114" i="1" s="1"/>
  <c r="BA80" i="1"/>
  <c r="BA114" i="1" s="1"/>
  <c r="AZ80" i="1"/>
  <c r="AZ114" i="1" s="1"/>
  <c r="BC79" i="1"/>
  <c r="BC78" i="1"/>
  <c r="BB78" i="1"/>
  <c r="BA78" i="1"/>
  <c r="AZ78" i="1"/>
  <c r="BC77" i="1"/>
  <c r="J76" i="1"/>
  <c r="I76" i="1"/>
  <c r="H76" i="1"/>
  <c r="G76" i="1"/>
  <c r="F76" i="1"/>
  <c r="J75" i="1"/>
  <c r="I75" i="1"/>
  <c r="H75" i="1"/>
  <c r="G75" i="1"/>
  <c r="BH76" i="1"/>
  <c r="BF76" i="1"/>
  <c r="BC76" i="1"/>
  <c r="BB76" i="1"/>
  <c r="BB77" i="1" s="1"/>
  <c r="BA76" i="1"/>
  <c r="AZ76" i="1"/>
  <c r="BC75" i="1"/>
  <c r="BB75" i="1"/>
  <c r="BA75" i="1"/>
  <c r="AZ75" i="1"/>
  <c r="BC74" i="1"/>
  <c r="BB74" i="1"/>
  <c r="BA74" i="1"/>
  <c r="AZ74" i="1"/>
  <c r="AX80" i="1"/>
  <c r="AX114" i="1" s="1"/>
  <c r="AW80" i="1"/>
  <c r="AW114" i="1" s="1"/>
  <c r="AV80" i="1"/>
  <c r="AV114" i="1" s="1"/>
  <c r="AU80" i="1"/>
  <c r="AU114" i="1" s="1"/>
  <c r="AX78" i="1"/>
  <c r="AX79" i="1" s="1"/>
  <c r="AW78" i="1"/>
  <c r="AW79" i="1" s="1"/>
  <c r="AV78" i="1"/>
  <c r="AV79" i="1" s="1"/>
  <c r="AU78" i="1"/>
  <c r="AU79" i="1" s="1"/>
  <c r="AX76" i="1"/>
  <c r="AX77" i="1" s="1"/>
  <c r="AW76" i="1"/>
  <c r="AW77" i="1" s="1"/>
  <c r="AV76" i="1"/>
  <c r="BA77" i="1" s="1"/>
  <c r="AU76" i="1"/>
  <c r="AU77" i="1" s="1"/>
  <c r="AX75" i="1"/>
  <c r="AW75" i="1"/>
  <c r="AV75" i="1"/>
  <c r="AU75" i="1"/>
  <c r="AX74" i="1"/>
  <c r="AW74" i="1"/>
  <c r="AV74" i="1"/>
  <c r="AU74" i="1"/>
  <c r="AS80" i="1"/>
  <c r="AS114" i="1" s="1"/>
  <c r="AR80" i="1"/>
  <c r="AR114" i="1" s="1"/>
  <c r="AQ80" i="1"/>
  <c r="AQ114" i="1" s="1"/>
  <c r="AP80" i="1"/>
  <c r="AP114" i="1" s="1"/>
  <c r="AS78" i="1"/>
  <c r="AS79" i="1" s="1"/>
  <c r="AR78" i="1"/>
  <c r="AR79" i="1" s="1"/>
  <c r="AQ78" i="1"/>
  <c r="AQ79" i="1" s="1"/>
  <c r="AP78" i="1"/>
  <c r="AP79" i="1" s="1"/>
  <c r="AS76" i="1"/>
  <c r="AS77" i="1" s="1"/>
  <c r="AR76" i="1"/>
  <c r="AR77" i="1" s="1"/>
  <c r="AQ76" i="1"/>
  <c r="AQ77" i="1" s="1"/>
  <c r="AP76" i="1"/>
  <c r="AP77" i="1" s="1"/>
  <c r="AS75" i="1"/>
  <c r="AR75" i="1"/>
  <c r="AQ75" i="1"/>
  <c r="AP75" i="1"/>
  <c r="AS74" i="1"/>
  <c r="AR74" i="1"/>
  <c r="AQ74" i="1"/>
  <c r="AP74" i="1"/>
  <c r="AN80" i="1"/>
  <c r="AN114" i="1" s="1"/>
  <c r="AM80" i="1"/>
  <c r="AM114" i="1" s="1"/>
  <c r="AL80" i="1"/>
  <c r="AL114" i="1" s="1"/>
  <c r="AK80" i="1"/>
  <c r="AK114" i="1" s="1"/>
  <c r="AN78" i="1"/>
  <c r="AN79" i="1" s="1"/>
  <c r="AM78" i="1"/>
  <c r="AM79" i="1" s="1"/>
  <c r="AL78" i="1"/>
  <c r="AL79" i="1" s="1"/>
  <c r="AK78" i="1"/>
  <c r="AN76" i="1"/>
  <c r="AN77" i="1" s="1"/>
  <c r="AM76" i="1"/>
  <c r="AM77" i="1" s="1"/>
  <c r="AL76" i="1"/>
  <c r="AL77" i="1" s="1"/>
  <c r="AK76" i="1"/>
  <c r="AK77" i="1" s="1"/>
  <c r="AN75" i="1"/>
  <c r="AM75" i="1"/>
  <c r="AL75" i="1"/>
  <c r="AK75" i="1"/>
  <c r="AN74" i="1"/>
  <c r="AM74" i="1"/>
  <c r="AL74" i="1"/>
  <c r="AK74" i="1"/>
  <c r="AI80" i="1"/>
  <c r="AI114" i="1" s="1"/>
  <c r="AH80" i="1"/>
  <c r="AH114" i="1" s="1"/>
  <c r="AG80" i="1"/>
  <c r="AG114" i="1" s="1"/>
  <c r="AI78" i="1"/>
  <c r="AH78" i="1"/>
  <c r="AH79" i="1" s="1"/>
  <c r="AG78" i="1"/>
  <c r="AI76" i="1"/>
  <c r="AI77" i="1" s="1"/>
  <c r="AH76" i="1"/>
  <c r="AH77" i="1" s="1"/>
  <c r="AG76" i="1"/>
  <c r="AG77" i="1" s="1"/>
  <c r="AF76" i="1"/>
  <c r="AF77" i="1" s="1"/>
  <c r="AI75" i="1"/>
  <c r="AH75" i="1"/>
  <c r="AG75" i="1"/>
  <c r="AF75" i="1"/>
  <c r="AI74" i="1"/>
  <c r="AH74" i="1"/>
  <c r="AG74" i="1"/>
  <c r="AF74" i="1"/>
  <c r="AC80" i="1"/>
  <c r="AC114" i="1" s="1"/>
  <c r="AC78" i="1"/>
  <c r="AC79" i="1" s="1"/>
  <c r="AD76" i="1"/>
  <c r="AD77" i="1" s="1"/>
  <c r="AC76" i="1"/>
  <c r="AB76" i="1"/>
  <c r="AB77" i="1" s="1"/>
  <c r="AA76" i="1"/>
  <c r="AA77" i="1" s="1"/>
  <c r="AD75" i="1"/>
  <c r="AC75" i="1"/>
  <c r="AB75" i="1"/>
  <c r="AA75" i="1"/>
  <c r="AD74" i="1"/>
  <c r="AB74" i="1"/>
  <c r="AA74" i="1"/>
  <c r="Y80" i="1"/>
  <c r="Y114" i="1" s="1"/>
  <c r="X80" i="1"/>
  <c r="X114" i="1" s="1"/>
  <c r="Y78" i="1"/>
  <c r="X78" i="1"/>
  <c r="Y76" i="1"/>
  <c r="Y77" i="1" s="1"/>
  <c r="W76" i="1"/>
  <c r="V76" i="1"/>
  <c r="Y75" i="1"/>
  <c r="W75" i="1"/>
  <c r="V75" i="1"/>
  <c r="Y74" i="1"/>
  <c r="T76" i="1"/>
  <c r="T77" i="1" s="1"/>
  <c r="T75" i="1"/>
  <c r="T74" i="1"/>
  <c r="O76" i="1"/>
  <c r="O77" i="1" s="1"/>
  <c r="N76" i="1"/>
  <c r="N77" i="1" s="1"/>
  <c r="M76" i="1"/>
  <c r="M77" i="1" s="1"/>
  <c r="L76" i="1"/>
  <c r="L77" i="1" s="1"/>
  <c r="O75" i="1"/>
  <c r="N75" i="1"/>
  <c r="M75" i="1"/>
  <c r="L75" i="1"/>
  <c r="O74" i="1"/>
  <c r="N74" i="1"/>
  <c r="M74" i="1"/>
  <c r="L74" i="1"/>
  <c r="K73" i="1"/>
  <c r="P74" i="1" s="1"/>
  <c r="BD73" i="1"/>
  <c r="BD76" i="1" s="1"/>
  <c r="X73" i="1"/>
  <c r="Z73" i="1" s="1"/>
  <c r="BS69" i="1"/>
  <c r="BN69" i="1"/>
  <c r="BH69" i="1"/>
  <c r="BG69" i="1"/>
  <c r="BF69" i="1"/>
  <c r="BS59" i="1"/>
  <c r="BS60" i="1" s="1"/>
  <c r="BN59" i="1"/>
  <c r="X60" i="1"/>
  <c r="BC59" i="1"/>
  <c r="BC60" i="1" s="1"/>
  <c r="BB59" i="1"/>
  <c r="BA59" i="1"/>
  <c r="BA60" i="1" s="1"/>
  <c r="AZ59" i="1"/>
  <c r="BE60" i="1" s="1"/>
  <c r="AX59" i="1"/>
  <c r="AW59" i="1"/>
  <c r="AW60" i="1" s="1"/>
  <c r="AV59" i="1"/>
  <c r="AU59" i="1"/>
  <c r="AZ60" i="1" s="1"/>
  <c r="AS59" i="1"/>
  <c r="AS60" i="1" s="1"/>
  <c r="AR59" i="1"/>
  <c r="AQ59" i="1"/>
  <c r="AV60" i="1" s="1"/>
  <c r="AP59" i="1"/>
  <c r="AO59" i="1"/>
  <c r="AN59" i="1"/>
  <c r="AM59" i="1"/>
  <c r="AR60" i="1" s="1"/>
  <c r="AL59" i="1"/>
  <c r="AK59" i="1"/>
  <c r="AI59" i="1"/>
  <c r="AN60" i="1" s="1"/>
  <c r="AH59" i="1"/>
  <c r="AG59" i="1"/>
  <c r="AC59" i="1"/>
  <c r="AC60" i="1" s="1"/>
  <c r="Y59" i="1"/>
  <c r="O59" i="1"/>
  <c r="G59" i="1"/>
  <c r="BC58" i="1"/>
  <c r="BB58" i="1"/>
  <c r="BA58" i="1"/>
  <c r="AZ58" i="1"/>
  <c r="AX58" i="1"/>
  <c r="AW58" i="1"/>
  <c r="AV58" i="1"/>
  <c r="AU58" i="1"/>
  <c r="AS58" i="1"/>
  <c r="AR58" i="1"/>
  <c r="AQ58" i="1"/>
  <c r="AP58" i="1"/>
  <c r="AN58" i="1"/>
  <c r="AM58" i="1"/>
  <c r="AL58" i="1"/>
  <c r="AH58" i="1"/>
  <c r="AD58" i="1"/>
  <c r="AC58" i="1"/>
  <c r="X58" i="1"/>
  <c r="CB57" i="1"/>
  <c r="BH59" i="1"/>
  <c r="BH60" i="1" s="1"/>
  <c r="BG59" i="1"/>
  <c r="BG60" i="1" s="1"/>
  <c r="BF59" i="1"/>
  <c r="BF60" i="1" s="1"/>
  <c r="BD57" i="1"/>
  <c r="BD59" i="1" s="1"/>
  <c r="AY57" i="1"/>
  <c r="AY59" i="1" s="1"/>
  <c r="AY53" i="1"/>
  <c r="AY55" i="1" s="1"/>
  <c r="AT57" i="1"/>
  <c r="AT53" i="1"/>
  <c r="AY54" i="1" s="1"/>
  <c r="AO57" i="1"/>
  <c r="AO54" i="1"/>
  <c r="AO53" i="1"/>
  <c r="AJ57" i="1"/>
  <c r="AJ59" i="1" s="1"/>
  <c r="AJ53" i="1"/>
  <c r="AJ54" i="1" s="1"/>
  <c r="AF57" i="1"/>
  <c r="AF80" i="1" s="1"/>
  <c r="AF114" i="1" s="1"/>
  <c r="AE57" i="1"/>
  <c r="AD57" i="1"/>
  <c r="AI58" i="1" s="1"/>
  <c r="AB57" i="1"/>
  <c r="AB80" i="1" s="1"/>
  <c r="AB114" i="1" s="1"/>
  <c r="AA57" i="1"/>
  <c r="AA184" i="1" s="1"/>
  <c r="Z57" i="1"/>
  <c r="W57" i="1"/>
  <c r="W80" i="1" s="1"/>
  <c r="W114" i="1" s="1"/>
  <c r="V57" i="1"/>
  <c r="V80" i="1" s="1"/>
  <c r="V114" i="1" s="1"/>
  <c r="T57" i="1"/>
  <c r="S57" i="1"/>
  <c r="S80" i="1" s="1"/>
  <c r="S114" i="1" s="1"/>
  <c r="R57" i="1"/>
  <c r="R106" i="1" s="1"/>
  <c r="Q57" i="1"/>
  <c r="Q80" i="1" s="1"/>
  <c r="Q114" i="1" s="1"/>
  <c r="O57" i="1"/>
  <c r="O58" i="1" s="1"/>
  <c r="N57" i="1"/>
  <c r="N106" i="1" s="1"/>
  <c r="M57" i="1"/>
  <c r="L57" i="1"/>
  <c r="J57" i="1"/>
  <c r="J80" i="1" s="1"/>
  <c r="J114" i="1" s="1"/>
  <c r="I57" i="1"/>
  <c r="H57" i="1"/>
  <c r="G57" i="1"/>
  <c r="G80" i="1" s="1"/>
  <c r="G114" i="1" s="1"/>
  <c r="F57" i="1"/>
  <c r="CB56" i="1"/>
  <c r="CD57" i="1" s="1"/>
  <c r="CD55" i="1"/>
  <c r="CC55" i="1"/>
  <c r="CC57" i="1" s="1"/>
  <c r="J55" i="1"/>
  <c r="I55" i="1"/>
  <c r="H55" i="1"/>
  <c r="G55" i="1"/>
  <c r="CF54" i="1"/>
  <c r="CF57" i="1" s="1"/>
  <c r="CF65" i="1" s="1"/>
  <c r="CE54" i="1"/>
  <c r="CE57" i="1" s="1"/>
  <c r="CE65" i="1" s="1"/>
  <c r="BH55" i="1"/>
  <c r="BF55" i="1"/>
  <c r="BC55" i="1"/>
  <c r="BC56" i="1" s="1"/>
  <c r="BB55" i="1"/>
  <c r="BG55" i="1" s="1"/>
  <c r="BG53" i="1" s="1"/>
  <c r="BG54" i="1" s="1"/>
  <c r="BA55" i="1"/>
  <c r="BA56" i="1" s="1"/>
  <c r="AZ55" i="1"/>
  <c r="BE55" i="1" s="1"/>
  <c r="BC54" i="1"/>
  <c r="BB54" i="1"/>
  <c r="BA54" i="1"/>
  <c r="AZ54" i="1"/>
  <c r="AX55" i="1"/>
  <c r="AX56" i="1" s="1"/>
  <c r="AW55" i="1"/>
  <c r="AW56" i="1" s="1"/>
  <c r="AV55" i="1"/>
  <c r="AV56" i="1" s="1"/>
  <c r="AU55" i="1"/>
  <c r="AU56" i="1" s="1"/>
  <c r="AX54" i="1"/>
  <c r="AW54" i="1"/>
  <c r="AV54" i="1"/>
  <c r="AU54" i="1"/>
  <c r="AS55" i="1"/>
  <c r="AS56" i="1" s="1"/>
  <c r="AR55" i="1"/>
  <c r="AR56" i="1" s="1"/>
  <c r="AQ55" i="1"/>
  <c r="AQ56" i="1" s="1"/>
  <c r="AP55" i="1"/>
  <c r="AP56" i="1" s="1"/>
  <c r="AS54" i="1"/>
  <c r="AR54" i="1"/>
  <c r="AQ54" i="1"/>
  <c r="AP54" i="1"/>
  <c r="AN55" i="1"/>
  <c r="AN56" i="1" s="1"/>
  <c r="AM55" i="1"/>
  <c r="AM56" i="1" s="1"/>
  <c r="AL55" i="1"/>
  <c r="AL56" i="1" s="1"/>
  <c r="AK55" i="1"/>
  <c r="AK56" i="1" s="1"/>
  <c r="AN54" i="1"/>
  <c r="AM54" i="1"/>
  <c r="AL54" i="1"/>
  <c r="AK54" i="1"/>
  <c r="AI55" i="1"/>
  <c r="AI56" i="1" s="1"/>
  <c r="AH55" i="1"/>
  <c r="AH56" i="1" s="1"/>
  <c r="AG55" i="1"/>
  <c r="AG56" i="1" s="1"/>
  <c r="AF55" i="1"/>
  <c r="AF56" i="1" s="1"/>
  <c r="AD55" i="1"/>
  <c r="AD56" i="1" s="1"/>
  <c r="AC55" i="1"/>
  <c r="AC56" i="1" s="1"/>
  <c r="AB55" i="1"/>
  <c r="AB56" i="1" s="1"/>
  <c r="AA55" i="1"/>
  <c r="AA56" i="1" s="1"/>
  <c r="Y55" i="1"/>
  <c r="Y56" i="1" s="1"/>
  <c r="X55" i="1"/>
  <c r="X56" i="1" s="1"/>
  <c r="W55" i="1"/>
  <c r="W56" i="1" s="1"/>
  <c r="V55" i="1"/>
  <c r="V56" i="1" s="1"/>
  <c r="T55" i="1"/>
  <c r="T56" i="1" s="1"/>
  <c r="S55" i="1"/>
  <c r="S56" i="1" s="1"/>
  <c r="R55" i="1"/>
  <c r="R56" i="1" s="1"/>
  <c r="Q55" i="1"/>
  <c r="Q56" i="1" s="1"/>
  <c r="O55" i="1"/>
  <c r="O56" i="1" s="1"/>
  <c r="N55" i="1"/>
  <c r="N56" i="1" s="1"/>
  <c r="M55" i="1"/>
  <c r="M56" i="1" s="1"/>
  <c r="L55" i="1"/>
  <c r="L56" i="1" s="1"/>
  <c r="AI54" i="1"/>
  <c r="AH54" i="1"/>
  <c r="AG54" i="1"/>
  <c r="AF54" i="1"/>
  <c r="AD54" i="1"/>
  <c r="AC54" i="1"/>
  <c r="AB54" i="1"/>
  <c r="AA54" i="1"/>
  <c r="Y54" i="1"/>
  <c r="X54" i="1"/>
  <c r="W54" i="1"/>
  <c r="V54" i="1"/>
  <c r="T54" i="1"/>
  <c r="S54" i="1"/>
  <c r="R54" i="1"/>
  <c r="Q54" i="1"/>
  <c r="O54" i="1"/>
  <c r="N54" i="1"/>
  <c r="M54" i="1"/>
  <c r="L54" i="1"/>
  <c r="K54" i="1"/>
  <c r="K53" i="1"/>
  <c r="K55" i="1" s="1"/>
  <c r="BD53" i="1"/>
  <c r="BD54" i="1" s="1"/>
  <c r="AE53" i="1"/>
  <c r="Z53" i="1"/>
  <c r="AE54" i="1" s="1"/>
  <c r="U53" i="1"/>
  <c r="P53" i="1"/>
  <c r="P55" i="1" s="1"/>
  <c r="P56" i="1" s="1"/>
  <c r="F53" i="1"/>
  <c r="BA45" i="1"/>
  <c r="AW45" i="1"/>
  <c r="AS45" i="1"/>
  <c r="AK45" i="1"/>
  <c r="AG45" i="1"/>
  <c r="AC45" i="1"/>
  <c r="Y45" i="1"/>
  <c r="Q45" i="1"/>
  <c r="M45" i="1"/>
  <c r="M44" i="1"/>
  <c r="BC43" i="1"/>
  <c r="BC117" i="1" s="1"/>
  <c r="BB43" i="1"/>
  <c r="BB117" i="1" s="1"/>
  <c r="BA43" i="1"/>
  <c r="BA117" i="1" s="1"/>
  <c r="AZ43" i="1"/>
  <c r="AZ117" i="1" s="1"/>
  <c r="AX43" i="1"/>
  <c r="AX117" i="1" s="1"/>
  <c r="AW43" i="1"/>
  <c r="AW117" i="1" s="1"/>
  <c r="AV43" i="1"/>
  <c r="AV117" i="1" s="1"/>
  <c r="AU43" i="1"/>
  <c r="AU117" i="1" s="1"/>
  <c r="AS43" i="1"/>
  <c r="AS117" i="1" s="1"/>
  <c r="AR43" i="1"/>
  <c r="AR117" i="1" s="1"/>
  <c r="AQ43" i="1"/>
  <c r="AQ117" i="1" s="1"/>
  <c r="AP43" i="1"/>
  <c r="AP117" i="1" s="1"/>
  <c r="AN43" i="1"/>
  <c r="AN117" i="1" s="1"/>
  <c r="AM43" i="1"/>
  <c r="AM117" i="1" s="1"/>
  <c r="AL43" i="1"/>
  <c r="AL117" i="1" s="1"/>
  <c r="AK43" i="1"/>
  <c r="AK117" i="1" s="1"/>
  <c r="AI43" i="1"/>
  <c r="AI117" i="1" s="1"/>
  <c r="AH43" i="1"/>
  <c r="AH117" i="1" s="1"/>
  <c r="AG43" i="1"/>
  <c r="AG117" i="1" s="1"/>
  <c r="AF43" i="1"/>
  <c r="AF117" i="1" s="1"/>
  <c r="AD43" i="1"/>
  <c r="AD117" i="1" s="1"/>
  <c r="AC43" i="1"/>
  <c r="AC117" i="1" s="1"/>
  <c r="AB43" i="1"/>
  <c r="AB117" i="1" s="1"/>
  <c r="AA43" i="1"/>
  <c r="AA117" i="1" s="1"/>
  <c r="Y43" i="1"/>
  <c r="Y117" i="1" s="1"/>
  <c r="X43" i="1"/>
  <c r="X117" i="1" s="1"/>
  <c r="W43" i="1"/>
  <c r="W117" i="1" s="1"/>
  <c r="V43" i="1"/>
  <c r="V117" i="1" s="1"/>
  <c r="T43" i="1"/>
  <c r="T117" i="1" s="1"/>
  <c r="S43" i="1"/>
  <c r="S117" i="1" s="1"/>
  <c r="R43" i="1"/>
  <c r="R117" i="1" s="1"/>
  <c r="Q43" i="1"/>
  <c r="Q117" i="1" s="1"/>
  <c r="O43" i="1"/>
  <c r="O117" i="1" s="1"/>
  <c r="N43" i="1"/>
  <c r="N117" i="1" s="1"/>
  <c r="M43" i="1"/>
  <c r="M117" i="1" s="1"/>
  <c r="L43" i="1"/>
  <c r="L117" i="1" s="1"/>
  <c r="BC42" i="1"/>
  <c r="BB42" i="1"/>
  <c r="BA42" i="1"/>
  <c r="AX42" i="1"/>
  <c r="AW42" i="1"/>
  <c r="AU42" i="1"/>
  <c r="AS42" i="1"/>
  <c r="AQ42" i="1"/>
  <c r="AP42" i="1"/>
  <c r="AM42" i="1"/>
  <c r="AL42" i="1"/>
  <c r="AK42" i="1"/>
  <c r="AI42" i="1"/>
  <c r="AH42" i="1"/>
  <c r="AG42" i="1"/>
  <c r="AD42" i="1"/>
  <c r="AC42" i="1"/>
  <c r="AA42" i="1"/>
  <c r="Y42" i="1"/>
  <c r="W42" i="1"/>
  <c r="V42" i="1"/>
  <c r="S42" i="1"/>
  <c r="R42" i="1"/>
  <c r="Q42" i="1"/>
  <c r="N42" i="1"/>
  <c r="M42" i="1"/>
  <c r="J43" i="1"/>
  <c r="J117" i="1" s="1"/>
  <c r="I43" i="1"/>
  <c r="I117" i="1" s="1"/>
  <c r="H43" i="1"/>
  <c r="H117" i="1" s="1"/>
  <c r="G43" i="1"/>
  <c r="G117" i="1" s="1"/>
  <c r="F43" i="1"/>
  <c r="F117" i="1" s="1"/>
  <c r="J42" i="1"/>
  <c r="H42" i="1"/>
  <c r="G42" i="1"/>
  <c r="F42" i="1"/>
  <c r="BF39" i="1"/>
  <c r="BF49" i="1" s="1"/>
  <c r="BC39" i="1"/>
  <c r="BC41" i="1" s="1"/>
  <c r="BB39" i="1"/>
  <c r="BB49" i="1" s="1"/>
  <c r="BA39" i="1"/>
  <c r="BA49" i="1" s="1"/>
  <c r="AZ39" i="1"/>
  <c r="BE39" i="1" s="1"/>
  <c r="AX39" i="1"/>
  <c r="AX49" i="1" s="1"/>
  <c r="AW39" i="1"/>
  <c r="AW49" i="1" s="1"/>
  <c r="AV39" i="1"/>
  <c r="AW41" i="1" s="1"/>
  <c r="AU39" i="1"/>
  <c r="AZ40" i="1" s="1"/>
  <c r="AS39" i="1"/>
  <c r="AS41" i="1" s="1"/>
  <c r="AR39" i="1"/>
  <c r="AR41" i="1" s="1"/>
  <c r="AQ39" i="1"/>
  <c r="AQ41" i="1" s="1"/>
  <c r="AP39" i="1"/>
  <c r="AP49" i="1" s="1"/>
  <c r="AN39" i="1"/>
  <c r="AN41" i="1" s="1"/>
  <c r="AM39" i="1"/>
  <c r="AM41" i="1" s="1"/>
  <c r="AL39" i="1"/>
  <c r="AL49" i="1" s="1"/>
  <c r="AK39" i="1"/>
  <c r="AK49" i="1" s="1"/>
  <c r="AI39" i="1"/>
  <c r="AI41" i="1" s="1"/>
  <c r="AH39" i="1"/>
  <c r="AH49" i="1" s="1"/>
  <c r="AG39" i="1"/>
  <c r="AG49" i="1" s="1"/>
  <c r="AF39" i="1"/>
  <c r="AK40" i="1" s="1"/>
  <c r="AD39" i="1"/>
  <c r="AD49" i="1" s="1"/>
  <c r="AC39" i="1"/>
  <c r="AC49" i="1" s="1"/>
  <c r="AB39" i="1"/>
  <c r="AC41" i="1" s="1"/>
  <c r="AA39" i="1"/>
  <c r="AF40" i="1" s="1"/>
  <c r="Y39" i="1"/>
  <c r="Y41" i="1" s="1"/>
  <c r="X39" i="1"/>
  <c r="X41" i="1" s="1"/>
  <c r="W39" i="1"/>
  <c r="W41" i="1" s="1"/>
  <c r="V39" i="1"/>
  <c r="V49" i="1" s="1"/>
  <c r="T39" i="1"/>
  <c r="T41" i="1" s="1"/>
  <c r="S39" i="1"/>
  <c r="S41" i="1" s="1"/>
  <c r="R39" i="1"/>
  <c r="R49" i="1" s="1"/>
  <c r="Q39" i="1"/>
  <c r="Q49" i="1" s="1"/>
  <c r="O39" i="1"/>
  <c r="O41" i="1" s="1"/>
  <c r="N39" i="1"/>
  <c r="N49" i="1" s="1"/>
  <c r="M39" i="1"/>
  <c r="M49" i="1" s="1"/>
  <c r="L39" i="1"/>
  <c r="Q40" i="1" s="1"/>
  <c r="J39" i="1"/>
  <c r="J49" i="1" s="1"/>
  <c r="I39" i="1"/>
  <c r="I49" i="1" s="1"/>
  <c r="H39" i="1"/>
  <c r="H49" i="1" s="1"/>
  <c r="G39" i="1"/>
  <c r="G49" i="1" s="1"/>
  <c r="BC38" i="1"/>
  <c r="BB38" i="1"/>
  <c r="BA38" i="1"/>
  <c r="AZ38" i="1"/>
  <c r="AX38" i="1"/>
  <c r="AW38" i="1"/>
  <c r="AV38" i="1"/>
  <c r="AU38" i="1"/>
  <c r="AT38" i="1"/>
  <c r="AS38" i="1"/>
  <c r="AR38" i="1"/>
  <c r="AQ38" i="1"/>
  <c r="AP38" i="1"/>
  <c r="AN38" i="1"/>
  <c r="AM38" i="1"/>
  <c r="AL38" i="1"/>
  <c r="AK38" i="1"/>
  <c r="AI38" i="1"/>
  <c r="AH38" i="1"/>
  <c r="AG38" i="1"/>
  <c r="AF38" i="1"/>
  <c r="AD38" i="1"/>
  <c r="AC38" i="1"/>
  <c r="AB38" i="1"/>
  <c r="AA38" i="1"/>
  <c r="Z38" i="1"/>
  <c r="Y38" i="1"/>
  <c r="X38" i="1"/>
  <c r="W38" i="1"/>
  <c r="V38" i="1"/>
  <c r="T38" i="1"/>
  <c r="S38" i="1"/>
  <c r="R38" i="1"/>
  <c r="Q38" i="1"/>
  <c r="O38" i="1"/>
  <c r="N38" i="1"/>
  <c r="M38" i="1"/>
  <c r="L38" i="1"/>
  <c r="AY37" i="1"/>
  <c r="AY38" i="1" s="1"/>
  <c r="AT37" i="1"/>
  <c r="AO37" i="1"/>
  <c r="AO43" i="1" s="1"/>
  <c r="AJ37" i="1"/>
  <c r="AE37" i="1"/>
  <c r="AE38" i="1" s="1"/>
  <c r="Z37" i="1"/>
  <c r="U37" i="1"/>
  <c r="U43" i="1" s="1"/>
  <c r="P37" i="1"/>
  <c r="K37" i="1"/>
  <c r="BD37" i="1"/>
  <c r="J35" i="1"/>
  <c r="J48" i="1" s="1"/>
  <c r="I35" i="1"/>
  <c r="I48" i="1" s="1"/>
  <c r="H35" i="1"/>
  <c r="H48" i="1" s="1"/>
  <c r="G35" i="1"/>
  <c r="G48" i="1" s="1"/>
  <c r="BC35" i="1"/>
  <c r="BC36" i="1" s="1"/>
  <c r="BB35" i="1"/>
  <c r="BB48" i="1" s="1"/>
  <c r="BA35" i="1"/>
  <c r="BA48" i="1" s="1"/>
  <c r="AZ35" i="1"/>
  <c r="AZ48" i="1" s="1"/>
  <c r="BC34" i="1"/>
  <c r="AX35" i="1"/>
  <c r="AX36" i="1" s="1"/>
  <c r="AW35" i="1"/>
  <c r="AW36" i="1" s="1"/>
  <c r="AV35" i="1"/>
  <c r="AV48" i="1" s="1"/>
  <c r="AU35" i="1"/>
  <c r="AU36" i="1" s="1"/>
  <c r="AS35" i="1"/>
  <c r="AS36" i="1" s="1"/>
  <c r="AR35" i="1"/>
  <c r="AR48" i="1" s="1"/>
  <c r="AQ35" i="1"/>
  <c r="AQ48" i="1" s="1"/>
  <c r="AP35" i="1"/>
  <c r="AP36" i="1" s="1"/>
  <c r="AN35" i="1"/>
  <c r="AN48" i="1" s="1"/>
  <c r="AM35" i="1"/>
  <c r="AM48" i="1" s="1"/>
  <c r="AL35" i="1"/>
  <c r="AL48" i="1" s="1"/>
  <c r="AK35" i="1"/>
  <c r="BV35" i="1" s="1"/>
  <c r="AN34" i="1"/>
  <c r="AI35" i="1"/>
  <c r="AI36" i="1" s="1"/>
  <c r="AH35" i="1"/>
  <c r="AH48" i="1" s="1"/>
  <c r="AG35" i="1"/>
  <c r="AG48" i="1" s="1"/>
  <c r="AF35" i="1"/>
  <c r="AF48" i="1" s="1"/>
  <c r="AI34" i="1"/>
  <c r="AD35" i="1"/>
  <c r="AD36" i="1" s="1"/>
  <c r="AC35" i="1"/>
  <c r="AC36" i="1" s="1"/>
  <c r="AB35" i="1"/>
  <c r="AB48" i="1" s="1"/>
  <c r="AA35" i="1"/>
  <c r="AA36" i="1" s="1"/>
  <c r="Y35" i="1"/>
  <c r="Y36" i="1" s="1"/>
  <c r="X35" i="1"/>
  <c r="X48" i="1" s="1"/>
  <c r="W35" i="1"/>
  <c r="W48" i="1" s="1"/>
  <c r="V35" i="1"/>
  <c r="V36" i="1" s="1"/>
  <c r="T35" i="1"/>
  <c r="T48" i="1" s="1"/>
  <c r="S35" i="1"/>
  <c r="S48" i="1" s="1"/>
  <c r="R35" i="1"/>
  <c r="R48" i="1" s="1"/>
  <c r="Q35" i="1"/>
  <c r="Q36" i="1" s="1"/>
  <c r="T34" i="1"/>
  <c r="O35" i="1"/>
  <c r="O36" i="1" s="1"/>
  <c r="N35" i="1"/>
  <c r="N48" i="1" s="1"/>
  <c r="M35" i="1"/>
  <c r="M48" i="1" s="1"/>
  <c r="L35" i="1"/>
  <c r="L48" i="1" s="1"/>
  <c r="O34" i="1"/>
  <c r="CF32" i="1"/>
  <c r="AZ32" i="1"/>
  <c r="AV32" i="1"/>
  <c r="AR32" i="1"/>
  <c r="AN32" i="1"/>
  <c r="AF32" i="1"/>
  <c r="AB32" i="1"/>
  <c r="X32" i="1"/>
  <c r="T32" i="1"/>
  <c r="L32" i="1"/>
  <c r="CG31" i="1"/>
  <c r="CG30" i="1"/>
  <c r="CG28" i="1"/>
  <c r="CG27" i="1"/>
  <c r="CG32" i="1" s="1"/>
  <c r="CG26" i="1"/>
  <c r="CG25" i="1"/>
  <c r="CG23" i="1"/>
  <c r="CG22" i="1"/>
  <c r="CG21" i="1"/>
  <c r="CG20" i="1"/>
  <c r="CG19" i="1"/>
  <c r="CG24" i="1" s="1"/>
  <c r="CG29" i="1" s="1"/>
  <c r="BG31" i="1"/>
  <c r="BG29" i="1" s="1"/>
  <c r="BE31" i="1"/>
  <c r="BE34" i="1" s="1"/>
  <c r="BC31" i="1"/>
  <c r="BC32" i="1" s="1"/>
  <c r="BB31" i="1"/>
  <c r="BA31" i="1"/>
  <c r="BA32" i="1" s="1"/>
  <c r="AZ31" i="1"/>
  <c r="AZ34" i="1" s="1"/>
  <c r="AX31" i="1"/>
  <c r="AW31" i="1"/>
  <c r="AW32" i="1" s="1"/>
  <c r="AV31" i="1"/>
  <c r="AV33" i="1" s="1"/>
  <c r="AU31" i="1"/>
  <c r="AU34" i="1" s="1"/>
  <c r="AS31" i="1"/>
  <c r="AS32" i="1" s="1"/>
  <c r="AR31" i="1"/>
  <c r="AR33" i="1" s="1"/>
  <c r="AQ31" i="1"/>
  <c r="AQ32" i="1" s="1"/>
  <c r="AP31" i="1"/>
  <c r="AP34" i="1" s="1"/>
  <c r="AO31" i="1"/>
  <c r="AN31" i="1"/>
  <c r="AN33" i="1" s="1"/>
  <c r="AM31" i="1"/>
  <c r="AM34" i="1" s="1"/>
  <c r="AL31" i="1"/>
  <c r="AK31" i="1"/>
  <c r="AK34" i="1" s="1"/>
  <c r="BV34" i="1" s="1"/>
  <c r="AI31" i="1"/>
  <c r="AI32" i="1" s="1"/>
  <c r="AH31" i="1"/>
  <c r="AG31" i="1"/>
  <c r="AG32" i="1" s="1"/>
  <c r="AF31" i="1"/>
  <c r="AF34" i="1" s="1"/>
  <c r="AD31" i="1"/>
  <c r="AC31" i="1"/>
  <c r="AC32" i="1" s="1"/>
  <c r="AB31" i="1"/>
  <c r="AB33" i="1" s="1"/>
  <c r="AA31" i="1"/>
  <c r="AA34" i="1" s="1"/>
  <c r="Y31" i="1"/>
  <c r="Y32" i="1" s="1"/>
  <c r="X31" i="1"/>
  <c r="X33" i="1" s="1"/>
  <c r="W31" i="1"/>
  <c r="W32" i="1" s="1"/>
  <c r="V31" i="1"/>
  <c r="V34" i="1" s="1"/>
  <c r="U31" i="1"/>
  <c r="T31" i="1"/>
  <c r="T33" i="1" s="1"/>
  <c r="S31" i="1"/>
  <c r="S34" i="1" s="1"/>
  <c r="R31" i="1"/>
  <c r="Q31" i="1"/>
  <c r="Q34" i="1" s="1"/>
  <c r="O31" i="1"/>
  <c r="O32" i="1" s="1"/>
  <c r="N31" i="1"/>
  <c r="M31" i="1"/>
  <c r="M32" i="1" s="1"/>
  <c r="L31" i="1"/>
  <c r="L34" i="1" s="1"/>
  <c r="J31" i="1"/>
  <c r="I31" i="1"/>
  <c r="S33" i="1" s="1"/>
  <c r="H31" i="1"/>
  <c r="R33" i="1" s="1"/>
  <c r="G31" i="1"/>
  <c r="F31" i="1"/>
  <c r="BD30" i="1"/>
  <c r="BC30" i="1"/>
  <c r="BB30" i="1"/>
  <c r="BA30" i="1"/>
  <c r="AZ30" i="1"/>
  <c r="AX30" i="1"/>
  <c r="AW30" i="1"/>
  <c r="AV30" i="1"/>
  <c r="AU30" i="1"/>
  <c r="AS30" i="1"/>
  <c r="AR30" i="1"/>
  <c r="AQ30" i="1"/>
  <c r="AP30" i="1"/>
  <c r="AN30" i="1"/>
  <c r="AM30" i="1"/>
  <c r="AL30" i="1"/>
  <c r="AK30" i="1"/>
  <c r="AJ30" i="1"/>
  <c r="AI30" i="1"/>
  <c r="AH30" i="1"/>
  <c r="AG30" i="1"/>
  <c r="AF30" i="1"/>
  <c r="AD30" i="1"/>
  <c r="AC30" i="1"/>
  <c r="AB30" i="1"/>
  <c r="AA30" i="1"/>
  <c r="Y30" i="1"/>
  <c r="X30" i="1"/>
  <c r="W30" i="1"/>
  <c r="V30" i="1"/>
  <c r="T30" i="1"/>
  <c r="S30" i="1"/>
  <c r="R30" i="1"/>
  <c r="Q30" i="1"/>
  <c r="P30" i="1"/>
  <c r="O30" i="1"/>
  <c r="N30" i="1"/>
  <c r="M30" i="1"/>
  <c r="L30" i="1"/>
  <c r="K30" i="1"/>
  <c r="CF29" i="1"/>
  <c r="CD29" i="1"/>
  <c r="CD32" i="1" s="1"/>
  <c r="BD29" i="1"/>
  <c r="BD182" i="1" s="1"/>
  <c r="AY29" i="1"/>
  <c r="AY182" i="1" s="1"/>
  <c r="AT29" i="1"/>
  <c r="AT182" i="1" s="1"/>
  <c r="AO29" i="1"/>
  <c r="AO182" i="1" s="1"/>
  <c r="AJ29" i="1"/>
  <c r="AJ182" i="1" s="1"/>
  <c r="AE29" i="1"/>
  <c r="AE182" i="1" s="1"/>
  <c r="Z29" i="1"/>
  <c r="Z182" i="1" s="1"/>
  <c r="U29" i="1"/>
  <c r="U182" i="1" s="1"/>
  <c r="P29" i="1"/>
  <c r="P182" i="1" s="1"/>
  <c r="K29" i="1"/>
  <c r="K182" i="1" s="1"/>
  <c r="M26" i="1"/>
  <c r="BB26" i="1"/>
  <c r="AX26" i="1"/>
  <c r="AL26" i="1"/>
  <c r="AH26" i="1"/>
  <c r="AD26" i="1"/>
  <c r="V26" i="1"/>
  <c r="R26" i="1"/>
  <c r="BC25" i="1"/>
  <c r="BB25" i="1"/>
  <c r="BB84" i="1" s="1"/>
  <c r="BA25" i="1"/>
  <c r="AY25" i="1"/>
  <c r="AY26" i="1" s="1"/>
  <c r="AX25" i="1"/>
  <c r="AW25" i="1"/>
  <c r="AW96" i="1" s="1"/>
  <c r="AV25" i="1"/>
  <c r="AU25" i="1"/>
  <c r="AS25" i="1"/>
  <c r="AR25" i="1"/>
  <c r="AR96" i="1" s="1"/>
  <c r="AQ25" i="1"/>
  <c r="AQ96" i="1" s="1"/>
  <c r="AP25" i="1"/>
  <c r="AN25" i="1"/>
  <c r="AM25" i="1"/>
  <c r="AM26" i="1" s="1"/>
  <c r="AL25" i="1"/>
  <c r="AI25" i="1"/>
  <c r="AN26" i="1" s="1"/>
  <c r="AH25" i="1"/>
  <c r="AH96" i="1" s="1"/>
  <c r="AG25" i="1"/>
  <c r="AE25" i="1"/>
  <c r="AE84" i="1" s="1"/>
  <c r="AD25" i="1"/>
  <c r="AC25" i="1"/>
  <c r="AC96" i="1" s="1"/>
  <c r="AB25" i="1"/>
  <c r="AA25" i="1"/>
  <c r="AA96" i="1" s="1"/>
  <c r="Y25" i="1"/>
  <c r="X25" i="1"/>
  <c r="X96" i="1" s="1"/>
  <c r="W25" i="1"/>
  <c r="W96" i="1" s="1"/>
  <c r="V25" i="1"/>
  <c r="U25" i="1"/>
  <c r="U26" i="1" s="1"/>
  <c r="T25" i="1"/>
  <c r="S25" i="1"/>
  <c r="S96" i="1" s="1"/>
  <c r="R25" i="1"/>
  <c r="Q25" i="1"/>
  <c r="P25" i="1"/>
  <c r="O25" i="1"/>
  <c r="O96" i="1" s="1"/>
  <c r="N25" i="1"/>
  <c r="N96" i="1" s="1"/>
  <c r="M25" i="1"/>
  <c r="L25" i="1"/>
  <c r="J25" i="1"/>
  <c r="I25" i="1"/>
  <c r="I96" i="1" s="1"/>
  <c r="H25" i="1"/>
  <c r="CF24" i="1"/>
  <c r="CE24" i="1"/>
  <c r="CE29" i="1" s="1"/>
  <c r="CE32" i="1" s="1"/>
  <c r="CD24" i="1"/>
  <c r="CC24" i="1"/>
  <c r="CC29" i="1" s="1"/>
  <c r="CC32" i="1" s="1"/>
  <c r="BD24" i="1"/>
  <c r="BD25" i="1" s="1"/>
  <c r="BD26" i="1" s="1"/>
  <c r="AY24" i="1"/>
  <c r="AZ25" i="1" s="1"/>
  <c r="AT24" i="1"/>
  <c r="AT25" i="1" s="1"/>
  <c r="AO24" i="1"/>
  <c r="AJ24" i="1"/>
  <c r="AJ25" i="1" s="1"/>
  <c r="AJ26" i="1" s="1"/>
  <c r="AE24" i="1"/>
  <c r="AF25" i="1" s="1"/>
  <c r="Z24" i="1"/>
  <c r="Z25" i="1" s="1"/>
  <c r="Z26" i="1" s="1"/>
  <c r="U24" i="1"/>
  <c r="BC21" i="1"/>
  <c r="AU21" i="1"/>
  <c r="AU22" i="1" s="1"/>
  <c r="AQ21" i="1"/>
  <c r="AM21" i="1"/>
  <c r="AI21" i="1"/>
  <c r="AA21" i="1"/>
  <c r="W21" i="1"/>
  <c r="W22" i="1" s="1"/>
  <c r="S21" i="1"/>
  <c r="O21" i="1"/>
  <c r="M21" i="1"/>
  <c r="R22" i="1" s="1"/>
  <c r="I21" i="1"/>
  <c r="G21" i="1"/>
  <c r="BH19" i="1"/>
  <c r="BF19" i="1"/>
  <c r="BC19" i="1"/>
  <c r="BB19" i="1"/>
  <c r="BG19" i="1" s="1"/>
  <c r="BA19" i="1"/>
  <c r="BA21" i="1" s="1"/>
  <c r="AZ19" i="1"/>
  <c r="AZ21" i="1" s="1"/>
  <c r="AZ22" i="1" s="1"/>
  <c r="AX19" i="1"/>
  <c r="BC20" i="1" s="1"/>
  <c r="AW19" i="1"/>
  <c r="AW21" i="1" s="1"/>
  <c r="AV19" i="1"/>
  <c r="AV21" i="1" s="1"/>
  <c r="AV22" i="1" s="1"/>
  <c r="AU19" i="1"/>
  <c r="AT19" i="1"/>
  <c r="AT21" i="1" s="1"/>
  <c r="AS19" i="1"/>
  <c r="AS21" i="1" s="1"/>
  <c r="AR19" i="1"/>
  <c r="AR21" i="1" s="1"/>
  <c r="AR22" i="1" s="1"/>
  <c r="AQ19" i="1"/>
  <c r="AP19" i="1"/>
  <c r="AP21" i="1" s="1"/>
  <c r="AN19" i="1"/>
  <c r="AN21" i="1" s="1"/>
  <c r="AN22" i="1" s="1"/>
  <c r="AM19" i="1"/>
  <c r="AL19" i="1"/>
  <c r="AQ20" i="1" s="1"/>
  <c r="AK19" i="1"/>
  <c r="AK21" i="1" s="1"/>
  <c r="AI19" i="1"/>
  <c r="AH19" i="1"/>
  <c r="AH21" i="1" s="1"/>
  <c r="AG19" i="1"/>
  <c r="AG21" i="1" s="1"/>
  <c r="AF19" i="1"/>
  <c r="AF21" i="1" s="1"/>
  <c r="AF22" i="1" s="1"/>
  <c r="AD19" i="1"/>
  <c r="AD21" i="1" s="1"/>
  <c r="AC19" i="1"/>
  <c r="AC21" i="1" s="1"/>
  <c r="AB19" i="1"/>
  <c r="AB21" i="1" s="1"/>
  <c r="AB22" i="1" s="1"/>
  <c r="AA19" i="1"/>
  <c r="Z19" i="1"/>
  <c r="Z21" i="1" s="1"/>
  <c r="Y19" i="1"/>
  <c r="Y21" i="1" s="1"/>
  <c r="X19" i="1"/>
  <c r="X21" i="1" s="1"/>
  <c r="X22" i="1" s="1"/>
  <c r="W19" i="1"/>
  <c r="V19" i="1"/>
  <c r="AA20" i="1" s="1"/>
  <c r="T19" i="1"/>
  <c r="T21" i="1" s="1"/>
  <c r="T22" i="1" s="1"/>
  <c r="S19" i="1"/>
  <c r="R19" i="1"/>
  <c r="R20" i="1" s="1"/>
  <c r="Q19" i="1"/>
  <c r="Q20" i="1" s="1"/>
  <c r="O19" i="1"/>
  <c r="N19" i="1"/>
  <c r="N21" i="1" s="1"/>
  <c r="N22" i="1" s="1"/>
  <c r="M19" i="1"/>
  <c r="M20" i="1" s="1"/>
  <c r="L19" i="1"/>
  <c r="L20" i="1" s="1"/>
  <c r="J19" i="1"/>
  <c r="J21" i="1" s="1"/>
  <c r="I19" i="1"/>
  <c r="H19" i="1"/>
  <c r="H21" i="1" s="1"/>
  <c r="G19" i="1"/>
  <c r="BD18" i="1"/>
  <c r="BC18" i="1"/>
  <c r="BB18" i="1"/>
  <c r="BA18" i="1"/>
  <c r="AZ18" i="1"/>
  <c r="AX18" i="1"/>
  <c r="AW18" i="1"/>
  <c r="AV18" i="1"/>
  <c r="AU18" i="1"/>
  <c r="AS18" i="1"/>
  <c r="AR18" i="1"/>
  <c r="AQ18" i="1"/>
  <c r="AP18" i="1"/>
  <c r="AN18" i="1"/>
  <c r="AM18" i="1"/>
  <c r="AL18" i="1"/>
  <c r="AK18" i="1"/>
  <c r="AJ18" i="1"/>
  <c r="AI18" i="1"/>
  <c r="AH18" i="1"/>
  <c r="AG18" i="1"/>
  <c r="AF18" i="1"/>
  <c r="AD18" i="1"/>
  <c r="AC18" i="1"/>
  <c r="AB18" i="1"/>
  <c r="AA18" i="1"/>
  <c r="Y18" i="1"/>
  <c r="X18" i="1"/>
  <c r="W18" i="1"/>
  <c r="V18" i="1"/>
  <c r="T18" i="1"/>
  <c r="S18" i="1"/>
  <c r="R18" i="1"/>
  <c r="Q18" i="1"/>
  <c r="P18" i="1"/>
  <c r="O18" i="1"/>
  <c r="N18" i="1"/>
  <c r="M18" i="1"/>
  <c r="L18" i="1"/>
  <c r="BD17" i="1"/>
  <c r="AY17" i="1"/>
  <c r="AY18" i="1" s="1"/>
  <c r="AT17" i="1"/>
  <c r="AO17" i="1"/>
  <c r="AO18" i="1" s="1"/>
  <c r="AJ17" i="1"/>
  <c r="AE17" i="1"/>
  <c r="AE18" i="1" s="1"/>
  <c r="Z17" i="1"/>
  <c r="U17" i="1"/>
  <c r="U18" i="1" s="1"/>
  <c r="P17" i="1"/>
  <c r="K17" i="1"/>
  <c r="Q15" i="1"/>
  <c r="M15" i="1"/>
  <c r="BH14" i="1"/>
  <c r="BF14" i="1"/>
  <c r="BC14" i="1"/>
  <c r="BC15" i="1" s="1"/>
  <c r="BB14" i="1"/>
  <c r="BB15" i="1" s="1"/>
  <c r="BA14" i="1"/>
  <c r="AZ14" i="1"/>
  <c r="BE14" i="1" s="1"/>
  <c r="BE8" i="1" s="1"/>
  <c r="AX14" i="1"/>
  <c r="AX15" i="1" s="1"/>
  <c r="AW14" i="1"/>
  <c r="AV14" i="1"/>
  <c r="AV15" i="1" s="1"/>
  <c r="AU14" i="1"/>
  <c r="AU15" i="1" s="1"/>
  <c r="AS14" i="1"/>
  <c r="AR14" i="1"/>
  <c r="AW15" i="1" s="1"/>
  <c r="AQ14" i="1"/>
  <c r="AQ15" i="1" s="1"/>
  <c r="AP14" i="1"/>
  <c r="AP15" i="1" s="1"/>
  <c r="AN14" i="1"/>
  <c r="AN15" i="1" s="1"/>
  <c r="AM14" i="1"/>
  <c r="AM15" i="1" s="1"/>
  <c r="AL14" i="1"/>
  <c r="AL15" i="1" s="1"/>
  <c r="AK14" i="1"/>
  <c r="AI14" i="1"/>
  <c r="AI15" i="1" s="1"/>
  <c r="AH14" i="1"/>
  <c r="AH15" i="1" s="1"/>
  <c r="AG14" i="1"/>
  <c r="AF14" i="1"/>
  <c r="AK15" i="1" s="1"/>
  <c r="AD14" i="1"/>
  <c r="AD15" i="1" s="1"/>
  <c r="AC14" i="1"/>
  <c r="AB14" i="1"/>
  <c r="AB15" i="1" s="1"/>
  <c r="AA14" i="1"/>
  <c r="AA15" i="1" s="1"/>
  <c r="Y14" i="1"/>
  <c r="X14" i="1"/>
  <c r="AC15" i="1" s="1"/>
  <c r="W14" i="1"/>
  <c r="W15" i="1" s="1"/>
  <c r="V14" i="1"/>
  <c r="V15" i="1" s="1"/>
  <c r="T14" i="1"/>
  <c r="T15" i="1" s="1"/>
  <c r="S14" i="1"/>
  <c r="S15" i="1" s="1"/>
  <c r="Q14" i="1"/>
  <c r="O14" i="1"/>
  <c r="O15" i="1" s="1"/>
  <c r="N14" i="1"/>
  <c r="N15" i="1" s="1"/>
  <c r="M14" i="1"/>
  <c r="R15" i="1" s="1"/>
  <c r="L14" i="1"/>
  <c r="K14" i="1"/>
  <c r="J14" i="1"/>
  <c r="I14" i="1"/>
  <c r="H14" i="1"/>
  <c r="G14" i="1"/>
  <c r="L15" i="1" s="1"/>
  <c r="CG10" i="1"/>
  <c r="BC12" i="1"/>
  <c r="BB12" i="1"/>
  <c r="BA12" i="1"/>
  <c r="AZ12" i="1"/>
  <c r="AX12" i="1"/>
  <c r="AW12" i="1"/>
  <c r="AV12" i="1"/>
  <c r="AU12" i="1"/>
  <c r="AS12" i="1"/>
  <c r="AR12" i="1"/>
  <c r="AQ12" i="1"/>
  <c r="AP12" i="1"/>
  <c r="AN12" i="1"/>
  <c r="AM12" i="1"/>
  <c r="AL12" i="1"/>
  <c r="AK12" i="1"/>
  <c r="AI12" i="1"/>
  <c r="AH12" i="1"/>
  <c r="AG12" i="1"/>
  <c r="AF12" i="1"/>
  <c r="AD12" i="1"/>
  <c r="AC12" i="1"/>
  <c r="AB12" i="1"/>
  <c r="AA12" i="1"/>
  <c r="Y12" i="1"/>
  <c r="X12" i="1"/>
  <c r="W12" i="1"/>
  <c r="V12" i="1"/>
  <c r="T12" i="1"/>
  <c r="S12" i="1"/>
  <c r="R12" i="1"/>
  <c r="Q12" i="1"/>
  <c r="O12" i="1"/>
  <c r="N12" i="1"/>
  <c r="M12" i="1"/>
  <c r="L12" i="1"/>
  <c r="BH11" i="1"/>
  <c r="BH73" i="1" s="1"/>
  <c r="BG11" i="1"/>
  <c r="BF11" i="1"/>
  <c r="BF73" i="1" s="1"/>
  <c r="BE11" i="1"/>
  <c r="BI11" i="1" s="1"/>
  <c r="BD11" i="1"/>
  <c r="BD14" i="1" s="1"/>
  <c r="AY11" i="1"/>
  <c r="AY12" i="1" s="1"/>
  <c r="E38" i="38" s="1"/>
  <c r="AT11" i="1"/>
  <c r="CB62" i="1" s="1"/>
  <c r="CB66" i="1" s="1"/>
  <c r="AO11" i="1"/>
  <c r="AO12" i="1" s="1"/>
  <c r="AJ11" i="1"/>
  <c r="AJ55" i="1" s="1"/>
  <c r="AE11" i="1"/>
  <c r="AE55" i="1" s="1"/>
  <c r="Z11" i="1"/>
  <c r="Z14" i="1" s="1"/>
  <c r="U11" i="1"/>
  <c r="U12" i="1" s="1"/>
  <c r="P11" i="1"/>
  <c r="P12" i="1" s="1"/>
  <c r="K11" i="1"/>
  <c r="K12" i="1" s="1"/>
  <c r="BC9" i="1"/>
  <c r="BB9" i="1"/>
  <c r="BA9" i="1"/>
  <c r="AZ9" i="1"/>
  <c r="AY9" i="1"/>
  <c r="E37" i="38" s="1"/>
  <c r="AX9" i="1"/>
  <c r="AW9" i="1"/>
  <c r="AV9" i="1"/>
  <c r="AU9" i="1"/>
  <c r="AS9" i="1"/>
  <c r="AR9" i="1"/>
  <c r="AQ9" i="1"/>
  <c r="AP9" i="1"/>
  <c r="AN9" i="1"/>
  <c r="AM9" i="1"/>
  <c r="AL9" i="1"/>
  <c r="AK9" i="1"/>
  <c r="AI9" i="1"/>
  <c r="AH9" i="1"/>
  <c r="AG9" i="1"/>
  <c r="AF9" i="1"/>
  <c r="AE9" i="1"/>
  <c r="AD9" i="1"/>
  <c r="AC9" i="1"/>
  <c r="AB9" i="1"/>
  <c r="AA9" i="1"/>
  <c r="Y9" i="1"/>
  <c r="X9" i="1"/>
  <c r="W9" i="1"/>
  <c r="V9" i="1"/>
  <c r="T9" i="1"/>
  <c r="S9" i="1"/>
  <c r="Q9" i="1"/>
  <c r="O9" i="1"/>
  <c r="N9" i="1"/>
  <c r="M9" i="1"/>
  <c r="L9" i="1"/>
  <c r="BD8" i="1"/>
  <c r="BD9" i="1" s="1"/>
  <c r="F37" i="38" s="1"/>
  <c r="AY8" i="1"/>
  <c r="AY19" i="1" s="1"/>
  <c r="AT8" i="1"/>
  <c r="AO8" i="1"/>
  <c r="AO14" i="1" s="1"/>
  <c r="AJ8" i="1"/>
  <c r="AJ9" i="1" s="1"/>
  <c r="AE8" i="1"/>
  <c r="AE19" i="1" s="1"/>
  <c r="Z8" i="1"/>
  <c r="U8" i="1"/>
  <c r="U14" i="1" s="1"/>
  <c r="U15" i="1" s="1"/>
  <c r="R8" i="1"/>
  <c r="R9" i="1" s="1"/>
  <c r="P8" i="1"/>
  <c r="P14" i="1" s="1"/>
  <c r="P15" i="1" s="1"/>
  <c r="K8" i="1"/>
  <c r="K19" i="1" s="1"/>
  <c r="K21" i="1" s="1"/>
  <c r="BC6" i="1"/>
  <c r="BB6" i="1"/>
  <c r="BA6" i="1"/>
  <c r="AZ6" i="1"/>
  <c r="AX6" i="1"/>
  <c r="AW6" i="1"/>
  <c r="AV6" i="1"/>
  <c r="AU6" i="1"/>
  <c r="AS6" i="1"/>
  <c r="AR6" i="1"/>
  <c r="AQ6" i="1"/>
  <c r="AP6" i="1"/>
  <c r="AO6" i="1"/>
  <c r="AN6" i="1"/>
  <c r="AM6" i="1"/>
  <c r="AL6" i="1"/>
  <c r="AK6" i="1"/>
  <c r="AI6" i="1"/>
  <c r="AH6" i="1"/>
  <c r="AG6" i="1"/>
  <c r="AF6" i="1"/>
  <c r="AD6" i="1"/>
  <c r="AC6" i="1"/>
  <c r="AB6" i="1"/>
  <c r="AA6" i="1"/>
  <c r="Y6" i="1"/>
  <c r="X6" i="1"/>
  <c r="W6" i="1"/>
  <c r="V6" i="1"/>
  <c r="U6" i="1"/>
  <c r="T6" i="1"/>
  <c r="S6" i="1"/>
  <c r="R6" i="1"/>
  <c r="Q6" i="1"/>
  <c r="O6" i="1"/>
  <c r="N6" i="1"/>
  <c r="M6" i="1"/>
  <c r="L6" i="1"/>
  <c r="BD5" i="1"/>
  <c r="AY5" i="1"/>
  <c r="AY39" i="1" s="1"/>
  <c r="AT5" i="1"/>
  <c r="AT6" i="1" s="1"/>
  <c r="AO5" i="1"/>
  <c r="AJ5" i="1"/>
  <c r="AE5" i="1"/>
  <c r="AE75" i="1" s="1"/>
  <c r="Z5" i="1"/>
  <c r="Z6" i="1" s="1"/>
  <c r="U5" i="1"/>
  <c r="P5" i="1"/>
  <c r="K5" i="1"/>
  <c r="K39" i="1" s="1"/>
  <c r="K49" i="1" s="1"/>
  <c r="R53" i="38"/>
  <c r="P53" i="38"/>
  <c r="O53" i="38"/>
  <c r="N53" i="38"/>
  <c r="F53" i="38"/>
  <c r="E53" i="38" s="1"/>
  <c r="R50" i="38"/>
  <c r="Q50" i="38"/>
  <c r="P50" i="38"/>
  <c r="O50" i="38"/>
  <c r="N50" i="38"/>
  <c r="K49" i="38"/>
  <c r="I46" i="38"/>
  <c r="H46" i="38"/>
  <c r="I41" i="38"/>
  <c r="H41" i="38"/>
  <c r="U41" i="38"/>
  <c r="T41" i="38"/>
  <c r="S41" i="38"/>
  <c r="U40" i="38"/>
  <c r="T40" i="38"/>
  <c r="S40" i="38"/>
  <c r="R40" i="38"/>
  <c r="Q40" i="38"/>
  <c r="P40" i="38"/>
  <c r="O40" i="38"/>
  <c r="N40" i="38"/>
  <c r="O38" i="38"/>
  <c r="N38" i="38"/>
  <c r="I38" i="38"/>
  <c r="H38" i="38"/>
  <c r="F36" i="38"/>
  <c r="E36" i="38" s="1"/>
  <c r="U34" i="38"/>
  <c r="T34" i="38"/>
  <c r="S34" i="38"/>
  <c r="R28" i="38"/>
  <c r="Q28" i="38"/>
  <c r="P28" i="38"/>
  <c r="O28" i="38"/>
  <c r="N28" i="38"/>
  <c r="R25" i="38"/>
  <c r="Q25" i="38"/>
  <c r="P25" i="38"/>
  <c r="O25" i="38"/>
  <c r="N25" i="38"/>
  <c r="R18" i="38"/>
  <c r="Q18" i="38"/>
  <c r="P18" i="38"/>
  <c r="O18" i="38"/>
  <c r="N18" i="38"/>
  <c r="R17" i="38"/>
  <c r="R51" i="38" s="1"/>
  <c r="Q17" i="38"/>
  <c r="Q51" i="38" s="1"/>
  <c r="P17" i="38"/>
  <c r="P51" i="38" s="1"/>
  <c r="O17" i="38"/>
  <c r="O51" i="38" s="1"/>
  <c r="N17" i="38"/>
  <c r="N51" i="38" s="1"/>
  <c r="R16" i="38"/>
  <c r="Q16" i="38"/>
  <c r="P16" i="38"/>
  <c r="O16" i="38"/>
  <c r="N16" i="38"/>
  <c r="R14" i="38"/>
  <c r="Q14" i="38"/>
  <c r="P14" i="38"/>
  <c r="O14" i="38"/>
  <c r="N14" i="38"/>
  <c r="R13" i="38"/>
  <c r="Q13" i="38"/>
  <c r="P13" i="38"/>
  <c r="O13" i="38"/>
  <c r="N13" i="38"/>
  <c r="H10" i="38"/>
  <c r="F10" i="38"/>
  <c r="R9" i="38"/>
  <c r="Q9" i="38"/>
  <c r="P9" i="38"/>
  <c r="O9" i="38"/>
  <c r="N9" i="38"/>
  <c r="R6" i="38"/>
  <c r="Q6" i="38" s="1"/>
  <c r="P6" i="38" s="1"/>
  <c r="O6" i="38" s="1"/>
  <c r="N6" i="38" s="1"/>
  <c r="B2" i="38"/>
  <c r="C6" i="37"/>
  <c r="AL162" i="1" l="1"/>
  <c r="AH162" i="1"/>
  <c r="AM162" i="1"/>
  <c r="AS161" i="1"/>
  <c r="AI162" i="1"/>
  <c r="AN161" i="1"/>
  <c r="BB162" i="1"/>
  <c r="AM161" i="1"/>
  <c r="AD162" i="1"/>
  <c r="AQ162" i="1"/>
  <c r="BC162" i="1"/>
  <c r="BC161" i="1"/>
  <c r="BH138" i="1"/>
  <c r="BH194" i="1" s="1"/>
  <c r="BE53" i="1"/>
  <c r="AG22" i="1"/>
  <c r="AZ84" i="1"/>
  <c r="AZ89" i="1"/>
  <c r="AZ96" i="1"/>
  <c r="AZ26" i="1"/>
  <c r="U45" i="1"/>
  <c r="U117" i="1"/>
  <c r="AS181" i="1"/>
  <c r="AS118" i="1"/>
  <c r="AS47" i="1"/>
  <c r="R115" i="1"/>
  <c r="R111" i="1"/>
  <c r="R119" i="1"/>
  <c r="R109" i="1"/>
  <c r="Z15" i="1"/>
  <c r="BF74" i="1"/>
  <c r="BF57" i="1"/>
  <c r="BE9" i="1"/>
  <c r="Y22" i="1"/>
  <c r="AC22" i="1"/>
  <c r="AH22" i="1"/>
  <c r="BA22" i="1"/>
  <c r="O22" i="1"/>
  <c r="AI22" i="1"/>
  <c r="G50" i="1"/>
  <c r="Q50" i="1"/>
  <c r="BE49" i="1"/>
  <c r="CC41" i="1"/>
  <c r="CC42" i="1" s="1"/>
  <c r="BE41" i="1"/>
  <c r="AK181" i="1"/>
  <c r="AK118" i="1"/>
  <c r="N115" i="1"/>
  <c r="N119" i="1"/>
  <c r="N111" i="1"/>
  <c r="N109" i="1"/>
  <c r="AT115" i="1"/>
  <c r="AT119" i="1"/>
  <c r="AT111" i="1"/>
  <c r="AT109" i="1"/>
  <c r="P19" i="38"/>
  <c r="AF89" i="1"/>
  <c r="AF84" i="1"/>
  <c r="AF96" i="1"/>
  <c r="AF26" i="1"/>
  <c r="CC37" i="1"/>
  <c r="AO117" i="1"/>
  <c r="AO45" i="1"/>
  <c r="O11" i="38"/>
  <c r="J50" i="1"/>
  <c r="AY49" i="1"/>
  <c r="AY40" i="1"/>
  <c r="AD22" i="1"/>
  <c r="AS22" i="1"/>
  <c r="AW22" i="1"/>
  <c r="S22" i="1"/>
  <c r="AM22" i="1"/>
  <c r="BG30" i="1"/>
  <c r="H50" i="1"/>
  <c r="M50" i="1"/>
  <c r="R50" i="1"/>
  <c r="AG50" i="1"/>
  <c r="AL50" i="1"/>
  <c r="BA50" i="1"/>
  <c r="M181" i="1"/>
  <c r="M118" i="1"/>
  <c r="BA181" i="1"/>
  <c r="BA118" i="1"/>
  <c r="BN11" i="1"/>
  <c r="CE62" i="1"/>
  <c r="BI12" i="1"/>
  <c r="BD60" i="1"/>
  <c r="F46" i="38"/>
  <c r="AE21" i="1"/>
  <c r="AE22" i="1" s="1"/>
  <c r="AE20" i="1"/>
  <c r="AY21" i="1"/>
  <c r="AY22" i="1" s="1"/>
  <c r="AY20" i="1"/>
  <c r="AJ56" i="1"/>
  <c r="F39" i="38"/>
  <c r="BH57" i="1"/>
  <c r="BH74" i="1"/>
  <c r="AK22" i="1"/>
  <c r="AP22" i="1"/>
  <c r="I50" i="1"/>
  <c r="N50" i="1"/>
  <c r="AH50" i="1"/>
  <c r="BB50" i="1"/>
  <c r="AC181" i="1"/>
  <c r="AC118" i="1"/>
  <c r="BE54" i="1"/>
  <c r="E46" i="38"/>
  <c r="AO60" i="1"/>
  <c r="BF100" i="1"/>
  <c r="BF97" i="1" s="1"/>
  <c r="BA101" i="1"/>
  <c r="AJ12" i="1"/>
  <c r="AJ14" i="1"/>
  <c r="AJ15" i="1" s="1"/>
  <c r="Y15" i="1"/>
  <c r="S20" i="1"/>
  <c r="AI20" i="1"/>
  <c r="AU89" i="1"/>
  <c r="AU84" i="1"/>
  <c r="Y34" i="1"/>
  <c r="P15" i="38"/>
  <c r="AE6" i="1"/>
  <c r="AY6" i="1"/>
  <c r="U9" i="1"/>
  <c r="AO9" i="1"/>
  <c r="Z12" i="1"/>
  <c r="AT12" i="1"/>
  <c r="AT14" i="1"/>
  <c r="AT15" i="1" s="1"/>
  <c r="Z18" i="1"/>
  <c r="AT18" i="1"/>
  <c r="P19" i="1"/>
  <c r="AJ19" i="1"/>
  <c r="BD19" i="1"/>
  <c r="Y20" i="1"/>
  <c r="AC20" i="1"/>
  <c r="AG20" i="1"/>
  <c r="AK20" i="1"/>
  <c r="AS20" i="1"/>
  <c r="AW20" i="1"/>
  <c r="BA20" i="1"/>
  <c r="BE21" i="1"/>
  <c r="H89" i="1"/>
  <c r="H84" i="1"/>
  <c r="H96" i="1"/>
  <c r="M89" i="1"/>
  <c r="M84" i="1"/>
  <c r="M85" i="1" s="1"/>
  <c r="M96" i="1"/>
  <c r="Q96" i="1"/>
  <c r="Q89" i="1"/>
  <c r="Q84" i="1"/>
  <c r="Y96" i="1"/>
  <c r="Y89" i="1"/>
  <c r="Y84" i="1"/>
  <c r="AG89" i="1"/>
  <c r="AG84" i="1"/>
  <c r="AG96" i="1"/>
  <c r="AK25" i="1"/>
  <c r="AO25" i="1"/>
  <c r="AO26" i="1" s="1"/>
  <c r="AS96" i="1"/>
  <c r="AS89" i="1"/>
  <c r="AS84" i="1"/>
  <c r="BA96" i="1"/>
  <c r="BA89" i="1"/>
  <c r="T26" i="1"/>
  <c r="X26" i="1"/>
  <c r="AB26" i="1"/>
  <c r="AR26" i="1"/>
  <c r="AV26" i="1"/>
  <c r="O26" i="1"/>
  <c r="BD276" i="1"/>
  <c r="Z30" i="1"/>
  <c r="AT30" i="1"/>
  <c r="K31" i="1"/>
  <c r="K32" i="1" s="1"/>
  <c r="AE31" i="1"/>
  <c r="AY31" i="1"/>
  <c r="N32" i="1"/>
  <c r="R32" i="1"/>
  <c r="V32" i="1"/>
  <c r="AD32" i="1"/>
  <c r="AH32" i="1"/>
  <c r="AL32" i="1"/>
  <c r="AP32" i="1"/>
  <c r="AX32" i="1"/>
  <c r="BB32" i="1"/>
  <c r="Q33" i="1"/>
  <c r="Y33" i="1"/>
  <c r="AC33" i="1"/>
  <c r="AG33" i="1"/>
  <c r="AK33" i="1"/>
  <c r="AO33" i="1"/>
  <c r="AS33" i="1"/>
  <c r="AW33" i="1"/>
  <c r="BA33" i="1"/>
  <c r="BE33" i="1"/>
  <c r="M34" i="1"/>
  <c r="M36" i="1"/>
  <c r="R34" i="1"/>
  <c r="R36" i="1"/>
  <c r="W34" i="1"/>
  <c r="W36" i="1"/>
  <c r="AB34" i="1"/>
  <c r="AB36" i="1"/>
  <c r="AG34" i="1"/>
  <c r="AG36" i="1"/>
  <c r="AL34" i="1"/>
  <c r="AL36" i="1"/>
  <c r="AQ34" i="1"/>
  <c r="AQ36" i="1"/>
  <c r="AV34" i="1"/>
  <c r="AV36" i="1"/>
  <c r="BA34" i="1"/>
  <c r="BA36" i="1"/>
  <c r="BW35" i="1"/>
  <c r="BD35" i="1"/>
  <c r="P35" i="1"/>
  <c r="AJ35" i="1"/>
  <c r="P38" i="1"/>
  <c r="AJ38" i="1"/>
  <c r="BD38" i="1"/>
  <c r="Z39" i="1"/>
  <c r="AT39" i="1"/>
  <c r="BY39" i="1"/>
  <c r="O40" i="1"/>
  <c r="S40" i="1"/>
  <c r="W40" i="1"/>
  <c r="AA40" i="1"/>
  <c r="AI40" i="1"/>
  <c r="AM40" i="1"/>
  <c r="AQ40" i="1"/>
  <c r="AU40" i="1"/>
  <c r="BC40" i="1"/>
  <c r="L41" i="1"/>
  <c r="Q41" i="1"/>
  <c r="V41" i="1"/>
  <c r="AA41" i="1"/>
  <c r="AF41" i="1"/>
  <c r="AK41" i="1"/>
  <c r="AP41" i="1"/>
  <c r="AU41" i="1"/>
  <c r="AZ41" i="1"/>
  <c r="U42" i="1"/>
  <c r="AO42" i="1"/>
  <c r="N181" i="1"/>
  <c r="N118" i="1"/>
  <c r="R181" i="1"/>
  <c r="V181" i="1"/>
  <c r="V118" i="1"/>
  <c r="Z43" i="1"/>
  <c r="AD181" i="1"/>
  <c r="AD118" i="1"/>
  <c r="AH181" i="1"/>
  <c r="AL181" i="1"/>
  <c r="AL118" i="1"/>
  <c r="AP181" i="1"/>
  <c r="AT43" i="1"/>
  <c r="AT42" i="1" s="1"/>
  <c r="AX181" i="1"/>
  <c r="BB181" i="1"/>
  <c r="BB118" i="1"/>
  <c r="O44" i="1"/>
  <c r="S44" i="1"/>
  <c r="W44" i="1"/>
  <c r="AA44" i="1"/>
  <c r="AI44" i="1"/>
  <c r="AM44" i="1"/>
  <c r="AQ44" i="1"/>
  <c r="AU44" i="1"/>
  <c r="BC44" i="1"/>
  <c r="L45" i="1"/>
  <c r="T45" i="1"/>
  <c r="X45" i="1"/>
  <c r="AB45" i="1"/>
  <c r="AF45" i="1"/>
  <c r="AN45" i="1"/>
  <c r="AS46" i="1" s="1"/>
  <c r="AR45" i="1"/>
  <c r="AV45" i="1"/>
  <c r="AZ45" i="1"/>
  <c r="Y46" i="1"/>
  <c r="AC46" i="1"/>
  <c r="AG46" i="1"/>
  <c r="AW46" i="1"/>
  <c r="I45" i="1"/>
  <c r="Q48" i="1"/>
  <c r="Y48" i="1"/>
  <c r="AC48" i="1"/>
  <c r="AC50" i="1" s="1"/>
  <c r="AK48" i="1"/>
  <c r="AK50" i="1" s="1"/>
  <c r="AS48" i="1"/>
  <c r="AW48" i="1"/>
  <c r="AW50" i="1" s="1"/>
  <c r="O49" i="1"/>
  <c r="S49" i="1"/>
  <c r="S50" i="1" s="1"/>
  <c r="W49" i="1"/>
  <c r="W50" i="1" s="1"/>
  <c r="AA49" i="1"/>
  <c r="AI49" i="1"/>
  <c r="AM49" i="1"/>
  <c r="AM50" i="1" s="1"/>
  <c r="AQ49" i="1"/>
  <c r="AQ50" i="1" s="1"/>
  <c r="AU49" i="1"/>
  <c r="BC49" i="1"/>
  <c r="BH53" i="1"/>
  <c r="BH54" i="1" s="1"/>
  <c r="U54" i="1"/>
  <c r="U55" i="1"/>
  <c r="U56" i="1" s="1"/>
  <c r="BD55" i="1"/>
  <c r="BD56" i="1" s="1"/>
  <c r="AZ56" i="1"/>
  <c r="H80" i="1"/>
  <c r="H114" i="1" s="1"/>
  <c r="H78" i="1"/>
  <c r="L184" i="1"/>
  <c r="P57" i="1"/>
  <c r="X184" i="1"/>
  <c r="T184" i="1"/>
  <c r="Z184" i="1"/>
  <c r="Z78" i="1"/>
  <c r="AE184" i="1"/>
  <c r="AE78" i="1"/>
  <c r="AE80" i="1"/>
  <c r="AE114" i="1" s="1"/>
  <c r="AT184" i="1"/>
  <c r="AT78" i="1"/>
  <c r="N58" i="1"/>
  <c r="R58" i="1"/>
  <c r="V58" i="1"/>
  <c r="AT58" i="1"/>
  <c r="V59" i="1"/>
  <c r="V60" i="1" s="1"/>
  <c r="AA59" i="1"/>
  <c r="AE59" i="1"/>
  <c r="AJ60" i="1" s="1"/>
  <c r="AH60" i="1"/>
  <c r="AL60" i="1"/>
  <c r="AP60" i="1"/>
  <c r="AX60" i="1"/>
  <c r="BB60" i="1"/>
  <c r="CB61" i="1"/>
  <c r="CB64" i="1" s="1"/>
  <c r="CC62" i="1"/>
  <c r="CC66" i="1" s="1"/>
  <c r="CC67" i="1" s="1"/>
  <c r="Z75" i="1"/>
  <c r="L78" i="1"/>
  <c r="L80" i="1"/>
  <c r="L114" i="1" s="1"/>
  <c r="Q78" i="1"/>
  <c r="V78" i="1"/>
  <c r="AA78" i="1"/>
  <c r="AA79" i="1" s="1"/>
  <c r="AA80" i="1"/>
  <c r="AA114" i="1" s="1"/>
  <c r="AF78" i="1"/>
  <c r="AK79" i="1" s="1"/>
  <c r="BD74" i="1"/>
  <c r="AZ79" i="1"/>
  <c r="U186" i="1"/>
  <c r="U84" i="1"/>
  <c r="U82" i="1"/>
  <c r="AE74" i="1"/>
  <c r="AJ76" i="1"/>
  <c r="AO76" i="1"/>
  <c r="AO77" i="1" s="1"/>
  <c r="AO75" i="1"/>
  <c r="AO74" i="1"/>
  <c r="AT76" i="1"/>
  <c r="AY75" i="1"/>
  <c r="I84" i="1"/>
  <c r="P90" i="1"/>
  <c r="AE90" i="1"/>
  <c r="AT90" i="1"/>
  <c r="BE86" i="1"/>
  <c r="S89" i="1"/>
  <c r="AC89" i="1"/>
  <c r="AM89" i="1"/>
  <c r="AW89" i="1"/>
  <c r="BA91" i="1"/>
  <c r="BF90" i="1"/>
  <c r="BF86" i="1" s="1"/>
  <c r="P188" i="1"/>
  <c r="P96" i="1"/>
  <c r="P93" i="1"/>
  <c r="AJ188" i="1"/>
  <c r="AJ96" i="1"/>
  <c r="AJ93" i="1"/>
  <c r="AM96" i="1"/>
  <c r="BB96" i="1"/>
  <c r="AK106" i="1"/>
  <c r="AK99" i="1"/>
  <c r="AK98" i="1"/>
  <c r="AO106" i="1"/>
  <c r="AO98" i="1"/>
  <c r="AS106" i="1"/>
  <c r="AS98" i="1"/>
  <c r="AX98" i="1"/>
  <c r="AS99" i="1"/>
  <c r="AK100" i="1"/>
  <c r="AK101" i="1" s="1"/>
  <c r="AD106" i="1"/>
  <c r="AH118" i="1"/>
  <c r="U158" i="1"/>
  <c r="P155" i="1"/>
  <c r="AU160" i="1"/>
  <c r="AU165" i="1"/>
  <c r="BD12" i="1"/>
  <c r="F38" i="38" s="1"/>
  <c r="AG15" i="1"/>
  <c r="AS15" i="1"/>
  <c r="BA15" i="1"/>
  <c r="W20" i="1"/>
  <c r="AM20" i="1"/>
  <c r="AU20" i="1"/>
  <c r="J96" i="1"/>
  <c r="J89" i="1"/>
  <c r="J84" i="1"/>
  <c r="W89" i="1"/>
  <c r="W84" i="1"/>
  <c r="W85" i="1" s="1"/>
  <c r="AI89" i="1"/>
  <c r="AI84" i="1"/>
  <c r="O10" i="38"/>
  <c r="P6" i="1"/>
  <c r="AJ6" i="1"/>
  <c r="BD6" i="1"/>
  <c r="BH8" i="1"/>
  <c r="Z9" i="1"/>
  <c r="AT9" i="1"/>
  <c r="AE12" i="1"/>
  <c r="AE14" i="1"/>
  <c r="AE15" i="1" s="1"/>
  <c r="AY14" i="1"/>
  <c r="BG14" i="1"/>
  <c r="BG8" i="1" s="1"/>
  <c r="X15" i="1"/>
  <c r="AF15" i="1"/>
  <c r="AR15" i="1"/>
  <c r="AZ15" i="1"/>
  <c r="U19" i="1"/>
  <c r="Z20" i="1" s="1"/>
  <c r="AO19" i="1"/>
  <c r="BE19" i="1"/>
  <c r="N20" i="1"/>
  <c r="V20" i="1"/>
  <c r="AD20" i="1"/>
  <c r="AH20" i="1"/>
  <c r="AL20" i="1"/>
  <c r="AP20" i="1"/>
  <c r="AT20" i="1"/>
  <c r="AX20" i="1"/>
  <c r="BB20" i="1"/>
  <c r="L21" i="1"/>
  <c r="V21" i="1"/>
  <c r="V22" i="1" s="1"/>
  <c r="AL21" i="1"/>
  <c r="AL22" i="1" s="1"/>
  <c r="AX21" i="1"/>
  <c r="AX22" i="1" s="1"/>
  <c r="BB21" i="1"/>
  <c r="BB22" i="1" s="1"/>
  <c r="R96" i="1"/>
  <c r="R89" i="1"/>
  <c r="R84" i="1"/>
  <c r="V96" i="1"/>
  <c r="V89" i="1"/>
  <c r="V84" i="1"/>
  <c r="AD96" i="1"/>
  <c r="AD89" i="1"/>
  <c r="AD84" i="1"/>
  <c r="AD85" i="1" s="1"/>
  <c r="AL96" i="1"/>
  <c r="AL89" i="1"/>
  <c r="AL84" i="1"/>
  <c r="AL85" i="1" s="1"/>
  <c r="AP96" i="1"/>
  <c r="AP89" i="1"/>
  <c r="AP84" i="1"/>
  <c r="AX96" i="1"/>
  <c r="AX89" i="1"/>
  <c r="AX84" i="1"/>
  <c r="AX85" i="1" s="1"/>
  <c r="BG84" i="1"/>
  <c r="Q26" i="1"/>
  <c r="Y26" i="1"/>
  <c r="AC26" i="1"/>
  <c r="AG26" i="1"/>
  <c r="AS26" i="1"/>
  <c r="AW26" i="1"/>
  <c r="BA26" i="1"/>
  <c r="U259" i="1"/>
  <c r="AO259" i="1"/>
  <c r="BE29" i="1"/>
  <c r="AE30" i="1"/>
  <c r="AY30" i="1"/>
  <c r="P31" i="1"/>
  <c r="P32" i="1" s="1"/>
  <c r="AJ31" i="1"/>
  <c r="AO32" i="1" s="1"/>
  <c r="BD31" i="1"/>
  <c r="BH31" i="1"/>
  <c r="S32" i="1"/>
  <c r="AA32" i="1"/>
  <c r="AM32" i="1"/>
  <c r="AM436" i="1"/>
  <c r="V33" i="1"/>
  <c r="AD33" i="1"/>
  <c r="AH33" i="1"/>
  <c r="AL33" i="1"/>
  <c r="AP33" i="1"/>
  <c r="AX33" i="1"/>
  <c r="BB33" i="1"/>
  <c r="N34" i="1"/>
  <c r="N36" i="1"/>
  <c r="S36" i="1"/>
  <c r="X34" i="1"/>
  <c r="X36" i="1"/>
  <c r="AC34" i="1"/>
  <c r="AH34" i="1"/>
  <c r="AH36" i="1"/>
  <c r="AM36" i="1"/>
  <c r="AR34" i="1"/>
  <c r="BX34" i="1" s="1"/>
  <c r="AR36" i="1"/>
  <c r="AW34" i="1"/>
  <c r="BB34" i="1"/>
  <c r="BB36" i="1"/>
  <c r="BX35" i="1"/>
  <c r="AE35" i="1"/>
  <c r="AY35" i="1"/>
  <c r="U38" i="1"/>
  <c r="AO38" i="1"/>
  <c r="AE39" i="1"/>
  <c r="BG39" i="1"/>
  <c r="BV39" i="1"/>
  <c r="L40" i="1"/>
  <c r="T40" i="1"/>
  <c r="X40" i="1"/>
  <c r="AB40" i="1"/>
  <c r="AN40" i="1"/>
  <c r="AR40" i="1"/>
  <c r="AV40" i="1"/>
  <c r="M41" i="1"/>
  <c r="R41" i="1"/>
  <c r="AB41" i="1"/>
  <c r="AG41" i="1"/>
  <c r="AL41" i="1"/>
  <c r="AV41" i="1"/>
  <c r="BA41" i="1"/>
  <c r="BF41" i="1"/>
  <c r="CD41" i="1"/>
  <c r="CD42" i="1" s="1"/>
  <c r="F231" i="1"/>
  <c r="F181" i="1"/>
  <c r="J181" i="1"/>
  <c r="K43" i="1"/>
  <c r="O181" i="1"/>
  <c r="O118" i="1"/>
  <c r="S181" i="1"/>
  <c r="S118" i="1"/>
  <c r="W118" i="1"/>
  <c r="W181" i="1"/>
  <c r="AA118" i="1"/>
  <c r="AA181" i="1"/>
  <c r="AE43" i="1"/>
  <c r="AI181" i="1"/>
  <c r="AI118" i="1"/>
  <c r="AM118" i="1"/>
  <c r="AM181" i="1"/>
  <c r="AQ118" i="1"/>
  <c r="AQ181" i="1"/>
  <c r="AU181" i="1"/>
  <c r="AU118" i="1"/>
  <c r="AY43" i="1"/>
  <c r="BC118" i="1"/>
  <c r="BC181" i="1"/>
  <c r="L44" i="1"/>
  <c r="T44" i="1"/>
  <c r="X44" i="1"/>
  <c r="AB44" i="1"/>
  <c r="AF44" i="1"/>
  <c r="AN44" i="1"/>
  <c r="AR44" i="1"/>
  <c r="AV44" i="1"/>
  <c r="AZ44" i="1"/>
  <c r="F45" i="1"/>
  <c r="J45" i="1"/>
  <c r="V48" i="1"/>
  <c r="V50" i="1" s="1"/>
  <c r="AD48" i="1"/>
  <c r="AD50" i="1" s="1"/>
  <c r="AP48" i="1"/>
  <c r="AP50" i="1" s="1"/>
  <c r="AX48" i="1"/>
  <c r="AX50" i="1" s="1"/>
  <c r="L49" i="1"/>
  <c r="L50" i="1" s="1"/>
  <c r="T49" i="1"/>
  <c r="T50" i="1" s="1"/>
  <c r="X49" i="1"/>
  <c r="X50" i="1" s="1"/>
  <c r="AB49" i="1"/>
  <c r="AB50" i="1" s="1"/>
  <c r="AF49" i="1"/>
  <c r="AF50" i="1" s="1"/>
  <c r="AN49" i="1"/>
  <c r="AN50" i="1" s="1"/>
  <c r="AR49" i="1"/>
  <c r="AR50" i="1" s="1"/>
  <c r="AV49" i="1"/>
  <c r="AV50" i="1" s="1"/>
  <c r="AZ49" i="1"/>
  <c r="AZ50" i="1" s="1"/>
  <c r="Z54" i="1"/>
  <c r="Z55" i="1"/>
  <c r="Z56" i="1" s="1"/>
  <c r="I80" i="1"/>
  <c r="I114" i="1" s="1"/>
  <c r="I78" i="1"/>
  <c r="M184" i="1"/>
  <c r="M202" i="1" s="1"/>
  <c r="Q184" i="1"/>
  <c r="Q202" i="1" s="1"/>
  <c r="U57" i="1"/>
  <c r="Z58" i="1" s="1"/>
  <c r="AA202" i="1"/>
  <c r="AG184" i="1"/>
  <c r="AF184" i="1"/>
  <c r="AF202" i="1" s="1"/>
  <c r="AI184" i="1"/>
  <c r="AI202" i="1" s="1"/>
  <c r="AO55" i="1"/>
  <c r="AO56" i="1" s="1"/>
  <c r="AT54" i="1"/>
  <c r="AY184" i="1"/>
  <c r="AY78" i="1"/>
  <c r="AY79" i="1" s="1"/>
  <c r="AY80" i="1"/>
  <c r="AY114" i="1" s="1"/>
  <c r="S58" i="1"/>
  <c r="W58" i="1"/>
  <c r="AA58" i="1"/>
  <c r="AE58" i="1"/>
  <c r="AY58" i="1"/>
  <c r="H59" i="1"/>
  <c r="L59" i="1"/>
  <c r="W59" i="1"/>
  <c r="W60" i="1" s="1"/>
  <c r="AB59" i="1"/>
  <c r="AF59" i="1"/>
  <c r="AF60" i="1" s="1"/>
  <c r="AM60" i="1"/>
  <c r="AQ60" i="1"/>
  <c r="AU60" i="1"/>
  <c r="CC61" i="1"/>
  <c r="CD62" i="1"/>
  <c r="CD66" i="1" s="1"/>
  <c r="Q73" i="1"/>
  <c r="M78" i="1"/>
  <c r="M79" i="1" s="1"/>
  <c r="M80" i="1"/>
  <c r="M114" i="1" s="1"/>
  <c r="R78" i="1"/>
  <c r="R80" i="1"/>
  <c r="R114" i="1" s="1"/>
  <c r="W78" i="1"/>
  <c r="W79" i="1" s="1"/>
  <c r="AB78" i="1"/>
  <c r="AG79" i="1" s="1"/>
  <c r="AV77" i="1"/>
  <c r="BD75" i="1"/>
  <c r="BG76" i="1"/>
  <c r="BG73" i="1" s="1"/>
  <c r="K76" i="1"/>
  <c r="BA79" i="1"/>
  <c r="Z76" i="1"/>
  <c r="AT80" i="1"/>
  <c r="AT114" i="1" s="1"/>
  <c r="S84" i="1"/>
  <c r="AC84" i="1"/>
  <c r="AM84" i="1"/>
  <c r="AW84" i="1"/>
  <c r="N84" i="1"/>
  <c r="N85" i="1" s="1"/>
  <c r="U87" i="1"/>
  <c r="U90" i="1"/>
  <c r="U89" i="1"/>
  <c r="AY84" i="1"/>
  <c r="I89" i="1"/>
  <c r="S91" i="1"/>
  <c r="AC91" i="1"/>
  <c r="AM91" i="1"/>
  <c r="AW91" i="1"/>
  <c r="BB89" i="1"/>
  <c r="U188" i="1"/>
  <c r="U96" i="1"/>
  <c r="U93" i="1"/>
  <c r="AO188" i="1"/>
  <c r="AO96" i="1"/>
  <c r="AO93" i="1"/>
  <c r="BI219" i="1"/>
  <c r="BI232" i="1" s="1"/>
  <c r="BI188" i="1"/>
  <c r="CE97" i="1"/>
  <c r="BI93" i="1"/>
  <c r="BN92" i="1"/>
  <c r="BE97" i="1"/>
  <c r="BE103" i="1" s="1"/>
  <c r="L101" i="1"/>
  <c r="P100" i="1"/>
  <c r="U101" i="1" s="1"/>
  <c r="AC106" i="1"/>
  <c r="AC99" i="1"/>
  <c r="AC98" i="1"/>
  <c r="AG106" i="1"/>
  <c r="AG99" i="1"/>
  <c r="AG98" i="1"/>
  <c r="AL99" i="1"/>
  <c r="AP98" i="1"/>
  <c r="J99" i="1"/>
  <c r="AD99" i="1"/>
  <c r="AO100" i="1"/>
  <c r="AH115" i="1"/>
  <c r="AH113" i="1" s="1"/>
  <c r="AH107" i="1"/>
  <c r="AH111" i="1"/>
  <c r="AH119" i="1"/>
  <c r="AX115" i="1"/>
  <c r="AX113" i="1" s="1"/>
  <c r="AX107" i="1"/>
  <c r="AX111" i="1"/>
  <c r="AX119" i="1"/>
  <c r="AX121" i="1" s="1"/>
  <c r="AZ108" i="1"/>
  <c r="AP118" i="1"/>
  <c r="P39" i="1"/>
  <c r="AJ39" i="1"/>
  <c r="BD39" i="1"/>
  <c r="BH39" i="1"/>
  <c r="BW39" i="1"/>
  <c r="M40" i="1"/>
  <c r="Y40" i="1"/>
  <c r="AC40" i="1"/>
  <c r="AG40" i="1"/>
  <c r="AS40" i="1"/>
  <c r="AW40" i="1"/>
  <c r="BA40" i="1"/>
  <c r="N41" i="1"/>
  <c r="AH41" i="1"/>
  <c r="BB41" i="1"/>
  <c r="BX41" i="1" s="1"/>
  <c r="O42" i="1"/>
  <c r="AE42" i="1"/>
  <c r="AY42" i="1"/>
  <c r="L181" i="1"/>
  <c r="L118" i="1"/>
  <c r="P43" i="1"/>
  <c r="T181" i="1"/>
  <c r="T118" i="1"/>
  <c r="X181" i="1"/>
  <c r="X118" i="1"/>
  <c r="AB181" i="1"/>
  <c r="AB118" i="1"/>
  <c r="AF181" i="1"/>
  <c r="AF118" i="1"/>
  <c r="AJ43" i="1"/>
  <c r="AN181" i="1"/>
  <c r="AN118" i="1"/>
  <c r="AR181" i="1"/>
  <c r="AR118" i="1"/>
  <c r="AV181" i="1"/>
  <c r="AV118" i="1"/>
  <c r="AZ181" i="1"/>
  <c r="AZ118" i="1"/>
  <c r="AZ121" i="1"/>
  <c r="BD43" i="1"/>
  <c r="BD42" i="1" s="1"/>
  <c r="Q44" i="1"/>
  <c r="Y44" i="1"/>
  <c r="AC44" i="1"/>
  <c r="AG44" i="1"/>
  <c r="AK44" i="1"/>
  <c r="AS44" i="1"/>
  <c r="AW44" i="1"/>
  <c r="BA44" i="1"/>
  <c r="N45" i="1"/>
  <c r="R45" i="1"/>
  <c r="V45" i="1"/>
  <c r="AD45" i="1"/>
  <c r="AH45" i="1"/>
  <c r="AL45" i="1"/>
  <c r="AP45" i="1"/>
  <c r="AX45" i="1"/>
  <c r="BB45" i="1"/>
  <c r="G45" i="1"/>
  <c r="O48" i="1"/>
  <c r="AA48" i="1"/>
  <c r="AI48" i="1"/>
  <c r="AU48" i="1"/>
  <c r="BC48" i="1"/>
  <c r="Y49" i="1"/>
  <c r="Y50" i="1" s="1"/>
  <c r="AS49" i="1"/>
  <c r="AS50" i="1" s="1"/>
  <c r="BF53" i="1"/>
  <c r="BF54" i="1" s="1"/>
  <c r="BB56" i="1"/>
  <c r="F184" i="1"/>
  <c r="F202" i="1" s="1"/>
  <c r="F78" i="1"/>
  <c r="J184" i="1"/>
  <c r="J202" i="1" s="1"/>
  <c r="J78" i="1"/>
  <c r="N184" i="1"/>
  <c r="N202" i="1" s="1"/>
  <c r="R184" i="1"/>
  <c r="R202" i="1" s="1"/>
  <c r="V184" i="1"/>
  <c r="V202" i="1" s="1"/>
  <c r="AC184" i="1"/>
  <c r="AC202" i="1" s="1"/>
  <c r="AB184" i="1"/>
  <c r="AB202" i="1" s="1"/>
  <c r="AJ184" i="1"/>
  <c r="AJ80" i="1"/>
  <c r="AJ114" i="1" s="1"/>
  <c r="AT55" i="1"/>
  <c r="AT56" i="1" s="1"/>
  <c r="BD184" i="1"/>
  <c r="BD80" i="1"/>
  <c r="BD114" i="1" s="1"/>
  <c r="BD78" i="1"/>
  <c r="BD79" i="1" s="1"/>
  <c r="L58" i="1"/>
  <c r="T58" i="1"/>
  <c r="AB58" i="1"/>
  <c r="AF58" i="1"/>
  <c r="AJ58" i="1"/>
  <c r="BD58" i="1"/>
  <c r="I59" i="1"/>
  <c r="M59" i="1"/>
  <c r="T59" i="1"/>
  <c r="T60" i="1" s="1"/>
  <c r="CD61" i="1"/>
  <c r="R73" i="1"/>
  <c r="N78" i="1"/>
  <c r="N79" i="1" s="1"/>
  <c r="N80" i="1"/>
  <c r="N114" i="1" s="1"/>
  <c r="S78" i="1"/>
  <c r="S79" i="1" s="1"/>
  <c r="X75" i="1"/>
  <c r="X76" i="1"/>
  <c r="AC74" i="1"/>
  <c r="AZ77" i="1"/>
  <c r="G78" i="1"/>
  <c r="BB79" i="1"/>
  <c r="P76" i="1"/>
  <c r="P77" i="1" s="1"/>
  <c r="Z80" i="1"/>
  <c r="Z114" i="1" s="1"/>
  <c r="AJ78" i="1"/>
  <c r="AJ79" i="1" s="1"/>
  <c r="AO358" i="1"/>
  <c r="AO360" i="1" s="1"/>
  <c r="AO186" i="1"/>
  <c r="AO84" i="1"/>
  <c r="AO82" i="1"/>
  <c r="BA84" i="1"/>
  <c r="Z90" i="1"/>
  <c r="Z91" i="1" s="1"/>
  <c r="AJ90" i="1"/>
  <c r="AJ91" i="1" s="1"/>
  <c r="AY90" i="1"/>
  <c r="AY91" i="1" s="1"/>
  <c r="N89" i="1"/>
  <c r="X89" i="1"/>
  <c r="AH89" i="1"/>
  <c r="AR89" i="1"/>
  <c r="BH86" i="1"/>
  <c r="Z188" i="1"/>
  <c r="Z96" i="1"/>
  <c r="Z93" i="1"/>
  <c r="AT188" i="1"/>
  <c r="AT96" i="1"/>
  <c r="AT93" i="1"/>
  <c r="AE93" i="1"/>
  <c r="AE96" i="1"/>
  <c r="AU96" i="1"/>
  <c r="BA106" i="1"/>
  <c r="BA99" i="1"/>
  <c r="BA98" i="1"/>
  <c r="M106" i="1"/>
  <c r="R107" i="1" s="1"/>
  <c r="M99" i="1"/>
  <c r="M98" i="1"/>
  <c r="Q106" i="1"/>
  <c r="Q99" i="1"/>
  <c r="Q98" i="1"/>
  <c r="U106" i="1"/>
  <c r="U98" i="1"/>
  <c r="Y106" i="1"/>
  <c r="Y98" i="1"/>
  <c r="AD98" i="1"/>
  <c r="BX99" i="1"/>
  <c r="M100" i="1"/>
  <c r="M101" i="1" s="1"/>
  <c r="AC100" i="1"/>
  <c r="AC101" i="1" s="1"/>
  <c r="AS100" i="1"/>
  <c r="AS101" i="1" s="1"/>
  <c r="BD100" i="1"/>
  <c r="BD106" i="1"/>
  <c r="K98" i="1"/>
  <c r="K100" i="1"/>
  <c r="K101" i="1" s="1"/>
  <c r="Z98" i="1"/>
  <c r="Z100" i="1"/>
  <c r="Z101" i="1" s="1"/>
  <c r="AJ100" i="1"/>
  <c r="AJ101" i="1" s="1"/>
  <c r="AJ106" i="1"/>
  <c r="AT98" i="1"/>
  <c r="AT100" i="1"/>
  <c r="AT101" i="1" s="1"/>
  <c r="F106" i="1"/>
  <c r="V106" i="1"/>
  <c r="AL115" i="1"/>
  <c r="AL113" i="1" s="1"/>
  <c r="AL119" i="1"/>
  <c r="AL107" i="1"/>
  <c r="AL111" i="1"/>
  <c r="AL108" i="1"/>
  <c r="R118" i="1"/>
  <c r="AX118" i="1"/>
  <c r="O20" i="1"/>
  <c r="M22" i="1"/>
  <c r="O89" i="1"/>
  <c r="O84" i="1"/>
  <c r="O85" i="1" s="1"/>
  <c r="AA89" i="1"/>
  <c r="AA84" i="1"/>
  <c r="AA85" i="1" s="1"/>
  <c r="AQ89" i="1"/>
  <c r="AQ84" i="1"/>
  <c r="AQ85" i="1" s="1"/>
  <c r="BC84" i="1"/>
  <c r="BC96" i="1"/>
  <c r="BC89" i="1"/>
  <c r="W33" i="1"/>
  <c r="AA33" i="1"/>
  <c r="AI33" i="1"/>
  <c r="AM33" i="1"/>
  <c r="AQ33" i="1"/>
  <c r="AU33" i="1"/>
  <c r="BC33" i="1"/>
  <c r="BG33" i="1"/>
  <c r="T36" i="1"/>
  <c r="AD34" i="1"/>
  <c r="AN36" i="1"/>
  <c r="AS34" i="1"/>
  <c r="BY34" i="1" s="1"/>
  <c r="AX34" i="1"/>
  <c r="BY35" i="1"/>
  <c r="Z35" i="1"/>
  <c r="AT35" i="1"/>
  <c r="BF8" i="1"/>
  <c r="P9" i="1"/>
  <c r="T20" i="1"/>
  <c r="X20" i="1"/>
  <c r="AB20" i="1"/>
  <c r="AF20" i="1"/>
  <c r="AN20" i="1"/>
  <c r="AR20" i="1"/>
  <c r="AV20" i="1"/>
  <c r="AZ20" i="1"/>
  <c r="BE24" i="1"/>
  <c r="L89" i="1"/>
  <c r="L84" i="1"/>
  <c r="L96" i="1"/>
  <c r="T96" i="1"/>
  <c r="T89" i="1"/>
  <c r="T84" i="1"/>
  <c r="T85" i="1" s="1"/>
  <c r="AB89" i="1"/>
  <c r="AB84" i="1"/>
  <c r="AB85" i="1" s="1"/>
  <c r="AB96" i="1"/>
  <c r="AN96" i="1"/>
  <c r="AN89" i="1"/>
  <c r="AN84" i="1"/>
  <c r="AN85" i="1" s="1"/>
  <c r="AV89" i="1"/>
  <c r="AV84" i="1"/>
  <c r="AV85" i="1" s="1"/>
  <c r="AV96" i="1"/>
  <c r="S26" i="1"/>
  <c r="W26" i="1"/>
  <c r="AA26" i="1"/>
  <c r="AE26" i="1"/>
  <c r="AI26" i="1"/>
  <c r="AQ26" i="1"/>
  <c r="AU26" i="1"/>
  <c r="BC26" i="1"/>
  <c r="N26" i="1"/>
  <c r="K276" i="1"/>
  <c r="K259" i="1"/>
  <c r="U30" i="1"/>
  <c r="AO30" i="1"/>
  <c r="Z31" i="1"/>
  <c r="AT31" i="1"/>
  <c r="BF31" i="1"/>
  <c r="Q32" i="1"/>
  <c r="AK32" i="1"/>
  <c r="AF33" i="1"/>
  <c r="AZ33" i="1"/>
  <c r="L36" i="1"/>
  <c r="AF36" i="1"/>
  <c r="AK36" i="1"/>
  <c r="AZ36" i="1"/>
  <c r="K35" i="1"/>
  <c r="K48" i="1" s="1"/>
  <c r="K50" i="1" s="1"/>
  <c r="U35" i="1"/>
  <c r="AO35" i="1"/>
  <c r="U39" i="1"/>
  <c r="AO39" i="1"/>
  <c r="BX39" i="1"/>
  <c r="N40" i="1"/>
  <c r="R40" i="1"/>
  <c r="V40" i="1"/>
  <c r="AD40" i="1"/>
  <c r="AH40" i="1"/>
  <c r="AL40" i="1"/>
  <c r="AP40" i="1"/>
  <c r="AX40" i="1"/>
  <c r="BB40" i="1"/>
  <c r="AD41" i="1"/>
  <c r="AX41" i="1"/>
  <c r="BY41" i="1" s="1"/>
  <c r="I42" i="1"/>
  <c r="L42" i="1"/>
  <c r="T42" i="1"/>
  <c r="X42" i="1"/>
  <c r="AB42" i="1"/>
  <c r="AF42" i="1"/>
  <c r="AN42" i="1"/>
  <c r="AR42" i="1"/>
  <c r="AV42" i="1"/>
  <c r="AZ42" i="1"/>
  <c r="Q181" i="1"/>
  <c r="Q118" i="1"/>
  <c r="Y181" i="1"/>
  <c r="Y118" i="1"/>
  <c r="AG181" i="1"/>
  <c r="AG118" i="1"/>
  <c r="AW181" i="1"/>
  <c r="AW118" i="1"/>
  <c r="N44" i="1"/>
  <c r="R44" i="1"/>
  <c r="V44" i="1"/>
  <c r="AD44" i="1"/>
  <c r="AH44" i="1"/>
  <c r="AL44" i="1"/>
  <c r="AP44" i="1"/>
  <c r="AX44" i="1"/>
  <c r="BB44" i="1"/>
  <c r="O45" i="1"/>
  <c r="S45" i="1"/>
  <c r="W45" i="1"/>
  <c r="AA45" i="1"/>
  <c r="AI45" i="1"/>
  <c r="AM45" i="1"/>
  <c r="AQ45" i="1"/>
  <c r="AU45" i="1"/>
  <c r="BC45" i="1"/>
  <c r="H45" i="1"/>
  <c r="M46" i="1" s="1"/>
  <c r="P54" i="1"/>
  <c r="K57" i="1"/>
  <c r="O184" i="1"/>
  <c r="O202" i="1" s="1"/>
  <c r="S184" i="1"/>
  <c r="S202" i="1" s="1"/>
  <c r="Y184" i="1"/>
  <c r="Y202" i="1" s="1"/>
  <c r="W184" i="1"/>
  <c r="W202" i="1" s="1"/>
  <c r="AH184" i="1"/>
  <c r="AH202" i="1" s="1"/>
  <c r="AD184" i="1"/>
  <c r="AD202" i="1" s="1"/>
  <c r="AO184" i="1"/>
  <c r="AO80" i="1"/>
  <c r="AO114" i="1" s="1"/>
  <c r="AO78" i="1"/>
  <c r="AO79" i="1" s="1"/>
  <c r="M58" i="1"/>
  <c r="Q58" i="1"/>
  <c r="Y58" i="1"/>
  <c r="AG58" i="1"/>
  <c r="AK58" i="1"/>
  <c r="AO58" i="1"/>
  <c r="J59" i="1"/>
  <c r="O60" i="1" s="1"/>
  <c r="N59" i="1"/>
  <c r="Z59" i="1"/>
  <c r="AD59" i="1"/>
  <c r="AD60" i="1" s="1"/>
  <c r="AT59" i="1"/>
  <c r="AT60" i="1" s="1"/>
  <c r="S73" i="1"/>
  <c r="K74" i="1"/>
  <c r="O78" i="1"/>
  <c r="O80" i="1"/>
  <c r="O114" i="1" s="1"/>
  <c r="T78" i="1"/>
  <c r="T79" i="1" s="1"/>
  <c r="T80" i="1"/>
  <c r="T114" i="1" s="1"/>
  <c r="AD78" i="1"/>
  <c r="AD79" i="1" s="1"/>
  <c r="AD80" i="1"/>
  <c r="AD114" i="1" s="1"/>
  <c r="K75" i="1"/>
  <c r="AT75" i="1"/>
  <c r="X84" i="1"/>
  <c r="X85" i="1" s="1"/>
  <c r="AH84" i="1"/>
  <c r="AH85" i="1" s="1"/>
  <c r="AR84" i="1"/>
  <c r="AR85" i="1" s="1"/>
  <c r="K90" i="1"/>
  <c r="K91" i="1" s="1"/>
  <c r="K87" i="1"/>
  <c r="AO87" i="1"/>
  <c r="AO90" i="1"/>
  <c r="AO91" i="1" s="1"/>
  <c r="AO89" i="1"/>
  <c r="BD90" i="1"/>
  <c r="BD91" i="1" s="1"/>
  <c r="AT87" i="1"/>
  <c r="BG219" i="1"/>
  <c r="BG221" i="1" s="1"/>
  <c r="BG188" i="1"/>
  <c r="BG94" i="1"/>
  <c r="AY93" i="1"/>
  <c r="AI96" i="1"/>
  <c r="AY96" i="1"/>
  <c r="BB99" i="1"/>
  <c r="I106" i="1"/>
  <c r="I99" i="1"/>
  <c r="N99" i="1"/>
  <c r="R99" i="1"/>
  <c r="V98" i="1"/>
  <c r="AW106" i="1"/>
  <c r="AW99" i="1"/>
  <c r="AW98" i="1"/>
  <c r="P98" i="1"/>
  <c r="Q100" i="1"/>
  <c r="Q101" i="1" s="1"/>
  <c r="AG100" i="1"/>
  <c r="AG101" i="1" s="1"/>
  <c r="AW100" i="1"/>
  <c r="AW101" i="1" s="1"/>
  <c r="J106" i="1"/>
  <c r="Z106" i="1"/>
  <c r="AP115" i="1"/>
  <c r="AP113" i="1" s="1"/>
  <c r="AP107" i="1"/>
  <c r="AP111" i="1"/>
  <c r="AP119" i="1"/>
  <c r="AP121" i="1" s="1"/>
  <c r="BB115" i="1"/>
  <c r="BB113" i="1" s="1"/>
  <c r="BB119" i="1"/>
  <c r="BB111" i="1"/>
  <c r="BB108" i="1"/>
  <c r="AP108" i="1"/>
  <c r="AH109" i="1"/>
  <c r="AX109" i="1"/>
  <c r="P75" i="1"/>
  <c r="Z358" i="1"/>
  <c r="Z360" i="1" s="1"/>
  <c r="Z186" i="1"/>
  <c r="AE76" i="1"/>
  <c r="AE77" i="1" s="1"/>
  <c r="AJ75" i="1"/>
  <c r="AT358" i="1"/>
  <c r="AT360" i="1" s="1"/>
  <c r="AT186" i="1"/>
  <c r="AY76" i="1"/>
  <c r="AY77" i="1" s="1"/>
  <c r="Z84" i="1"/>
  <c r="Z85" i="1" s="1"/>
  <c r="AT84" i="1"/>
  <c r="AT85" i="1" s="1"/>
  <c r="AE87" i="1"/>
  <c r="AY87" i="1"/>
  <c r="AZ91" i="1"/>
  <c r="P89" i="1"/>
  <c r="Z89" i="1"/>
  <c r="AE89" i="1"/>
  <c r="AJ89" i="1"/>
  <c r="AT89" i="1"/>
  <c r="AY89" i="1"/>
  <c r="BD219" i="1"/>
  <c r="BD221" i="1" s="1"/>
  <c r="BD188" i="1"/>
  <c r="BH219" i="1"/>
  <c r="BH221" i="1" s="1"/>
  <c r="BH188" i="1"/>
  <c r="BD93" i="1"/>
  <c r="CD97" i="1"/>
  <c r="L99" i="1"/>
  <c r="V99" i="1"/>
  <c r="AA99" i="1"/>
  <c r="AF99" i="1"/>
  <c r="AP99" i="1"/>
  <c r="AU99" i="1"/>
  <c r="AZ99" i="1"/>
  <c r="N100" i="1"/>
  <c r="N101" i="1" s="1"/>
  <c r="R100" i="1"/>
  <c r="R101" i="1" s="1"/>
  <c r="V100" i="1"/>
  <c r="V101" i="1" s="1"/>
  <c r="AD100" i="1"/>
  <c r="AD101" i="1" s="1"/>
  <c r="AH100" i="1"/>
  <c r="AH101" i="1" s="1"/>
  <c r="AL100" i="1"/>
  <c r="AL101" i="1" s="1"/>
  <c r="AP100" i="1"/>
  <c r="AP101" i="1" s="1"/>
  <c r="AX100" i="1"/>
  <c r="BB100" i="1"/>
  <c r="G106" i="1"/>
  <c r="O106" i="1"/>
  <c r="S106" i="1"/>
  <c r="W106" i="1"/>
  <c r="AA106" i="1"/>
  <c r="AE106" i="1"/>
  <c r="AI106" i="1"/>
  <c r="AM106" i="1"/>
  <c r="AQ106" i="1"/>
  <c r="AU106" i="1"/>
  <c r="AY106" i="1"/>
  <c r="BC106" i="1"/>
  <c r="AZ107" i="1"/>
  <c r="BI155" i="1"/>
  <c r="AU164" i="1"/>
  <c r="AE358" i="1"/>
  <c r="AE360" i="1" s="1"/>
  <c r="AE186" i="1"/>
  <c r="AT74" i="1"/>
  <c r="AY358" i="1"/>
  <c r="AY360" i="1" s="1"/>
  <c r="AY186" i="1"/>
  <c r="Z82" i="1"/>
  <c r="AT82" i="1"/>
  <c r="P84" i="1"/>
  <c r="P87" i="1"/>
  <c r="AJ87" i="1"/>
  <c r="BD87" i="1"/>
  <c r="BD89" i="1"/>
  <c r="BG90" i="1"/>
  <c r="BG86" i="1" s="1"/>
  <c r="BE219" i="1"/>
  <c r="BE188" i="1"/>
  <c r="BD96" i="1"/>
  <c r="N98" i="1"/>
  <c r="R98" i="1"/>
  <c r="AH98" i="1"/>
  <c r="AL98" i="1"/>
  <c r="BB98" i="1"/>
  <c r="H99" i="1"/>
  <c r="W99" i="1"/>
  <c r="AB99" i="1"/>
  <c r="AQ99" i="1"/>
  <c r="AV99" i="1"/>
  <c r="O100" i="1"/>
  <c r="O101" i="1" s="1"/>
  <c r="S100" i="1"/>
  <c r="S101" i="1" s="1"/>
  <c r="W100" i="1"/>
  <c r="W101" i="1" s="1"/>
  <c r="AA100" i="1"/>
  <c r="AA101" i="1" s="1"/>
  <c r="AE100" i="1"/>
  <c r="AE101" i="1" s="1"/>
  <c r="AI100" i="1"/>
  <c r="AI101" i="1" s="1"/>
  <c r="AM100" i="1"/>
  <c r="AQ100" i="1"/>
  <c r="AQ101" i="1" s="1"/>
  <c r="AU100" i="1"/>
  <c r="AU101" i="1" s="1"/>
  <c r="AY100" i="1"/>
  <c r="AY101" i="1" s="1"/>
  <c r="BC100" i="1"/>
  <c r="H106" i="1"/>
  <c r="L106" i="1"/>
  <c r="P106" i="1"/>
  <c r="T106" i="1"/>
  <c r="X106" i="1"/>
  <c r="AB106" i="1"/>
  <c r="AF106" i="1"/>
  <c r="AN106" i="1"/>
  <c r="AR106" i="1"/>
  <c r="AV106" i="1"/>
  <c r="AZ109" i="1"/>
  <c r="AZ115" i="1"/>
  <c r="AZ113" i="1" s="1"/>
  <c r="AJ174" i="1"/>
  <c r="BD358" i="1"/>
  <c r="BD360" i="1" s="1"/>
  <c r="BD186" i="1"/>
  <c r="AJ358" i="1"/>
  <c r="AJ360" i="1" s="1"/>
  <c r="AJ186" i="1"/>
  <c r="K82" i="1"/>
  <c r="AE82" i="1"/>
  <c r="AY82" i="1"/>
  <c r="BD84" i="1"/>
  <c r="BD85" i="1" s="1"/>
  <c r="AJ84" i="1"/>
  <c r="AJ85" i="1" s="1"/>
  <c r="BF219" i="1"/>
  <c r="BF221" i="1" s="1"/>
  <c r="BF188" i="1"/>
  <c r="BH94" i="1"/>
  <c r="S98" i="1"/>
  <c r="AM98" i="1"/>
  <c r="BC98" i="1"/>
  <c r="X99" i="1"/>
  <c r="AR99" i="1"/>
  <c r="BE299" i="1"/>
  <c r="BE241" i="1"/>
  <c r="AV161" i="1"/>
  <c r="BI138" i="1"/>
  <c r="AD161" i="1"/>
  <c r="AH161" i="1"/>
  <c r="AL161" i="1"/>
  <c r="AX161" i="1"/>
  <c r="BB161" i="1"/>
  <c r="AB162" i="1"/>
  <c r="AN162" i="1"/>
  <c r="AR162" i="1"/>
  <c r="AV162" i="1"/>
  <c r="AG164" i="1"/>
  <c r="AL164" i="1"/>
  <c r="AW164" i="1"/>
  <c r="BB164" i="1"/>
  <c r="AC165" i="1"/>
  <c r="AN165" i="1"/>
  <c r="AS165" i="1"/>
  <c r="Y167" i="1"/>
  <c r="U167" i="1"/>
  <c r="AF174" i="1"/>
  <c r="AA276" i="1"/>
  <c r="AA259" i="1"/>
  <c r="AA200" i="1"/>
  <c r="AI276" i="1"/>
  <c r="AI259" i="1"/>
  <c r="AI200" i="1"/>
  <c r="AN202" i="1"/>
  <c r="AX202" i="1"/>
  <c r="X204" i="1"/>
  <c r="AR204" i="1"/>
  <c r="T206" i="1"/>
  <c r="AN206" i="1"/>
  <c r="AF211" i="1"/>
  <c r="AZ211" i="1"/>
  <c r="AB212" i="1"/>
  <c r="AV212" i="1"/>
  <c r="Z195" i="1"/>
  <c r="AE195" i="1"/>
  <c r="AJ195" i="1"/>
  <c r="AO195" i="1"/>
  <c r="AT195" i="1"/>
  <c r="AY195" i="1"/>
  <c r="BD195" i="1"/>
  <c r="AC162" i="1"/>
  <c r="AG162" i="1"/>
  <c r="AS162" i="1"/>
  <c r="AW162" i="1"/>
  <c r="BA162" i="1"/>
  <c r="Y165" i="1"/>
  <c r="AO163" i="1"/>
  <c r="AH164" i="1"/>
  <c r="AS164" i="1"/>
  <c r="AX164" i="1"/>
  <c r="X165" i="1"/>
  <c r="V167" i="1"/>
  <c r="W276" i="1"/>
  <c r="W259" i="1"/>
  <c r="W200" i="1"/>
  <c r="AU276" i="1"/>
  <c r="AU259" i="1"/>
  <c r="AU200" i="1"/>
  <c r="BC276" i="1"/>
  <c r="BH276" i="1" s="1"/>
  <c r="BC258" i="1"/>
  <c r="BC200" i="1"/>
  <c r="AP202" i="1"/>
  <c r="AZ202" i="1"/>
  <c r="J204" i="1"/>
  <c r="T204" i="1"/>
  <c r="AN204" i="1"/>
  <c r="L206" i="1"/>
  <c r="AF206" i="1"/>
  <c r="AZ206" i="1"/>
  <c r="AB211" i="1"/>
  <c r="AV211" i="1"/>
  <c r="T212" i="1"/>
  <c r="X212" i="1"/>
  <c r="AR212" i="1"/>
  <c r="BG134" i="1"/>
  <c r="BF139" i="1"/>
  <c r="BF142" i="1" s="1"/>
  <c r="BG140" i="1"/>
  <c r="BH140" i="1" s="1"/>
  <c r="K195" i="1"/>
  <c r="P195" i="1"/>
  <c r="Z139" i="1"/>
  <c r="Z142" i="1" s="1"/>
  <c r="AE139" i="1"/>
  <c r="AE142" i="1" s="1"/>
  <c r="AJ139" i="1"/>
  <c r="AJ142" i="1" s="1"/>
  <c r="N24" i="38" s="1"/>
  <c r="AO139" i="1"/>
  <c r="AO142" i="1" s="1"/>
  <c r="O24" i="38" s="1"/>
  <c r="AT139" i="1"/>
  <c r="AT142" i="1" s="1"/>
  <c r="P24" i="38" s="1"/>
  <c r="AY139" i="1"/>
  <c r="AY142" i="1" s="1"/>
  <c r="Q24" i="38" s="1"/>
  <c r="BD139" i="1"/>
  <c r="BD142" i="1" s="1"/>
  <c r="R24" i="38" s="1"/>
  <c r="BF154" i="1"/>
  <c r="BD157" i="1"/>
  <c r="Z163" i="1"/>
  <c r="AD165" i="1"/>
  <c r="AH165" i="1"/>
  <c r="AL165" i="1"/>
  <c r="AP165" i="1"/>
  <c r="AX165" i="1"/>
  <c r="BB165" i="1"/>
  <c r="BF163" i="1"/>
  <c r="Y164" i="1"/>
  <c r="AD164" i="1"/>
  <c r="AK165" i="1"/>
  <c r="AV165" i="1"/>
  <c r="BA165" i="1"/>
  <c r="W167" i="1"/>
  <c r="BI174" i="1"/>
  <c r="AC174" i="1"/>
  <c r="S276" i="1"/>
  <c r="S259" i="1"/>
  <c r="S200" i="1"/>
  <c r="AQ276" i="1"/>
  <c r="AQ259" i="1"/>
  <c r="AQ200" i="1"/>
  <c r="AL202" i="1"/>
  <c r="AV202" i="1"/>
  <c r="L204" i="1"/>
  <c r="AF204" i="1"/>
  <c r="AZ204" i="1"/>
  <c r="AB206" i="1"/>
  <c r="AV206" i="1"/>
  <c r="L211" i="1"/>
  <c r="T211" i="1"/>
  <c r="X211" i="1"/>
  <c r="AR211" i="1"/>
  <c r="L212" i="1"/>
  <c r="AN212" i="1"/>
  <c r="BF195" i="1"/>
  <c r="K139" i="1"/>
  <c r="K142" i="1" s="1"/>
  <c r="P139" i="1"/>
  <c r="P142" i="1" s="1"/>
  <c r="AE163" i="1"/>
  <c r="AF164" i="1" s="1"/>
  <c r="AY163" i="1"/>
  <c r="AY160" i="1" s="1"/>
  <c r="AP164" i="1"/>
  <c r="AB165" i="1"/>
  <c r="AR165" i="1"/>
  <c r="X167" i="1"/>
  <c r="K174" i="1"/>
  <c r="AE174" i="1"/>
  <c r="O276" i="1"/>
  <c r="O259" i="1"/>
  <c r="O200" i="1"/>
  <c r="AM259" i="1"/>
  <c r="AM276" i="1"/>
  <c r="AM200" i="1"/>
  <c r="AR202" i="1"/>
  <c r="BB202" i="1"/>
  <c r="AB204" i="1"/>
  <c r="AV204" i="1"/>
  <c r="X206" i="1"/>
  <c r="AR206" i="1"/>
  <c r="AN211" i="1"/>
  <c r="AF212" i="1"/>
  <c r="AZ212" i="1"/>
  <c r="Y235" i="1"/>
  <c r="Y233" i="1"/>
  <c r="Y227" i="1"/>
  <c r="J259" i="1"/>
  <c r="J276" i="1"/>
  <c r="N276" i="1"/>
  <c r="N259" i="1"/>
  <c r="R276" i="1"/>
  <c r="R259" i="1"/>
  <c r="V276" i="1"/>
  <c r="V259" i="1"/>
  <c r="AD276" i="1"/>
  <c r="AD259" i="1"/>
  <c r="AH276" i="1"/>
  <c r="AH259" i="1"/>
  <c r="AL276" i="1"/>
  <c r="AL259" i="1"/>
  <c r="AP276" i="1"/>
  <c r="AP259" i="1"/>
  <c r="AX276" i="1"/>
  <c r="AX259" i="1"/>
  <c r="BB276" i="1"/>
  <c r="BG276" i="1" s="1"/>
  <c r="BB258" i="1"/>
  <c r="N204" i="1"/>
  <c r="R204" i="1"/>
  <c r="V204" i="1"/>
  <c r="AD204" i="1"/>
  <c r="AH204" i="1"/>
  <c r="AL204" i="1"/>
  <c r="AP204" i="1"/>
  <c r="AX204" i="1"/>
  <c r="BB204" i="1"/>
  <c r="L195" i="1"/>
  <c r="L213" i="1" s="1"/>
  <c r="T195" i="1"/>
  <c r="T213" i="1" s="1"/>
  <c r="X195" i="1"/>
  <c r="X213" i="1" s="1"/>
  <c r="AB195" i="1"/>
  <c r="AB213" i="1" s="1"/>
  <c r="AF195" i="1"/>
  <c r="AF213" i="1" s="1"/>
  <c r="AN195" i="1"/>
  <c r="AN213" i="1" s="1"/>
  <c r="AR195" i="1"/>
  <c r="AR213" i="1" s="1"/>
  <c r="AV195" i="1"/>
  <c r="AV213" i="1" s="1"/>
  <c r="AZ195" i="1"/>
  <c r="AZ213" i="1" s="1"/>
  <c r="F212" i="1"/>
  <c r="J200" i="1"/>
  <c r="N200" i="1"/>
  <c r="R200" i="1"/>
  <c r="V200" i="1"/>
  <c r="AD200" i="1"/>
  <c r="AH200" i="1"/>
  <c r="AL200" i="1"/>
  <c r="AP200" i="1"/>
  <c r="AX200" i="1"/>
  <c r="BB200" i="1"/>
  <c r="Z221" i="1"/>
  <c r="AP221" i="1"/>
  <c r="P223" i="1"/>
  <c r="AT223" i="1"/>
  <c r="I225" i="1"/>
  <c r="Z223" i="1"/>
  <c r="AX227" i="1"/>
  <c r="AX233" i="1" s="1"/>
  <c r="AV233" i="1"/>
  <c r="I233" i="1"/>
  <c r="J228" i="1"/>
  <c r="I227" i="1"/>
  <c r="AH228" i="1"/>
  <c r="AG227" i="1"/>
  <c r="BD232" i="1"/>
  <c r="X236" i="1"/>
  <c r="X235" i="1" s="1"/>
  <c r="W248" i="1"/>
  <c r="W235" i="1"/>
  <c r="AC248" i="1"/>
  <c r="AD247" i="1"/>
  <c r="AE247" i="1"/>
  <c r="F254" i="1"/>
  <c r="F256" i="1" s="1"/>
  <c r="K250" i="1"/>
  <c r="G250" i="1"/>
  <c r="G251" i="1" s="1"/>
  <c r="AQ249" i="1"/>
  <c r="AR249" i="1" s="1"/>
  <c r="AS249" i="1" s="1"/>
  <c r="AT249" i="1"/>
  <c r="AU249" i="1" s="1"/>
  <c r="AM202" i="1"/>
  <c r="AQ202" i="1"/>
  <c r="AU202" i="1"/>
  <c r="BC202" i="1"/>
  <c r="O204" i="1"/>
  <c r="S204" i="1"/>
  <c r="W204" i="1"/>
  <c r="AA204" i="1"/>
  <c r="AI204" i="1"/>
  <c r="AM204" i="1"/>
  <c r="AQ204" i="1"/>
  <c r="AU204" i="1"/>
  <c r="BC204" i="1"/>
  <c r="F276" i="1"/>
  <c r="F259" i="1"/>
  <c r="F200" i="1"/>
  <c r="F204" i="1"/>
  <c r="M206" i="1"/>
  <c r="Q206" i="1"/>
  <c r="Y206" i="1"/>
  <c r="AC206" i="1"/>
  <c r="AG206" i="1"/>
  <c r="AK206" i="1"/>
  <c r="AS206" i="1"/>
  <c r="AW206" i="1"/>
  <c r="BA206" i="1"/>
  <c r="M211" i="1"/>
  <c r="Q211" i="1"/>
  <c r="Y211" i="1"/>
  <c r="AC211" i="1"/>
  <c r="AG211" i="1"/>
  <c r="AK211" i="1"/>
  <c r="AS211" i="1"/>
  <c r="AW211" i="1"/>
  <c r="BA211" i="1"/>
  <c r="M212" i="1"/>
  <c r="Q212" i="1"/>
  <c r="Y212" i="1"/>
  <c r="AC212" i="1"/>
  <c r="AG212" i="1"/>
  <c r="AK212" i="1"/>
  <c r="AS212" i="1"/>
  <c r="AW212" i="1"/>
  <c r="BA212" i="1"/>
  <c r="M195" i="1"/>
  <c r="M213" i="1" s="1"/>
  <c r="Q195" i="1"/>
  <c r="Q213" i="1" s="1"/>
  <c r="U195" i="1"/>
  <c r="Y195" i="1"/>
  <c r="Y213" i="1" s="1"/>
  <c r="AC195" i="1"/>
  <c r="AC213" i="1" s="1"/>
  <c r="AG195" i="1"/>
  <c r="AG213" i="1" s="1"/>
  <c r="AK195" i="1"/>
  <c r="AK213" i="1" s="1"/>
  <c r="AS195" i="1"/>
  <c r="AS213" i="1" s="1"/>
  <c r="AW195" i="1"/>
  <c r="AW213" i="1" s="1"/>
  <c r="BA195" i="1"/>
  <c r="BA213" i="1" s="1"/>
  <c r="BE195" i="1"/>
  <c r="F195" i="1"/>
  <c r="F213" i="1" s="1"/>
  <c r="BS195" i="1"/>
  <c r="BD223" i="1"/>
  <c r="S223" i="1"/>
  <c r="U222" i="1"/>
  <c r="U223" i="1" s="1"/>
  <c r="T222" i="1"/>
  <c r="T223" i="1" s="1"/>
  <c r="N225" i="1"/>
  <c r="AI225" i="1"/>
  <c r="AS225" i="1"/>
  <c r="BD227" i="1"/>
  <c r="AL228" i="1"/>
  <c r="BN229" i="1"/>
  <c r="P234" i="1"/>
  <c r="AC236" i="1"/>
  <c r="AB248" i="1"/>
  <c r="AB235" i="1"/>
  <c r="AX236" i="1"/>
  <c r="AW235" i="1"/>
  <c r="AH299" i="1"/>
  <c r="AJ239" i="1"/>
  <c r="AI239" i="1"/>
  <c r="AI299" i="1" s="1"/>
  <c r="AU246" i="1"/>
  <c r="AV245" i="1"/>
  <c r="L276" i="1"/>
  <c r="L259" i="1"/>
  <c r="T276" i="1"/>
  <c r="T259" i="1"/>
  <c r="X276" i="1"/>
  <c r="X259" i="1"/>
  <c r="AB276" i="1"/>
  <c r="AB259" i="1"/>
  <c r="AF276" i="1"/>
  <c r="AF259" i="1"/>
  <c r="AN276" i="1"/>
  <c r="AN259" i="1"/>
  <c r="AR276" i="1"/>
  <c r="AR259" i="1"/>
  <c r="AV276" i="1"/>
  <c r="AV259" i="1"/>
  <c r="AZ276" i="1"/>
  <c r="BE276" i="1" s="1"/>
  <c r="AZ258" i="1"/>
  <c r="J206" i="1"/>
  <c r="N206" i="1"/>
  <c r="R206" i="1"/>
  <c r="V206" i="1"/>
  <c r="AD206" i="1"/>
  <c r="AH206" i="1"/>
  <c r="AL206" i="1"/>
  <c r="AP206" i="1"/>
  <c r="AX206" i="1"/>
  <c r="BB206" i="1"/>
  <c r="J211" i="1"/>
  <c r="N211" i="1"/>
  <c r="R211" i="1"/>
  <c r="V211" i="1"/>
  <c r="AD211" i="1"/>
  <c r="AH211" i="1"/>
  <c r="AL211" i="1"/>
  <c r="AP211" i="1"/>
  <c r="AX211" i="1"/>
  <c r="BB211" i="1"/>
  <c r="J212" i="1"/>
  <c r="N212" i="1"/>
  <c r="R212" i="1"/>
  <c r="V212" i="1"/>
  <c r="AD212" i="1"/>
  <c r="AH212" i="1"/>
  <c r="AL212" i="1"/>
  <c r="AP212" i="1"/>
  <c r="AX212" i="1"/>
  <c r="BB212" i="1"/>
  <c r="J195" i="1"/>
  <c r="J213" i="1" s="1"/>
  <c r="N195" i="1"/>
  <c r="N213" i="1" s="1"/>
  <c r="R195" i="1"/>
  <c r="R213" i="1" s="1"/>
  <c r="V195" i="1"/>
  <c r="V213" i="1" s="1"/>
  <c r="AD195" i="1"/>
  <c r="AD213" i="1" s="1"/>
  <c r="AH195" i="1"/>
  <c r="AH213" i="1" s="1"/>
  <c r="AL195" i="1"/>
  <c r="AL213" i="1" s="1"/>
  <c r="AP195" i="1"/>
  <c r="AP213" i="1" s="1"/>
  <c r="AX195" i="1"/>
  <c r="AX213" i="1" s="1"/>
  <c r="BB195" i="1"/>
  <c r="BB213" i="1" s="1"/>
  <c r="F206" i="1"/>
  <c r="L200" i="1"/>
  <c r="T200" i="1"/>
  <c r="X200" i="1"/>
  <c r="AB200" i="1"/>
  <c r="AF200" i="1"/>
  <c r="AN200" i="1"/>
  <c r="AR200" i="1"/>
  <c r="AV200" i="1"/>
  <c r="AZ200" i="1"/>
  <c r="S219" i="1"/>
  <c r="N219" i="1"/>
  <c r="M221" i="1"/>
  <c r="AJ221" i="1"/>
  <c r="BI221" i="1"/>
  <c r="BC225" i="1"/>
  <c r="S225" i="1"/>
  <c r="AE418" i="1"/>
  <c r="AW233" i="1"/>
  <c r="AR233" i="1"/>
  <c r="AS227" i="1"/>
  <c r="AS233" i="1" s="1"/>
  <c r="M233" i="1"/>
  <c r="N228" i="1"/>
  <c r="M227" i="1"/>
  <c r="AD228" i="1"/>
  <c r="AC227" i="1"/>
  <c r="AC233" i="1"/>
  <c r="AC234" i="1"/>
  <c r="AD234" i="1" s="1"/>
  <c r="BI242" i="1"/>
  <c r="BI230" i="1"/>
  <c r="N236" i="1"/>
  <c r="M235" i="1"/>
  <c r="Z240" i="1"/>
  <c r="Z241" i="1" s="1"/>
  <c r="X240" i="1"/>
  <c r="X241" i="1" s="1"/>
  <c r="W241" i="1"/>
  <c r="AS241" i="1"/>
  <c r="P299" i="1"/>
  <c r="P241" i="1"/>
  <c r="S247" i="1"/>
  <c r="R246" i="1"/>
  <c r="R248" i="1"/>
  <c r="M276" i="1"/>
  <c r="M259" i="1"/>
  <c r="Q276" i="1"/>
  <c r="Q259" i="1"/>
  <c r="Y276" i="1"/>
  <c r="Y259" i="1"/>
  <c r="AC276" i="1"/>
  <c r="AC259" i="1"/>
  <c r="AG276" i="1"/>
  <c r="AG259" i="1"/>
  <c r="AK276" i="1"/>
  <c r="AK259" i="1"/>
  <c r="AS276" i="1"/>
  <c r="AS259" i="1"/>
  <c r="AW276" i="1"/>
  <c r="AW259" i="1"/>
  <c r="BA276" i="1"/>
  <c r="BF276" i="1" s="1"/>
  <c r="BA258" i="1"/>
  <c r="AK202" i="1"/>
  <c r="AS202" i="1"/>
  <c r="AW202" i="1"/>
  <c r="BA202" i="1"/>
  <c r="M204" i="1"/>
  <c r="Q204" i="1"/>
  <c r="Y204" i="1"/>
  <c r="AC204" i="1"/>
  <c r="AG204" i="1"/>
  <c r="AK204" i="1"/>
  <c r="AS204" i="1"/>
  <c r="AW204" i="1"/>
  <c r="BA204" i="1"/>
  <c r="O206" i="1"/>
  <c r="S206" i="1"/>
  <c r="W206" i="1"/>
  <c r="AA206" i="1"/>
  <c r="AI206" i="1"/>
  <c r="AM206" i="1"/>
  <c r="AQ206" i="1"/>
  <c r="AU206" i="1"/>
  <c r="BC206" i="1"/>
  <c r="O211" i="1"/>
  <c r="S211" i="1"/>
  <c r="W211" i="1"/>
  <c r="AA211" i="1"/>
  <c r="AI211" i="1"/>
  <c r="AM211" i="1"/>
  <c r="AQ211" i="1"/>
  <c r="AU211" i="1"/>
  <c r="BC211" i="1"/>
  <c r="O212" i="1"/>
  <c r="S212" i="1"/>
  <c r="W212" i="1"/>
  <c r="AA212" i="1"/>
  <c r="AI212" i="1"/>
  <c r="AM212" i="1"/>
  <c r="AQ212" i="1"/>
  <c r="AU212" i="1"/>
  <c r="BC212" i="1"/>
  <c r="O195" i="1"/>
  <c r="O213" i="1" s="1"/>
  <c r="S195" i="1"/>
  <c r="S213" i="1" s="1"/>
  <c r="W195" i="1"/>
  <c r="W213" i="1" s="1"/>
  <c r="AA195" i="1"/>
  <c r="AA213" i="1" s="1"/>
  <c r="AI195" i="1"/>
  <c r="AI213" i="1" s="1"/>
  <c r="AM195" i="1"/>
  <c r="AM213" i="1" s="1"/>
  <c r="AQ195" i="1"/>
  <c r="AQ213" i="1" s="1"/>
  <c r="AU195" i="1"/>
  <c r="AU213" i="1" s="1"/>
  <c r="BC195" i="1"/>
  <c r="BC213" i="1" s="1"/>
  <c r="F211" i="1"/>
  <c r="M200" i="1"/>
  <c r="Q200" i="1"/>
  <c r="Y200" i="1"/>
  <c r="AC200" i="1"/>
  <c r="AG200" i="1"/>
  <c r="AK200" i="1"/>
  <c r="AS200" i="1"/>
  <c r="AW200" i="1"/>
  <c r="BA200" i="1"/>
  <c r="R221" i="1"/>
  <c r="S220" i="1"/>
  <c r="K223" i="1"/>
  <c r="AJ223" i="1"/>
  <c r="AT221" i="1"/>
  <c r="X225" i="1"/>
  <c r="W224" i="1"/>
  <c r="AD225" i="1"/>
  <c r="AX225" i="1"/>
  <c r="X227" i="1"/>
  <c r="AN233" i="1"/>
  <c r="H233" i="1"/>
  <c r="Q233" i="1"/>
  <c r="Q235" i="1"/>
  <c r="R228" i="1"/>
  <c r="Q227" i="1"/>
  <c r="AT228" i="1"/>
  <c r="AG233" i="1"/>
  <c r="AZ233" i="1"/>
  <c r="AV235" i="1"/>
  <c r="BC235" i="1"/>
  <c r="AM236" i="1"/>
  <c r="AM235" i="1" s="1"/>
  <c r="AL248" i="1"/>
  <c r="AR299" i="1"/>
  <c r="AT239" i="1"/>
  <c r="AS239" i="1"/>
  <c r="AS299" i="1" s="1"/>
  <c r="K219" i="1"/>
  <c r="K221" i="1" s="1"/>
  <c r="AO225" i="1"/>
  <c r="AT225" i="1"/>
  <c r="AO227" i="1"/>
  <c r="O34" i="38" s="1"/>
  <c r="F232" i="1"/>
  <c r="G233" i="1"/>
  <c r="BS229" i="1"/>
  <c r="K234" i="1"/>
  <c r="U234" i="1"/>
  <c r="V235" i="1"/>
  <c r="AR235" i="1"/>
  <c r="AT235" i="1" s="1"/>
  <c r="BA235" i="1"/>
  <c r="BD235" i="1" s="1"/>
  <c r="Z232" i="1"/>
  <c r="AC241" i="1"/>
  <c r="AC246" i="1" s="1"/>
  <c r="AE240" i="1"/>
  <c r="AO240" i="1"/>
  <c r="I247" i="1"/>
  <c r="H248" i="1"/>
  <c r="M247" i="1"/>
  <c r="W246" i="1"/>
  <c r="Z246" i="1" s="1"/>
  <c r="AI247" i="1"/>
  <c r="AV248" i="1"/>
  <c r="AB269" i="1"/>
  <c r="AB270" i="1" s="1"/>
  <c r="I221" i="1"/>
  <c r="Y221" i="1"/>
  <c r="K228" i="1"/>
  <c r="AE228" i="1"/>
  <c r="AY228" i="1"/>
  <c r="AA233" i="1"/>
  <c r="BB233" i="1"/>
  <c r="W233" i="1"/>
  <c r="G235" i="1"/>
  <c r="R235" i="1"/>
  <c r="H235" i="1"/>
  <c r="I236" i="1"/>
  <c r="AG235" i="1"/>
  <c r="AH236" i="1"/>
  <c r="AG248" i="1"/>
  <c r="AS235" i="1"/>
  <c r="AC299" i="1"/>
  <c r="AD241" i="1"/>
  <c r="AM299" i="1"/>
  <c r="AW299" i="1"/>
  <c r="BB245" i="1"/>
  <c r="BC245" i="1" s="1"/>
  <c r="BA246" i="1"/>
  <c r="X248" i="1"/>
  <c r="BA248" i="1"/>
  <c r="AG270" i="1"/>
  <c r="AP267" i="1"/>
  <c r="G227" i="1"/>
  <c r="W227" i="1"/>
  <c r="AA227" i="1"/>
  <c r="AY227" i="1"/>
  <c r="X299" i="1"/>
  <c r="AD239" i="1"/>
  <c r="AD299" i="1" s="1"/>
  <c r="AH241" i="1"/>
  <c r="AH246" i="1" s="1"/>
  <c r="AJ240" i="1"/>
  <c r="AN239" i="1"/>
  <c r="AT240" i="1"/>
  <c r="AX239" i="1"/>
  <c r="AX299" i="1" s="1"/>
  <c r="AM241" i="1"/>
  <c r="AR241" i="1"/>
  <c r="K245" i="1"/>
  <c r="AR245" i="1"/>
  <c r="AS245" i="1" s="1"/>
  <c r="BF249" i="1"/>
  <c r="BG249" i="1" s="1"/>
  <c r="BH249" i="1" s="1"/>
  <c r="AZ246" i="1"/>
  <c r="AH270" i="1"/>
  <c r="AT271" i="1"/>
  <c r="R270" i="1"/>
  <c r="AJ266" i="1"/>
  <c r="BD352" i="1"/>
  <c r="BE274" i="1"/>
  <c r="Z276" i="1"/>
  <c r="AJ276" i="1"/>
  <c r="AP294" i="1"/>
  <c r="AP295" i="1" s="1"/>
  <c r="AY293" i="1"/>
  <c r="Q53" i="38" s="1"/>
  <c r="AX294" i="1"/>
  <c r="AR437" i="1"/>
  <c r="AS438" i="1"/>
  <c r="BD245" i="1"/>
  <c r="R38" i="38" s="1"/>
  <c r="X246" i="1"/>
  <c r="AQ248" i="1"/>
  <c r="AH255" i="1"/>
  <c r="AJ268" i="1"/>
  <c r="AI269" i="1"/>
  <c r="AY266" i="1"/>
  <c r="AO266" i="1"/>
  <c r="AN268" i="1"/>
  <c r="Q270" i="1"/>
  <c r="F270" i="1"/>
  <c r="P306" i="1"/>
  <c r="P259" i="1"/>
  <c r="S285" i="1"/>
  <c r="S286" i="1" s="1"/>
  <c r="S294" i="1" s="1"/>
  <c r="S295" i="1" s="1"/>
  <c r="P276" i="1"/>
  <c r="Z279" i="1"/>
  <c r="U276" i="1"/>
  <c r="F294" i="1"/>
  <c r="F295" i="1" s="1"/>
  <c r="BA241" i="1"/>
  <c r="AL246" i="1"/>
  <c r="AM247" i="1"/>
  <c r="AR247" i="1"/>
  <c r="AW247" i="1"/>
  <c r="BB247" i="1"/>
  <c r="BB255" i="1"/>
  <c r="U266" i="1"/>
  <c r="T268" i="1"/>
  <c r="T269" i="1" s="1"/>
  <c r="AC270" i="1"/>
  <c r="AK270" i="1"/>
  <c r="AT266" i="1"/>
  <c r="G266" i="1"/>
  <c r="K268" i="1"/>
  <c r="K269" i="1" s="1"/>
  <c r="N270" i="1"/>
  <c r="W269" i="1"/>
  <c r="W270" i="1" s="1"/>
  <c r="AO276" i="1"/>
  <c r="W299" i="1"/>
  <c r="BB239" i="1"/>
  <c r="U299" i="1"/>
  <c r="AG246" i="1"/>
  <c r="BE266" i="1"/>
  <c r="H267" i="1"/>
  <c r="G268" i="1"/>
  <c r="G269" i="1" s="1"/>
  <c r="O270" i="1"/>
  <c r="M270" i="1"/>
  <c r="V270" i="1"/>
  <c r="AJ279" i="1"/>
  <c r="AY279" i="1"/>
  <c r="AO279" i="1"/>
  <c r="AY285" i="1"/>
  <c r="AX286" i="1"/>
  <c r="AY286" i="1" s="1"/>
  <c r="X270" i="1"/>
  <c r="AD268" i="1"/>
  <c r="AE266" i="1"/>
  <c r="AF270" i="1"/>
  <c r="AM270" i="1"/>
  <c r="U268" i="1"/>
  <c r="AJ306" i="1"/>
  <c r="AJ259" i="1"/>
  <c r="P277" i="1"/>
  <c r="AE276" i="1"/>
  <c r="AH294" i="1"/>
  <c r="AH295" i="1" s="1"/>
  <c r="S270" i="1"/>
  <c r="Z266" i="1"/>
  <c r="Y268" i="1"/>
  <c r="AA270" i="1"/>
  <c r="J270" i="1"/>
  <c r="L269" i="1"/>
  <c r="L270" i="1" s="1"/>
  <c r="P269" i="1"/>
  <c r="BD279" i="1"/>
  <c r="AE279" i="1"/>
  <c r="AT276" i="1"/>
  <c r="V294" i="1"/>
  <c r="V295" i="1" s="1"/>
  <c r="T277" i="1"/>
  <c r="U285" i="1"/>
  <c r="T286" i="1"/>
  <c r="U286" i="1" s="1"/>
  <c r="P280" i="1"/>
  <c r="X352" i="1"/>
  <c r="X285" i="1"/>
  <c r="X286" i="1" s="1"/>
  <c r="AE352" i="1"/>
  <c r="AO352" i="1"/>
  <c r="AY352" i="1"/>
  <c r="O285" i="1"/>
  <c r="X294" i="1"/>
  <c r="X295" i="1" s="1"/>
  <c r="AG294" i="1"/>
  <c r="AG295" i="1" s="1"/>
  <c r="AQ294" i="1"/>
  <c r="AQ295" i="1" s="1"/>
  <c r="AU294" i="1"/>
  <c r="AU295" i="1" s="1"/>
  <c r="AZ294" i="1"/>
  <c r="AZ295" i="1" s="1"/>
  <c r="AE259" i="1"/>
  <c r="AY259" i="1"/>
  <c r="Q285" i="1"/>
  <c r="Q286" i="1" s="1"/>
  <c r="AY276" i="1"/>
  <c r="R285" i="1"/>
  <c r="R286" i="1" s="1"/>
  <c r="R294" i="1" s="1"/>
  <c r="R295" i="1" s="1"/>
  <c r="AD286" i="1"/>
  <c r="G294" i="1"/>
  <c r="G295" i="1" s="1"/>
  <c r="K294" i="1"/>
  <c r="K295" i="1" s="1"/>
  <c r="P293" i="1"/>
  <c r="AC294" i="1"/>
  <c r="AC295" i="1" s="1"/>
  <c r="AM294" i="1"/>
  <c r="AM295" i="1" s="1"/>
  <c r="AR294" i="1"/>
  <c r="AR295" i="1" s="1"/>
  <c r="AV294" i="1"/>
  <c r="AV295" i="1" s="1"/>
  <c r="BA294" i="1"/>
  <c r="BA295" i="1" s="1"/>
  <c r="Z259" i="1"/>
  <c r="AT259" i="1"/>
  <c r="BE281" i="1"/>
  <c r="BF281" i="1" s="1"/>
  <c r="BG281" i="1" s="1"/>
  <c r="BH281" i="1" s="1"/>
  <c r="BI281" i="1" s="1"/>
  <c r="Y281" i="1"/>
  <c r="U280" i="1"/>
  <c r="Y284" i="1"/>
  <c r="AJ352" i="1"/>
  <c r="AT352" i="1"/>
  <c r="BC286" i="1"/>
  <c r="BD286" i="1" s="1"/>
  <c r="H294" i="1"/>
  <c r="H295" i="1" s="1"/>
  <c r="L294" i="1"/>
  <c r="L295" i="1" s="1"/>
  <c r="Q294" i="1"/>
  <c r="Q295" i="1" s="1"/>
  <c r="AS294" i="1"/>
  <c r="AW294" i="1"/>
  <c r="AW295" i="1" s="1"/>
  <c r="Z294" i="1"/>
  <c r="Z295" i="1" s="1"/>
  <c r="AI294" i="1"/>
  <c r="BC294" i="1"/>
  <c r="AN286" i="1"/>
  <c r="AO286" i="1" s="1"/>
  <c r="T294" i="1"/>
  <c r="BE288" i="1"/>
  <c r="BF288" i="1" s="1"/>
  <c r="BG288" i="1" s="1"/>
  <c r="BH288" i="1" s="1"/>
  <c r="BE292" i="1"/>
  <c r="AE348" i="1"/>
  <c r="AJ348" i="1" s="1"/>
  <c r="AO348" i="1" s="1"/>
  <c r="AT348" i="1" s="1"/>
  <c r="AY348" i="1" s="1"/>
  <c r="BD348" i="1" s="1"/>
  <c r="BI348" i="1" s="1"/>
  <c r="BN348" i="1" s="1"/>
  <c r="BS348" i="1" s="1"/>
  <c r="AA348" i="1"/>
  <c r="AB348" i="1" s="1"/>
  <c r="AC348" i="1" s="1"/>
  <c r="AD348" i="1" s="1"/>
  <c r="Y368" i="1"/>
  <c r="Z369" i="1"/>
  <c r="AS435" i="1"/>
  <c r="AF165" i="1" l="1"/>
  <c r="AJ165" i="1"/>
  <c r="AJ164" i="1"/>
  <c r="BE104" i="1"/>
  <c r="G38" i="38"/>
  <c r="BD236" i="1"/>
  <c r="R35" i="38"/>
  <c r="AP124" i="1"/>
  <c r="AP144" i="1"/>
  <c r="AP122" i="1"/>
  <c r="AP126" i="1"/>
  <c r="AP51" i="1"/>
  <c r="AW51" i="1"/>
  <c r="P35" i="38"/>
  <c r="AX124" i="1"/>
  <c r="AX144" i="1"/>
  <c r="AX122" i="1"/>
  <c r="AD51" i="1"/>
  <c r="V51" i="1"/>
  <c r="AK51" i="1"/>
  <c r="AX126" i="1"/>
  <c r="AX51" i="1"/>
  <c r="AC51" i="1"/>
  <c r="AR435" i="1"/>
  <c r="AS434" i="1"/>
  <c r="Y352" i="1"/>
  <c r="Z281" i="1"/>
  <c r="P285" i="1"/>
  <c r="O286" i="1"/>
  <c r="AJ95" i="1"/>
  <c r="AF95" i="1"/>
  <c r="AS247" i="1"/>
  <c r="AR248" i="1"/>
  <c r="AR246" i="1"/>
  <c r="AY294" i="1"/>
  <c r="AY295" i="1" s="1"/>
  <c r="AX295" i="1"/>
  <c r="BF274" i="1"/>
  <c r="Q34" i="38"/>
  <c r="AY239" i="1"/>
  <c r="K232" i="1"/>
  <c r="K227" i="1"/>
  <c r="AI418" i="1"/>
  <c r="AI424" i="1" s="1"/>
  <c r="P32" i="38"/>
  <c r="AT299" i="1"/>
  <c r="P39" i="38"/>
  <c r="AJ299" i="1"/>
  <c r="N39" i="38"/>
  <c r="O225" i="1"/>
  <c r="AY249" i="1"/>
  <c r="AV249" i="1"/>
  <c r="AW249" i="1" s="1"/>
  <c r="AX249" i="1" s="1"/>
  <c r="F260" i="1"/>
  <c r="F257" i="1"/>
  <c r="J227" i="1"/>
  <c r="Z164" i="1"/>
  <c r="AE160" i="1"/>
  <c r="AA160" i="1"/>
  <c r="Z160" i="1"/>
  <c r="AA164" i="1"/>
  <c r="Q167" i="1"/>
  <c r="S167" i="1"/>
  <c r="R167" i="1"/>
  <c r="P167" i="1"/>
  <c r="T167" i="1"/>
  <c r="BF103" i="1"/>
  <c r="AF119" i="1"/>
  <c r="AF109" i="1"/>
  <c r="AF107" i="1"/>
  <c r="AF108" i="1"/>
  <c r="AF115" i="1"/>
  <c r="AF113" i="1" s="1"/>
  <c r="AF111" i="1"/>
  <c r="P119" i="1"/>
  <c r="P109" i="1"/>
  <c r="P115" i="1"/>
  <c r="P111" i="1"/>
  <c r="BG87" i="1"/>
  <c r="BG88" i="1"/>
  <c r="BI158" i="1"/>
  <c r="BN155" i="1"/>
  <c r="BI157" i="1"/>
  <c r="S28" i="38"/>
  <c r="AY115" i="1"/>
  <c r="AY113" i="1" s="1"/>
  <c r="AY111" i="1"/>
  <c r="AY112" i="1" s="1"/>
  <c r="E45" i="38" s="1"/>
  <c r="AY119" i="1"/>
  <c r="AY109" i="1"/>
  <c r="AY110" i="1" s="1"/>
  <c r="E44" i="38" s="1"/>
  <c r="AY107" i="1"/>
  <c r="Q19" i="38"/>
  <c r="Q15" i="38" s="1"/>
  <c r="AI115" i="1"/>
  <c r="AI113" i="1" s="1"/>
  <c r="AI111" i="1"/>
  <c r="AI108" i="1"/>
  <c r="AI119" i="1"/>
  <c r="AI109" i="1"/>
  <c r="AI107" i="1"/>
  <c r="S115" i="1"/>
  <c r="S113" i="1" s="1"/>
  <c r="S111" i="1"/>
  <c r="S112" i="1" s="1"/>
  <c r="S119" i="1"/>
  <c r="S108" i="1"/>
  <c r="S109" i="1"/>
  <c r="S110" i="1" s="1"/>
  <c r="S107" i="1"/>
  <c r="BG100" i="1"/>
  <c r="BG97" i="1" s="1"/>
  <c r="BB101" i="1"/>
  <c r="AN101" i="1"/>
  <c r="AM47" i="1"/>
  <c r="AM46" i="1"/>
  <c r="S47" i="1"/>
  <c r="S46" i="1"/>
  <c r="AW284" i="1"/>
  <c r="AW205" i="1"/>
  <c r="AW199" i="1"/>
  <c r="U49" i="1"/>
  <c r="U40" i="1"/>
  <c r="BF29" i="1"/>
  <c r="BF33" i="1"/>
  <c r="BF34" i="1"/>
  <c r="BF9" i="1"/>
  <c r="BF5" i="1"/>
  <c r="AT36" i="1"/>
  <c r="AT48" i="1"/>
  <c r="F119" i="1"/>
  <c r="F111" i="1"/>
  <c r="F109" i="1"/>
  <c r="Q119" i="1"/>
  <c r="Q109" i="1"/>
  <c r="Q107" i="1"/>
  <c r="Q115" i="1"/>
  <c r="Q113" i="1" s="1"/>
  <c r="Q111" i="1"/>
  <c r="Q108" i="1"/>
  <c r="BH87" i="1"/>
  <c r="BH88" i="1"/>
  <c r="BA85" i="1"/>
  <c r="BF84" i="1"/>
  <c r="AP46" i="1"/>
  <c r="AP47" i="1"/>
  <c r="V46" i="1"/>
  <c r="V47" i="1"/>
  <c r="AZ122" i="1"/>
  <c r="AZ144" i="1"/>
  <c r="AZ124" i="1"/>
  <c r="AR284" i="1"/>
  <c r="AR199" i="1"/>
  <c r="AR205" i="1"/>
  <c r="AJ117" i="1"/>
  <c r="AJ44" i="1"/>
  <c r="AJ45" i="1"/>
  <c r="N11" i="38"/>
  <c r="T284" i="1"/>
  <c r="T205" i="1"/>
  <c r="T199" i="1"/>
  <c r="L284" i="1"/>
  <c r="L199" i="1"/>
  <c r="L205" i="1"/>
  <c r="CF41" i="1"/>
  <c r="BH41" i="1"/>
  <c r="BH49" i="1"/>
  <c r="AG119" i="1"/>
  <c r="AG109" i="1"/>
  <c r="AG107" i="1"/>
  <c r="AG115" i="1"/>
  <c r="AG113" i="1" s="1"/>
  <c r="AG111" i="1"/>
  <c r="AG108" i="1"/>
  <c r="X101" i="1"/>
  <c r="BE99" i="1"/>
  <c r="BE98" i="1"/>
  <c r="AW85" i="1"/>
  <c r="BG74" i="1"/>
  <c r="BG57" i="1"/>
  <c r="AR51" i="1"/>
  <c r="X51" i="1"/>
  <c r="AM284" i="1"/>
  <c r="AM205" i="1"/>
  <c r="AM199" i="1"/>
  <c r="CE37" i="1"/>
  <c r="BX36" i="1"/>
  <c r="CE38" i="1" s="1"/>
  <c r="BD33" i="1"/>
  <c r="BD32" i="1"/>
  <c r="F41" i="38" s="1"/>
  <c r="BE18" i="1"/>
  <c r="E39" i="38"/>
  <c r="AY15" i="1"/>
  <c r="AD115" i="1"/>
  <c r="AD113" i="1" s="1"/>
  <c r="AD119" i="1"/>
  <c r="AH183" i="1" s="1"/>
  <c r="AD108" i="1"/>
  <c r="AD107" i="1"/>
  <c r="AD111" i="1"/>
  <c r="AD109" i="1"/>
  <c r="AO119" i="1"/>
  <c r="AO109" i="1"/>
  <c r="AO107" i="1"/>
  <c r="AO115" i="1"/>
  <c r="AO113" i="1" s="1"/>
  <c r="AO111" i="1"/>
  <c r="O19" i="38"/>
  <c r="O15" i="38" s="1"/>
  <c r="AF101" i="1"/>
  <c r="P91" i="1"/>
  <c r="L79" i="1"/>
  <c r="L202" i="1"/>
  <c r="BC50" i="1"/>
  <c r="AI50" i="1"/>
  <c r="O50" i="1"/>
  <c r="AZ46" i="1"/>
  <c r="AZ47" i="1"/>
  <c r="AF46" i="1"/>
  <c r="AF47" i="1"/>
  <c r="L46" i="1"/>
  <c r="L47" i="1"/>
  <c r="BB284" i="1"/>
  <c r="BG284" i="1" s="1"/>
  <c r="BB205" i="1"/>
  <c r="BB199" i="1"/>
  <c r="AL284" i="1"/>
  <c r="AL270" i="1"/>
  <c r="AL205" i="1"/>
  <c r="AL199" i="1"/>
  <c r="CF43" i="1"/>
  <c r="BY40" i="1"/>
  <c r="CF44" i="1" s="1"/>
  <c r="BD48" i="1"/>
  <c r="BD36" i="1"/>
  <c r="AY33" i="1"/>
  <c r="AY32" i="1"/>
  <c r="E41" i="38" s="1"/>
  <c r="Q85" i="1"/>
  <c r="AK60" i="1"/>
  <c r="BI53" i="1"/>
  <c r="U32" i="1"/>
  <c r="CF62" i="1"/>
  <c r="BS11" i="1"/>
  <c r="AG47" i="1"/>
  <c r="BA284" i="1"/>
  <c r="BF284" i="1" s="1"/>
  <c r="BA205" i="1"/>
  <c r="BA199" i="1"/>
  <c r="M284" i="1"/>
  <c r="M205" i="1"/>
  <c r="M199" i="1"/>
  <c r="R126" i="1"/>
  <c r="R51" i="1"/>
  <c r="AI79" i="1"/>
  <c r="AO44" i="1"/>
  <c r="AT112" i="1"/>
  <c r="X79" i="1"/>
  <c r="Q126" i="1"/>
  <c r="Q51" i="1"/>
  <c r="BE5" i="1"/>
  <c r="U181" i="1"/>
  <c r="U206" i="1" s="1"/>
  <c r="AE369" i="1"/>
  <c r="AJ369" i="1" s="1"/>
  <c r="AO369" i="1" s="1"/>
  <c r="AT369" i="1" s="1"/>
  <c r="AY369" i="1" s="1"/>
  <c r="BD369" i="1" s="1"/>
  <c r="BI369" i="1" s="1"/>
  <c r="BN369" i="1" s="1"/>
  <c r="BS369" i="1" s="1"/>
  <c r="AA369" i="1"/>
  <c r="BD294" i="1"/>
  <c r="BD295" i="1" s="1"/>
  <c r="BC295" i="1"/>
  <c r="AS295" i="1"/>
  <c r="AT294" i="1"/>
  <c r="AT295" i="1" s="1"/>
  <c r="BN281" i="1"/>
  <c r="AE286" i="1"/>
  <c r="AD294" i="1"/>
  <c r="Q135" i="1"/>
  <c r="P135" i="1"/>
  <c r="Y269" i="1"/>
  <c r="Z268" i="1"/>
  <c r="AE268" i="1"/>
  <c r="AD269" i="1"/>
  <c r="I267" i="1"/>
  <c r="BB241" i="1"/>
  <c r="BB299" i="1"/>
  <c r="BC239" i="1"/>
  <c r="BC255" i="1"/>
  <c r="AM246" i="1"/>
  <c r="AM248" i="1"/>
  <c r="AN269" i="1"/>
  <c r="AO268" i="1"/>
  <c r="BD95" i="1"/>
  <c r="AZ95" i="1"/>
  <c r="AO95" i="1"/>
  <c r="AK95" i="1"/>
  <c r="AN247" i="1"/>
  <c r="AT241" i="1"/>
  <c r="AQ267" i="1"/>
  <c r="AP268" i="1"/>
  <c r="AP269" i="1" s="1"/>
  <c r="AP270" i="1" s="1"/>
  <c r="AE239" i="1"/>
  <c r="AE299" i="1" s="1"/>
  <c r="AT227" i="1"/>
  <c r="N247" i="1"/>
  <c r="M248" i="1"/>
  <c r="M246" i="1"/>
  <c r="J247" i="1"/>
  <c r="I246" i="1"/>
  <c r="I248" i="1"/>
  <c r="AE241" i="1"/>
  <c r="BS242" i="1"/>
  <c r="BS230" i="1"/>
  <c r="AH418" i="1"/>
  <c r="AH424" i="1" s="1"/>
  <c r="O32" i="38"/>
  <c r="O44" i="38" s="1"/>
  <c r="AN236" i="1"/>
  <c r="AN235" i="1" s="1"/>
  <c r="AO235" i="1" s="1"/>
  <c r="O35" i="38" s="1"/>
  <c r="O36" i="38" s="1"/>
  <c r="R233" i="1"/>
  <c r="S228" i="1"/>
  <c r="R227" i="1"/>
  <c r="T247" i="1"/>
  <c r="S246" i="1"/>
  <c r="S248" i="1"/>
  <c r="BF242" i="1"/>
  <c r="BF245" i="1" s="1"/>
  <c r="BE242" i="1"/>
  <c r="BE245" i="1" s="1"/>
  <c r="BG242" i="1"/>
  <c r="BG245" i="1" s="1"/>
  <c r="N233" i="1"/>
  <c r="O228" i="1"/>
  <c r="N227" i="1"/>
  <c r="X233" i="1"/>
  <c r="R34" i="38"/>
  <c r="R36" i="38" s="1"/>
  <c r="J225" i="1"/>
  <c r="BF164" i="1"/>
  <c r="BG163" i="1"/>
  <c r="BF160" i="1"/>
  <c r="BG193" i="1"/>
  <c r="BH134" i="1"/>
  <c r="BD258" i="1"/>
  <c r="AO164" i="1"/>
  <c r="AT160" i="1"/>
  <c r="AY162" i="1" s="1"/>
  <c r="AP160" i="1"/>
  <c r="AO165" i="1"/>
  <c r="AO160" i="1"/>
  <c r="BI140" i="1"/>
  <c r="BN140" i="1" s="1"/>
  <c r="AV119" i="1"/>
  <c r="AV109" i="1"/>
  <c r="AV108" i="1"/>
  <c r="AV107" i="1"/>
  <c r="AV115" i="1"/>
  <c r="AV113" i="1" s="1"/>
  <c r="AV111" i="1"/>
  <c r="AB119" i="1"/>
  <c r="AB115" i="1"/>
  <c r="AB113" i="1" s="1"/>
  <c r="AB109" i="1"/>
  <c r="AB108" i="1"/>
  <c r="AB107" i="1"/>
  <c r="AB111" i="1"/>
  <c r="L119" i="1"/>
  <c r="L115" i="1"/>
  <c r="L113" i="1" s="1"/>
  <c r="L109" i="1"/>
  <c r="L107" i="1"/>
  <c r="L111" i="1"/>
  <c r="L108" i="1"/>
  <c r="AU115" i="1"/>
  <c r="AU113" i="1" s="1"/>
  <c r="AU111" i="1"/>
  <c r="AU109" i="1"/>
  <c r="AU110" i="1" s="1"/>
  <c r="AU107" i="1"/>
  <c r="AU119" i="1"/>
  <c r="AU108" i="1"/>
  <c r="AE115" i="1"/>
  <c r="AE113" i="1" s="1"/>
  <c r="AE111" i="1"/>
  <c r="AE109" i="1"/>
  <c r="AE119" i="1"/>
  <c r="AE107" i="1"/>
  <c r="O115" i="1"/>
  <c r="O113" i="1" s="1"/>
  <c r="O111" i="1"/>
  <c r="O108" i="1"/>
  <c r="O109" i="1"/>
  <c r="O107" i="1"/>
  <c r="O119" i="1"/>
  <c r="AX101" i="1"/>
  <c r="I119" i="1"/>
  <c r="I121" i="1" s="1"/>
  <c r="I109" i="1"/>
  <c r="N110" i="1" s="1"/>
  <c r="I108" i="1"/>
  <c r="I115" i="1"/>
  <c r="I113" i="1" s="1"/>
  <c r="I111" i="1"/>
  <c r="BI73" i="1"/>
  <c r="BE75" i="1"/>
  <c r="BE74" i="1"/>
  <c r="S76" i="1"/>
  <c r="S77" i="1" s="1"/>
  <c r="S75" i="1"/>
  <c r="S74" i="1"/>
  <c r="S60" i="1"/>
  <c r="N60" i="1"/>
  <c r="BC47" i="1"/>
  <c r="BC46" i="1"/>
  <c r="AI47" i="1"/>
  <c r="AI46" i="1"/>
  <c r="O47" i="1"/>
  <c r="O46" i="1"/>
  <c r="Y380" i="1"/>
  <c r="Y205" i="1"/>
  <c r="Y199" i="1"/>
  <c r="AO48" i="1"/>
  <c r="AO36" i="1"/>
  <c r="AT33" i="1"/>
  <c r="AT32" i="1"/>
  <c r="AP453" i="1" s="1"/>
  <c r="Z36" i="1"/>
  <c r="Z48" i="1"/>
  <c r="AL120" i="1"/>
  <c r="U119" i="1"/>
  <c r="U115" i="1"/>
  <c r="U109" i="1"/>
  <c r="U110" i="1" s="1"/>
  <c r="U107" i="1"/>
  <c r="U111" i="1"/>
  <c r="U112" i="1" s="1"/>
  <c r="M60" i="1"/>
  <c r="R60" i="1"/>
  <c r="AL47" i="1"/>
  <c r="AL46" i="1"/>
  <c r="R47" i="1"/>
  <c r="R46" i="1"/>
  <c r="AV284" i="1"/>
  <c r="AV199" i="1"/>
  <c r="AV205" i="1"/>
  <c r="X380" i="1"/>
  <c r="X284" i="1"/>
  <c r="X205" i="1"/>
  <c r="X199" i="1"/>
  <c r="P117" i="1"/>
  <c r="U118" i="1" s="1"/>
  <c r="P44" i="1"/>
  <c r="P45" i="1"/>
  <c r="BD49" i="1"/>
  <c r="BD50" i="1" s="1"/>
  <c r="BD40" i="1"/>
  <c r="AH108" i="1"/>
  <c r="AO101" i="1"/>
  <c r="BW99" i="1"/>
  <c r="T101" i="1"/>
  <c r="BN219" i="1"/>
  <c r="BN188" i="1"/>
  <c r="CF97" i="1"/>
  <c r="BS92" i="1"/>
  <c r="T16" i="38"/>
  <c r="U91" i="1"/>
  <c r="AM85" i="1"/>
  <c r="U73" i="1"/>
  <c r="V74" i="1"/>
  <c r="Q76" i="1"/>
  <c r="Q75" i="1"/>
  <c r="Q74" i="1"/>
  <c r="AB60" i="1"/>
  <c r="AG202" i="1"/>
  <c r="AN51" i="1"/>
  <c r="T51" i="1"/>
  <c r="AY117" i="1"/>
  <c r="AY45" i="1"/>
  <c r="Q11" i="38"/>
  <c r="AY44" i="1"/>
  <c r="AQ284" i="1"/>
  <c r="AQ205" i="1"/>
  <c r="AQ199" i="1"/>
  <c r="AI284" i="1"/>
  <c r="AI205" i="1"/>
  <c r="AI199" i="1"/>
  <c r="O284" i="1"/>
  <c r="O205" i="1"/>
  <c r="O199" i="1"/>
  <c r="J284" i="1"/>
  <c r="J205" i="1"/>
  <c r="J199" i="1"/>
  <c r="BW41" i="1"/>
  <c r="BV40" i="1"/>
  <c r="CC44" i="1" s="1"/>
  <c r="CC43" i="1"/>
  <c r="BG34" i="1"/>
  <c r="AJ33" i="1"/>
  <c r="AJ32" i="1"/>
  <c r="BE182" i="1"/>
  <c r="BE30" i="1"/>
  <c r="BE35" i="1"/>
  <c r="L22" i="1"/>
  <c r="Q22" i="1"/>
  <c r="AO21" i="1"/>
  <c r="AO20" i="1"/>
  <c r="BH9" i="1"/>
  <c r="BH5" i="1"/>
  <c r="AT165" i="1"/>
  <c r="AZ101" i="1"/>
  <c r="AB101" i="1"/>
  <c r="BE87" i="1"/>
  <c r="BE88" i="1"/>
  <c r="BI86" i="1"/>
  <c r="V79" i="1"/>
  <c r="AE79" i="1"/>
  <c r="T202" i="1"/>
  <c r="AU50" i="1"/>
  <c r="AA50" i="1"/>
  <c r="AV46" i="1"/>
  <c r="AV47" i="1"/>
  <c r="BA46" i="1"/>
  <c r="AB46" i="1"/>
  <c r="AB47" i="1"/>
  <c r="AP284" i="1"/>
  <c r="AP205" i="1"/>
  <c r="AP199" i="1"/>
  <c r="AH121" i="1"/>
  <c r="AD380" i="1"/>
  <c r="AD284" i="1"/>
  <c r="AD205" i="1"/>
  <c r="AD199" i="1"/>
  <c r="V284" i="1"/>
  <c r="V205" i="1"/>
  <c r="V199" i="1"/>
  <c r="N121" i="1"/>
  <c r="BV41" i="1"/>
  <c r="AT49" i="1"/>
  <c r="AT50" i="1" s="1"/>
  <c r="AT40" i="1"/>
  <c r="CD37" i="1"/>
  <c r="BW36" i="1"/>
  <c r="CD38" i="1" s="1"/>
  <c r="BW34" i="1"/>
  <c r="U33" i="1"/>
  <c r="AE33" i="1"/>
  <c r="AE32" i="1"/>
  <c r="AS85" i="1"/>
  <c r="AK96" i="1"/>
  <c r="AK89" i="1"/>
  <c r="BV89" i="1" s="1"/>
  <c r="AK84" i="1"/>
  <c r="AK85" i="1" s="1"/>
  <c r="AK26" i="1"/>
  <c r="AP26" i="1"/>
  <c r="Y85" i="1"/>
  <c r="BF21" i="1"/>
  <c r="BE22" i="1"/>
  <c r="BD21" i="1"/>
  <c r="BD22" i="1" s="1"/>
  <c r="BD20" i="1"/>
  <c r="BF99" i="1"/>
  <c r="BF98" i="1"/>
  <c r="AK47" i="1"/>
  <c r="AE423" i="1"/>
  <c r="AC380" i="1"/>
  <c r="AC284" i="1"/>
  <c r="AC205" i="1"/>
  <c r="AC199" i="1"/>
  <c r="AH126" i="1"/>
  <c r="AH51" i="1"/>
  <c r="AJ42" i="1"/>
  <c r="AE85" i="1"/>
  <c r="BH184" i="1"/>
  <c r="BH80" i="1"/>
  <c r="BH114" i="1" s="1"/>
  <c r="BH78" i="1"/>
  <c r="BH79" i="1" s="1"/>
  <c r="BH58" i="1"/>
  <c r="AA22" i="1"/>
  <c r="Y60" i="1"/>
  <c r="M47" i="1"/>
  <c r="BA51" i="1"/>
  <c r="M51" i="1"/>
  <c r="AG60" i="1"/>
  <c r="AO181" i="1"/>
  <c r="AO118" i="1"/>
  <c r="AO121" i="1"/>
  <c r="AT107" i="1"/>
  <c r="BD77" i="1"/>
  <c r="N108" i="1"/>
  <c r="N113" i="1"/>
  <c r="BC22" i="1"/>
  <c r="U46" i="1"/>
  <c r="Z368" i="1"/>
  <c r="AN294" i="1"/>
  <c r="AJ294" i="1"/>
  <c r="AJ295" i="1" s="1"/>
  <c r="AI295" i="1"/>
  <c r="Y285" i="1"/>
  <c r="Z285" i="1" s="1"/>
  <c r="AE95" i="1"/>
  <c r="AA95" i="1"/>
  <c r="BF266" i="1"/>
  <c r="BF95" i="1"/>
  <c r="BE95" i="1"/>
  <c r="H266" i="1"/>
  <c r="H95" i="1" s="1"/>
  <c r="U269" i="1"/>
  <c r="U270" i="1" s="1"/>
  <c r="T270" i="1"/>
  <c r="BC247" i="1"/>
  <c r="BB246" i="1"/>
  <c r="BB248" i="1"/>
  <c r="AT95" i="1"/>
  <c r="AP95" i="1"/>
  <c r="AR438" i="1"/>
  <c r="AS439" i="1"/>
  <c r="AR439" i="1" s="1"/>
  <c r="AN299" i="1"/>
  <c r="AN241" i="1"/>
  <c r="AO239" i="1"/>
  <c r="AO241" i="1" s="1"/>
  <c r="AI236" i="1"/>
  <c r="AI235" i="1" s="1"/>
  <c r="AH235" i="1"/>
  <c r="AJ235" i="1" s="1"/>
  <c r="N35" i="38" s="1"/>
  <c r="J236" i="1"/>
  <c r="I235" i="1"/>
  <c r="AY232" i="1"/>
  <c r="AY231" i="1"/>
  <c r="AH248" i="1"/>
  <c r="Z235" i="1"/>
  <c r="AO236" i="1"/>
  <c r="U247" i="1"/>
  <c r="T225" i="1"/>
  <c r="N221" i="1"/>
  <c r="O219" i="1"/>
  <c r="N95" i="1"/>
  <c r="AM228" i="1"/>
  <c r="AM233" i="1" s="1"/>
  <c r="AL233" i="1"/>
  <c r="AO233" i="1" s="1"/>
  <c r="P225" i="1"/>
  <c r="U213" i="1"/>
  <c r="G254" i="1"/>
  <c r="G256" i="1" s="1"/>
  <c r="H250" i="1"/>
  <c r="H251" i="1" s="1"/>
  <c r="Z236" i="1"/>
  <c r="AI228" i="1"/>
  <c r="AH227" i="1"/>
  <c r="AH233" i="1"/>
  <c r="BC233" i="1"/>
  <c r="AY164" i="1"/>
  <c r="AY165" i="1"/>
  <c r="BD160" i="1"/>
  <c r="AZ160" i="1"/>
  <c r="AI241" i="1"/>
  <c r="AI246" i="1" s="1"/>
  <c r="AJ246" i="1" s="1"/>
  <c r="N41" i="38" s="1"/>
  <c r="BF156" i="1"/>
  <c r="BF239" i="1" s="1"/>
  <c r="BG154" i="1"/>
  <c r="BD165" i="1"/>
  <c r="BD164" i="1"/>
  <c r="AR119" i="1"/>
  <c r="AR115" i="1"/>
  <c r="AR113" i="1" s="1"/>
  <c r="AR109" i="1"/>
  <c r="AR108" i="1"/>
  <c r="AR107" i="1"/>
  <c r="AR111" i="1"/>
  <c r="X119" i="1"/>
  <c r="X109" i="1"/>
  <c r="X110" i="1" s="1"/>
  <c r="X108" i="1"/>
  <c r="X107" i="1"/>
  <c r="X115" i="1"/>
  <c r="X113" i="1" s="1"/>
  <c r="X111" i="1"/>
  <c r="X112" i="1" s="1"/>
  <c r="H119" i="1"/>
  <c r="H121" i="1" s="1"/>
  <c r="H111" i="1"/>
  <c r="H109" i="1"/>
  <c r="H108" i="1"/>
  <c r="H115" i="1"/>
  <c r="H113" i="1" s="1"/>
  <c r="AQ115" i="1"/>
  <c r="AQ113" i="1" s="1"/>
  <c r="AQ111" i="1"/>
  <c r="AQ112" i="1" s="1"/>
  <c r="AQ119" i="1"/>
  <c r="AQ109" i="1"/>
  <c r="AQ110" i="1" s="1"/>
  <c r="AQ108" i="1"/>
  <c r="AQ107" i="1"/>
  <c r="AA115" i="1"/>
  <c r="AA113" i="1" s="1"/>
  <c r="AA111" i="1"/>
  <c r="AA119" i="1"/>
  <c r="AA109" i="1"/>
  <c r="AA107" i="1"/>
  <c r="AA108" i="1"/>
  <c r="G115" i="1"/>
  <c r="G113" i="1" s="1"/>
  <c r="G119" i="1"/>
  <c r="G121" i="1" s="1"/>
  <c r="G111" i="1"/>
  <c r="G109" i="1"/>
  <c r="Z115" i="1"/>
  <c r="Z113" i="1" s="1"/>
  <c r="Z107" i="1"/>
  <c r="Z111" i="1"/>
  <c r="Z112" i="1" s="1"/>
  <c r="Z119" i="1"/>
  <c r="Z109" i="1"/>
  <c r="Z110" i="1" s="1"/>
  <c r="AW119" i="1"/>
  <c r="BB120" i="1" s="1"/>
  <c r="AW109" i="1"/>
  <c r="AW108" i="1"/>
  <c r="AW107" i="1"/>
  <c r="AW115" i="1"/>
  <c r="AW113" i="1" s="1"/>
  <c r="AW111" i="1"/>
  <c r="AW112" i="1" s="1"/>
  <c r="K184" i="1"/>
  <c r="K80" i="1"/>
  <c r="K114" i="1" s="1"/>
  <c r="K78" i="1"/>
  <c r="K58" i="1"/>
  <c r="K59" i="1"/>
  <c r="AU46" i="1"/>
  <c r="AU47" i="1"/>
  <c r="AA46" i="1"/>
  <c r="AA47" i="1"/>
  <c r="AG284" i="1"/>
  <c r="AG205" i="1"/>
  <c r="AG199" i="1"/>
  <c r="BX40" i="1"/>
  <c r="CE44" i="1" s="1"/>
  <c r="CE43" i="1"/>
  <c r="U48" i="1"/>
  <c r="U36" i="1"/>
  <c r="Z33" i="1"/>
  <c r="Z32" i="1"/>
  <c r="BE25" i="1"/>
  <c r="BF24" i="1"/>
  <c r="CF37" i="1"/>
  <c r="BY36" i="1"/>
  <c r="CF38" i="1" s="1"/>
  <c r="BH84" i="1"/>
  <c r="BC85" i="1"/>
  <c r="BD119" i="1"/>
  <c r="BD109" i="1"/>
  <c r="BD110" i="1" s="1"/>
  <c r="F44" i="38" s="1"/>
  <c r="BD107" i="1"/>
  <c r="BD115" i="1"/>
  <c r="BD113" i="1" s="1"/>
  <c r="BD111" i="1"/>
  <c r="BD112" i="1" s="1"/>
  <c r="F45" i="38" s="1"/>
  <c r="R19" i="38"/>
  <c r="R15" i="38" s="1"/>
  <c r="BA119" i="1"/>
  <c r="BA115" i="1"/>
  <c r="BA113" i="1" s="1"/>
  <c r="BA109" i="1"/>
  <c r="BA110" i="1" s="1"/>
  <c r="BA107" i="1"/>
  <c r="BA111" i="1"/>
  <c r="BA112" i="1" s="1"/>
  <c r="BA108" i="1"/>
  <c r="BW108" i="1" s="1"/>
  <c r="AO85" i="1"/>
  <c r="X74" i="1"/>
  <c r="W74" i="1"/>
  <c r="R76" i="1"/>
  <c r="R75" i="1"/>
  <c r="R74" i="1"/>
  <c r="AS51" i="1"/>
  <c r="BB47" i="1"/>
  <c r="BB46" i="1"/>
  <c r="AH47" i="1"/>
  <c r="AH46" i="1"/>
  <c r="N47" i="1"/>
  <c r="N46" i="1"/>
  <c r="AZ284" i="1"/>
  <c r="BE284" i="1" s="1"/>
  <c r="AZ205" i="1"/>
  <c r="AZ199" i="1"/>
  <c r="AB380" i="1"/>
  <c r="AB284" i="1"/>
  <c r="AB199" i="1"/>
  <c r="AB205" i="1"/>
  <c r="AJ49" i="1"/>
  <c r="AJ40" i="1"/>
  <c r="AX108" i="1"/>
  <c r="P101" i="1"/>
  <c r="AC85" i="1"/>
  <c r="R79" i="1"/>
  <c r="CD67" i="1"/>
  <c r="CE66" i="1"/>
  <c r="CF66" i="1" s="1"/>
  <c r="AZ126" i="1"/>
  <c r="AZ51" i="1"/>
  <c r="AF126" i="1"/>
  <c r="AF51" i="1"/>
  <c r="L126" i="1"/>
  <c r="L51" i="1"/>
  <c r="BC284" i="1"/>
  <c r="BH284" i="1" s="1"/>
  <c r="BC205" i="1"/>
  <c r="BC199" i="1"/>
  <c r="AE117" i="1"/>
  <c r="AE45" i="1"/>
  <c r="AE44" i="1"/>
  <c r="W284" i="1"/>
  <c r="W205" i="1"/>
  <c r="W199" i="1"/>
  <c r="CE41" i="1"/>
  <c r="CE42" i="1" s="1"/>
  <c r="BG41" i="1"/>
  <c r="BG49" i="1"/>
  <c r="AY36" i="1"/>
  <c r="AY48" i="1"/>
  <c r="AY50" i="1" s="1"/>
  <c r="BB85" i="1"/>
  <c r="AP85" i="1"/>
  <c r="BW89" i="1"/>
  <c r="R85" i="1"/>
  <c r="U21" i="1"/>
  <c r="U20" i="1"/>
  <c r="AI85" i="1"/>
  <c r="AT164" i="1"/>
  <c r="AA165" i="1"/>
  <c r="AS119" i="1"/>
  <c r="AS115" i="1"/>
  <c r="AS113" i="1" s="1"/>
  <c r="AS109" i="1"/>
  <c r="AX110" i="1" s="1"/>
  <c r="AS108" i="1"/>
  <c r="AS107" i="1"/>
  <c r="AS111" i="1"/>
  <c r="AX112" i="1" s="1"/>
  <c r="BV99" i="1"/>
  <c r="BE105" i="1"/>
  <c r="BX89" i="1"/>
  <c r="AT91" i="1"/>
  <c r="U85" i="1"/>
  <c r="AF79" i="1"/>
  <c r="Q79" i="1"/>
  <c r="AE60" i="1"/>
  <c r="AT79" i="1"/>
  <c r="X202" i="1"/>
  <c r="AQ126" i="1"/>
  <c r="AQ51" i="1"/>
  <c r="W51" i="1"/>
  <c r="AK46" i="1"/>
  <c r="Q46" i="1"/>
  <c r="AR46" i="1"/>
  <c r="AR47" i="1"/>
  <c r="X46" i="1"/>
  <c r="X47" i="1"/>
  <c r="AX284" i="1"/>
  <c r="AX205" i="1"/>
  <c r="AX199" i="1"/>
  <c r="AH284" i="1"/>
  <c r="AH205" i="1"/>
  <c r="AH199" i="1"/>
  <c r="Z117" i="1"/>
  <c r="Z44" i="1"/>
  <c r="Z45" i="1"/>
  <c r="Z46" i="1" s="1"/>
  <c r="R121" i="1"/>
  <c r="N284" i="1"/>
  <c r="N205" i="1"/>
  <c r="N199" i="1"/>
  <c r="Z49" i="1"/>
  <c r="Z50" i="1" s="1"/>
  <c r="Z40" i="1"/>
  <c r="AJ48" i="1"/>
  <c r="AJ36" i="1"/>
  <c r="AJ21" i="1"/>
  <c r="AJ22" i="1" s="1"/>
  <c r="AJ20" i="1"/>
  <c r="AY60" i="1"/>
  <c r="Q47" i="1"/>
  <c r="BB126" i="1"/>
  <c r="BB51" i="1"/>
  <c r="P42" i="1"/>
  <c r="AT26" i="1"/>
  <c r="AC77" i="1"/>
  <c r="AY56" i="1"/>
  <c r="AL126" i="1"/>
  <c r="AL51" i="1"/>
  <c r="H126" i="1"/>
  <c r="Y47" i="1"/>
  <c r="O21" i="38"/>
  <c r="BV36" i="1"/>
  <c r="CC38" i="1" s="1"/>
  <c r="AT183" i="1"/>
  <c r="AT120" i="1"/>
  <c r="N112" i="1"/>
  <c r="AW47" i="1"/>
  <c r="AK284" i="1"/>
  <c r="AK205" i="1"/>
  <c r="AK199" i="1"/>
  <c r="BI8" i="1"/>
  <c r="U44" i="1"/>
  <c r="AZ85" i="1"/>
  <c r="BE84" i="1"/>
  <c r="U294" i="1"/>
  <c r="U295" i="1" s="1"/>
  <c r="T295" i="1"/>
  <c r="Z135" i="1"/>
  <c r="V135" i="1"/>
  <c r="U135" i="1"/>
  <c r="AY95" i="1"/>
  <c r="AU95" i="1"/>
  <c r="Z95" i="1"/>
  <c r="V95" i="1"/>
  <c r="AW248" i="1"/>
  <c r="AX247" i="1"/>
  <c r="AJ269" i="1"/>
  <c r="AI270" i="1"/>
  <c r="BI249" i="1"/>
  <c r="BN249" i="1" s="1"/>
  <c r="BS249" i="1" s="1"/>
  <c r="AT245" i="1"/>
  <c r="P38" i="38" s="1"/>
  <c r="AJ241" i="1"/>
  <c r="AJ236" i="1"/>
  <c r="Z299" i="1"/>
  <c r="AE227" i="1"/>
  <c r="AE232" i="1"/>
  <c r="AE231" i="1"/>
  <c r="AJ247" i="1"/>
  <c r="AX241" i="1"/>
  <c r="AY225" i="1"/>
  <c r="AY233" i="1" s="1"/>
  <c r="AT232" i="1"/>
  <c r="T220" i="1"/>
  <c r="S221" i="1"/>
  <c r="O236" i="1"/>
  <c r="N235" i="1"/>
  <c r="AE234" i="1"/>
  <c r="AD227" i="1"/>
  <c r="AD233" i="1"/>
  <c r="U225" i="1"/>
  <c r="T219" i="1"/>
  <c r="S95" i="1"/>
  <c r="AW245" i="1"/>
  <c r="AV246" i="1"/>
  <c r="AX235" i="1"/>
  <c r="AY235" i="1" s="1"/>
  <c r="AD236" i="1"/>
  <c r="AC235" i="1"/>
  <c r="BN242" i="1"/>
  <c r="BN230" i="1"/>
  <c r="AN228" i="1"/>
  <c r="AD248" i="1"/>
  <c r="AD246" i="1"/>
  <c r="AE246" i="1" s="1"/>
  <c r="K225" i="1"/>
  <c r="AE164" i="1"/>
  <c r="AE165" i="1"/>
  <c r="AJ160" i="1"/>
  <c r="AF160" i="1"/>
  <c r="BG139" i="1"/>
  <c r="BG142" i="1" s="1"/>
  <c r="AZ165" i="1"/>
  <c r="AZ164" i="1"/>
  <c r="BI194" i="1"/>
  <c r="AZ110" i="1"/>
  <c r="AN119" i="1"/>
  <c r="AP183" i="1" s="1"/>
  <c r="AN108" i="1"/>
  <c r="BY108" i="1" s="1"/>
  <c r="AN109" i="1"/>
  <c r="AN110" i="1" s="1"/>
  <c r="AN107" i="1"/>
  <c r="AN111" i="1"/>
  <c r="AN112" i="1" s="1"/>
  <c r="AN115" i="1"/>
  <c r="AN113" i="1" s="1"/>
  <c r="T119" i="1"/>
  <c r="T108" i="1"/>
  <c r="T115" i="1"/>
  <c r="T113" i="1" s="1"/>
  <c r="T109" i="1"/>
  <c r="T110" i="1" s="1"/>
  <c r="T107" i="1"/>
  <c r="T111" i="1"/>
  <c r="T112" i="1" s="1"/>
  <c r="BH100" i="1"/>
  <c r="BH97" i="1" s="1"/>
  <c r="BC101" i="1"/>
  <c r="AM101" i="1"/>
  <c r="BE267" i="1"/>
  <c r="BF267" i="1" s="1"/>
  <c r="BG267" i="1" s="1"/>
  <c r="BH267" i="1" s="1"/>
  <c r="BI267" i="1" s="1"/>
  <c r="BN267" i="1" s="1"/>
  <c r="BE221" i="1"/>
  <c r="BC115" i="1"/>
  <c r="BC113" i="1" s="1"/>
  <c r="BC111" i="1"/>
  <c r="BC112" i="1" s="1"/>
  <c r="BC108" i="1"/>
  <c r="BC109" i="1"/>
  <c r="BC110" i="1" s="1"/>
  <c r="BC119" i="1"/>
  <c r="BC107" i="1"/>
  <c r="AM115" i="1"/>
  <c r="AM113" i="1" s="1"/>
  <c r="AM111" i="1"/>
  <c r="AM112" i="1" s="1"/>
  <c r="AM108" i="1"/>
  <c r="AM109" i="1"/>
  <c r="AM110" i="1" s="1"/>
  <c r="AM119" i="1"/>
  <c r="AM107" i="1"/>
  <c r="W115" i="1"/>
  <c r="W113" i="1" s="1"/>
  <c r="W111" i="1"/>
  <c r="W112" i="1" s="1"/>
  <c r="W109" i="1"/>
  <c r="W110" i="1" s="1"/>
  <c r="W108" i="1"/>
  <c r="W119" i="1"/>
  <c r="W107" i="1"/>
  <c r="BF104" i="1"/>
  <c r="BG104" i="1" s="1"/>
  <c r="BH104" i="1" s="1"/>
  <c r="AH110" i="1"/>
  <c r="BB107" i="1"/>
  <c r="J119" i="1"/>
  <c r="J115" i="1"/>
  <c r="J113" i="1" s="1"/>
  <c r="J108" i="1"/>
  <c r="J111" i="1"/>
  <c r="J109" i="1"/>
  <c r="AR101" i="1"/>
  <c r="O79" i="1"/>
  <c r="AO202" i="1"/>
  <c r="AQ46" i="1"/>
  <c r="AQ47" i="1"/>
  <c r="W46" i="1"/>
  <c r="W47" i="1"/>
  <c r="Q284" i="1"/>
  <c r="Q205" i="1"/>
  <c r="Q199" i="1"/>
  <c r="AO49" i="1"/>
  <c r="AO50" i="1" s="1"/>
  <c r="AO40" i="1"/>
  <c r="BY89" i="1"/>
  <c r="AL112" i="1"/>
  <c r="V115" i="1"/>
  <c r="V113" i="1" s="1"/>
  <c r="V119" i="1"/>
  <c r="V107" i="1"/>
  <c r="V111" i="1"/>
  <c r="V112" i="1" s="1"/>
  <c r="V108" i="1"/>
  <c r="V109" i="1"/>
  <c r="V110" i="1" s="1"/>
  <c r="AJ119" i="1"/>
  <c r="AJ115" i="1"/>
  <c r="AJ113" i="1" s="1"/>
  <c r="AJ109" i="1"/>
  <c r="AJ110" i="1" s="1"/>
  <c r="AJ107" i="1"/>
  <c r="AJ111" i="1"/>
  <c r="AJ112" i="1" s="1"/>
  <c r="N19" i="38"/>
  <c r="N15" i="38" s="1"/>
  <c r="K106" i="1"/>
  <c r="BD101" i="1"/>
  <c r="AV101" i="1"/>
  <c r="Y119" i="1"/>
  <c r="Y109" i="1"/>
  <c r="Y108" i="1"/>
  <c r="Y107" i="1"/>
  <c r="Y115" i="1"/>
  <c r="Y113" i="1" s="1"/>
  <c r="Y111" i="1"/>
  <c r="M119" i="1"/>
  <c r="R120" i="1" s="1"/>
  <c r="M115" i="1"/>
  <c r="M113" i="1" s="1"/>
  <c r="M109" i="1"/>
  <c r="M110" i="1" s="1"/>
  <c r="M107" i="1"/>
  <c r="M111" i="1"/>
  <c r="M112" i="1" s="1"/>
  <c r="M108" i="1"/>
  <c r="AO204" i="1"/>
  <c r="CD64" i="1"/>
  <c r="CD68" i="1"/>
  <c r="CD69" i="1" s="1"/>
  <c r="Y51" i="1"/>
  <c r="AX47" i="1"/>
  <c r="AX46" i="1"/>
  <c r="AD47" i="1"/>
  <c r="AD46" i="1"/>
  <c r="BD117" i="1"/>
  <c r="BD44" i="1"/>
  <c r="BD45" i="1"/>
  <c r="BD46" i="1" s="1"/>
  <c r="F42" i="38" s="1"/>
  <c r="R11" i="38"/>
  <c r="AN284" i="1"/>
  <c r="AN205" i="1"/>
  <c r="AN199" i="1"/>
  <c r="AF284" i="1"/>
  <c r="AF199" i="1"/>
  <c r="AF205" i="1"/>
  <c r="BW40" i="1"/>
  <c r="CD44" i="1" s="1"/>
  <c r="CD43" i="1"/>
  <c r="P49" i="1"/>
  <c r="P40" i="1"/>
  <c r="AX183" i="1"/>
  <c r="AX120" i="1"/>
  <c r="AC119" i="1"/>
  <c r="AC115" i="1"/>
  <c r="AC113" i="1" s="1"/>
  <c r="AC109" i="1"/>
  <c r="AC110" i="1" s="1"/>
  <c r="AC108" i="1"/>
  <c r="AC107" i="1"/>
  <c r="AC111" i="1"/>
  <c r="AC112" i="1" s="1"/>
  <c r="AY85" i="1"/>
  <c r="S85" i="1"/>
  <c r="AB79" i="1"/>
  <c r="CC64" i="1"/>
  <c r="CC65" i="1" s="1"/>
  <c r="CC68" i="1"/>
  <c r="CC69" i="1" s="1"/>
  <c r="AI60" i="1"/>
  <c r="Q60" i="1"/>
  <c r="L60" i="1"/>
  <c r="U184" i="1"/>
  <c r="U202" i="1" s="1"/>
  <c r="U80" i="1"/>
  <c r="U114" i="1" s="1"/>
  <c r="U78" i="1"/>
  <c r="U59" i="1"/>
  <c r="U58" i="1"/>
  <c r="AV126" i="1"/>
  <c r="AV51" i="1"/>
  <c r="AB126" i="1"/>
  <c r="AB51" i="1"/>
  <c r="AU284" i="1"/>
  <c r="AU205" i="1"/>
  <c r="AU199" i="1"/>
  <c r="AA380" i="1"/>
  <c r="AA284" i="1"/>
  <c r="AA205" i="1"/>
  <c r="AA199" i="1"/>
  <c r="S284" i="1"/>
  <c r="S205" i="1"/>
  <c r="S199" i="1"/>
  <c r="K117" i="1"/>
  <c r="K45" i="1"/>
  <c r="K46" i="1" s="1"/>
  <c r="K44" i="1"/>
  <c r="F284" i="1"/>
  <c r="F199" i="1"/>
  <c r="F205" i="1"/>
  <c r="AE49" i="1"/>
  <c r="AE50" i="1" s="1"/>
  <c r="AE40" i="1"/>
  <c r="AE36" i="1"/>
  <c r="AE48" i="1"/>
  <c r="AM439" i="1"/>
  <c r="AM437" i="1"/>
  <c r="AM433" i="1"/>
  <c r="AM438" i="1"/>
  <c r="AM435" i="1"/>
  <c r="AM434" i="1"/>
  <c r="BH33" i="1"/>
  <c r="BH34" i="1"/>
  <c r="BH29" i="1"/>
  <c r="BI29" i="1" s="1"/>
  <c r="V85" i="1"/>
  <c r="BG5" i="1"/>
  <c r="BG9" i="1"/>
  <c r="AU162" i="1"/>
  <c r="AU161" i="1"/>
  <c r="K155" i="1"/>
  <c r="P158" i="1"/>
  <c r="BY99" i="1"/>
  <c r="AK119" i="1"/>
  <c r="AK115" i="1"/>
  <c r="AK113" i="1" s="1"/>
  <c r="AK109" i="1"/>
  <c r="AK107" i="1"/>
  <c r="AK111" i="1"/>
  <c r="AK112" i="1" s="1"/>
  <c r="AK108" i="1"/>
  <c r="BV108" i="1" s="1"/>
  <c r="BF88" i="1"/>
  <c r="BF87" i="1"/>
  <c r="AE91" i="1"/>
  <c r="AT77" i="1"/>
  <c r="AJ77" i="1"/>
  <c r="U204" i="1"/>
  <c r="AA60" i="1"/>
  <c r="Z79" i="1"/>
  <c r="P184" i="1"/>
  <c r="P80" i="1"/>
  <c r="P114" i="1" s="1"/>
  <c r="P58" i="1"/>
  <c r="P59" i="1"/>
  <c r="P60" i="1" s="1"/>
  <c r="P78" i="1"/>
  <c r="P79" i="1" s="1"/>
  <c r="AM126" i="1"/>
  <c r="AM51" i="1"/>
  <c r="S126" i="1"/>
  <c r="S51" i="1"/>
  <c r="AN47" i="1"/>
  <c r="AN46" i="1"/>
  <c r="T47" i="1"/>
  <c r="T46" i="1"/>
  <c r="BB121" i="1"/>
  <c r="AT117" i="1"/>
  <c r="AT231" i="1" s="1"/>
  <c r="AT44" i="1"/>
  <c r="AT45" i="1"/>
  <c r="AT46" i="1" s="1"/>
  <c r="P11" i="38"/>
  <c r="AL121" i="1"/>
  <c r="R284" i="1"/>
  <c r="R205" i="1"/>
  <c r="R199" i="1"/>
  <c r="P48" i="1"/>
  <c r="P36" i="1"/>
  <c r="AG85" i="1"/>
  <c r="P20" i="1"/>
  <c r="P21" i="1"/>
  <c r="P22" i="1" s="1"/>
  <c r="AU85" i="1"/>
  <c r="N126" i="1"/>
  <c r="N51" i="1"/>
  <c r="AQ22" i="1"/>
  <c r="BD15" i="1"/>
  <c r="CE63" i="1"/>
  <c r="Y79" i="1"/>
  <c r="BA47" i="1"/>
  <c r="AG126" i="1"/>
  <c r="AG51" i="1"/>
  <c r="K42" i="1"/>
  <c r="AE56" i="1"/>
  <c r="AO46" i="1"/>
  <c r="AF85" i="1"/>
  <c r="AT110" i="1"/>
  <c r="AT113" i="1"/>
  <c r="N107" i="1"/>
  <c r="AC47" i="1"/>
  <c r="Z42" i="1"/>
  <c r="BF184" i="1"/>
  <c r="BF80" i="1"/>
  <c r="BF114" i="1" s="1"/>
  <c r="BF78" i="1"/>
  <c r="BF79" i="1" s="1"/>
  <c r="BF58" i="1"/>
  <c r="AO15" i="1"/>
  <c r="R108" i="1"/>
  <c r="R113" i="1"/>
  <c r="AS284" i="1"/>
  <c r="AS205" i="1"/>
  <c r="AS199" i="1"/>
  <c r="BI104" i="1" l="1"/>
  <c r="BI182" i="1"/>
  <c r="BI31" i="1"/>
  <c r="S9" i="38"/>
  <c r="BI30" i="1"/>
  <c r="AP201" i="1"/>
  <c r="AP185" i="1"/>
  <c r="AY126" i="1"/>
  <c r="AY51" i="1"/>
  <c r="AH201" i="1"/>
  <c r="AH185" i="1"/>
  <c r="F155" i="1"/>
  <c r="F158" i="1" s="1"/>
  <c r="K158" i="1"/>
  <c r="BG6" i="1"/>
  <c r="BG35" i="1"/>
  <c r="K121" i="1"/>
  <c r="K118" i="1"/>
  <c r="K181" i="1"/>
  <c r="U60" i="1"/>
  <c r="Y183" i="1"/>
  <c r="Y120" i="1"/>
  <c r="Y121" i="1"/>
  <c r="AF161" i="1"/>
  <c r="AF162" i="1"/>
  <c r="AG161" i="1"/>
  <c r="AK162" i="1"/>
  <c r="AY236" i="1"/>
  <c r="Q35" i="38"/>
  <c r="T95" i="1"/>
  <c r="U219" i="1"/>
  <c r="U95" i="1" s="1"/>
  <c r="T221" i="1"/>
  <c r="U220" i="1"/>
  <c r="AX248" i="1"/>
  <c r="O27" i="38"/>
  <c r="O22" i="38"/>
  <c r="BF105" i="1"/>
  <c r="BG105" i="1" s="1"/>
  <c r="BH105" i="1" s="1"/>
  <c r="U22" i="1"/>
  <c r="Z22" i="1"/>
  <c r="BG37" i="1"/>
  <c r="AE121" i="1"/>
  <c r="AE181" i="1"/>
  <c r="AE118" i="1"/>
  <c r="BD183" i="1"/>
  <c r="BD120" i="1"/>
  <c r="AA112" i="1"/>
  <c r="AR112" i="1"/>
  <c r="BG156" i="1"/>
  <c r="BH154" i="1"/>
  <c r="BH156" i="1" s="1"/>
  <c r="BD161" i="1"/>
  <c r="BD162" i="1"/>
  <c r="AO189" i="1"/>
  <c r="AO144" i="1"/>
  <c r="AO124" i="1"/>
  <c r="AO122" i="1"/>
  <c r="AT126" i="1"/>
  <c r="AT51" i="1"/>
  <c r="AU126" i="1"/>
  <c r="AU51" i="1"/>
  <c r="BI90" i="1"/>
  <c r="BI87" i="1"/>
  <c r="S18" i="38"/>
  <c r="Q77" i="1"/>
  <c r="V77" i="1"/>
  <c r="P46" i="1"/>
  <c r="U183" i="1"/>
  <c r="U120" i="1"/>
  <c r="AE183" i="1"/>
  <c r="AE120" i="1"/>
  <c r="AU112" i="1"/>
  <c r="AZ112" i="1"/>
  <c r="AB112" i="1"/>
  <c r="BS140" i="1"/>
  <c r="BS142" i="1" s="1"/>
  <c r="U24" i="38" s="1"/>
  <c r="BN142" i="1"/>
  <c r="T24" i="38" s="1"/>
  <c r="AO161" i="1"/>
  <c r="AO162" i="1"/>
  <c r="BH193" i="1"/>
  <c r="BH139" i="1"/>
  <c r="BH142" i="1" s="1"/>
  <c r="BI134" i="1"/>
  <c r="BG164" i="1"/>
  <c r="BH163" i="1"/>
  <c r="O227" i="1"/>
  <c r="O233" i="1"/>
  <c r="P228" i="1"/>
  <c r="AI248" i="1"/>
  <c r="AR267" i="1"/>
  <c r="AQ268" i="1"/>
  <c r="AQ269" i="1" s="1"/>
  <c r="AQ270" i="1" s="1"/>
  <c r="AD270" i="1"/>
  <c r="AE269" i="1"/>
  <c r="AE270" i="1" s="1"/>
  <c r="AA390" i="1"/>
  <c r="AA392" i="1"/>
  <c r="AB369" i="1"/>
  <c r="O126" i="1"/>
  <c r="O51" i="1"/>
  <c r="AO110" i="1"/>
  <c r="X126" i="1"/>
  <c r="BG75" i="1"/>
  <c r="N21" i="38"/>
  <c r="N10" i="38"/>
  <c r="AZ147" i="1"/>
  <c r="AZ145" i="1"/>
  <c r="M167" i="1"/>
  <c r="N167" i="1"/>
  <c r="L167" i="1"/>
  <c r="K167" i="1"/>
  <c r="O167" i="1"/>
  <c r="AE162" i="1"/>
  <c r="AE161" i="1"/>
  <c r="P286" i="1"/>
  <c r="O294" i="1"/>
  <c r="AY161" i="1"/>
  <c r="AX123" i="1"/>
  <c r="AP123" i="1"/>
  <c r="AK183" i="1"/>
  <c r="AK120" i="1"/>
  <c r="AK121" i="1"/>
  <c r="U79" i="1"/>
  <c r="AC183" i="1"/>
  <c r="AC120" i="1"/>
  <c r="AC121" i="1"/>
  <c r="P50" i="1"/>
  <c r="BD181" i="1"/>
  <c r="BD118" i="1"/>
  <c r="BD121" i="1"/>
  <c r="BD231" i="1"/>
  <c r="AJ183" i="1"/>
  <c r="AJ120" i="1"/>
  <c r="W183" i="1"/>
  <c r="W120" i="1"/>
  <c r="W121" i="1"/>
  <c r="BX108" i="1"/>
  <c r="BC183" i="1"/>
  <c r="BC120" i="1"/>
  <c r="BC121" i="1"/>
  <c r="T183" i="1"/>
  <c r="T120" i="1"/>
  <c r="T121" i="1"/>
  <c r="AJ161" i="1"/>
  <c r="AJ162" i="1"/>
  <c r="Z181" i="1"/>
  <c r="Z121" i="1"/>
  <c r="Z118" i="1"/>
  <c r="Z231" i="1"/>
  <c r="AS110" i="1"/>
  <c r="AS126" i="1"/>
  <c r="R77" i="1"/>
  <c r="W77" i="1"/>
  <c r="K202" i="1"/>
  <c r="Z183" i="1"/>
  <c r="Z120" i="1"/>
  <c r="AP120" i="1"/>
  <c r="AQ183" i="1"/>
  <c r="AQ120" i="1"/>
  <c r="AQ121" i="1"/>
  <c r="H122" i="1"/>
  <c r="H123" i="1" s="1"/>
  <c r="H127" i="1" s="1"/>
  <c r="H144" i="1"/>
  <c r="H124" i="1"/>
  <c r="AR183" i="1"/>
  <c r="AR120" i="1"/>
  <c r="AR121" i="1"/>
  <c r="BI154" i="1"/>
  <c r="BF299" i="1"/>
  <c r="BF241" i="1"/>
  <c r="H254" i="1"/>
  <c r="H256" i="1" s="1"/>
  <c r="I250" i="1"/>
  <c r="I251" i="1" s="1"/>
  <c r="BF268" i="1"/>
  <c r="BG266" i="1"/>
  <c r="BG95" i="1"/>
  <c r="AO294" i="1"/>
  <c r="AO295" i="1" s="1"/>
  <c r="AN295" i="1"/>
  <c r="AE368" i="1"/>
  <c r="AA368" i="1"/>
  <c r="R112" i="1"/>
  <c r="BA126" i="1"/>
  <c r="BF22" i="1"/>
  <c r="BG21" i="1"/>
  <c r="BF17" i="1"/>
  <c r="Q21" i="38"/>
  <c r="Q10" i="38"/>
  <c r="T126" i="1"/>
  <c r="BS219" i="1"/>
  <c r="BS188" i="1"/>
  <c r="CG97" i="1"/>
  <c r="U16" i="38"/>
  <c r="BN221" i="1"/>
  <c r="BN232" i="1"/>
  <c r="BW47" i="1"/>
  <c r="AP440" i="1"/>
  <c r="AO453" i="1"/>
  <c r="AN453" i="1" s="1"/>
  <c r="AM453" i="1" s="1"/>
  <c r="AP466" i="1"/>
  <c r="AQ453" i="1"/>
  <c r="AR453" i="1" s="1"/>
  <c r="AS453" i="1" s="1"/>
  <c r="BE184" i="1"/>
  <c r="BE80" i="1"/>
  <c r="BE114" i="1" s="1"/>
  <c r="BE78" i="1"/>
  <c r="BE79" i="1" s="1"/>
  <c r="BE58" i="1"/>
  <c r="BI57" i="1"/>
  <c r="O183" i="1"/>
  <c r="O120" i="1"/>
  <c r="O121" i="1"/>
  <c r="O112" i="1"/>
  <c r="AE110" i="1"/>
  <c r="AU183" i="1"/>
  <c r="AU120" i="1"/>
  <c r="AZ120" i="1"/>
  <c r="AU121" i="1"/>
  <c r="L110" i="1"/>
  <c r="AB183" i="1"/>
  <c r="AB120" i="1"/>
  <c r="AB121" i="1"/>
  <c r="BD306" i="1"/>
  <c r="BD259" i="1"/>
  <c r="BE259" i="1" s="1"/>
  <c r="BF259" i="1" s="1"/>
  <c r="BG259" i="1" s="1"/>
  <c r="BH259" i="1" s="1"/>
  <c r="BG195" i="1"/>
  <c r="BE247" i="1"/>
  <c r="BE280" i="1"/>
  <c r="T246" i="1"/>
  <c r="T248" i="1"/>
  <c r="AT233" i="1"/>
  <c r="P34" i="38"/>
  <c r="P36" i="38" s="1"/>
  <c r="BC299" i="1"/>
  <c r="BC241" i="1"/>
  <c r="I268" i="1"/>
  <c r="I269" i="1" s="1"/>
  <c r="BS281" i="1"/>
  <c r="R183" i="1"/>
  <c r="N120" i="1"/>
  <c r="I126" i="1"/>
  <c r="AI126" i="1"/>
  <c r="AI51" i="1"/>
  <c r="AO112" i="1"/>
  <c r="AO183" i="1"/>
  <c r="AO120" i="1"/>
  <c r="BG184" i="1"/>
  <c r="BG78" i="1"/>
  <c r="BG79" i="1" s="1"/>
  <c r="BG58" i="1"/>
  <c r="BG80" i="1"/>
  <c r="BG114" i="1" s="1"/>
  <c r="AG110" i="1"/>
  <c r="AL110" i="1"/>
  <c r="CF42" i="1"/>
  <c r="AJ46" i="1"/>
  <c r="AZ123" i="1"/>
  <c r="BF6" i="1"/>
  <c r="BF37" i="1"/>
  <c r="BF75" i="1"/>
  <c r="BF182" i="1"/>
  <c r="BF35" i="1"/>
  <c r="BF30" i="1"/>
  <c r="BG182" i="1"/>
  <c r="AI112" i="1"/>
  <c r="P183" i="1"/>
  <c r="BG103" i="1"/>
  <c r="AC126" i="1"/>
  <c r="AK126" i="1"/>
  <c r="AX147" i="1"/>
  <c r="AX145" i="1"/>
  <c r="AW126" i="1"/>
  <c r="AP147" i="1"/>
  <c r="AP145" i="1"/>
  <c r="AL144" i="1"/>
  <c r="AL124" i="1"/>
  <c r="AL122" i="1"/>
  <c r="AT181" i="1"/>
  <c r="AT121" i="1"/>
  <c r="AT118" i="1"/>
  <c r="BH182" i="1"/>
  <c r="BH30" i="1"/>
  <c r="BH35" i="1"/>
  <c r="AE126" i="1"/>
  <c r="AE51" i="1"/>
  <c r="R21" i="38"/>
  <c r="R10" i="38"/>
  <c r="CE64" i="1"/>
  <c r="CD65" i="1"/>
  <c r="M183" i="1"/>
  <c r="M120" i="1"/>
  <c r="M121" i="1"/>
  <c r="V183" i="1"/>
  <c r="V120" i="1"/>
  <c r="V121" i="1"/>
  <c r="J183" i="1"/>
  <c r="J121" i="1"/>
  <c r="AX245" i="1"/>
  <c r="AY245" i="1" s="1"/>
  <c r="Q38" i="38" s="1"/>
  <c r="O235" i="1"/>
  <c r="P236" i="1"/>
  <c r="P235" i="1" s="1"/>
  <c r="R110" i="1"/>
  <c r="AT201" i="1"/>
  <c r="AT185" i="1"/>
  <c r="Z126" i="1"/>
  <c r="Z51" i="1"/>
  <c r="R144" i="1"/>
  <c r="R124" i="1"/>
  <c r="R122" i="1"/>
  <c r="AS112" i="1"/>
  <c r="AJ50" i="1"/>
  <c r="BA183" i="1"/>
  <c r="BA120" i="1"/>
  <c r="BA121" i="1"/>
  <c r="BF25" i="1"/>
  <c r="BG24" i="1"/>
  <c r="AW110" i="1"/>
  <c r="BB110" i="1"/>
  <c r="G122" i="1"/>
  <c r="G123" i="1" s="1"/>
  <c r="G127" i="1" s="1"/>
  <c r="G144" i="1"/>
  <c r="G124" i="1"/>
  <c r="AA110" i="1"/>
  <c r="G305" i="1"/>
  <c r="G260" i="1"/>
  <c r="G262" i="1" s="1"/>
  <c r="G265" i="1" s="1"/>
  <c r="G131" i="1"/>
  <c r="G132" i="1" s="1"/>
  <c r="AO299" i="1"/>
  <c r="O39" i="38"/>
  <c r="I95" i="1"/>
  <c r="I266" i="1"/>
  <c r="J95" i="1" s="1"/>
  <c r="BE268" i="1"/>
  <c r="BF292" i="1"/>
  <c r="AH423" i="1"/>
  <c r="AO380" i="1"/>
  <c r="AO205" i="1"/>
  <c r="AO199" i="1"/>
  <c r="AO284" i="1"/>
  <c r="AO200" i="1"/>
  <c r="AO212" i="1"/>
  <c r="AO211" i="1"/>
  <c r="BV47" i="1"/>
  <c r="N124" i="1"/>
  <c r="N122" i="1"/>
  <c r="N144" i="1"/>
  <c r="AH124" i="1"/>
  <c r="AH122" i="1"/>
  <c r="AH144" i="1"/>
  <c r="AO22" i="1"/>
  <c r="AT22" i="1"/>
  <c r="CC35" i="1"/>
  <c r="CC36" i="1" s="1"/>
  <c r="BE36" i="1"/>
  <c r="BE48" i="1"/>
  <c r="BE50" i="1" s="1"/>
  <c r="AY46" i="1"/>
  <c r="E42" i="38" s="1"/>
  <c r="U76" i="1"/>
  <c r="U75" i="1"/>
  <c r="U74" i="1"/>
  <c r="Z74" i="1"/>
  <c r="AO206" i="1"/>
  <c r="P181" i="1"/>
  <c r="P118" i="1"/>
  <c r="P121" i="1"/>
  <c r="AL183" i="1"/>
  <c r="BI74" i="1"/>
  <c r="BI76" i="1"/>
  <c r="AE112" i="1"/>
  <c r="AV112" i="1"/>
  <c r="AV110" i="1"/>
  <c r="AO213" i="1"/>
  <c r="AP162" i="1"/>
  <c r="AQ161" i="1"/>
  <c r="AP161" i="1"/>
  <c r="BF162" i="1"/>
  <c r="BF161" i="1"/>
  <c r="BE275" i="1"/>
  <c r="BF247" i="1"/>
  <c r="O247" i="1"/>
  <c r="N248" i="1"/>
  <c r="N246" i="1"/>
  <c r="AN248" i="1"/>
  <c r="AN246" i="1"/>
  <c r="AO246" i="1" s="1"/>
  <c r="BD239" i="1"/>
  <c r="H268" i="1"/>
  <c r="H269" i="1" s="1"/>
  <c r="AE294" i="1"/>
  <c r="AE295" i="1" s="1"/>
  <c r="AD295" i="1"/>
  <c r="U121" i="1"/>
  <c r="BE6" i="1"/>
  <c r="BI5" i="1"/>
  <c r="BI6" i="1" s="1"/>
  <c r="BE37" i="1"/>
  <c r="N183" i="1"/>
  <c r="BI55" i="1"/>
  <c r="S13" i="38"/>
  <c r="BI54" i="1"/>
  <c r="BC126" i="1"/>
  <c r="BC51" i="1"/>
  <c r="AD110" i="1"/>
  <c r="AD183" i="1"/>
  <c r="AD120" i="1"/>
  <c r="AD121" i="1"/>
  <c r="AR126" i="1"/>
  <c r="AG112" i="1"/>
  <c r="AG183" i="1"/>
  <c r="AG120" i="1"/>
  <c r="AG121" i="1"/>
  <c r="Q110" i="1"/>
  <c r="F183" i="1"/>
  <c r="F121" i="1"/>
  <c r="BX47" i="1"/>
  <c r="BG99" i="1"/>
  <c r="BG98" i="1"/>
  <c r="S183" i="1"/>
  <c r="S120" i="1"/>
  <c r="S121" i="1"/>
  <c r="AI110" i="1"/>
  <c r="AY183" i="1"/>
  <c r="AY120" i="1"/>
  <c r="P113" i="1"/>
  <c r="AF112" i="1"/>
  <c r="AF110" i="1"/>
  <c r="F262" i="1"/>
  <c r="F261" i="1"/>
  <c r="P44" i="38"/>
  <c r="K233" i="1"/>
  <c r="AY299" i="1"/>
  <c r="Q39" i="38"/>
  <c r="AY241" i="1"/>
  <c r="BG274" i="1"/>
  <c r="Z352" i="1"/>
  <c r="AR434" i="1"/>
  <c r="AS433" i="1"/>
  <c r="AR433" i="1" s="1"/>
  <c r="AT236" i="1"/>
  <c r="P21" i="38"/>
  <c r="P10" i="38"/>
  <c r="BB189" i="1"/>
  <c r="BB207" i="1" s="1"/>
  <c r="BB124" i="1"/>
  <c r="BB122" i="1"/>
  <c r="BB144" i="1"/>
  <c r="BY47" i="1"/>
  <c r="AK110" i="1"/>
  <c r="AP110" i="1"/>
  <c r="AX201" i="1"/>
  <c r="AX185" i="1"/>
  <c r="Y126" i="1"/>
  <c r="Y112" i="1"/>
  <c r="Y110" i="1"/>
  <c r="K115" i="1"/>
  <c r="K111" i="1"/>
  <c r="K112" i="1" s="1"/>
  <c r="K119" i="1"/>
  <c r="K109" i="1"/>
  <c r="K110" i="1" s="1"/>
  <c r="K107" i="1"/>
  <c r="AO126" i="1"/>
  <c r="AO51" i="1"/>
  <c r="AP112" i="1"/>
  <c r="AM183" i="1"/>
  <c r="AM120" i="1"/>
  <c r="AM121" i="1"/>
  <c r="BH99" i="1"/>
  <c r="BH98" i="1"/>
  <c r="AN183" i="1"/>
  <c r="AN120" i="1"/>
  <c r="AN121" i="1"/>
  <c r="AP189" i="1" s="1"/>
  <c r="AP207" i="1" s="1"/>
  <c r="AD235" i="1"/>
  <c r="AE235" i="1" s="1"/>
  <c r="AE236" i="1"/>
  <c r="AJ418" i="1"/>
  <c r="AJ424" i="1" s="1"/>
  <c r="Q32" i="38"/>
  <c r="Q44" i="38" s="1"/>
  <c r="E54" i="38" s="1"/>
  <c r="AW246" i="1"/>
  <c r="BE186" i="1"/>
  <c r="BE83" i="1"/>
  <c r="BE82" i="1"/>
  <c r="BI19" i="1"/>
  <c r="BI14" i="1"/>
  <c r="BI9" i="1"/>
  <c r="G37" i="38" s="1"/>
  <c r="W126" i="1"/>
  <c r="AS183" i="1"/>
  <c r="AS120" i="1"/>
  <c r="AS121" i="1"/>
  <c r="AE46" i="1"/>
  <c r="AH112" i="1"/>
  <c r="BE26" i="1"/>
  <c r="BE96" i="1"/>
  <c r="AW183" i="1"/>
  <c r="AW120" i="1"/>
  <c r="AW121" i="1"/>
  <c r="BB112" i="1"/>
  <c r="AA183" i="1"/>
  <c r="AA120" i="1"/>
  <c r="AA121" i="1"/>
  <c r="X183" i="1"/>
  <c r="X120" i="1"/>
  <c r="X121" i="1"/>
  <c r="AR110" i="1"/>
  <c r="AZ161" i="1"/>
  <c r="AZ162" i="1"/>
  <c r="BE162" i="1"/>
  <c r="BA161" i="1"/>
  <c r="AI227" i="1"/>
  <c r="AI233" i="1"/>
  <c r="AJ228" i="1"/>
  <c r="AO228" i="1"/>
  <c r="O221" i="1"/>
  <c r="O95" i="1"/>
  <c r="P219" i="1"/>
  <c r="U246" i="1"/>
  <c r="J235" i="1"/>
  <c r="K236" i="1"/>
  <c r="K235" i="1" s="1"/>
  <c r="BC246" i="1"/>
  <c r="BD246" i="1" s="1"/>
  <c r="BC248" i="1"/>
  <c r="G126" i="1"/>
  <c r="J126" i="1"/>
  <c r="M126" i="1"/>
  <c r="AA126" i="1"/>
  <c r="AA51" i="1"/>
  <c r="BE89" i="1"/>
  <c r="BH6" i="1"/>
  <c r="BH75" i="1"/>
  <c r="AY181" i="1"/>
  <c r="AY121" i="1"/>
  <c r="AY118" i="1"/>
  <c r="AN126" i="1"/>
  <c r="BD126" i="1"/>
  <c r="BD51" i="1"/>
  <c r="U113" i="1"/>
  <c r="I144" i="1"/>
  <c r="I124" i="1"/>
  <c r="I122" i="1"/>
  <c r="I123" i="1" s="1"/>
  <c r="I127" i="1" s="1"/>
  <c r="O110" i="1"/>
  <c r="L112" i="1"/>
  <c r="L183" i="1"/>
  <c r="L120" i="1"/>
  <c r="L121" i="1"/>
  <c r="AB110" i="1"/>
  <c r="AV183" i="1"/>
  <c r="AV120" i="1"/>
  <c r="AV121" i="1"/>
  <c r="AZ183" i="1"/>
  <c r="AT162" i="1"/>
  <c r="AT161" i="1"/>
  <c r="BG160" i="1"/>
  <c r="BH242" i="1"/>
  <c r="BH245" i="1" s="1"/>
  <c r="T228" i="1"/>
  <c r="S227" i="1"/>
  <c r="S233" i="1"/>
  <c r="S235" i="1"/>
  <c r="J246" i="1"/>
  <c r="J248" i="1"/>
  <c r="K247" i="1"/>
  <c r="AO269" i="1"/>
  <c r="AO270" i="1" s="1"/>
  <c r="AN270" i="1"/>
  <c r="BD255" i="1"/>
  <c r="Y270" i="1"/>
  <c r="Z269" i="1"/>
  <c r="Z270" i="1" s="1"/>
  <c r="U205" i="1"/>
  <c r="U199" i="1"/>
  <c r="U284" i="1"/>
  <c r="U212" i="1"/>
  <c r="U200" i="1"/>
  <c r="U211" i="1"/>
  <c r="CF63" i="1"/>
  <c r="AD112" i="1"/>
  <c r="BE106" i="1"/>
  <c r="AH120" i="1"/>
  <c r="BH37" i="1"/>
  <c r="AJ181" i="1"/>
  <c r="AJ118" i="1"/>
  <c r="AJ121" i="1"/>
  <c r="X77" i="1"/>
  <c r="Q112" i="1"/>
  <c r="Q183" i="1"/>
  <c r="Q120" i="1"/>
  <c r="Q121" i="1"/>
  <c r="U50" i="1"/>
  <c r="Z60" i="1"/>
  <c r="BB183" i="1"/>
  <c r="AI183" i="1"/>
  <c r="AI120" i="1"/>
  <c r="AI121" i="1"/>
  <c r="AL189" i="1" s="1"/>
  <c r="AL207" i="1" s="1"/>
  <c r="BN158" i="1"/>
  <c r="BS155" i="1"/>
  <c r="T28" i="38"/>
  <c r="G32" i="38" s="1"/>
  <c r="P107" i="1"/>
  <c r="AF183" i="1"/>
  <c r="AF120" i="1"/>
  <c r="AF121" i="1"/>
  <c r="AA162" i="1"/>
  <c r="AA161" i="1"/>
  <c r="AB161" i="1"/>
  <c r="J233" i="1"/>
  <c r="N42" i="38"/>
  <c r="K231" i="1"/>
  <c r="Q36" i="38"/>
  <c r="AS248" i="1"/>
  <c r="AS246" i="1"/>
  <c r="AT246" i="1" s="1"/>
  <c r="V126" i="1"/>
  <c r="AD126" i="1"/>
  <c r="BG239" i="1" l="1"/>
  <c r="BI35" i="1"/>
  <c r="BI75" i="1"/>
  <c r="BI105" i="1"/>
  <c r="AT247" i="1"/>
  <c r="AT248" i="1" s="1"/>
  <c r="P41" i="38"/>
  <c r="P42" i="38" s="1"/>
  <c r="R41" i="38"/>
  <c r="AO247" i="1"/>
  <c r="AO248" i="1" s="1"/>
  <c r="O41" i="38"/>
  <c r="AF189" i="1"/>
  <c r="AF207" i="1" s="1"/>
  <c r="AF122" i="1"/>
  <c r="AF144" i="1"/>
  <c r="AF124" i="1"/>
  <c r="H32" i="38"/>
  <c r="F32" i="38"/>
  <c r="U126" i="1"/>
  <c r="U51" i="1"/>
  <c r="BE119" i="1"/>
  <c r="BE109" i="1"/>
  <c r="BE107" i="1"/>
  <c r="BE115" i="1"/>
  <c r="BE113" i="1" s="1"/>
  <c r="BE111" i="1"/>
  <c r="BE108" i="1"/>
  <c r="T233" i="1"/>
  <c r="T227" i="1"/>
  <c r="T235" i="1"/>
  <c r="U228" i="1"/>
  <c r="AY189" i="1"/>
  <c r="AY122" i="1"/>
  <c r="AY144" i="1"/>
  <c r="AY124" i="1"/>
  <c r="P95" i="1"/>
  <c r="P221" i="1"/>
  <c r="AJ232" i="1"/>
  <c r="AJ231" i="1"/>
  <c r="AJ227" i="1"/>
  <c r="N34" i="38" s="1"/>
  <c r="N36" i="38" s="1"/>
  <c r="X189" i="1"/>
  <c r="X122" i="1"/>
  <c r="X144" i="1"/>
  <c r="X124" i="1"/>
  <c r="AN201" i="1"/>
  <c r="AN185" i="1"/>
  <c r="AM189" i="1"/>
  <c r="AM207" i="1" s="1"/>
  <c r="AM122" i="1"/>
  <c r="AM144" i="1"/>
  <c r="AM124" i="1"/>
  <c r="AM125" i="1" s="1"/>
  <c r="K183" i="1"/>
  <c r="K120" i="1"/>
  <c r="BB123" i="1"/>
  <c r="P22" i="38"/>
  <c r="P56" i="38" s="1"/>
  <c r="P27" i="38"/>
  <c r="S189" i="1"/>
  <c r="S122" i="1"/>
  <c r="S144" i="1"/>
  <c r="S124" i="1"/>
  <c r="S125" i="1" s="1"/>
  <c r="F201" i="1"/>
  <c r="F185" i="1"/>
  <c r="AD189" i="1"/>
  <c r="AD124" i="1"/>
  <c r="AD144" i="1"/>
  <c r="AD122" i="1"/>
  <c r="BN55" i="1"/>
  <c r="BI56" i="1"/>
  <c r="P189" i="1"/>
  <c r="P122" i="1"/>
  <c r="P144" i="1"/>
  <c r="P124" i="1"/>
  <c r="N125" i="1"/>
  <c r="BF96" i="1"/>
  <c r="BF26" i="1"/>
  <c r="BF89" i="1"/>
  <c r="AJ126" i="1"/>
  <c r="AJ51" i="1"/>
  <c r="R145" i="1"/>
  <c r="R147" i="1"/>
  <c r="AT203" i="1"/>
  <c r="AT278" i="1"/>
  <c r="V189" i="1"/>
  <c r="V124" i="1"/>
  <c r="V122" i="1"/>
  <c r="V144" i="1"/>
  <c r="BH48" i="1"/>
  <c r="BH50" i="1" s="1"/>
  <c r="CF35" i="1"/>
  <c r="BH36" i="1"/>
  <c r="AT189" i="1"/>
  <c r="AT124" i="1"/>
  <c r="AT125" i="1" s="1"/>
  <c r="AT144" i="1"/>
  <c r="AT122" i="1"/>
  <c r="AL145" i="1"/>
  <c r="AL147" i="1"/>
  <c r="P201" i="1"/>
  <c r="P185" i="1"/>
  <c r="BF38" i="1"/>
  <c r="BF43" i="1"/>
  <c r="AB189" i="1"/>
  <c r="AB144" i="1"/>
  <c r="AB122" i="1"/>
  <c r="AB124" i="1"/>
  <c r="AU189" i="1"/>
  <c r="AU207" i="1" s="1"/>
  <c r="AU144" i="1"/>
  <c r="AU122" i="1"/>
  <c r="AU124" i="1"/>
  <c r="O201" i="1"/>
  <c r="O185" i="1"/>
  <c r="Q27" i="38"/>
  <c r="Q22" i="38"/>
  <c r="Q56" i="38" s="1"/>
  <c r="E50" i="38"/>
  <c r="BH21" i="1"/>
  <c r="BG22" i="1"/>
  <c r="BG17" i="1"/>
  <c r="BG18" i="1" s="1"/>
  <c r="AB368" i="1"/>
  <c r="Z380" i="1"/>
  <c r="Z205" i="1"/>
  <c r="Z199" i="1"/>
  <c r="Z284" i="1"/>
  <c r="Z200" i="1"/>
  <c r="Z211" i="1"/>
  <c r="Z212" i="1"/>
  <c r="Z213" i="1"/>
  <c r="Z204" i="1"/>
  <c r="Z202" i="1"/>
  <c r="Z206" i="1"/>
  <c r="T189" i="1"/>
  <c r="T122" i="1"/>
  <c r="T144" i="1"/>
  <c r="T124" i="1"/>
  <c r="P126" i="1"/>
  <c r="P51" i="1"/>
  <c r="BF81" i="1"/>
  <c r="P233" i="1"/>
  <c r="P232" i="1"/>
  <c r="P231" i="1"/>
  <c r="P227" i="1"/>
  <c r="BH164" i="1"/>
  <c r="BI163" i="1"/>
  <c r="U201" i="1"/>
  <c r="U185" i="1"/>
  <c r="BN90" i="1"/>
  <c r="BI91" i="1"/>
  <c r="AH419" i="1"/>
  <c r="AO196" i="1"/>
  <c r="AO147" i="1"/>
  <c r="AO145" i="1"/>
  <c r="AF423" i="1"/>
  <c r="AE380" i="1"/>
  <c r="AE205" i="1"/>
  <c r="AE199" i="1"/>
  <c r="AE206" i="1"/>
  <c r="AE200" i="1"/>
  <c r="AE212" i="1"/>
  <c r="AE211" i="1"/>
  <c r="AE284" i="1"/>
  <c r="AE202" i="1"/>
  <c r="AE204" i="1"/>
  <c r="AE213" i="1"/>
  <c r="Y189" i="1"/>
  <c r="Y144" i="1"/>
  <c r="Y124" i="1"/>
  <c r="Y125" i="1" s="1"/>
  <c r="Y122" i="1"/>
  <c r="K284" i="1"/>
  <c r="K205" i="1"/>
  <c r="K199" i="1"/>
  <c r="K200" i="1"/>
  <c r="K204" i="1"/>
  <c r="K212" i="1"/>
  <c r="K206" i="1"/>
  <c r="K211" i="1"/>
  <c r="K270" i="1"/>
  <c r="K213" i="1"/>
  <c r="BH43" i="1"/>
  <c r="BH38" i="1"/>
  <c r="I147" i="1"/>
  <c r="I176" i="1" s="1"/>
  <c r="I218" i="1" s="1"/>
  <c r="I224" i="1" s="1"/>
  <c r="I145" i="1"/>
  <c r="BI15" i="1"/>
  <c r="BN14" i="1"/>
  <c r="G39" i="38"/>
  <c r="AM201" i="1"/>
  <c r="AM185" i="1"/>
  <c r="K113" i="1"/>
  <c r="K126" i="1"/>
  <c r="BH274" i="1"/>
  <c r="BE43" i="1"/>
  <c r="BE38" i="1"/>
  <c r="BI37" i="1"/>
  <c r="BD299" i="1"/>
  <c r="BD241" i="1"/>
  <c r="BD247" i="1" s="1"/>
  <c r="R39" i="38"/>
  <c r="R42" i="38" s="1"/>
  <c r="AH147" i="1"/>
  <c r="AH145" i="1"/>
  <c r="N147" i="1"/>
  <c r="N145" i="1"/>
  <c r="J189" i="1"/>
  <c r="J124" i="1"/>
  <c r="J122" i="1"/>
  <c r="J144" i="1"/>
  <c r="N196" i="1" s="1"/>
  <c r="N214" i="1" s="1"/>
  <c r="AL123" i="1"/>
  <c r="BF258" i="1"/>
  <c r="BF275" i="1"/>
  <c r="BN156" i="1"/>
  <c r="BN154" i="1"/>
  <c r="T201" i="1"/>
  <c r="T185" i="1"/>
  <c r="AZ176" i="1"/>
  <c r="AZ218" i="1" s="1"/>
  <c r="AZ224" i="1" s="1"/>
  <c r="AZ149" i="1"/>
  <c r="AZ152" i="1"/>
  <c r="AS267" i="1"/>
  <c r="AR268" i="1"/>
  <c r="AR269" i="1" s="1"/>
  <c r="AR270" i="1" s="1"/>
  <c r="AO190" i="1"/>
  <c r="AO123" i="1"/>
  <c r="BG299" i="1"/>
  <c r="BG241" i="1"/>
  <c r="BG247" i="1" s="1"/>
  <c r="BG38" i="1"/>
  <c r="BG43" i="1"/>
  <c r="AX246" i="1"/>
  <c r="AY246" i="1" s="1"/>
  <c r="Y201" i="1"/>
  <c r="Y185" i="1"/>
  <c r="K189" i="1"/>
  <c r="K144" i="1"/>
  <c r="K122" i="1"/>
  <c r="K124" i="1"/>
  <c r="BS158" i="1"/>
  <c r="U28" i="38"/>
  <c r="AI201" i="1"/>
  <c r="AI185" i="1"/>
  <c r="Q189" i="1"/>
  <c r="Q144" i="1"/>
  <c r="Q124" i="1"/>
  <c r="Q122" i="1"/>
  <c r="AJ380" i="1"/>
  <c r="AG423" i="1"/>
  <c r="AJ205" i="1"/>
  <c r="AJ199" i="1"/>
  <c r="AJ200" i="1"/>
  <c r="AJ211" i="1"/>
  <c r="AJ284" i="1"/>
  <c r="AJ212" i="1"/>
  <c r="AJ213" i="1"/>
  <c r="AJ206" i="1"/>
  <c r="AJ202" i="1"/>
  <c r="AJ204" i="1"/>
  <c r="BE235" i="1"/>
  <c r="BE255" i="1"/>
  <c r="K246" i="1"/>
  <c r="K248" i="1"/>
  <c r="K251" i="1" s="1"/>
  <c r="U235" i="1"/>
  <c r="U236" i="1" s="1"/>
  <c r="U248" i="1" s="1"/>
  <c r="AV201" i="1"/>
  <c r="AV185" i="1"/>
  <c r="L201" i="1"/>
  <c r="L185" i="1"/>
  <c r="AY380" i="1"/>
  <c r="AJ423" i="1"/>
  <c r="AY284" i="1"/>
  <c r="AY205" i="1"/>
  <c r="AY199" i="1"/>
  <c r="AY211" i="1"/>
  <c r="AY206" i="1"/>
  <c r="AY212" i="1"/>
  <c r="AY200" i="1"/>
  <c r="AY202" i="1"/>
  <c r="AY213" i="1"/>
  <c r="AY204" i="1"/>
  <c r="AA201" i="1"/>
  <c r="AA185" i="1"/>
  <c r="AW201" i="1"/>
  <c r="AW185" i="1"/>
  <c r="AS189" i="1"/>
  <c r="AS207" i="1" s="1"/>
  <c r="AS124" i="1"/>
  <c r="AS144" i="1"/>
  <c r="AS122" i="1"/>
  <c r="F263" i="1"/>
  <c r="F265" i="1"/>
  <c r="AG201" i="1"/>
  <c r="AG185" i="1"/>
  <c r="N201" i="1"/>
  <c r="N185" i="1"/>
  <c r="U189" i="1"/>
  <c r="U124" i="1"/>
  <c r="U125" i="1" s="1"/>
  <c r="U144" i="1"/>
  <c r="U122" i="1"/>
  <c r="BI77" i="1"/>
  <c r="BN76" i="1"/>
  <c r="BE51" i="1"/>
  <c r="AH189" i="1"/>
  <c r="AH207" i="1" s="1"/>
  <c r="N189" i="1"/>
  <c r="BA189" i="1"/>
  <c r="BA207" i="1" s="1"/>
  <c r="BA144" i="1"/>
  <c r="BA124" i="1"/>
  <c r="BA122" i="1"/>
  <c r="R189" i="1"/>
  <c r="M201" i="1"/>
  <c r="M185" i="1"/>
  <c r="R27" i="38"/>
  <c r="R22" i="38"/>
  <c r="R56" i="38" s="1"/>
  <c r="F50" i="38"/>
  <c r="AT380" i="1"/>
  <c r="AI423" i="1"/>
  <c r="AT205" i="1"/>
  <c r="AT199" i="1"/>
  <c r="AT200" i="1"/>
  <c r="AT284" i="1"/>
  <c r="AT212" i="1"/>
  <c r="AT211" i="1"/>
  <c r="AT204" i="1"/>
  <c r="AT202" i="1"/>
  <c r="AT206" i="1"/>
  <c r="AT213" i="1"/>
  <c r="P112" i="1"/>
  <c r="BF36" i="1"/>
  <c r="BF48" i="1"/>
  <c r="BF50" i="1" s="1"/>
  <c r="CD35" i="1"/>
  <c r="CD36" i="1" s="1"/>
  <c r="AO201" i="1"/>
  <c r="AO185" i="1"/>
  <c r="R201" i="1"/>
  <c r="R185" i="1"/>
  <c r="BF280" i="1"/>
  <c r="BE135" i="1"/>
  <c r="BE136" i="1" s="1"/>
  <c r="BI184" i="1"/>
  <c r="BI80" i="1"/>
  <c r="BI114" i="1" s="1"/>
  <c r="BI78" i="1"/>
  <c r="BI79" i="1" s="1"/>
  <c r="BI59" i="1"/>
  <c r="BI58" i="1"/>
  <c r="S14" i="38"/>
  <c r="AO440" i="1"/>
  <c r="AN440" i="1" s="1"/>
  <c r="AM440" i="1" s="1"/>
  <c r="AQ440" i="1"/>
  <c r="AR440" i="1" s="1"/>
  <c r="AS440" i="1" s="1"/>
  <c r="BS221" i="1"/>
  <c r="BS232" i="1"/>
  <c r="AJ368" i="1"/>
  <c r="AR201" i="1"/>
  <c r="AR185" i="1"/>
  <c r="AQ189" i="1"/>
  <c r="AQ207" i="1" s="1"/>
  <c r="AQ144" i="1"/>
  <c r="AQ122" i="1"/>
  <c r="AQ124" i="1"/>
  <c r="AQ125" i="1" s="1"/>
  <c r="BC201" i="1"/>
  <c r="BC185" i="1"/>
  <c r="W201" i="1"/>
  <c r="W185" i="1"/>
  <c r="BD189" i="1"/>
  <c r="BD144" i="1"/>
  <c r="BD122" i="1"/>
  <c r="BD124" i="1"/>
  <c r="AC189" i="1"/>
  <c r="AC124" i="1"/>
  <c r="AC125" i="1" s="1"/>
  <c r="AC144" i="1"/>
  <c r="AC122" i="1"/>
  <c r="AK189" i="1"/>
  <c r="AK207" i="1" s="1"/>
  <c r="AK144" i="1"/>
  <c r="AL196" i="1" s="1"/>
  <c r="AL214" i="1" s="1"/>
  <c r="AK124" i="1"/>
  <c r="AK122" i="1"/>
  <c r="AP127" i="1"/>
  <c r="N27" i="38"/>
  <c r="N22" i="38"/>
  <c r="N56" i="38" s="1"/>
  <c r="AA391" i="1"/>
  <c r="BH195" i="1"/>
  <c r="AO381" i="1"/>
  <c r="AO327" i="1"/>
  <c r="AO319" i="1"/>
  <c r="AO323" i="1"/>
  <c r="AO207" i="1"/>
  <c r="AO331" i="1"/>
  <c r="AE189" i="1"/>
  <c r="AE122" i="1"/>
  <c r="AE144" i="1"/>
  <c r="AE124" i="1"/>
  <c r="AH278" i="1"/>
  <c r="AH203" i="1"/>
  <c r="AP203" i="1"/>
  <c r="AP278" i="1"/>
  <c r="BI32" i="1"/>
  <c r="BI33" i="1"/>
  <c r="BN31" i="1"/>
  <c r="AF201" i="1"/>
  <c r="AF185" i="1"/>
  <c r="BB201" i="1"/>
  <c r="BB185" i="1"/>
  <c r="AZ201" i="1"/>
  <c r="AZ185" i="1"/>
  <c r="X201" i="1"/>
  <c r="X185" i="1"/>
  <c r="AN189" i="1"/>
  <c r="AN207" i="1" s="1"/>
  <c r="AN122" i="1"/>
  <c r="AN144" i="1"/>
  <c r="AN124" i="1"/>
  <c r="AX203" i="1"/>
  <c r="AX278" i="1"/>
  <c r="AY201" i="1"/>
  <c r="AY185" i="1"/>
  <c r="S201" i="1"/>
  <c r="S185" i="1"/>
  <c r="AD201" i="1"/>
  <c r="AD185" i="1"/>
  <c r="P199" i="1"/>
  <c r="P205" i="1"/>
  <c r="P212" i="1"/>
  <c r="P204" i="1"/>
  <c r="P211" i="1"/>
  <c r="P200" i="1"/>
  <c r="P284" i="1"/>
  <c r="P213" i="1"/>
  <c r="P206" i="1"/>
  <c r="P270" i="1"/>
  <c r="R123" i="1"/>
  <c r="V201" i="1"/>
  <c r="V185" i="1"/>
  <c r="BH258" i="1"/>
  <c r="BH275" i="1"/>
  <c r="BI275" i="1" s="1"/>
  <c r="BI276" i="1" s="1"/>
  <c r="BN276" i="1" s="1"/>
  <c r="BH103" i="1"/>
  <c r="BI103" i="1" s="1"/>
  <c r="AZ127" i="1"/>
  <c r="AB201" i="1"/>
  <c r="AB185" i="1"/>
  <c r="O189" i="1"/>
  <c r="O122" i="1"/>
  <c r="R190" i="1" s="1"/>
  <c r="O144" i="1"/>
  <c r="O124" i="1"/>
  <c r="O125" i="1" s="1"/>
  <c r="BE258" i="1"/>
  <c r="I254" i="1"/>
  <c r="I256" i="1" s="1"/>
  <c r="J250" i="1"/>
  <c r="J251" i="1" s="1"/>
  <c r="J254" i="1" s="1"/>
  <c r="J256" i="1" s="1"/>
  <c r="Z201" i="1"/>
  <c r="Z185" i="1"/>
  <c r="P294" i="1"/>
  <c r="P295" i="1" s="1"/>
  <c r="O295" i="1"/>
  <c r="BI193" i="1"/>
  <c r="BI139" i="1"/>
  <c r="BI142" i="1" s="1"/>
  <c r="S24" i="38" s="1"/>
  <c r="AE201" i="1"/>
  <c r="AE185" i="1"/>
  <c r="BD201" i="1"/>
  <c r="BD185" i="1"/>
  <c r="BI36" i="1"/>
  <c r="BI48" i="1"/>
  <c r="AI189" i="1"/>
  <c r="AI207" i="1" s="1"/>
  <c r="AI122" i="1"/>
  <c r="AI144" i="1"/>
  <c r="AI124" i="1"/>
  <c r="AI125" i="1" s="1"/>
  <c r="Q201" i="1"/>
  <c r="Q185" i="1"/>
  <c r="AJ189" i="1"/>
  <c r="AJ144" i="1"/>
  <c r="AJ122" i="1"/>
  <c r="AJ124" i="1"/>
  <c r="AJ125" i="1" s="1"/>
  <c r="BG162" i="1"/>
  <c r="BG161" i="1"/>
  <c r="AV189" i="1"/>
  <c r="AV207" i="1" s="1"/>
  <c r="AV144" i="1"/>
  <c r="AV122" i="1"/>
  <c r="AV124" i="1"/>
  <c r="AV125" i="1" s="1"/>
  <c r="AZ189" i="1"/>
  <c r="AZ207" i="1" s="1"/>
  <c r="L189" i="1"/>
  <c r="L122" i="1"/>
  <c r="L144" i="1"/>
  <c r="L124" i="1"/>
  <c r="L125" i="1" s="1"/>
  <c r="AO232" i="1"/>
  <c r="AO231" i="1"/>
  <c r="AA189" i="1"/>
  <c r="AA144" i="1"/>
  <c r="AA122" i="1"/>
  <c r="AA124" i="1"/>
  <c r="AA125" i="1" s="1"/>
  <c r="AW189" i="1"/>
  <c r="AW207" i="1" s="1"/>
  <c r="AW124" i="1"/>
  <c r="BB125" i="1" s="1"/>
  <c r="AW144" i="1"/>
  <c r="AW122" i="1"/>
  <c r="AX189" i="1"/>
  <c r="AX207" i="1" s="1"/>
  <c r="AS201" i="1"/>
  <c r="AS185" i="1"/>
  <c r="BI20" i="1"/>
  <c r="BN19" i="1"/>
  <c r="BB196" i="1"/>
  <c r="BB214" i="1" s="1"/>
  <c r="BB147" i="1"/>
  <c r="BB145" i="1"/>
  <c r="F189" i="1"/>
  <c r="F207" i="1" s="1"/>
  <c r="F124" i="1"/>
  <c r="F122" i="1"/>
  <c r="F144" i="1"/>
  <c r="AG189" i="1"/>
  <c r="AG207" i="1" s="1"/>
  <c r="AG144" i="1"/>
  <c r="AH196" i="1" s="1"/>
  <c r="AH214" i="1" s="1"/>
  <c r="AG124" i="1"/>
  <c r="AG125" i="1" s="1"/>
  <c r="AG122" i="1"/>
  <c r="O248" i="1"/>
  <c r="O246" i="1"/>
  <c r="P247" i="1"/>
  <c r="AL201" i="1"/>
  <c r="AL185" i="1"/>
  <c r="U77" i="1"/>
  <c r="Z77" i="1"/>
  <c r="AH190" i="1"/>
  <c r="AH208" i="1" s="1"/>
  <c r="AH123" i="1"/>
  <c r="N123" i="1"/>
  <c r="BG292" i="1"/>
  <c r="O42" i="38"/>
  <c r="G145" i="1"/>
  <c r="G147" i="1"/>
  <c r="G176" i="1" s="1"/>
  <c r="G218" i="1" s="1"/>
  <c r="G224" i="1" s="1"/>
  <c r="BH24" i="1"/>
  <c r="BG25" i="1"/>
  <c r="BA201" i="1"/>
  <c r="BA185" i="1"/>
  <c r="R125" i="1"/>
  <c r="AJ270" i="1"/>
  <c r="J201" i="1"/>
  <c r="J185" i="1"/>
  <c r="M189" i="1"/>
  <c r="M144" i="1"/>
  <c r="M124" i="1"/>
  <c r="M125" i="1" s="1"/>
  <c r="M122" i="1"/>
  <c r="N190" i="1" s="1"/>
  <c r="CE61" i="1"/>
  <c r="CE68" i="1" s="1"/>
  <c r="CE69" i="1" s="1"/>
  <c r="CF64" i="1"/>
  <c r="CF61" i="1" s="1"/>
  <c r="CF68" i="1" s="1"/>
  <c r="AL125" i="1"/>
  <c r="AP176" i="1"/>
  <c r="AP218" i="1" s="1"/>
  <c r="AP224" i="1" s="1"/>
  <c r="AP149" i="1"/>
  <c r="AP152" i="1"/>
  <c r="AX176" i="1"/>
  <c r="AX218" i="1" s="1"/>
  <c r="AX224" i="1" s="1"/>
  <c r="AX152" i="1"/>
  <c r="AX149" i="1"/>
  <c r="P120" i="1"/>
  <c r="BG258" i="1"/>
  <c r="BG275" i="1"/>
  <c r="AU201" i="1"/>
  <c r="AU185" i="1"/>
  <c r="AO466" i="1"/>
  <c r="AN466" i="1" s="1"/>
  <c r="AM466" i="1" s="1"/>
  <c r="AQ466" i="1"/>
  <c r="AR466" i="1" s="1"/>
  <c r="AS466" i="1" s="1"/>
  <c r="BF18" i="1"/>
  <c r="BG268" i="1"/>
  <c r="BH266" i="1"/>
  <c r="H305" i="1"/>
  <c r="H260" i="1"/>
  <c r="H262" i="1" s="1"/>
  <c r="H265" i="1" s="1"/>
  <c r="H131" i="1"/>
  <c r="H132" i="1" s="1"/>
  <c r="AR189" i="1"/>
  <c r="AR207" i="1" s="1"/>
  <c r="AR122" i="1"/>
  <c r="AR124" i="1"/>
  <c r="AR125" i="1" s="1"/>
  <c r="AR144" i="1"/>
  <c r="H145" i="1"/>
  <c r="H147" i="1"/>
  <c r="H176" i="1" s="1"/>
  <c r="H218" i="1" s="1"/>
  <c r="H224" i="1" s="1"/>
  <c r="AQ201" i="1"/>
  <c r="AQ185" i="1"/>
  <c r="Z189" i="1"/>
  <c r="Z124" i="1"/>
  <c r="Z125" i="1" s="1"/>
  <c r="Z144" i="1"/>
  <c r="Z122" i="1"/>
  <c r="BC189" i="1"/>
  <c r="BC207" i="1" s="1"/>
  <c r="BC122" i="1"/>
  <c r="BC144" i="1"/>
  <c r="BC124" i="1"/>
  <c r="BC125" i="1" s="1"/>
  <c r="W189" i="1"/>
  <c r="W144" i="1"/>
  <c r="W122" i="1"/>
  <c r="W124" i="1"/>
  <c r="W125" i="1" s="1"/>
  <c r="AJ201" i="1"/>
  <c r="AJ185" i="1"/>
  <c r="BD380" i="1"/>
  <c r="BD205" i="1"/>
  <c r="BD199" i="1"/>
  <c r="BD200" i="1"/>
  <c r="BD270" i="1"/>
  <c r="BD284" i="1"/>
  <c r="BD211" i="1"/>
  <c r="BD212" i="1"/>
  <c r="BD204" i="1"/>
  <c r="BD213" i="1"/>
  <c r="BD206" i="1"/>
  <c r="BD202" i="1"/>
  <c r="AC201" i="1"/>
  <c r="AC185" i="1"/>
  <c r="AK201" i="1"/>
  <c r="AK185" i="1"/>
  <c r="AX127" i="1"/>
  <c r="I167" i="1"/>
  <c r="H167" i="1"/>
  <c r="G167" i="1"/>
  <c r="F167" i="1"/>
  <c r="J167" i="1"/>
  <c r="P110" i="1"/>
  <c r="AB390" i="1"/>
  <c r="AB391" i="1"/>
  <c r="AB392" i="1"/>
  <c r="AC369" i="1"/>
  <c r="BH160" i="1"/>
  <c r="AO125" i="1"/>
  <c r="O56" i="38"/>
  <c r="U221" i="1"/>
  <c r="BS267" i="1"/>
  <c r="BG48" i="1"/>
  <c r="BG50" i="1" s="1"/>
  <c r="CE35" i="1"/>
  <c r="CE36" i="1" s="1"/>
  <c r="BG36" i="1"/>
  <c r="P202" i="1"/>
  <c r="BF42" i="1" l="1"/>
  <c r="BE126" i="1"/>
  <c r="BE110" i="1"/>
  <c r="BE112" i="1"/>
  <c r="G41" i="38"/>
  <c r="BE42" i="1"/>
  <c r="N332" i="1"/>
  <c r="N324" i="1"/>
  <c r="N328" i="1"/>
  <c r="N320" i="1"/>
  <c r="N208" i="1"/>
  <c r="AY247" i="1"/>
  <c r="AY248" i="1" s="1"/>
  <c r="Q41" i="38"/>
  <c r="Q42" i="38" s="1"/>
  <c r="R328" i="1"/>
  <c r="R208" i="1"/>
  <c r="R332" i="1"/>
  <c r="BI97" i="1"/>
  <c r="AC203" i="1"/>
  <c r="AC278" i="1"/>
  <c r="Z190" i="1"/>
  <c r="Z123" i="1"/>
  <c r="AQ203" i="1"/>
  <c r="AQ278" i="1"/>
  <c r="AR196" i="1"/>
  <c r="AR214" i="1" s="1"/>
  <c r="AR147" i="1"/>
  <c r="AR145" i="1"/>
  <c r="BI266" i="1"/>
  <c r="BH268" i="1"/>
  <c r="BI268" i="1" s="1"/>
  <c r="N127" i="1"/>
  <c r="N128" i="1" s="1"/>
  <c r="P248" i="1"/>
  <c r="P246" i="1"/>
  <c r="F190" i="1"/>
  <c r="F208" i="1" s="1"/>
  <c r="F123" i="1"/>
  <c r="BB176" i="1"/>
  <c r="BB218" i="1" s="1"/>
  <c r="BB224" i="1" s="1"/>
  <c r="BB152" i="1"/>
  <c r="BB149" i="1"/>
  <c r="BS19" i="1"/>
  <c r="AA381" i="1"/>
  <c r="AA331" i="1"/>
  <c r="AA327" i="1"/>
  <c r="AA319" i="1"/>
  <c r="AA323" i="1"/>
  <c r="AA207" i="1"/>
  <c r="L196" i="1"/>
  <c r="L214" i="1" s="1"/>
  <c r="L147" i="1"/>
  <c r="L145" i="1"/>
  <c r="AG419" i="1"/>
  <c r="AJ196" i="1"/>
  <c r="AJ147" i="1"/>
  <c r="AJ145" i="1"/>
  <c r="AE203" i="1"/>
  <c r="AE278" i="1"/>
  <c r="BI195" i="1"/>
  <c r="AB203" i="1"/>
  <c r="AB278" i="1"/>
  <c r="R127" i="1"/>
  <c r="AD203" i="1"/>
  <c r="AD278" i="1"/>
  <c r="AY203" i="1"/>
  <c r="AY278" i="1"/>
  <c r="AN125" i="1"/>
  <c r="X278" i="1"/>
  <c r="X203" i="1"/>
  <c r="BB278" i="1"/>
  <c r="BG278" i="1" s="1"/>
  <c r="BB203" i="1"/>
  <c r="BS31" i="1"/>
  <c r="BN29" i="1"/>
  <c r="BN33" i="1"/>
  <c r="AF419" i="1"/>
  <c r="AE196" i="1"/>
  <c r="AE147" i="1"/>
  <c r="AE145" i="1"/>
  <c r="AC381" i="1"/>
  <c r="AC331" i="1"/>
  <c r="AC319" i="1"/>
  <c r="AC323" i="1"/>
  <c r="AC327" i="1"/>
  <c r="AC207" i="1"/>
  <c r="BD381" i="1"/>
  <c r="BD327" i="1"/>
  <c r="BD319" i="1"/>
  <c r="BD323" i="1"/>
  <c r="BD207" i="1"/>
  <c r="BD331" i="1"/>
  <c r="BF51" i="1"/>
  <c r="BA196" i="1"/>
  <c r="BA214" i="1" s="1"/>
  <c r="BA145" i="1"/>
  <c r="BA147" i="1"/>
  <c r="U190" i="1"/>
  <c r="U123" i="1"/>
  <c r="N278" i="1"/>
  <c r="N203" i="1"/>
  <c r="Q190" i="1"/>
  <c r="Q123" i="1"/>
  <c r="AI203" i="1"/>
  <c r="AI278" i="1"/>
  <c r="K125" i="1"/>
  <c r="Y203" i="1"/>
  <c r="Y278" i="1"/>
  <c r="BG117" i="1"/>
  <c r="BG45" i="1"/>
  <c r="BG44" i="1"/>
  <c r="AT267" i="1"/>
  <c r="AU267" i="1" s="1"/>
  <c r="AS268" i="1"/>
  <c r="J190" i="1"/>
  <c r="J123" i="1"/>
  <c r="N191" i="1" s="1"/>
  <c r="N173" i="1"/>
  <c r="N174" i="1" s="1"/>
  <c r="N176" i="1" s="1"/>
  <c r="N148" i="1"/>
  <c r="BI43" i="1"/>
  <c r="BI39" i="1"/>
  <c r="BI38" i="1"/>
  <c r="AM203" i="1"/>
  <c r="AM278" i="1"/>
  <c r="BH117" i="1"/>
  <c r="BH44" i="1"/>
  <c r="BH45" i="1"/>
  <c r="Y381" i="1"/>
  <c r="Y319" i="1"/>
  <c r="Y323" i="1"/>
  <c r="Y327" i="1"/>
  <c r="Y207" i="1"/>
  <c r="Y331" i="1"/>
  <c r="T190" i="1"/>
  <c r="T123" i="1"/>
  <c r="O278" i="1"/>
  <c r="O203" i="1"/>
  <c r="AU196" i="1"/>
  <c r="AU214" i="1" s="1"/>
  <c r="AU147" i="1"/>
  <c r="AU145" i="1"/>
  <c r="AB196" i="1"/>
  <c r="AB147" i="1"/>
  <c r="AB145" i="1"/>
  <c r="AL176" i="1"/>
  <c r="AL218" i="1" s="1"/>
  <c r="AL224" i="1" s="1"/>
  <c r="AL152" i="1"/>
  <c r="AL149" i="1"/>
  <c r="AI419" i="1"/>
  <c r="AT196" i="1"/>
  <c r="AT145" i="1"/>
  <c r="AT147" i="1"/>
  <c r="CF36" i="1"/>
  <c r="V125" i="1"/>
  <c r="P190" i="1"/>
  <c r="P123" i="1"/>
  <c r="BS55" i="1"/>
  <c r="BS53" i="1" s="1"/>
  <c r="BN53" i="1"/>
  <c r="AD381" i="1"/>
  <c r="AD331" i="1"/>
  <c r="AD323" i="1"/>
  <c r="AD319" i="1"/>
  <c r="AD327" i="1"/>
  <c r="AD207" i="1"/>
  <c r="S196" i="1"/>
  <c r="S214" i="1" s="1"/>
  <c r="S147" i="1"/>
  <c r="S145" i="1"/>
  <c r="K201" i="1"/>
  <c r="K185" i="1"/>
  <c r="X125" i="1"/>
  <c r="AY190" i="1"/>
  <c r="AY123" i="1"/>
  <c r="AF125" i="1"/>
  <c r="BH161" i="1"/>
  <c r="BH162" i="1"/>
  <c r="W190" i="1"/>
  <c r="W123" i="1"/>
  <c r="BC196" i="1"/>
  <c r="BC214" i="1" s="1"/>
  <c r="BC147" i="1"/>
  <c r="BC145" i="1"/>
  <c r="Z196" i="1"/>
  <c r="Z147" i="1"/>
  <c r="Z145" i="1"/>
  <c r="CF69" i="1"/>
  <c r="M196" i="1"/>
  <c r="M214" i="1" s="1"/>
  <c r="M147" i="1"/>
  <c r="M145" i="1"/>
  <c r="BG26" i="1"/>
  <c r="BG96" i="1"/>
  <c r="BG81" i="1"/>
  <c r="BG89" i="1"/>
  <c r="AG196" i="1"/>
  <c r="AG214" i="1" s="1"/>
  <c r="AG145" i="1"/>
  <c r="AG147" i="1"/>
  <c r="AL148" i="1" s="1"/>
  <c r="AW190" i="1"/>
  <c r="AW208" i="1" s="1"/>
  <c r="AW123" i="1"/>
  <c r="AX190" i="1"/>
  <c r="AX208" i="1" s="1"/>
  <c r="L190" i="1"/>
  <c r="L123" i="1"/>
  <c r="AV190" i="1"/>
  <c r="AV208" i="1" s="1"/>
  <c r="AV123" i="1"/>
  <c r="AZ190" i="1"/>
  <c r="AZ208" i="1" s="1"/>
  <c r="AJ381" i="1"/>
  <c r="AJ327" i="1"/>
  <c r="AJ319" i="1"/>
  <c r="AJ323" i="1"/>
  <c r="AJ207" i="1"/>
  <c r="AJ331" i="1"/>
  <c r="AI196" i="1"/>
  <c r="AI214" i="1" s="1"/>
  <c r="AI147" i="1"/>
  <c r="AI145" i="1"/>
  <c r="J336" i="1"/>
  <c r="J335" i="1"/>
  <c r="J305" i="1"/>
  <c r="J260" i="1"/>
  <c r="J257" i="1"/>
  <c r="J131" i="1"/>
  <c r="J132" i="1" s="1"/>
  <c r="O196" i="1"/>
  <c r="O214" i="1" s="1"/>
  <c r="O147" i="1"/>
  <c r="O145" i="1"/>
  <c r="BI258" i="1"/>
  <c r="AN196" i="1"/>
  <c r="AN214" i="1" s="1"/>
  <c r="AN147" i="1"/>
  <c r="AN145" i="1"/>
  <c r="AE190" i="1"/>
  <c r="AE123" i="1"/>
  <c r="AK190" i="1"/>
  <c r="AK208" i="1" s="1"/>
  <c r="AK123" i="1"/>
  <c r="AC190" i="1"/>
  <c r="AC123" i="1"/>
  <c r="BD125" i="1"/>
  <c r="F48" i="38"/>
  <c r="W203" i="1"/>
  <c r="W278" i="1"/>
  <c r="AR278" i="1"/>
  <c r="AR203" i="1"/>
  <c r="AO368" i="1"/>
  <c r="BI60" i="1"/>
  <c r="G46" i="38"/>
  <c r="BN60" i="1"/>
  <c r="AO203" i="1"/>
  <c r="AO278" i="1"/>
  <c r="R327" i="1"/>
  <c r="R207" i="1"/>
  <c r="R331" i="1"/>
  <c r="U196" i="1"/>
  <c r="U214" i="1" s="1"/>
  <c r="U147" i="1"/>
  <c r="U145" i="1"/>
  <c r="AS190" i="1"/>
  <c r="AS208" i="1" s="1"/>
  <c r="AS123" i="1"/>
  <c r="AW203" i="1"/>
  <c r="AW278" i="1"/>
  <c r="L203" i="1"/>
  <c r="L278" i="1"/>
  <c r="BF255" i="1"/>
  <c r="BF235" i="1"/>
  <c r="BF236" i="1" s="1"/>
  <c r="Q125" i="1"/>
  <c r="K190" i="1"/>
  <c r="K123" i="1"/>
  <c r="BG42" i="1"/>
  <c r="AH416" i="1"/>
  <c r="AH421" i="1" s="1"/>
  <c r="AO386" i="1"/>
  <c r="AO387" i="1" s="1"/>
  <c r="AO191" i="1"/>
  <c r="AO127" i="1"/>
  <c r="BS156" i="1"/>
  <c r="BS154" i="1"/>
  <c r="AL127" i="1"/>
  <c r="BI274" i="1"/>
  <c r="BH42" i="1"/>
  <c r="Y190" i="1"/>
  <c r="Y123" i="1"/>
  <c r="BI165" i="1"/>
  <c r="BN163" i="1"/>
  <c r="BN160" i="1" s="1"/>
  <c r="BN239" i="1" s="1"/>
  <c r="BI164" i="1"/>
  <c r="BI160" i="1"/>
  <c r="T327" i="1"/>
  <c r="T207" i="1"/>
  <c r="T331" i="1"/>
  <c r="AB327" i="1"/>
  <c r="AB319" i="1"/>
  <c r="AB331" i="1"/>
  <c r="AB323" i="1"/>
  <c r="AB381" i="1"/>
  <c r="AB207" i="1"/>
  <c r="P203" i="1"/>
  <c r="P278" i="1"/>
  <c r="BH51" i="1"/>
  <c r="V327" i="1"/>
  <c r="V207" i="1"/>
  <c r="V331" i="1"/>
  <c r="AH125" i="1"/>
  <c r="P327" i="1"/>
  <c r="P207" i="1"/>
  <c r="P331" i="1"/>
  <c r="AD190" i="1"/>
  <c r="AD123" i="1"/>
  <c r="F203" i="1"/>
  <c r="F278" i="1"/>
  <c r="S190" i="1"/>
  <c r="S123" i="1"/>
  <c r="BB127" i="1"/>
  <c r="AN203" i="1"/>
  <c r="AN278" i="1"/>
  <c r="X196" i="1"/>
  <c r="X147" i="1"/>
  <c r="X145" i="1"/>
  <c r="AY381" i="1"/>
  <c r="AY327" i="1"/>
  <c r="AY319" i="1"/>
  <c r="AY323" i="1"/>
  <c r="AY207" i="1"/>
  <c r="AY331" i="1"/>
  <c r="AF196" i="1"/>
  <c r="AF214" i="1" s="1"/>
  <c r="AF147" i="1"/>
  <c r="AF145" i="1"/>
  <c r="AC392" i="1"/>
  <c r="AD369" i="1"/>
  <c r="AK203" i="1"/>
  <c r="AK278" i="1"/>
  <c r="AJ203" i="1"/>
  <c r="AJ278" i="1"/>
  <c r="W196" i="1"/>
  <c r="W214" i="1" s="1"/>
  <c r="W147" i="1"/>
  <c r="W145" i="1"/>
  <c r="BC190" i="1"/>
  <c r="BC208" i="1" s="1"/>
  <c r="BC123" i="1"/>
  <c r="AR190" i="1"/>
  <c r="AR208" i="1" s="1"/>
  <c r="AR123" i="1"/>
  <c r="AU203" i="1"/>
  <c r="AU278" i="1"/>
  <c r="M331" i="1"/>
  <c r="M319" i="1"/>
  <c r="M323" i="1"/>
  <c r="M327" i="1"/>
  <c r="M207" i="1"/>
  <c r="BH25" i="1"/>
  <c r="BI24" i="1"/>
  <c r="AH127" i="1"/>
  <c r="AL203" i="1"/>
  <c r="AL278" i="1"/>
  <c r="AS203" i="1"/>
  <c r="AS278" i="1"/>
  <c r="AW196" i="1"/>
  <c r="AW214" i="1" s="1"/>
  <c r="AW147" i="1"/>
  <c r="AW145" i="1"/>
  <c r="AX196" i="1"/>
  <c r="AX214" i="1" s="1"/>
  <c r="AA190" i="1"/>
  <c r="AA123" i="1"/>
  <c r="L327" i="1"/>
  <c r="L319" i="1"/>
  <c r="L323" i="1"/>
  <c r="L331" i="1"/>
  <c r="L207" i="1"/>
  <c r="AV196" i="1"/>
  <c r="AV214" i="1" s="1"/>
  <c r="AV145" i="1"/>
  <c r="AV147" i="1"/>
  <c r="AZ196" i="1"/>
  <c r="AZ214" i="1" s="1"/>
  <c r="Q203" i="1"/>
  <c r="Q278" i="1"/>
  <c r="AI190" i="1"/>
  <c r="AI208" i="1" s="1"/>
  <c r="AI123" i="1"/>
  <c r="BD278" i="1"/>
  <c r="BD203" i="1"/>
  <c r="I305" i="1"/>
  <c r="I260" i="1"/>
  <c r="I262" i="1" s="1"/>
  <c r="I265" i="1" s="1"/>
  <c r="I131" i="1"/>
  <c r="I132" i="1" s="1"/>
  <c r="O190" i="1"/>
  <c r="O123" i="1"/>
  <c r="V203" i="1"/>
  <c r="V278" i="1"/>
  <c r="S203" i="1"/>
  <c r="S278" i="1"/>
  <c r="AN190" i="1"/>
  <c r="AN208" i="1" s="1"/>
  <c r="AN123" i="1"/>
  <c r="AZ203" i="1"/>
  <c r="AZ278" i="1"/>
  <c r="BE278" i="1" s="1"/>
  <c r="AF203" i="1"/>
  <c r="AF278" i="1"/>
  <c r="AE381" i="1"/>
  <c r="AE327" i="1"/>
  <c r="AE323" i="1"/>
  <c r="AE319" i="1"/>
  <c r="AE207" i="1"/>
  <c r="AE331" i="1"/>
  <c r="AK125" i="1"/>
  <c r="AP125" i="1"/>
  <c r="AE419" i="1"/>
  <c r="AC196" i="1"/>
  <c r="AC147" i="1"/>
  <c r="AC145" i="1"/>
  <c r="BD190" i="1"/>
  <c r="BD123" i="1"/>
  <c r="AQ190" i="1"/>
  <c r="AQ208" i="1" s="1"/>
  <c r="AQ123" i="1"/>
  <c r="BG280" i="1"/>
  <c r="BF135" i="1"/>
  <c r="BF136" i="1" s="1"/>
  <c r="BA190" i="1"/>
  <c r="BA208" i="1" s="1"/>
  <c r="BA123" i="1"/>
  <c r="N331" i="1"/>
  <c r="N319" i="1"/>
  <c r="N323" i="1"/>
  <c r="N327" i="1"/>
  <c r="N207" i="1"/>
  <c r="BN73" i="1"/>
  <c r="BS76" i="1"/>
  <c r="BS73" i="1" s="1"/>
  <c r="AG203" i="1"/>
  <c r="AG278" i="1"/>
  <c r="AS196" i="1"/>
  <c r="AS214" i="1" s="1"/>
  <c r="AS147" i="1"/>
  <c r="AS145" i="1"/>
  <c r="Q196" i="1"/>
  <c r="Q214" i="1" s="1"/>
  <c r="Q147" i="1"/>
  <c r="R197" i="1" s="1"/>
  <c r="R215" i="1" s="1"/>
  <c r="Q145" i="1"/>
  <c r="K196" i="1"/>
  <c r="K214" i="1" s="1"/>
  <c r="K147" i="1"/>
  <c r="K145" i="1"/>
  <c r="AO382" i="1"/>
  <c r="AO328" i="1"/>
  <c r="AO320" i="1"/>
  <c r="AO324" i="1"/>
  <c r="AO208" i="1"/>
  <c r="AO332" i="1"/>
  <c r="AP190" i="1"/>
  <c r="AP208" i="1" s="1"/>
  <c r="AL190" i="1"/>
  <c r="AL208" i="1" s="1"/>
  <c r="J331" i="1"/>
  <c r="J319" i="1"/>
  <c r="J323" i="1"/>
  <c r="J327" i="1"/>
  <c r="J207" i="1"/>
  <c r="AO197" i="1"/>
  <c r="AO176" i="1"/>
  <c r="AO218" i="1" s="1"/>
  <c r="AO224" i="1" s="1"/>
  <c r="AO149" i="1"/>
  <c r="AO152" i="1"/>
  <c r="AO148" i="1"/>
  <c r="BS90" i="1"/>
  <c r="BS86" i="1" s="1"/>
  <c r="BN86" i="1"/>
  <c r="T125" i="1"/>
  <c r="BH22" i="1"/>
  <c r="BH17" i="1"/>
  <c r="AU125" i="1"/>
  <c r="AZ125" i="1"/>
  <c r="AB125" i="1"/>
  <c r="BF117" i="1"/>
  <c r="BF44" i="1"/>
  <c r="BF45" i="1"/>
  <c r="AT381" i="1"/>
  <c r="AT323" i="1"/>
  <c r="AT327" i="1"/>
  <c r="AT319" i="1"/>
  <c r="AT207" i="1"/>
  <c r="AT331" i="1"/>
  <c r="V196" i="1"/>
  <c r="V214" i="1" s="1"/>
  <c r="V145" i="1"/>
  <c r="V147" i="1"/>
  <c r="R196" i="1"/>
  <c r="R214" i="1" s="1"/>
  <c r="P125" i="1"/>
  <c r="AD196" i="1"/>
  <c r="AD147" i="1"/>
  <c r="AD145" i="1"/>
  <c r="S327" i="1"/>
  <c r="S207" i="1"/>
  <c r="S331" i="1"/>
  <c r="BB190" i="1"/>
  <c r="BB208" i="1" s="1"/>
  <c r="AM196" i="1"/>
  <c r="AM214" i="1" s="1"/>
  <c r="AM147" i="1"/>
  <c r="AM145" i="1"/>
  <c r="X190" i="1"/>
  <c r="X123" i="1"/>
  <c r="AY125" i="1"/>
  <c r="E48" i="38"/>
  <c r="U232" i="1"/>
  <c r="U233" i="1"/>
  <c r="U231" i="1"/>
  <c r="U227" i="1"/>
  <c r="AF190" i="1"/>
  <c r="AF208" i="1" s="1"/>
  <c r="AF123" i="1"/>
  <c r="BG51" i="1"/>
  <c r="W331" i="1"/>
  <c r="W327" i="1"/>
  <c r="W207" i="1"/>
  <c r="Z381" i="1"/>
  <c r="Z323" i="1"/>
  <c r="Z319" i="1"/>
  <c r="Z327" i="1"/>
  <c r="Z207" i="1"/>
  <c r="Z331" i="1"/>
  <c r="BH95" i="1"/>
  <c r="M190" i="1"/>
  <c r="M123" i="1"/>
  <c r="J278" i="1"/>
  <c r="J203" i="1"/>
  <c r="BA203" i="1"/>
  <c r="BA278" i="1"/>
  <c r="BF278" i="1" s="1"/>
  <c r="AG190" i="1"/>
  <c r="AG208" i="1" s="1"/>
  <c r="AG123" i="1"/>
  <c r="F196" i="1"/>
  <c r="F214" i="1" s="1"/>
  <c r="F145" i="1"/>
  <c r="F147" i="1"/>
  <c r="AW125" i="1"/>
  <c r="AA196" i="1"/>
  <c r="AA147" i="1"/>
  <c r="AA145" i="1"/>
  <c r="AJ190" i="1"/>
  <c r="AJ123" i="1"/>
  <c r="Z203" i="1"/>
  <c r="Z278" i="1"/>
  <c r="O327" i="1"/>
  <c r="O207" i="1"/>
  <c r="O331" i="1"/>
  <c r="BS276" i="1"/>
  <c r="AE125" i="1"/>
  <c r="BH239" i="1"/>
  <c r="BH292" i="1" s="1"/>
  <c r="AK196" i="1"/>
  <c r="AK214" i="1" s="1"/>
  <c r="AK147" i="1"/>
  <c r="AL197" i="1" s="1"/>
  <c r="AL215" i="1" s="1"/>
  <c r="AK145" i="1"/>
  <c r="BD196" i="1"/>
  <c r="BD147" i="1"/>
  <c r="BD145" i="1"/>
  <c r="BC203" i="1"/>
  <c r="BC278" i="1"/>
  <c r="BH278" i="1" s="1"/>
  <c r="AQ196" i="1"/>
  <c r="AQ214" i="1" s="1"/>
  <c r="AQ145" i="1"/>
  <c r="AQ147" i="1"/>
  <c r="R203" i="1"/>
  <c r="R278" i="1"/>
  <c r="M203" i="1"/>
  <c r="M278" i="1"/>
  <c r="BA125" i="1"/>
  <c r="U327" i="1"/>
  <c r="U207" i="1"/>
  <c r="U331" i="1"/>
  <c r="AS125" i="1"/>
  <c r="AX125" i="1"/>
  <c r="AA203" i="1"/>
  <c r="AA278" i="1"/>
  <c r="AV203" i="1"/>
  <c r="AV278" i="1"/>
  <c r="K254" i="1"/>
  <c r="K256" i="1" s="1"/>
  <c r="P250" i="1"/>
  <c r="P251" i="1" s="1"/>
  <c r="L250" i="1"/>
  <c r="L251" i="1" s="1"/>
  <c r="BE236" i="1"/>
  <c r="BE291" i="1"/>
  <c r="Q327" i="1"/>
  <c r="Q207" i="1"/>
  <c r="Q331" i="1"/>
  <c r="K331" i="1"/>
  <c r="K323" i="1"/>
  <c r="K327" i="1"/>
  <c r="K319" i="1"/>
  <c r="K207" i="1"/>
  <c r="T203" i="1"/>
  <c r="T278" i="1"/>
  <c r="J196" i="1"/>
  <c r="J214" i="1" s="1"/>
  <c r="J145" i="1"/>
  <c r="J147" i="1"/>
  <c r="N197" i="1" s="1"/>
  <c r="N215" i="1" s="1"/>
  <c r="AH176" i="1"/>
  <c r="AH218" i="1" s="1"/>
  <c r="AH224" i="1" s="1"/>
  <c r="AH152" i="1"/>
  <c r="AH149" i="1"/>
  <c r="AH148" i="1"/>
  <c r="BE117" i="1"/>
  <c r="BE44" i="1"/>
  <c r="BE45" i="1"/>
  <c r="H39" i="38"/>
  <c r="BS14" i="1"/>
  <c r="BN8" i="1"/>
  <c r="Y196" i="1"/>
  <c r="Y145" i="1"/>
  <c r="Y147" i="1"/>
  <c r="AO383" i="1"/>
  <c r="AO214" i="1"/>
  <c r="U203" i="1"/>
  <c r="U278" i="1"/>
  <c r="BF186" i="1"/>
  <c r="BF83" i="1"/>
  <c r="BF82" i="1"/>
  <c r="BF106" i="1"/>
  <c r="T196" i="1"/>
  <c r="T214" i="1" s="1"/>
  <c r="T147" i="1"/>
  <c r="T145" i="1"/>
  <c r="AC368" i="1"/>
  <c r="AU190" i="1"/>
  <c r="AU208" i="1" s="1"/>
  <c r="AU123" i="1"/>
  <c r="AB190" i="1"/>
  <c r="AB123" i="1"/>
  <c r="AP196" i="1"/>
  <c r="AP214" i="1" s="1"/>
  <c r="AT190" i="1"/>
  <c r="AT123" i="1"/>
  <c r="V190" i="1"/>
  <c r="V123" i="1"/>
  <c r="P196" i="1"/>
  <c r="P214" i="1" s="1"/>
  <c r="P147" i="1"/>
  <c r="P145" i="1"/>
  <c r="AD125" i="1"/>
  <c r="AM190" i="1"/>
  <c r="AM208" i="1" s="1"/>
  <c r="AM123" i="1"/>
  <c r="X381" i="1"/>
  <c r="X327" i="1"/>
  <c r="X319" i="1"/>
  <c r="X323" i="1"/>
  <c r="X207" i="1"/>
  <c r="X331" i="1"/>
  <c r="AJ419" i="1"/>
  <c r="AY196" i="1"/>
  <c r="AY147" i="1"/>
  <c r="AY145" i="1"/>
  <c r="BE183" i="1"/>
  <c r="BE120" i="1"/>
  <c r="BI42" i="1" l="1"/>
  <c r="N333" i="1"/>
  <c r="N329" i="1"/>
  <c r="N325" i="1"/>
  <c r="N321" i="1"/>
  <c r="N209" i="1"/>
  <c r="N192" i="1"/>
  <c r="N210" i="1" s="1"/>
  <c r="N218" i="1"/>
  <c r="N224" i="1" s="1"/>
  <c r="BE185" i="1"/>
  <c r="BE277" i="1" s="1"/>
  <c r="BE279" i="1" s="1"/>
  <c r="BH280" i="1"/>
  <c r="BG135" i="1"/>
  <c r="BG136" i="1" s="1"/>
  <c r="O191" i="1"/>
  <c r="O127" i="1"/>
  <c r="AA386" i="1"/>
  <c r="AA387" i="1" s="1"/>
  <c r="AA191" i="1"/>
  <c r="AA127" i="1"/>
  <c r="AA128" i="1" s="1"/>
  <c r="AW197" i="1"/>
  <c r="AW215" i="1" s="1"/>
  <c r="AW152" i="1"/>
  <c r="AW176" i="1"/>
  <c r="AW218" i="1" s="1"/>
  <c r="AW224" i="1" s="1"/>
  <c r="AW149" i="1"/>
  <c r="AW148" i="1"/>
  <c r="AX197" i="1"/>
  <c r="AX215" i="1" s="1"/>
  <c r="W197" i="1"/>
  <c r="W215" i="1" s="1"/>
  <c r="W176" i="1"/>
  <c r="W148" i="1"/>
  <c r="W152" i="1"/>
  <c r="X197" i="1"/>
  <c r="X176" i="1"/>
  <c r="X218" i="1" s="1"/>
  <c r="X224" i="1" s="1"/>
  <c r="X149" i="1"/>
  <c r="X148" i="1"/>
  <c r="X152" i="1"/>
  <c r="X385" i="1" s="1"/>
  <c r="BB128" i="1"/>
  <c r="BI239" i="1"/>
  <c r="BI161" i="1"/>
  <c r="BI162" i="1"/>
  <c r="K328" i="1"/>
  <c r="K332" i="1"/>
  <c r="K324" i="1"/>
  <c r="K320" i="1"/>
  <c r="K208" i="1"/>
  <c r="U197" i="1"/>
  <c r="U215" i="1" s="1"/>
  <c r="U148" i="1"/>
  <c r="AT368" i="1"/>
  <c r="AC382" i="1"/>
  <c r="AC332" i="1"/>
  <c r="AC320" i="1"/>
  <c r="AC324" i="1"/>
  <c r="AC328" i="1"/>
  <c r="AC208" i="1"/>
  <c r="AE382" i="1"/>
  <c r="AE328" i="1"/>
  <c r="AE324" i="1"/>
  <c r="AE320" i="1"/>
  <c r="AE208" i="1"/>
  <c r="AE332" i="1"/>
  <c r="L191" i="1"/>
  <c r="L127" i="1"/>
  <c r="L128" i="1" s="1"/>
  <c r="BC197" i="1"/>
  <c r="BC215" i="1" s="1"/>
  <c r="BC172" i="1"/>
  <c r="BC152" i="1"/>
  <c r="BC149" i="1"/>
  <c r="BC148" i="1"/>
  <c r="AJ416" i="1"/>
  <c r="AJ421" i="1" s="1"/>
  <c r="AL454" i="1" s="1"/>
  <c r="AY386" i="1"/>
  <c r="AY387" i="1" s="1"/>
  <c r="AY191" i="1"/>
  <c r="AY127" i="1"/>
  <c r="K278" i="1"/>
  <c r="K203" i="1"/>
  <c r="U13" i="38"/>
  <c r="BS54" i="1"/>
  <c r="AT197" i="1"/>
  <c r="AT176" i="1"/>
  <c r="AT218" i="1" s="1"/>
  <c r="AT224" i="1" s="1"/>
  <c r="AT149" i="1"/>
  <c r="AT150" i="1" s="1"/>
  <c r="AT148" i="1"/>
  <c r="AT152" i="1"/>
  <c r="BI40" i="1"/>
  <c r="BN39" i="1"/>
  <c r="BI49" i="1"/>
  <c r="BI50" i="1" s="1"/>
  <c r="Q191" i="1"/>
  <c r="Q127" i="1"/>
  <c r="Q128" i="1" s="1"/>
  <c r="U191" i="1"/>
  <c r="U127" i="1"/>
  <c r="F191" i="1"/>
  <c r="F127" i="1"/>
  <c r="BN266" i="1"/>
  <c r="BI95" i="1"/>
  <c r="AT382" i="1"/>
  <c r="AT324" i="1"/>
  <c r="AT328" i="1"/>
  <c r="AT320" i="1"/>
  <c r="AT208" i="1"/>
  <c r="AT332" i="1"/>
  <c r="AD368" i="1"/>
  <c r="M250" i="1"/>
  <c r="M251" i="1" s="1"/>
  <c r="L254" i="1"/>
  <c r="L256" i="1" s="1"/>
  <c r="AD197" i="1"/>
  <c r="AD176" i="1"/>
  <c r="AD218" i="1" s="1"/>
  <c r="AD224" i="1" s="1"/>
  <c r="AD152" i="1"/>
  <c r="AD385" i="1" s="1"/>
  <c r="AD149" i="1"/>
  <c r="AD148" i="1"/>
  <c r="K197" i="1"/>
  <c r="K215" i="1" s="1"/>
  <c r="K176" i="1"/>
  <c r="K218" i="1" s="1"/>
  <c r="K224" i="1" s="1"/>
  <c r="K148" i="1"/>
  <c r="BD382" i="1"/>
  <c r="BD328" i="1"/>
  <c r="BD320" i="1"/>
  <c r="BD324" i="1"/>
  <c r="BD208" i="1"/>
  <c r="BD332" i="1"/>
  <c r="V191" i="1"/>
  <c r="V127" i="1"/>
  <c r="BF115" i="1"/>
  <c r="BF119" i="1"/>
  <c r="BF107" i="1"/>
  <c r="BF111" i="1"/>
  <c r="BF108" i="1"/>
  <c r="BF109" i="1"/>
  <c r="Y197" i="1"/>
  <c r="Y152" i="1"/>
  <c r="Y385" i="1" s="1"/>
  <c r="Y176" i="1"/>
  <c r="Y218" i="1" s="1"/>
  <c r="Y224" i="1" s="1"/>
  <c r="Y149" i="1"/>
  <c r="Y148" i="1"/>
  <c r="I39" i="38"/>
  <c r="BS8" i="1"/>
  <c r="BE181" i="1"/>
  <c r="BE118" i="1"/>
  <c r="BE121" i="1"/>
  <c r="BF291" i="1"/>
  <c r="P254" i="1"/>
  <c r="P256" i="1" s="1"/>
  <c r="U250" i="1"/>
  <c r="U251" i="1" s="1"/>
  <c r="Q250" i="1"/>
  <c r="Q251" i="1" s="1"/>
  <c r="BD383" i="1"/>
  <c r="BD214" i="1"/>
  <c r="AG416" i="1"/>
  <c r="AG421" i="1" s="1"/>
  <c r="AJ386" i="1"/>
  <c r="AJ387" i="1" s="1"/>
  <c r="AJ191" i="1"/>
  <c r="AJ127" i="1"/>
  <c r="AA383" i="1"/>
  <c r="AA214" i="1"/>
  <c r="M332" i="1"/>
  <c r="M320" i="1"/>
  <c r="M324" i="1"/>
  <c r="M328" i="1"/>
  <c r="M208" i="1"/>
  <c r="AM197" i="1"/>
  <c r="AM215" i="1" s="1"/>
  <c r="AM176" i="1"/>
  <c r="AM218" i="1" s="1"/>
  <c r="AM224" i="1" s="1"/>
  <c r="AM152" i="1"/>
  <c r="AM149" i="1"/>
  <c r="AM148" i="1"/>
  <c r="AD383" i="1"/>
  <c r="AD214" i="1"/>
  <c r="BF47" i="1"/>
  <c r="BF46" i="1"/>
  <c r="AH417" i="1"/>
  <c r="AH422" i="1" s="1"/>
  <c r="AO385" i="1"/>
  <c r="O29" i="38"/>
  <c r="BA191" i="1"/>
  <c r="BA127" i="1"/>
  <c r="AQ191" i="1"/>
  <c r="AQ127" i="1"/>
  <c r="AQ128" i="1" s="1"/>
  <c r="X390" i="1"/>
  <c r="Y390" i="1"/>
  <c r="Z390" i="1"/>
  <c r="O328" i="1"/>
  <c r="O208" i="1"/>
  <c r="O332" i="1"/>
  <c r="AA382" i="1"/>
  <c r="AA328" i="1"/>
  <c r="AA332" i="1"/>
  <c r="AA320" i="1"/>
  <c r="AA324" i="1"/>
  <c r="AA208" i="1"/>
  <c r="BC191" i="1"/>
  <c r="BC127" i="1"/>
  <c r="BC128" i="1" s="1"/>
  <c r="AC391" i="1"/>
  <c r="X383" i="1"/>
  <c r="X214" i="1"/>
  <c r="BB191" i="1"/>
  <c r="Y386" i="1"/>
  <c r="Y387" i="1" s="1"/>
  <c r="Y191" i="1"/>
  <c r="Y127" i="1"/>
  <c r="BN274" i="1"/>
  <c r="AS191" i="1"/>
  <c r="AS127" i="1"/>
  <c r="AK191" i="1"/>
  <c r="AK127" i="1"/>
  <c r="BI306" i="1"/>
  <c r="BI259" i="1"/>
  <c r="BN259" i="1" s="1"/>
  <c r="BS259" i="1" s="1"/>
  <c r="AI197" i="1"/>
  <c r="AI215" i="1" s="1"/>
  <c r="AI176" i="1"/>
  <c r="AI218" i="1" s="1"/>
  <c r="AI224" i="1" s="1"/>
  <c r="AI152" i="1"/>
  <c r="AI149" i="1"/>
  <c r="AI148" i="1"/>
  <c r="L332" i="1"/>
  <c r="L320" i="1"/>
  <c r="L328" i="1"/>
  <c r="L324" i="1"/>
  <c r="L208" i="1"/>
  <c r="AG197" i="1"/>
  <c r="AG215" i="1" s="1"/>
  <c r="AG152" i="1"/>
  <c r="AG176" i="1"/>
  <c r="AG218" i="1" s="1"/>
  <c r="AG224" i="1" s="1"/>
  <c r="AG149" i="1"/>
  <c r="AG148" i="1"/>
  <c r="BG186" i="1"/>
  <c r="BG82" i="1"/>
  <c r="BG83" i="1"/>
  <c r="BG106" i="1"/>
  <c r="M197" i="1"/>
  <c r="M215" i="1" s="1"/>
  <c r="M148" i="1"/>
  <c r="Z197" i="1"/>
  <c r="Z152" i="1"/>
  <c r="Z385" i="1" s="1"/>
  <c r="Z149" i="1"/>
  <c r="Z148" i="1"/>
  <c r="AY382" i="1"/>
  <c r="AY324" i="1"/>
  <c r="AY328" i="1"/>
  <c r="AY320" i="1"/>
  <c r="AY208" i="1"/>
  <c r="AY332" i="1"/>
  <c r="P191" i="1"/>
  <c r="P127" i="1"/>
  <c r="P128" i="1" s="1"/>
  <c r="AU197" i="1"/>
  <c r="AU215" i="1" s="1"/>
  <c r="AU176" i="1"/>
  <c r="AU218" i="1" s="1"/>
  <c r="AU224" i="1" s="1"/>
  <c r="AU149" i="1"/>
  <c r="AU148" i="1"/>
  <c r="AU152" i="1"/>
  <c r="AZ148" i="1"/>
  <c r="T191" i="1"/>
  <c r="T127" i="1"/>
  <c r="T128" i="1" s="1"/>
  <c r="BH47" i="1"/>
  <c r="BH46" i="1"/>
  <c r="BI44" i="1"/>
  <c r="BI117" i="1"/>
  <c r="BI45" i="1"/>
  <c r="S11" i="38"/>
  <c r="BG47" i="1"/>
  <c r="BG46" i="1"/>
  <c r="Q328" i="1"/>
  <c r="Q208" i="1"/>
  <c r="Q332" i="1"/>
  <c r="U328" i="1"/>
  <c r="U208" i="1"/>
  <c r="U332" i="1"/>
  <c r="AE197" i="1"/>
  <c r="AE152" i="1"/>
  <c r="AE149" i="1"/>
  <c r="AE148" i="1"/>
  <c r="BN182" i="1"/>
  <c r="BN30" i="1"/>
  <c r="T9" i="38"/>
  <c r="R191" i="1"/>
  <c r="AJ197" i="1"/>
  <c r="AJ148" i="1"/>
  <c r="AJ176" i="1"/>
  <c r="AJ152" i="1"/>
  <c r="AJ149" i="1"/>
  <c r="AJ150" i="1" s="1"/>
  <c r="L197" i="1"/>
  <c r="L215" i="1" s="1"/>
  <c r="L148" i="1"/>
  <c r="L173" i="1"/>
  <c r="BD197" i="1"/>
  <c r="BD148" i="1"/>
  <c r="BD152" i="1"/>
  <c r="BD149" i="1"/>
  <c r="V197" i="1"/>
  <c r="V215" i="1" s="1"/>
  <c r="V176" i="1"/>
  <c r="V152" i="1"/>
  <c r="V148" i="1"/>
  <c r="AY197" i="1"/>
  <c r="AY176" i="1"/>
  <c r="AY218" i="1" s="1"/>
  <c r="AY224" i="1" s="1"/>
  <c r="AY152" i="1"/>
  <c r="AY149" i="1"/>
  <c r="AY150" i="1" s="1"/>
  <c r="AY148" i="1"/>
  <c r="V328" i="1"/>
  <c r="V332" i="1"/>
  <c r="V208" i="1"/>
  <c r="T197" i="1"/>
  <c r="T215" i="1" s="1"/>
  <c r="T148" i="1"/>
  <c r="T176" i="1"/>
  <c r="T218" i="1" s="1"/>
  <c r="T224" i="1" s="1"/>
  <c r="AH197" i="1"/>
  <c r="AH215" i="1" s="1"/>
  <c r="K336" i="1"/>
  <c r="K335" i="1"/>
  <c r="K305" i="1"/>
  <c r="K257" i="1"/>
  <c r="K131" i="1"/>
  <c r="K132" i="1" s="1"/>
  <c r="K260" i="1"/>
  <c r="AQ197" i="1"/>
  <c r="AQ215" i="1" s="1"/>
  <c r="AQ176" i="1"/>
  <c r="AQ218" i="1" s="1"/>
  <c r="AQ224" i="1" s="1"/>
  <c r="AQ152" i="1"/>
  <c r="AQ149" i="1"/>
  <c r="AQ148" i="1"/>
  <c r="BH299" i="1"/>
  <c r="BH241" i="1"/>
  <c r="BH247" i="1" s="1"/>
  <c r="AJ382" i="1"/>
  <c r="AJ328" i="1"/>
  <c r="AJ320" i="1"/>
  <c r="AJ324" i="1"/>
  <c r="AJ208" i="1"/>
  <c r="AJ332" i="1"/>
  <c r="AG191" i="1"/>
  <c r="AG127" i="1"/>
  <c r="AF191" i="1"/>
  <c r="AF127" i="1"/>
  <c r="X386" i="1"/>
  <c r="X387" i="1" s="1"/>
  <c r="X191" i="1"/>
  <c r="X127" i="1"/>
  <c r="BN87" i="1"/>
  <c r="T18" i="38"/>
  <c r="AS197" i="1"/>
  <c r="AS215" i="1" s="1"/>
  <c r="AS152" i="1"/>
  <c r="AS149" i="1"/>
  <c r="AS148" i="1"/>
  <c r="AS176" i="1"/>
  <c r="AS218" i="1" s="1"/>
  <c r="AS224" i="1" s="1"/>
  <c r="AX148" i="1"/>
  <c r="BS74" i="1"/>
  <c r="BS57" i="1"/>
  <c r="AC197" i="1"/>
  <c r="AC176" i="1"/>
  <c r="AC218" i="1" s="1"/>
  <c r="AC224" i="1" s="1"/>
  <c r="AC152" i="1"/>
  <c r="AC149" i="1"/>
  <c r="AC148" i="1"/>
  <c r="AN191" i="1"/>
  <c r="AN127" i="1"/>
  <c r="AP191" i="1"/>
  <c r="BN24" i="1"/>
  <c r="BI25" i="1"/>
  <c r="AD390" i="1"/>
  <c r="S191" i="1"/>
  <c r="S127" i="1"/>
  <c r="S128" i="1" s="1"/>
  <c r="AD386" i="1"/>
  <c r="AD387" i="1" s="1"/>
  <c r="AD191" i="1"/>
  <c r="AD127" i="1"/>
  <c r="BN162" i="1"/>
  <c r="BN161" i="1"/>
  <c r="Y382" i="1"/>
  <c r="Y320" i="1"/>
  <c r="Y328" i="1"/>
  <c r="Y324" i="1"/>
  <c r="Y208" i="1"/>
  <c r="Y332" i="1"/>
  <c r="AL128" i="1"/>
  <c r="AO128" i="1"/>
  <c r="AN197" i="1"/>
  <c r="AN215" i="1" s="1"/>
  <c r="AN176" i="1"/>
  <c r="AN218" i="1" s="1"/>
  <c r="AN224" i="1" s="1"/>
  <c r="AN152" i="1"/>
  <c r="AN149" i="1"/>
  <c r="AN148" i="1"/>
  <c r="AP197" i="1"/>
  <c r="AP215" i="1" s="1"/>
  <c r="AV191" i="1"/>
  <c r="AV127" i="1"/>
  <c r="AV128" i="1" s="1"/>
  <c r="AZ191" i="1"/>
  <c r="Z383" i="1"/>
  <c r="Z214" i="1"/>
  <c r="W191" i="1"/>
  <c r="W127" i="1"/>
  <c r="W128" i="1" s="1"/>
  <c r="P328" i="1"/>
  <c r="P208" i="1"/>
  <c r="P332" i="1"/>
  <c r="AT383" i="1"/>
  <c r="AT214" i="1"/>
  <c r="AB197" i="1"/>
  <c r="AB149" i="1"/>
  <c r="AB148" i="1"/>
  <c r="AB176" i="1"/>
  <c r="AB218" i="1" s="1"/>
  <c r="AB224" i="1" s="1"/>
  <c r="AB152" i="1"/>
  <c r="AB385" i="1" s="1"/>
  <c r="T328" i="1"/>
  <c r="T208" i="1"/>
  <c r="T332" i="1"/>
  <c r="J191" i="1"/>
  <c r="J127" i="1"/>
  <c r="AT268" i="1"/>
  <c r="AS269" i="1"/>
  <c r="BG118" i="1"/>
  <c r="BG181" i="1"/>
  <c r="BA197" i="1"/>
  <c r="BA215" i="1" s="1"/>
  <c r="BA176" i="1"/>
  <c r="BA218" i="1" s="1"/>
  <c r="BA224" i="1" s="1"/>
  <c r="BA152" i="1"/>
  <c r="BA149" i="1"/>
  <c r="BA148" i="1"/>
  <c r="AE383" i="1"/>
  <c r="AE214" i="1"/>
  <c r="BS33" i="1"/>
  <c r="BS29" i="1"/>
  <c r="AJ383" i="1"/>
  <c r="AD391" i="1" s="1"/>
  <c r="AJ214" i="1"/>
  <c r="AR197" i="1"/>
  <c r="AR215" i="1" s="1"/>
  <c r="AR176" i="1"/>
  <c r="AR218" i="1" s="1"/>
  <c r="AR224" i="1" s="1"/>
  <c r="AR152" i="1"/>
  <c r="AR149" i="1"/>
  <c r="AR148" i="1"/>
  <c r="Z386" i="1"/>
  <c r="Z387" i="1" s="1"/>
  <c r="Z191" i="1"/>
  <c r="Z127" i="1"/>
  <c r="Z128" i="1" s="1"/>
  <c r="AU191" i="1"/>
  <c r="AU127" i="1"/>
  <c r="BN5" i="1"/>
  <c r="BN6" i="1" s="1"/>
  <c r="BN9" i="1"/>
  <c r="H37" i="38" s="1"/>
  <c r="AA197" i="1"/>
  <c r="AA176" i="1"/>
  <c r="AA149" i="1"/>
  <c r="AA148" i="1"/>
  <c r="AA152" i="1"/>
  <c r="AA385" i="1" s="1"/>
  <c r="M191" i="1"/>
  <c r="M127" i="1"/>
  <c r="M128" i="1" s="1"/>
  <c r="AO384" i="1"/>
  <c r="AO215" i="1"/>
  <c r="AV197" i="1"/>
  <c r="AV215" i="1" s="1"/>
  <c r="AV176" i="1"/>
  <c r="AV218" i="1" s="1"/>
  <c r="AV224" i="1" s="1"/>
  <c r="AV152" i="1"/>
  <c r="AV149" i="1"/>
  <c r="AV148" i="1"/>
  <c r="AZ197" i="1"/>
  <c r="AZ215" i="1" s="1"/>
  <c r="AB386" i="1"/>
  <c r="AB387" i="1" s="1"/>
  <c r="AB191" i="1"/>
  <c r="AB127" i="1"/>
  <c r="AB128" i="1" s="1"/>
  <c r="AY383" i="1"/>
  <c r="AY214" i="1"/>
  <c r="AM191" i="1"/>
  <c r="AM127" i="1"/>
  <c r="AM128" i="1" s="1"/>
  <c r="P197" i="1"/>
  <c r="P215" i="1" s="1"/>
  <c r="P148" i="1"/>
  <c r="AT386" i="1"/>
  <c r="AT387" i="1" s="1"/>
  <c r="AI416" i="1"/>
  <c r="AI421" i="1" s="1"/>
  <c r="AT191" i="1"/>
  <c r="AT127" i="1"/>
  <c r="AT128" i="1" s="1"/>
  <c r="AB332" i="1"/>
  <c r="AB382" i="1"/>
  <c r="AB320" i="1"/>
  <c r="AB324" i="1"/>
  <c r="AB328" i="1"/>
  <c r="AB208" i="1"/>
  <c r="Y383" i="1"/>
  <c r="Y214" i="1"/>
  <c r="BE47" i="1"/>
  <c r="BE46" i="1"/>
  <c r="J197" i="1"/>
  <c r="J215" i="1" s="1"/>
  <c r="J176" i="1"/>
  <c r="J218" i="1" s="1"/>
  <c r="J224" i="1" s="1"/>
  <c r="AK197" i="1"/>
  <c r="AK215" i="1" s="1"/>
  <c r="AK149" i="1"/>
  <c r="AK148" i="1"/>
  <c r="AK176" i="1"/>
  <c r="AK218" i="1" s="1"/>
  <c r="AK224" i="1" s="1"/>
  <c r="AK152" i="1"/>
  <c r="AP148" i="1"/>
  <c r="F197" i="1"/>
  <c r="F215" i="1" s="1"/>
  <c r="F176" i="1"/>
  <c r="F218" i="1" s="1"/>
  <c r="F224" i="1" s="1"/>
  <c r="X382" i="1"/>
  <c r="X320" i="1"/>
  <c r="X328" i="1"/>
  <c r="X324" i="1"/>
  <c r="X208" i="1"/>
  <c r="X332" i="1"/>
  <c r="BF181" i="1"/>
  <c r="BF204" i="1" s="1"/>
  <c r="BF118" i="1"/>
  <c r="BH18" i="1"/>
  <c r="BI17" i="1"/>
  <c r="BS87" i="1"/>
  <c r="U18" i="38"/>
  <c r="BN299" i="1"/>
  <c r="BN241" i="1"/>
  <c r="T39" i="38"/>
  <c r="Q197" i="1"/>
  <c r="Q215" i="1" s="1"/>
  <c r="Q173" i="1"/>
  <c r="Q148" i="1"/>
  <c r="BN74" i="1"/>
  <c r="H20" i="38"/>
  <c r="BN57" i="1"/>
  <c r="F20" i="38"/>
  <c r="BD386" i="1"/>
  <c r="BD387" i="1" s="1"/>
  <c r="BD191" i="1"/>
  <c r="BD127" i="1"/>
  <c r="AC383" i="1"/>
  <c r="AC214" i="1"/>
  <c r="AI191" i="1"/>
  <c r="AI127" i="1"/>
  <c r="AI128" i="1" s="1"/>
  <c r="AH191" i="1"/>
  <c r="BH26" i="1"/>
  <c r="BH96" i="1"/>
  <c r="BH89" i="1"/>
  <c r="BH81" i="1"/>
  <c r="AR191" i="1"/>
  <c r="AR127" i="1"/>
  <c r="AR128" i="1" s="1"/>
  <c r="AC390" i="1"/>
  <c r="AF197" i="1"/>
  <c r="AF215" i="1" s="1"/>
  <c r="AF176" i="1"/>
  <c r="AF218" i="1" s="1"/>
  <c r="AF149" i="1"/>
  <c r="AF148" i="1"/>
  <c r="AF152" i="1"/>
  <c r="S328" i="1"/>
  <c r="S208" i="1"/>
  <c r="S332" i="1"/>
  <c r="AD382" i="1"/>
  <c r="AD332" i="1"/>
  <c r="AD324" i="1"/>
  <c r="AD328" i="1"/>
  <c r="AD320" i="1"/>
  <c r="AD208" i="1"/>
  <c r="BS163" i="1"/>
  <c r="BS164" i="1" s="1"/>
  <c r="BS160" i="1"/>
  <c r="BN164" i="1"/>
  <c r="AL191" i="1"/>
  <c r="AO329" i="1"/>
  <c r="AO321" i="1"/>
  <c r="AO325" i="1"/>
  <c r="AO209" i="1"/>
  <c r="AO192" i="1"/>
  <c r="AO210" i="1" s="1"/>
  <c r="AO333" i="1"/>
  <c r="K191" i="1"/>
  <c r="K127" i="1"/>
  <c r="K128" i="1" s="1"/>
  <c r="BG255" i="1"/>
  <c r="BG235" i="1"/>
  <c r="AE416" i="1"/>
  <c r="AE421" i="1" s="1"/>
  <c r="AC386" i="1"/>
  <c r="AC387" i="1" s="1"/>
  <c r="AC191" i="1"/>
  <c r="AC127" i="1"/>
  <c r="AC128" i="1" s="1"/>
  <c r="AF416" i="1"/>
  <c r="AF421" i="1" s="1"/>
  <c r="AE386" i="1"/>
  <c r="AE387" i="1" s="1"/>
  <c r="AE191" i="1"/>
  <c r="AE127" i="1"/>
  <c r="AE128" i="1" s="1"/>
  <c r="O197" i="1"/>
  <c r="O215" i="1" s="1"/>
  <c r="O148" i="1"/>
  <c r="J262" i="1"/>
  <c r="J261" i="1"/>
  <c r="AW191" i="1"/>
  <c r="AW127" i="1"/>
  <c r="AW128" i="1" s="1"/>
  <c r="AX191" i="1"/>
  <c r="W328" i="1"/>
  <c r="W332" i="1"/>
  <c r="W208" i="1"/>
  <c r="S197" i="1"/>
  <c r="S215" i="1" s="1"/>
  <c r="S176" i="1"/>
  <c r="S218" i="1" s="1"/>
  <c r="S224" i="1" s="1"/>
  <c r="S148" i="1"/>
  <c r="BN54" i="1"/>
  <c r="T13" i="38"/>
  <c r="R148" i="1"/>
  <c r="AB383" i="1"/>
  <c r="AB214" i="1"/>
  <c r="BH181" i="1"/>
  <c r="BH118" i="1"/>
  <c r="J328" i="1"/>
  <c r="J324" i="1"/>
  <c r="J332" i="1"/>
  <c r="J320" i="1"/>
  <c r="J208" i="1"/>
  <c r="AV267" i="1"/>
  <c r="AU268" i="1"/>
  <c r="AU269" i="1" s="1"/>
  <c r="AU270" i="1" s="1"/>
  <c r="BB148" i="1"/>
  <c r="BB197" i="1"/>
  <c r="BB215" i="1" s="1"/>
  <c r="Z382" i="1"/>
  <c r="Z328" i="1"/>
  <c r="Z324" i="1"/>
  <c r="Z320" i="1"/>
  <c r="Z208" i="1"/>
  <c r="Z332" i="1"/>
  <c r="BI98" i="1"/>
  <c r="BI100" i="1"/>
  <c r="BI46" i="1" l="1"/>
  <c r="BF112" i="1"/>
  <c r="BF110" i="1"/>
  <c r="BI101" i="1"/>
  <c r="BN100" i="1"/>
  <c r="BH199" i="1"/>
  <c r="BH205" i="1"/>
  <c r="BH212" i="1"/>
  <c r="BH206" i="1"/>
  <c r="BH202" i="1"/>
  <c r="BH283" i="1"/>
  <c r="BH211" i="1"/>
  <c r="BH200" i="1"/>
  <c r="BH213" i="1"/>
  <c r="AX209" i="1"/>
  <c r="AX192" i="1"/>
  <c r="AX210" i="1" s="1"/>
  <c r="AH209" i="1"/>
  <c r="AH192" i="1"/>
  <c r="AH210" i="1" s="1"/>
  <c r="Z325" i="1"/>
  <c r="Z329" i="1"/>
  <c r="Z321" i="1"/>
  <c r="Z209" i="1"/>
  <c r="Z192" i="1"/>
  <c r="Z210" i="1" s="1"/>
  <c r="Z333" i="1"/>
  <c r="AB384" i="1"/>
  <c r="AB215" i="1"/>
  <c r="AV209" i="1"/>
  <c r="AV192" i="1"/>
  <c r="AV210" i="1" s="1"/>
  <c r="AH128" i="1"/>
  <c r="AC384" i="1"/>
  <c r="AC215" i="1"/>
  <c r="AG209" i="1"/>
  <c r="AG192" i="1"/>
  <c r="AG210" i="1" s="1"/>
  <c r="Z176" i="1"/>
  <c r="V218" i="1"/>
  <c r="BN35" i="1"/>
  <c r="BC209" i="1"/>
  <c r="BC192" i="1"/>
  <c r="BC210" i="1" s="1"/>
  <c r="BA209" i="1"/>
  <c r="BA192" i="1"/>
  <c r="BA210" i="1" s="1"/>
  <c r="BE205" i="1"/>
  <c r="BE199" i="1"/>
  <c r="BE212" i="1"/>
  <c r="BE211" i="1"/>
  <c r="BE213" i="1"/>
  <c r="BE206" i="1"/>
  <c r="BE283" i="1"/>
  <c r="BE200" i="1"/>
  <c r="BE202" i="1"/>
  <c r="BE204" i="1"/>
  <c r="BF183" i="1"/>
  <c r="BF120" i="1"/>
  <c r="R128" i="1"/>
  <c r="O329" i="1"/>
  <c r="O209" i="1"/>
  <c r="O192" i="1"/>
  <c r="O210" i="1" s="1"/>
  <c r="O333" i="1"/>
  <c r="AE325" i="1"/>
  <c r="AE329" i="1"/>
  <c r="AE321" i="1"/>
  <c r="AE209" i="1"/>
  <c r="AE192" i="1"/>
  <c r="AE210" i="1" s="1"/>
  <c r="AE333" i="1"/>
  <c r="AC329" i="1"/>
  <c r="AC333" i="1"/>
  <c r="AC321" i="1"/>
  <c r="AC325" i="1"/>
  <c r="AC209" i="1"/>
  <c r="AC192" i="1"/>
  <c r="AC210" i="1" s="1"/>
  <c r="BS162" i="1"/>
  <c r="BS161" i="1"/>
  <c r="BD128" i="1"/>
  <c r="F49" i="38"/>
  <c r="BN184" i="1"/>
  <c r="BN78" i="1"/>
  <c r="BN79" i="1" s="1"/>
  <c r="BN80" i="1"/>
  <c r="BN114" i="1" s="1"/>
  <c r="BN58" i="1"/>
  <c r="T14" i="38"/>
  <c r="M329" i="1"/>
  <c r="M333" i="1"/>
  <c r="M325" i="1"/>
  <c r="M321" i="1"/>
  <c r="M209" i="1"/>
  <c r="M192" i="1"/>
  <c r="M210" i="1" s="1"/>
  <c r="AE176" i="1"/>
  <c r="AA218" i="1"/>
  <c r="AU128" i="1"/>
  <c r="AZ128" i="1"/>
  <c r="BS182" i="1"/>
  <c r="U9" i="38"/>
  <c r="BS30" i="1"/>
  <c r="AT269" i="1"/>
  <c r="AT270" i="1" s="1"/>
  <c r="AS270" i="1"/>
  <c r="AP209" i="1"/>
  <c r="AP192" i="1"/>
  <c r="AP210" i="1" s="1"/>
  <c r="BS184" i="1"/>
  <c r="BS78" i="1"/>
  <c r="BS58" i="1"/>
  <c r="U14" i="38"/>
  <c r="AF128" i="1"/>
  <c r="AY384" i="1"/>
  <c r="AY215" i="1"/>
  <c r="L174" i="1"/>
  <c r="L176" i="1" s="1"/>
  <c r="AG417" i="1"/>
  <c r="AG422" i="1" s="1"/>
  <c r="AJ385" i="1"/>
  <c r="AD392" i="1" s="1"/>
  <c r="AJ153" i="1"/>
  <c r="N29" i="38"/>
  <c r="R329" i="1"/>
  <c r="R209" i="1"/>
  <c r="R192" i="1"/>
  <c r="R210" i="1" s="1"/>
  <c r="R333" i="1"/>
  <c r="BN258" i="1"/>
  <c r="BN275" i="1"/>
  <c r="AE384" i="1"/>
  <c r="AE215" i="1"/>
  <c r="T329" i="1"/>
  <c r="T209" i="1"/>
  <c r="T192" i="1"/>
  <c r="T210" i="1" s="1"/>
  <c r="T333" i="1"/>
  <c r="P329" i="1"/>
  <c r="P209" i="1"/>
  <c r="P192" i="1"/>
  <c r="P210" i="1" s="1"/>
  <c r="P333" i="1"/>
  <c r="AK128" i="1"/>
  <c r="AP128" i="1"/>
  <c r="BS239" i="1"/>
  <c r="Y329" i="1"/>
  <c r="Y321" i="1"/>
  <c r="Y325" i="1"/>
  <c r="Y209" i="1"/>
  <c r="Y192" i="1"/>
  <c r="Y210" i="1" s="1"/>
  <c r="Y333" i="1"/>
  <c r="AJ128" i="1"/>
  <c r="R250" i="1"/>
  <c r="R251" i="1" s="1"/>
  <c r="Q254" i="1"/>
  <c r="Q256" i="1" s="1"/>
  <c r="BG291" i="1"/>
  <c r="BS5" i="1"/>
  <c r="BS35" i="1" s="1"/>
  <c r="BS9" i="1"/>
  <c r="I37" i="38" s="1"/>
  <c r="BF113" i="1"/>
  <c r="BF126" i="1"/>
  <c r="AD384" i="1"/>
  <c r="AD215" i="1"/>
  <c r="Q329" i="1"/>
  <c r="Q209" i="1"/>
  <c r="Q192" i="1"/>
  <c r="Q210" i="1" s="1"/>
  <c r="Q333" i="1"/>
  <c r="AI417" i="1"/>
  <c r="AI422" i="1" s="1"/>
  <c r="AT385" i="1"/>
  <c r="AT153" i="1"/>
  <c r="P29" i="38"/>
  <c r="AT384" i="1"/>
  <c r="AT215" i="1"/>
  <c r="BC174" i="1"/>
  <c r="BC176" i="1" s="1"/>
  <c r="BC218" i="1" s="1"/>
  <c r="BC224" i="1" s="1"/>
  <c r="BD224" i="1" s="1"/>
  <c r="BD225" i="1" s="1"/>
  <c r="BD172" i="1"/>
  <c r="BD174" i="1" s="1"/>
  <c r="BD176" i="1" s="1"/>
  <c r="BD218" i="1" s="1"/>
  <c r="L321" i="1"/>
  <c r="L325" i="1"/>
  <c r="L333" i="1"/>
  <c r="L329" i="1"/>
  <c r="L209" i="1"/>
  <c r="L192" i="1"/>
  <c r="L210" i="1" s="1"/>
  <c r="AY368" i="1"/>
  <c r="X384" i="1"/>
  <c r="X215" i="1"/>
  <c r="AA333" i="1"/>
  <c r="AA329" i="1"/>
  <c r="AA321" i="1"/>
  <c r="AA325" i="1"/>
  <c r="AA209" i="1"/>
  <c r="AA192" i="1"/>
  <c r="AA210" i="1" s="1"/>
  <c r="BE203" i="1"/>
  <c r="J263" i="1"/>
  <c r="J265" i="1"/>
  <c r="BG236" i="1"/>
  <c r="X391" i="1"/>
  <c r="Y391" i="1"/>
  <c r="Z391" i="1"/>
  <c r="BI231" i="1"/>
  <c r="BI181" i="1"/>
  <c r="BI118" i="1"/>
  <c r="AS209" i="1"/>
  <c r="AS192" i="1"/>
  <c r="AS210" i="1" s="1"/>
  <c r="BS266" i="1"/>
  <c r="BS268" i="1" s="1"/>
  <c r="BN268" i="1"/>
  <c r="BS95" i="1"/>
  <c r="AW209" i="1"/>
  <c r="AW192" i="1"/>
  <c r="AW210" i="1" s="1"/>
  <c r="BH235" i="1"/>
  <c r="BH236" i="1" s="1"/>
  <c r="BH255" i="1"/>
  <c r="AI209" i="1"/>
  <c r="AI192" i="1"/>
  <c r="AI210" i="1" s="1"/>
  <c r="BD325" i="1"/>
  <c r="BD321" i="1"/>
  <c r="BD329" i="1"/>
  <c r="BD209" i="1"/>
  <c r="BD192" i="1"/>
  <c r="BD210" i="1" s="1"/>
  <c r="BD333" i="1"/>
  <c r="BN75" i="1"/>
  <c r="BF121" i="1"/>
  <c r="AM209" i="1"/>
  <c r="AM192" i="1"/>
  <c r="AM210" i="1" s="1"/>
  <c r="AB329" i="1"/>
  <c r="AB321" i="1"/>
  <c r="AB333" i="1"/>
  <c r="AB325" i="1"/>
  <c r="AB209" i="1"/>
  <c r="AB192" i="1"/>
  <c r="AB210" i="1" s="1"/>
  <c r="AA384" i="1"/>
  <c r="AA215" i="1"/>
  <c r="AU209" i="1"/>
  <c r="AU192" i="1"/>
  <c r="AU210" i="1" s="1"/>
  <c r="BG205" i="1"/>
  <c r="BG199" i="1"/>
  <c r="BG212" i="1"/>
  <c r="BG206" i="1"/>
  <c r="BG283" i="1"/>
  <c r="BG211" i="1"/>
  <c r="BG200" i="1"/>
  <c r="BG202" i="1"/>
  <c r="BG213" i="1"/>
  <c r="AZ209" i="1"/>
  <c r="AZ192" i="1"/>
  <c r="AZ210" i="1" s="1"/>
  <c r="AD128" i="1"/>
  <c r="S329" i="1"/>
  <c r="S209" i="1"/>
  <c r="S192" i="1"/>
  <c r="S210" i="1" s="1"/>
  <c r="S333" i="1"/>
  <c r="BI26" i="1"/>
  <c r="BI96" i="1"/>
  <c r="BI89" i="1"/>
  <c r="AN128" i="1"/>
  <c r="AE417" i="1"/>
  <c r="AE422" i="1" s="1"/>
  <c r="AC385" i="1"/>
  <c r="AO150" i="1"/>
  <c r="X128" i="1"/>
  <c r="AF209" i="1"/>
  <c r="AF192" i="1"/>
  <c r="AF210" i="1" s="1"/>
  <c r="K262" i="1"/>
  <c r="K261" i="1"/>
  <c r="BD150" i="1"/>
  <c r="BD384" i="1"/>
  <c r="BD215" i="1"/>
  <c r="H19" i="38"/>
  <c r="H18" i="38"/>
  <c r="F18" i="38"/>
  <c r="F19" i="38"/>
  <c r="S10" i="38"/>
  <c r="BG204" i="1"/>
  <c r="AK209" i="1"/>
  <c r="AK192" i="1"/>
  <c r="AK210" i="1" s="1"/>
  <c r="AQ209" i="1"/>
  <c r="AQ192" i="1"/>
  <c r="AQ210" i="1" s="1"/>
  <c r="AO153" i="1"/>
  <c r="AJ325" i="1"/>
  <c r="AJ329" i="1"/>
  <c r="AJ321" i="1"/>
  <c r="AJ209" i="1"/>
  <c r="AJ192" i="1"/>
  <c r="AJ210" i="1" s="1"/>
  <c r="AJ333" i="1"/>
  <c r="U254" i="1"/>
  <c r="U256" i="1" s="1"/>
  <c r="Z250" i="1"/>
  <c r="V250" i="1"/>
  <c r="V251" i="1" s="1"/>
  <c r="BE189" i="1"/>
  <c r="BE207" i="1" s="1"/>
  <c r="BE144" i="1"/>
  <c r="BE124" i="1"/>
  <c r="BE122" i="1"/>
  <c r="V128" i="1"/>
  <c r="F192" i="1"/>
  <c r="F210" i="1" s="1"/>
  <c r="F209" i="1"/>
  <c r="U128" i="1"/>
  <c r="BI51" i="1"/>
  <c r="AL467" i="1"/>
  <c r="AY128" i="1"/>
  <c r="E49" i="38"/>
  <c r="BE201" i="1"/>
  <c r="AW267" i="1"/>
  <c r="AV268" i="1"/>
  <c r="AV269" i="1" s="1"/>
  <c r="AV270" i="1" s="1"/>
  <c r="K333" i="1"/>
  <c r="K321" i="1"/>
  <c r="K329" i="1"/>
  <c r="K325" i="1"/>
  <c r="K209" i="1"/>
  <c r="K192" i="1"/>
  <c r="K210" i="1" s="1"/>
  <c r="BH186" i="1"/>
  <c r="BH204" i="1" s="1"/>
  <c r="BH83" i="1"/>
  <c r="BH82" i="1"/>
  <c r="BH106" i="1"/>
  <c r="BI81" i="1"/>
  <c r="J333" i="1"/>
  <c r="J329" i="1"/>
  <c r="J321" i="1"/>
  <c r="J325" i="1"/>
  <c r="J209" i="1"/>
  <c r="J192" i="1"/>
  <c r="J210" i="1" s="1"/>
  <c r="J337" i="1"/>
  <c r="AJ384" i="1"/>
  <c r="AJ215" i="1"/>
  <c r="AF417" i="1"/>
  <c r="AF422" i="1" s="1"/>
  <c r="AE385" i="1"/>
  <c r="AE153" i="1"/>
  <c r="Y128" i="1"/>
  <c r="N250" i="1"/>
  <c r="N251" i="1" s="1"/>
  <c r="M254" i="1"/>
  <c r="M256" i="1" s="1"/>
  <c r="AL209" i="1"/>
  <c r="AL192" i="1"/>
  <c r="AL210" i="1" s="1"/>
  <c r="AJ218" i="1"/>
  <c r="AF224" i="1"/>
  <c r="AJ224" i="1" s="1"/>
  <c r="AR209" i="1"/>
  <c r="AR192" i="1"/>
  <c r="AR210" i="1" s="1"/>
  <c r="Q174" i="1"/>
  <c r="Q176" i="1" s="1"/>
  <c r="BI18" i="1"/>
  <c r="BI21" i="1"/>
  <c r="BF205" i="1"/>
  <c r="BF199" i="1"/>
  <c r="BF211" i="1"/>
  <c r="BF212" i="1"/>
  <c r="BF213" i="1"/>
  <c r="BF206" i="1"/>
  <c r="BF283" i="1"/>
  <c r="BF202" i="1"/>
  <c r="BF200" i="1"/>
  <c r="AT329" i="1"/>
  <c r="AT321" i="1"/>
  <c r="AT325" i="1"/>
  <c r="AT209" i="1"/>
  <c r="AT192" i="1"/>
  <c r="AT210" i="1" s="1"/>
  <c r="AT333" i="1"/>
  <c r="W333" i="1"/>
  <c r="W329" i="1"/>
  <c r="W209" i="1"/>
  <c r="W192" i="1"/>
  <c r="W210" i="1" s="1"/>
  <c r="AD333" i="1"/>
  <c r="AD325" i="1"/>
  <c r="AD321" i="1"/>
  <c r="AD329" i="1"/>
  <c r="AD209" i="1"/>
  <c r="AD192" i="1"/>
  <c r="AD210" i="1" s="1"/>
  <c r="BN25" i="1"/>
  <c r="BS24" i="1"/>
  <c r="BS25" i="1" s="1"/>
  <c r="AN209" i="1"/>
  <c r="AN192" i="1"/>
  <c r="AN210" i="1" s="1"/>
  <c r="X329" i="1"/>
  <c r="X321" i="1"/>
  <c r="X325" i="1"/>
  <c r="X209" i="1"/>
  <c r="X192" i="1"/>
  <c r="X210" i="1" s="1"/>
  <c r="X333" i="1"/>
  <c r="AG128" i="1"/>
  <c r="K337" i="1"/>
  <c r="AJ417" i="1"/>
  <c r="AJ422" i="1" s="1"/>
  <c r="AL441" i="1" s="1"/>
  <c r="AY385" i="1"/>
  <c r="AY153" i="1"/>
  <c r="Q29" i="38"/>
  <c r="E55" i="38" s="1"/>
  <c r="BD385" i="1"/>
  <c r="BD153" i="1"/>
  <c r="R29" i="38"/>
  <c r="F55" i="38" s="1"/>
  <c r="Z384" i="1"/>
  <c r="Z215" i="1"/>
  <c r="BG115" i="1"/>
  <c r="BG111" i="1"/>
  <c r="BG108" i="1"/>
  <c r="BG119" i="1"/>
  <c r="BG109" i="1"/>
  <c r="BG107" i="1"/>
  <c r="AS128" i="1"/>
  <c r="AX128" i="1"/>
  <c r="BS274" i="1"/>
  <c r="BB209" i="1"/>
  <c r="BB192" i="1"/>
  <c r="BB210" i="1" s="1"/>
  <c r="BA128" i="1"/>
  <c r="P305" i="1"/>
  <c r="P312" i="1" s="1"/>
  <c r="P257" i="1"/>
  <c r="P131" i="1"/>
  <c r="P260" i="1"/>
  <c r="P335" i="1"/>
  <c r="P336" i="1"/>
  <c r="P337" i="1"/>
  <c r="Y384" i="1"/>
  <c r="Y215" i="1"/>
  <c r="V329" i="1"/>
  <c r="V209" i="1"/>
  <c r="V192" i="1"/>
  <c r="V210" i="1" s="1"/>
  <c r="V333" i="1"/>
  <c r="L337" i="1"/>
  <c r="L335" i="1"/>
  <c r="L305" i="1"/>
  <c r="L336" i="1"/>
  <c r="L260" i="1"/>
  <c r="L257" i="1"/>
  <c r="L131" i="1"/>
  <c r="BN95" i="1"/>
  <c r="U329" i="1"/>
  <c r="U209" i="1"/>
  <c r="U192" i="1"/>
  <c r="U210" i="1" s="1"/>
  <c r="U333" i="1"/>
  <c r="BN37" i="1"/>
  <c r="BN49" i="1"/>
  <c r="BS39" i="1"/>
  <c r="AY329" i="1"/>
  <c r="AY321" i="1"/>
  <c r="AY325" i="1"/>
  <c r="AY209" i="1"/>
  <c r="AY192" i="1"/>
  <c r="AY210" i="1" s="1"/>
  <c r="AY333" i="1"/>
  <c r="BI299" i="1"/>
  <c r="BI241" i="1"/>
  <c r="S39" i="38"/>
  <c r="BI292" i="1"/>
  <c r="O128" i="1"/>
  <c r="BI280" i="1"/>
  <c r="BH135" i="1"/>
  <c r="BH136" i="1" s="1"/>
  <c r="BS79" i="1" l="1"/>
  <c r="BE125" i="1"/>
  <c r="G42" i="38"/>
  <c r="BG112" i="1"/>
  <c r="BG110" i="1"/>
  <c r="BS48" i="1"/>
  <c r="BS36" i="1"/>
  <c r="R32" i="38"/>
  <c r="R44" i="38" s="1"/>
  <c r="F54" i="38" s="1"/>
  <c r="BD233" i="1"/>
  <c r="BD248" i="1"/>
  <c r="Q218" i="1"/>
  <c r="Q224" i="1" s="1"/>
  <c r="R173" i="1"/>
  <c r="BI352" i="1"/>
  <c r="BI135" i="1"/>
  <c r="S50" i="38"/>
  <c r="BS37" i="1"/>
  <c r="BS49" i="1"/>
  <c r="P261" i="1"/>
  <c r="P262" i="1"/>
  <c r="BG113" i="1"/>
  <c r="BG126" i="1"/>
  <c r="BN21" i="1"/>
  <c r="BI22" i="1"/>
  <c r="BI235" i="1"/>
  <c r="Q305" i="1"/>
  <c r="Q312" i="1" s="1"/>
  <c r="Q260" i="1"/>
  <c r="Q257" i="1"/>
  <c r="Q131" i="1"/>
  <c r="Q335" i="1"/>
  <c r="Q336" i="1"/>
  <c r="Q337" i="1"/>
  <c r="BN306" i="1"/>
  <c r="BS80" i="1"/>
  <c r="BS114" i="1" s="1"/>
  <c r="BF201" i="1"/>
  <c r="BF185" i="1"/>
  <c r="Z218" i="1"/>
  <c r="V224" i="1"/>
  <c r="Z224" i="1" s="1"/>
  <c r="Z225" i="1" s="1"/>
  <c r="BI283" i="1"/>
  <c r="BI284" i="1" s="1"/>
  <c r="BN284" i="1" s="1"/>
  <c r="BG183" i="1"/>
  <c r="BG120" i="1"/>
  <c r="BG121" i="1"/>
  <c r="BS26" i="1"/>
  <c r="BS96" i="1"/>
  <c r="BS89" i="1"/>
  <c r="BE190" i="1"/>
  <c r="BE208" i="1" s="1"/>
  <c r="BE123" i="1"/>
  <c r="V254" i="1"/>
  <c r="V256" i="1" s="1"/>
  <c r="W250" i="1"/>
  <c r="W251" i="1" s="1"/>
  <c r="BF189" i="1"/>
  <c r="BF207" i="1" s="1"/>
  <c r="BF144" i="1"/>
  <c r="BF124" i="1"/>
  <c r="BF122" i="1"/>
  <c r="BS6" i="1"/>
  <c r="BS75" i="1"/>
  <c r="R254" i="1"/>
  <c r="R256" i="1" s="1"/>
  <c r="S250" i="1"/>
  <c r="S251" i="1" s="1"/>
  <c r="BS299" i="1"/>
  <c r="BS241" i="1"/>
  <c r="U39" i="38"/>
  <c r="AE218" i="1"/>
  <c r="AA224" i="1"/>
  <c r="AE224" i="1" s="1"/>
  <c r="P313" i="1"/>
  <c r="P314" i="1"/>
  <c r="P315" i="1"/>
  <c r="N254" i="1"/>
  <c r="N256" i="1" s="1"/>
  <c r="O250" i="1"/>
  <c r="O251" i="1" s="1"/>
  <c r="O254" i="1" s="1"/>
  <c r="O256" i="1" s="1"/>
  <c r="BN292" i="1"/>
  <c r="BN43" i="1"/>
  <c r="BN38" i="1"/>
  <c r="L261" i="1"/>
  <c r="L262" i="1"/>
  <c r="BN26" i="1"/>
  <c r="BN96" i="1"/>
  <c r="BN89" i="1"/>
  <c r="AJ225" i="1"/>
  <c r="M337" i="1"/>
  <c r="M335" i="1"/>
  <c r="M336" i="1"/>
  <c r="M257" i="1"/>
  <c r="M305" i="1"/>
  <c r="M312" i="1" s="1"/>
  <c r="M260" i="1"/>
  <c r="M131" i="1"/>
  <c r="X392" i="1"/>
  <c r="Y392" i="1"/>
  <c r="Z392" i="1"/>
  <c r="BI358" i="1"/>
  <c r="BI360" i="1" s="1"/>
  <c r="BI186" i="1"/>
  <c r="BI204" i="1" s="1"/>
  <c r="BI84" i="1"/>
  <c r="BI82" i="1"/>
  <c r="S17" i="38"/>
  <c r="S51" i="38" s="1"/>
  <c r="BI106" i="1"/>
  <c r="AX267" i="1"/>
  <c r="AW268" i="1"/>
  <c r="AW269" i="1" s="1"/>
  <c r="AW270" i="1" s="1"/>
  <c r="K265" i="1"/>
  <c r="K263" i="1"/>
  <c r="L218" i="1"/>
  <c r="L224" i="1" s="1"/>
  <c r="M173" i="1"/>
  <c r="BS258" i="1"/>
  <c r="BS275" i="1"/>
  <c r="BS100" i="1"/>
  <c r="BS97" i="1" s="1"/>
  <c r="BN97" i="1"/>
  <c r="BH119" i="1"/>
  <c r="BH108" i="1"/>
  <c r="BH115" i="1"/>
  <c r="BH109" i="1"/>
  <c r="BH107" i="1"/>
  <c r="BH111" i="1"/>
  <c r="BE196" i="1"/>
  <c r="BE214" i="1" s="1"/>
  <c r="BE146" i="1"/>
  <c r="BE147" i="1" s="1"/>
  <c r="U305" i="1"/>
  <c r="U312" i="1" s="1"/>
  <c r="U257" i="1"/>
  <c r="U260" i="1"/>
  <c r="U131" i="1"/>
  <c r="U337" i="1"/>
  <c r="U335" i="1"/>
  <c r="U336" i="1"/>
  <c r="BI255" i="1"/>
  <c r="BI380" i="1"/>
  <c r="BI205" i="1"/>
  <c r="BI199" i="1"/>
  <c r="BI206" i="1"/>
  <c r="BI212" i="1"/>
  <c r="BI200" i="1"/>
  <c r="BI202" i="1"/>
  <c r="BI211" i="1"/>
  <c r="BI213" i="1"/>
  <c r="BD368" i="1"/>
  <c r="BH291" i="1"/>
  <c r="BN48" i="1"/>
  <c r="BN50" i="1" s="1"/>
  <c r="BN36" i="1"/>
  <c r="BN42" i="1" l="1"/>
  <c r="BS50" i="1"/>
  <c r="BH112" i="1"/>
  <c r="BH110" i="1"/>
  <c r="BF125" i="1"/>
  <c r="BN51" i="1"/>
  <c r="BS98" i="1"/>
  <c r="M313" i="1"/>
  <c r="M314" i="1"/>
  <c r="M315" i="1"/>
  <c r="BE191" i="1"/>
  <c r="BE127" i="1"/>
  <c r="BG201" i="1"/>
  <c r="BG185" i="1"/>
  <c r="U261" i="1"/>
  <c r="U262" i="1"/>
  <c r="BE197" i="1"/>
  <c r="BE215" i="1" s="1"/>
  <c r="BE176" i="1"/>
  <c r="BE218" i="1" s="1"/>
  <c r="BE290" i="1" s="1"/>
  <c r="BE152" i="1"/>
  <c r="BE149" i="1"/>
  <c r="BE148" i="1"/>
  <c r="BN98" i="1"/>
  <c r="BN103" i="1"/>
  <c r="BS103" i="1" s="1"/>
  <c r="BN104" i="1"/>
  <c r="BS104" i="1" s="1"/>
  <c r="BN105" i="1"/>
  <c r="BS105" i="1" s="1"/>
  <c r="BS306" i="1"/>
  <c r="M261" i="1"/>
  <c r="M262" i="1"/>
  <c r="AE225" i="1"/>
  <c r="V305" i="1"/>
  <c r="V312" i="1" s="1"/>
  <c r="V260" i="1"/>
  <c r="V257" i="1"/>
  <c r="V131" i="1"/>
  <c r="V335" i="1"/>
  <c r="V336" i="1"/>
  <c r="V337" i="1"/>
  <c r="BF203" i="1"/>
  <c r="BF277" i="1"/>
  <c r="BF279" i="1" s="1"/>
  <c r="BI236" i="1"/>
  <c r="S35" i="38"/>
  <c r="S36" i="38" s="1"/>
  <c r="BI291" i="1"/>
  <c r="BI136" i="1"/>
  <c r="BN136" i="1" s="1"/>
  <c r="BS136" i="1" s="1"/>
  <c r="AY267" i="1"/>
  <c r="AZ267" i="1" s="1"/>
  <c r="AX268" i="1"/>
  <c r="BF196" i="1"/>
  <c r="BF214" i="1" s="1"/>
  <c r="BF146" i="1"/>
  <c r="BF222" i="1" s="1"/>
  <c r="BS51" i="1"/>
  <c r="R174" i="1"/>
  <c r="R176" i="1" s="1"/>
  <c r="R218" i="1" s="1"/>
  <c r="R224" i="1" s="1"/>
  <c r="U173" i="1"/>
  <c r="U174" i="1" s="1"/>
  <c r="U176" i="1" s="1"/>
  <c r="U218" i="1" s="1"/>
  <c r="U224" i="1" s="1"/>
  <c r="BN255" i="1"/>
  <c r="BN235" i="1"/>
  <c r="U313" i="1"/>
  <c r="U314" i="1"/>
  <c r="U315" i="1"/>
  <c r="BI119" i="1"/>
  <c r="BI115" i="1"/>
  <c r="BI109" i="1"/>
  <c r="BI107" i="1"/>
  <c r="BI111" i="1"/>
  <c r="S19" i="38"/>
  <c r="AG418" i="1"/>
  <c r="AG424" i="1" s="1"/>
  <c r="N32" i="38"/>
  <c r="N44" i="38" s="1"/>
  <c r="AJ248" i="1"/>
  <c r="AJ233" i="1"/>
  <c r="L263" i="1"/>
  <c r="L265" i="1"/>
  <c r="BN117" i="1"/>
  <c r="T11" i="38"/>
  <c r="BN45" i="1"/>
  <c r="BN44" i="1"/>
  <c r="N336" i="1"/>
  <c r="N337" i="1"/>
  <c r="N335" i="1"/>
  <c r="N305" i="1"/>
  <c r="N312" i="1" s="1"/>
  <c r="N260" i="1"/>
  <c r="N257" i="1"/>
  <c r="N131" i="1"/>
  <c r="S254" i="1"/>
  <c r="S255" i="1" s="1"/>
  <c r="S256" i="1" s="1"/>
  <c r="T250" i="1"/>
  <c r="T251" i="1" s="1"/>
  <c r="T254" i="1" s="1"/>
  <c r="T256" i="1" s="1"/>
  <c r="Q262" i="1"/>
  <c r="Q261" i="1"/>
  <c r="BS38" i="1"/>
  <c r="BS43" i="1"/>
  <c r="BI368" i="1"/>
  <c r="BH113" i="1"/>
  <c r="BH126" i="1"/>
  <c r="BI85" i="1"/>
  <c r="BN84" i="1"/>
  <c r="O305" i="1"/>
  <c r="O312" i="1" s="1"/>
  <c r="O260" i="1"/>
  <c r="O257" i="1"/>
  <c r="O131" i="1"/>
  <c r="O337" i="1"/>
  <c r="O336" i="1"/>
  <c r="O335" i="1"/>
  <c r="Z233" i="1"/>
  <c r="Z248" i="1"/>
  <c r="Z251" i="1" s="1"/>
  <c r="BE222" i="1"/>
  <c r="BH183" i="1"/>
  <c r="BH120" i="1"/>
  <c r="BH121" i="1"/>
  <c r="M174" i="1"/>
  <c r="M176" i="1" s="1"/>
  <c r="BS292" i="1"/>
  <c r="P317" i="1"/>
  <c r="P316" i="1"/>
  <c r="R305" i="1"/>
  <c r="R312" i="1" s="1"/>
  <c r="R260" i="1"/>
  <c r="R257" i="1"/>
  <c r="R131" i="1"/>
  <c r="R335" i="1"/>
  <c r="R336" i="1"/>
  <c r="R337" i="1"/>
  <c r="BF190" i="1"/>
  <c r="BF208" i="1" s="1"/>
  <c r="BF123" i="1"/>
  <c r="W254" i="1"/>
  <c r="W256" i="1" s="1"/>
  <c r="X250" i="1"/>
  <c r="X251" i="1" s="1"/>
  <c r="BG189" i="1"/>
  <c r="BG207" i="1" s="1"/>
  <c r="BG122" i="1"/>
  <c r="BG144" i="1"/>
  <c r="BG124" i="1"/>
  <c r="BS284" i="1"/>
  <c r="Q313" i="1"/>
  <c r="Q314" i="1"/>
  <c r="Q315" i="1"/>
  <c r="BS21" i="1"/>
  <c r="BN22" i="1"/>
  <c r="BN17" i="1"/>
  <c r="BN18" i="1" s="1"/>
  <c r="P265" i="1"/>
  <c r="P263" i="1"/>
  <c r="BS42" i="1" l="1"/>
  <c r="BN46" i="1"/>
  <c r="BE128" i="1"/>
  <c r="BG125" i="1"/>
  <c r="BI112" i="1"/>
  <c r="BI110" i="1"/>
  <c r="BF147" i="1"/>
  <c r="BF149" i="1" s="1"/>
  <c r="M218" i="1"/>
  <c r="M224" i="1" s="1"/>
  <c r="O173" i="1"/>
  <c r="S305" i="1"/>
  <c r="S312" i="1" s="1"/>
  <c r="S260" i="1"/>
  <c r="S257" i="1"/>
  <c r="S131" i="1"/>
  <c r="S337" i="1"/>
  <c r="S336" i="1"/>
  <c r="S335" i="1"/>
  <c r="U317" i="1"/>
  <c r="U316" i="1"/>
  <c r="V262" i="1"/>
  <c r="V261" i="1"/>
  <c r="BS22" i="1"/>
  <c r="BS17" i="1"/>
  <c r="BS18" i="1" s="1"/>
  <c r="BG190" i="1"/>
  <c r="BG208" i="1" s="1"/>
  <c r="BG123" i="1"/>
  <c r="BF191" i="1"/>
  <c r="BF127" i="1"/>
  <c r="R314" i="1"/>
  <c r="R315" i="1"/>
  <c r="R313" i="1"/>
  <c r="Z254" i="1"/>
  <c r="Z256" i="1" s="1"/>
  <c r="AE250" i="1"/>
  <c r="AA250" i="1"/>
  <c r="AA251" i="1" s="1"/>
  <c r="O315" i="1"/>
  <c r="O313" i="1"/>
  <c r="O314" i="1"/>
  <c r="BS117" i="1"/>
  <c r="U11" i="38"/>
  <c r="BS45" i="1"/>
  <c r="BS44" i="1"/>
  <c r="Q265" i="1"/>
  <c r="Q263" i="1"/>
  <c r="T10" i="38"/>
  <c r="S15" i="38"/>
  <c r="S21" i="38"/>
  <c r="BI113" i="1"/>
  <c r="BI126" i="1"/>
  <c r="BA267" i="1"/>
  <c r="AZ268" i="1"/>
  <c r="AZ269" i="1" s="1"/>
  <c r="BB270" i="1" s="1"/>
  <c r="BG270" i="1" s="1"/>
  <c r="BG269" i="1" s="1"/>
  <c r="BG271" i="1" s="1"/>
  <c r="BN291" i="1"/>
  <c r="AF418" i="1"/>
  <c r="AE233" i="1"/>
  <c r="AE248" i="1"/>
  <c r="BE209" i="1"/>
  <c r="BE192" i="1"/>
  <c r="BE210" i="1" s="1"/>
  <c r="Q316" i="1"/>
  <c r="Q317" i="1"/>
  <c r="BH201" i="1"/>
  <c r="BH185" i="1"/>
  <c r="BS84" i="1"/>
  <c r="BS81" i="1" s="1"/>
  <c r="BN81" i="1"/>
  <c r="T305" i="1"/>
  <c r="T312" i="1" s="1"/>
  <c r="T260" i="1"/>
  <c r="T257" i="1"/>
  <c r="T131" i="1"/>
  <c r="T336" i="1"/>
  <c r="T337" i="1"/>
  <c r="T335" i="1"/>
  <c r="N262" i="1"/>
  <c r="N261" i="1"/>
  <c r="BN231" i="1"/>
  <c r="BN181" i="1"/>
  <c r="BN118" i="1"/>
  <c r="BI183" i="1"/>
  <c r="BI120" i="1"/>
  <c r="BI121" i="1"/>
  <c r="BN236" i="1"/>
  <c r="T35" i="38"/>
  <c r="T36" i="38" s="1"/>
  <c r="M263" i="1"/>
  <c r="M265" i="1"/>
  <c r="BE293" i="1"/>
  <c r="BG203" i="1"/>
  <c r="BG277" i="1"/>
  <c r="BG279" i="1" s="1"/>
  <c r="M316" i="1"/>
  <c r="M317" i="1"/>
  <c r="X254" i="1"/>
  <c r="X256" i="1" s="1"/>
  <c r="Y250" i="1"/>
  <c r="Y251" i="1" s="1"/>
  <c r="Y254" i="1" s="1"/>
  <c r="Y256" i="1" s="1"/>
  <c r="BN368" i="1"/>
  <c r="N314" i="1"/>
  <c r="N315" i="1"/>
  <c r="N313" i="1"/>
  <c r="BG196" i="1"/>
  <c r="BG214" i="1" s="1"/>
  <c r="BG146" i="1"/>
  <c r="W336" i="1"/>
  <c r="W337" i="1"/>
  <c r="W335" i="1"/>
  <c r="W305" i="1"/>
  <c r="W312" i="1" s="1"/>
  <c r="W260" i="1"/>
  <c r="W257" i="1"/>
  <c r="W131" i="1"/>
  <c r="R262" i="1"/>
  <c r="R261" i="1"/>
  <c r="BH189" i="1"/>
  <c r="BH207" i="1" s="1"/>
  <c r="BH122" i="1"/>
  <c r="BH144" i="1"/>
  <c r="BH124" i="1"/>
  <c r="BE282" i="1"/>
  <c r="O262" i="1"/>
  <c r="O261" i="1"/>
  <c r="BS255" i="1"/>
  <c r="BS235" i="1"/>
  <c r="AY268" i="1"/>
  <c r="AX269" i="1"/>
  <c r="BI137" i="1"/>
  <c r="V314" i="1"/>
  <c r="V315" i="1"/>
  <c r="V313" i="1"/>
  <c r="U265" i="1"/>
  <c r="U263" i="1"/>
  <c r="BF176" i="1" l="1"/>
  <c r="BF218" i="1" s="1"/>
  <c r="BF290" i="1" s="1"/>
  <c r="BF293" i="1" s="1"/>
  <c r="BS46" i="1"/>
  <c r="H42" i="38"/>
  <c r="BF152" i="1"/>
  <c r="BF148" i="1"/>
  <c r="BF197" i="1"/>
  <c r="BF215" i="1" s="1"/>
  <c r="BH125" i="1"/>
  <c r="G44" i="38"/>
  <c r="BF128" i="1"/>
  <c r="G45" i="38"/>
  <c r="BH196" i="1"/>
  <c r="BH214" i="1" s="1"/>
  <c r="BH146" i="1"/>
  <c r="BH222" i="1" s="1"/>
  <c r="W262" i="1"/>
  <c r="W261" i="1"/>
  <c r="V316" i="1"/>
  <c r="V317" i="1"/>
  <c r="X350" i="1"/>
  <c r="X356" i="1" s="1"/>
  <c r="X305" i="1"/>
  <c r="X312" i="1" s="1"/>
  <c r="X260" i="1"/>
  <c r="X257" i="1"/>
  <c r="X131" i="1"/>
  <c r="X337" i="1"/>
  <c r="X336" i="1"/>
  <c r="X335" i="1"/>
  <c r="BI189" i="1"/>
  <c r="BI144" i="1"/>
  <c r="BI124" i="1"/>
  <c r="BI122" i="1"/>
  <c r="N265" i="1"/>
  <c r="N263" i="1"/>
  <c r="BN358" i="1"/>
  <c r="BN360" i="1" s="1"/>
  <c r="BN186" i="1"/>
  <c r="BN204" i="1" s="1"/>
  <c r="BN82" i="1"/>
  <c r="T17" i="38"/>
  <c r="T51" i="38" s="1"/>
  <c r="BN106" i="1"/>
  <c r="AE251" i="1"/>
  <c r="V265" i="1"/>
  <c r="V263" i="1"/>
  <c r="S261" i="1"/>
  <c r="S262" i="1"/>
  <c r="O265" i="1"/>
  <c r="O263" i="1"/>
  <c r="BS358" i="1"/>
  <c r="BS360" i="1" s="1"/>
  <c r="BS186" i="1"/>
  <c r="BS82" i="1"/>
  <c r="U17" i="38"/>
  <c r="U51" i="38" s="1"/>
  <c r="BS106" i="1"/>
  <c r="BS291" i="1"/>
  <c r="Z350" i="1"/>
  <c r="Z356" i="1" s="1"/>
  <c r="Z305" i="1"/>
  <c r="Z312" i="1" s="1"/>
  <c r="Z257" i="1"/>
  <c r="Z260" i="1"/>
  <c r="Z131" i="1"/>
  <c r="Z335" i="1"/>
  <c r="Z337" i="1"/>
  <c r="Z336" i="1"/>
  <c r="BF282" i="1"/>
  <c r="BE285" i="1"/>
  <c r="BE286" i="1" s="1"/>
  <c r="BE294" i="1" s="1"/>
  <c r="BH190" i="1"/>
  <c r="BH208" i="1" s="1"/>
  <c r="BH123" i="1"/>
  <c r="W315" i="1"/>
  <c r="W313" i="1"/>
  <c r="W314" i="1"/>
  <c r="BG222" i="1"/>
  <c r="N316" i="1"/>
  <c r="N317" i="1"/>
  <c r="BS368" i="1"/>
  <c r="BI201" i="1"/>
  <c r="BI185" i="1"/>
  <c r="BI203" i="1" s="1"/>
  <c r="T262" i="1"/>
  <c r="T261" i="1"/>
  <c r="BH203" i="1"/>
  <c r="BH277" i="1"/>
  <c r="S22" i="38"/>
  <c r="S56" i="38" s="1"/>
  <c r="U10" i="38"/>
  <c r="O317" i="1"/>
  <c r="O316" i="1"/>
  <c r="BF209" i="1"/>
  <c r="BF192" i="1"/>
  <c r="BF210" i="1" s="1"/>
  <c r="O174" i="1"/>
  <c r="O176" i="1" s="1"/>
  <c r="O218" i="1" s="1"/>
  <c r="P173" i="1"/>
  <c r="P174" i="1" s="1"/>
  <c r="P176" i="1" s="1"/>
  <c r="P218" i="1" s="1"/>
  <c r="P224" i="1" s="1"/>
  <c r="BS236" i="1"/>
  <c r="U35" i="38"/>
  <c r="U36" i="38" s="1"/>
  <c r="BN380" i="1"/>
  <c r="BN199" i="1"/>
  <c r="BN205" i="1"/>
  <c r="BN213" i="1"/>
  <c r="BN212" i="1"/>
  <c r="BN211" i="1"/>
  <c r="BN206" i="1"/>
  <c r="BN200" i="1"/>
  <c r="BN202" i="1"/>
  <c r="BN283" i="1"/>
  <c r="S315" i="1"/>
  <c r="S313" i="1"/>
  <c r="S314" i="1"/>
  <c r="R263" i="1"/>
  <c r="R265" i="1"/>
  <c r="AZ270" i="1"/>
  <c r="BE270" i="1" s="1"/>
  <c r="BE269" i="1" s="1"/>
  <c r="BE271" i="1" s="1"/>
  <c r="AY269" i="1"/>
  <c r="AX270" i="1"/>
  <c r="BG147" i="1"/>
  <c r="Y350" i="1"/>
  <c r="Y356" i="1" s="1"/>
  <c r="Y305" i="1"/>
  <c r="Y312" i="1" s="1"/>
  <c r="Y257" i="1"/>
  <c r="Y260" i="1"/>
  <c r="Y131" i="1"/>
  <c r="Y335" i="1"/>
  <c r="Y336" i="1"/>
  <c r="Y337" i="1"/>
  <c r="T313" i="1"/>
  <c r="T314" i="1"/>
  <c r="T315" i="1"/>
  <c r="AF424" i="1"/>
  <c r="AE424" i="1"/>
  <c r="BB267" i="1"/>
  <c r="BB268" i="1" s="1"/>
  <c r="BB269" i="1" s="1"/>
  <c r="BA268" i="1"/>
  <c r="BA269" i="1" s="1"/>
  <c r="BC270" i="1" s="1"/>
  <c r="BH270" i="1" s="1"/>
  <c r="BH269" i="1" s="1"/>
  <c r="BS181" i="1"/>
  <c r="BS118" i="1"/>
  <c r="BS231" i="1"/>
  <c r="AA254" i="1"/>
  <c r="AA256" i="1" s="1"/>
  <c r="AB250" i="1"/>
  <c r="AB251" i="1" s="1"/>
  <c r="R316" i="1"/>
  <c r="R317" i="1"/>
  <c r="BG191" i="1"/>
  <c r="BG127" i="1"/>
  <c r="BI222" i="1" l="1"/>
  <c r="I42" i="38"/>
  <c r="BG128" i="1"/>
  <c r="BI146" i="1"/>
  <c r="BH147" i="1"/>
  <c r="BH176" i="1" s="1"/>
  <c r="BH218" i="1" s="1"/>
  <c r="AA350" i="1"/>
  <c r="AA356" i="1" s="1"/>
  <c r="AA336" i="1"/>
  <c r="AA337" i="1"/>
  <c r="AA335" i="1"/>
  <c r="AA305" i="1"/>
  <c r="AA312" i="1" s="1"/>
  <c r="AA260" i="1"/>
  <c r="AA257" i="1"/>
  <c r="AA131" i="1"/>
  <c r="BI277" i="1"/>
  <c r="BH279" i="1"/>
  <c r="Z314" i="1"/>
  <c r="Z315" i="1"/>
  <c r="Z313" i="1"/>
  <c r="X351" i="1"/>
  <c r="X355" i="1" s="1"/>
  <c r="X262" i="1"/>
  <c r="X261" i="1"/>
  <c r="Y313" i="1"/>
  <c r="Y314" i="1"/>
  <c r="Y315" i="1"/>
  <c r="AY270" i="1"/>
  <c r="BA270" i="1"/>
  <c r="BF270" i="1" s="1"/>
  <c r="BF269" i="1" s="1"/>
  <c r="BF271" i="1" s="1"/>
  <c r="BH191" i="1"/>
  <c r="BH127" i="1"/>
  <c r="Z351" i="1"/>
  <c r="Z355" i="1" s="1"/>
  <c r="Z261" i="1"/>
  <c r="O224" i="1"/>
  <c r="BI381" i="1"/>
  <c r="BI323" i="1"/>
  <c r="BI327" i="1"/>
  <c r="BI319" i="1"/>
  <c r="BI207" i="1"/>
  <c r="BI331" i="1"/>
  <c r="X366" i="1"/>
  <c r="X378" i="1" s="1"/>
  <c r="X363" i="1"/>
  <c r="X375" i="1" s="1"/>
  <c r="X372" i="1"/>
  <c r="W263" i="1"/>
  <c r="W265" i="1"/>
  <c r="BG209" i="1"/>
  <c r="BG192" i="1"/>
  <c r="BG210" i="1" s="1"/>
  <c r="Y351" i="1"/>
  <c r="Y355" i="1" s="1"/>
  <c r="Y261" i="1"/>
  <c r="Y262" i="1"/>
  <c r="BS109" i="1"/>
  <c r="BS119" i="1"/>
  <c r="BS111" i="1"/>
  <c r="BS115" i="1"/>
  <c r="U19" i="38"/>
  <c r="BS107" i="1"/>
  <c r="BN115" i="1"/>
  <c r="BN111" i="1"/>
  <c r="BN119" i="1"/>
  <c r="BN107" i="1"/>
  <c r="BN109" i="1"/>
  <c r="T19" i="38"/>
  <c r="BI125" i="1"/>
  <c r="G48" i="38"/>
  <c r="AB254" i="1"/>
  <c r="AB256" i="1" s="1"/>
  <c r="AC250" i="1"/>
  <c r="AC251" i="1" s="1"/>
  <c r="Y366" i="1"/>
  <c r="Y378" i="1" s="1"/>
  <c r="Y363" i="1"/>
  <c r="Y375" i="1" s="1"/>
  <c r="Y372" i="1"/>
  <c r="T265" i="1"/>
  <c r="T263" i="1"/>
  <c r="BS204" i="1"/>
  <c r="S265" i="1"/>
  <c r="S263" i="1"/>
  <c r="AE254" i="1"/>
  <c r="AE256" i="1" s="1"/>
  <c r="AJ250" i="1"/>
  <c r="AJ251" i="1" s="1"/>
  <c r="AF250" i="1"/>
  <c r="AF251" i="1" s="1"/>
  <c r="BI190" i="1"/>
  <c r="BI123" i="1"/>
  <c r="BS380" i="1"/>
  <c r="BS205" i="1"/>
  <c r="BS199" i="1"/>
  <c r="BS211" i="1"/>
  <c r="BS212" i="1"/>
  <c r="BS213" i="1"/>
  <c r="BS206" i="1"/>
  <c r="BS200" i="1"/>
  <c r="BS202" i="1"/>
  <c r="BS283" i="1"/>
  <c r="BG197" i="1"/>
  <c r="BG215" i="1" s="1"/>
  <c r="BG176" i="1"/>
  <c r="BG218" i="1" s="1"/>
  <c r="BG290" i="1" s="1"/>
  <c r="BG152" i="1"/>
  <c r="BG149" i="1"/>
  <c r="BG148" i="1"/>
  <c r="BH271" i="1"/>
  <c r="BI269" i="1"/>
  <c r="BI270" i="1" s="1"/>
  <c r="BN270" i="1" s="1"/>
  <c r="T317" i="1"/>
  <c r="T316" i="1"/>
  <c r="S317" i="1"/>
  <c r="S316" i="1"/>
  <c r="W317" i="1"/>
  <c r="W316" i="1"/>
  <c r="BG282" i="1"/>
  <c r="BF285" i="1"/>
  <c r="BF286" i="1" s="1"/>
  <c r="BF294" i="1" s="1"/>
  <c r="Z363" i="1"/>
  <c r="Z375" i="1" s="1"/>
  <c r="Z366" i="1"/>
  <c r="Z378" i="1" s="1"/>
  <c r="Z372" i="1"/>
  <c r="G27" i="38"/>
  <c r="BI196" i="1"/>
  <c r="X313" i="1"/>
  <c r="X314" i="1"/>
  <c r="X315" i="1"/>
  <c r="BI223" i="1" l="1"/>
  <c r="S25" i="38"/>
  <c r="S27" i="38" s="1"/>
  <c r="BH149" i="1"/>
  <c r="BI145" i="1"/>
  <c r="BI147" i="1"/>
  <c r="BI197" i="1" s="1"/>
  <c r="BH148" i="1"/>
  <c r="BH197" i="1"/>
  <c r="BH215" i="1" s="1"/>
  <c r="BH152" i="1"/>
  <c r="BH128" i="1"/>
  <c r="BN112" i="1"/>
  <c r="BN110" i="1"/>
  <c r="F27" i="38"/>
  <c r="H27" i="38"/>
  <c r="BS270" i="1"/>
  <c r="BS269" i="1" s="1"/>
  <c r="BS271" i="1" s="1"/>
  <c r="BN269" i="1"/>
  <c r="BN271" i="1" s="1"/>
  <c r="Y409" i="1"/>
  <c r="Y410" i="1"/>
  <c r="X365" i="1"/>
  <c r="X377" i="1" s="1"/>
  <c r="X362" i="1"/>
  <c r="X374" i="1" s="1"/>
  <c r="X371" i="1"/>
  <c r="X316" i="1"/>
  <c r="X317" i="1"/>
  <c r="BI383" i="1"/>
  <c r="BI214" i="1"/>
  <c r="Z410" i="1"/>
  <c r="Z409" i="1"/>
  <c r="BH290" i="1"/>
  <c r="BH293" i="1" s="1"/>
  <c r="BG293" i="1"/>
  <c r="BI386" i="1"/>
  <c r="BI387" i="1" s="1"/>
  <c r="BI191" i="1"/>
  <c r="BI127" i="1"/>
  <c r="AE350" i="1"/>
  <c r="AE356" i="1" s="1"/>
  <c r="AE305" i="1"/>
  <c r="AE312" i="1" s="1"/>
  <c r="AE257" i="1"/>
  <c r="AE131" i="1"/>
  <c r="AE132" i="1" s="1"/>
  <c r="AE336" i="1"/>
  <c r="AE337" i="1"/>
  <c r="AE335" i="1"/>
  <c r="AE260" i="1"/>
  <c r="Y397" i="1"/>
  <c r="Y398" i="1"/>
  <c r="AB350" i="1"/>
  <c r="AB356" i="1" s="1"/>
  <c r="AB337" i="1"/>
  <c r="AB335" i="1"/>
  <c r="AB305" i="1"/>
  <c r="AB312" i="1" s="1"/>
  <c r="AB336" i="1"/>
  <c r="AB260" i="1"/>
  <c r="AB257" i="1"/>
  <c r="AB131" i="1"/>
  <c r="T15" i="38"/>
  <c r="T21" i="38"/>
  <c r="BS113" i="1"/>
  <c r="BS126" i="1"/>
  <c r="Z262" i="1"/>
  <c r="Y265" i="1"/>
  <c r="Y263" i="1"/>
  <c r="X403" i="1"/>
  <c r="X404" i="1"/>
  <c r="BH209" i="1"/>
  <c r="BH192" i="1"/>
  <c r="BH210" i="1" s="1"/>
  <c r="Z316" i="1"/>
  <c r="Z317" i="1"/>
  <c r="AF254" i="1"/>
  <c r="AF256" i="1" s="1"/>
  <c r="AG250" i="1"/>
  <c r="AG251" i="1" s="1"/>
  <c r="Y365" i="1"/>
  <c r="Y377" i="1" s="1"/>
  <c r="Y362" i="1"/>
  <c r="Y374" i="1" s="1"/>
  <c r="Y371" i="1"/>
  <c r="Z404" i="1"/>
  <c r="Z403" i="1"/>
  <c r="BI382" i="1"/>
  <c r="BI328" i="1"/>
  <c r="BI320" i="1"/>
  <c r="BI324" i="1"/>
  <c r="BI208" i="1"/>
  <c r="BI332" i="1"/>
  <c r="Y403" i="1"/>
  <c r="Y404" i="1"/>
  <c r="BN113" i="1"/>
  <c r="BN126" i="1"/>
  <c r="BS112" i="1"/>
  <c r="X409" i="1"/>
  <c r="X410" i="1"/>
  <c r="Y317" i="1"/>
  <c r="Y316" i="1"/>
  <c r="X265" i="1"/>
  <c r="X263" i="1"/>
  <c r="BS183" i="1"/>
  <c r="BS120" i="1"/>
  <c r="BS121" i="1"/>
  <c r="Z365" i="1"/>
  <c r="Z377" i="1" s="1"/>
  <c r="Z362" i="1"/>
  <c r="Z374" i="1" s="1"/>
  <c r="Z371" i="1"/>
  <c r="AA351" i="1"/>
  <c r="AA355" i="1" s="1"/>
  <c r="AA262" i="1"/>
  <c r="AA261" i="1"/>
  <c r="Z398" i="1"/>
  <c r="Z397" i="1"/>
  <c r="BH282" i="1"/>
  <c r="BG285" i="1"/>
  <c r="BG286" i="1" s="1"/>
  <c r="BI271" i="1"/>
  <c r="AO250" i="1"/>
  <c r="AO251" i="1" s="1"/>
  <c r="AK250" i="1"/>
  <c r="AK251" i="1" s="1"/>
  <c r="AJ254" i="1"/>
  <c r="AJ256" i="1" s="1"/>
  <c r="AD250" i="1"/>
  <c r="AD251" i="1" s="1"/>
  <c r="AD254" i="1" s="1"/>
  <c r="AD256" i="1" s="1"/>
  <c r="AC254" i="1"/>
  <c r="AC256" i="1" s="1"/>
  <c r="BN183" i="1"/>
  <c r="BN120" i="1"/>
  <c r="BN121" i="1"/>
  <c r="U15" i="38"/>
  <c r="U21" i="38"/>
  <c r="BS110" i="1"/>
  <c r="X397" i="1"/>
  <c r="X398" i="1"/>
  <c r="BI279" i="1"/>
  <c r="BI278" i="1"/>
  <c r="BN278" i="1" s="1"/>
  <c r="AA315" i="1"/>
  <c r="AA313" i="1"/>
  <c r="AA314" i="1"/>
  <c r="AA366" i="1"/>
  <c r="AA378" i="1" s="1"/>
  <c r="AA363" i="1"/>
  <c r="AA375" i="1" s="1"/>
  <c r="AA372" i="1"/>
  <c r="BI152" i="1" l="1"/>
  <c r="S29" i="38" s="1"/>
  <c r="G55" i="38" s="1"/>
  <c r="BI148" i="1"/>
  <c r="BI149" i="1"/>
  <c r="BI150" i="1" s="1"/>
  <c r="BI176" i="1"/>
  <c r="BI218" i="1" s="1"/>
  <c r="BI290" i="1" s="1"/>
  <c r="BI293" i="1" s="1"/>
  <c r="I44" i="38"/>
  <c r="I45" i="38"/>
  <c r="H44" i="38"/>
  <c r="H45" i="38"/>
  <c r="AA397" i="1"/>
  <c r="AA398" i="1"/>
  <c r="U22" i="38"/>
  <c r="BN201" i="1"/>
  <c r="BN185" i="1"/>
  <c r="BN203" i="1" s="1"/>
  <c r="AL250" i="1"/>
  <c r="AL251" i="1" s="1"/>
  <c r="AK254" i="1"/>
  <c r="AK256" i="1" s="1"/>
  <c r="BI384" i="1"/>
  <c r="BI215" i="1"/>
  <c r="Z394" i="1"/>
  <c r="Z395" i="1"/>
  <c r="Y400" i="1"/>
  <c r="Y401" i="1"/>
  <c r="Z263" i="1"/>
  <c r="Z265" i="1"/>
  <c r="Z264" i="1"/>
  <c r="AB366" i="1"/>
  <c r="AB378" i="1" s="1"/>
  <c r="AB363" i="1"/>
  <c r="AB375" i="1" s="1"/>
  <c r="AB372" i="1"/>
  <c r="BI329" i="1"/>
  <c r="BI321" i="1"/>
  <c r="BI325" i="1"/>
  <c r="BI209" i="1"/>
  <c r="BI192" i="1"/>
  <c r="BI210" i="1" s="1"/>
  <c r="BI333" i="1"/>
  <c r="X407" i="1"/>
  <c r="X406" i="1"/>
  <c r="AA317" i="1"/>
  <c r="AA316" i="1"/>
  <c r="AO254" i="1"/>
  <c r="AO256" i="1" s="1"/>
  <c r="AT250" i="1"/>
  <c r="AT251" i="1" s="1"/>
  <c r="AP250" i="1"/>
  <c r="AP251" i="1" s="1"/>
  <c r="BI282" i="1"/>
  <c r="BH285" i="1"/>
  <c r="AB313" i="1"/>
  <c r="AB314" i="1"/>
  <c r="AB315" i="1"/>
  <c r="AE315" i="1"/>
  <c r="AE313" i="1"/>
  <c r="AE314" i="1"/>
  <c r="AA409" i="1"/>
  <c r="AA410" i="1"/>
  <c r="BS278" i="1"/>
  <c r="BN189" i="1"/>
  <c r="BN122" i="1"/>
  <c r="BN144" i="1"/>
  <c r="BN124" i="1"/>
  <c r="AD350" i="1"/>
  <c r="AD356" i="1" s="1"/>
  <c r="AD336" i="1"/>
  <c r="AD337" i="1"/>
  <c r="AD335" i="1"/>
  <c r="AD305" i="1"/>
  <c r="AD312" i="1" s="1"/>
  <c r="AD260" i="1"/>
  <c r="AD257" i="1"/>
  <c r="AD131" i="1"/>
  <c r="AA265" i="1"/>
  <c r="AA263" i="1"/>
  <c r="Z406" i="1"/>
  <c r="Z407" i="1"/>
  <c r="AG254" i="1"/>
  <c r="AG256" i="1" s="1"/>
  <c r="AH250" i="1"/>
  <c r="AH251" i="1" s="1"/>
  <c r="AE366" i="1"/>
  <c r="AE378" i="1" s="1"/>
  <c r="AE363" i="1"/>
  <c r="AE375" i="1" s="1"/>
  <c r="AE372" i="1"/>
  <c r="BG294" i="1"/>
  <c r="X395" i="1"/>
  <c r="X394" i="1"/>
  <c r="AA403" i="1"/>
  <c r="AA404" i="1"/>
  <c r="AC350" i="1"/>
  <c r="AC356" i="1" s="1"/>
  <c r="AC337" i="1"/>
  <c r="AC335" i="1"/>
  <c r="AC336" i="1"/>
  <c r="AC305" i="1"/>
  <c r="AC312" i="1" s="1"/>
  <c r="AC260" i="1"/>
  <c r="AC257" i="1"/>
  <c r="AC131" i="1"/>
  <c r="Z400" i="1"/>
  <c r="Z401" i="1"/>
  <c r="BS201" i="1"/>
  <c r="BS185" i="1"/>
  <c r="BS203" i="1" s="1"/>
  <c r="Y406" i="1"/>
  <c r="Y407" i="1"/>
  <c r="AJ350" i="1"/>
  <c r="AJ356" i="1" s="1"/>
  <c r="AJ257" i="1"/>
  <c r="AJ305" i="1"/>
  <c r="AJ312" i="1" s="1"/>
  <c r="AJ131" i="1"/>
  <c r="AJ132" i="1" s="1"/>
  <c r="N47" i="38"/>
  <c r="AJ336" i="1"/>
  <c r="AJ260" i="1"/>
  <c r="AJ335" i="1"/>
  <c r="AJ337" i="1"/>
  <c r="AA365" i="1"/>
  <c r="AA377" i="1" s="1"/>
  <c r="AA362" i="1"/>
  <c r="AA374" i="1" s="1"/>
  <c r="AA371" i="1"/>
  <c r="BS189" i="1"/>
  <c r="BS144" i="1"/>
  <c r="BS122" i="1"/>
  <c r="BS124" i="1"/>
  <c r="Y394" i="1"/>
  <c r="Y395" i="1"/>
  <c r="AF260" i="1"/>
  <c r="AF257" i="1"/>
  <c r="AF131" i="1"/>
  <c r="AF132" i="1" s="1"/>
  <c r="T22" i="38"/>
  <c r="G17" i="38" s="1"/>
  <c r="AB351" i="1"/>
  <c r="AB355" i="1" s="1"/>
  <c r="AB262" i="1"/>
  <c r="AB261" i="1"/>
  <c r="AF425" i="1"/>
  <c r="AE351" i="1"/>
  <c r="AE355" i="1" s="1"/>
  <c r="AE261" i="1"/>
  <c r="BI128" i="1"/>
  <c r="G49" i="38"/>
  <c r="X401" i="1"/>
  <c r="X400" i="1"/>
  <c r="BI153" i="1" l="1"/>
  <c r="BI385" i="1"/>
  <c r="BN277" i="1"/>
  <c r="BN279" i="1" s="1"/>
  <c r="BS125" i="1"/>
  <c r="I48" i="38"/>
  <c r="AA394" i="1"/>
  <c r="AA395" i="1"/>
  <c r="AE425" i="1"/>
  <c r="AC351" i="1"/>
  <c r="AC355" i="1" s="1"/>
  <c r="AC261" i="1"/>
  <c r="AC262" i="1"/>
  <c r="AP254" i="1"/>
  <c r="AP256" i="1" s="1"/>
  <c r="AQ250" i="1"/>
  <c r="AQ251" i="1" s="1"/>
  <c r="AK260" i="1"/>
  <c r="AK257" i="1"/>
  <c r="AK131" i="1"/>
  <c r="AK132" i="1" s="1"/>
  <c r="AB365" i="1"/>
  <c r="AB377" i="1" s="1"/>
  <c r="AB362" i="1"/>
  <c r="AB374" i="1" s="1"/>
  <c r="AB371" i="1"/>
  <c r="BS196" i="1"/>
  <c r="BS146" i="1"/>
  <c r="BS147" i="1" s="1"/>
  <c r="AA406" i="1"/>
  <c r="AA407" i="1"/>
  <c r="AH254" i="1"/>
  <c r="AH256" i="1" s="1"/>
  <c r="AI250" i="1"/>
  <c r="AI251" i="1" s="1"/>
  <c r="AI254" i="1" s="1"/>
  <c r="AI256" i="1" s="1"/>
  <c r="AD314" i="1"/>
  <c r="AD315" i="1"/>
  <c r="AD313" i="1"/>
  <c r="AD366" i="1"/>
  <c r="AD378" i="1" s="1"/>
  <c r="AD363" i="1"/>
  <c r="AD375" i="1" s="1"/>
  <c r="AD372" i="1"/>
  <c r="BN381" i="1"/>
  <c r="BN323" i="1"/>
  <c r="BN327" i="1"/>
  <c r="BN319" i="1"/>
  <c r="BN207" i="1"/>
  <c r="AE317" i="1"/>
  <c r="AE316" i="1"/>
  <c r="BI285" i="1"/>
  <c r="BH286" i="1"/>
  <c r="AO350" i="1"/>
  <c r="AO356" i="1" s="1"/>
  <c r="AO305" i="1"/>
  <c r="AO312" i="1" s="1"/>
  <c r="AO257" i="1"/>
  <c r="AO260" i="1"/>
  <c r="AO131" i="1"/>
  <c r="AO132" i="1" s="1"/>
  <c r="O47" i="38"/>
  <c r="AO337" i="1"/>
  <c r="AO336" i="1"/>
  <c r="AO335" i="1"/>
  <c r="AB397" i="1"/>
  <c r="AB398" i="1"/>
  <c r="S53" i="38"/>
  <c r="AE365" i="1"/>
  <c r="AE377" i="1" s="1"/>
  <c r="AE362" i="1"/>
  <c r="AE374" i="1" s="1"/>
  <c r="AE371" i="1"/>
  <c r="H17" i="38"/>
  <c r="F17" i="38"/>
  <c r="G21" i="38"/>
  <c r="G24" i="38" s="1"/>
  <c r="BS381" i="1"/>
  <c r="BS327" i="1"/>
  <c r="BS319" i="1"/>
  <c r="BS323" i="1"/>
  <c r="BS207" i="1"/>
  <c r="N48" i="38"/>
  <c r="N55" i="38"/>
  <c r="AJ366" i="1"/>
  <c r="AJ378" i="1" s="1"/>
  <c r="AJ363" i="1"/>
  <c r="AJ375" i="1" s="1"/>
  <c r="AJ372" i="1"/>
  <c r="AG260" i="1"/>
  <c r="AG257" i="1"/>
  <c r="AG131" i="1"/>
  <c r="AG132" i="1" s="1"/>
  <c r="BN125" i="1"/>
  <c r="H48" i="38"/>
  <c r="BS277" i="1"/>
  <c r="BS279" i="1" s="1"/>
  <c r="AB316" i="1"/>
  <c r="AB317" i="1"/>
  <c r="AB403" i="1"/>
  <c r="AB404" i="1"/>
  <c r="BN196" i="1"/>
  <c r="BN146" i="1"/>
  <c r="AB409" i="1"/>
  <c r="AB410" i="1"/>
  <c r="AB263" i="1"/>
  <c r="AB265" i="1"/>
  <c r="AF262" i="1"/>
  <c r="AF261" i="1"/>
  <c r="BS190" i="1"/>
  <c r="BS123" i="1"/>
  <c r="AA400" i="1"/>
  <c r="AA401" i="1"/>
  <c r="AG425" i="1"/>
  <c r="AJ351" i="1"/>
  <c r="AJ355" i="1" s="1"/>
  <c r="AJ261" i="1"/>
  <c r="AJ315" i="1"/>
  <c r="AJ314" i="1"/>
  <c r="AJ313" i="1"/>
  <c r="AC315" i="1"/>
  <c r="AC313" i="1"/>
  <c r="AC314" i="1"/>
  <c r="AC366" i="1"/>
  <c r="AC378" i="1" s="1"/>
  <c r="AC363" i="1"/>
  <c r="AC375" i="1" s="1"/>
  <c r="AC372" i="1"/>
  <c r="AD351" i="1"/>
  <c r="AD355" i="1" s="1"/>
  <c r="AD262" i="1"/>
  <c r="AD261" i="1"/>
  <c r="BN190" i="1"/>
  <c r="BN123" i="1"/>
  <c r="AT254" i="1"/>
  <c r="AT256" i="1" s="1"/>
  <c r="AY250" i="1"/>
  <c r="AY251" i="1" s="1"/>
  <c r="AU250" i="1"/>
  <c r="AU251" i="1" s="1"/>
  <c r="AL254" i="1"/>
  <c r="AL256" i="1" s="1"/>
  <c r="AM250" i="1"/>
  <c r="AM251" i="1" s="1"/>
  <c r="AM254" i="1" l="1"/>
  <c r="AM256" i="1" s="1"/>
  <c r="AN250" i="1"/>
  <c r="AN251" i="1" s="1"/>
  <c r="AN254" i="1" s="1"/>
  <c r="AN256" i="1" s="1"/>
  <c r="AC409" i="1"/>
  <c r="AC410" i="1"/>
  <c r="AD316" i="1"/>
  <c r="AD317" i="1"/>
  <c r="AY254" i="1"/>
  <c r="AY256" i="1" s="1"/>
  <c r="BD250" i="1"/>
  <c r="BD251" i="1" s="1"/>
  <c r="AZ250" i="1"/>
  <c r="AZ251" i="1" s="1"/>
  <c r="AC403" i="1"/>
  <c r="AC404" i="1"/>
  <c r="AC316" i="1"/>
  <c r="AC317" i="1"/>
  <c r="AF265" i="1"/>
  <c r="AF263" i="1"/>
  <c r="AH425" i="1"/>
  <c r="AO351" i="1"/>
  <c r="AO355" i="1" s="1"/>
  <c r="AO261" i="1"/>
  <c r="BI286" i="1"/>
  <c r="BI294" i="1" s="1"/>
  <c r="BH294" i="1"/>
  <c r="AH257" i="1"/>
  <c r="AH260" i="1"/>
  <c r="AH131" i="1"/>
  <c r="AH132" i="1" s="1"/>
  <c r="BS222" i="1"/>
  <c r="U25" i="38"/>
  <c r="U27" i="38" s="1"/>
  <c r="AB401" i="1"/>
  <c r="AB400" i="1"/>
  <c r="AC265" i="1"/>
  <c r="AC263" i="1"/>
  <c r="AT350" i="1"/>
  <c r="AT356" i="1" s="1"/>
  <c r="AT305" i="1"/>
  <c r="AT312" i="1" s="1"/>
  <c r="AT257" i="1"/>
  <c r="AT335" i="1"/>
  <c r="AT260" i="1"/>
  <c r="AT131" i="1"/>
  <c r="AT132" i="1" s="1"/>
  <c r="P47" i="38"/>
  <c r="AT337" i="1"/>
  <c r="AT336" i="1"/>
  <c r="AJ365" i="1"/>
  <c r="AJ377" i="1" s="1"/>
  <c r="AJ362" i="1"/>
  <c r="AJ374" i="1" s="1"/>
  <c r="AJ371" i="1"/>
  <c r="BN222" i="1"/>
  <c r="BN282" i="1" s="1"/>
  <c r="T25" i="38"/>
  <c r="T27" i="38" s="1"/>
  <c r="AD398" i="1"/>
  <c r="AD397" i="1"/>
  <c r="BS197" i="1"/>
  <c r="BS176" i="1"/>
  <c r="BS218" i="1" s="1"/>
  <c r="BS152" i="1"/>
  <c r="BS149" i="1"/>
  <c r="AB407" i="1"/>
  <c r="AB406" i="1"/>
  <c r="AK262" i="1"/>
  <c r="AK261" i="1"/>
  <c r="AL260" i="1"/>
  <c r="AL257" i="1"/>
  <c r="AL131" i="1"/>
  <c r="AL132" i="1" s="1"/>
  <c r="BN386" i="1"/>
  <c r="BN387" i="1" s="1"/>
  <c r="BN191" i="1"/>
  <c r="BN127" i="1"/>
  <c r="AD365" i="1"/>
  <c r="AD377" i="1" s="1"/>
  <c r="AD362" i="1"/>
  <c r="AD374" i="1" s="1"/>
  <c r="AD371" i="1"/>
  <c r="BS382" i="1"/>
  <c r="BS324" i="1"/>
  <c r="BS328" i="1"/>
  <c r="BS320" i="1"/>
  <c r="BS208" i="1"/>
  <c r="BN147" i="1"/>
  <c r="AG262" i="1"/>
  <c r="AG261" i="1"/>
  <c r="F24" i="38"/>
  <c r="F21" i="38"/>
  <c r="O48" i="38"/>
  <c r="O55" i="38"/>
  <c r="AO313" i="1"/>
  <c r="AO315" i="1"/>
  <c r="AO314" i="1"/>
  <c r="AD404" i="1"/>
  <c r="AD403" i="1"/>
  <c r="BS383" i="1"/>
  <c r="BS214" i="1"/>
  <c r="AQ254" i="1"/>
  <c r="AQ256" i="1" s="1"/>
  <c r="AR250" i="1"/>
  <c r="AR251" i="1" s="1"/>
  <c r="AC365" i="1"/>
  <c r="AC377" i="1" s="1"/>
  <c r="AC362" i="1"/>
  <c r="AC374" i="1" s="1"/>
  <c r="AC371" i="1"/>
  <c r="AE262" i="1"/>
  <c r="AD265" i="1"/>
  <c r="AD263" i="1"/>
  <c r="BS386" i="1"/>
  <c r="BS387" i="1" s="1"/>
  <c r="BS191" i="1"/>
  <c r="BS127" i="1"/>
  <c r="AU254" i="1"/>
  <c r="AU256" i="1" s="1"/>
  <c r="AV250" i="1"/>
  <c r="AV251" i="1" s="1"/>
  <c r="BN382" i="1"/>
  <c r="BN328" i="1"/>
  <c r="BN320" i="1"/>
  <c r="BN324" i="1"/>
  <c r="BN208" i="1"/>
  <c r="AC397" i="1"/>
  <c r="AC398" i="1"/>
  <c r="AJ317" i="1"/>
  <c r="AJ316" i="1"/>
  <c r="BN383" i="1"/>
  <c r="BN214" i="1"/>
  <c r="H24" i="38"/>
  <c r="H21" i="38"/>
  <c r="G50" i="38"/>
  <c r="AO366" i="1"/>
  <c r="AO378" i="1" s="1"/>
  <c r="AO363" i="1"/>
  <c r="AO375" i="1" s="1"/>
  <c r="AO372" i="1"/>
  <c r="AD410" i="1"/>
  <c r="AD409" i="1"/>
  <c r="AI257" i="1"/>
  <c r="AI260" i="1"/>
  <c r="AI131" i="1"/>
  <c r="AI132" i="1" s="1"/>
  <c r="AB395" i="1"/>
  <c r="AB394" i="1"/>
  <c r="AP260" i="1"/>
  <c r="AP257" i="1"/>
  <c r="AP131" i="1"/>
  <c r="AP132" i="1" s="1"/>
  <c r="BS282" i="1" l="1"/>
  <c r="BN176" i="1"/>
  <c r="BN218" i="1" s="1"/>
  <c r="BN290" i="1" s="1"/>
  <c r="BN197" i="1"/>
  <c r="BN148" i="1"/>
  <c r="BN152" i="1"/>
  <c r="BS153" i="1" s="1"/>
  <c r="BN149" i="1"/>
  <c r="BN150" i="1" s="1"/>
  <c r="AO365" i="1"/>
  <c r="AO377" i="1" s="1"/>
  <c r="AO362" i="1"/>
  <c r="AO374" i="1" s="1"/>
  <c r="AO371" i="1"/>
  <c r="AI261" i="1"/>
  <c r="AI262" i="1"/>
  <c r="AU260" i="1"/>
  <c r="AU257" i="1"/>
  <c r="AU131" i="1"/>
  <c r="AU132" i="1" s="1"/>
  <c r="AC394" i="1"/>
  <c r="AC395" i="1"/>
  <c r="AQ260" i="1"/>
  <c r="AQ257" i="1"/>
  <c r="AQ131" i="1"/>
  <c r="AQ132" i="1" s="1"/>
  <c r="AD394" i="1"/>
  <c r="AD395" i="1"/>
  <c r="BN329" i="1"/>
  <c r="BN321" i="1"/>
  <c r="BN325" i="1"/>
  <c r="BN209" i="1"/>
  <c r="BN192" i="1"/>
  <c r="BN210" i="1" s="1"/>
  <c r="AL262" i="1"/>
  <c r="AL261" i="1"/>
  <c r="AT315" i="1"/>
  <c r="AT314" i="1"/>
  <c r="AT313" i="1"/>
  <c r="AY350" i="1"/>
  <c r="AY356" i="1" s="1"/>
  <c r="AY305" i="1"/>
  <c r="AY312" i="1" s="1"/>
  <c r="AY257" i="1"/>
  <c r="AY131" i="1"/>
  <c r="AY132" i="1" s="1"/>
  <c r="Q47" i="38"/>
  <c r="AY335" i="1"/>
  <c r="AY260" i="1"/>
  <c r="AY337" i="1"/>
  <c r="AY336" i="1"/>
  <c r="AC406" i="1"/>
  <c r="AC407" i="1"/>
  <c r="AP262" i="1"/>
  <c r="AP261" i="1"/>
  <c r="AC400" i="1"/>
  <c r="AC401" i="1"/>
  <c r="AG265" i="1"/>
  <c r="AG263" i="1"/>
  <c r="AD400" i="1"/>
  <c r="AD401" i="1"/>
  <c r="BS148" i="1"/>
  <c r="BS384" i="1"/>
  <c r="BS215" i="1"/>
  <c r="AI425" i="1"/>
  <c r="AT351" i="1"/>
  <c r="AT355" i="1" s="1"/>
  <c r="AT261" i="1"/>
  <c r="AT366" i="1"/>
  <c r="AT378" i="1" s="1"/>
  <c r="AT363" i="1"/>
  <c r="AT375" i="1" s="1"/>
  <c r="AT372" i="1"/>
  <c r="AH262" i="1"/>
  <c r="AH261" i="1"/>
  <c r="BS128" i="1"/>
  <c r="I49" i="38"/>
  <c r="AO317" i="1"/>
  <c r="AO316" i="1"/>
  <c r="AD406" i="1"/>
  <c r="AD407" i="1"/>
  <c r="AK265" i="1"/>
  <c r="AK263" i="1"/>
  <c r="BA250" i="1"/>
  <c r="BA251" i="1" s="1"/>
  <c r="AZ254" i="1"/>
  <c r="AZ256" i="1" s="1"/>
  <c r="AN260" i="1"/>
  <c r="AN257" i="1"/>
  <c r="AN131" i="1"/>
  <c r="AN132" i="1" s="1"/>
  <c r="AV254" i="1"/>
  <c r="AV256" i="1" s="1"/>
  <c r="AW250" i="1"/>
  <c r="AW251" i="1" s="1"/>
  <c r="BS329" i="1"/>
  <c r="BS325" i="1"/>
  <c r="BS321" i="1"/>
  <c r="BS209" i="1"/>
  <c r="BS192" i="1"/>
  <c r="BS210" i="1" s="1"/>
  <c r="AE264" i="1"/>
  <c r="AE263" i="1"/>
  <c r="AE265" i="1"/>
  <c r="AR254" i="1"/>
  <c r="AR256" i="1" s="1"/>
  <c r="AS250" i="1"/>
  <c r="AS251" i="1" s="1"/>
  <c r="AS254" i="1" s="1"/>
  <c r="AS256" i="1" s="1"/>
  <c r="BN128" i="1"/>
  <c r="H49" i="38"/>
  <c r="BS385" i="1"/>
  <c r="U29" i="38"/>
  <c r="I55" i="38" s="1"/>
  <c r="P48" i="38"/>
  <c r="P55" i="38"/>
  <c r="BI250" i="1"/>
  <c r="BE250" i="1"/>
  <c r="BD254" i="1"/>
  <c r="BD256" i="1" s="1"/>
  <c r="AM257" i="1"/>
  <c r="AM260" i="1"/>
  <c r="AM131" i="1"/>
  <c r="AM132" i="1" s="1"/>
  <c r="BS150" i="1" l="1"/>
  <c r="AW254" i="1"/>
  <c r="AW256" i="1" s="1"/>
  <c r="AX250" i="1"/>
  <c r="AX251" i="1" s="1"/>
  <c r="AX254" i="1" s="1"/>
  <c r="AX256" i="1" s="1"/>
  <c r="BD350" i="1"/>
  <c r="BD356" i="1" s="1"/>
  <c r="BD305" i="1"/>
  <c r="BD312" i="1" s="1"/>
  <c r="BD257" i="1"/>
  <c r="BD131" i="1"/>
  <c r="BD132" i="1" s="1"/>
  <c r="R47" i="38"/>
  <c r="BD335" i="1"/>
  <c r="BD337" i="1"/>
  <c r="BD336" i="1"/>
  <c r="BD260" i="1"/>
  <c r="AS257" i="1"/>
  <c r="AS260" i="1"/>
  <c r="AS131" i="1"/>
  <c r="AS132" i="1" s="1"/>
  <c r="AZ257" i="1"/>
  <c r="AZ131" i="1"/>
  <c r="AZ132" i="1" s="1"/>
  <c r="AZ260" i="1"/>
  <c r="AT365" i="1"/>
  <c r="AT377" i="1" s="1"/>
  <c r="AT362" i="1"/>
  <c r="AT374" i="1" s="1"/>
  <c r="AT371" i="1"/>
  <c r="AP265" i="1"/>
  <c r="AP263" i="1"/>
  <c r="Q48" i="38"/>
  <c r="Q55" i="38"/>
  <c r="E56" i="38"/>
  <c r="E51" i="38"/>
  <c r="AY366" i="1"/>
  <c r="AY378" i="1" s="1"/>
  <c r="AY363" i="1"/>
  <c r="AY375" i="1" s="1"/>
  <c r="AY372" i="1"/>
  <c r="AT316" i="1"/>
  <c r="AT317" i="1"/>
  <c r="AQ262" i="1"/>
  <c r="AQ261" i="1"/>
  <c r="BN385" i="1"/>
  <c r="BN153" i="1"/>
  <c r="T29" i="38"/>
  <c r="H55" i="38" s="1"/>
  <c r="AM261" i="1"/>
  <c r="AM262" i="1"/>
  <c r="AJ262" i="1"/>
  <c r="AI263" i="1"/>
  <c r="AI265" i="1"/>
  <c r="AR257" i="1"/>
  <c r="AR260" i="1"/>
  <c r="AR131" i="1"/>
  <c r="AR132" i="1" s="1"/>
  <c r="BB250" i="1"/>
  <c r="BB251" i="1" s="1"/>
  <c r="BA254" i="1"/>
  <c r="BA256" i="1" s="1"/>
  <c r="AU262" i="1"/>
  <c r="AU261" i="1"/>
  <c r="AJ425" i="1"/>
  <c r="AY351" i="1"/>
  <c r="AY355" i="1" s="1"/>
  <c r="AY261" i="1"/>
  <c r="AL263" i="1"/>
  <c r="AL265" i="1"/>
  <c r="BN384" i="1"/>
  <c r="BN215" i="1"/>
  <c r="AV260" i="1"/>
  <c r="AV257" i="1"/>
  <c r="AV131" i="1"/>
  <c r="AV132" i="1" s="1"/>
  <c r="AN262" i="1"/>
  <c r="AN261" i="1"/>
  <c r="AH263" i="1"/>
  <c r="AH265" i="1"/>
  <c r="AY313" i="1"/>
  <c r="AY315" i="1"/>
  <c r="AY314" i="1"/>
  <c r="BS290" i="1"/>
  <c r="BS293" i="1" s="1"/>
  <c r="BN293" i="1"/>
  <c r="AJ265" i="1" l="1"/>
  <c r="AJ264" i="1"/>
  <c r="AJ263" i="1"/>
  <c r="BD366" i="1"/>
  <c r="BD378" i="1" s="1"/>
  <c r="BD363" i="1"/>
  <c r="BD375" i="1" s="1"/>
  <c r="BD372" i="1"/>
  <c r="U53" i="38"/>
  <c r="AY365" i="1"/>
  <c r="AY377" i="1" s="1"/>
  <c r="AY362" i="1"/>
  <c r="AY374" i="1" s="1"/>
  <c r="AY371" i="1"/>
  <c r="AU265" i="1"/>
  <c r="AU263" i="1"/>
  <c r="AR262" i="1"/>
  <c r="AR261" i="1"/>
  <c r="BD351" i="1"/>
  <c r="BD355" i="1" s="1"/>
  <c r="BD261" i="1"/>
  <c r="R48" i="38"/>
  <c r="F56" i="38"/>
  <c r="R55" i="38"/>
  <c r="F51" i="38"/>
  <c r="BD315" i="1"/>
  <c r="BD314" i="1"/>
  <c r="BD313" i="1"/>
  <c r="AX260" i="1"/>
  <c r="AX257" i="1"/>
  <c r="AX131" i="1"/>
  <c r="AX132" i="1" s="1"/>
  <c r="BA257" i="1"/>
  <c r="BA131" i="1"/>
  <c r="BA132" i="1" s="1"/>
  <c r="BA260" i="1"/>
  <c r="AM265" i="1"/>
  <c r="AM263" i="1"/>
  <c r="AY317" i="1"/>
  <c r="AY316" i="1"/>
  <c r="AV262" i="1"/>
  <c r="AV261" i="1"/>
  <c r="BB254" i="1"/>
  <c r="BB256" i="1" s="1"/>
  <c r="BC250" i="1"/>
  <c r="BC251" i="1" s="1"/>
  <c r="BC254" i="1" s="1"/>
  <c r="BC256" i="1" s="1"/>
  <c r="AZ262" i="1"/>
  <c r="AZ261" i="1"/>
  <c r="AS261" i="1"/>
  <c r="AS262" i="1"/>
  <c r="T53" i="38"/>
  <c r="AO262" i="1"/>
  <c r="AN265" i="1"/>
  <c r="AN263" i="1"/>
  <c r="AQ263" i="1"/>
  <c r="AQ265" i="1"/>
  <c r="AW257" i="1"/>
  <c r="AW260" i="1"/>
  <c r="AW131" i="1"/>
  <c r="AW132" i="1" s="1"/>
  <c r="AT262" i="1" l="1"/>
  <c r="AS265" i="1"/>
  <c r="AS263" i="1"/>
  <c r="BC257" i="1"/>
  <c r="BC131" i="1"/>
  <c r="BC132" i="1" s="1"/>
  <c r="BC260" i="1"/>
  <c r="BA262" i="1"/>
  <c r="BA261" i="1"/>
  <c r="BD316" i="1"/>
  <c r="BD317" i="1"/>
  <c r="AZ263" i="1"/>
  <c r="BE263" i="1" s="1"/>
  <c r="BE262" i="1" s="1"/>
  <c r="AZ265" i="1"/>
  <c r="AW261" i="1"/>
  <c r="AW262" i="1"/>
  <c r="AO265" i="1"/>
  <c r="AO264" i="1"/>
  <c r="AO263" i="1"/>
  <c r="BB257" i="1"/>
  <c r="BB131" i="1"/>
  <c r="BB132" i="1" s="1"/>
  <c r="BB260" i="1"/>
  <c r="AX262" i="1"/>
  <c r="AX261" i="1"/>
  <c r="AV265" i="1"/>
  <c r="AV263" i="1"/>
  <c r="BD365" i="1"/>
  <c r="BD377" i="1" s="1"/>
  <c r="BD362" i="1"/>
  <c r="BD374" i="1" s="1"/>
  <c r="BD371" i="1"/>
  <c r="AR265" i="1"/>
  <c r="AR263" i="1"/>
  <c r="AW265" i="1" l="1"/>
  <c r="AW263" i="1"/>
  <c r="BB262" i="1"/>
  <c r="BB261" i="1"/>
  <c r="AT263" i="1"/>
  <c r="AT265" i="1"/>
  <c r="AT264" i="1"/>
  <c r="BA265" i="1"/>
  <c r="BA263" i="1"/>
  <c r="BF263" i="1" s="1"/>
  <c r="BF262" i="1" s="1"/>
  <c r="AY262" i="1"/>
  <c r="AX265" i="1"/>
  <c r="AX263" i="1"/>
  <c r="BE265" i="1"/>
  <c r="BC262" i="1"/>
  <c r="BC261" i="1"/>
  <c r="BF265" i="1" l="1"/>
  <c r="BF224" i="1" s="1"/>
  <c r="BF225" i="1" s="1"/>
  <c r="BC263" i="1"/>
  <c r="BH263" i="1" s="1"/>
  <c r="BH262" i="1" s="1"/>
  <c r="BC265" i="1"/>
  <c r="BD262" i="1"/>
  <c r="BB265" i="1"/>
  <c r="BB263" i="1"/>
  <c r="BG263" i="1" s="1"/>
  <c r="BG262" i="1" s="1"/>
  <c r="AY264" i="1"/>
  <c r="AY263" i="1"/>
  <c r="AY265" i="1"/>
  <c r="BD265" i="1" l="1"/>
  <c r="BE224" i="1" s="1"/>
  <c r="BD264" i="1"/>
  <c r="BD263" i="1"/>
  <c r="BF233" i="1"/>
  <c r="BF248" i="1"/>
  <c r="BG265" i="1"/>
  <c r="BG224" i="1" s="1"/>
  <c r="BG225" i="1" s="1"/>
  <c r="BI262" i="1"/>
  <c r="BH265" i="1"/>
  <c r="BE225" i="1" l="1"/>
  <c r="BI265" i="1"/>
  <c r="BI263" i="1"/>
  <c r="BN263" i="1" s="1"/>
  <c r="BG233" i="1"/>
  <c r="BG248" i="1"/>
  <c r="BH224" i="1"/>
  <c r="BH225" i="1" s="1"/>
  <c r="BH233" i="1" l="1"/>
  <c r="BH248" i="1"/>
  <c r="BE233" i="1"/>
  <c r="BE248" i="1"/>
  <c r="BE251" i="1" s="1"/>
  <c r="BN262" i="1"/>
  <c r="BS263" i="1"/>
  <c r="BS262" i="1" s="1"/>
  <c r="BI224" i="1"/>
  <c r="BI225" i="1" s="1"/>
  <c r="S32" i="38" l="1"/>
  <c r="S44" i="38" s="1"/>
  <c r="G54" i="38" s="1"/>
  <c r="BI233" i="1"/>
  <c r="BE254" i="1"/>
  <c r="BE256" i="1" s="1"/>
  <c r="BF250" i="1"/>
  <c r="BF251" i="1" s="1"/>
  <c r="BS265" i="1"/>
  <c r="BN265" i="1"/>
  <c r="BI244" i="1" l="1"/>
  <c r="BI245" i="1" s="1"/>
  <c r="BI247" i="1" s="1"/>
  <c r="BI248" i="1" s="1"/>
  <c r="BI251" i="1" s="1"/>
  <c r="BF254" i="1"/>
  <c r="BF256" i="1" s="1"/>
  <c r="BG250" i="1"/>
  <c r="BG251" i="1" s="1"/>
  <c r="BS224" i="1"/>
  <c r="BS225" i="1" s="1"/>
  <c r="BN224" i="1"/>
  <c r="BN225" i="1" s="1"/>
  <c r="BE257" i="1"/>
  <c r="BE131" i="1"/>
  <c r="BE132" i="1" s="1"/>
  <c r="BE260" i="1"/>
  <c r="S38" i="38" l="1"/>
  <c r="S42" i="38" s="1"/>
  <c r="BI254" i="1"/>
  <c r="BI256" i="1" s="1"/>
  <c r="BN250" i="1"/>
  <c r="T32" i="38"/>
  <c r="T44" i="38" s="1"/>
  <c r="BN233" i="1"/>
  <c r="BE261" i="1"/>
  <c r="BE264" i="1"/>
  <c r="BE272" i="1" s="1"/>
  <c r="BE295" i="1" s="1"/>
  <c r="U32" i="38"/>
  <c r="U44" i="38" s="1"/>
  <c r="I54" i="38" s="1"/>
  <c r="BS233" i="1"/>
  <c r="BF257" i="1"/>
  <c r="BF131" i="1"/>
  <c r="BF132" i="1" s="1"/>
  <c r="BF260" i="1"/>
  <c r="BG254" i="1"/>
  <c r="BG256" i="1" s="1"/>
  <c r="BH250" i="1"/>
  <c r="BH251" i="1" s="1"/>
  <c r="BH254" i="1" s="1"/>
  <c r="BH256" i="1" s="1"/>
  <c r="BI350" i="1" l="1"/>
  <c r="BI356" i="1" s="1"/>
  <c r="BI305" i="1"/>
  <c r="BI312" i="1" s="1"/>
  <c r="BI257" i="1"/>
  <c r="BN244" i="1"/>
  <c r="BN245" i="1" s="1"/>
  <c r="BI131" i="1"/>
  <c r="S47" i="38"/>
  <c r="BI260" i="1"/>
  <c r="BI335" i="1"/>
  <c r="BI336" i="1"/>
  <c r="BI337" i="1"/>
  <c r="BG257" i="1"/>
  <c r="BG131" i="1"/>
  <c r="BG132" i="1" s="1"/>
  <c r="BG260" i="1"/>
  <c r="BH257" i="1"/>
  <c r="BH131" i="1"/>
  <c r="BH132" i="1" s="1"/>
  <c r="BH260" i="1"/>
  <c r="BF261" i="1"/>
  <c r="BF264" i="1"/>
  <c r="BF272" i="1" s="1"/>
  <c r="BF295" i="1" s="1"/>
  <c r="H54" i="38"/>
  <c r="BG261" i="1" l="1"/>
  <c r="BG264" i="1"/>
  <c r="BG272" i="1" s="1"/>
  <c r="BG295" i="1" s="1"/>
  <c r="BI366" i="1"/>
  <c r="BI378" i="1" s="1"/>
  <c r="BI363" i="1"/>
  <c r="BI375" i="1" s="1"/>
  <c r="BI372" i="1"/>
  <c r="BH261" i="1"/>
  <c r="BH264" i="1"/>
  <c r="BH272" i="1" s="1"/>
  <c r="BN247" i="1"/>
  <c r="BN248" i="1" s="1"/>
  <c r="BN251" i="1" s="1"/>
  <c r="T38" i="38"/>
  <c r="T42" i="38" s="1"/>
  <c r="BN280" i="1"/>
  <c r="BI132" i="1"/>
  <c r="BN132" i="1" s="1"/>
  <c r="BS132" i="1" s="1"/>
  <c r="BI351" i="1"/>
  <c r="BI355" i="1" s="1"/>
  <c r="BI261" i="1"/>
  <c r="BI264" i="1"/>
  <c r="S48" i="38"/>
  <c r="G56" i="38"/>
  <c r="S55" i="38"/>
  <c r="G51" i="38"/>
  <c r="BI313" i="1"/>
  <c r="BI315" i="1"/>
  <c r="BI362" i="1" l="1"/>
  <c r="BI374" i="1" s="1"/>
  <c r="BI365" i="1"/>
  <c r="BI377" i="1" s="1"/>
  <c r="BI371" i="1"/>
  <c r="BS250" i="1"/>
  <c r="BN254" i="1"/>
  <c r="BN256" i="1" s="1"/>
  <c r="BI316" i="1"/>
  <c r="BI133" i="1"/>
  <c r="BI272" i="1"/>
  <c r="BH295" i="1"/>
  <c r="T50" i="38"/>
  <c r="BN331" i="1"/>
  <c r="BN333" i="1"/>
  <c r="BN135" i="1"/>
  <c r="BN137" i="1" s="1"/>
  <c r="BN352" i="1"/>
  <c r="BN332" i="1"/>
  <c r="BN285" i="1"/>
  <c r="BN286" i="1" s="1"/>
  <c r="BN294" i="1" s="1"/>
  <c r="BI295" i="1" l="1"/>
  <c r="BI314" i="1"/>
  <c r="BN350" i="1"/>
  <c r="BN356" i="1" s="1"/>
  <c r="BN257" i="1"/>
  <c r="BN305" i="1"/>
  <c r="BN312" i="1" s="1"/>
  <c r="BS244" i="1"/>
  <c r="BS245" i="1" s="1"/>
  <c r="BN131" i="1"/>
  <c r="T47" i="38"/>
  <c r="H56" i="38" s="1"/>
  <c r="BN260" i="1"/>
  <c r="BN335" i="1"/>
  <c r="BN336" i="1"/>
  <c r="G26" i="38"/>
  <c r="T56" i="38"/>
  <c r="H50" i="38"/>
  <c r="BN337" i="1"/>
  <c r="BI317" i="1"/>
  <c r="T55" i="38" l="1"/>
  <c r="BN315" i="1"/>
  <c r="BN313" i="1"/>
  <c r="BN366" i="1"/>
  <c r="BN378" i="1" s="1"/>
  <c r="BN363" i="1"/>
  <c r="BN375" i="1" s="1"/>
  <c r="BN372" i="1"/>
  <c r="T48" i="38"/>
  <c r="G28" i="38"/>
  <c r="G29" i="38" s="1"/>
  <c r="G31" i="38" s="1"/>
  <c r="G34" i="38" s="1"/>
  <c r="G9" i="38" s="1"/>
  <c r="H51" i="38"/>
  <c r="F26" i="38"/>
  <c r="H26" i="38"/>
  <c r="BS247" i="1"/>
  <c r="BS248" i="1" s="1"/>
  <c r="BS251" i="1" s="1"/>
  <c r="BS254" i="1" s="1"/>
  <c r="BS256" i="1" s="1"/>
  <c r="U38" i="38"/>
  <c r="U42" i="38" s="1"/>
  <c r="BS280" i="1"/>
  <c r="BN351" i="1"/>
  <c r="BN355" i="1" s="1"/>
  <c r="BN261" i="1"/>
  <c r="BN264" i="1"/>
  <c r="BN272" i="1" s="1"/>
  <c r="BN295" i="1" s="1"/>
  <c r="BS336" i="1" l="1"/>
  <c r="BS333" i="1"/>
  <c r="BS352" i="1"/>
  <c r="BS135" i="1"/>
  <c r="BS137" i="1" s="1"/>
  <c r="BS332" i="1"/>
  <c r="BS335" i="1"/>
  <c r="BS331" i="1"/>
  <c r="BS337" i="1"/>
  <c r="U50" i="38"/>
  <c r="BS285" i="1"/>
  <c r="BS286" i="1" s="1"/>
  <c r="BS294" i="1" s="1"/>
  <c r="BN314" i="1"/>
  <c r="BS350" i="1"/>
  <c r="BS305" i="1"/>
  <c r="BS312" i="1" s="1"/>
  <c r="BS257" i="1"/>
  <c r="BS131" i="1"/>
  <c r="U47" i="38"/>
  <c r="BS260" i="1"/>
  <c r="BN365" i="1"/>
  <c r="BN377" i="1" s="1"/>
  <c r="BN362" i="1"/>
  <c r="BN374" i="1" s="1"/>
  <c r="BN371" i="1"/>
  <c r="G11" i="38"/>
  <c r="C5" i="37"/>
  <c r="G13" i="38"/>
  <c r="G14" i="38"/>
  <c r="G15" i="38"/>
  <c r="H28" i="38"/>
  <c r="H29" i="38" s="1"/>
  <c r="H31" i="38" s="1"/>
  <c r="H34" i="38" s="1"/>
  <c r="H9" i="38" s="1"/>
  <c r="F28" i="38"/>
  <c r="F29" i="38" s="1"/>
  <c r="F31" i="38" s="1"/>
  <c r="F34" i="38" s="1"/>
  <c r="F9" i="38" s="1"/>
  <c r="BN316" i="1"/>
  <c r="BN317" i="1"/>
  <c r="H13" i="38" l="1"/>
  <c r="H14" i="38"/>
  <c r="H11" i="38"/>
  <c r="H15" i="38"/>
  <c r="BS351" i="1"/>
  <c r="BS355" i="1" s="1"/>
  <c r="BS261" i="1"/>
  <c r="BS264" i="1"/>
  <c r="BS272" i="1" s="1"/>
  <c r="BS314" i="1" s="1"/>
  <c r="BS313" i="1"/>
  <c r="BS315" i="1"/>
  <c r="BS356" i="1"/>
  <c r="U48" i="38"/>
  <c r="F11" i="38"/>
  <c r="F13" i="38"/>
  <c r="F14" i="38"/>
  <c r="F15" i="38"/>
  <c r="U55" i="38"/>
  <c r="U56" i="38"/>
  <c r="I56" i="38"/>
  <c r="I51" i="38"/>
  <c r="I50" i="38"/>
  <c r="BS295" i="1" l="1"/>
  <c r="BS366" i="1"/>
  <c r="BS378" i="1" s="1"/>
  <c r="BS363" i="1"/>
  <c r="BS375" i="1" s="1"/>
  <c r="BS372" i="1"/>
  <c r="BS317" i="1"/>
  <c r="BS316" i="1"/>
  <c r="BS365" i="1"/>
  <c r="BS377" i="1" s="1"/>
  <c r="BS362" i="1"/>
  <c r="BS374" i="1" s="1"/>
  <c r="BS371" i="1"/>
  <c r="BE77" i="1" l="1"/>
  <c r="BE76" i="1"/>
</calcChain>
</file>

<file path=xl/comments1.xml><?xml version="1.0" encoding="utf-8"?>
<comments xmlns="http://schemas.openxmlformats.org/spreadsheetml/2006/main">
  <authors>
    <author>Newman, Brendan (Research)</author>
    <author>nedgill</author>
    <author>Sharpe, Matt (Research)</author>
    <author>Streger, David W (Research)</author>
    <author>Lalwani, Rajeev (Research)</author>
  </authors>
  <commentList>
    <comment ref="CB10" authorId="0">
      <text>
        <r>
          <rPr>
            <b/>
            <sz val="9"/>
            <color indexed="81"/>
            <rFont val="Tahoma"/>
            <family val="2"/>
          </rPr>
          <t>Sharpe, Matt (Research):</t>
        </r>
        <r>
          <rPr>
            <sz val="9"/>
            <color indexed="81"/>
            <rFont val="Tahoma"/>
            <family val="2"/>
          </rPr>
          <t xml:space="preserve">
per March 1 investor update</t>
        </r>
      </text>
    </comment>
    <comment ref="CC10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per 4Q17 earnings call
</t>
        </r>
      </text>
    </comment>
    <comment ref="CD10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per 4Q17 earnings call
</t>
        </r>
      </text>
    </comment>
    <comment ref="CE10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per 4Q17 earnings call
</t>
        </r>
      </text>
    </comment>
    <comment ref="CF10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per 4Q17 earnings call
</t>
        </r>
      </text>
    </comment>
    <comment ref="CG10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low to mid double-digits 
currently fleet would allow ~10% growth
</t>
        </r>
      </text>
    </comment>
    <comment ref="BE32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couple hundred bps of Easter tailwind
</t>
        </r>
      </text>
    </comment>
    <comment ref="BF32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couple hundred bps of Easter headwind
</t>
        </r>
      </text>
    </comment>
    <comment ref="R4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mgmt believes the strike drove a $28.5M loss of revenue via cancelled flights and bookaway</t>
        </r>
      </text>
    </comment>
    <comment ref="CG53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assumed based on recent step-ups</t>
        </r>
      </text>
    </comment>
    <comment ref="CE54" authorId="2">
      <text>
        <r>
          <rPr>
            <b/>
            <sz val="9"/>
            <color indexed="81"/>
            <rFont val="Tahoma"/>
            <family val="2"/>
          </rPr>
          <t>Sharpe, Matt (Research):</t>
        </r>
        <r>
          <rPr>
            <sz val="9"/>
            <color indexed="81"/>
            <rFont val="Tahoma"/>
            <family val="2"/>
          </rPr>
          <t xml:space="preserve">
Ratified February 28</t>
        </r>
      </text>
    </comment>
    <comment ref="CG54" authorId="0">
      <text>
        <r>
          <rPr>
            <b/>
            <sz val="9"/>
            <color indexed="81"/>
            <rFont val="Tahoma"/>
            <family val="2"/>
          </rPr>
          <t>Sharpe, Matt (Research):</t>
        </r>
        <r>
          <rPr>
            <sz val="9"/>
            <color indexed="81"/>
            <rFont val="Tahoma"/>
            <family val="2"/>
          </rPr>
          <t xml:space="preserve">
assumed based on http://files.shareholder.com/downloads/ABEA-5PAQQ9/5968376561x8480792x972809/37293234-6ABE-4EC1-910B-5972C869896F/SAVE_News_2018_2_28_General_Releases.pdf</t>
        </r>
      </text>
    </comment>
    <comment ref="F5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less mark to market gains of 10.3M</t>
        </r>
      </text>
    </comment>
    <comment ref="K5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less mark-to-market losses of 9.9M</t>
        </r>
      </text>
    </comment>
    <comment ref="P5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less mark-to-market gain of 0.8M</t>
        </r>
      </text>
    </comment>
    <comment ref="S5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excluding 2.6M MTM gain</t>
        </r>
      </text>
    </comment>
    <comment ref="X5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excluding 2.6M MTM gain</t>
        </r>
      </text>
    </comment>
    <comment ref="CB94" authorId="3">
      <text>
        <r>
          <rPr>
            <b/>
            <sz val="9"/>
            <color indexed="81"/>
            <rFont val="Tahoma"/>
            <family val="2"/>
          </rPr>
          <t>Newman, Brendan K (Research):</t>
        </r>
        <r>
          <rPr>
            <sz val="9"/>
            <color indexed="81"/>
            <rFont val="Tahoma"/>
            <family val="2"/>
          </rPr>
          <t xml:space="preserve">
Based on 10K and latest 10Q</t>
        </r>
      </text>
    </comment>
    <comment ref="CD97" authorId="3">
      <text>
        <r>
          <rPr>
            <b/>
            <sz val="9"/>
            <color indexed="81"/>
            <rFont val="Tahoma"/>
            <family val="2"/>
          </rPr>
          <t>Streger, David W (Research):</t>
        </r>
        <r>
          <rPr>
            <sz val="9"/>
            <color indexed="81"/>
            <rFont val="Tahoma"/>
            <family val="2"/>
          </rPr>
          <t xml:space="preserve">
Deviate per guidance</t>
        </r>
      </text>
    </comment>
    <comment ref="R10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mgmt believes the strike drove a net $3.8M cost savings in 2Q10</t>
        </r>
      </text>
    </comment>
    <comment ref="CC108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per March 1 investor update</t>
        </r>
      </text>
    </comment>
    <comment ref="CD108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down high single digits per 4Q17 earnings call, excluding pilot contract</t>
        </r>
      </text>
    </comment>
    <comment ref="CE108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down mid single digits 
per 4Q17 earnings call, excluding pilot contract
</t>
        </r>
      </text>
    </comment>
    <comment ref="CF108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up low single digits per 4Q17 earnings call, excluding pilot contract
</t>
        </r>
      </text>
    </comment>
    <comment ref="CG108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per March 1 investor update</t>
        </r>
      </text>
    </comment>
    <comment ref="BZ109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Pilot contract impact: 6 points annually</t>
        </r>
      </text>
    </comment>
    <comment ref="R121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Mgmt believes the strike was drove a loss of $24.7M in operating income in 2Q10</t>
        </r>
      </text>
    </comment>
    <comment ref="BZ135" authorId="2">
      <text>
        <r>
          <rPr>
            <b/>
            <sz val="9"/>
            <color indexed="81"/>
            <rFont val="Tahoma"/>
            <family val="2"/>
          </rPr>
          <t>Sharpe, Matt (Research):</t>
        </r>
        <r>
          <rPr>
            <sz val="9"/>
            <color indexed="81"/>
            <rFont val="Tahoma"/>
            <family val="2"/>
          </rPr>
          <t xml:space="preserve">
Per March 1 investor update</t>
        </r>
      </text>
    </comment>
    <comment ref="L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M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N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O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Q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R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S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T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V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W14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pro forma</t>
        </r>
      </text>
    </comment>
    <comment ref="Z15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sharecount based on midpoint of the updated range ($12-$13/share)</t>
        </r>
      </text>
    </comment>
    <comment ref="G171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pre-tax, gain on extinguishment of debt</t>
        </r>
      </text>
    </comment>
    <comment ref="K171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pre-tax, gain on extinguishment of debt</t>
        </r>
      </text>
    </comment>
    <comment ref="F172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pre-tax restructuring charge</t>
        </r>
      </text>
    </comment>
    <comment ref="K172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pre-tax restructuring charge</t>
        </r>
      </text>
    </comment>
    <comment ref="F17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mark-to-market hedge gains (loses)</t>
        </r>
      </text>
    </comment>
    <comment ref="G17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mark-to-market hedge gains (loses)</t>
        </r>
      </text>
    </comment>
    <comment ref="H17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mark-to-market hedge gains (loses)</t>
        </r>
      </text>
    </comment>
    <comment ref="I17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mark-to-market hedge gains (loses)</t>
        </r>
      </text>
    </comment>
    <comment ref="J17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mark-to-market hedge gains (loses)</t>
        </r>
      </text>
    </comment>
    <comment ref="K173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mark-to-market hedge gains (loses)</t>
        </r>
      </text>
    </comment>
    <comment ref="BF227" authorId="4">
      <text>
        <r>
          <rPr>
            <b/>
            <sz val="9"/>
            <color indexed="81"/>
            <rFont val="Tahoma"/>
            <family val="2"/>
          </rPr>
          <t>Lalwani, Rajeev (Research):</t>
        </r>
        <r>
          <rPr>
            <sz val="9"/>
            <color indexed="81"/>
            <rFont val="Tahoma"/>
            <family val="2"/>
          </rPr>
          <t xml:space="preserve">
adds in AER purchase</t>
        </r>
      </text>
    </comment>
    <comment ref="BZ243" authorId="0">
      <text>
        <r>
          <rPr>
            <b/>
            <sz val="9"/>
            <color indexed="81"/>
            <rFont val="Tahoma"/>
            <family val="2"/>
          </rPr>
          <t>Newman, Brendan (Research):</t>
        </r>
        <r>
          <rPr>
            <sz val="9"/>
            <color indexed="81"/>
            <rFont val="Tahoma"/>
            <family val="2"/>
          </rPr>
          <t xml:space="preserve">
from the lastest 10Q or 10K
</t>
        </r>
      </text>
    </comment>
    <comment ref="G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H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I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L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M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N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Q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V266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G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H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I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L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M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N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Q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V267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G27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H27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I27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J27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L27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M274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estimate, not disclosed</t>
        </r>
      </text>
    </comment>
    <comment ref="W291" authorId="1">
      <text>
        <r>
          <rPr>
            <b/>
            <sz val="8"/>
            <color indexed="81"/>
            <rFont val="Tahoma"/>
            <family val="2"/>
          </rPr>
          <t>nedgill:</t>
        </r>
        <r>
          <rPr>
            <sz val="8"/>
            <color indexed="81"/>
            <rFont val="Tahoma"/>
            <family val="2"/>
          </rPr>
          <t xml:space="preserve">
assume debt free upon IPO</t>
        </r>
      </text>
    </comment>
  </commentList>
</comments>
</file>

<file path=xl/comments2.xml><?xml version="1.0" encoding="utf-8"?>
<comments xmlns="http://schemas.openxmlformats.org/spreadsheetml/2006/main">
  <authors>
    <author>nedgill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국丈0䅓䕖坞当䕌十彅佃䵍呉奟㕒ㄨ⼲〲〱ㄬ⼲〲〱ⰬⰬ单⥄_x0018_＀＀_x0018_＀＀_x0008_＀＀_x0001_＀＀_x0001_＀＀Ẹ遑䁞국丈&amp;䅓䕖坞当义彔䅒䕔㕟䅙䝖ㄨ⼲〲㈰ⰬⰬ单⥄_x0018_＀＀_x0018_＀＀_x0008_＀＀_x0000_＀＀_x0001_＀＀豀碵꼝쐕국丈&amp;䅓䕖坞当义彔䅒䕔㕟䅙䝖ㄨ⼲〲㠰ⰬⰬ单⥄_x0018_＀＀_x0018_＀＀_x0008_＀＀_x0001_＀＀_x0001_＀＀豀碵꼝쐕국丈\䅓䕖坞当䕒呎䱁佟彐卌彅塅⡐㈱㈯〰ⰹ㈱㈯〰ⰹⰬ唬䑓䀩䅃剟彔䕒呎䵟义䕟偘ㄨ⼲〲㤰ㄬ⼲〲㤰ⰬⰬ单⥄_x0018_＀＀_x0018_＀＀_x0008_＀＀_x0001_＀＀_x0001_＀＀豀碵꼝쐕국丈&amp;䅓䕖坞当义彔䅒䕔㕟䅙䝖ㄨ⼲〲㌰ⰬⰬ单⥄_x0018_＀＀_x0018_＀＀_x0008_＀＀_x0001_＀＀_x0001_＀＀豀碵꼝쐕국丈&amp;䅓䕖坞当义彔䅒䕔㕟䅙䝖ㄨ⼲〲㤰ⰬⰬ单⥄_x0018_＀＀_x0018_＀＀_x0008_＀＀_x0001_＀＀_x0001_＀＀豀碵꼝쐕국丈\䅓䕖坞当䕒呎䱁佟彐卌彅塅⡐㈱㈯〰ⰸ㈱㈯〰ⰸⰬ唬䑓䀩䅃剟彔䕒呎䵟义䕟偘ㄨ⼲〲㠰ㄬ⼲〲㠰ⰬⰬ单⥄_x0018_＀＀_x0018_＀＀_x0008_＀＀_x0001_＀＀_x0001_＀＀豀碵꼝쐕굀丈_x0014_坞当奆⡃⤰䍀彁奆⡃⤰_x0014_＀＀_x0018_＀＀_x0004_＀＀_x0001_＀＀_x0008_＀＀乀A국丈&amp;䅓䕖坞当义彔䅒䕔㕟䅙䝖ㄨ⼲〲〱ⰬⰬ单⥄_x0018_＀＀_x0018_＀＀_x0008_＀＀_x0001_＀＀_x0001_＀＀豀碵꼝쐕국丈\䅓䕖坞当䕒呎䱁佟彐卌彅塅⡐㈱㈯〰ⰷ㈱㈯〰ⰷⰬ唬䑓䀩䅃剟彔䕒呎䵟义䕟偘ㄨ⼲〲㜰ㄬ⼲〲㜰ⰬⰬ单⥄_x0018_＀＀_x0018_＀＀_x0008_＀＀_x0001_＀＀_x0001_＀＀豀碵꼝쐕_x0000_丈&amp;䅓䕖坞当义彔䅒䕔㕟䅙䝖ㄨ⼲〲㐰ⰬⰬ单⥄_x0018_＀＀_x0018_＀＀_x0008_＀＀_x0001_＀＀_x0001_＀＀豀碵꼝쐕국丈\䅓䕖坞当䕒呎䱁佟彐卌彅塅⡐㈱㈯〰ⰶ㈱㈯〰ⰶⰬ唬䑓䀩䅃剟彔䕒呎䵟义䕟偘ㄨ⼲〲㘰ㄬ⼲〲㘰ⰬⰬ单⥄_x0018_＀＀_x0018_＀＀_x0008_＀＀_x0001_＀＀_x0001_＀＀豀碵꼝쐕굫丈_x000F_䅓䕖坞当佃也䵁책$＀＀_x0018_＀＀_x0014_＀＀_x0001_＀＀_x0008_＀＀偓剉呉䄠剉䥌䕎⁓义C국丈&amp;䅓䕖坞当义彔䅒䕔㕟䅙䝖ㄨ⼲〲㔰ⰬⰬ单⥄_x0018_＀＀_x0018_＀＀_x0008_＀＀_x0001_＀＀_x0001_＀＀豀碵꼝쐕국丈(䅓䕖坞当义彔䅒䕔ㄨ⼲〲㌰ㄬ⼲〲㌰ⰬⰬ单⥄_x0018_＀＀_x0018_＀＀_x0008_＀＀_x0001_＀＀_x0001_＀＀豀碵꼝쐕국丈(䅓䕖坞当义彔䅒䕔ㄨ⼲〲㐰ㄬ⼲〲㐰ⰬⰬ单⥄_x0018_＀＀_x0018_＀＀_x0008_＀＀_x0001_＀＀_x0001_＀＀豀碵꼝쐕괿丈_x000B_坞当佃也䵁책_x0014_＀＀_x0018_＀＀_x0004_＀＀_x0001_＀＀_x0008_＀＀乀A국丈(䅓䕖坞当义彔䅒䕔ㄨ⼲〲㔰ㄬ⼲〲㔰ⰬⰬ单⥄_x0018_＀＀_x0018_＀＀_x0008_＀＀_x0001_＀＀_x0001_＀＀豀碵꼝쐕국丈(䅓䕖坞当义彔䅒䕔ㄨ⼲〲㘰ㄬ⼲〲㘰ⰬⰬ单⥄_x0018_＀＀_x0018_＀＀_x0008_＀＀_x0001_＀＀_x0001_＀＀豀碵꼝쐕국丈(䅓䕖坞当义彔䅒䕔ㄨ⼲〲㜰ㄬ⼲〲㜰ⰬⰬ单⥄_x0018_＀＀_x0018_＀＀_x0008_＀＀_x0001_＀＀_x0001_＀＀豀碵꼝쐕국丈(䅓䕖坞当义彔䅒䕔ㄨ⼲〲㠰ㄬ⼲〲㠰ⰬⰬ单⥄_x0018_＀＀_x0018_＀＀_x0008_＀＀_x0001_＀＀_x0001_＀＀豀碵꼝쐕국丈(䅓䕖坞当义彔䅒䕔ㄨ⼲〲㤰ㄬ⼲〲㤰ⰬⰬ单⥄_x0018_＀＀_x0018_＀＀_x0008_＀＀_x0001_＀＀_x0001_＀＀⠤豾容䀳국丈0䅓䕖坞当䕌十彅佃䵍呉奟ㅒㄨ⼲〲㤰ㄬ⼲〲㤰ⰬⰬ单⥄_x0018_＀＀_x0018_＀＀_x0008_＀＀_x0001_＀＀_x0001_＀＀豀碵꼝쐕국丈(䅓䕖坞当义彔䅒䕔ㄨ⼲〲〱ㄬ⼲〲〱ⰬⰬ单⥄_x0018_＀＀_x0018_＀＀_x0008_＀＀_x0001_＀＀_x0001_＀＀豀碵꼝쐕국丈0䅓䕖坞当䕌十彅佃䵍呉奟ㅒㄨ⼲〲㈰ㄬ⼲〲㈰ⰬⰬ单⥄_x0018_＀＀_x0018_＀＀_x0008_＀＀_x0001_＀＀_x0001_＀＀豀碵꼝쐕국丈0䅓䕖坞当䕌十彅佃䵍呉奟ㅒㄨ⼲〲㌰ㄬ⼲〲㌰ⰬⰬ单⥄_x0018_＀＀_x0018_＀＀_x0008_＀＀_x0001_＀＀_x0001_＀＀豀碵꼝쐕국丈0䅓䕖坞当䕌十彅佃䵍呉奟ㅒㄨ⼲〲㐰ㄬ⼲〲㐰ⰬⰬ单⥄_x0018_＀＀_x0018_＀＀_x0008_＀＀_x0001_＀＀_x0001_＀＀豀碵꼝쐕굫丈_x0013_䅓䕖坞当卉彏佃䕄〨착_x0014_＀＀_x0018_＀＀_x0004_＀＀_x0001_＀＀_x0008_＀＀单D국丈0䅓䕖坞当䕌十彅佃䵍呉奟ㅒㄨ⼲〲㔰ㄬ⼲〲㔰ⰬⰬ单⥄_x0018_＀＀_x0018_＀＀_x0008_＀＀_x0001_＀＀_x0001_＀＀豀碵꼝쐕국丈0䅓䕖坞当䕌十彅佃䵍呉奟ㅒㄨ⼲〲㘰ㄬ⼲〲㘰ⰬⰬ单⥄_x0018_＀＀_x0018_＀＀_x0008_＀＀_x0001_＀＀_x0001_＀＀豀碵꼝쐕국丈\䅓䕖坞当䕒呎䱁佟彐卌彅塅⡐㈱㈯〰ⰵ㈱㈯〰ⰵⰬ唬䑓䀩䅃剟彔䕒呎䵟义䕟偘ㄨ⼲〲㔰ㄬ⼲〲㔰ⰬⰬ单⥄_x0018_＀＀_x0018_＀＀_x0008_＀＀_x0001_＀＀_x0001_＀＀豀碵꼝쐕국丈0䅓䕖坞当䕌十彅佃䵍呉㕟剙ㄨ⼲〲㈰ㄬ⼲〲㈰ⰬⰬ单⥄_x0018_＀＀_x0018_＀＀_x0008_＀＀_x0001_＀＀_x0001_＀＀豀碵꼝쐕국丈0䅓䕖坞当䕌十彅佃䵍呉奟ㅒㄨ⼲〲㜰ㄬ⼲〲㜰ⰬⰬ单⥄_x0018_＀＀_x0018_＀＀_x0008_＀＀_x0001_＀＀_x0001_＀＀豀碵꼝쐕국丈0䅓䕖坞当䕌十彅佃䵍呉㕟剙ㄨ⼲〲㌰ㄬ⼲〲㌰ⰬⰬ单⥄_x0018_＀＀_x0018_＀＀_x0008_＀＀_x0001_＀＀_x0001_＀＀豀碵꼝쐕국丈0䅓䕖坞当䕌十彅佃䵍呉奟ㅒㄨ⼲〲㠰ㄬ⼲〲㠰ⰬⰬ单⥄_x0018_＀＀_x0018_＀＀_x0008_＀＀_x0001_＀＀_x0001_＀＀豀碵꼝쐕국丈0䅓䕖坞当䕌十彅佃䵍呉㕟剙ㄨ⼲〲㐰ㄬ⼲〲㐰ⰬⰬ单⥄_x0018_＀＀_x0018_＀＀_x0008_＀＀_x0001_＀＀_x0001_＀＀豀碵꼝쐕국丈0䅓䕖坞当䕌十彅佃䵍呉㕟剙ㄨ⼲〲㔰ㄬ⼲〲㔰ⰬⰬ单⥄_x0018_＀＀_x0018_＀＀_x0008_＀＀_x0001_＀＀_x0001_＀＀豀碵꼝쐕국丈0䅓䕖坞当䕌十彅佃䵍呉㕟剙ㄨ⼲〲㘰ㄬ⼲〲㘰ⰬⰬ单⥄_x0018_＀＀_x0018_＀＀_x0008_＀＀_x0001_＀＀_x0001_＀＀豀碵꼝쐕국丈0䅓䕖坞当䕌十彅佃䵍呉㕟剙ㄨ⼲〲㜰ㄬ⼲〲㜰ⰬⰬ单⥄_x0018_＀＀_x0018_＀＀_x0008_＀＀_x0001_＀＀_x0001_＀＀豀碵꼝쐕국丈0䅓䕖坞当䕌十彅佃䵍呉㕟剙ㄨ⼲〲㠰ㄬ⼲〲㠰ⰬⰬ单⥄_x0018_＀＀_x0018_＀＀_x0008_＀＀_x0001_＀＀_x0001_＀＀豀碵꼝쐕국丈0䅓䕖坞当䕌十彅佃䵍呉㕟剙ㄨ⼲〲㤰ㄬ⼲〲㤰ⰬⰬ单⥄_x0018_＀＀_x0018_＀＀_x0008_＀＀_x0001_＀＀_x0001_＀＀豀碵꼝쐕국丈0䅓䕖坞当䕌十彅佃䵍呉奟ㅒㄨ⼲〲〱ㄬ⼲〲〱ⰬⰬ单⥄_x0018_＀＀_x0018_＀＀_x0008_＀＀_x0001_＀＀_x0001_＀＀娝㭤⟟䁟국丈0䅓䕖坞当䕌十彅佃䵍呉奟㉒ㄨ⼲〲㈰ㄬ⼲〲㈰ⰬⰬ单⥄_x0018_＀＀_x0018_＀＀_x0008_＀＀_x0001_＀＀_x0001_＀＀豀碵꼝쐕국丈0䅓䕖坞当䕌十彅佃䵍呉㕟剙ㄨ⼲〲〱ㄬ⼲〲〱ⰬⰬ单⥄_x0018_＀＀_x0018_＀＀_x0008_＀＀_x0001_＀＀_x0001_＀＀⣶轜◂䁷국丈0䅓䕖坞当䕌十彅佃䵍呉奟㉒ㄨ⼲〲㌰ㄬ⼲〲㌰ⰬⰬ单⥄_x0018_＀＀_x0018_＀＀_x0008_＀＀_x0001_＀＀_x0001_＀＀豀碵꼝쐕국丈0䅓䕖坞当䕌十彅佃䵍呉奟㉒ㄨ⼲〲㐰ㄬ⼲〲㐰ⰬⰬ单⥄_x0018_＀＀_x0018_＀＀_x0008_＀＀_x0001_＀＀_x0001_＀＀豀碵꼝쐕국丈0䅓䕖坞当䕌十彅佃䵍呉奟㉒ㄨ⼲〲㔰ㄬ⼲〲㔰ⰬⰬ单⥄_x0018_＀＀_x0018_＀＀_x0008_＀＀_x0001_＀＀_x0001_＀＀豀碵꼝쐕국丈0䅓䕖坞当䕌十彅佃䵍呉奟㉒ㄨ⼲〲㘰ㄬ⼲〲㘰ⰬⰬ单⥄_x0018_＀＀_x0018_＀＀_x0008_＀＀_x0001_＀＀_x0001_＀＀豀碵꼝쐕국丈0䅓䕖坞当䕌十彅佃䵍呉奟㉒ㄨ⼲〲㜰ㄬ⼲〲㜰ⰬⰬ单⥄_x0018_＀＀_x0018_＀＀_x0008_＀＀_x0001_＀＀_x0001_＀＀豀碵꼝쐕국丈0䅓䕖坞当䕌十彅佃䵍呉奟㉒ㄨ⼲〲㠰ㄬ⼲〲㠰ⰬⰬ单⥄_x0018_＀＀_x0018_＀＀_x0008_＀＀_x0001_＀＀_x0001_＀＀豀碵꼝쐕국丈0䅓䕖坞当䕌十彅佃䵍呉奟㉒ㄨ⼲〲㤰ㄬ⼲〲㤰ⰬⰬ单⥄_x0018_＀＀_x0018_＀＀_x0008_＀＀_x0001_＀＀_x0001_＀＀豀碵꼝쐕국丈&amp;䅓䕖坞当义彔䅒䕔㕟䅙䝖ㄨ⼲〲㘰ⰬⰬ单⥄_x0018_＀＀_x0018_＀＀_x0008_＀＀_x0001_＀＀_x0001_＀＀豀碵꼝쐕국丈\䅓䕖坞当䕒呎䱁佟彐卌彅塅⡐㈱㈯〰ⰴ㈱㈯〰ⰴⰬ唬䑓䀩䅃剟彔䕒呎䵟义䕟偘ㄨ⼲〲㐰ㄬ⼲〲㐰ⰬⰬ单⥄_x0018_＀＀_x0018_＀＀_x0008_＀＀_x0001_＀＀_x0001_＀＀豀碵꼝쐕국丈0䅓䕖坞当䕌十彅佃䵍呉奟㉒ㄨ⼲〲〱ㄬ⼲〲〱ⰬⰬ单⥄_x0018_＀＀_x0018_＀＀_x0008_＀＀_x0001_＀＀_x0001_＀＀堐됹軈䁟굫丈_x001C_䅓䕖䵞彗䅔彘䅒䕔丨坏Ⱜ∬偒⤢_x0018_＀＀_x0018_＀＀_x0008_＀＀_x0001_＀＀_x0001_＀＀鍵Иㅖ쁰국丈0䅓䕖坞当䕌十彅佃䵍呉奟㍒ㄨ⼲〲㈰ㄬ⼲〲㈰ⰬⰬ单⥄_x0018_＀＀_x0018_＀＀_x0008_＀＀_x0001_＀＀_x0001_＀＀豀碵꼝쐕국丈0䅓䕖坞当䕌十彅佃䵍呉奟㍒ㄨ⼲〲㌰ㄬ⼲〲㌰ⰬⰬ单⥄_x0018_＀＀_x0018_＀＀_x0008_＀＀_x0001_＀＀_x0001_＀＀豀碵꼝쐕국丈0䅓䕖坞当䕌十彅佃䵍呉奟㍒ㄨ⼲〲㐰ㄬ⼲〲㐰ⰬⰬ单⥄_x0018_＀＀_x0018_＀＀_x0008_＀＀_x0001_＀＀_x0001_＀＀豀碵꼝쐕국丈0䅓䕖坞当䕌十彅佃䵍呉奟㍒ㄨ⼲〲㔰ㄬ⼲〲㔰ⰬⰬ单⥄_x0018_＀＀_x0018_＀＀_x0008_＀＀_x0001_＀＀_x0001_＀＀豀碵꼝쐕국丈0䅓䕖坞当䕌十彅佃䵍呉奟㍒ㄨ⼲〲㘰ㄬ⼲〲㘰ⰬⰬ单⥄_x0018_＀＀_x0018_＀＀_x0008_＀＀_x0001_＀＀_x0001_＀＀豀碵꼝쐕국丈0䅓䕖坞当䕌十彅佃䵍呉奟㍒ㄨ⼲〲㜰ㄬ⼲〲㜰ⰬⰬ单⥄_x0018_＀＀_x0018_＀＀_x0008_＀＀_x0001_＀＀_x0001_＀＀豀碵꼝쐕국丈0䅓䕖坞当䕌十彅佃䵍呉奟㍒ㄨ⼲〲㠰ㄬ⼲〲㠰ⰬⰬ单⥄_x0018_＀＀_x0018_＀＀_x0008_＀＀_x0001_＀＀_x0001_＀＀豀碵꼝쐕국丈0䅓䕖坞当䕌十彅佃䵍呉奟㍒ㄨ⼲〲㤰ㄬ⼲〲㤰ⰬⰬ单⥄_x0018_＀＀_x0018_＀＀_x0008_＀＀_x0001_＀＀_x0001_＀＀豀碵꼝쐕국丈0䅓䕖坞当䕌十彅佃䵍呉奟㍒ㄨ⼲〲〱ㄬ⼲〲〱ⰬⰬ单⥄_x0018_＀＀_x0018_＀＀_x0008_＀＀_x0001_＀＀_x0001_＀＀炤਽毗䁟굫丈_x0018_䅓䕖坞当奆⡃⤰䍀彁奆⡃⤰_x0018_＀＀_x0018_＀＀_x0008_＀＀_x0001_＀＀_x0008_＀＀㈱㈯㄰0국丈&amp;䅓䕖坞当义彔䅒䕔㕟䅙䝖ㄨ⼲〲㜰ⰬⰬ单⥄_x0018_＀＀_x0018_＀＀_x0008_＀＀_x0001_＀＀_x0001_＀＀豀碵꼝쐕국丈0䅓䕖坞当䕌十彅佃䵍呉奟㑒ㄨ⼲〲㤰ㄬ⼲〲㤰ⰬⰬ单⥄_x0018_＀＀_x0018_＀＀_x0008_＀＀_x0001_＀＀_x0001_＀＀豀碵꼝쐕국丈\䅓䕖坞当䕒呎䱁佟彐卌彅塅⡐㈱㈯〰ⰳ㈱㈯〰ⰳⰬ唬䑓䀩䅃剟彔䕒呎䵟义䕟偘ㄨ⼲〲㌰ㄬ⼲〲㌰ⰬⰬ单⥄_x0018_＀＀_x0018_＀＀_x0008_＀＀_x0001_＀＀_x0001_＀＀豀碵꼝쐕국丈0䅓䕖坞当䕌十彅佃䵍呉奟㑒ㄨ⼲〲㈰ㄬ⼲〲㈰ⰬⰬ单⥄_x0018_＀＀_x0018_＀＀_x0008_＀＀_x0001_＀＀_x0001_＀＀豀碵꼝쐕국丈0䅓䕖坞当䕌十彅佃䵍呉奟㑒ㄨ⼲〲㌰ㄬ⼲〲㌰ⰬⰬ单⥄_x0018_＀＀_x0018_＀＀_x0008_＀＀_x0001_＀＀_x0001_＀＀豀碵꼝쐕국丈\䅓䕖坞当䕒呎䱁佟彐卌彅塅⡐㈱㈯㄰ⰰ㈱㈯㄰ⰰⰬ唬䑓䀩䅃剟彔䕒呎䵟义䕟偘ㄨ⼲〲〱ㄬ⼲〲〱ⰬⰬ单⥄_x0018_＀＀_x0018_＀＀_x0008_＀＀_x0001_＀＀_x0001_＀＀豀碵꼝쐕국丈0䅓䕖坞当䕌十彅佃䵍呉奟㑒ㄨ⼲〲㐰ㄬ⼲〲㐰ⰬⰬ单⥄_x0018_＀＀_x0018_＀＀_x0008_＀＀_x0001_＀＀_x0001_＀＀豀碵꼝쐕국丈0䅓䕖坞当䕌十彅佃䵍呉奟㑒ㄨ⼲〲㔰ㄬ⼲〲㔰ⰬⰬ单⥄_x0018_＀＀_x0018_＀＀_x0008_＀＀_x0001_＀＀_x0001_＀＀豀碵꼝쐕국丈0䅓䕖坞当䕌十彅佃䵍呉奟㑒ㄨ⼲〲㘰ㄬ⼲〲㘰ⰬⰬ单⥄_x0018_＀＀_x0018_＀＀_x0008_＀＀_x0001_＀＀_x0001_＀＀豀碵꼝쐕국丈0䅓䕖坞当䕌十彅佃䵍呉奟㑒ㄨ⼲〲㜰ㄬ⼲〲㜰ⰬⰬ单⥄_x0018_＀＀_x0018_＀＀_x0008_＀＀_x0001_＀＀_x0001_＀＀豀碵꼝쐕국丈0䅓䕖坞当䕌十彅佃䵍呉奟㑒ㄨ⼲〲㠰ㄬ⼲〲㠰ⰬⰬ单⥄_x0018_＀＀_x0018_＀＀_x0008_＀＀_x0001_＀＀_x0001_＀＀豀碵꼝쐕굀丈_x0018_䵞彗䅔彘䅒䕔丨坏Ⱜ∬偒⤢_x0018_＀＀_x0018_＀＀_x0008_＀＀_x0001_＀＀_x0001_＀＀豀碵꼝쐕국丈0䅓䕖坞当䕌十彅佃䵍呉奟㑒ㄨ⼲〲〱ㄬ⼲〲〱ⰬⰬ单⥄_x0018_＀＀_x0018_＀＀_x0008_＀＀_x0001_＀＀_x0001_＀＀鞍ቮ䁞굀丈_x000F_坞当卉彏佃䕄〨착_x0014_＀＀_x0018_＀＀_x0004_＀＀_x0001_＀＀_x0008_＀＀乀A국丈0䅓䕖坞当䕌十彅佃䵍呉奟㕒ㄨ⼲〲㈰ㄬ⼲〲㈰ⰬⰬ单⥄_x0018_＀＀_x0018_＀＀_x0008_＀＀_x0001_＀＀_x0001_＀＀豀碵꼝쐕국丈0䅓䕖坞当䕌十彅佃䵍呉奟㕒ㄨ⼲〲㌰ㄬ⼲〲㌰ⰬⰬ单⥄_x0018_＀＀_x0018_＀＀_x0008_＀＀_x0001_＀＀_x0001_＀＀豀碵꼝쐕국丈0䅓䕖坞当䕌十彅佃䵍呉奟㕒ㄨ⼲〲㐰ㄬ⼲〲㐰ⰬⰬ单⥄_x0018_＀＀_x0018_＀＀_x0008_＀＀_x0001_＀＀_x0001_＀＀豀碵꼝쐕국丈0䅓䕖坞当䕌十彅佃䵍呉奟㕒ㄨ⼲〲㔰ㄬ⼲〲㔰ⰬⰬ单⥄_x0018_＀＀_x0018_＀＀_x0008_＀＀_x0001_＀＀_x0001_＀＀豀碵꼝쐕국丈0䅓䕖坞当䕌十彅佃䵍呉奟㕒ㄨ⼲〲㘰ㄬ⼲〲㘰ⰬⰬ单⥄_x0018_＀＀_x0018_＀＀_x0008_＀＀_x0001_＀＀_x0001_＀＀豀碵꼝쐕국丈0䅓䕖坞当䕌十彅佃䵍呉奟㕒ㄨ⼲〲㜰ㄬ⼲〲㜰ⰬⰬ单⥄_x0018_＀＀_x0018_＀＀_x0008_＀＀_x0001_＀＀_x0001_＀＀豀碵꼝쐕국丈0䅓䕖坞当䕌十彅佃䵍呉奟㕒ㄨ⼲〲㠰ㄬ⼲〲㠰ⰬⰬ单⥄_x0018_＀＀_x0018_＀＀_x0008_＀＀_x0001_＀＀_x0001_＀＀豀碵꼝쐕국丈\䅓䕖坞当䕒呎䱁佟彐卌彅塅⡐㈱㈯〰ⰲ㈱㈯〰ⰲⰬ唬䑓䀩䅃剟彔䕒呎䵟义䕟偘ㄨ⼲〲㈰ㄬ⼲〲㈰ⰬⰬ单⥄_x0018_＀＀_x0018_＀＀_x0008_＀＀_x0001_＀＀_x0001_＀＀豀碵꼝쐕국丈0䅓䕖坞当䕌十彅佃䵍呉奟㕒ㄨ⼲〲㤰ㄬ⼲〲㤰ⰬⰬ单⥄_x0018_＀＀_x0018_＀＀_x0008_＀＀_x0001_＀＀_x0001_＀＀豀碵꼝쐕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4060</t>
        </r>
      </text>
    </comment>
  </commentList>
</comments>
</file>

<file path=xl/sharedStrings.xml><?xml version="1.0" encoding="utf-8"?>
<sst xmlns="http://schemas.openxmlformats.org/spreadsheetml/2006/main" count="1125" uniqueCount="913">
  <si>
    <t>3Q12</t>
  </si>
  <si>
    <t>SAVE</t>
  </si>
  <si>
    <t>Diluted Shares</t>
  </si>
  <si>
    <t>First Copy is Master - Other Sensitivities Are Linked to It - Caution When Changing</t>
  </si>
  <si>
    <t>EBITDAR Pre-Profit Share</t>
  </si>
  <si>
    <t>EPS Pre-Profit Share</t>
  </si>
  <si>
    <t>Op. Cash Flow Pre-Profit Share</t>
  </si>
  <si>
    <t>Profit Sharing</t>
  </si>
  <si>
    <t>LTM Op Revenue</t>
  </si>
  <si>
    <t>Op. Cash Flow</t>
  </si>
  <si>
    <t>YE Cash Balance</t>
  </si>
  <si>
    <t>PRASM</t>
  </si>
  <si>
    <t>Cur. Est.*</t>
  </si>
  <si>
    <t>QUARTER INPUTS</t>
  </si>
  <si>
    <t>Hard Code</t>
  </si>
  <si>
    <t>No Change</t>
  </si>
  <si>
    <t>Jet Fuel</t>
  </si>
  <si>
    <t>OPERATING STATISTICS</t>
  </si>
  <si>
    <t>INCOME STATEMENT</t>
  </si>
  <si>
    <t>OPERATING REVENUE</t>
  </si>
  <si>
    <t>OPERATING EXPENSES</t>
  </si>
  <si>
    <t>YoY % Chg.</t>
  </si>
  <si>
    <t>YoY Pt. Chg.</t>
  </si>
  <si>
    <t>Non-Ticket Revenue per Consolidated Passenger</t>
  </si>
  <si>
    <t>Non-Ticket Revenue as % of Total Revenue</t>
  </si>
  <si>
    <t>Sequential Change %</t>
  </si>
  <si>
    <t>1Q</t>
  </si>
  <si>
    <t>2Q</t>
  </si>
  <si>
    <t>3Q</t>
  </si>
  <si>
    <t>4Q</t>
  </si>
  <si>
    <t>Avg.</t>
  </si>
  <si>
    <t>Restricted Cash</t>
  </si>
  <si>
    <t>2013A</t>
  </si>
  <si>
    <t>A320 driving fuel efficiency as well as engine maintenance</t>
  </si>
  <si>
    <t>2012A</t>
  </si>
  <si>
    <t>ASMs</t>
  </si>
  <si>
    <t>Cash and ST Investments</t>
  </si>
  <si>
    <t>COMMENTS</t>
  </si>
  <si>
    <t>LTM D&amp;A</t>
  </si>
  <si>
    <t>This sheet contains Factset binary data for use with this workbook's =FDS codes.  Modifying the worksheet's contents may damage the workbook's =FDS functionality.</t>
  </si>
  <si>
    <t>Passengers</t>
  </si>
  <si>
    <t>Consolidated RPMs (mm)</t>
  </si>
  <si>
    <t>Available Seat Miles by Segment</t>
  </si>
  <si>
    <t>Consolidated ASMs (mm)</t>
  </si>
  <si>
    <t>Load Factor by Segment</t>
  </si>
  <si>
    <t>Consolidated Load Factor (%)</t>
  </si>
  <si>
    <t>Stage Length</t>
  </si>
  <si>
    <t>Average Stage length, Total System (miles)</t>
  </si>
  <si>
    <t>Average Length of Haul, Total System</t>
  </si>
  <si>
    <t>LoH / Stage Length, Total System</t>
  </si>
  <si>
    <t>Fleet Summary by Segment</t>
  </si>
  <si>
    <t>Total Aircraft (end of period)</t>
  </si>
  <si>
    <t>Total Aircraft (simple avg.)</t>
  </si>
  <si>
    <t>Income Statement</t>
  </si>
  <si>
    <t>Consolidated Pax Rev (mm)</t>
  </si>
  <si>
    <t>Total Operating Revenue</t>
  </si>
  <si>
    <t>Total Revenue per ASM (cents)</t>
  </si>
  <si>
    <t>Total Operating Revenue per Total System Passenger</t>
  </si>
  <si>
    <t>Salaries, Wages &amp; Benefits</t>
  </si>
  <si>
    <t>Fuel Consumption</t>
  </si>
  <si>
    <t>EBITDAR Margin</t>
  </si>
  <si>
    <t>Pre-tax Income</t>
  </si>
  <si>
    <t>EBITDAR</t>
  </si>
  <si>
    <t>Balance Sheet</t>
  </si>
  <si>
    <t>Date</t>
  </si>
  <si>
    <t>Valuation Summary</t>
  </si>
  <si>
    <t>D&amp;A</t>
  </si>
  <si>
    <t>Net Income</t>
  </si>
  <si>
    <t>Aircraft Rent</t>
  </si>
  <si>
    <t>EPS</t>
  </si>
  <si>
    <t>Price</t>
  </si>
  <si>
    <t>1QA</t>
  </si>
  <si>
    <t>2QA</t>
  </si>
  <si>
    <t>3QA</t>
  </si>
  <si>
    <t>4QA</t>
  </si>
  <si>
    <t>2007A</t>
  </si>
  <si>
    <t>2008A</t>
  </si>
  <si>
    <t>4QE</t>
  </si>
  <si>
    <t>Revenue Passenger Miles (RPMs)</t>
  </si>
  <si>
    <t>Average Passenger Fare</t>
  </si>
  <si>
    <t>Total Average Fare per Passenger</t>
  </si>
  <si>
    <t>Non-Ticket Revenue (Ancillary &amp; Other)</t>
  </si>
  <si>
    <t>Total Non-Ticket Revenue per Passenger</t>
  </si>
  <si>
    <t>Consolidated Passenger Segments</t>
  </si>
  <si>
    <t>2009 Pro Forma</t>
  </si>
  <si>
    <t>2010 Pro Forma</t>
  </si>
  <si>
    <t>Consolidated Pax Revenue per ASM (cents)</t>
  </si>
  <si>
    <t>2009A</t>
  </si>
  <si>
    <t>2011 Pro Forma</t>
  </si>
  <si>
    <t>2010A</t>
  </si>
  <si>
    <t>USD</t>
  </si>
  <si>
    <t>2011A</t>
  </si>
  <si>
    <t>Spirit Airlines Inc.</t>
  </si>
  <si>
    <t>Year</t>
  </si>
  <si>
    <t>Ticker:</t>
  </si>
  <si>
    <t>Currency</t>
  </si>
  <si>
    <t>Current Stock Price</t>
  </si>
  <si>
    <t>Count</t>
  </si>
  <si>
    <t>B3ZG8F4</t>
  </si>
  <si>
    <t>2 YoY % Chg.</t>
  </si>
  <si>
    <t>10/7 per IR intoplane $0.25-$0.28</t>
  </si>
  <si>
    <t>~60% Gulf, rest LA and NY</t>
  </si>
  <si>
    <t>A319</t>
  </si>
  <si>
    <t>Salaries, Wages &amp; Benefits per ASM (cents)</t>
  </si>
  <si>
    <t>Aircraft Fuel</t>
  </si>
  <si>
    <t>Fuel Price Per Gallon</t>
  </si>
  <si>
    <t>Hedged Fuel Price Forecasting Details</t>
  </si>
  <si>
    <t>Approx. Swap Hedged Consumption (%)</t>
  </si>
  <si>
    <t>Approx. Swap Hedged Jet Fuel Price</t>
  </si>
  <si>
    <t>Approx. Call Hedged Consumption (%)</t>
  </si>
  <si>
    <t>Approx. Call Hedged Jet Fuel Price</t>
  </si>
  <si>
    <t>Approx. Put Hedged Consumption (%)</t>
  </si>
  <si>
    <t>Approx. Put Hedged Jet Fuel Price</t>
  </si>
  <si>
    <t>Unhedged Jet Fuel Price Assumption</t>
  </si>
  <si>
    <t>Baseline Unhedged Jet Fuel Price</t>
  </si>
  <si>
    <t>Other Fuel Costs (transports, taxes, etc.)</t>
  </si>
  <si>
    <t>Gallons Consumed</t>
  </si>
  <si>
    <t>Fuel Gallons per Total System Passenger</t>
  </si>
  <si>
    <t>Gallons per 1,000 ASMs</t>
  </si>
  <si>
    <t>Aircraft Fuel per ASM (cents)</t>
  </si>
  <si>
    <t>Fuel Expense per Total System Passenger</t>
  </si>
  <si>
    <t>Aircraft Rentals</t>
  </si>
  <si>
    <t>Sequential % change</t>
  </si>
  <si>
    <t>Aircraft Rentals per Avg Aircraft per Quarter</t>
  </si>
  <si>
    <t>Maintenance and Repairs</t>
  </si>
  <si>
    <t>Maintenance Cost per Aircraft per Month</t>
  </si>
  <si>
    <t>Maintenance and Repairs per ASM (cents)</t>
  </si>
  <si>
    <t>Depreciation and Amortization</t>
  </si>
  <si>
    <t>Implied / Assumed Depreciable Life of PPE</t>
  </si>
  <si>
    <t>Depreciation and Amortization per Avg Aircraft</t>
  </si>
  <si>
    <t>Other</t>
  </si>
  <si>
    <t xml:space="preserve">  Other Operating Expense per ASM (cents)</t>
  </si>
  <si>
    <t>Other Expense Detail</t>
  </si>
  <si>
    <t>Landing Fees and Other Rentals</t>
  </si>
  <si>
    <t>Distribution</t>
  </si>
  <si>
    <t>Total Operating Expense</t>
  </si>
  <si>
    <t>CASM (cents)</t>
  </si>
  <si>
    <t>CASM ex-Fuel (cents)</t>
  </si>
  <si>
    <t>Operating Expense (ex-fuel) per System Passenger</t>
  </si>
  <si>
    <t>Total Fuel Expense per Total System Passenger</t>
  </si>
  <si>
    <t>Operating Expense per Total System Passenger</t>
  </si>
  <si>
    <t>OPERATING SUMMARY</t>
  </si>
  <si>
    <t>Operating Revenue</t>
  </si>
  <si>
    <t>Operating Expense</t>
  </si>
  <si>
    <t>Operating Income</t>
  </si>
  <si>
    <t>EBITDA</t>
  </si>
  <si>
    <t>Traditional EBITDAR</t>
  </si>
  <si>
    <t>Operating Margin</t>
  </si>
  <si>
    <t>Operating Income per Passenger</t>
  </si>
  <si>
    <t>EPS RECONCILIATION</t>
  </si>
  <si>
    <t>OTHER INCOME/(EXPENSE)</t>
  </si>
  <si>
    <t>Avg Unrestricted Cash</t>
  </si>
  <si>
    <t>Implied Interest Rate and Forward Interest Rate Assumption</t>
  </si>
  <si>
    <t>Interest Income Forecast</t>
  </si>
  <si>
    <t>Interest Income</t>
  </si>
  <si>
    <t>Avg Debt</t>
  </si>
  <si>
    <t>Interest Expense Forecast</t>
  </si>
  <si>
    <t>Interest Expense</t>
  </si>
  <si>
    <t>Net Interest Expense</t>
  </si>
  <si>
    <t>Capitalized Interest Income</t>
  </si>
  <si>
    <t>Miscellaneous Other Income</t>
  </si>
  <si>
    <t>Total Other Income/(Expense)</t>
  </si>
  <si>
    <t>NET INCOME AND EPS</t>
  </si>
  <si>
    <t>Effective Tax Rate</t>
  </si>
  <si>
    <t>Provision for Taxes</t>
  </si>
  <si>
    <t>Net Income Before Extraordinary Items</t>
  </si>
  <si>
    <t>Basic Earnings Per Share</t>
  </si>
  <si>
    <t>Interest Add-back on Convertible Debt</t>
  </si>
  <si>
    <t>Diluted Earnings Per Share</t>
  </si>
  <si>
    <t>Basic Shares Outstanding</t>
  </si>
  <si>
    <t>Diluted Shares Outstanding</t>
  </si>
  <si>
    <t>Period Ending Basic Shares</t>
  </si>
  <si>
    <t>Modelware Requirements</t>
  </si>
  <si>
    <t>Statutory Tax Rate</t>
  </si>
  <si>
    <t>Special Charges</t>
  </si>
  <si>
    <t>GAAP Reported Basic EPS</t>
  </si>
  <si>
    <t>After Tax Asset Impairment Charge</t>
  </si>
  <si>
    <t>After Tax Gains (Losses) from Sale of Operating Assets</t>
  </si>
  <si>
    <t xml:space="preserve">After Tax Restructuring Costs </t>
  </si>
  <si>
    <t>Mark-to-market fuel hedge gains (losses)</t>
  </si>
  <si>
    <t>Total Extraordinary Items (A/T)</t>
  </si>
  <si>
    <t>Tax Rate to Adjust One-time items</t>
  </si>
  <si>
    <t>GAAP Net Income</t>
  </si>
  <si>
    <t>Reported GAAP Diluted Earnings Per Share</t>
  </si>
  <si>
    <t>INCOME STATEMENT VIEWS</t>
  </si>
  <si>
    <t>LAST TWELVE-MONTH VIEW</t>
  </si>
  <si>
    <t>LTM Metrics</t>
  </si>
  <si>
    <t>LTM Operating Revenue</t>
  </si>
  <si>
    <t>LTM Passenger Revenue</t>
  </si>
  <si>
    <t>LTM Operating Expense</t>
  </si>
  <si>
    <t>LTM Fuel Expense</t>
  </si>
  <si>
    <t>LTM Ex-Fuel Operating Expense</t>
  </si>
  <si>
    <t>LTM Mainline Aircraft Rent</t>
  </si>
  <si>
    <t>LTM Regional Rent</t>
  </si>
  <si>
    <t>LTM EBIT</t>
  </si>
  <si>
    <t>LTM EBITDA</t>
  </si>
  <si>
    <t>LTM EBITDAR</t>
  </si>
  <si>
    <t>LTM Regional Rent Adj EBITDAR</t>
  </si>
  <si>
    <t>LTM Interest Income</t>
  </si>
  <si>
    <t>LTM Interest Expense</t>
  </si>
  <si>
    <t>LTM Net Interest Expense</t>
  </si>
  <si>
    <t>LTM Pre-Tax Income</t>
  </si>
  <si>
    <t>LTM Net Income</t>
  </si>
  <si>
    <t>LTM Common-Sized Statement (% of LTM Total Revenue)</t>
  </si>
  <si>
    <t>CASH FLOW STATEMENT</t>
  </si>
  <si>
    <t>CASH FLOW FROM OPERATIONS</t>
  </si>
  <si>
    <t>Net Earnings</t>
  </si>
  <si>
    <t>Depreciation</t>
  </si>
  <si>
    <t>Other Amortization</t>
  </si>
  <si>
    <t>Total D&amp;A</t>
  </si>
  <si>
    <t>Deferred Taxes</t>
  </si>
  <si>
    <t>% of Reported Taxes</t>
  </si>
  <si>
    <t>Total Changes in Working Capital and Other</t>
  </si>
  <si>
    <t>Cash From Operations</t>
  </si>
  <si>
    <t>CASH FLOW FROM INVESTING</t>
  </si>
  <si>
    <t>Gross Capex</t>
  </si>
  <si>
    <t>Capex &amp; PDP Payments</t>
  </si>
  <si>
    <t>Financed Capex</t>
  </si>
  <si>
    <t>% of Total Capex Financed</t>
  </si>
  <si>
    <t>% of Op.Revenue</t>
  </si>
  <si>
    <t>Total Capex % of Depreciation</t>
  </si>
  <si>
    <t>Free Cash Flow</t>
  </si>
  <si>
    <t>Proceeds from Sales, net of Acquisitions</t>
  </si>
  <si>
    <t>Cash From Investing</t>
  </si>
  <si>
    <t>CASH FLOW FROM FINANCING</t>
  </si>
  <si>
    <t>Dividends</t>
  </si>
  <si>
    <t>Equity Buybacks</t>
  </si>
  <si>
    <t>Equity Issuance</t>
  </si>
  <si>
    <t>Total Change in Equity</t>
  </si>
  <si>
    <t>Debt Financing for Capex</t>
  </si>
  <si>
    <t>Debt Paydown</t>
  </si>
  <si>
    <t>Other Debt</t>
  </si>
  <si>
    <t>Total Change in Debt</t>
  </si>
  <si>
    <t>Other, net</t>
  </si>
  <si>
    <t>Cash From Financing</t>
  </si>
  <si>
    <t>Cash provided by (used in) operations</t>
  </si>
  <si>
    <t>Cash used in discontinued operations</t>
  </si>
  <si>
    <t>Beginning Cash</t>
  </si>
  <si>
    <t>Ending Cash</t>
  </si>
  <si>
    <t>BALANCE SHEET</t>
  </si>
  <si>
    <t>ASSETS</t>
  </si>
  <si>
    <t>Cash &amp; Cash Equivalents</t>
  </si>
  <si>
    <t>Short-Term Investments</t>
  </si>
  <si>
    <t>Cash &amp; ST Investments</t>
  </si>
  <si>
    <t>% of Op Revenue</t>
  </si>
  <si>
    <t>% of Pax Revenue</t>
  </si>
  <si>
    <t>Total Cash &amp; Short-term Investments</t>
  </si>
  <si>
    <t>Other Current Assets</t>
  </si>
  <si>
    <t>Total Current Assets</t>
  </si>
  <si>
    <t>CA Less Cash and Deferred Income Taxes</t>
  </si>
  <si>
    <t>Flight and Ground Equipment</t>
  </si>
  <si>
    <t>Total Accumulated Depreciation</t>
  </si>
  <si>
    <t xml:space="preserve">Total Owned and Leased PPE, net </t>
  </si>
  <si>
    <t>Other Long-Term Assets</t>
  </si>
  <si>
    <t>Total Non-Current Assets</t>
  </si>
  <si>
    <t>Total Assets</t>
  </si>
  <si>
    <t>LIABILITIES</t>
  </si>
  <si>
    <t>Current Portion of Long-Term Debt</t>
  </si>
  <si>
    <t>Air Traffic Liability</t>
  </si>
  <si>
    <t>Accrued expenses and other Current Liabilities</t>
  </si>
  <si>
    <t>% of Ex-Fuel Expenses</t>
  </si>
  <si>
    <t>Total Current Liabilities</t>
  </si>
  <si>
    <t>Long-Term Debt, Less Current Portion</t>
  </si>
  <si>
    <t>Mandatorily Redeemable Preferred Stock</t>
  </si>
  <si>
    <t>Deferred Income Taxes</t>
  </si>
  <si>
    <t>Other Long-Term Liabilities</t>
  </si>
  <si>
    <t>Total Non-Current Liabilities</t>
  </si>
  <si>
    <t>Total Liabilities</t>
  </si>
  <si>
    <t>SHAREHOLDERS' EQUITY</t>
  </si>
  <si>
    <t>Common Stock</t>
  </si>
  <si>
    <t>Additional Paid-In Capital</t>
  </si>
  <si>
    <t>Retained Earnings</t>
  </si>
  <si>
    <t>Accumulated Other Comprehensive Inc.</t>
  </si>
  <si>
    <t>Treasury Stock</t>
  </si>
  <si>
    <t>Total Shareholders' Equity</t>
  </si>
  <si>
    <t>Total Liabilities and Equity</t>
  </si>
  <si>
    <t>Math Check: Assets - (Liab + Equity)</t>
  </si>
  <si>
    <t>Accounts Payable</t>
  </si>
  <si>
    <t>Accounts Receivable</t>
  </si>
  <si>
    <t>Accrural Net Share Issuance</t>
  </si>
  <si>
    <t>Accrued Dividends</t>
  </si>
  <si>
    <t>Unrecorded Goodwill from Poolings, Writeoffs, and Cumulative Amortization</t>
  </si>
  <si>
    <t>DEBT METRICS AND COVENANTS</t>
  </si>
  <si>
    <t>LIQUIDITY</t>
  </si>
  <si>
    <t>Unrestricted Cash and ST Investments</t>
  </si>
  <si>
    <t>Restricted Cash in Current Assets</t>
  </si>
  <si>
    <t>Restricted Cash in LT Assets (i.e. impaired ARS)</t>
  </si>
  <si>
    <t>Available Lines of Credit</t>
  </si>
  <si>
    <t>Total Unencumbered Assets</t>
  </si>
  <si>
    <t>% of Unencumbered Assets Applied to Liquidity</t>
  </si>
  <si>
    <t>Total Liquidity including Restriced Cash</t>
  </si>
  <si>
    <t>% of LTM Operating Revenue</t>
  </si>
  <si>
    <t>% of Total Assets</t>
  </si>
  <si>
    <t>Total Liquidity ex-Restriced Cash</t>
  </si>
  <si>
    <t>DEBT RATIOS</t>
  </si>
  <si>
    <t>LTM EBIT / Net Interest Expense</t>
  </si>
  <si>
    <t>LTM EBITDA / Net Interest Expense</t>
  </si>
  <si>
    <t>LTM EBITDAR / Net Interest Expense</t>
  </si>
  <si>
    <t>LTM EBIT / Interest Expense</t>
  </si>
  <si>
    <t>LTM EBITDA / Interest Expense</t>
  </si>
  <si>
    <t>LTM EBITDAR / Interest Expense</t>
  </si>
  <si>
    <t>LTM EBIT / (Interest + Aircraft Rent) Expense</t>
  </si>
  <si>
    <t>LTM EBITDA / (Interest + Aircraft Rent) Expense</t>
  </si>
  <si>
    <t>LTM EBITDAR / (Interest + Aircraft Rent) Expense</t>
  </si>
  <si>
    <t>Gross Debt / LTM EBIT</t>
  </si>
  <si>
    <t>Gross Debt / LTM EBITDA</t>
  </si>
  <si>
    <t>Gross Debt / LTM EBITDAR</t>
  </si>
  <si>
    <t>Debt Net of Unrest. Cash / LTM EBIT</t>
  </si>
  <si>
    <t>Debt Net of Unrest. Cash / LTM EBITDA</t>
  </si>
  <si>
    <t>Debt Net of Unrest. Cash / LTM EBITDAR</t>
  </si>
  <si>
    <t>COVENANT CHECK</t>
  </si>
  <si>
    <t>Current Cash Balance</t>
  </si>
  <si>
    <t>Min. Cash Balance Covenant</t>
  </si>
  <si>
    <t>Covenant Check</t>
  </si>
  <si>
    <t>Current Fixed Charge Ratio</t>
  </si>
  <si>
    <t>Min. Fixed Charge Ratio</t>
  </si>
  <si>
    <t>VALUATION</t>
  </si>
  <si>
    <t>KEY INPUTS</t>
  </si>
  <si>
    <t>Net Debt Calculations</t>
  </si>
  <si>
    <t>Unrestricted Cash Balance</t>
  </si>
  <si>
    <t>Total Cash Balance</t>
  </si>
  <si>
    <t>On Balance Sheet Debt</t>
  </si>
  <si>
    <t>Convertible Debt Adjustment</t>
  </si>
  <si>
    <t>Debt Net of Total Cash and Converts</t>
  </si>
  <si>
    <t>Debt Net of Unrest. Cash and Converts</t>
  </si>
  <si>
    <t>Annualized Mainline Aircraft Rent</t>
  </si>
  <si>
    <t>Annualized Regional Rent</t>
  </si>
  <si>
    <t>Annualized Total Aircraft Rent</t>
  </si>
  <si>
    <t>Mainline Rent Adj. Debt Net of Total Cash and Converts</t>
  </si>
  <si>
    <t>Mainline Rent Adj. Debt Net of Unrest. Cash and Converts</t>
  </si>
  <si>
    <t>Total Rent Adj. Debt Net of Total Cash and Converts</t>
  </si>
  <si>
    <t>Total Rent Adj. Debt Net of Unrest. Cash and Converts</t>
  </si>
  <si>
    <t>Market Value of Equity Calculations</t>
  </si>
  <si>
    <t>Share Price</t>
  </si>
  <si>
    <t>Enterprise Value Calculations</t>
  </si>
  <si>
    <t>EV on Debt Net of Total Cash and Converts</t>
  </si>
  <si>
    <t>EV on Debt Net of Unrest. Cash and Converts</t>
  </si>
  <si>
    <t>EV on Mainline Rent Adj. Debt Net of Total Cash and Converts</t>
  </si>
  <si>
    <t>EV on Mainline Rent Adj. Debt Net of Unrest. Cash and Converts</t>
  </si>
  <si>
    <t>EV on Total Rent Adj. Debt Net of Total Cash and Converts</t>
  </si>
  <si>
    <t>EV on Total Rent Adj. Debt Net of Unrest. Cash and Converts</t>
  </si>
  <si>
    <t>Income Statement Calculations</t>
  </si>
  <si>
    <t>LTM Traditional EBITDAR</t>
  </si>
  <si>
    <t>Regional Rent Adj. EBITDAR</t>
  </si>
  <si>
    <t>Valuation</t>
  </si>
  <si>
    <t>Price / EBIT</t>
  </si>
  <si>
    <t>Price / Pre-tax Income</t>
  </si>
  <si>
    <t>Price / Earnings</t>
  </si>
  <si>
    <t>EV / EBIT</t>
  </si>
  <si>
    <t>EV / EBITDA</t>
  </si>
  <si>
    <t>Adj. EV / Sales</t>
  </si>
  <si>
    <t>Adj. EV / EBITDAR</t>
  </si>
  <si>
    <t>SENSITIVITY TABLES</t>
  </si>
  <si>
    <t>SENSITIVITY INPUTS</t>
  </si>
  <si>
    <t>Required ModelWare Tags</t>
  </si>
  <si>
    <t>International ASMs</t>
  </si>
  <si>
    <t>International Mainline Revenue</t>
  </si>
  <si>
    <t>2014A</t>
  </si>
  <si>
    <t>Cost of Hedging</t>
  </si>
  <si>
    <t>Assumed Share Creep, number of shares</t>
  </si>
  <si>
    <t>Assumed Share Creep, annualized</t>
  </si>
  <si>
    <t>Stock Price Assumptions</t>
  </si>
  <si>
    <t>Avg. Stock Price Assumption (for repurchase calculation)</t>
  </si>
  <si>
    <t>Sequential Growth</t>
  </si>
  <si>
    <t>YoY % Change</t>
  </si>
  <si>
    <t>Period End Stock Price ($)</t>
  </si>
  <si>
    <t>Sequential Change ($)</t>
  </si>
  <si>
    <t>Sequential % Change</t>
  </si>
  <si>
    <t>rajeev.lalwani@morganstanley.com</t>
  </si>
  <si>
    <t>(212) 761-8518</t>
  </si>
  <si>
    <t>Rajeev Lalwani</t>
  </si>
  <si>
    <t>Date:</t>
  </si>
  <si>
    <t>Price Target:</t>
  </si>
  <si>
    <t>Rating:</t>
  </si>
  <si>
    <t>Spirit Airlines</t>
  </si>
  <si>
    <t>Shareholder's Equity</t>
  </si>
  <si>
    <t>Aircraft Rent @ 7x</t>
  </si>
  <si>
    <t>Debt</t>
  </si>
  <si>
    <t>Cash Flow from Financing</t>
  </si>
  <si>
    <t>Net Issuances/Buybacks</t>
  </si>
  <si>
    <t>Net Debt Change</t>
  </si>
  <si>
    <t>Cash Flow from Investment</t>
  </si>
  <si>
    <t>Capex</t>
  </si>
  <si>
    <t>Operating Cash Flow</t>
  </si>
  <si>
    <t>Cash Flow</t>
  </si>
  <si>
    <t>Implied Enterprise Value</t>
  </si>
  <si>
    <t>EPS (Diluted)</t>
  </si>
  <si>
    <t>Taxes</t>
  </si>
  <si>
    <t>Interest Expense and Other</t>
  </si>
  <si>
    <t>Total Operating Expenses</t>
  </si>
  <si>
    <t>Maintenance &amp; Repairs</t>
  </si>
  <si>
    <t>Fuel</t>
  </si>
  <si>
    <t>Labor</t>
  </si>
  <si>
    <t>Forecasted Shares (mil)</t>
  </si>
  <si>
    <t>Implied Equity Value</t>
  </si>
  <si>
    <t>Total Revenues</t>
  </si>
  <si>
    <t>Other Revenues</t>
  </si>
  <si>
    <t>Net Debt and Rents</t>
  </si>
  <si>
    <t>Passenger Revenues</t>
  </si>
  <si>
    <t>Forecasted Aircraft Rent @ 7x</t>
  </si>
  <si>
    <t>SUMMARIZED FINANCIAL DATA</t>
  </si>
  <si>
    <t>Assumed Multiple</t>
  </si>
  <si>
    <t>EBITDAR Margin (%)</t>
  </si>
  <si>
    <t>MS EBITDAR - Adjusted</t>
  </si>
  <si>
    <t>Operating Margin (%)</t>
  </si>
  <si>
    <t>MS EBITDAR</t>
  </si>
  <si>
    <t>Average Hedged Fuel ($/gal) - w/ taxes &amp; costs</t>
  </si>
  <si>
    <t>CASM Ex-Fuel - YoY (%)</t>
  </si>
  <si>
    <t>CASM - YoY (%)</t>
  </si>
  <si>
    <t>Implied Target P/E</t>
  </si>
  <si>
    <t>RASM - YoY (%)</t>
  </si>
  <si>
    <t>PRASM - YoY (%)</t>
  </si>
  <si>
    <t>Price Return Potential</t>
  </si>
  <si>
    <t>Load Factor (%)</t>
  </si>
  <si>
    <t>Company Valuation</t>
  </si>
  <si>
    <t>ASM Growth - YoY (%)</t>
  </si>
  <si>
    <t>RPM - YoY (%)</t>
  </si>
  <si>
    <t>Valuation Year</t>
  </si>
  <si>
    <t>BULL</t>
  </si>
  <si>
    <t>BASE</t>
  </si>
  <si>
    <t>BEAR</t>
  </si>
  <si>
    <t>BEAR TO BULL VALUATION</t>
  </si>
  <si>
    <t>$m, unless stated otherwise</t>
  </si>
  <si>
    <t>Cash to Revenues (%)</t>
  </si>
  <si>
    <t>Debt &amp; Rent to EBITDAR</t>
  </si>
  <si>
    <t>TRADING MULTIPLES - MSe</t>
  </si>
  <si>
    <t>FCF Yield</t>
  </si>
  <si>
    <t>P/E</t>
  </si>
  <si>
    <t>EV/EBITDAR</t>
  </si>
  <si>
    <t>Implied Target EV/EBITDAR</t>
  </si>
  <si>
    <t>Forecasted Debt</t>
  </si>
  <si>
    <t>Implied Target FCF Yield</t>
  </si>
  <si>
    <t>Oil Price Change (+$15-bbl / $0 / $0)</t>
  </si>
  <si>
    <t>After-Tax ROIC (%) - excludes cash</t>
  </si>
  <si>
    <t>After-Tax ROIC (%) - includes cash</t>
  </si>
  <si>
    <t>PRASM Change (-2% / 0% / +2%)</t>
  </si>
  <si>
    <t>Capacity Change - None</t>
  </si>
  <si>
    <t>2018E</t>
  </si>
  <si>
    <t>Equal-weight</t>
  </si>
  <si>
    <t>2015A</t>
  </si>
  <si>
    <t>Total</t>
  </si>
  <si>
    <t>Wages</t>
  </si>
  <si>
    <t>Labor CASM</t>
  </si>
  <si>
    <t>Wages / FTE</t>
  </si>
  <si>
    <t>FTE</t>
  </si>
  <si>
    <t>ASM</t>
  </si>
  <si>
    <t>ASM/FTE</t>
  </si>
  <si>
    <t>Net Debt &amp; Rent to EBITDAR</t>
  </si>
  <si>
    <t>2019E</t>
  </si>
  <si>
    <t>Current Q</t>
  </si>
  <si>
    <t>Long-term</t>
  </si>
  <si>
    <t>Thereafter</t>
  </si>
  <si>
    <t>Consolidated</t>
  </si>
  <si>
    <t>A320 CEO</t>
  </si>
  <si>
    <t>A320 NEO</t>
  </si>
  <si>
    <t>A321 CEO</t>
  </si>
  <si>
    <t>2020</t>
  </si>
  <si>
    <t>2021</t>
  </si>
  <si>
    <t>Average Ticket</t>
  </si>
  <si>
    <t>Current Year</t>
  </si>
  <si>
    <t>Sequential Change</t>
  </si>
  <si>
    <t>Last 5 Years</t>
  </si>
  <si>
    <t>Weight</t>
  </si>
  <si>
    <t>Wage Hike</t>
  </si>
  <si>
    <t>Pilot</t>
  </si>
  <si>
    <t>Flight Attendant</t>
  </si>
  <si>
    <t>N/A</t>
  </si>
  <si>
    <t>AC Capex</t>
  </si>
  <si>
    <t>Depreciation Rate</t>
  </si>
  <si>
    <t>Modeled Incr. Depreciation</t>
  </si>
  <si>
    <t>Incr. Depreciation</t>
  </si>
  <si>
    <t>2016A</t>
  </si>
  <si>
    <t>2020E</t>
  </si>
  <si>
    <t>Implied Per Share Value</t>
  </si>
  <si>
    <t xml:space="preserve">Long-term Debt Maturities: </t>
  </si>
  <si>
    <t>1QE</t>
  </si>
  <si>
    <t>2QE</t>
  </si>
  <si>
    <t>3QE</t>
  </si>
  <si>
    <t>SAVE.N</t>
  </si>
  <si>
    <t>SAVE.N,mscalc:sedolCodeCalc</t>
  </si>
  <si>
    <t>SAVE.N,mscalc:defaultCurrencyCalc</t>
  </si>
  <si>
    <t>$AT$2</t>
  </si>
  <si>
    <t>SAVE.N,mscalc:targetPrice</t>
  </si>
  <si>
    <t>SAVE.N,mscalc:closePriceCurrencyCalc</t>
  </si>
  <si>
    <t>SAVE.N,mscalc:targetPrice,,,,USD</t>
  </si>
  <si>
    <t>38</t>
  </si>
  <si>
    <t>SAVE.O,mscalc:closePriceCurrencyCalc</t>
  </si>
  <si>
    <t>SAVE.O,mscalc:sedolCodeCalc</t>
  </si>
  <si>
    <t>SAVE.O,mscalc:targetPrice,,,,USD</t>
  </si>
  <si>
    <t>NA</t>
  </si>
  <si>
    <t>UAL.N,mscalc:sedolCodeCalc</t>
  </si>
  <si>
    <t>B4QG225</t>
  </si>
  <si>
    <t>UAL.N,mscalc:targetPrice,,,,USD</t>
  </si>
  <si>
    <t>UAL.N,mscalc:closePriceCurrencyCalc</t>
  </si>
  <si>
    <t>UAL.N,mscalc:targetPrice</t>
  </si>
  <si>
    <t>62</t>
  </si>
  <si>
    <t>2017A</t>
  </si>
  <si>
    <t>1Q18</t>
  </si>
  <si>
    <t>2Q18</t>
  </si>
  <si>
    <t>3Q18</t>
  </si>
  <si>
    <t>4Q18</t>
  </si>
  <si>
    <t>2018 Tax Rate: 24%</t>
  </si>
  <si>
    <t>YE18</t>
  </si>
  <si>
    <t>YE17</t>
  </si>
  <si>
    <t>1Q19</t>
  </si>
  <si>
    <t>2Q19</t>
  </si>
  <si>
    <t>3Q19</t>
  </si>
  <si>
    <t>4Q19</t>
  </si>
  <si>
    <t>YE19</t>
  </si>
  <si>
    <t>YE21</t>
  </si>
  <si>
    <t>2018: $203-209M</t>
  </si>
  <si>
    <t>CASM ex-Fuel</t>
  </si>
  <si>
    <t>Adjusted for Pilot Contract</t>
  </si>
  <si>
    <t>2018 $9.8M capitalized interest</t>
  </si>
  <si>
    <t>1Q18: 68.3</t>
  </si>
  <si>
    <t>2018: 68.4</t>
  </si>
  <si>
    <t>2018: 0% Cash Tax Rate</t>
  </si>
  <si>
    <t>Working Capital Requirements FY18: Heavy Maint. $221, PDP net of refunds $20</t>
  </si>
  <si>
    <t>43</t>
  </si>
  <si>
    <t>2023 and beyond</t>
  </si>
  <si>
    <t>Matt Sharpe</t>
  </si>
  <si>
    <t>(212) 761-5156</t>
  </si>
  <si>
    <t>matt.sharpe@morganstanley.com</t>
  </si>
  <si>
    <t>1Q18: 1033, 2018: 1050</t>
  </si>
  <si>
    <t>2018: $19.4M interest income</t>
  </si>
  <si>
    <t>Gross Capex FY18 $649 ($354 Aircraft capex, $128 other capex) + $285M AER purchase, PDP $167</t>
  </si>
  <si>
    <t>FY 18 Proceeds from issuance of long-term debt $357 + AER funding</t>
  </si>
  <si>
    <t>2018: $190-196M + AER</t>
  </si>
  <si>
    <t>1Q18 RASM down 2.4%</t>
  </si>
  <si>
    <t>1Q18 CASM-Ex Fuel down 5.0%</t>
  </si>
  <si>
    <t>1Q18: 22.3%</t>
  </si>
  <si>
    <t>1Q18 $2.15/gal</t>
  </si>
  <si>
    <t>1Q18 95</t>
  </si>
  <si>
    <t>1Q18 $50.2</t>
  </si>
  <si>
    <t>1Q18 $39.3</t>
  </si>
  <si>
    <t>1Q18 $17.9M</t>
  </si>
  <si>
    <t>1Q18 -$2.3M</t>
  </si>
  <si>
    <t>1Q18: $4.1M</t>
  </si>
  <si>
    <t>Research</t>
  </si>
  <si>
    <t>MSA91FHR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</si>
  <si>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</si>
  <si>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</si>
  <si>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</si>
  <si>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</si>
  <si>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</si>
  <si>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</si>
  <si>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</si>
  <si>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Rajeev Lalwani</t>
  </si>
  <si>
    <t>Date: 11 Apr 2018</t>
  </si>
  <si>
    <t>Ticker: SAVE.N</t>
  </si>
  <si>
    <t>Stock Rating: Equal-Weight</t>
  </si>
  <si>
    <t>Industry: Airlines</t>
  </si>
  <si>
    <t>Industry View: In-Line</t>
  </si>
  <si>
    <t>Price as of 11 Apr 2018: 35.86</t>
  </si>
  <si>
    <t>Target Price: 44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</si>
  <si>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</si>
  <si>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</si>
  <si>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</si>
  <si>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</si>
  <si>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Spirit Airlines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</si>
  <si>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</si>
  <si>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</si>
  <si>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</si>
  <si>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</si>
  <si>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</si>
  <si>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</si>
  <si>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</si>
  <si>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</si>
  <si>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</si>
  <si>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</si>
  <si>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</si>
  <si>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</si>
  <si>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</si>
  <si>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</si>
  <si>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</si>
  <si>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</si>
  <si>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</si>
  <si>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</si>
  <si>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</si>
  <si>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</si>
  <si>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</si>
  <si>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</si>
  <si>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</si>
  <si>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</si>
  <si>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</si>
  <si>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</si>
  <si>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</si>
  <si>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</si>
  <si>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</si>
  <si>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</si>
  <si>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</si>
  <si>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</si>
  <si>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</si>
  <si>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</si>
  <si>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</si>
  <si>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</si>
  <si>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</si>
  <si>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</si>
  <si>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</si>
  <si>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</si>
  <si>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</si>
  <si>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</si>
  <si>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</si>
  <si>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</si>
  <si>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</si>
  <si>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</si>
  <si>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</si>
  <si>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</si>
  <si>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</si>
  <si>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</si>
  <si>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</si>
  <si>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</si>
  <si>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</si>
  <si>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</si>
  <si>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</si>
  <si>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</si>
  <si>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</si>
  <si>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</si>
  <si>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</si>
  <si>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</si>
  <si>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</si>
  <si>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</si>
  <si>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</si>
  <si>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</si>
  <si>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</si>
  <si>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</si>
  <si>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</si>
  <si>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</si>
  <si>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</si>
  <si>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</si>
  <si>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</si>
  <si>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</si>
  <si>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</si>
  <si>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</si>
  <si>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</si>
  <si>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</si>
  <si>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</si>
  <si>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</si>
  <si>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</si>
  <si>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</si>
  <si>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</si>
  <si>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</si>
  <si>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</si>
  <si>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</si>
  <si>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</si>
  <si>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</si>
  <si>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</si>
  <si>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</si>
  <si>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</si>
  <si>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</si>
  <si>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</si>
  <si>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</si>
  <si>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</si>
  <si>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</si>
  <si>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</si>
  <si>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</si>
  <si>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</si>
  <si>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</si>
  <si>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</si>
  <si>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</si>
  <si>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</si>
  <si>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</si>
  <si>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</si>
  <si>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</si>
  <si>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</si>
  <si>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</si>
  <si>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</si>
  <si>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</si>
  <si>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</si>
  <si>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</si>
  <si>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</si>
  <si>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</si>
  <si>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</si>
  <si>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</si>
  <si>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</si>
  <si>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</si>
  <si>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</si>
  <si>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</si>
  <si>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</si>
  <si>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</si>
  <si>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</si>
  <si>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</si>
  <si>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</si>
  <si>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</si>
  <si>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</si>
  <si>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</si>
  <si>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</si>
  <si>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</si>
  <si>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</si>
  <si>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</si>
  <si>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</si>
  <si>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</si>
  <si>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</si>
  <si>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</si>
  <si>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</si>
  <si>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</si>
  <si>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</si>
  <si>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</si>
  <si>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</si>
  <si>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</si>
  <si>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</si>
  <si>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</si>
  <si>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</si>
  <si>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</si>
  <si>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</si>
  <si>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</si>
  <si>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</si>
  <si>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</si>
  <si>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</si>
  <si>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</si>
  <si>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</si>
  <si>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</si>
  <si>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</si>
  <si>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</si>
  <si>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</si>
  <si>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</si>
  <si>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</si>
  <si>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</si>
  <si>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</si>
  <si>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</si>
  <si>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</si>
  <si>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</si>
  <si>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</si>
  <si>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</si>
  <si>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</si>
  <si>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</si>
  <si>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</si>
  <si>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</si>
  <si>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</si>
  <si>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</si>
  <si>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</si>
  <si>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</si>
  <si>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</si>
  <si>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</si>
  <si>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</si>
  <si>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</si>
  <si>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</si>
  <si>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</si>
  <si>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</si>
  <si>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</si>
  <si>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</si>
  <si>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</si>
  <si>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</si>
  <si>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</si>
  <si>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</si>
  <si>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</si>
  <si>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</si>
  <si>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</si>
  <si>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</si>
  <si>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</si>
  <si>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</si>
  <si>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</si>
  <si>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</si>
  <si>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</si>
  <si>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</si>
  <si>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</si>
  <si>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</si>
  <si>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</si>
  <si>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</si>
  <si>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</si>
  <si>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</si>
  <si>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</si>
  <si>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</si>
  <si>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</si>
  <si>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</si>
  <si>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</si>
  <si>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</si>
  <si>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</si>
  <si>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</si>
  <si>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</si>
  <si>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</si>
  <si>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</si>
  <si>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</si>
  <si>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</si>
  <si>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</si>
  <si>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</si>
  <si>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</si>
  <si>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</si>
  <si>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</si>
  <si>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</si>
  <si>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</si>
  <si>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</si>
  <si>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</si>
  <si>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</si>
  <si>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</si>
  <si>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</si>
  <si>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</si>
  <si>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</si>
  <si>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</si>
  <si>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</si>
  <si>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</si>
  <si>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</si>
  <si>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</si>
  <si>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</si>
  <si>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</si>
  <si>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</si>
  <si>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</si>
  <si>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</si>
  <si>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</si>
  <si>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</si>
  <si>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</si>
  <si>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</si>
  <si>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</si>
  <si>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Spirit Airlines Inc..</t>
  </si>
  <si>
    <t>Within the last 12 months, Morgan Stanley has provided or is providing investment banking services to,</t>
  </si>
  <si>
    <t>or has an investment banking client relationship with, the following company: Spirit Airlines Inc..</t>
  </si>
  <si>
    <t>Within the last 12 months, Morgan Stanley has received compensation for products and services other than</t>
  </si>
  <si>
    <t>investment banking services from Spirit Airlines Inc..</t>
  </si>
  <si>
    <t>In the next 3 months, Morgan Stanley expects to receive or intends to seek compensation for investment</t>
  </si>
  <si>
    <t>banking services from Spirit Airlines Inc..</t>
  </si>
  <si>
    <t>Within the last 12 months, Morgan Stanley has received compensation for investment banking services from</t>
  </si>
  <si>
    <t>Spirit Airlines Inc..</t>
  </si>
  <si>
    <t>Within the last 12 months, Morgan Stanley managed or co-managed a public offering (or 144A offering) of</t>
  </si>
  <si>
    <t>securities of Spirit Airlines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</si>
  <si>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</si>
  <si>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</si>
  <si>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</si>
  <si>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</si>
  <si>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</si>
  <si>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Rajeev Lalwani,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</si>
  <si>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</si>
  <si>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</si>
  <si>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</si>
  <si>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</si>
  <si>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</si>
  <si>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</si>
  <si>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</si>
  <si>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</si>
  <si>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</si>
  <si>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</si>
  <si>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</si>
  <si>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</si>
  <si>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</si>
  <si>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</si>
  <si>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</si>
  <si>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</si>
  <si>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</si>
  <si>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</si>
  <si>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</si>
  <si>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</si>
  <si>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</si>
  <si>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</si>
  <si>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</si>
  <si>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</si>
  <si>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</si>
  <si>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</si>
  <si>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</si>
  <si>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</si>
  <si>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</si>
  <si>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</si>
  <si>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</si>
  <si>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</si>
  <si>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</si>
  <si>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</si>
  <si>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</si>
  <si>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</si>
  <si>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</si>
  <si>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</si>
  <si>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</si>
  <si>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</si>
  <si>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</si>
  <si>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</si>
  <si>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</si>
  <si>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</si>
  <si>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</si>
  <si>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</si>
  <si>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</si>
  <si>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</si>
  <si>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</si>
  <si>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</si>
  <si>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</si>
  <si>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</si>
  <si>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</si>
  <si>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</si>
  <si>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</si>
  <si>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</si>
  <si>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</si>
  <si>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</si>
  <si>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</si>
  <si>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</si>
  <si>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</si>
  <si>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</si>
  <si>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</si>
  <si>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</si>
  <si>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</si>
  <si>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</si>
  <si>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</si>
  <si>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</si>
  <si>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</si>
  <si>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</si>
  <si>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</si>
  <si>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sharpmat</t>
  </si>
  <si>
    <t>L:\FREIGHT-NY\WG Airlines\Spirit\SpiritQQ.WIP.xlsm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</si>
  <si>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</si>
  <si>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</si>
  <si>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</si>
  <si>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</si>
  <si>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</si>
  <si>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</si>
  <si>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12:13]</t>
  </si>
  <si>
    <t>[PSYM SAVE.N(S&amp;P) (None)]</t>
  </si>
  <si>
    <t>[COU 1]</t>
  </si>
  <si>
    <t>[ANA ]</t>
  </si>
  <si>
    <t>[HL SAVE.N Model]</t>
  </si>
  <si>
    <t>[IND AIRTRN]</t>
  </si>
  <si>
    <t>[PANA MSA91FHR]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</si>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</sst>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&quot;$&quot;#,##0"/>
    <numFmt numFmtId="166" formatCode="&quot;$&quot;#,##0.00"/>
    <numFmt numFmtId="167" formatCode="0.0"/>
    <numFmt numFmtId="168" formatCode="0.0%"/>
    <numFmt numFmtId="169" formatCode="&quot;$&quot;#,##0.0"/>
    <numFmt numFmtId="170" formatCode="&quot;$&quot;#,##0.0_);\(&quot;$&quot;#,##0.0\)"/>
    <numFmt numFmtId="171" formatCode="m/d/yy;@"/>
    <numFmt numFmtId="172" formatCode="0_);\(0\)"/>
    <numFmt numFmtId="173" formatCode="#,##0.000"/>
    <numFmt numFmtId="174" formatCode="_(* #,##0_);_(* \(#,##0\);_(* &quot;-&quot;??_);_(@_)"/>
    <numFmt numFmtId="175" formatCode="&quot;$&quot;#,##0.000_);\(&quot;$&quot;#,##0.000\)"/>
    <numFmt numFmtId="176" formatCode="&quot;$&quot;#,##0.0000_);\(&quot;$&quot;#,##0.0000\)"/>
    <numFmt numFmtId="177" formatCode="0.0\x"/>
    <numFmt numFmtId="178" formatCode="0&quot;e&quot;"/>
    <numFmt numFmtId="179" formatCode="[$-F400]h:mm:ss\ AM/PM"/>
    <numFmt numFmtId="180" formatCode="0&quot;E&quot;"/>
    <numFmt numFmtId="181" formatCode="0.0000"/>
    <numFmt numFmtId="182" formatCode="&quot;$&quot;#,##0.000_);[Red]\(&quot;$&quot;#,##0.000\)"/>
    <numFmt numFmtId="183" formatCode="mm/dd/yy\ hh:mm"/>
  </numFmts>
  <fonts count="8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sz val="10"/>
      <name val="MS Sans Serif"/>
      <family val="2"/>
    </font>
    <font>
      <sz val="10"/>
      <color indexed="8"/>
      <name val="Times New Roman"/>
      <family val="1"/>
    </font>
    <font>
      <sz val="11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i/>
      <sz val="8"/>
      <name val="Times New Roman"/>
      <family val="1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8"/>
      <color indexed="12"/>
      <name val="Arial"/>
      <family val="2"/>
    </font>
    <font>
      <sz val="8"/>
      <color indexed="9"/>
      <name val="Arial"/>
      <family val="2"/>
    </font>
    <font>
      <b/>
      <sz val="12"/>
      <color indexed="12"/>
      <name val="Arial"/>
      <family val="2"/>
    </font>
    <font>
      <i/>
      <sz val="10"/>
      <color indexed="9"/>
      <name val="Arial"/>
      <family val="2"/>
    </font>
    <font>
      <sz val="10"/>
      <name val="Courier"/>
      <family val="3"/>
    </font>
    <font>
      <sz val="8"/>
      <color indexed="12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58"/>
      <name val="Arial"/>
      <family val="2"/>
    </font>
    <font>
      <sz val="10"/>
      <name val="Arial"/>
      <family val="2"/>
    </font>
    <font>
      <i/>
      <sz val="8"/>
      <color indexed="8"/>
      <name val="Arial"/>
      <family val="2"/>
    </font>
    <font>
      <b/>
      <sz val="11"/>
      <color indexed="16"/>
      <name val="Arial"/>
      <family val="2"/>
    </font>
    <font>
      <b/>
      <sz val="10"/>
      <color indexed="16"/>
      <name val="Arial"/>
      <family val="2"/>
    </font>
    <font>
      <sz val="10"/>
      <color indexed="16"/>
      <name val="Arial"/>
      <family val="2"/>
    </font>
    <font>
      <b/>
      <sz val="12"/>
      <color indexed="9"/>
      <name val="Arial"/>
      <family val="2"/>
    </font>
    <font>
      <b/>
      <sz val="18"/>
      <color indexed="9"/>
      <name val="Arial"/>
      <family val="2"/>
    </font>
    <font>
      <sz val="12"/>
      <color indexed="16"/>
      <name val="Arial"/>
      <family val="2"/>
    </font>
    <font>
      <b/>
      <sz val="14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70C0"/>
      <name val="Arial"/>
      <family val="2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sz val="10"/>
      <color rgb="FF002060"/>
      <name val="Times New Roman"/>
      <family val="1"/>
    </font>
    <font>
      <b/>
      <sz val="10"/>
      <color rgb="FF002060"/>
      <name val="Arial"/>
      <family val="2"/>
    </font>
    <font>
      <b/>
      <sz val="11"/>
      <color rgb="FF002060"/>
      <name val="Arial"/>
      <family val="2"/>
    </font>
    <font>
      <sz val="10"/>
      <color rgb="FF002060"/>
      <name val="Arial"/>
      <family val="2"/>
    </font>
    <font>
      <i/>
      <sz val="10"/>
      <color rgb="FF0070C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u/>
      <sz val="10"/>
      <color rgb="FF0070C0"/>
      <name val="Arial"/>
      <family val="2"/>
    </font>
    <font>
      <sz val="8"/>
      <color rgb="FFFF0000"/>
      <name val="Arial"/>
      <family val="2"/>
    </font>
    <font>
      <i/>
      <sz val="8"/>
      <color rgb="FF0070C0"/>
      <name val="Arial"/>
      <family val="2"/>
    </font>
    <font>
      <sz val="8"/>
      <color rgb="FF137CB1"/>
      <name val="Arial"/>
      <family val="2"/>
    </font>
    <font>
      <b/>
      <sz val="8"/>
      <name val="Times New Roman"/>
      <family val="1"/>
    </font>
    <font>
      <sz val="8"/>
      <color rgb="FF00843C"/>
      <name val="Arial"/>
      <family val="2"/>
    </font>
    <font>
      <b/>
      <sz val="8"/>
      <color rgb="FF00843C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ck">
        <color indexed="64"/>
      </left>
      <right/>
      <top/>
      <bottom style="thin">
        <color indexed="64"/>
      </bottom>
      <diagonal/>
    </border>
    <border diagonalDown="1">
      <left style="thick">
        <color indexed="64"/>
      </left>
      <right/>
      <top/>
      <bottom/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4">
    <xf numFmtId="0" fontId="0" fillId="0" borderId="0"/>
    <xf numFmtId="0" fontId="1" fillId="0" borderId="0"/>
    <xf numFmtId="0" fontId="1" fillId="0" borderId="0"/>
    <xf numFmtId="0" fontId="53" fillId="0" borderId="0"/>
    <xf numFmtId="0" fontId="3" fillId="0" borderId="0" applyNumberFormat="0" applyFont="0" applyFill="0" applyBorder="0" applyAlignment="0" applyProtection="0"/>
    <xf numFmtId="0" fontId="1" fillId="0" borderId="0"/>
    <xf numFmtId="0" fontId="1" fillId="18" borderId="0" applyNumberFormat="0" applyFont="0" applyBorder="0" applyAlignment="0" applyProtection="0"/>
    <xf numFmtId="0" fontId="12" fillId="0" borderId="0"/>
    <xf numFmtId="0" fontId="12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2" borderId="0" applyNumberFormat="0" applyBorder="0" applyAlignment="0" applyProtection="0"/>
    <xf numFmtId="0" fontId="36" fillId="5" borderId="0" applyNumberFormat="0" applyBorder="0" applyAlignment="0" applyProtection="0"/>
    <xf numFmtId="0" fontId="36" fillId="4" borderId="0" applyNumberFormat="0" applyBorder="0" applyAlignment="0" applyProtection="0"/>
    <xf numFmtId="0" fontId="36" fillId="6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4" borderId="0" applyNumberFormat="0" applyBorder="0" applyAlignment="0" applyProtection="0"/>
    <xf numFmtId="0" fontId="37" fillId="8" borderId="0" applyNumberFormat="0" applyBorder="0" applyAlignment="0" applyProtection="0"/>
    <xf numFmtId="0" fontId="37" fillId="3" borderId="0" applyNumberFormat="0" applyBorder="0" applyAlignment="0" applyProtection="0"/>
    <xf numFmtId="0" fontId="37" fillId="9" borderId="0" applyNumberFormat="0" applyBorder="0" applyAlignment="0" applyProtection="0"/>
    <xf numFmtId="0" fontId="37" fillId="6" borderId="0" applyNumberFormat="0" applyBorder="0" applyAlignment="0" applyProtection="0"/>
    <xf numFmtId="0" fontId="37" fillId="8" borderId="0" applyNumberFormat="0" applyBorder="0" applyAlignment="0" applyProtection="0"/>
    <xf numFmtId="0" fontId="37" fillId="4" borderId="0" applyNumberFormat="0" applyBorder="0" applyAlignment="0" applyProtection="0"/>
    <xf numFmtId="0" fontId="37" fillId="8" borderId="0" applyNumberFormat="0" applyBorder="0" applyAlignment="0" applyProtection="0"/>
    <xf numFmtId="0" fontId="37" fillId="3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8" borderId="0" applyNumberFormat="0" applyBorder="0" applyAlignment="0" applyProtection="0"/>
    <xf numFmtId="0" fontId="37" fillId="3" borderId="0" applyNumberFormat="0" applyBorder="0" applyAlignment="0" applyProtection="0"/>
    <xf numFmtId="0" fontId="38" fillId="11" borderId="0" applyNumberFormat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39" fillId="12" borderId="4" applyNumberFormat="0" applyAlignment="0" applyProtection="0"/>
    <xf numFmtId="0" fontId="40" fillId="13" borderId="5" applyNumberFormat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3" fillId="0" borderId="11" applyNumberFormat="0" applyFill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5" fillId="0" borderId="0" applyNumberFormat="0" applyFill="0" applyBorder="0" applyAlignment="0" applyProtection="0"/>
    <xf numFmtId="0" fontId="35" fillId="7" borderId="0" applyNumberFormat="0" applyFont="0" applyBorder="0" applyAlignment="0">
      <protection locked="0"/>
    </xf>
    <xf numFmtId="0" fontId="46" fillId="0" borderId="15" applyNumberFormat="0" applyFill="0" applyAlignment="0" applyProtection="0"/>
    <xf numFmtId="0" fontId="47" fillId="4" borderId="0" applyNumberFormat="0" applyBorder="0" applyAlignment="0" applyProtection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29" fillId="0" borderId="0"/>
    <xf numFmtId="0" fontId="1" fillId="4" borderId="17" applyNumberFormat="0" applyFont="0" applyAlignment="0" applyProtection="0"/>
    <xf numFmtId="0" fontId="48" fillId="12" borderId="18" applyNumberFormat="0" applyAlignment="0" applyProtection="0"/>
    <xf numFmtId="0" fontId="16" fillId="0" borderId="0">
      <alignment vertical="center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8" borderId="0" applyNumberFormat="0" applyFont="0" applyBorder="0" applyAlignment="0" applyProtection="0"/>
    <xf numFmtId="0" fontId="13" fillId="0" borderId="0"/>
    <xf numFmtId="0" fontId="13" fillId="0" borderId="19">
      <alignment horizontal="centerContinuous"/>
    </xf>
    <xf numFmtId="0" fontId="17" fillId="0" borderId="19"/>
    <xf numFmtId="0" fontId="8" fillId="17" borderId="10" applyNumberFormat="0" applyProtection="0">
      <alignment wrapText="1"/>
    </xf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51" fillId="0" borderId="0" applyNumberFormat="0" applyFill="0" applyBorder="0" applyAlignment="0" applyProtection="0"/>
    <xf numFmtId="0" fontId="29" fillId="0" borderId="0"/>
  </cellStyleXfs>
  <cellXfs count="930">
    <xf numFmtId="0" fontId="0" fillId="0" borderId="0" xfId="0"/>
    <xf numFmtId="0" fontId="1" fillId="0" borderId="0" xfId="1"/>
    <xf numFmtId="0" fontId="11" fillId="0" borderId="0" xfId="0" applyFont="1" applyFill="1" applyBorder="1"/>
    <xf numFmtId="0" fontId="22" fillId="0" borderId="0" xfId="0" applyFont="1" applyFill="1" applyBorder="1"/>
    <xf numFmtId="0" fontId="18" fillId="0" borderId="0" xfId="0" applyFont="1" applyFill="1" applyBorder="1"/>
    <xf numFmtId="0" fontId="22" fillId="15" borderId="0" xfId="0" applyFont="1" applyFill="1" applyBorder="1"/>
    <xf numFmtId="0" fontId="11" fillId="0" borderId="0" xfId="0" applyFont="1" applyFill="1" applyBorder="1" applyAlignment="1">
      <alignment horizontal="right"/>
    </xf>
    <xf numFmtId="49" fontId="0" fillId="0" borderId="0" xfId="0" applyNumberFormat="1"/>
    <xf numFmtId="0" fontId="19" fillId="19" borderId="0" xfId="59" applyFont="1" applyFill="1" applyBorder="1" applyAlignment="1">
      <alignment horizontal="left"/>
    </xf>
    <xf numFmtId="0" fontId="19" fillId="20" borderId="0" xfId="59" applyFont="1" applyFill="1" applyBorder="1" applyAlignment="1">
      <alignment horizontal="left"/>
    </xf>
    <xf numFmtId="165" fontId="22" fillId="15" borderId="0" xfId="59" applyNumberFormat="1" applyFont="1" applyFill="1" applyBorder="1" applyAlignment="1" applyProtection="1">
      <alignment horizontal="left"/>
      <protection locked="0"/>
    </xf>
    <xf numFmtId="165" fontId="22" fillId="15" borderId="0" xfId="59" applyNumberFormat="1" applyFont="1" applyFill="1" applyBorder="1" applyAlignment="1" applyProtection="1">
      <alignment horizontal="right"/>
      <protection locked="0"/>
    </xf>
    <xf numFmtId="165" fontId="22" fillId="15" borderId="7" xfId="59" applyNumberFormat="1" applyFont="1" applyFill="1" applyBorder="1" applyAlignment="1" applyProtection="1">
      <alignment horizontal="right"/>
      <protection locked="0"/>
    </xf>
    <xf numFmtId="0" fontId="22" fillId="17" borderId="0" xfId="0" applyFont="1" applyFill="1"/>
    <xf numFmtId="0" fontId="22" fillId="15" borderId="0" xfId="0" applyFont="1" applyFill="1"/>
    <xf numFmtId="0" fontId="8" fillId="19" borderId="0" xfId="0" applyFont="1" applyFill="1"/>
    <xf numFmtId="173" fontId="11" fillId="17" borderId="0" xfId="0" applyNumberFormat="1" applyFont="1" applyFill="1"/>
    <xf numFmtId="0" fontId="11" fillId="17" borderId="0" xfId="0" applyFont="1" applyFill="1"/>
    <xf numFmtId="168" fontId="8" fillId="17" borderId="0" xfId="0" applyNumberFormat="1" applyFont="1" applyFill="1"/>
    <xf numFmtId="3" fontId="11" fillId="17" borderId="0" xfId="56" applyNumberFormat="1" applyFont="1" applyFill="1" applyBorder="1"/>
    <xf numFmtId="3" fontId="8" fillId="17" borderId="0" xfId="0" applyNumberFormat="1" applyFont="1" applyFill="1"/>
    <xf numFmtId="0" fontId="11" fillId="17" borderId="0" xfId="0" applyFont="1" applyFill="1" applyBorder="1"/>
    <xf numFmtId="168" fontId="8" fillId="17" borderId="23" xfId="0" applyNumberFormat="1" applyFont="1" applyFill="1" applyBorder="1"/>
    <xf numFmtId="167" fontId="8" fillId="17" borderId="0" xfId="0" applyNumberFormat="1" applyFont="1" applyFill="1"/>
    <xf numFmtId="168" fontId="11" fillId="17" borderId="0" xfId="0" applyNumberFormat="1" applyFont="1" applyFill="1" applyBorder="1"/>
    <xf numFmtId="2" fontId="8" fillId="17" borderId="0" xfId="0" applyNumberFormat="1" applyFont="1" applyFill="1"/>
    <xf numFmtId="167" fontId="31" fillId="17" borderId="0" xfId="0" applyNumberFormat="1" applyFont="1" applyFill="1" applyBorder="1"/>
    <xf numFmtId="168" fontId="8" fillId="17" borderId="2" xfId="0" applyNumberFormat="1" applyFont="1" applyFill="1" applyBorder="1"/>
    <xf numFmtId="165" fontId="11" fillId="17" borderId="0" xfId="0" applyNumberFormat="1" applyFont="1" applyFill="1" applyBorder="1"/>
    <xf numFmtId="165" fontId="8" fillId="17" borderId="0" xfId="0" applyNumberFormat="1" applyFont="1" applyFill="1"/>
    <xf numFmtId="168" fontId="11" fillId="17" borderId="0" xfId="0" applyNumberFormat="1" applyFont="1" applyFill="1"/>
    <xf numFmtId="166" fontId="11" fillId="17" borderId="0" xfId="0" applyNumberFormat="1" applyFont="1" applyFill="1" applyBorder="1"/>
    <xf numFmtId="166" fontId="8" fillId="17" borderId="0" xfId="0" applyNumberFormat="1" applyFont="1" applyFill="1"/>
    <xf numFmtId="166" fontId="8" fillId="17" borderId="23" xfId="0" applyNumberFormat="1" applyFont="1" applyFill="1" applyBorder="1"/>
    <xf numFmtId="0" fontId="20" fillId="17" borderId="0" xfId="57" applyFont="1" applyFill="1" applyBorder="1"/>
    <xf numFmtId="0" fontId="8" fillId="17" borderId="0" xfId="0" applyFont="1" applyFill="1"/>
    <xf numFmtId="7" fontId="8" fillId="17" borderId="0" xfId="0" applyNumberFormat="1" applyFont="1" applyFill="1"/>
    <xf numFmtId="7" fontId="30" fillId="17" borderId="0" xfId="0" applyNumberFormat="1" applyFont="1" applyFill="1"/>
    <xf numFmtId="7" fontId="11" fillId="17" borderId="0" xfId="0" applyNumberFormat="1" applyFont="1" applyFill="1" applyBorder="1"/>
    <xf numFmtId="164" fontId="8" fillId="17" borderId="23" xfId="0" applyNumberFormat="1" applyFont="1" applyFill="1" applyBorder="1"/>
    <xf numFmtId="167" fontId="20" fillId="17" borderId="0" xfId="0" applyNumberFormat="1" applyFont="1" applyFill="1"/>
    <xf numFmtId="167" fontId="11" fillId="17" borderId="0" xfId="0" applyNumberFormat="1" applyFont="1" applyFill="1" applyBorder="1"/>
    <xf numFmtId="168" fontId="11" fillId="17" borderId="0" xfId="0" applyNumberFormat="1" applyFont="1" applyFill="1" applyBorder="1" applyAlignment="1">
      <alignment horizontal="left" indent="1"/>
    </xf>
    <xf numFmtId="2" fontId="8" fillId="17" borderId="23" xfId="0" applyNumberFormat="1" applyFont="1" applyFill="1" applyBorder="1"/>
    <xf numFmtId="170" fontId="22" fillId="17" borderId="0" xfId="0" applyNumberFormat="1" applyFont="1" applyFill="1" applyBorder="1"/>
    <xf numFmtId="170" fontId="22" fillId="17" borderId="0" xfId="0" applyNumberFormat="1" applyFont="1" applyFill="1"/>
    <xf numFmtId="5" fontId="22" fillId="17" borderId="0" xfId="0" applyNumberFormat="1" applyFont="1" applyFill="1" applyBorder="1"/>
    <xf numFmtId="168" fontId="22" fillId="17" borderId="0" xfId="0" applyNumberFormat="1" applyFont="1" applyFill="1" applyBorder="1"/>
    <xf numFmtId="168" fontId="22" fillId="17" borderId="0" xfId="0" applyNumberFormat="1" applyFont="1" applyFill="1"/>
    <xf numFmtId="5" fontId="20" fillId="17" borderId="0" xfId="0" applyNumberFormat="1" applyFont="1" applyFill="1" applyBorder="1" applyAlignment="1">
      <alignment horizontal="left" indent="1"/>
    </xf>
    <xf numFmtId="5" fontId="20" fillId="17" borderId="0" xfId="0" applyNumberFormat="1" applyFont="1" applyFill="1"/>
    <xf numFmtId="5" fontId="8" fillId="17" borderId="0" xfId="0" applyNumberFormat="1" applyFont="1" applyFill="1"/>
    <xf numFmtId="5" fontId="24" fillId="17" borderId="2" xfId="0" applyNumberFormat="1" applyFont="1" applyFill="1" applyBorder="1"/>
    <xf numFmtId="5" fontId="33" fillId="17" borderId="2" xfId="0" applyNumberFormat="1" applyFont="1" applyFill="1" applyBorder="1"/>
    <xf numFmtId="5" fontId="11" fillId="17" borderId="0" xfId="0" applyNumberFormat="1" applyFont="1" applyFill="1"/>
    <xf numFmtId="168" fontId="8" fillId="17" borderId="0" xfId="0" applyNumberFormat="1" applyFont="1" applyFill="1" applyAlignment="1">
      <alignment horizontal="right"/>
    </xf>
    <xf numFmtId="5" fontId="11" fillId="17" borderId="3" xfId="0" applyNumberFormat="1" applyFont="1" applyFill="1" applyBorder="1"/>
    <xf numFmtId="5" fontId="8" fillId="17" borderId="3" xfId="0" applyNumberFormat="1" applyFont="1" applyFill="1" applyBorder="1"/>
    <xf numFmtId="5" fontId="11" fillId="17" borderId="0" xfId="0" applyNumberFormat="1" applyFont="1" applyFill="1" applyBorder="1"/>
    <xf numFmtId="170" fontId="8" fillId="17" borderId="3" xfId="0" applyNumberFormat="1" applyFont="1" applyFill="1" applyBorder="1"/>
    <xf numFmtId="0" fontId="8" fillId="17" borderId="2" xfId="0" applyFont="1" applyFill="1" applyBorder="1"/>
    <xf numFmtId="7" fontId="22" fillId="17" borderId="8" xfId="57" applyNumberFormat="1" applyFont="1" applyFill="1" applyBorder="1"/>
    <xf numFmtId="7" fontId="22" fillId="17" borderId="2" xfId="0" applyNumberFormat="1" applyFont="1" applyFill="1" applyBorder="1"/>
    <xf numFmtId="1" fontId="8" fillId="17" borderId="0" xfId="0" applyNumberFormat="1" applyFont="1" applyFill="1"/>
    <xf numFmtId="165" fontId="20" fillId="17" borderId="0" xfId="0" applyNumberFormat="1" applyFont="1" applyFill="1" applyBorder="1"/>
    <xf numFmtId="170" fontId="31" fillId="17" borderId="0" xfId="57" applyNumberFormat="1" applyFont="1" applyFill="1" applyBorder="1"/>
    <xf numFmtId="170" fontId="8" fillId="17" borderId="0" xfId="0" applyNumberFormat="1" applyFont="1" applyFill="1"/>
    <xf numFmtId="170" fontId="31" fillId="17" borderId="23" xfId="57" applyNumberFormat="1" applyFont="1" applyFill="1" applyBorder="1"/>
    <xf numFmtId="170" fontId="8" fillId="17" borderId="23" xfId="0" applyNumberFormat="1" applyFont="1" applyFill="1" applyBorder="1"/>
    <xf numFmtId="7" fontId="8" fillId="17" borderId="8" xfId="0" applyNumberFormat="1" applyFont="1" applyFill="1" applyBorder="1"/>
    <xf numFmtId="0" fontId="8" fillId="15" borderId="8" xfId="0" applyFont="1" applyFill="1" applyBorder="1"/>
    <xf numFmtId="170" fontId="11" fillId="17" borderId="0" xfId="0" applyNumberFormat="1" applyFont="1" applyFill="1" applyBorder="1"/>
    <xf numFmtId="170" fontId="8" fillId="17" borderId="0" xfId="0" applyNumberFormat="1" applyFont="1" applyFill="1" applyBorder="1"/>
    <xf numFmtId="7" fontId="19" fillId="19" borderId="0" xfId="0" applyNumberFormat="1" applyFont="1" applyFill="1" applyBorder="1"/>
    <xf numFmtId="170" fontId="22" fillId="17" borderId="0" xfId="0" applyNumberFormat="1" applyFont="1" applyFill="1" applyBorder="1" applyAlignment="1"/>
    <xf numFmtId="169" fontId="8" fillId="17" borderId="0" xfId="0" applyNumberFormat="1" applyFont="1" applyFill="1"/>
    <xf numFmtId="170" fontId="25" fillId="17" borderId="0" xfId="0" applyNumberFormat="1" applyFont="1" applyFill="1"/>
    <xf numFmtId="170" fontId="34" fillId="17" borderId="0" xfId="0" applyNumberFormat="1" applyFont="1" applyFill="1"/>
    <xf numFmtId="0" fontId="18" fillId="19" borderId="20" xfId="0" applyFont="1" applyFill="1" applyBorder="1"/>
    <xf numFmtId="0" fontId="22" fillId="17" borderId="0" xfId="0" applyFont="1" applyFill="1" applyBorder="1"/>
    <xf numFmtId="170" fontId="11" fillId="17" borderId="0" xfId="0" applyNumberFormat="1" applyFont="1" applyFill="1"/>
    <xf numFmtId="5" fontId="22" fillId="17" borderId="0" xfId="0" applyNumberFormat="1" applyFont="1" applyFill="1"/>
    <xf numFmtId="170" fontId="22" fillId="17" borderId="23" xfId="0" applyNumberFormat="1" applyFont="1" applyFill="1" applyBorder="1"/>
    <xf numFmtId="0" fontId="11" fillId="15" borderId="0" xfId="0" applyFont="1" applyFill="1"/>
    <xf numFmtId="167" fontId="11" fillId="17" borderId="0" xfId="38" applyNumberFormat="1" applyFont="1" applyFill="1"/>
    <xf numFmtId="5" fontId="23" fillId="17" borderId="0" xfId="0" applyNumberFormat="1" applyFont="1" applyFill="1" applyBorder="1"/>
    <xf numFmtId="168" fontId="23" fillId="17" borderId="0" xfId="0" applyNumberFormat="1" applyFont="1" applyFill="1" applyBorder="1"/>
    <xf numFmtId="5" fontId="19" fillId="19" borderId="0" xfId="0" applyNumberFormat="1" applyFont="1" applyFill="1" applyBorder="1"/>
    <xf numFmtId="7" fontId="11" fillId="19" borderId="0" xfId="0" applyNumberFormat="1" applyFont="1" applyFill="1" applyBorder="1"/>
    <xf numFmtId="171" fontId="22" fillId="17" borderId="0" xfId="0" applyNumberFormat="1" applyFont="1" applyFill="1" applyBorder="1"/>
    <xf numFmtId="172" fontId="23" fillId="17" borderId="0" xfId="0" applyNumberFormat="1" applyFont="1" applyFill="1" applyBorder="1"/>
    <xf numFmtId="7" fontId="23" fillId="17" borderId="0" xfId="0" applyNumberFormat="1" applyFont="1" applyFill="1" applyBorder="1"/>
    <xf numFmtId="165" fontId="22" fillId="17" borderId="0" xfId="0" applyNumberFormat="1" applyFont="1" applyFill="1" applyBorder="1"/>
    <xf numFmtId="5" fontId="21" fillId="17" borderId="0" xfId="0" applyNumberFormat="1" applyFont="1" applyFill="1" applyBorder="1"/>
    <xf numFmtId="167" fontId="21" fillId="17" borderId="0" xfId="0" applyNumberFormat="1" applyFont="1" applyFill="1" applyBorder="1"/>
    <xf numFmtId="0" fontId="19" fillId="19" borderId="20" xfId="0" applyFont="1" applyFill="1" applyBorder="1"/>
    <xf numFmtId="0" fontId="11" fillId="17" borderId="0" xfId="0" applyFont="1" applyFill="1" applyBorder="1" applyAlignment="1">
      <alignment horizontal="right"/>
    </xf>
    <xf numFmtId="0" fontId="11" fillId="17" borderId="24" xfId="0" applyFont="1" applyFill="1" applyBorder="1"/>
    <xf numFmtId="0" fontId="11" fillId="17" borderId="25" xfId="0" applyFont="1" applyFill="1" applyBorder="1"/>
    <xf numFmtId="0" fontId="11" fillId="17" borderId="6" xfId="0" applyFont="1" applyFill="1" applyBorder="1"/>
    <xf numFmtId="0" fontId="22" fillId="17" borderId="0" xfId="0" applyFont="1" applyFill="1" applyBorder="1" applyAlignment="1">
      <alignment horizontal="center"/>
    </xf>
    <xf numFmtId="0" fontId="22" fillId="17" borderId="26" xfId="0" applyFont="1" applyFill="1" applyBorder="1" applyAlignment="1">
      <alignment horizontal="center"/>
    </xf>
    <xf numFmtId="9" fontId="11" fillId="17" borderId="0" xfId="0" applyNumberFormat="1" applyFont="1" applyFill="1" applyBorder="1" applyAlignment="1">
      <alignment horizontal="center"/>
    </xf>
    <xf numFmtId="9" fontId="11" fillId="21" borderId="0" xfId="0" applyNumberFormat="1" applyFont="1" applyFill="1" applyBorder="1"/>
    <xf numFmtId="9" fontId="11" fillId="21" borderId="0" xfId="0" applyNumberFormat="1" applyFont="1" applyFill="1" applyBorder="1" applyAlignment="1">
      <alignment horizontal="center"/>
    </xf>
    <xf numFmtId="9" fontId="22" fillId="21" borderId="0" xfId="0" applyNumberFormat="1" applyFont="1" applyFill="1" applyBorder="1" applyAlignment="1">
      <alignment horizontal="center"/>
    </xf>
    <xf numFmtId="0" fontId="8" fillId="0" borderId="0" xfId="0" applyFont="1" applyBorder="1"/>
    <xf numFmtId="168" fontId="11" fillId="17" borderId="0" xfId="0" applyNumberFormat="1" applyFont="1" applyFill="1" applyBorder="1" applyAlignment="1">
      <alignment horizontal="center"/>
    </xf>
    <xf numFmtId="165" fontId="11" fillId="17" borderId="27" xfId="0" applyNumberFormat="1" applyFont="1" applyFill="1" applyBorder="1" applyAlignment="1">
      <alignment horizontal="center"/>
    </xf>
    <xf numFmtId="165" fontId="11" fillId="17" borderId="0" xfId="0" applyNumberFormat="1" applyFont="1" applyFill="1" applyBorder="1" applyAlignment="1">
      <alignment horizontal="center"/>
    </xf>
    <xf numFmtId="168" fontId="22" fillId="17" borderId="0" xfId="0" applyNumberFormat="1" applyFont="1" applyFill="1" applyBorder="1" applyAlignment="1">
      <alignment horizontal="center"/>
    </xf>
    <xf numFmtId="168" fontId="22" fillId="17" borderId="27" xfId="0" applyNumberFormat="1" applyFont="1" applyFill="1" applyBorder="1" applyAlignment="1">
      <alignment horizontal="center"/>
    </xf>
    <xf numFmtId="165" fontId="11" fillId="17" borderId="20" xfId="0" applyNumberFormat="1" applyFont="1" applyFill="1" applyBorder="1" applyAlignment="1">
      <alignment horizontal="center"/>
    </xf>
    <xf numFmtId="165" fontId="11" fillId="17" borderId="29" xfId="0" applyNumberFormat="1" applyFont="1" applyFill="1" applyBorder="1" applyAlignment="1">
      <alignment horizontal="center"/>
    </xf>
    <xf numFmtId="165" fontId="11" fillId="17" borderId="31" xfId="0" applyNumberFormat="1" applyFont="1" applyFill="1" applyBorder="1" applyAlignment="1">
      <alignment horizontal="center"/>
    </xf>
    <xf numFmtId="165" fontId="11" fillId="17" borderId="16" xfId="0" applyNumberFormat="1" applyFont="1" applyFill="1" applyBorder="1" applyAlignment="1">
      <alignment horizontal="center"/>
    </xf>
    <xf numFmtId="165" fontId="11" fillId="17" borderId="10" xfId="0" applyNumberFormat="1" applyFont="1" applyFill="1" applyBorder="1" applyAlignment="1">
      <alignment horizontal="center"/>
    </xf>
    <xf numFmtId="168" fontId="11" fillId="17" borderId="0" xfId="59" applyNumberFormat="1" applyFont="1" applyFill="1" applyBorder="1" applyAlignment="1" applyProtection="1">
      <alignment horizontal="left" indent="2"/>
      <protection locked="0"/>
    </xf>
    <xf numFmtId="168" fontId="11" fillId="17" borderId="0" xfId="56" applyNumberFormat="1" applyFont="1" applyFill="1" applyBorder="1" applyAlignment="1">
      <alignment horizontal="left" indent="1"/>
    </xf>
    <xf numFmtId="3" fontId="11" fillId="17" borderId="0" xfId="56" applyNumberFormat="1" applyFont="1" applyFill="1" applyBorder="1" applyAlignment="1">
      <alignment horizontal="left" indent="1"/>
    </xf>
    <xf numFmtId="168" fontId="11" fillId="17" borderId="0" xfId="59" applyNumberFormat="1" applyFont="1" applyFill="1" applyBorder="1" applyAlignment="1" applyProtection="1">
      <alignment horizontal="left" indent="3"/>
      <protection locked="0"/>
    </xf>
    <xf numFmtId="2" fontId="11" fillId="17" borderId="0" xfId="0" applyNumberFormat="1" applyFont="1" applyFill="1" applyBorder="1" applyAlignment="1">
      <alignment horizontal="left" indent="1"/>
    </xf>
    <xf numFmtId="165" fontId="11" fillId="17" borderId="0" xfId="0" applyNumberFormat="1" applyFont="1" applyFill="1" applyBorder="1" applyAlignment="1">
      <alignment horizontal="left" indent="1"/>
    </xf>
    <xf numFmtId="168" fontId="11" fillId="17" borderId="0" xfId="0" applyNumberFormat="1" applyFont="1" applyFill="1" applyBorder="1" applyAlignment="1">
      <alignment horizontal="left" indent="3"/>
    </xf>
    <xf numFmtId="2" fontId="11" fillId="17" borderId="23" xfId="0" applyNumberFormat="1" applyFont="1" applyFill="1" applyBorder="1" applyAlignment="1">
      <alignment horizontal="left" indent="1"/>
    </xf>
    <xf numFmtId="0" fontId="21" fillId="17" borderId="0" xfId="57" applyFont="1" applyFill="1" applyBorder="1"/>
    <xf numFmtId="167" fontId="20" fillId="17" borderId="0" xfId="0" applyNumberFormat="1" applyFont="1" applyFill="1" applyBorder="1" applyAlignment="1">
      <alignment horizontal="left" indent="1"/>
    </xf>
    <xf numFmtId="5" fontId="31" fillId="17" borderId="0" xfId="0" applyNumberFormat="1" applyFont="1" applyFill="1" applyAlignment="1">
      <alignment horizontal="left" indent="1"/>
    </xf>
    <xf numFmtId="5" fontId="24" fillId="17" borderId="2" xfId="56" applyNumberFormat="1" applyFont="1" applyFill="1" applyBorder="1" applyAlignment="1">
      <alignment horizontal="left" indent="1"/>
    </xf>
    <xf numFmtId="7" fontId="22" fillId="17" borderId="0" xfId="57" applyNumberFormat="1" applyFont="1" applyFill="1" applyBorder="1"/>
    <xf numFmtId="7" fontId="22" fillId="17" borderId="0" xfId="0" applyNumberFormat="1" applyFont="1" applyFill="1"/>
    <xf numFmtId="0" fontId="22" fillId="15" borderId="8" xfId="57" applyFont="1" applyFill="1" applyBorder="1"/>
    <xf numFmtId="165" fontId="22" fillId="15" borderId="8" xfId="59" applyNumberFormat="1" applyFont="1" applyFill="1" applyBorder="1" applyAlignment="1" applyProtection="1">
      <alignment horizontal="left"/>
      <protection locked="0"/>
    </xf>
    <xf numFmtId="170" fontId="11" fillId="0" borderId="0" xfId="0" applyNumberFormat="1" applyFont="1" applyFill="1" applyBorder="1"/>
    <xf numFmtId="5" fontId="22" fillId="17" borderId="0" xfId="55" applyNumberFormat="1" applyFont="1" applyFill="1" applyBorder="1" applyAlignment="1"/>
    <xf numFmtId="5" fontId="22" fillId="17" borderId="0" xfId="0" applyNumberFormat="1" applyFont="1" applyFill="1" applyAlignment="1"/>
    <xf numFmtId="170" fontId="23" fillId="17" borderId="0" xfId="0" applyNumberFormat="1" applyFont="1" applyFill="1"/>
    <xf numFmtId="170" fontId="22" fillId="15" borderId="8" xfId="0" applyNumberFormat="1" applyFont="1" applyFill="1" applyBorder="1"/>
    <xf numFmtId="165" fontId="22" fillId="17" borderId="8" xfId="59" applyNumberFormat="1" applyFont="1" applyFill="1" applyBorder="1" applyAlignment="1" applyProtection="1">
      <alignment horizontal="left"/>
      <protection locked="0"/>
    </xf>
    <xf numFmtId="168" fontId="23" fillId="17" borderId="0" xfId="0" applyNumberFormat="1" applyFont="1" applyFill="1"/>
    <xf numFmtId="170" fontId="22" fillId="0" borderId="0" xfId="0" applyNumberFormat="1" applyFont="1" applyFill="1" applyBorder="1"/>
    <xf numFmtId="170" fontId="22" fillId="17" borderId="34" xfId="0" applyNumberFormat="1" applyFont="1" applyFill="1" applyBorder="1"/>
    <xf numFmtId="0" fontId="19" fillId="19" borderId="0" xfId="59" applyFont="1" applyFill="1" applyBorder="1" applyAlignment="1" applyProtection="1">
      <alignment horizontal="centerContinuous" wrapText="1"/>
    </xf>
    <xf numFmtId="0" fontId="19" fillId="19" borderId="7" xfId="59" applyFont="1" applyFill="1" applyBorder="1" applyAlignment="1" applyProtection="1">
      <alignment horizontal="center"/>
    </xf>
    <xf numFmtId="0" fontId="19" fillId="19" borderId="2" xfId="59" applyFont="1" applyFill="1" applyBorder="1" applyAlignment="1" applyProtection="1">
      <alignment horizontal="center"/>
    </xf>
    <xf numFmtId="0" fontId="19" fillId="19" borderId="35" xfId="59" applyFont="1" applyFill="1" applyBorder="1" applyAlignment="1" applyProtection="1">
      <alignment horizontal="center"/>
    </xf>
    <xf numFmtId="7" fontId="23" fillId="17" borderId="0" xfId="0" applyNumberFormat="1" applyFont="1" applyFill="1"/>
    <xf numFmtId="173" fontId="8" fillId="17" borderId="0" xfId="0" applyNumberFormat="1" applyFont="1" applyFill="1" applyBorder="1"/>
    <xf numFmtId="168" fontId="8" fillId="17" borderId="0" xfId="0" applyNumberFormat="1" applyFont="1" applyFill="1" applyBorder="1"/>
    <xf numFmtId="3" fontId="8" fillId="17" borderId="0" xfId="0" applyNumberFormat="1" applyFont="1" applyFill="1" applyBorder="1"/>
    <xf numFmtId="167" fontId="8" fillId="17" borderId="0" xfId="0" applyNumberFormat="1" applyFont="1" applyFill="1" applyBorder="1"/>
    <xf numFmtId="2" fontId="8" fillId="17" borderId="0" xfId="0" applyNumberFormat="1" applyFont="1" applyFill="1" applyBorder="1"/>
    <xf numFmtId="0" fontId="8" fillId="17" borderId="0" xfId="0" applyFont="1" applyFill="1" applyBorder="1"/>
    <xf numFmtId="165" fontId="8" fillId="17" borderId="0" xfId="0" applyNumberFormat="1" applyFont="1" applyFill="1" applyBorder="1"/>
    <xf numFmtId="166" fontId="8" fillId="17" borderId="0" xfId="0" applyNumberFormat="1" applyFont="1" applyFill="1" applyBorder="1"/>
    <xf numFmtId="7" fontId="8" fillId="17" borderId="0" xfId="0" applyNumberFormat="1" applyFont="1" applyFill="1" applyBorder="1"/>
    <xf numFmtId="164" fontId="8" fillId="17" borderId="0" xfId="0" applyNumberFormat="1" applyFont="1" applyFill="1" applyBorder="1"/>
    <xf numFmtId="167" fontId="20" fillId="17" borderId="0" xfId="0" applyNumberFormat="1" applyFont="1" applyFill="1" applyBorder="1"/>
    <xf numFmtId="5" fontId="20" fillId="17" borderId="0" xfId="0" applyNumberFormat="1" applyFont="1" applyFill="1" applyBorder="1"/>
    <xf numFmtId="5" fontId="8" fillId="17" borderId="0" xfId="0" applyNumberFormat="1" applyFont="1" applyFill="1" applyBorder="1"/>
    <xf numFmtId="5" fontId="24" fillId="17" borderId="0" xfId="0" applyNumberFormat="1" applyFont="1" applyFill="1" applyBorder="1"/>
    <xf numFmtId="7" fontId="22" fillId="17" borderId="0" xfId="0" applyNumberFormat="1" applyFont="1" applyFill="1" applyBorder="1"/>
    <xf numFmtId="1" fontId="8" fillId="17" borderId="0" xfId="0" applyNumberFormat="1" applyFont="1" applyFill="1" applyBorder="1"/>
    <xf numFmtId="169" fontId="8" fillId="17" borderId="0" xfId="0" applyNumberFormat="1" applyFont="1" applyFill="1" applyBorder="1"/>
    <xf numFmtId="0" fontId="8" fillId="19" borderId="7" xfId="0" applyFont="1" applyFill="1" applyBorder="1"/>
    <xf numFmtId="0" fontId="19" fillId="20" borderId="7" xfId="59" applyFont="1" applyFill="1" applyBorder="1" applyAlignment="1">
      <alignment horizontal="left"/>
    </xf>
    <xf numFmtId="168" fontId="8" fillId="17" borderId="7" xfId="0" applyNumberFormat="1" applyFont="1" applyFill="1" applyBorder="1"/>
    <xf numFmtId="3" fontId="8" fillId="17" borderId="7" xfId="0" applyNumberFormat="1" applyFont="1" applyFill="1" applyBorder="1"/>
    <xf numFmtId="167" fontId="8" fillId="17" borderId="7" xfId="0" applyNumberFormat="1" applyFont="1" applyFill="1" applyBorder="1"/>
    <xf numFmtId="2" fontId="8" fillId="17" borderId="7" xfId="0" applyNumberFormat="1" applyFont="1" applyFill="1" applyBorder="1"/>
    <xf numFmtId="0" fontId="8" fillId="17" borderId="7" xfId="0" applyFont="1" applyFill="1" applyBorder="1"/>
    <xf numFmtId="165" fontId="8" fillId="17" borderId="7" xfId="0" applyNumberFormat="1" applyFont="1" applyFill="1" applyBorder="1"/>
    <xf numFmtId="168" fontId="11" fillId="17" borderId="7" xfId="0" applyNumberFormat="1" applyFont="1" applyFill="1" applyBorder="1"/>
    <xf numFmtId="7" fontId="11" fillId="17" borderId="7" xfId="0" applyNumberFormat="1" applyFont="1" applyFill="1" applyBorder="1"/>
    <xf numFmtId="166" fontId="8" fillId="17" borderId="7" xfId="0" applyNumberFormat="1" applyFont="1" applyFill="1" applyBorder="1"/>
    <xf numFmtId="0" fontId="11" fillId="17" borderId="7" xfId="0" applyFont="1" applyFill="1" applyBorder="1"/>
    <xf numFmtId="7" fontId="8" fillId="17" borderId="7" xfId="0" applyNumberFormat="1" applyFont="1" applyFill="1" applyBorder="1"/>
    <xf numFmtId="167" fontId="20" fillId="17" borderId="7" xfId="0" applyNumberFormat="1" applyFont="1" applyFill="1" applyBorder="1"/>
    <xf numFmtId="170" fontId="22" fillId="17" borderId="7" xfId="0" applyNumberFormat="1" applyFont="1" applyFill="1" applyBorder="1"/>
    <xf numFmtId="168" fontId="22" fillId="17" borderId="7" xfId="0" applyNumberFormat="1" applyFont="1" applyFill="1" applyBorder="1"/>
    <xf numFmtId="5" fontId="20" fillId="17" borderId="7" xfId="0" applyNumberFormat="1" applyFont="1" applyFill="1" applyBorder="1"/>
    <xf numFmtId="0" fontId="19" fillId="19" borderId="7" xfId="59" applyFont="1" applyFill="1" applyBorder="1" applyAlignment="1">
      <alignment horizontal="left"/>
    </xf>
    <xf numFmtId="5" fontId="8" fillId="17" borderId="7" xfId="0" applyNumberFormat="1" applyFont="1" applyFill="1" applyBorder="1"/>
    <xf numFmtId="170" fontId="8" fillId="17" borderId="7" xfId="0" applyNumberFormat="1" applyFont="1" applyFill="1" applyBorder="1"/>
    <xf numFmtId="7" fontId="22" fillId="17" borderId="7" xfId="0" applyNumberFormat="1" applyFont="1" applyFill="1" applyBorder="1"/>
    <xf numFmtId="165" fontId="22" fillId="15" borderId="7" xfId="59" applyNumberFormat="1" applyFont="1" applyFill="1" applyBorder="1" applyAlignment="1" applyProtection="1">
      <alignment horizontal="left"/>
      <protection locked="0"/>
    </xf>
    <xf numFmtId="169" fontId="8" fillId="17" borderId="7" xfId="0" applyNumberFormat="1" applyFont="1" applyFill="1" applyBorder="1"/>
    <xf numFmtId="170" fontId="11" fillId="17" borderId="7" xfId="0" applyNumberFormat="1" applyFont="1" applyFill="1" applyBorder="1"/>
    <xf numFmtId="0" fontId="11" fillId="15" borderId="7" xfId="0" applyFont="1" applyFill="1" applyBorder="1"/>
    <xf numFmtId="168" fontId="11" fillId="17" borderId="26" xfId="0" applyNumberFormat="1" applyFont="1" applyFill="1" applyBorder="1"/>
    <xf numFmtId="0" fontId="11" fillId="17" borderId="26" xfId="0" applyFont="1" applyFill="1" applyBorder="1"/>
    <xf numFmtId="168" fontId="8" fillId="17" borderId="36" xfId="0" applyNumberFormat="1" applyFont="1" applyFill="1" applyBorder="1"/>
    <xf numFmtId="168" fontId="8" fillId="17" borderId="35" xfId="0" applyNumberFormat="1" applyFont="1" applyFill="1" applyBorder="1"/>
    <xf numFmtId="2" fontId="8" fillId="17" borderId="36" xfId="0" applyNumberFormat="1" applyFont="1" applyFill="1" applyBorder="1"/>
    <xf numFmtId="166" fontId="8" fillId="17" borderId="36" xfId="0" applyNumberFormat="1" applyFont="1" applyFill="1" applyBorder="1"/>
    <xf numFmtId="164" fontId="8" fillId="17" borderId="36" xfId="0" applyNumberFormat="1" applyFont="1" applyFill="1" applyBorder="1"/>
    <xf numFmtId="5" fontId="24" fillId="17" borderId="35" xfId="0" applyNumberFormat="1" applyFont="1" applyFill="1" applyBorder="1"/>
    <xf numFmtId="5" fontId="8" fillId="17" borderId="37" xfId="0" applyNumberFormat="1" applyFont="1" applyFill="1" applyBorder="1"/>
    <xf numFmtId="170" fontId="8" fillId="17" borderId="37" xfId="0" applyNumberFormat="1" applyFont="1" applyFill="1" applyBorder="1"/>
    <xf numFmtId="0" fontId="8" fillId="17" borderId="35" xfId="0" applyFont="1" applyFill="1" applyBorder="1"/>
    <xf numFmtId="7" fontId="22" fillId="17" borderId="35" xfId="0" applyNumberFormat="1" applyFont="1" applyFill="1" applyBorder="1"/>
    <xf numFmtId="1" fontId="26" fillId="17" borderId="7" xfId="0" applyNumberFormat="1" applyFont="1" applyFill="1" applyBorder="1"/>
    <xf numFmtId="0" fontId="8" fillId="15" borderId="10" xfId="0" applyFont="1" applyFill="1" applyBorder="1"/>
    <xf numFmtId="170" fontId="8" fillId="17" borderId="36" xfId="0" applyNumberFormat="1" applyFont="1" applyFill="1" applyBorder="1"/>
    <xf numFmtId="7" fontId="8" fillId="17" borderId="10" xfId="0" applyNumberFormat="1" applyFont="1" applyFill="1" applyBorder="1"/>
    <xf numFmtId="170" fontId="22" fillId="15" borderId="10" xfId="0" applyNumberFormat="1" applyFont="1" applyFill="1" applyBorder="1"/>
    <xf numFmtId="0" fontId="18" fillId="19" borderId="38" xfId="0" applyFont="1" applyFill="1" applyBorder="1"/>
    <xf numFmtId="170" fontId="22" fillId="17" borderId="36" xfId="0" applyNumberFormat="1" applyFont="1" applyFill="1" applyBorder="1"/>
    <xf numFmtId="170" fontId="22" fillId="17" borderId="39" xfId="0" applyNumberFormat="1" applyFont="1" applyFill="1" applyBorder="1"/>
    <xf numFmtId="167" fontId="11" fillId="0" borderId="7" xfId="38" applyNumberFormat="1" applyFont="1" applyBorder="1"/>
    <xf numFmtId="5" fontId="11" fillId="17" borderId="7" xfId="0" applyNumberFormat="1" applyFont="1" applyFill="1" applyBorder="1"/>
    <xf numFmtId="167" fontId="11" fillId="17" borderId="7" xfId="0" applyNumberFormat="1" applyFont="1" applyFill="1" applyBorder="1"/>
    <xf numFmtId="7" fontId="11" fillId="19" borderId="7" xfId="0" applyNumberFormat="1" applyFont="1" applyFill="1" applyBorder="1"/>
    <xf numFmtId="5" fontId="23" fillId="17" borderId="7" xfId="0" applyNumberFormat="1" applyFont="1" applyFill="1" applyBorder="1"/>
    <xf numFmtId="168" fontId="23" fillId="17" borderId="7" xfId="0" applyNumberFormat="1" applyFont="1" applyFill="1" applyBorder="1"/>
    <xf numFmtId="171" fontId="22" fillId="17" borderId="7" xfId="0" applyNumberFormat="1" applyFont="1" applyFill="1" applyBorder="1"/>
    <xf numFmtId="172" fontId="23" fillId="17" borderId="7" xfId="0" applyNumberFormat="1" applyFont="1" applyFill="1" applyBorder="1"/>
    <xf numFmtId="165" fontId="11" fillId="17" borderId="24" xfId="0" applyNumberFormat="1" applyFont="1" applyFill="1" applyBorder="1" applyAlignment="1">
      <alignment horizontal="center"/>
    </xf>
    <xf numFmtId="165" fontId="11" fillId="17" borderId="25" xfId="0" applyNumberFormat="1" applyFont="1" applyFill="1" applyBorder="1" applyAlignment="1">
      <alignment horizontal="center"/>
    </xf>
    <xf numFmtId="168" fontId="25" fillId="17" borderId="7" xfId="0" applyNumberFormat="1" applyFont="1" applyFill="1" applyBorder="1"/>
    <xf numFmtId="9" fontId="8" fillId="17" borderId="7" xfId="0" applyNumberFormat="1" applyFont="1" applyFill="1" applyBorder="1"/>
    <xf numFmtId="170" fontId="32" fillId="17" borderId="7" xfId="0" applyNumberFormat="1" applyFont="1" applyFill="1" applyBorder="1"/>
    <xf numFmtId="0" fontId="19" fillId="20" borderId="1" xfId="59" applyFont="1" applyFill="1" applyBorder="1" applyAlignment="1">
      <alignment horizontal="left"/>
    </xf>
    <xf numFmtId="173" fontId="8" fillId="17" borderId="1" xfId="0" applyNumberFormat="1" applyFont="1" applyFill="1" applyBorder="1"/>
    <xf numFmtId="168" fontId="8" fillId="17" borderId="1" xfId="0" applyNumberFormat="1" applyFont="1" applyFill="1" applyBorder="1"/>
    <xf numFmtId="3" fontId="8" fillId="17" borderId="1" xfId="0" applyNumberFormat="1" applyFont="1" applyFill="1" applyBorder="1"/>
    <xf numFmtId="167" fontId="8" fillId="17" borderId="1" xfId="0" applyNumberFormat="1" applyFont="1" applyFill="1" applyBorder="1"/>
    <xf numFmtId="2" fontId="8" fillId="17" borderId="1" xfId="0" applyNumberFormat="1" applyFont="1" applyFill="1" applyBorder="1"/>
    <xf numFmtId="166" fontId="8" fillId="17" borderId="1" xfId="0" applyNumberFormat="1" applyFont="1" applyFill="1" applyBorder="1"/>
    <xf numFmtId="0" fontId="8" fillId="17" borderId="1" xfId="0" applyFont="1" applyFill="1" applyBorder="1"/>
    <xf numFmtId="7" fontId="8" fillId="17" borderId="1" xfId="0" applyNumberFormat="1" applyFont="1" applyFill="1" applyBorder="1"/>
    <xf numFmtId="167" fontId="20" fillId="17" borderId="1" xfId="0" applyNumberFormat="1" applyFont="1" applyFill="1" applyBorder="1"/>
    <xf numFmtId="170" fontId="22" fillId="17" borderId="1" xfId="0" applyNumberFormat="1" applyFont="1" applyFill="1" applyBorder="1"/>
    <xf numFmtId="168" fontId="22" fillId="17" borderId="1" xfId="0" applyNumberFormat="1" applyFont="1" applyFill="1" applyBorder="1"/>
    <xf numFmtId="5" fontId="20" fillId="17" borderId="1" xfId="0" applyNumberFormat="1" applyFont="1" applyFill="1" applyBorder="1"/>
    <xf numFmtId="5" fontId="8" fillId="17" borderId="1" xfId="0" applyNumberFormat="1" applyFont="1" applyFill="1" applyBorder="1"/>
    <xf numFmtId="7" fontId="22" fillId="17" borderId="1" xfId="0" applyNumberFormat="1" applyFont="1" applyFill="1" applyBorder="1"/>
    <xf numFmtId="1" fontId="8" fillId="17" borderId="1" xfId="0" applyNumberFormat="1" applyFont="1" applyFill="1" applyBorder="1"/>
    <xf numFmtId="170" fontId="8" fillId="17" borderId="1" xfId="0" applyNumberFormat="1" applyFont="1" applyFill="1" applyBorder="1"/>
    <xf numFmtId="169" fontId="8" fillId="17" borderId="1" xfId="0" applyNumberFormat="1" applyFont="1" applyFill="1" applyBorder="1"/>
    <xf numFmtId="170" fontId="11" fillId="17" borderId="1" xfId="0" applyNumberFormat="1" applyFont="1" applyFill="1" applyBorder="1"/>
    <xf numFmtId="168" fontId="11" fillId="17" borderId="1" xfId="0" applyNumberFormat="1" applyFont="1" applyFill="1" applyBorder="1"/>
    <xf numFmtId="0" fontId="11" fillId="17" borderId="1" xfId="0" applyFont="1" applyFill="1" applyBorder="1"/>
    <xf numFmtId="9" fontId="11" fillId="21" borderId="1" xfId="0" applyNumberFormat="1" applyFont="1" applyFill="1" applyBorder="1" applyAlignment="1">
      <alignment horizontal="center"/>
    </xf>
    <xf numFmtId="9" fontId="11" fillId="17" borderId="1" xfId="0" applyNumberFormat="1" applyFont="1" applyFill="1" applyBorder="1" applyAlignment="1">
      <alignment horizontal="center"/>
    </xf>
    <xf numFmtId="168" fontId="22" fillId="17" borderId="1" xfId="0" applyNumberFormat="1" applyFont="1" applyFill="1" applyBorder="1" applyAlignment="1">
      <alignment horizontal="center"/>
    </xf>
    <xf numFmtId="168" fontId="11" fillId="17" borderId="1" xfId="0" applyNumberFormat="1" applyFont="1" applyFill="1" applyBorder="1" applyAlignment="1">
      <alignment horizontal="center"/>
    </xf>
    <xf numFmtId="165" fontId="11" fillId="17" borderId="1" xfId="0" applyNumberFormat="1" applyFont="1" applyFill="1" applyBorder="1" applyAlignment="1">
      <alignment horizontal="center"/>
    </xf>
    <xf numFmtId="165" fontId="11" fillId="17" borderId="40" xfId="0" applyNumberFormat="1" applyFont="1" applyFill="1" applyBorder="1" applyAlignment="1">
      <alignment horizontal="center"/>
    </xf>
    <xf numFmtId="0" fontId="19" fillId="17" borderId="0" xfId="59" applyFont="1" applyFill="1" applyBorder="1" applyAlignment="1">
      <alignment horizontal="left"/>
    </xf>
    <xf numFmtId="165" fontId="22" fillId="17" borderId="0" xfId="59" applyNumberFormat="1" applyFont="1" applyFill="1" applyBorder="1" applyAlignment="1" applyProtection="1">
      <alignment horizontal="right"/>
      <protection locked="0"/>
    </xf>
    <xf numFmtId="165" fontId="22" fillId="17" borderId="0" xfId="59" applyNumberFormat="1" applyFont="1" applyFill="1" applyBorder="1" applyAlignment="1" applyProtection="1">
      <alignment horizontal="left"/>
      <protection locked="0"/>
    </xf>
    <xf numFmtId="0" fontId="22" fillId="17" borderId="0" xfId="0" applyFont="1" applyFill="1" applyBorder="1" applyAlignment="1">
      <alignment horizontal="right"/>
    </xf>
    <xf numFmtId="0" fontId="18" fillId="17" borderId="0" xfId="0" applyFont="1" applyFill="1" applyBorder="1"/>
    <xf numFmtId="0" fontId="19" fillId="0" borderId="0" xfId="59" applyFont="1" applyFill="1" applyBorder="1" applyAlignment="1">
      <alignment horizontal="left"/>
    </xf>
    <xf numFmtId="165" fontId="22" fillId="0" borderId="0" xfId="59" applyNumberFormat="1" applyFont="1" applyFill="1" applyBorder="1" applyAlignment="1" applyProtection="1">
      <alignment horizontal="left"/>
      <protection locked="0"/>
    </xf>
    <xf numFmtId="170" fontId="8" fillId="0" borderId="0" xfId="0" applyNumberFormat="1" applyFont="1" applyFill="1" applyBorder="1"/>
    <xf numFmtId="0" fontId="22" fillId="0" borderId="0" xfId="0" applyFont="1" applyFill="1" applyBorder="1" applyAlignment="1">
      <alignment horizontal="right"/>
    </xf>
    <xf numFmtId="0" fontId="8" fillId="0" borderId="0" xfId="0" applyFont="1" applyFill="1" applyBorder="1"/>
    <xf numFmtId="173" fontId="8" fillId="0" borderId="0" xfId="0" applyNumberFormat="1" applyFont="1" applyFill="1" applyBorder="1"/>
    <xf numFmtId="168" fontId="8" fillId="0" borderId="0" xfId="0" applyNumberFormat="1" applyFont="1" applyFill="1" applyBorder="1"/>
    <xf numFmtId="3" fontId="8" fillId="0" borderId="0" xfId="0" applyNumberFormat="1" applyFont="1" applyFill="1" applyBorder="1"/>
    <xf numFmtId="167" fontId="8" fillId="0" borderId="0" xfId="0" applyNumberFormat="1" applyFont="1" applyFill="1" applyBorder="1"/>
    <xf numFmtId="2" fontId="8" fillId="0" borderId="0" xfId="0" applyNumberFormat="1" applyFont="1" applyFill="1" applyBorder="1"/>
    <xf numFmtId="165" fontId="8" fillId="0" borderId="0" xfId="0" applyNumberFormat="1" applyFont="1" applyFill="1" applyBorder="1"/>
    <xf numFmtId="168" fontId="11" fillId="0" borderId="0" xfId="0" applyNumberFormat="1" applyFont="1" applyFill="1" applyBorder="1"/>
    <xf numFmtId="7" fontId="11" fillId="0" borderId="0" xfId="0" applyNumberFormat="1" applyFont="1" applyFill="1" applyBorder="1"/>
    <xf numFmtId="166" fontId="8" fillId="0" borderId="0" xfId="0" applyNumberFormat="1" applyFont="1" applyFill="1" applyBorder="1"/>
    <xf numFmtId="7" fontId="8" fillId="0" borderId="0" xfId="0" applyNumberFormat="1" applyFont="1" applyFill="1" applyBorder="1"/>
    <xf numFmtId="164" fontId="8" fillId="0" borderId="0" xfId="0" applyNumberFormat="1" applyFont="1" applyFill="1" applyBorder="1"/>
    <xf numFmtId="167" fontId="20" fillId="0" borderId="0" xfId="0" applyNumberFormat="1" applyFont="1" applyFill="1" applyBorder="1"/>
    <xf numFmtId="168" fontId="22" fillId="0" borderId="0" xfId="0" applyNumberFormat="1" applyFont="1" applyFill="1" applyBorder="1"/>
    <xf numFmtId="5" fontId="20" fillId="0" borderId="0" xfId="0" applyNumberFormat="1" applyFont="1" applyFill="1" applyBorder="1"/>
    <xf numFmtId="5" fontId="8" fillId="0" borderId="0" xfId="0" applyNumberFormat="1" applyFont="1" applyFill="1" applyBorder="1"/>
    <xf numFmtId="5" fontId="24" fillId="0" borderId="0" xfId="0" applyNumberFormat="1" applyFont="1" applyFill="1" applyBorder="1"/>
    <xf numFmtId="7" fontId="22" fillId="0" borderId="0" xfId="0" applyNumberFormat="1" applyFont="1" applyFill="1" applyBorder="1"/>
    <xf numFmtId="1" fontId="8" fillId="0" borderId="0" xfId="0" applyNumberFormat="1" applyFont="1" applyFill="1" applyBorder="1"/>
    <xf numFmtId="169" fontId="8" fillId="0" borderId="0" xfId="0" applyNumberFormat="1" applyFont="1" applyFill="1" applyBorder="1"/>
    <xf numFmtId="0" fontId="8" fillId="17" borderId="9" xfId="0" applyFont="1" applyFill="1" applyBorder="1"/>
    <xf numFmtId="0" fontId="8" fillId="17" borderId="20" xfId="0" applyFont="1" applyFill="1" applyBorder="1"/>
    <xf numFmtId="0" fontId="19" fillId="17" borderId="1" xfId="59" applyFont="1" applyFill="1" applyBorder="1" applyAlignment="1">
      <alignment horizontal="left"/>
    </xf>
    <xf numFmtId="165" fontId="22" fillId="17" borderId="1" xfId="59" applyNumberFormat="1" applyFont="1" applyFill="1" applyBorder="1" applyAlignment="1" applyProtection="1">
      <alignment horizontal="right"/>
      <protection locked="0"/>
    </xf>
    <xf numFmtId="164" fontId="8" fillId="17" borderId="1" xfId="0" applyNumberFormat="1" applyFont="1" applyFill="1" applyBorder="1"/>
    <xf numFmtId="5" fontId="24" fillId="17" borderId="1" xfId="0" applyNumberFormat="1" applyFont="1" applyFill="1" applyBorder="1"/>
    <xf numFmtId="165" fontId="22" fillId="17" borderId="1" xfId="59" applyNumberFormat="1" applyFont="1" applyFill="1" applyBorder="1" applyAlignment="1" applyProtection="1">
      <alignment horizontal="left"/>
      <protection locked="0"/>
    </xf>
    <xf numFmtId="0" fontId="18" fillId="17" borderId="1" xfId="0" applyFont="1" applyFill="1" applyBorder="1"/>
    <xf numFmtId="164" fontId="8" fillId="17" borderId="0" xfId="0" applyNumberFormat="1" applyFont="1" applyFill="1"/>
    <xf numFmtId="166" fontId="22" fillId="17" borderId="0" xfId="0" applyNumberFormat="1" applyFont="1" applyFill="1" applyBorder="1" applyAlignment="1">
      <alignment horizontal="center"/>
    </xf>
    <xf numFmtId="0" fontId="11" fillId="22" borderId="43" xfId="0" applyFont="1" applyFill="1" applyBorder="1"/>
    <xf numFmtId="0" fontId="11" fillId="22" borderId="14" xfId="0" applyFont="1" applyFill="1" applyBorder="1"/>
    <xf numFmtId="0" fontId="22" fillId="22" borderId="14" xfId="0" applyFont="1" applyFill="1" applyBorder="1" applyAlignment="1">
      <alignment horizontal="center"/>
    </xf>
    <xf numFmtId="0" fontId="22" fillId="22" borderId="44" xfId="0" applyFont="1" applyFill="1" applyBorder="1" applyAlignment="1">
      <alignment horizontal="center"/>
    </xf>
    <xf numFmtId="5" fontId="11" fillId="17" borderId="27" xfId="0" applyNumberFormat="1" applyFont="1" applyFill="1" applyBorder="1"/>
    <xf numFmtId="7" fontId="11" fillId="17" borderId="27" xfId="0" applyNumberFormat="1" applyFont="1" applyFill="1" applyBorder="1"/>
    <xf numFmtId="5" fontId="11" fillId="17" borderId="6" xfId="0" applyNumberFormat="1" applyFont="1" applyFill="1" applyBorder="1"/>
    <xf numFmtId="5" fontId="11" fillId="17" borderId="22" xfId="0" applyNumberFormat="1" applyFont="1" applyFill="1" applyBorder="1"/>
    <xf numFmtId="9" fontId="11" fillId="17" borderId="27" xfId="0" applyNumberFormat="1" applyFont="1" applyFill="1" applyBorder="1" applyAlignment="1">
      <alignment horizontal="center"/>
    </xf>
    <xf numFmtId="9" fontId="11" fillId="21" borderId="27" xfId="0" applyNumberFormat="1" applyFont="1" applyFill="1" applyBorder="1" applyAlignment="1">
      <alignment horizontal="center"/>
    </xf>
    <xf numFmtId="166" fontId="22" fillId="17" borderId="6" xfId="0" applyNumberFormat="1" applyFont="1" applyFill="1" applyBorder="1" applyAlignment="1">
      <alignment horizontal="center"/>
    </xf>
    <xf numFmtId="165" fontId="11" fillId="17" borderId="45" xfId="0" applyNumberFormat="1" applyFont="1" applyFill="1" applyBorder="1" applyAlignment="1">
      <alignment horizontal="center"/>
    </xf>
    <xf numFmtId="166" fontId="22" fillId="17" borderId="16" xfId="0" applyNumberFormat="1" applyFont="1" applyFill="1" applyBorder="1" applyAlignment="1">
      <alignment horizontal="center"/>
    </xf>
    <xf numFmtId="9" fontId="11" fillId="17" borderId="31" xfId="0" applyNumberFormat="1" applyFont="1" applyFill="1" applyBorder="1" applyAlignment="1">
      <alignment horizontal="center"/>
    </xf>
    <xf numFmtId="2" fontId="22" fillId="21" borderId="31" xfId="0" applyNumberFormat="1" applyFont="1" applyFill="1" applyBorder="1" applyAlignment="1">
      <alignment horizontal="center"/>
    </xf>
    <xf numFmtId="168" fontId="22" fillId="17" borderId="31" xfId="0" applyNumberFormat="1" applyFont="1" applyFill="1" applyBorder="1" applyAlignment="1">
      <alignment horizontal="center"/>
    </xf>
    <xf numFmtId="168" fontId="26" fillId="19" borderId="7" xfId="0" applyNumberFormat="1" applyFont="1" applyFill="1" applyBorder="1"/>
    <xf numFmtId="0" fontId="23" fillId="17" borderId="7" xfId="0" applyFont="1" applyFill="1" applyBorder="1"/>
    <xf numFmtId="1" fontId="8" fillId="17" borderId="7" xfId="0" applyNumberFormat="1" applyFont="1" applyFill="1" applyBorder="1"/>
    <xf numFmtId="7" fontId="23" fillId="17" borderId="7" xfId="0" applyNumberFormat="1" applyFont="1" applyFill="1" applyBorder="1"/>
    <xf numFmtId="169" fontId="20" fillId="17" borderId="0" xfId="0" applyNumberFormat="1" applyFont="1" applyFill="1" applyAlignment="1">
      <alignment horizontal="left" indent="1"/>
    </xf>
    <xf numFmtId="169" fontId="20" fillId="17" borderId="0" xfId="0" applyNumberFormat="1" applyFont="1" applyFill="1"/>
    <xf numFmtId="169" fontId="20" fillId="17" borderId="7" xfId="0" applyNumberFormat="1" applyFont="1" applyFill="1" applyBorder="1"/>
    <xf numFmtId="169" fontId="20" fillId="17" borderId="0" xfId="0" applyNumberFormat="1" applyFont="1" applyFill="1" applyBorder="1"/>
    <xf numFmtId="169" fontId="20" fillId="17" borderId="1" xfId="0" applyNumberFormat="1" applyFont="1" applyFill="1" applyBorder="1"/>
    <xf numFmtId="169" fontId="20" fillId="0" borderId="0" xfId="0" applyNumberFormat="1" applyFont="1" applyFill="1" applyBorder="1"/>
    <xf numFmtId="165" fontId="22" fillId="17" borderId="0" xfId="0" applyNumberFormat="1" applyFont="1" applyFill="1"/>
    <xf numFmtId="5" fontId="30" fillId="17" borderId="7" xfId="0" applyNumberFormat="1" applyFont="1" applyFill="1" applyBorder="1"/>
    <xf numFmtId="170" fontId="30" fillId="17" borderId="7" xfId="0" applyNumberFormat="1" applyFont="1" applyFill="1" applyBorder="1"/>
    <xf numFmtId="170" fontId="23" fillId="17" borderId="7" xfId="0" applyNumberFormat="1" applyFont="1" applyFill="1" applyBorder="1"/>
    <xf numFmtId="170" fontId="25" fillId="17" borderId="7" xfId="0" applyNumberFormat="1" applyFont="1" applyFill="1" applyBorder="1"/>
    <xf numFmtId="0" fontId="22" fillId="15" borderId="0" xfId="0" applyFont="1" applyFill="1" applyBorder="1" applyAlignment="1">
      <alignment horizontal="left"/>
    </xf>
    <xf numFmtId="0" fontId="19" fillId="15" borderId="0" xfId="59" applyFont="1" applyFill="1" applyBorder="1" applyAlignment="1">
      <alignment horizontal="left"/>
    </xf>
    <xf numFmtId="173" fontId="22" fillId="15" borderId="0" xfId="0" applyNumberFormat="1" applyFont="1" applyFill="1" applyBorder="1" applyAlignment="1">
      <alignment horizontal="left"/>
    </xf>
    <xf numFmtId="168" fontId="22" fillId="15" borderId="0" xfId="0" applyNumberFormat="1" applyFont="1" applyFill="1" applyBorder="1" applyAlignment="1">
      <alignment horizontal="left"/>
    </xf>
    <xf numFmtId="3" fontId="22" fillId="15" borderId="0" xfId="0" applyNumberFormat="1" applyFont="1" applyFill="1" applyBorder="1" applyAlignment="1">
      <alignment horizontal="left"/>
    </xf>
    <xf numFmtId="167" fontId="22" fillId="15" borderId="0" xfId="0" applyNumberFormat="1" applyFont="1" applyFill="1" applyBorder="1" applyAlignment="1">
      <alignment horizontal="left"/>
    </xf>
    <xf numFmtId="2" fontId="22" fillId="15" borderId="0" xfId="0" applyNumberFormat="1" applyFont="1" applyFill="1" applyBorder="1" applyAlignment="1">
      <alignment horizontal="left"/>
    </xf>
    <xf numFmtId="165" fontId="22" fillId="15" borderId="0" xfId="0" applyNumberFormat="1" applyFont="1" applyFill="1" applyBorder="1" applyAlignment="1">
      <alignment horizontal="left"/>
    </xf>
    <xf numFmtId="7" fontId="22" fillId="15" borderId="0" xfId="0" applyNumberFormat="1" applyFont="1" applyFill="1" applyBorder="1" applyAlignment="1">
      <alignment horizontal="left"/>
    </xf>
    <xf numFmtId="166" fontId="22" fillId="15" borderId="0" xfId="0" applyNumberFormat="1" applyFont="1" applyFill="1" applyBorder="1" applyAlignment="1">
      <alignment horizontal="left"/>
    </xf>
    <xf numFmtId="164" fontId="22" fillId="15" borderId="0" xfId="0" applyNumberFormat="1" applyFont="1" applyFill="1" applyBorder="1" applyAlignment="1">
      <alignment horizontal="left"/>
    </xf>
    <xf numFmtId="167" fontId="21" fillId="15" borderId="0" xfId="0" applyNumberFormat="1" applyFont="1" applyFill="1" applyBorder="1" applyAlignment="1">
      <alignment horizontal="left"/>
    </xf>
    <xf numFmtId="170" fontId="22" fillId="15" borderId="0" xfId="0" applyNumberFormat="1" applyFont="1" applyFill="1" applyBorder="1" applyAlignment="1">
      <alignment horizontal="left"/>
    </xf>
    <xf numFmtId="5" fontId="21" fillId="15" borderId="0" xfId="0" applyNumberFormat="1" applyFont="1" applyFill="1" applyBorder="1" applyAlignment="1">
      <alignment horizontal="left"/>
    </xf>
    <xf numFmtId="5" fontId="22" fillId="15" borderId="0" xfId="0" applyNumberFormat="1" applyFont="1" applyFill="1" applyBorder="1" applyAlignment="1">
      <alignment horizontal="left"/>
    </xf>
    <xf numFmtId="1" fontId="22" fillId="15" borderId="0" xfId="0" applyNumberFormat="1" applyFont="1" applyFill="1" applyBorder="1" applyAlignment="1">
      <alignment horizontal="left"/>
    </xf>
    <xf numFmtId="169" fontId="22" fillId="15" borderId="0" xfId="0" applyNumberFormat="1" applyFont="1" applyFill="1" applyBorder="1" applyAlignment="1">
      <alignment horizontal="left"/>
    </xf>
    <xf numFmtId="49" fontId="11" fillId="15" borderId="0" xfId="0" applyNumberFormat="1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169" fontId="21" fillId="15" borderId="0" xfId="0" applyNumberFormat="1" applyFont="1" applyFill="1" applyBorder="1" applyAlignment="1">
      <alignment horizontal="left"/>
    </xf>
    <xf numFmtId="165" fontId="11" fillId="17" borderId="9" xfId="0" applyNumberFormat="1" applyFont="1" applyFill="1" applyBorder="1" applyAlignment="1">
      <alignment horizontal="center"/>
    </xf>
    <xf numFmtId="165" fontId="11" fillId="17" borderId="28" xfId="0" applyNumberFormat="1" applyFont="1" applyFill="1" applyBorder="1" applyAlignment="1">
      <alignment horizontal="center"/>
    </xf>
    <xf numFmtId="165" fontId="11" fillId="17" borderId="26" xfId="0" applyNumberFormat="1" applyFont="1" applyFill="1" applyBorder="1" applyAlignment="1">
      <alignment horizontal="center"/>
    </xf>
    <xf numFmtId="165" fontId="11" fillId="17" borderId="42" xfId="0" applyNumberFormat="1" applyFont="1" applyFill="1" applyBorder="1" applyAlignment="1">
      <alignment horizontal="center"/>
    </xf>
    <xf numFmtId="165" fontId="11" fillId="17" borderId="46" xfId="0" applyNumberFormat="1" applyFont="1" applyFill="1" applyBorder="1" applyAlignment="1">
      <alignment horizontal="center"/>
    </xf>
    <xf numFmtId="165" fontId="11" fillId="17" borderId="2" xfId="0" applyNumberFormat="1" applyFont="1" applyFill="1" applyBorder="1" applyAlignment="1">
      <alignment horizontal="center"/>
    </xf>
    <xf numFmtId="165" fontId="11" fillId="17" borderId="41" xfId="0" applyNumberFormat="1" applyFont="1" applyFill="1" applyBorder="1" applyAlignment="1">
      <alignment horizontal="center"/>
    </xf>
    <xf numFmtId="165" fontId="11" fillId="17" borderId="47" xfId="0" applyNumberFormat="1" applyFont="1" applyFill="1" applyBorder="1" applyAlignment="1">
      <alignment horizontal="center"/>
    </xf>
    <xf numFmtId="168" fontId="11" fillId="17" borderId="48" xfId="0" applyNumberFormat="1" applyFont="1" applyFill="1" applyBorder="1" applyAlignment="1">
      <alignment horizontal="right"/>
    </xf>
    <xf numFmtId="9" fontId="11" fillId="21" borderId="26" xfId="0" applyNumberFormat="1" applyFont="1" applyFill="1" applyBorder="1"/>
    <xf numFmtId="9" fontId="11" fillId="17" borderId="26" xfId="0" applyNumberFormat="1" applyFont="1" applyFill="1" applyBorder="1"/>
    <xf numFmtId="0" fontId="22" fillId="17" borderId="49" xfId="0" applyFont="1" applyFill="1" applyBorder="1" applyAlignment="1">
      <alignment horizontal="center"/>
    </xf>
    <xf numFmtId="9" fontId="11" fillId="17" borderId="50" xfId="0" applyNumberFormat="1" applyFont="1" applyFill="1" applyBorder="1"/>
    <xf numFmtId="0" fontId="22" fillId="19" borderId="0" xfId="0" applyFont="1" applyFill="1" applyBorder="1"/>
    <xf numFmtId="0" fontId="22" fillId="19" borderId="0" xfId="0" applyFont="1" applyFill="1" applyBorder="1" applyAlignment="1">
      <alignment horizontal="right"/>
    </xf>
    <xf numFmtId="0" fontId="8" fillId="19" borderId="0" xfId="0" applyFont="1" applyFill="1" applyBorder="1"/>
    <xf numFmtId="173" fontId="8" fillId="19" borderId="0" xfId="0" applyNumberFormat="1" applyFont="1" applyFill="1" applyBorder="1"/>
    <xf numFmtId="168" fontId="8" fillId="19" borderId="0" xfId="0" applyNumberFormat="1" applyFont="1" applyFill="1" applyBorder="1"/>
    <xf numFmtId="3" fontId="8" fillId="19" borderId="0" xfId="0" applyNumberFormat="1" applyFont="1" applyFill="1" applyBorder="1"/>
    <xf numFmtId="167" fontId="8" fillId="19" borderId="0" xfId="0" applyNumberFormat="1" applyFont="1" applyFill="1" applyBorder="1"/>
    <xf numFmtId="2" fontId="8" fillId="19" borderId="0" xfId="0" applyNumberFormat="1" applyFont="1" applyFill="1" applyBorder="1"/>
    <xf numFmtId="165" fontId="22" fillId="19" borderId="0" xfId="59" applyNumberFormat="1" applyFont="1" applyFill="1" applyBorder="1" applyAlignment="1" applyProtection="1">
      <alignment horizontal="right"/>
      <protection locked="0"/>
    </xf>
    <xf numFmtId="165" fontId="8" fillId="19" borderId="0" xfId="0" applyNumberFormat="1" applyFont="1" applyFill="1" applyBorder="1"/>
    <xf numFmtId="168" fontId="11" fillId="19" borderId="0" xfId="0" applyNumberFormat="1" applyFont="1" applyFill="1" applyBorder="1"/>
    <xf numFmtId="166" fontId="8" fillId="19" borderId="0" xfId="0" applyNumberFormat="1" applyFont="1" applyFill="1" applyBorder="1"/>
    <xf numFmtId="0" fontId="11" fillId="19" borderId="0" xfId="0" applyFont="1" applyFill="1" applyBorder="1"/>
    <xf numFmtId="7" fontId="8" fillId="19" borderId="0" xfId="0" applyNumberFormat="1" applyFont="1" applyFill="1" applyBorder="1"/>
    <xf numFmtId="164" fontId="8" fillId="19" borderId="0" xfId="0" applyNumberFormat="1" applyFont="1" applyFill="1" applyBorder="1"/>
    <xf numFmtId="167" fontId="20" fillId="19" borderId="0" xfId="0" applyNumberFormat="1" applyFont="1" applyFill="1" applyBorder="1"/>
    <xf numFmtId="170" fontId="22" fillId="19" borderId="0" xfId="0" applyNumberFormat="1" applyFont="1" applyFill="1" applyBorder="1"/>
    <xf numFmtId="168" fontId="22" fillId="19" borderId="0" xfId="0" applyNumberFormat="1" applyFont="1" applyFill="1" applyBorder="1"/>
    <xf numFmtId="5" fontId="20" fillId="19" borderId="0" xfId="0" applyNumberFormat="1" applyFont="1" applyFill="1" applyBorder="1"/>
    <xf numFmtId="5" fontId="8" fillId="19" borderId="0" xfId="0" applyNumberFormat="1" applyFont="1" applyFill="1" applyBorder="1"/>
    <xf numFmtId="5" fontId="24" fillId="19" borderId="0" xfId="0" applyNumberFormat="1" applyFont="1" applyFill="1" applyBorder="1"/>
    <xf numFmtId="170" fontId="8" fillId="19" borderId="0" xfId="0" applyNumberFormat="1" applyFont="1" applyFill="1" applyBorder="1"/>
    <xf numFmtId="7" fontId="22" fillId="19" borderId="0" xfId="0" applyNumberFormat="1" applyFont="1" applyFill="1" applyBorder="1"/>
    <xf numFmtId="1" fontId="8" fillId="19" borderId="0" xfId="0" applyNumberFormat="1" applyFont="1" applyFill="1" applyBorder="1"/>
    <xf numFmtId="165" fontId="22" fillId="19" borderId="0" xfId="59" applyNumberFormat="1" applyFont="1" applyFill="1" applyBorder="1" applyAlignment="1" applyProtection="1">
      <alignment horizontal="left"/>
      <protection locked="0"/>
    </xf>
    <xf numFmtId="169" fontId="8" fillId="19" borderId="0" xfId="0" applyNumberFormat="1" applyFont="1" applyFill="1" applyBorder="1"/>
    <xf numFmtId="170" fontId="11" fillId="19" borderId="0" xfId="0" applyNumberFormat="1" applyFont="1" applyFill="1" applyBorder="1"/>
    <xf numFmtId="0" fontId="18" fillId="19" borderId="0" xfId="0" applyFont="1" applyFill="1" applyBorder="1"/>
    <xf numFmtId="169" fontId="20" fillId="19" borderId="0" xfId="0" applyNumberFormat="1" applyFont="1" applyFill="1" applyBorder="1"/>
    <xf numFmtId="0" fontId="22" fillId="19" borderId="0" xfId="0" applyFont="1" applyFill="1" applyBorder="1" applyAlignment="1">
      <alignment horizontal="center"/>
    </xf>
    <xf numFmtId="9" fontId="11" fillId="19" borderId="0" xfId="0" applyNumberFormat="1" applyFont="1" applyFill="1" applyBorder="1" applyAlignment="1">
      <alignment horizontal="center"/>
    </xf>
    <xf numFmtId="165" fontId="11" fillId="19" borderId="0" xfId="0" applyNumberFormat="1" applyFont="1" applyFill="1" applyBorder="1" applyAlignment="1">
      <alignment horizontal="center"/>
    </xf>
    <xf numFmtId="168" fontId="11" fillId="19" borderId="0" xfId="0" applyNumberFormat="1" applyFont="1" applyFill="1" applyBorder="1" applyAlignment="1">
      <alignment horizontal="center"/>
    </xf>
    <xf numFmtId="49" fontId="19" fillId="19" borderId="0" xfId="0" applyNumberFormat="1" applyFont="1" applyFill="1" applyBorder="1" applyAlignment="1">
      <alignment horizontal="left"/>
    </xf>
    <xf numFmtId="0" fontId="22" fillId="19" borderId="0" xfId="0" applyFont="1" applyFill="1" applyBorder="1" applyAlignment="1">
      <alignment horizontal="left"/>
    </xf>
    <xf numFmtId="49" fontId="22" fillId="19" borderId="0" xfId="0" applyNumberFormat="1" applyFont="1" applyFill="1" applyBorder="1" applyAlignment="1">
      <alignment horizontal="left"/>
    </xf>
    <xf numFmtId="0" fontId="22" fillId="15" borderId="0" xfId="0" applyFont="1" applyFill="1" applyAlignment="1">
      <alignment horizontal="right"/>
    </xf>
    <xf numFmtId="0" fontId="8" fillId="15" borderId="0" xfId="0" applyFont="1" applyFill="1"/>
    <xf numFmtId="173" fontId="8" fillId="15" borderId="0" xfId="0" applyNumberFormat="1" applyFont="1" applyFill="1"/>
    <xf numFmtId="168" fontId="8" fillId="15" borderId="0" xfId="0" applyNumberFormat="1" applyFont="1" applyFill="1"/>
    <xf numFmtId="3" fontId="8" fillId="15" borderId="0" xfId="0" applyNumberFormat="1" applyFont="1" applyFill="1"/>
    <xf numFmtId="168" fontId="8" fillId="15" borderId="23" xfId="0" applyNumberFormat="1" applyFont="1" applyFill="1" applyBorder="1"/>
    <xf numFmtId="167" fontId="8" fillId="15" borderId="0" xfId="0" applyNumberFormat="1" applyFont="1" applyFill="1"/>
    <xf numFmtId="2" fontId="8" fillId="15" borderId="0" xfId="0" applyNumberFormat="1" applyFont="1" applyFill="1"/>
    <xf numFmtId="0" fontId="8" fillId="15" borderId="23" xfId="0" applyFont="1" applyFill="1" applyBorder="1"/>
    <xf numFmtId="168" fontId="8" fillId="15" borderId="2" xfId="0" applyNumberFormat="1" applyFont="1" applyFill="1" applyBorder="1"/>
    <xf numFmtId="165" fontId="8" fillId="15" borderId="0" xfId="0" applyNumberFormat="1" applyFont="1" applyFill="1"/>
    <xf numFmtId="168" fontId="11" fillId="15" borderId="0" xfId="0" applyNumberFormat="1" applyFont="1" applyFill="1"/>
    <xf numFmtId="7" fontId="11" fillId="15" borderId="23" xfId="0" applyNumberFormat="1" applyFont="1" applyFill="1" applyBorder="1"/>
    <xf numFmtId="2" fontId="8" fillId="15" borderId="23" xfId="0" applyNumberFormat="1" applyFont="1" applyFill="1" applyBorder="1"/>
    <xf numFmtId="166" fontId="8" fillId="15" borderId="0" xfId="0" applyNumberFormat="1" applyFont="1" applyFill="1"/>
    <xf numFmtId="166" fontId="8" fillId="15" borderId="23" xfId="0" applyNumberFormat="1" applyFont="1" applyFill="1" applyBorder="1"/>
    <xf numFmtId="7" fontId="8" fillId="15" borderId="0" xfId="0" applyNumberFormat="1" applyFont="1" applyFill="1"/>
    <xf numFmtId="164" fontId="8" fillId="15" borderId="23" xfId="0" applyNumberFormat="1" applyFont="1" applyFill="1" applyBorder="1"/>
    <xf numFmtId="167" fontId="20" fillId="15" borderId="0" xfId="0" applyNumberFormat="1" applyFont="1" applyFill="1"/>
    <xf numFmtId="170" fontId="22" fillId="15" borderId="0" xfId="0" applyNumberFormat="1" applyFont="1" applyFill="1"/>
    <xf numFmtId="168" fontId="22" fillId="15" borderId="0" xfId="0" applyNumberFormat="1" applyFont="1" applyFill="1"/>
    <xf numFmtId="5" fontId="20" fillId="15" borderId="0" xfId="0" applyNumberFormat="1" applyFont="1" applyFill="1"/>
    <xf numFmtId="5" fontId="8" fillId="15" borderId="0" xfId="0" applyNumberFormat="1" applyFont="1" applyFill="1"/>
    <xf numFmtId="5" fontId="24" fillId="15" borderId="2" xfId="0" applyNumberFormat="1" applyFont="1" applyFill="1" applyBorder="1"/>
    <xf numFmtId="5" fontId="8" fillId="15" borderId="3" xfId="0" applyNumberFormat="1" applyFont="1" applyFill="1" applyBorder="1"/>
    <xf numFmtId="170" fontId="8" fillId="15" borderId="3" xfId="0" applyNumberFormat="1" applyFont="1" applyFill="1" applyBorder="1"/>
    <xf numFmtId="7" fontId="22" fillId="15" borderId="0" xfId="0" applyNumberFormat="1" applyFont="1" applyFill="1"/>
    <xf numFmtId="0" fontId="8" fillId="15" borderId="2" xfId="0" applyFont="1" applyFill="1" applyBorder="1"/>
    <xf numFmtId="7" fontId="22" fillId="15" borderId="2" xfId="0" applyNumberFormat="1" applyFont="1" applyFill="1" applyBorder="1"/>
    <xf numFmtId="1" fontId="8" fillId="15" borderId="0" xfId="0" applyNumberFormat="1" applyFont="1" applyFill="1"/>
    <xf numFmtId="170" fontId="8" fillId="15" borderId="0" xfId="0" applyNumberFormat="1" applyFont="1" applyFill="1"/>
    <xf numFmtId="170" fontId="8" fillId="15" borderId="23" xfId="0" applyNumberFormat="1" applyFont="1" applyFill="1" applyBorder="1"/>
    <xf numFmtId="7" fontId="8" fillId="15" borderId="8" xfId="0" applyNumberFormat="1" applyFont="1" applyFill="1" applyBorder="1"/>
    <xf numFmtId="170" fontId="8" fillId="15" borderId="0" xfId="0" applyNumberFormat="1" applyFont="1" applyFill="1" applyBorder="1"/>
    <xf numFmtId="169" fontId="8" fillId="15" borderId="0" xfId="0" applyNumberFormat="1" applyFont="1" applyFill="1"/>
    <xf numFmtId="170" fontId="11" fillId="15" borderId="0" xfId="0" applyNumberFormat="1" applyFont="1" applyFill="1"/>
    <xf numFmtId="170" fontId="22" fillId="15" borderId="23" xfId="0" applyNumberFormat="1" applyFont="1" applyFill="1" applyBorder="1"/>
    <xf numFmtId="0" fontId="18" fillId="15" borderId="20" xfId="0" applyFont="1" applyFill="1" applyBorder="1"/>
    <xf numFmtId="169" fontId="20" fillId="15" borderId="0" xfId="0" applyNumberFormat="1" applyFont="1" applyFill="1"/>
    <xf numFmtId="170" fontId="22" fillId="15" borderId="34" xfId="0" applyNumberFormat="1" applyFont="1" applyFill="1" applyBorder="1"/>
    <xf numFmtId="0" fontId="19" fillId="19" borderId="20" xfId="59" applyFont="1" applyFill="1" applyBorder="1" applyAlignment="1">
      <alignment horizontal="left"/>
    </xf>
    <xf numFmtId="170" fontId="11" fillId="17" borderId="2" xfId="0" applyNumberFormat="1" applyFont="1" applyFill="1" applyBorder="1"/>
    <xf numFmtId="170" fontId="11" fillId="17" borderId="35" xfId="0" applyNumberFormat="1" applyFont="1" applyFill="1" applyBorder="1"/>
    <xf numFmtId="170" fontId="11" fillId="15" borderId="2" xfId="0" applyNumberFormat="1" applyFont="1" applyFill="1" applyBorder="1"/>
    <xf numFmtId="49" fontId="18" fillId="15" borderId="0" xfId="59" applyNumberFormat="1" applyFont="1" applyFill="1" applyBorder="1" applyAlignment="1">
      <alignment horizontal="left"/>
    </xf>
    <xf numFmtId="49" fontId="20" fillId="15" borderId="0" xfId="0" applyNumberFormat="1" applyFont="1" applyFill="1" applyBorder="1" applyAlignment="1">
      <alignment horizontal="left"/>
    </xf>
    <xf numFmtId="49" fontId="18" fillId="15" borderId="0" xfId="0" applyNumberFormat="1" applyFont="1" applyFill="1" applyBorder="1" applyAlignment="1">
      <alignment horizontal="left"/>
    </xf>
    <xf numFmtId="165" fontId="11" fillId="0" borderId="0" xfId="59" applyNumberFormat="1" applyFont="1" applyFill="1" applyBorder="1" applyAlignment="1" applyProtection="1">
      <alignment horizontal="right"/>
      <protection locked="0"/>
    </xf>
    <xf numFmtId="165" fontId="11" fillId="0" borderId="7" xfId="59" applyNumberFormat="1" applyFont="1" applyFill="1" applyBorder="1" applyAlignment="1" applyProtection="1">
      <alignment horizontal="right"/>
      <protection locked="0"/>
    </xf>
    <xf numFmtId="168" fontId="20" fillId="17" borderId="23" xfId="59" applyNumberFormat="1" applyFont="1" applyFill="1" applyBorder="1" applyAlignment="1" applyProtection="1">
      <alignment horizontal="left"/>
      <protection locked="0"/>
    </xf>
    <xf numFmtId="0" fontId="23" fillId="17" borderId="0" xfId="0" applyFont="1" applyFill="1"/>
    <xf numFmtId="168" fontId="23" fillId="17" borderId="26" xfId="0" applyNumberFormat="1" applyFont="1" applyFill="1" applyBorder="1"/>
    <xf numFmtId="8" fontId="23" fillId="17" borderId="26" xfId="0" applyNumberFormat="1" applyFont="1" applyFill="1" applyBorder="1"/>
    <xf numFmtId="7" fontId="8" fillId="17" borderId="26" xfId="0" applyNumberFormat="1" applyFont="1" applyFill="1" applyBorder="1"/>
    <xf numFmtId="8" fontId="23" fillId="17" borderId="0" xfId="0" applyNumberFormat="1" applyFont="1" applyFill="1" applyBorder="1"/>
    <xf numFmtId="0" fontId="22" fillId="20" borderId="0" xfId="59" applyFont="1" applyFill="1" applyBorder="1" applyAlignment="1">
      <alignment horizontal="left"/>
    </xf>
    <xf numFmtId="5" fontId="22" fillId="17" borderId="2" xfId="0" applyNumberFormat="1" applyFont="1" applyFill="1" applyBorder="1"/>
    <xf numFmtId="168" fontId="11" fillId="17" borderId="0" xfId="0" applyNumberFormat="1" applyFont="1" applyFill="1" applyAlignment="1">
      <alignment horizontal="right"/>
    </xf>
    <xf numFmtId="1" fontId="11" fillId="17" borderId="0" xfId="0" applyNumberFormat="1" applyFont="1" applyFill="1"/>
    <xf numFmtId="169" fontId="11" fillId="17" borderId="7" xfId="0" applyNumberFormat="1" applyFont="1" applyFill="1" applyBorder="1"/>
    <xf numFmtId="0" fontId="22" fillId="20" borderId="7" xfId="59" applyFont="1" applyFill="1" applyBorder="1" applyAlignment="1">
      <alignment horizontal="left"/>
    </xf>
    <xf numFmtId="0" fontId="11" fillId="19" borderId="38" xfId="0" applyFont="1" applyFill="1" applyBorder="1"/>
    <xf numFmtId="170" fontId="34" fillId="17" borderId="23" xfId="0" applyNumberFormat="1" applyFont="1" applyFill="1" applyBorder="1"/>
    <xf numFmtId="3" fontId="19" fillId="20" borderId="0" xfId="59" applyNumberFormat="1" applyFont="1" applyFill="1" applyBorder="1" applyAlignment="1">
      <alignment horizontal="left"/>
    </xf>
    <xf numFmtId="164" fontId="19" fillId="20" borderId="0" xfId="59" applyNumberFormat="1" applyFont="1" applyFill="1" applyBorder="1" applyAlignment="1">
      <alignment horizontal="left"/>
    </xf>
    <xf numFmtId="168" fontId="11" fillId="17" borderId="9" xfId="0" applyNumberFormat="1" applyFont="1" applyFill="1" applyBorder="1" applyAlignment="1">
      <alignment horizontal="center"/>
    </xf>
    <xf numFmtId="168" fontId="11" fillId="17" borderId="20" xfId="0" applyNumberFormat="1" applyFont="1" applyFill="1" applyBorder="1" applyAlignment="1">
      <alignment horizontal="center"/>
    </xf>
    <xf numFmtId="168" fontId="11" fillId="17" borderId="29" xfId="0" applyNumberFormat="1" applyFont="1" applyFill="1" applyBorder="1" applyAlignment="1">
      <alignment horizontal="center"/>
    </xf>
    <xf numFmtId="168" fontId="11" fillId="17" borderId="28" xfId="0" applyNumberFormat="1" applyFont="1" applyFill="1" applyBorder="1" applyAlignment="1">
      <alignment horizontal="center"/>
    </xf>
    <xf numFmtId="168" fontId="11" fillId="17" borderId="31" xfId="0" applyNumberFormat="1" applyFont="1" applyFill="1" applyBorder="1" applyAlignment="1">
      <alignment horizontal="center"/>
    </xf>
    <xf numFmtId="168" fontId="11" fillId="17" borderId="26" xfId="0" applyNumberFormat="1" applyFont="1" applyFill="1" applyBorder="1" applyAlignment="1">
      <alignment horizontal="center"/>
    </xf>
    <xf numFmtId="168" fontId="11" fillId="17" borderId="40" xfId="0" applyNumberFormat="1" applyFont="1" applyFill="1" applyBorder="1" applyAlignment="1">
      <alignment horizontal="center"/>
    </xf>
    <xf numFmtId="168" fontId="11" fillId="17" borderId="16" xfId="0" applyNumberFormat="1" applyFont="1" applyFill="1" applyBorder="1" applyAlignment="1">
      <alignment horizontal="center"/>
    </xf>
    <xf numFmtId="168" fontId="11" fillId="17" borderId="10" xfId="0" applyNumberFormat="1" applyFont="1" applyFill="1" applyBorder="1" applyAlignment="1">
      <alignment horizontal="center"/>
    </xf>
    <xf numFmtId="168" fontId="11" fillId="17" borderId="42" xfId="0" applyNumberFormat="1" applyFont="1" applyFill="1" applyBorder="1" applyAlignment="1">
      <alignment horizontal="center"/>
    </xf>
    <xf numFmtId="168" fontId="11" fillId="17" borderId="46" xfId="0" applyNumberFormat="1" applyFont="1" applyFill="1" applyBorder="1" applyAlignment="1">
      <alignment horizontal="center"/>
    </xf>
    <xf numFmtId="168" fontId="11" fillId="17" borderId="2" xfId="0" applyNumberFormat="1" applyFont="1" applyFill="1" applyBorder="1" applyAlignment="1">
      <alignment horizontal="center"/>
    </xf>
    <xf numFmtId="168" fontId="11" fillId="17" borderId="41" xfId="0" applyNumberFormat="1" applyFont="1" applyFill="1" applyBorder="1" applyAlignment="1">
      <alignment horizontal="center"/>
    </xf>
    <xf numFmtId="168" fontId="11" fillId="17" borderId="47" xfId="0" applyNumberFormat="1" applyFont="1" applyFill="1" applyBorder="1" applyAlignment="1">
      <alignment horizontal="center"/>
    </xf>
    <xf numFmtId="166" fontId="11" fillId="17" borderId="9" xfId="0" applyNumberFormat="1" applyFont="1" applyFill="1" applyBorder="1" applyAlignment="1">
      <alignment horizontal="center"/>
    </xf>
    <xf numFmtId="166" fontId="11" fillId="17" borderId="20" xfId="0" applyNumberFormat="1" applyFont="1" applyFill="1" applyBorder="1" applyAlignment="1">
      <alignment horizontal="center"/>
    </xf>
    <xf numFmtId="166" fontId="11" fillId="17" borderId="29" xfId="0" applyNumberFormat="1" applyFont="1" applyFill="1" applyBorder="1" applyAlignment="1">
      <alignment horizontal="center"/>
    </xf>
    <xf numFmtId="166" fontId="11" fillId="17" borderId="1" xfId="0" applyNumberFormat="1" applyFont="1" applyFill="1" applyBorder="1" applyAlignment="1">
      <alignment horizontal="center"/>
    </xf>
    <xf numFmtId="166" fontId="11" fillId="17" borderId="0" xfId="0" applyNumberFormat="1" applyFont="1" applyFill="1" applyBorder="1" applyAlignment="1">
      <alignment horizontal="center"/>
    </xf>
    <xf numFmtId="166" fontId="11" fillId="17" borderId="31" xfId="0" applyNumberFormat="1" applyFont="1" applyFill="1" applyBorder="1" applyAlignment="1">
      <alignment horizontal="center"/>
    </xf>
    <xf numFmtId="166" fontId="11" fillId="17" borderId="40" xfId="0" applyNumberFormat="1" applyFont="1" applyFill="1" applyBorder="1" applyAlignment="1">
      <alignment horizontal="center"/>
    </xf>
    <xf numFmtId="166" fontId="11" fillId="17" borderId="16" xfId="0" applyNumberFormat="1" applyFont="1" applyFill="1" applyBorder="1" applyAlignment="1">
      <alignment horizontal="center"/>
    </xf>
    <xf numFmtId="166" fontId="11" fillId="17" borderId="10" xfId="0" applyNumberFormat="1" applyFont="1" applyFill="1" applyBorder="1" applyAlignment="1">
      <alignment horizontal="center"/>
    </xf>
    <xf numFmtId="7" fontId="11" fillId="17" borderId="0" xfId="0" applyNumberFormat="1" applyFont="1" applyFill="1" applyBorder="1" applyAlignment="1">
      <alignment horizontal="left" indent="1"/>
    </xf>
    <xf numFmtId="168" fontId="11" fillId="16" borderId="0" xfId="59" applyNumberFormat="1" applyFont="1" applyFill="1" applyBorder="1" applyAlignment="1" applyProtection="1">
      <alignment horizontal="left" indent="3"/>
      <protection locked="0"/>
    </xf>
    <xf numFmtId="168" fontId="8" fillId="16" borderId="0" xfId="0" applyNumberFormat="1" applyFont="1" applyFill="1"/>
    <xf numFmtId="168" fontId="8" fillId="16" borderId="7" xfId="0" applyNumberFormat="1" applyFont="1" applyFill="1" applyBorder="1"/>
    <xf numFmtId="168" fontId="11" fillId="16" borderId="23" xfId="59" applyNumberFormat="1" applyFont="1" applyFill="1" applyBorder="1" applyAlignment="1" applyProtection="1">
      <alignment horizontal="left" indent="2"/>
      <protection locked="0"/>
    </xf>
    <xf numFmtId="168" fontId="8" fillId="16" borderId="23" xfId="0" applyNumberFormat="1" applyFont="1" applyFill="1" applyBorder="1"/>
    <xf numFmtId="168" fontId="8" fillId="16" borderId="36" xfId="0" applyNumberFormat="1" applyFont="1" applyFill="1" applyBorder="1"/>
    <xf numFmtId="168" fontId="11" fillId="0" borderId="0" xfId="59" applyNumberFormat="1" applyFont="1" applyFill="1" applyBorder="1" applyAlignment="1" applyProtection="1">
      <alignment horizontal="left" indent="3"/>
      <protection locked="0"/>
    </xf>
    <xf numFmtId="167" fontId="8" fillId="0" borderId="0" xfId="0" applyNumberFormat="1" applyFont="1" applyFill="1"/>
    <xf numFmtId="167" fontId="8" fillId="0" borderId="7" xfId="0" applyNumberFormat="1" applyFont="1" applyFill="1" applyBorder="1"/>
    <xf numFmtId="0" fontId="11" fillId="0" borderId="23" xfId="0" applyFont="1" applyFill="1" applyBorder="1"/>
    <xf numFmtId="0" fontId="8" fillId="0" borderId="23" xfId="0" applyFont="1" applyFill="1" applyBorder="1"/>
    <xf numFmtId="0" fontId="8" fillId="0" borderId="36" xfId="0" applyFont="1" applyFill="1" applyBorder="1"/>
    <xf numFmtId="168" fontId="8" fillId="0" borderId="0" xfId="0" applyNumberFormat="1" applyFont="1" applyFill="1"/>
    <xf numFmtId="168" fontId="8" fillId="0" borderId="7" xfId="0" applyNumberFormat="1" applyFont="1" applyFill="1" applyBorder="1"/>
    <xf numFmtId="2" fontId="11" fillId="0" borderId="0" xfId="56" applyNumberFormat="1" applyFont="1" applyFill="1" applyBorder="1" applyAlignment="1">
      <alignment horizontal="left" indent="1"/>
    </xf>
    <xf numFmtId="2" fontId="8" fillId="0" borderId="0" xfId="0" applyNumberFormat="1" applyFont="1" applyFill="1"/>
    <xf numFmtId="2" fontId="8" fillId="0" borderId="7" xfId="0" applyNumberFormat="1" applyFont="1" applyFill="1" applyBorder="1"/>
    <xf numFmtId="168" fontId="11" fillId="17" borderId="27" xfId="0" applyNumberFormat="1" applyFont="1" applyFill="1" applyBorder="1" applyAlignment="1">
      <alignment horizontal="center"/>
    </xf>
    <xf numFmtId="166" fontId="11" fillId="17" borderId="30" xfId="0" applyNumberFormat="1" applyFont="1" applyFill="1" applyBorder="1" applyAlignment="1">
      <alignment horizontal="center"/>
    </xf>
    <xf numFmtId="166" fontId="11" fillId="17" borderId="27" xfId="0" applyNumberFormat="1" applyFont="1" applyFill="1" applyBorder="1" applyAlignment="1">
      <alignment horizontal="center"/>
    </xf>
    <xf numFmtId="166" fontId="11" fillId="17" borderId="32" xfId="0" applyNumberFormat="1" applyFont="1" applyFill="1" applyBorder="1" applyAlignment="1">
      <alignment horizontal="center"/>
    </xf>
    <xf numFmtId="166" fontId="11" fillId="17" borderId="6" xfId="0" applyNumberFormat="1" applyFont="1" applyFill="1" applyBorder="1" applyAlignment="1">
      <alignment horizontal="center"/>
    </xf>
    <xf numFmtId="166" fontId="11" fillId="17" borderId="33" xfId="0" applyNumberFormat="1" applyFont="1" applyFill="1" applyBorder="1" applyAlignment="1">
      <alignment horizontal="center"/>
    </xf>
    <xf numFmtId="166" fontId="11" fillId="17" borderId="22" xfId="0" applyNumberFormat="1" applyFont="1" applyFill="1" applyBorder="1" applyAlignment="1">
      <alignment horizontal="center"/>
    </xf>
    <xf numFmtId="9" fontId="11" fillId="17" borderId="51" xfId="0" applyNumberFormat="1" applyFont="1" applyFill="1" applyBorder="1"/>
    <xf numFmtId="9" fontId="11" fillId="17" borderId="24" xfId="0" applyNumberFormat="1" applyFont="1" applyFill="1" applyBorder="1"/>
    <xf numFmtId="0" fontId="22" fillId="17" borderId="52" xfId="0" applyFont="1" applyFill="1" applyBorder="1" applyAlignment="1">
      <alignment horizontal="center"/>
    </xf>
    <xf numFmtId="166" fontId="11" fillId="17" borderId="53" xfId="0" applyNumberFormat="1" applyFont="1" applyFill="1" applyBorder="1" applyAlignment="1">
      <alignment horizontal="center"/>
    </xf>
    <xf numFmtId="0" fontId="8" fillId="0" borderId="0" xfId="0" applyFont="1" applyFill="1"/>
    <xf numFmtId="0" fontId="8" fillId="0" borderId="7" xfId="0" applyFont="1" applyFill="1" applyBorder="1"/>
    <xf numFmtId="0" fontId="8" fillId="0" borderId="1" xfId="0" applyFont="1" applyFill="1" applyBorder="1"/>
    <xf numFmtId="9" fontId="11" fillId="0" borderId="0" xfId="0" applyNumberFormat="1" applyFont="1" applyFill="1" applyBorder="1" applyAlignment="1">
      <alignment horizontal="center"/>
    </xf>
    <xf numFmtId="165" fontId="11" fillId="0" borderId="0" xfId="0" applyNumberFormat="1" applyFont="1" applyFill="1" applyBorder="1" applyAlignment="1">
      <alignment horizontal="center"/>
    </xf>
    <xf numFmtId="168" fontId="11" fillId="0" borderId="0" xfId="0" applyNumberFormat="1" applyFont="1" applyFill="1" applyBorder="1" applyAlignment="1">
      <alignment horizontal="center"/>
    </xf>
    <xf numFmtId="0" fontId="8" fillId="0" borderId="26" xfId="0" applyFont="1" applyFill="1" applyBorder="1"/>
    <xf numFmtId="168" fontId="11" fillId="21" borderId="1" xfId="0" applyNumberFormat="1" applyFont="1" applyFill="1" applyBorder="1" applyAlignment="1">
      <alignment horizontal="center"/>
    </xf>
    <xf numFmtId="166" fontId="11" fillId="21" borderId="0" xfId="0" applyNumberFormat="1" applyFont="1" applyFill="1" applyBorder="1" applyAlignment="1">
      <alignment horizontal="center"/>
    </xf>
    <xf numFmtId="166" fontId="23" fillId="21" borderId="0" xfId="0" applyNumberFormat="1" applyFont="1" applyFill="1" applyBorder="1" applyAlignment="1">
      <alignment horizontal="center"/>
    </xf>
    <xf numFmtId="176" fontId="22" fillId="15" borderId="8" xfId="0" applyNumberFormat="1" applyFont="1" applyFill="1" applyBorder="1"/>
    <xf numFmtId="165" fontId="22" fillId="0" borderId="23" xfId="0" applyNumberFormat="1" applyFont="1" applyFill="1" applyBorder="1"/>
    <xf numFmtId="165" fontId="22" fillId="0" borderId="36" xfId="0" applyNumberFormat="1" applyFont="1" applyFill="1" applyBorder="1"/>
    <xf numFmtId="165" fontId="22" fillId="19" borderId="0" xfId="0" applyNumberFormat="1" applyFont="1" applyFill="1" applyBorder="1"/>
    <xf numFmtId="165" fontId="22" fillId="17" borderId="1" xfId="0" applyNumberFormat="1" applyFont="1" applyFill="1" applyBorder="1"/>
    <xf numFmtId="165" fontId="22" fillId="15" borderId="23" xfId="0" applyNumberFormat="1" applyFont="1" applyFill="1" applyBorder="1"/>
    <xf numFmtId="165" fontId="22" fillId="0" borderId="0" xfId="0" applyNumberFormat="1" applyFont="1" applyFill="1" applyBorder="1"/>
    <xf numFmtId="165" fontId="22" fillId="17" borderId="7" xfId="0" applyNumberFormat="1" applyFont="1" applyFill="1" applyBorder="1"/>
    <xf numFmtId="165" fontId="22" fillId="15" borderId="0" xfId="0" applyNumberFormat="1" applyFont="1" applyFill="1"/>
    <xf numFmtId="165" fontId="22" fillId="17" borderId="8" xfId="0" applyNumberFormat="1" applyFont="1" applyFill="1" applyBorder="1"/>
    <xf numFmtId="165" fontId="22" fillId="15" borderId="8" xfId="0" applyNumberFormat="1" applyFont="1" applyFill="1" applyBorder="1"/>
    <xf numFmtId="0" fontId="22" fillId="15" borderId="0" xfId="59" applyFont="1" applyFill="1" applyBorder="1" applyAlignment="1">
      <alignment horizontal="left"/>
    </xf>
    <xf numFmtId="170" fontId="22" fillId="17" borderId="10" xfId="0" applyNumberFormat="1" applyFont="1" applyFill="1" applyBorder="1"/>
    <xf numFmtId="170" fontId="22" fillId="17" borderId="8" xfId="0" applyNumberFormat="1" applyFont="1" applyFill="1" applyBorder="1"/>
    <xf numFmtId="170" fontId="52" fillId="17" borderId="0" xfId="0" applyNumberFormat="1" applyFont="1" applyFill="1"/>
    <xf numFmtId="4" fontId="24" fillId="17" borderId="2" xfId="0" applyNumberFormat="1" applyFont="1" applyFill="1" applyBorder="1"/>
    <xf numFmtId="49" fontId="8" fillId="15" borderId="0" xfId="0" applyNumberFormat="1" applyFont="1" applyFill="1" applyBorder="1" applyAlignment="1">
      <alignment horizontal="left"/>
    </xf>
    <xf numFmtId="168" fontId="8" fillId="15" borderId="0" xfId="0" applyNumberFormat="1" applyFont="1" applyFill="1" applyBorder="1" applyAlignment="1">
      <alignment horizontal="left"/>
    </xf>
    <xf numFmtId="4" fontId="8" fillId="17" borderId="36" xfId="0" applyNumberFormat="1" applyFont="1" applyFill="1" applyBorder="1"/>
    <xf numFmtId="49" fontId="8" fillId="15" borderId="0" xfId="59" applyNumberFormat="1" applyFont="1" applyFill="1" applyBorder="1" applyAlignment="1">
      <alignment horizontal="left"/>
    </xf>
    <xf numFmtId="170" fontId="8" fillId="15" borderId="0" xfId="0" applyNumberFormat="1" applyFont="1" applyFill="1" applyBorder="1" applyAlignment="1">
      <alignment horizontal="left"/>
    </xf>
    <xf numFmtId="173" fontId="8" fillId="17" borderId="0" xfId="0" applyNumberFormat="1" applyFont="1" applyFill="1"/>
    <xf numFmtId="173" fontId="8" fillId="17" borderId="7" xfId="0" applyNumberFormat="1" applyFont="1" applyFill="1" applyBorder="1"/>
    <xf numFmtId="7" fontId="8" fillId="15" borderId="0" xfId="0" applyNumberFormat="1" applyFont="1" applyFill="1" applyBorder="1" applyAlignment="1">
      <alignment horizontal="left"/>
    </xf>
    <xf numFmtId="4" fontId="8" fillId="15" borderId="0" xfId="0" applyNumberFormat="1" applyFont="1" applyFill="1" applyBorder="1" applyAlignment="1">
      <alignment horizontal="left"/>
    </xf>
    <xf numFmtId="49" fontId="22" fillId="15" borderId="0" xfId="0" applyNumberFormat="1" applyFont="1" applyFill="1" applyBorder="1" applyAlignment="1">
      <alignment horizontal="left"/>
    </xf>
    <xf numFmtId="168" fontId="8" fillId="17" borderId="0" xfId="59" applyNumberFormat="1" applyFont="1" applyFill="1" applyBorder="1" applyAlignment="1" applyProtection="1">
      <alignment horizontal="left" indent="3"/>
      <protection locked="0"/>
    </xf>
    <xf numFmtId="168" fontId="8" fillId="17" borderId="7" xfId="63" applyNumberFormat="1" applyFont="1" applyFill="1" applyBorder="1" applyAlignment="1">
      <alignment horizontal="right" vertical="center"/>
    </xf>
    <xf numFmtId="170" fontId="18" fillId="19" borderId="0" xfId="0" applyNumberFormat="1" applyFont="1" applyFill="1"/>
    <xf numFmtId="167" fontId="8" fillId="17" borderId="0" xfId="38" applyNumberFormat="1" applyFont="1" applyFill="1"/>
    <xf numFmtId="168" fontId="23" fillId="17" borderId="23" xfId="0" applyNumberFormat="1" applyFont="1" applyFill="1" applyBorder="1"/>
    <xf numFmtId="165" fontId="8" fillId="0" borderId="0" xfId="59" applyNumberFormat="1" applyFont="1" applyFill="1" applyBorder="1" applyAlignment="1" applyProtection="1">
      <alignment horizontal="right"/>
      <protection locked="0"/>
    </xf>
    <xf numFmtId="49" fontId="8" fillId="15" borderId="0" xfId="59" applyNumberFormat="1" applyFont="1" applyFill="1" applyBorder="1" applyAlignment="1" applyProtection="1">
      <alignment horizontal="right"/>
      <protection locked="0"/>
    </xf>
    <xf numFmtId="166" fontId="8" fillId="15" borderId="0" xfId="0" applyNumberFormat="1" applyFont="1" applyFill="1" applyBorder="1" applyAlignment="1">
      <alignment horizontal="left"/>
    </xf>
    <xf numFmtId="0" fontId="8" fillId="15" borderId="0" xfId="0" applyFont="1" applyFill="1" applyBorder="1" applyAlignment="1">
      <alignment horizontal="left"/>
    </xf>
    <xf numFmtId="165" fontId="8" fillId="15" borderId="0" xfId="0" applyNumberFormat="1" applyFont="1" applyFill="1" applyBorder="1" applyAlignment="1">
      <alignment horizontal="left"/>
    </xf>
    <xf numFmtId="5" fontId="8" fillId="15" borderId="0" xfId="0" applyNumberFormat="1" applyFont="1" applyFill="1" applyBorder="1" applyAlignment="1">
      <alignment horizontal="left"/>
    </xf>
    <xf numFmtId="49" fontId="8" fillId="15" borderId="0" xfId="59" applyNumberFormat="1" applyFont="1" applyFill="1" applyBorder="1" applyAlignment="1" applyProtection="1">
      <alignment horizontal="left"/>
      <protection locked="0"/>
    </xf>
    <xf numFmtId="0" fontId="22" fillId="15" borderId="0" xfId="0" applyFont="1" applyFill="1" applyBorder="1" applyAlignment="1">
      <alignment horizontal="center"/>
    </xf>
    <xf numFmtId="168" fontId="22" fillId="15" borderId="0" xfId="0" applyNumberFormat="1" applyFont="1" applyFill="1" applyBorder="1" applyAlignment="1">
      <alignment horizontal="center"/>
    </xf>
    <xf numFmtId="5" fontId="65" fillId="17" borderId="0" xfId="0" applyNumberFormat="1" applyFont="1" applyFill="1" applyBorder="1"/>
    <xf numFmtId="9" fontId="23" fillId="0" borderId="0" xfId="63" applyNumberFormat="1" applyFont="1" applyFill="1" applyBorder="1" applyAlignment="1">
      <alignment horizontal="right"/>
    </xf>
    <xf numFmtId="166" fontId="23" fillId="0" borderId="0" xfId="63" applyNumberFormat="1" applyFont="1" applyFill="1" applyBorder="1" applyAlignment="1">
      <alignment horizontal="right"/>
    </xf>
    <xf numFmtId="168" fontId="22" fillId="23" borderId="0" xfId="0" applyNumberFormat="1" applyFont="1" applyFill="1" applyBorder="1" applyAlignment="1">
      <alignment horizontal="left"/>
    </xf>
    <xf numFmtId="170" fontId="22" fillId="23" borderId="0" xfId="0" applyNumberFormat="1" applyFont="1" applyFill="1" applyBorder="1" applyAlignment="1">
      <alignment horizontal="left"/>
    </xf>
    <xf numFmtId="165" fontId="22" fillId="23" borderId="0" xfId="59" applyNumberFormat="1" applyFont="1" applyFill="1" applyBorder="1" applyAlignment="1" applyProtection="1">
      <alignment horizontal="left"/>
      <protection locked="0"/>
    </xf>
    <xf numFmtId="168" fontId="8" fillId="17" borderId="0" xfId="59" applyNumberFormat="1" applyFont="1" applyFill="1" applyBorder="1" applyAlignment="1" applyProtection="1">
      <alignment horizontal="left" indent="2"/>
      <protection locked="0"/>
    </xf>
    <xf numFmtId="2" fontId="8" fillId="17" borderId="0" xfId="0" applyNumberFormat="1" applyFont="1" applyFill="1" applyBorder="1" applyAlignment="1">
      <alignment horizontal="left" indent="1"/>
    </xf>
    <xf numFmtId="166" fontId="8" fillId="17" borderId="23" xfId="0" applyNumberFormat="1" applyFont="1" applyFill="1" applyBorder="1" applyAlignment="1">
      <alignment horizontal="left" indent="1"/>
    </xf>
    <xf numFmtId="167" fontId="8" fillId="17" borderId="0" xfId="0" applyNumberFormat="1" applyFont="1" applyFill="1" applyBorder="1" applyAlignment="1">
      <alignment horizontal="left" indent="1"/>
    </xf>
    <xf numFmtId="168" fontId="8" fillId="16" borderId="0" xfId="59" applyNumberFormat="1" applyFont="1" applyFill="1" applyBorder="1" applyAlignment="1" applyProtection="1">
      <alignment horizontal="left" indent="3"/>
      <protection locked="0"/>
    </xf>
    <xf numFmtId="166" fontId="8" fillId="17" borderId="0" xfId="0" applyNumberFormat="1" applyFont="1" applyFill="1" applyBorder="1" applyAlignment="1">
      <alignment horizontal="left" indent="1"/>
    </xf>
    <xf numFmtId="168" fontId="8" fillId="17" borderId="0" xfId="63" applyNumberFormat="1" applyFont="1" applyFill="1" applyBorder="1" applyAlignment="1">
      <alignment horizontal="left" indent="2"/>
    </xf>
    <xf numFmtId="165" fontId="8" fillId="17" borderId="0" xfId="63" applyNumberFormat="1" applyFont="1" applyFill="1" applyBorder="1" applyAlignment="1">
      <alignment horizontal="left" indent="1"/>
    </xf>
    <xf numFmtId="167" fontId="8" fillId="17" borderId="0" xfId="54" applyNumberFormat="1" applyFont="1" applyFill="1" applyBorder="1"/>
    <xf numFmtId="165" fontId="8" fillId="0" borderId="0" xfId="59" applyNumberFormat="1" applyFont="1" applyFill="1" applyBorder="1" applyAlignment="1" applyProtection="1">
      <alignment horizontal="left" indent="1"/>
      <protection locked="0"/>
    </xf>
    <xf numFmtId="2" fontId="8" fillId="0" borderId="0" xfId="0" applyNumberFormat="1" applyFont="1" applyFill="1" applyBorder="1" applyAlignment="1">
      <alignment horizontal="left" indent="1"/>
    </xf>
    <xf numFmtId="2" fontId="8" fillId="17" borderId="23" xfId="0" applyNumberFormat="1" applyFont="1" applyFill="1" applyBorder="1" applyAlignment="1">
      <alignment horizontal="left" indent="1"/>
    </xf>
    <xf numFmtId="168" fontId="8" fillId="17" borderId="0" xfId="56" applyNumberFormat="1" applyFont="1" applyFill="1" applyBorder="1" applyAlignment="1">
      <alignment horizontal="left" indent="1"/>
    </xf>
    <xf numFmtId="5" fontId="8" fillId="17" borderId="23" xfId="0" applyNumberFormat="1" applyFont="1" applyFill="1" applyBorder="1"/>
    <xf numFmtId="5" fontId="8" fillId="17" borderId="3" xfId="57" applyNumberFormat="1" applyFont="1" applyFill="1" applyBorder="1"/>
    <xf numFmtId="168" fontId="8" fillId="17" borderId="0" xfId="57" applyNumberFormat="1" applyFont="1" applyFill="1" applyBorder="1" applyAlignment="1">
      <alignment horizontal="left" indent="1"/>
    </xf>
    <xf numFmtId="5" fontId="8" fillId="17" borderId="23" xfId="57" applyNumberFormat="1" applyFont="1" applyFill="1" applyBorder="1"/>
    <xf numFmtId="169" fontId="8" fillId="17" borderId="2" xfId="57" applyNumberFormat="1" applyFont="1" applyFill="1" applyBorder="1"/>
    <xf numFmtId="1" fontId="8" fillId="17" borderId="0" xfId="57" applyNumberFormat="1" applyFont="1" applyFill="1" applyBorder="1"/>
    <xf numFmtId="5" fontId="8" fillId="17" borderId="0" xfId="63" applyNumberFormat="1" applyFont="1" applyFill="1"/>
    <xf numFmtId="7" fontId="8" fillId="17" borderId="8" xfId="57" applyNumberFormat="1" applyFont="1" applyFill="1" applyBorder="1"/>
    <xf numFmtId="170" fontId="8" fillId="17" borderId="0" xfId="0" applyNumberFormat="1" applyFont="1" applyFill="1" applyBorder="1" applyAlignment="1">
      <alignment horizontal="left"/>
    </xf>
    <xf numFmtId="170" fontId="8" fillId="17" borderId="0" xfId="0" applyNumberFormat="1" applyFont="1" applyFill="1" applyBorder="1" applyAlignment="1"/>
    <xf numFmtId="168" fontId="8" fillId="17" borderId="0" xfId="0" applyNumberFormat="1" applyFont="1" applyFill="1" applyBorder="1" applyAlignment="1">
      <alignment horizontal="left" indent="2"/>
    </xf>
    <xf numFmtId="0" fontId="8" fillId="17" borderId="0" xfId="0" applyFont="1" applyFill="1" applyBorder="1" applyAlignment="1">
      <alignment horizontal="left" indent="1"/>
    </xf>
    <xf numFmtId="168" fontId="8" fillId="17" borderId="0" xfId="0" applyNumberFormat="1" applyFont="1" applyFill="1" applyBorder="1" applyAlignment="1">
      <alignment horizontal="left" indent="1"/>
    </xf>
    <xf numFmtId="9" fontId="8" fillId="17" borderId="0" xfId="0" applyNumberFormat="1" applyFont="1" applyFill="1" applyBorder="1" applyAlignment="1">
      <alignment horizontal="left" indent="1"/>
    </xf>
    <xf numFmtId="0" fontId="33" fillId="17" borderId="0" xfId="0" applyFont="1" applyFill="1" applyBorder="1"/>
    <xf numFmtId="165" fontId="8" fillId="17" borderId="2" xfId="59" applyNumberFormat="1" applyFont="1" applyFill="1" applyBorder="1" applyAlignment="1" applyProtection="1">
      <alignment horizontal="left"/>
      <protection locked="0"/>
    </xf>
    <xf numFmtId="168" fontId="8" fillId="17" borderId="0" xfId="0" applyNumberFormat="1" applyFont="1" applyFill="1" applyAlignment="1">
      <alignment horizontal="left" indent="2"/>
    </xf>
    <xf numFmtId="9" fontId="8" fillId="17" borderId="0" xfId="63" applyFont="1" applyFill="1" applyAlignment="1">
      <alignment horizontal="left" indent="2"/>
    </xf>
    <xf numFmtId="170" fontId="8" fillId="17" borderId="0" xfId="0" applyNumberFormat="1" applyFont="1" applyFill="1" applyAlignment="1">
      <alignment horizontal="left" indent="1"/>
    </xf>
    <xf numFmtId="5" fontId="8" fillId="17" borderId="0" xfId="0" applyNumberFormat="1" applyFont="1" applyFill="1" applyAlignment="1">
      <alignment horizontal="left" indent="1"/>
    </xf>
    <xf numFmtId="172" fontId="8" fillId="17" borderId="0" xfId="0" applyNumberFormat="1" applyFont="1" applyFill="1"/>
    <xf numFmtId="4" fontId="22" fillId="15" borderId="0" xfId="0" applyNumberFormat="1" applyFont="1" applyFill="1" applyBorder="1" applyAlignment="1">
      <alignment horizontal="left"/>
    </xf>
    <xf numFmtId="9" fontId="22" fillId="15" borderId="0" xfId="0" applyNumberFormat="1" applyFont="1" applyFill="1" applyBorder="1" applyAlignment="1">
      <alignment horizontal="left"/>
    </xf>
    <xf numFmtId="7" fontId="19" fillId="15" borderId="0" xfId="59" applyNumberFormat="1" applyFont="1" applyFill="1" applyBorder="1" applyAlignment="1">
      <alignment horizontal="left"/>
    </xf>
    <xf numFmtId="5" fontId="22" fillId="17" borderId="7" xfId="0" applyNumberFormat="1" applyFont="1" applyFill="1" applyBorder="1"/>
    <xf numFmtId="168" fontId="22" fillId="15" borderId="0" xfId="63" applyNumberFormat="1" applyFont="1" applyFill="1" applyBorder="1" applyAlignment="1">
      <alignment horizontal="left"/>
    </xf>
    <xf numFmtId="168" fontId="8" fillId="24" borderId="0" xfId="0" applyNumberFormat="1" applyFont="1" applyFill="1"/>
    <xf numFmtId="170" fontId="19" fillId="15" borderId="0" xfId="59" applyNumberFormat="1" applyFont="1" applyFill="1" applyBorder="1" applyAlignment="1">
      <alignment horizontal="left"/>
    </xf>
    <xf numFmtId="168" fontId="8" fillId="15" borderId="0" xfId="63" applyNumberFormat="1" applyFont="1" applyFill="1" applyBorder="1" applyAlignment="1">
      <alignment horizontal="left"/>
    </xf>
    <xf numFmtId="8" fontId="23" fillId="17" borderId="7" xfId="0" applyNumberFormat="1" applyFont="1" applyFill="1" applyBorder="1"/>
    <xf numFmtId="0" fontId="3" fillId="0" borderId="0" xfId="0" applyFont="1"/>
    <xf numFmtId="168" fontId="22" fillId="15" borderId="0" xfId="63" applyNumberFormat="1" applyFont="1" applyFill="1" applyBorder="1" applyAlignment="1" applyProtection="1">
      <alignment horizontal="right"/>
      <protection locked="0"/>
    </xf>
    <xf numFmtId="1" fontId="8" fillId="17" borderId="0" xfId="58" applyNumberFormat="1" applyFont="1" applyFill="1" applyBorder="1" applyAlignment="1">
      <alignment horizontal="left" indent="1"/>
    </xf>
    <xf numFmtId="1" fontId="23" fillId="0" borderId="7" xfId="38" applyNumberFormat="1" applyFont="1" applyFill="1" applyBorder="1" applyAlignment="1">
      <alignment horizontal="right"/>
    </xf>
    <xf numFmtId="168" fontId="8" fillId="17" borderId="7" xfId="63" applyNumberFormat="1" applyFont="1" applyFill="1" applyBorder="1"/>
    <xf numFmtId="168" fontId="11" fillId="17" borderId="0" xfId="63" applyNumberFormat="1" applyFont="1" applyFill="1"/>
    <xf numFmtId="168" fontId="66" fillId="17" borderId="0" xfId="63" applyNumberFormat="1" applyFont="1" applyFill="1"/>
    <xf numFmtId="168" fontId="66" fillId="17" borderId="7" xfId="63" applyNumberFormat="1" applyFont="1" applyFill="1" applyBorder="1"/>
    <xf numFmtId="0" fontId="22" fillId="15" borderId="8" xfId="0" applyNumberFormat="1" applyFont="1" applyFill="1" applyBorder="1"/>
    <xf numFmtId="5" fontId="54" fillId="17" borderId="0" xfId="0" applyNumberFormat="1" applyFont="1" applyFill="1" applyBorder="1" applyAlignment="1">
      <alignment vertical="top"/>
    </xf>
    <xf numFmtId="9" fontId="8" fillId="17" borderId="0" xfId="0" applyNumberFormat="1" applyFont="1" applyFill="1" applyBorder="1" applyAlignment="1">
      <alignment horizontal="left" vertical="top" indent="1"/>
    </xf>
    <xf numFmtId="7" fontId="8" fillId="17" borderId="0" xfId="0" applyNumberFormat="1" applyFont="1" applyFill="1" applyBorder="1" applyAlignment="1">
      <alignment horizontal="left" vertical="top" indent="1"/>
    </xf>
    <xf numFmtId="9" fontId="8" fillId="17" borderId="1" xfId="0" applyNumberFormat="1" applyFont="1" applyFill="1" applyBorder="1"/>
    <xf numFmtId="9" fontId="8" fillId="17" borderId="0" xfId="0" applyNumberFormat="1" applyFont="1" applyFill="1" applyBorder="1"/>
    <xf numFmtId="9" fontId="66" fillId="17" borderId="0" xfId="0" applyNumberFormat="1" applyFont="1" applyFill="1" applyBorder="1"/>
    <xf numFmtId="167" fontId="23" fillId="0" borderId="0" xfId="38" applyNumberFormat="1" applyFont="1" applyFill="1" applyBorder="1" applyAlignment="1">
      <alignment horizontal="right"/>
    </xf>
    <xf numFmtId="0" fontId="5" fillId="0" borderId="0" xfId="52"/>
    <xf numFmtId="0" fontId="0" fillId="17" borderId="0" xfId="4" applyFont="1" applyFill="1"/>
    <xf numFmtId="0" fontId="55" fillId="17" borderId="0" xfId="4" applyFont="1" applyFill="1"/>
    <xf numFmtId="0" fontId="2" fillId="17" borderId="0" xfId="4" applyFont="1" applyFill="1"/>
    <xf numFmtId="0" fontId="56" fillId="17" borderId="0" xfId="4" applyFont="1" applyFill="1"/>
    <xf numFmtId="0" fontId="67" fillId="0" borderId="0" xfId="52" applyFont="1"/>
    <xf numFmtId="0" fontId="67" fillId="17" borderId="0" xfId="4" applyFont="1" applyFill="1"/>
    <xf numFmtId="0" fontId="68" fillId="17" borderId="0" xfId="4" applyFont="1" applyFill="1"/>
    <xf numFmtId="0" fontId="69" fillId="17" borderId="0" xfId="4" applyFont="1" applyFill="1"/>
    <xf numFmtId="0" fontId="70" fillId="17" borderId="0" xfId="4" applyFont="1" applyFill="1"/>
    <xf numFmtId="0" fontId="57" fillId="17" borderId="0" xfId="4" applyFont="1" applyFill="1"/>
    <xf numFmtId="0" fontId="5" fillId="25" borderId="0" xfId="52" applyFill="1"/>
    <xf numFmtId="0" fontId="9" fillId="25" borderId="0" xfId="4" applyFont="1" applyFill="1"/>
    <xf numFmtId="14" fontId="58" fillId="25" borderId="0" xfId="4" applyNumberFormat="1" applyFont="1" applyFill="1" applyAlignment="1">
      <alignment horizontal="left"/>
    </xf>
    <xf numFmtId="0" fontId="58" fillId="25" borderId="0" xfId="4" applyFont="1" applyFill="1"/>
    <xf numFmtId="8" fontId="58" fillId="25" borderId="0" xfId="4" applyNumberFormat="1" applyFont="1" applyFill="1" applyAlignment="1">
      <alignment horizontal="left"/>
    </xf>
    <xf numFmtId="0" fontId="59" fillId="25" borderId="0" xfId="4" applyFont="1" applyFill="1"/>
    <xf numFmtId="0" fontId="3" fillId="0" borderId="0" xfId="52" applyFont="1"/>
    <xf numFmtId="174" fontId="3" fillId="0" borderId="0" xfId="41" applyNumberFormat="1" applyFont="1"/>
    <xf numFmtId="177" fontId="3" fillId="0" borderId="0" xfId="52" applyNumberFormat="1" applyFont="1" applyAlignment="1">
      <alignment horizontal="right"/>
    </xf>
    <xf numFmtId="174" fontId="3" fillId="0" borderId="0" xfId="52" applyNumberFormat="1" applyFont="1"/>
    <xf numFmtId="174" fontId="4" fillId="0" borderId="54" xfId="52" applyNumberFormat="1" applyFont="1" applyBorder="1"/>
    <xf numFmtId="174" fontId="4" fillId="0" borderId="8" xfId="52" applyNumberFormat="1" applyFont="1" applyBorder="1"/>
    <xf numFmtId="0" fontId="4" fillId="0" borderId="8" xfId="52" applyFont="1" applyBorder="1"/>
    <xf numFmtId="0" fontId="4" fillId="0" borderId="55" xfId="52" applyFont="1" applyBorder="1"/>
    <xf numFmtId="9" fontId="3" fillId="0" borderId="0" xfId="52" applyNumberFormat="1" applyFont="1"/>
    <xf numFmtId="174" fontId="2" fillId="0" borderId="0" xfId="41" applyNumberFormat="1" applyFont="1"/>
    <xf numFmtId="0" fontId="2" fillId="0" borderId="0" xfId="52" applyFont="1"/>
    <xf numFmtId="8" fontId="2" fillId="0" borderId="8" xfId="52" applyNumberFormat="1" applyFont="1" applyFill="1" applyBorder="1"/>
    <xf numFmtId="0" fontId="3" fillId="0" borderId="8" xfId="52" applyFont="1" applyFill="1" applyBorder="1"/>
    <xf numFmtId="0" fontId="2" fillId="0" borderId="55" xfId="52" applyFont="1" applyFill="1" applyBorder="1"/>
    <xf numFmtId="9" fontId="71" fillId="0" borderId="0" xfId="52" applyNumberFormat="1" applyFont="1"/>
    <xf numFmtId="0" fontId="4" fillId="0" borderId="0" xfId="52" applyFont="1"/>
    <xf numFmtId="174" fontId="2" fillId="0" borderId="0" xfId="52" applyNumberFormat="1" applyFont="1"/>
    <xf numFmtId="9" fontId="64" fillId="0" borderId="0" xfId="41" applyNumberFormat="1" applyFont="1"/>
    <xf numFmtId="8" fontId="2" fillId="0" borderId="0" xfId="41" applyNumberFormat="1" applyFont="1"/>
    <xf numFmtId="178" fontId="3" fillId="0" borderId="0" xfId="52" applyNumberFormat="1" applyFont="1"/>
    <xf numFmtId="174" fontId="4" fillId="0" borderId="0" xfId="52" applyNumberFormat="1" applyFont="1"/>
    <xf numFmtId="174" fontId="4" fillId="0" borderId="0" xfId="41" applyNumberFormat="1" applyFont="1"/>
    <xf numFmtId="0" fontId="72" fillId="25" borderId="0" xfId="52" applyFont="1" applyFill="1"/>
    <xf numFmtId="0" fontId="73" fillId="25" borderId="0" xfId="52" applyFont="1" applyFill="1"/>
    <xf numFmtId="177" fontId="64" fillId="0" borderId="0" xfId="52" applyNumberFormat="1" applyFont="1" applyAlignment="1">
      <alignment horizontal="right"/>
    </xf>
    <xf numFmtId="168" fontId="3" fillId="0" borderId="0" xfId="52" applyNumberFormat="1" applyFont="1"/>
    <xf numFmtId="8" fontId="3" fillId="0" borderId="0" xfId="52" applyNumberFormat="1" applyFont="1"/>
    <xf numFmtId="9" fontId="4" fillId="0" borderId="0" xfId="52" applyNumberFormat="1" applyFont="1"/>
    <xf numFmtId="8" fontId="64" fillId="0" borderId="0" xfId="52" applyNumberFormat="1" applyFont="1"/>
    <xf numFmtId="8" fontId="2" fillId="26" borderId="8" xfId="52" applyNumberFormat="1" applyFont="1" applyFill="1" applyBorder="1"/>
    <xf numFmtId="0" fontId="3" fillId="26" borderId="8" xfId="52" applyFont="1" applyFill="1" applyBorder="1"/>
    <xf numFmtId="0" fontId="2" fillId="26" borderId="55" xfId="52" applyFont="1" applyFill="1" applyBorder="1"/>
    <xf numFmtId="0" fontId="68" fillId="0" borderId="0" xfId="4" applyNumberFormat="1" applyFont="1" applyAlignment="1">
      <alignment horizontal="right"/>
    </xf>
    <xf numFmtId="0" fontId="68" fillId="0" borderId="0" xfId="4" applyFont="1" applyAlignment="1">
      <alignment horizontal="right"/>
    </xf>
    <xf numFmtId="0" fontId="3" fillId="25" borderId="0" xfId="52" applyFont="1" applyFill="1"/>
    <xf numFmtId="179" fontId="57" fillId="25" borderId="0" xfId="4" applyNumberFormat="1" applyFont="1" applyFill="1"/>
    <xf numFmtId="179" fontId="56" fillId="25" borderId="0" xfId="4" applyNumberFormat="1" applyFont="1" applyFill="1"/>
    <xf numFmtId="179" fontId="28" fillId="25" borderId="0" xfId="4" applyNumberFormat="1" applyFont="1" applyFill="1"/>
    <xf numFmtId="179" fontId="60" fillId="25" borderId="0" xfId="4" applyNumberFormat="1" applyFont="1" applyFill="1"/>
    <xf numFmtId="179" fontId="27" fillId="25" borderId="0" xfId="4" applyNumberFormat="1" applyFont="1" applyFill="1"/>
    <xf numFmtId="179" fontId="58" fillId="25" borderId="0" xfId="4" applyNumberFormat="1" applyFont="1" applyFill="1"/>
    <xf numFmtId="179" fontId="61" fillId="25" borderId="0" xfId="4" applyNumberFormat="1" applyFont="1" applyFill="1"/>
    <xf numFmtId="0" fontId="3" fillId="25" borderId="0" xfId="4" applyFont="1" applyFill="1"/>
    <xf numFmtId="0" fontId="4" fillId="0" borderId="0" xfId="0" applyFont="1"/>
    <xf numFmtId="9" fontId="4" fillId="0" borderId="0" xfId="0" applyNumberFormat="1" applyFont="1"/>
    <xf numFmtId="0" fontId="73" fillId="25" borderId="0" xfId="53" applyFont="1" applyFill="1"/>
    <xf numFmtId="0" fontId="72" fillId="25" borderId="0" xfId="53" applyFont="1" applyFill="1"/>
    <xf numFmtId="0" fontId="3" fillId="0" borderId="0" xfId="53" applyFont="1"/>
    <xf numFmtId="9" fontId="3" fillId="0" borderId="0" xfId="53" applyNumberFormat="1" applyFont="1"/>
    <xf numFmtId="177" fontId="3" fillId="0" borderId="0" xfId="53" applyNumberFormat="1" applyFont="1" applyAlignment="1">
      <alignment horizontal="right"/>
    </xf>
    <xf numFmtId="8" fontId="2" fillId="0" borderId="54" xfId="52" applyNumberFormat="1" applyFont="1" applyFill="1" applyBorder="1"/>
    <xf numFmtId="0" fontId="4" fillId="0" borderId="9" xfId="52" applyFont="1" applyBorder="1"/>
    <xf numFmtId="0" fontId="4" fillId="0" borderId="20" xfId="52" applyFont="1" applyBorder="1"/>
    <xf numFmtId="177" fontId="4" fillId="0" borderId="20" xfId="52" applyNumberFormat="1" applyFont="1" applyBorder="1" applyAlignment="1">
      <alignment horizontal="right"/>
    </xf>
    <xf numFmtId="177" fontId="4" fillId="0" borderId="28" xfId="52" applyNumberFormat="1" applyFont="1" applyBorder="1" applyAlignment="1">
      <alignment horizontal="right"/>
    </xf>
    <xf numFmtId="0" fontId="4" fillId="0" borderId="1" xfId="52" applyFont="1" applyBorder="1"/>
    <xf numFmtId="0" fontId="4" fillId="0" borderId="0" xfId="52" applyFont="1" applyBorder="1"/>
    <xf numFmtId="177" fontId="4" fillId="0" borderId="0" xfId="52" applyNumberFormat="1" applyFont="1" applyBorder="1" applyAlignment="1">
      <alignment horizontal="right"/>
    </xf>
    <xf numFmtId="177" fontId="4" fillId="0" borderId="26" xfId="52" applyNumberFormat="1" applyFont="1" applyBorder="1" applyAlignment="1">
      <alignment horizontal="right"/>
    </xf>
    <xf numFmtId="0" fontId="4" fillId="0" borderId="46" xfId="52" applyFont="1" applyBorder="1"/>
    <xf numFmtId="0" fontId="4" fillId="0" borderId="2" xfId="52" applyFont="1" applyBorder="1"/>
    <xf numFmtId="177" fontId="4" fillId="0" borderId="2" xfId="52" applyNumberFormat="1" applyFont="1" applyBorder="1" applyAlignment="1">
      <alignment horizontal="right"/>
    </xf>
    <xf numFmtId="168" fontId="4" fillId="0" borderId="2" xfId="53" applyNumberFormat="1" applyFont="1" applyBorder="1" applyAlignment="1">
      <alignment horizontal="right"/>
    </xf>
    <xf numFmtId="168" fontId="4" fillId="0" borderId="47" xfId="53" applyNumberFormat="1" applyFont="1" applyBorder="1" applyAlignment="1">
      <alignment horizontal="right"/>
    </xf>
    <xf numFmtId="0" fontId="4" fillId="0" borderId="0" xfId="53" applyFont="1"/>
    <xf numFmtId="174" fontId="4" fillId="0" borderId="0" xfId="39" applyNumberFormat="1" applyFont="1"/>
    <xf numFmtId="174" fontId="71" fillId="0" borderId="0" xfId="40" applyNumberFormat="1" applyFont="1"/>
    <xf numFmtId="174" fontId="4" fillId="0" borderId="0" xfId="38" applyNumberFormat="1" applyFont="1"/>
    <xf numFmtId="0" fontId="74" fillId="0" borderId="0" xfId="52" applyFont="1"/>
    <xf numFmtId="168" fontId="19" fillId="20" borderId="7" xfId="59" applyNumberFormat="1" applyFont="1" applyFill="1" applyBorder="1" applyAlignment="1">
      <alignment horizontal="left"/>
    </xf>
    <xf numFmtId="2" fontId="4" fillId="0" borderId="0" xfId="52" applyNumberFormat="1" applyFont="1"/>
    <xf numFmtId="13" fontId="3" fillId="0" borderId="0" xfId="52" applyNumberFormat="1" applyFont="1"/>
    <xf numFmtId="9" fontId="8" fillId="15" borderId="0" xfId="0" applyNumberFormat="1" applyFont="1" applyFill="1" applyBorder="1" applyAlignment="1">
      <alignment horizontal="left"/>
    </xf>
    <xf numFmtId="180" fontId="68" fillId="0" borderId="0" xfId="52" applyNumberFormat="1" applyFont="1"/>
    <xf numFmtId="9" fontId="8" fillId="17" borderId="2" xfId="0" applyNumberFormat="1" applyFont="1" applyFill="1" applyBorder="1"/>
    <xf numFmtId="165" fontId="8" fillId="17" borderId="0" xfId="59" applyNumberFormat="1" applyFont="1" applyFill="1" applyBorder="1" applyAlignment="1" applyProtection="1">
      <alignment horizontal="right"/>
      <protection locked="0"/>
    </xf>
    <xf numFmtId="174" fontId="60" fillId="25" borderId="0" xfId="38" applyNumberFormat="1" applyFont="1" applyFill="1"/>
    <xf numFmtId="174" fontId="57" fillId="25" borderId="0" xfId="38" applyNumberFormat="1" applyFont="1" applyFill="1"/>
    <xf numFmtId="174" fontId="3" fillId="0" borderId="0" xfId="38" applyNumberFormat="1" applyFont="1"/>
    <xf numFmtId="174" fontId="2" fillId="0" borderId="0" xfId="38" applyNumberFormat="1" applyFont="1"/>
    <xf numFmtId="6" fontId="4" fillId="0" borderId="0" xfId="38" applyNumberFormat="1" applyFont="1"/>
    <xf numFmtId="5" fontId="25" fillId="17" borderId="0" xfId="0" applyNumberFormat="1" applyFont="1" applyFill="1"/>
    <xf numFmtId="9" fontId="19" fillId="20" borderId="0" xfId="59" applyNumberFormat="1" applyFont="1" applyFill="1" applyBorder="1" applyAlignment="1">
      <alignment horizontal="left"/>
    </xf>
    <xf numFmtId="2" fontId="22" fillId="15" borderId="0" xfId="63" applyNumberFormat="1" applyFont="1" applyFill="1" applyBorder="1" applyAlignment="1">
      <alignment horizontal="left"/>
    </xf>
    <xf numFmtId="2" fontId="22" fillId="15" borderId="0" xfId="59" applyNumberFormat="1" applyFont="1" applyFill="1" applyBorder="1" applyAlignment="1" applyProtection="1">
      <alignment horizontal="right"/>
      <protection locked="0"/>
    </xf>
    <xf numFmtId="165" fontId="22" fillId="15" borderId="0" xfId="0" applyNumberFormat="1" applyFont="1" applyFill="1" applyBorder="1" applyAlignment="1">
      <alignment horizontal="center"/>
    </xf>
    <xf numFmtId="168" fontId="22" fillId="15" borderId="0" xfId="63" applyNumberFormat="1" applyFont="1" applyFill="1" applyBorder="1" applyAlignment="1">
      <alignment horizontal="center"/>
    </xf>
    <xf numFmtId="168" fontId="8" fillId="15" borderId="0" xfId="63" applyNumberFormat="1" applyFont="1" applyFill="1" applyBorder="1" applyAlignment="1" applyProtection="1">
      <protection locked="0"/>
    </xf>
    <xf numFmtId="169" fontId="22" fillId="15" borderId="0" xfId="38" applyNumberFormat="1" applyFont="1" applyFill="1" applyBorder="1" applyAlignment="1" applyProtection="1">
      <alignment horizontal="right"/>
      <protection locked="0"/>
    </xf>
    <xf numFmtId="181" fontId="22" fillId="15" borderId="0" xfId="0" applyNumberFormat="1" applyFont="1" applyFill="1" applyBorder="1" applyAlignment="1">
      <alignment horizontal="left"/>
    </xf>
    <xf numFmtId="167" fontId="23" fillId="0" borderId="7" xfId="38" applyNumberFormat="1" applyFont="1" applyFill="1" applyBorder="1" applyAlignment="1">
      <alignment horizontal="right"/>
    </xf>
    <xf numFmtId="168" fontId="23" fillId="24" borderId="0" xfId="0" applyNumberFormat="1" applyFont="1" applyFill="1"/>
    <xf numFmtId="168" fontId="8" fillId="24" borderId="7" xfId="0" applyNumberFormat="1" applyFont="1" applyFill="1" applyBorder="1"/>
    <xf numFmtId="5" fontId="65" fillId="24" borderId="0" xfId="0" applyNumberFormat="1" applyFont="1" applyFill="1" applyBorder="1"/>
    <xf numFmtId="7" fontId="30" fillId="24" borderId="0" xfId="0" applyNumberFormat="1" applyFont="1" applyFill="1"/>
    <xf numFmtId="170" fontId="25" fillId="24" borderId="7" xfId="0" applyNumberFormat="1" applyFont="1" applyFill="1" applyBorder="1"/>
    <xf numFmtId="9" fontId="3" fillId="0" borderId="0" xfId="38" applyNumberFormat="1" applyFont="1"/>
    <xf numFmtId="1" fontId="8" fillId="24" borderId="7" xfId="0" applyNumberFormat="1" applyFont="1" applyFill="1" applyBorder="1"/>
    <xf numFmtId="168" fontId="22" fillId="15" borderId="0" xfId="38" applyNumberFormat="1" applyFont="1" applyFill="1" applyBorder="1" applyAlignment="1" applyProtection="1">
      <alignment horizontal="right"/>
      <protection locked="0"/>
    </xf>
    <xf numFmtId="175" fontId="22" fillId="15" borderId="0" xfId="0" applyNumberFormat="1" applyFont="1" applyFill="1" applyBorder="1" applyAlignment="1">
      <alignment horizontal="left"/>
    </xf>
    <xf numFmtId="1" fontId="22" fillId="15" borderId="0" xfId="0" applyNumberFormat="1" applyFont="1" applyFill="1" applyBorder="1" applyAlignment="1">
      <alignment horizontal="center"/>
    </xf>
    <xf numFmtId="168" fontId="75" fillId="15" borderId="0" xfId="0" applyNumberFormat="1" applyFont="1" applyFill="1" applyBorder="1" applyAlignment="1">
      <alignment horizontal="center"/>
    </xf>
    <xf numFmtId="1" fontId="8" fillId="15" borderId="0" xfId="63" applyNumberFormat="1" applyFont="1" applyFill="1" applyBorder="1" applyAlignment="1" applyProtection="1">
      <alignment horizontal="center"/>
      <protection locked="0"/>
    </xf>
    <xf numFmtId="3" fontId="22" fillId="15" borderId="0" xfId="0" applyNumberFormat="1" applyFont="1" applyFill="1" applyBorder="1" applyAlignment="1">
      <alignment horizontal="center"/>
    </xf>
    <xf numFmtId="7" fontId="22" fillId="15" borderId="0" xfId="0" applyNumberFormat="1" applyFont="1" applyFill="1" applyBorder="1" applyAlignment="1">
      <alignment horizontal="center"/>
    </xf>
    <xf numFmtId="164" fontId="22" fillId="15" borderId="0" xfId="0" applyNumberFormat="1" applyFont="1" applyFill="1" applyBorder="1" applyAlignment="1">
      <alignment horizontal="center"/>
    </xf>
    <xf numFmtId="168" fontId="20" fillId="15" borderId="0" xfId="0" applyNumberFormat="1" applyFont="1" applyFill="1" applyBorder="1" applyAlignment="1">
      <alignment horizontal="center"/>
    </xf>
    <xf numFmtId="168" fontId="76" fillId="15" borderId="0" xfId="0" applyNumberFormat="1" applyFont="1" applyFill="1" applyBorder="1" applyAlignment="1">
      <alignment horizontal="center"/>
    </xf>
    <xf numFmtId="5" fontId="22" fillId="24" borderId="0" xfId="0" applyNumberFormat="1" applyFont="1" applyFill="1" applyBorder="1"/>
    <xf numFmtId="165" fontId="8" fillId="15" borderId="0" xfId="63" applyNumberFormat="1" applyFont="1" applyFill="1" applyBorder="1" applyAlignment="1">
      <alignment horizontal="left"/>
    </xf>
    <xf numFmtId="168" fontId="23" fillId="16" borderId="23" xfId="0" applyNumberFormat="1" applyFont="1" applyFill="1" applyBorder="1"/>
    <xf numFmtId="168" fontId="8" fillId="17" borderId="0" xfId="63" applyNumberFormat="1" applyFont="1" applyFill="1" applyBorder="1"/>
    <xf numFmtId="168" fontId="8" fillId="17" borderId="1" xfId="63" applyNumberFormat="1" applyFont="1" applyFill="1" applyBorder="1"/>
    <xf numFmtId="49" fontId="8" fillId="15" borderId="0" xfId="63" applyNumberFormat="1" applyFont="1" applyFill="1" applyBorder="1" applyAlignment="1">
      <alignment vertical="center"/>
    </xf>
    <xf numFmtId="49" fontId="8" fillId="15" borderId="0" xfId="63" applyNumberFormat="1" applyFont="1" applyFill="1" applyBorder="1" applyAlignment="1">
      <alignment horizontal="center" vertical="center"/>
    </xf>
    <xf numFmtId="3" fontId="8" fillId="15" borderId="0" xfId="0" applyNumberFormat="1" applyFont="1" applyFill="1" applyAlignment="1">
      <alignment horizontal="center" vertical="center"/>
    </xf>
    <xf numFmtId="3" fontId="77" fillId="15" borderId="0" xfId="0" applyNumberFormat="1" applyFont="1" applyFill="1" applyAlignment="1">
      <alignment horizontal="center" vertical="center"/>
    </xf>
    <xf numFmtId="9" fontId="8" fillId="15" borderId="0" xfId="63" applyNumberFormat="1" applyFont="1" applyFill="1" applyBorder="1" applyAlignment="1">
      <alignment horizontal="center" vertical="center"/>
    </xf>
    <xf numFmtId="168" fontId="8" fillId="15" borderId="0" xfId="63" applyNumberFormat="1" applyFont="1" applyFill="1" applyBorder="1" applyAlignment="1">
      <alignment horizontal="center" vertical="center"/>
    </xf>
    <xf numFmtId="2" fontId="22" fillId="15" borderId="0" xfId="0" applyNumberFormat="1" applyFont="1" applyFill="1" applyBorder="1" applyAlignment="1">
      <alignment horizontal="center"/>
    </xf>
    <xf numFmtId="1" fontId="8" fillId="15" borderId="0" xfId="0" applyNumberFormat="1" applyFont="1" applyFill="1" applyBorder="1" applyAlignment="1">
      <alignment horizontal="center"/>
    </xf>
    <xf numFmtId="1" fontId="20" fillId="15" borderId="0" xfId="0" applyNumberFormat="1" applyFont="1" applyFill="1" applyBorder="1" applyAlignment="1">
      <alignment horizontal="center"/>
    </xf>
    <xf numFmtId="0" fontId="22" fillId="15" borderId="0" xfId="59" applyFont="1" applyFill="1" applyBorder="1" applyAlignment="1">
      <alignment horizontal="center"/>
    </xf>
    <xf numFmtId="49" fontId="22" fillId="15" borderId="0" xfId="40" applyNumberFormat="1" applyFont="1" applyFill="1" applyBorder="1" applyAlignment="1">
      <alignment horizontal="center" vertical="center"/>
    </xf>
    <xf numFmtId="9" fontId="22" fillId="15" borderId="0" xfId="63" applyNumberFormat="1" applyFont="1" applyFill="1" applyBorder="1" applyAlignment="1">
      <alignment vertical="center"/>
    </xf>
    <xf numFmtId="166" fontId="22" fillId="15" borderId="0" xfId="63" applyNumberFormat="1" applyFont="1" applyFill="1" applyBorder="1" applyAlignment="1">
      <alignment horizontal="center" vertical="center"/>
    </xf>
    <xf numFmtId="9" fontId="8" fillId="15" borderId="0" xfId="63" applyNumberFormat="1" applyFont="1" applyFill="1" applyBorder="1" applyAlignment="1">
      <alignment horizontal="left" vertical="center" indent="1"/>
    </xf>
    <xf numFmtId="168" fontId="8" fillId="15" borderId="0" xfId="63" applyNumberFormat="1" applyFont="1" applyFill="1" applyBorder="1" applyAlignment="1">
      <alignment horizontal="center"/>
    </xf>
    <xf numFmtId="168" fontId="77" fillId="15" borderId="0" xfId="63" applyNumberFormat="1" applyFont="1" applyFill="1" applyBorder="1" applyAlignment="1">
      <alignment horizontal="center"/>
    </xf>
    <xf numFmtId="165" fontId="77" fillId="15" borderId="0" xfId="0" applyNumberFormat="1" applyFont="1" applyFill="1" applyBorder="1" applyAlignment="1">
      <alignment horizontal="center"/>
    </xf>
    <xf numFmtId="166" fontId="8" fillId="15" borderId="0" xfId="63" applyNumberFormat="1" applyFont="1" applyFill="1" applyBorder="1" applyAlignment="1">
      <alignment horizontal="left"/>
    </xf>
    <xf numFmtId="165" fontId="8" fillId="15" borderId="0" xfId="0" applyNumberFormat="1" applyFont="1" applyFill="1" applyBorder="1" applyAlignment="1">
      <alignment horizontal="center"/>
    </xf>
    <xf numFmtId="0" fontId="78" fillId="15" borderId="0" xfId="0" applyFont="1" applyFill="1" applyBorder="1" applyAlignment="1">
      <alignment horizontal="left"/>
    </xf>
    <xf numFmtId="165" fontId="22" fillId="15" borderId="0" xfId="38" applyNumberFormat="1" applyFont="1" applyFill="1" applyBorder="1" applyAlignment="1" applyProtection="1">
      <alignment horizontal="center"/>
      <protection locked="0"/>
    </xf>
    <xf numFmtId="170" fontId="66" fillId="17" borderId="0" xfId="0" applyNumberFormat="1" applyFont="1" applyFill="1"/>
    <xf numFmtId="1" fontId="77" fillId="15" borderId="0" xfId="0" applyNumberFormat="1" applyFont="1" applyFill="1" applyAlignment="1">
      <alignment horizontal="center" vertical="center"/>
    </xf>
    <xf numFmtId="166" fontId="3" fillId="0" borderId="0" xfId="52" applyNumberFormat="1" applyFont="1"/>
    <xf numFmtId="166" fontId="23" fillId="24" borderId="7" xfId="63" applyNumberFormat="1" applyFont="1" applyFill="1" applyBorder="1"/>
    <xf numFmtId="166" fontId="23" fillId="24" borderId="0" xfId="63" applyNumberFormat="1" applyFont="1" applyFill="1" applyBorder="1"/>
    <xf numFmtId="168" fontId="3" fillId="0" borderId="0" xfId="63" applyNumberFormat="1" applyFont="1"/>
    <xf numFmtId="167" fontId="23" fillId="0" borderId="0" xfId="0" applyNumberFormat="1" applyFont="1" applyFill="1"/>
    <xf numFmtId="168" fontId="23" fillId="0" borderId="0" xfId="0" applyNumberFormat="1" applyFont="1" applyFill="1"/>
    <xf numFmtId="2" fontId="23" fillId="0" borderId="0" xfId="0" applyNumberFormat="1" applyFont="1" applyFill="1"/>
    <xf numFmtId="3" fontId="23" fillId="0" borderId="23" xfId="0" applyNumberFormat="1" applyFont="1" applyFill="1" applyBorder="1"/>
    <xf numFmtId="166" fontId="8" fillId="0" borderId="23" xfId="0" applyNumberFormat="1" applyFont="1" applyFill="1" applyBorder="1"/>
    <xf numFmtId="168" fontId="23" fillId="16" borderId="0" xfId="0" applyNumberFormat="1" applyFont="1" applyFill="1"/>
    <xf numFmtId="5" fontId="23" fillId="17" borderId="0" xfId="0" applyNumberFormat="1" applyFont="1" applyFill="1"/>
    <xf numFmtId="5" fontId="23" fillId="17" borderId="3" xfId="0" applyNumberFormat="1" applyFont="1" applyFill="1" applyBorder="1"/>
    <xf numFmtId="1" fontId="23" fillId="17" borderId="0" xfId="0" applyNumberFormat="1" applyFont="1" applyFill="1"/>
    <xf numFmtId="170" fontId="23" fillId="17" borderId="0" xfId="0" applyNumberFormat="1" applyFont="1" applyFill="1" applyBorder="1"/>
    <xf numFmtId="169" fontId="23" fillId="17" borderId="0" xfId="0" applyNumberFormat="1" applyFont="1" applyFill="1"/>
    <xf numFmtId="170" fontId="8" fillId="17" borderId="2" xfId="0" applyNumberFormat="1" applyFont="1" applyFill="1" applyBorder="1"/>
    <xf numFmtId="1" fontId="22" fillId="15" borderId="0" xfId="63" applyNumberFormat="1" applyFont="1" applyFill="1" applyBorder="1" applyAlignment="1">
      <alignment horizontal="left"/>
    </xf>
    <xf numFmtId="169" fontId="8" fillId="15" borderId="0" xfId="0" applyNumberFormat="1" applyFont="1" applyFill="1" applyBorder="1" applyAlignment="1">
      <alignment horizontal="left"/>
    </xf>
    <xf numFmtId="2" fontId="8" fillId="15" borderId="0" xfId="0" applyNumberFormat="1" applyFont="1" applyFill="1" applyBorder="1" applyAlignment="1">
      <alignment horizontal="left"/>
    </xf>
    <xf numFmtId="3" fontId="19" fillId="15" borderId="0" xfId="59" applyNumberFormat="1" applyFont="1" applyFill="1" applyBorder="1" applyAlignment="1">
      <alignment horizontal="left"/>
    </xf>
    <xf numFmtId="165" fontId="22" fillId="15" borderId="0" xfId="63" applyNumberFormat="1" applyFont="1" applyFill="1" applyBorder="1" applyAlignment="1">
      <alignment horizontal="left"/>
    </xf>
    <xf numFmtId="168" fontId="23" fillId="16" borderId="36" xfId="0" applyNumberFormat="1" applyFont="1" applyFill="1" applyBorder="1"/>
    <xf numFmtId="167" fontId="23" fillId="0" borderId="7" xfId="0" applyNumberFormat="1" applyFont="1" applyFill="1" applyBorder="1"/>
    <xf numFmtId="168" fontId="23" fillId="0" borderId="7" xfId="0" applyNumberFormat="1" applyFont="1" applyFill="1" applyBorder="1"/>
    <xf numFmtId="2" fontId="23" fillId="0" borderId="7" xfId="0" applyNumberFormat="1" applyFont="1" applyFill="1" applyBorder="1"/>
    <xf numFmtId="0" fontId="23" fillId="0" borderId="23" xfId="0" applyFont="1" applyFill="1" applyBorder="1"/>
    <xf numFmtId="1" fontId="23" fillId="24" borderId="36" xfId="0" applyNumberFormat="1" applyFont="1" applyFill="1" applyBorder="1"/>
    <xf numFmtId="168" fontId="18" fillId="19" borderId="7" xfId="0" applyNumberFormat="1" applyFont="1" applyFill="1" applyBorder="1"/>
    <xf numFmtId="168" fontId="23" fillId="24" borderId="7" xfId="0" applyNumberFormat="1" applyFont="1" applyFill="1" applyBorder="1"/>
    <xf numFmtId="168" fontId="23" fillId="16" borderId="7" xfId="0" applyNumberFormat="1" applyFont="1" applyFill="1" applyBorder="1"/>
    <xf numFmtId="167" fontId="8" fillId="0" borderId="7" xfId="38" applyNumberFormat="1" applyFont="1" applyBorder="1"/>
    <xf numFmtId="168" fontId="23" fillId="17" borderId="36" xfId="0" applyNumberFormat="1" applyFont="1" applyFill="1" applyBorder="1"/>
    <xf numFmtId="165" fontId="8" fillId="0" borderId="7" xfId="59" applyNumberFormat="1" applyFont="1" applyFill="1" applyBorder="1" applyAlignment="1" applyProtection="1">
      <alignment horizontal="right"/>
      <protection locked="0"/>
    </xf>
    <xf numFmtId="165" fontId="8" fillId="0" borderId="39" xfId="59" applyNumberFormat="1" applyFont="1" applyFill="1" applyBorder="1" applyAlignment="1" applyProtection="1">
      <alignment horizontal="right"/>
      <protection locked="0"/>
    </xf>
    <xf numFmtId="5" fontId="31" fillId="17" borderId="0" xfId="0" applyNumberFormat="1" applyFont="1" applyFill="1"/>
    <xf numFmtId="168" fontId="31" fillId="17" borderId="0" xfId="0" applyNumberFormat="1" applyFont="1" applyFill="1"/>
    <xf numFmtId="5" fontId="31" fillId="17" borderId="3" xfId="0" applyNumberFormat="1" applyFont="1" applyFill="1" applyBorder="1"/>
    <xf numFmtId="5" fontId="23" fillId="17" borderId="37" xfId="0" applyNumberFormat="1" applyFont="1" applyFill="1" applyBorder="1"/>
    <xf numFmtId="5" fontId="23" fillId="17" borderId="39" xfId="0" applyNumberFormat="1" applyFont="1" applyFill="1" applyBorder="1"/>
    <xf numFmtId="170" fontId="31" fillId="17" borderId="0" xfId="0" applyNumberFormat="1" applyFont="1" applyFill="1"/>
    <xf numFmtId="169" fontId="23" fillId="17" borderId="7" xfId="0" applyNumberFormat="1" applyFont="1" applyFill="1" applyBorder="1"/>
    <xf numFmtId="0" fontId="23" fillId="24" borderId="0" xfId="0" applyFont="1" applyFill="1"/>
    <xf numFmtId="170" fontId="8" fillId="17" borderId="35" xfId="0" applyNumberFormat="1" applyFont="1" applyFill="1" applyBorder="1"/>
    <xf numFmtId="0" fontId="8" fillId="15" borderId="7" xfId="0" applyFont="1" applyFill="1" applyBorder="1"/>
    <xf numFmtId="7" fontId="8" fillId="19" borderId="7" xfId="0" applyNumberFormat="1" applyFont="1" applyFill="1" applyBorder="1"/>
    <xf numFmtId="0" fontId="8" fillId="15" borderId="0" xfId="38" applyNumberFormat="1" applyFont="1" applyFill="1" applyBorder="1" applyAlignment="1">
      <alignment horizontal="center"/>
    </xf>
    <xf numFmtId="170" fontId="8" fillId="15" borderId="0" xfId="0" applyNumberFormat="1" applyFont="1" applyFill="1" applyBorder="1" applyAlignment="1">
      <alignment horizontal="center"/>
    </xf>
    <xf numFmtId="8" fontId="75" fillId="17" borderId="0" xfId="0" applyNumberFormat="1" applyFont="1" applyFill="1" applyBorder="1"/>
    <xf numFmtId="168" fontId="19" fillId="20" borderId="0" xfId="59" applyNumberFormat="1" applyFont="1" applyFill="1" applyBorder="1" applyAlignment="1">
      <alignment horizontal="left"/>
    </xf>
    <xf numFmtId="168" fontId="11" fillId="17" borderId="0" xfId="63" applyNumberFormat="1" applyFont="1" applyFill="1" applyBorder="1" applyAlignment="1">
      <alignment vertical="center"/>
    </xf>
    <xf numFmtId="169" fontId="8" fillId="17" borderId="0" xfId="0" applyNumberFormat="1" applyFont="1" applyFill="1" applyBorder="1" applyAlignment="1"/>
    <xf numFmtId="168" fontId="8" fillId="17" borderId="0" xfId="0" applyNumberFormat="1" applyFont="1" applyFill="1" applyBorder="1" applyAlignment="1"/>
    <xf numFmtId="165" fontId="22" fillId="17" borderId="0" xfId="59" applyNumberFormat="1" applyFont="1" applyFill="1" applyBorder="1" applyAlignment="1" applyProtection="1">
      <protection locked="0"/>
    </xf>
    <xf numFmtId="168" fontId="11" fillId="17" borderId="0" xfId="0" applyNumberFormat="1" applyFont="1" applyFill="1" applyBorder="1" applyAlignment="1"/>
    <xf numFmtId="2" fontId="8" fillId="17" borderId="0" xfId="0" applyNumberFormat="1" applyFont="1" applyFill="1" applyBorder="1" applyAlignment="1"/>
    <xf numFmtId="6" fontId="11" fillId="17" borderId="0" xfId="63" applyNumberFormat="1" applyFont="1" applyFill="1" applyBorder="1" applyAlignment="1">
      <alignment vertical="center"/>
    </xf>
    <xf numFmtId="7" fontId="8" fillId="17" borderId="7" xfId="0" applyNumberFormat="1" applyFont="1" applyFill="1" applyBorder="1" applyAlignment="1">
      <alignment horizontal="right"/>
    </xf>
    <xf numFmtId="7" fontId="8" fillId="17" borderId="0" xfId="0" applyNumberFormat="1" applyFont="1" applyFill="1" applyAlignment="1">
      <alignment horizontal="right"/>
    </xf>
    <xf numFmtId="166" fontId="23" fillId="24" borderId="7" xfId="63" applyNumberFormat="1" applyFont="1" applyFill="1" applyBorder="1" applyAlignment="1">
      <alignment horizontal="right"/>
    </xf>
    <xf numFmtId="166" fontId="23" fillId="24" borderId="0" xfId="63" applyNumberFormat="1" applyFont="1" applyFill="1" applyBorder="1" applyAlignment="1">
      <alignment horizontal="right"/>
    </xf>
    <xf numFmtId="7" fontId="23" fillId="17" borderId="7" xfId="0" applyNumberFormat="1" applyFont="1" applyFill="1" applyBorder="1" applyAlignment="1">
      <alignment horizontal="right"/>
    </xf>
    <xf numFmtId="7" fontId="23" fillId="17" borderId="0" xfId="0" applyNumberFormat="1" applyFont="1" applyFill="1" applyAlignment="1">
      <alignment horizontal="right"/>
    </xf>
    <xf numFmtId="9" fontId="23" fillId="17" borderId="35" xfId="0" applyNumberFormat="1" applyFont="1" applyFill="1" applyBorder="1"/>
    <xf numFmtId="8" fontId="8" fillId="15" borderId="0" xfId="0" applyNumberFormat="1" applyFont="1" applyFill="1" applyBorder="1" applyAlignment="1">
      <alignment horizontal="left"/>
    </xf>
    <xf numFmtId="182" fontId="8" fillId="15" borderId="0" xfId="0" applyNumberFormat="1" applyFont="1" applyFill="1" applyBorder="1" applyAlignment="1">
      <alignment horizontal="left"/>
    </xf>
    <xf numFmtId="49" fontId="20" fillId="15" borderId="2" xfId="0" applyNumberFormat="1" applyFont="1" applyFill="1" applyBorder="1" applyAlignment="1">
      <alignment horizontal="left"/>
    </xf>
    <xf numFmtId="168" fontId="22" fillId="15" borderId="2" xfId="0" applyNumberFormat="1" applyFont="1" applyFill="1" applyBorder="1" applyAlignment="1">
      <alignment horizontal="left"/>
    </xf>
    <xf numFmtId="1" fontId="20" fillId="15" borderId="2" xfId="0" applyNumberFormat="1" applyFont="1" applyFill="1" applyBorder="1" applyAlignment="1">
      <alignment horizontal="center"/>
    </xf>
    <xf numFmtId="1" fontId="8" fillId="15" borderId="2" xfId="0" applyNumberFormat="1" applyFont="1" applyFill="1" applyBorder="1" applyAlignment="1">
      <alignment horizontal="center"/>
    </xf>
    <xf numFmtId="49" fontId="21" fillId="15" borderId="8" xfId="0" applyNumberFormat="1" applyFont="1" applyFill="1" applyBorder="1" applyAlignment="1">
      <alignment horizontal="left"/>
    </xf>
    <xf numFmtId="168" fontId="22" fillId="15" borderId="8" xfId="0" applyNumberFormat="1" applyFont="1" applyFill="1" applyBorder="1" applyAlignment="1">
      <alignment horizontal="left"/>
    </xf>
    <xf numFmtId="1" fontId="21" fillId="15" borderId="8" xfId="0" applyNumberFormat="1" applyFont="1" applyFill="1" applyBorder="1" applyAlignment="1">
      <alignment horizontal="center"/>
    </xf>
    <xf numFmtId="49" fontId="22" fillId="15" borderId="0" xfId="40" applyNumberFormat="1" applyFont="1" applyFill="1" applyBorder="1" applyAlignment="1">
      <alignment vertical="center"/>
    </xf>
    <xf numFmtId="3" fontId="8" fillId="15" borderId="0" xfId="0" applyNumberFormat="1" applyFont="1" applyFill="1" applyAlignment="1">
      <alignment horizontal="left" vertical="center"/>
    </xf>
    <xf numFmtId="9" fontId="8" fillId="15" borderId="0" xfId="63" applyNumberFormat="1" applyFont="1" applyFill="1" applyBorder="1" applyAlignment="1">
      <alignment horizontal="left" vertical="center"/>
    </xf>
    <xf numFmtId="4" fontId="22" fillId="15" borderId="0" xfId="63" applyNumberFormat="1" applyFont="1" applyFill="1" applyBorder="1" applyAlignment="1">
      <alignment horizontal="left"/>
    </xf>
    <xf numFmtId="9" fontId="23" fillId="17" borderId="7" xfId="0" applyNumberFormat="1" applyFont="1" applyFill="1" applyBorder="1"/>
    <xf numFmtId="9" fontId="18" fillId="19" borderId="0" xfId="0" applyNumberFormat="1" applyFont="1" applyFill="1"/>
    <xf numFmtId="173" fontId="79" fillId="17" borderId="0" xfId="0" applyNumberFormat="1" applyFont="1" applyFill="1"/>
    <xf numFmtId="3" fontId="79" fillId="17" borderId="0" xfId="0" applyNumberFormat="1" applyFont="1" applyFill="1"/>
    <xf numFmtId="3" fontId="79" fillId="0" borderId="23" xfId="0" applyNumberFormat="1" applyFont="1" applyFill="1" applyBorder="1"/>
    <xf numFmtId="165" fontId="80" fillId="15" borderId="0" xfId="59" applyNumberFormat="1" applyFont="1" applyFill="1" applyBorder="1" applyAlignment="1" applyProtection="1">
      <alignment horizontal="right"/>
      <protection locked="0"/>
    </xf>
    <xf numFmtId="164" fontId="79" fillId="17" borderId="23" xfId="0" applyNumberFormat="1" applyFont="1" applyFill="1" applyBorder="1"/>
    <xf numFmtId="165" fontId="79" fillId="0" borderId="0" xfId="59" applyNumberFormat="1" applyFont="1" applyFill="1" applyBorder="1" applyAlignment="1" applyProtection="1">
      <alignment horizontal="right"/>
      <protection locked="0"/>
    </xf>
    <xf numFmtId="5" fontId="79" fillId="17" borderId="0" xfId="0" applyNumberFormat="1" applyFont="1" applyFill="1"/>
    <xf numFmtId="5" fontId="79" fillId="17" borderId="3" xfId="0" applyNumberFormat="1" applyFont="1" applyFill="1" applyBorder="1"/>
    <xf numFmtId="1" fontId="79" fillId="17" borderId="0" xfId="0" applyNumberFormat="1" applyFont="1" applyFill="1"/>
    <xf numFmtId="166" fontId="79" fillId="17" borderId="0" xfId="0" applyNumberFormat="1" applyFont="1" applyFill="1"/>
    <xf numFmtId="170" fontId="79" fillId="17" borderId="0" xfId="0" applyNumberFormat="1" applyFont="1" applyFill="1"/>
    <xf numFmtId="169" fontId="79" fillId="17" borderId="0" xfId="0" applyNumberFormat="1" applyFont="1" applyFill="1"/>
    <xf numFmtId="170" fontId="80" fillId="15" borderId="8" xfId="0" applyNumberFormat="1" applyFont="1" applyFill="1" applyBorder="1"/>
    <xf numFmtId="5" fontId="80" fillId="24" borderId="0" xfId="0" applyNumberFormat="1" applyFont="1" applyFill="1" applyBorder="1"/>
    <xf numFmtId="170" fontId="80" fillId="17" borderId="23" xfId="0" applyNumberFormat="1" applyFont="1" applyFill="1" applyBorder="1"/>
    <xf numFmtId="170" fontId="80" fillId="17" borderId="0" xfId="0" applyNumberFormat="1" applyFont="1" applyFill="1"/>
    <xf numFmtId="166" fontId="79" fillId="17" borderId="0" xfId="0" applyNumberFormat="1" applyFont="1" applyFill="1" applyBorder="1"/>
    <xf numFmtId="3" fontId="79" fillId="17" borderId="7" xfId="0" applyNumberFormat="1" applyFont="1" applyFill="1" applyBorder="1"/>
    <xf numFmtId="165" fontId="80" fillId="15" borderId="7" xfId="59" applyNumberFormat="1" applyFont="1" applyFill="1" applyBorder="1" applyAlignment="1" applyProtection="1">
      <alignment horizontal="right"/>
      <protection locked="0"/>
    </xf>
    <xf numFmtId="166" fontId="79" fillId="17" borderId="36" xfId="0" applyNumberFormat="1" applyFont="1" applyFill="1" applyBorder="1"/>
    <xf numFmtId="165" fontId="79" fillId="0" borderId="7" xfId="59" applyNumberFormat="1" applyFont="1" applyFill="1" applyBorder="1" applyAlignment="1" applyProtection="1">
      <alignment horizontal="right"/>
      <protection locked="0"/>
    </xf>
    <xf numFmtId="5" fontId="79" fillId="17" borderId="7" xfId="0" applyNumberFormat="1" applyFont="1" applyFill="1" applyBorder="1"/>
    <xf numFmtId="5" fontId="79" fillId="17" borderId="37" xfId="0" applyNumberFormat="1" applyFont="1" applyFill="1" applyBorder="1"/>
    <xf numFmtId="170" fontId="79" fillId="17" borderId="7" xfId="0" applyNumberFormat="1" applyFont="1" applyFill="1" applyBorder="1"/>
    <xf numFmtId="169" fontId="79" fillId="17" borderId="7" xfId="0" applyNumberFormat="1" applyFont="1" applyFill="1" applyBorder="1"/>
    <xf numFmtId="170" fontId="80" fillId="15" borderId="10" xfId="0" applyNumberFormat="1" applyFont="1" applyFill="1" applyBorder="1"/>
    <xf numFmtId="170" fontId="80" fillId="17" borderId="7" xfId="0" applyNumberFormat="1" applyFont="1" applyFill="1" applyBorder="1"/>
    <xf numFmtId="170" fontId="79" fillId="17" borderId="35" xfId="0" applyNumberFormat="1" applyFont="1" applyFill="1" applyBorder="1"/>
    <xf numFmtId="170" fontId="80" fillId="17" borderId="36" xfId="0" applyNumberFormat="1" applyFont="1" applyFill="1" applyBorder="1"/>
    <xf numFmtId="6" fontId="2" fillId="26" borderId="8" xfId="52" applyNumberFormat="1" applyFont="1" applyFill="1" applyBorder="1"/>
    <xf numFmtId="6" fontId="2" fillId="26" borderId="54" xfId="52" applyNumberFormat="1" applyFont="1" applyFill="1" applyBorder="1"/>
    <xf numFmtId="6" fontId="3" fillId="0" borderId="0" xfId="52" applyNumberFormat="1" applyFont="1"/>
    <xf numFmtId="6" fontId="64" fillId="0" borderId="0" xfId="52" applyNumberFormat="1" applyFont="1"/>
    <xf numFmtId="2" fontId="22" fillId="27" borderId="0" xfId="0" applyNumberFormat="1" applyFont="1" applyFill="1" applyBorder="1" applyAlignment="1">
      <alignment horizontal="center"/>
    </xf>
    <xf numFmtId="2" fontId="8" fillId="0" borderId="23" xfId="0" applyNumberFormat="1" applyFont="1" applyFill="1" applyBorder="1"/>
    <xf numFmtId="2" fontId="8" fillId="0" borderId="36" xfId="0" applyNumberFormat="1" applyFont="1" applyFill="1" applyBorder="1"/>
    <xf numFmtId="0" fontId="1" fillId="0" borderId="0" xfId="52" applyFont="1"/>
    <xf numFmtId="43" fontId="1" fillId="0" borderId="0" xfId="52" applyNumberFormat="1" applyFont="1"/>
    <xf numFmtId="166" fontId="79" fillId="0" borderId="23" xfId="0" applyNumberFormat="1" applyFont="1" applyFill="1" applyBorder="1"/>
    <xf numFmtId="168" fontId="79" fillId="17" borderId="0" xfId="0" applyNumberFormat="1" applyFont="1" applyFill="1"/>
    <xf numFmtId="174" fontId="3" fillId="0" borderId="0" xfId="41" applyNumberFormat="1" applyFont="1" applyFill="1"/>
    <xf numFmtId="9" fontId="4" fillId="0" borderId="0" xfId="0" applyNumberFormat="1" applyFont="1" applyFill="1"/>
    <xf numFmtId="0" fontId="3" fillId="0" borderId="0" xfId="52" applyFont="1" applyFill="1"/>
    <xf numFmtId="177" fontId="3" fillId="0" borderId="0" xfId="52" applyNumberFormat="1" applyFont="1" applyFill="1" applyAlignment="1">
      <alignment horizontal="right"/>
    </xf>
    <xf numFmtId="0" fontId="1" fillId="28" borderId="0" xfId="73" applyFont="1" applyFill="1" applyAlignment="1">
      <alignment vertical="top"/>
    </xf>
    <xf numFmtId="0" fontId="1" fillId="28" borderId="0" xfId="1" applyFill="1" applyAlignment="1">
      <alignment vertical="top"/>
    </xf>
    <xf numFmtId="0" fontId="1" fillId="28" borderId="0" xfId="1" applyFill="1"/>
    <xf numFmtId="0" fontId="14" fillId="28" borderId="0" xfId="73" applyFont="1" applyFill="1" applyAlignment="1">
      <alignment horizontal="left" vertical="top"/>
    </xf>
    <xf numFmtId="0" fontId="1" fillId="28" borderId="0" xfId="1" applyFont="1" applyFill="1" applyAlignment="1">
      <alignment vertical="top"/>
    </xf>
    <xf numFmtId="0" fontId="4" fillId="28" borderId="0" xfId="73" applyFont="1" applyFill="1" applyAlignment="1">
      <alignment vertical="top"/>
    </xf>
    <xf numFmtId="0" fontId="0" fillId="28" borderId="0" xfId="0" applyFill="1" applyAlignment="1">
      <alignment vertical="top"/>
    </xf>
    <xf numFmtId="0" fontId="81" fillId="28" borderId="0" xfId="0" applyFont="1" applyFill="1" applyAlignment="1">
      <alignment vertical="top"/>
    </xf>
    <xf numFmtId="0" fontId="82" fillId="28" borderId="0" xfId="0" applyFont="1" applyFill="1" applyAlignment="1">
      <alignment vertical="top"/>
    </xf>
    <xf numFmtId="0" fontId="81" fillId="28" borderId="56" xfId="0" applyFont="1" applyFill="1" applyBorder="1" applyAlignment="1">
      <alignment vertical="top"/>
    </xf>
    <xf numFmtId="9" fontId="81" fillId="28" borderId="56" xfId="0" applyNumberFormat="1" applyFont="1" applyFill="1" applyBorder="1" applyAlignment="1">
      <alignment vertical="top"/>
    </xf>
    <xf numFmtId="3" fontId="81" fillId="28" borderId="56" xfId="0" applyNumberFormat="1" applyFont="1" applyFill="1" applyBorder="1" applyAlignment="1">
      <alignment vertical="top"/>
    </xf>
    <xf numFmtId="2" fontId="1" fillId="0" borderId="0" xfId="1" applyNumberFormat="1" applyAlignment="1">
      <alignment horizontal="left"/>
    </xf>
    <xf numFmtId="0" fontId="1" fillId="0" borderId="0" xfId="1" applyNumberFormat="1" applyAlignment="1">
      <alignment horizontal="left"/>
    </xf>
    <xf numFmtId="1" fontId="1" fillId="0" borderId="0" xfId="1" applyNumberFormat="1" applyAlignment="1">
      <alignment horizontal="left"/>
    </xf>
    <xf numFmtId="0" fontId="1" fillId="0" borderId="0" xfId="1" applyFont="1"/>
    <xf numFmtId="183" fontId="1" fillId="0" borderId="0" xfId="1" applyNumberFormat="1" applyAlignment="1">
      <alignment horizontal="left"/>
    </xf>
    <xf numFmtId="49" fontId="1" fillId="0" borderId="0" xfId="1" applyNumberFormat="1"/>
    <xf numFmtId="0" fontId="83" fillId="0" borderId="0" xfId="1" applyFont="1" applyAlignment="1">
      <alignment wrapText="1"/>
    </xf>
    <xf numFmtId="0" fontId="83" fillId="0" borderId="0" xfId="1" applyFont="1" applyAlignment="1">
      <alignment horizontal="left" wrapText="1" indent="3"/>
    </xf>
    <xf numFmtId="0" fontId="83" fillId="0" borderId="0" xfId="1" applyFont="1" applyAlignment="1">
      <alignment horizontal="left" wrapText="1" indent="1"/>
    </xf>
    <xf numFmtId="0" fontId="85" fillId="0" borderId="0" xfId="1" applyFont="1" applyAlignment="1">
      <alignment wrapText="1"/>
    </xf>
    <xf numFmtId="0" fontId="0" fillId="28" borderId="61" xfId="0" applyFill="1" applyBorder="1" applyAlignment="1">
      <alignment vertical="top"/>
    </xf>
    <xf numFmtId="0" fontId="81" fillId="28" borderId="0" xfId="0" applyFont="1" applyFill="1" applyAlignment="1">
      <alignment vertical="top"/>
    </xf>
    <xf numFmtId="0" fontId="81" fillId="28" borderId="57" xfId="0" applyFont="1" applyFill="1" applyBorder="1" applyAlignment="1">
      <alignment vertical="top"/>
    </xf>
    <xf numFmtId="0" fontId="81" fillId="28" borderId="58" xfId="0" applyFont="1" applyFill="1" applyBorder="1" applyAlignment="1">
      <alignment vertical="top"/>
    </xf>
    <xf numFmtId="0" fontId="81" fillId="28" borderId="59" xfId="0" applyFont="1" applyFill="1" applyBorder="1" applyAlignment="1">
      <alignment vertical="top"/>
    </xf>
    <xf numFmtId="0" fontId="82" fillId="28" borderId="0" xfId="0" applyFont="1" applyFill="1" applyAlignment="1">
      <alignment vertical="top"/>
    </xf>
    <xf numFmtId="0" fontId="0" fillId="28" borderId="0" xfId="0" applyFill="1" applyAlignment="1">
      <alignment vertical="top"/>
    </xf>
    <xf numFmtId="0" fontId="0" fillId="28" borderId="60" xfId="0" applyFill="1" applyBorder="1" applyAlignment="1">
      <alignment vertical="top"/>
    </xf>
    <xf numFmtId="14" fontId="19" fillId="19" borderId="0" xfId="59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2" fillId="22" borderId="4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4" xfId="0" applyBorder="1" applyAlignment="1">
      <alignment horizontal="center"/>
    </xf>
  </cellXfs>
  <cellStyles count="74">
    <cellStyle name=" 1" xfId="2"/>
    <cellStyle name=" 1 2" xfId="3"/>
    <cellStyle name="******************************************" xfId="4"/>
    <cellStyle name="_SUMMARY " xfId="5"/>
    <cellStyle name="0_Capex &amp; Depreciation " xfId="7"/>
    <cellStyle name="0_Valuing BP " xfId="8"/>
    <cellStyle name="20% - Accent1" xfId="9" builtinId="30" customBuiltin="1"/>
    <cellStyle name="20% - Accent2" xfId="10" builtinId="34" customBuiltin="1"/>
    <cellStyle name="20% - Accent3" xfId="11" builtinId="38" customBuiltin="1"/>
    <cellStyle name="20% - Accent4" xfId="12" builtinId="42" customBuiltin="1"/>
    <cellStyle name="20% - Accent5" xfId="13" builtinId="46" customBuiltin="1"/>
    <cellStyle name="20% - Accent6" xfId="14" builtinId="50" customBuiltin="1"/>
    <cellStyle name="40% - Accent1" xfId="15" builtinId="31" customBuiltin="1"/>
    <cellStyle name="40% - Accent2" xfId="16" builtinId="35" customBuiltin="1"/>
    <cellStyle name="40% - Accent3" xfId="17" builtinId="39" customBuiltin="1"/>
    <cellStyle name="40% - Accent4" xfId="18" builtinId="43" customBuiltin="1"/>
    <cellStyle name="40% - Accent5" xfId="19" builtinId="47" customBuiltin="1"/>
    <cellStyle name="40% - Accent6" xfId="20" builtinId="51" customBuiltin="1"/>
    <cellStyle name="60% - Accent1" xfId="21" builtinId="32" customBuiltin="1"/>
    <cellStyle name="60% - Accent2" xfId="22" builtinId="36" customBuiltin="1"/>
    <cellStyle name="60% - Accent3" xfId="23" builtinId="40" customBuiltin="1"/>
    <cellStyle name="60% - Accent4" xfId="24" builtinId="44" customBuiltin="1"/>
    <cellStyle name="60% - Accent5" xfId="25" builtinId="48" customBuiltin="1"/>
    <cellStyle name="60% - Accent6" xfId="26" builtinId="52" customBuiltin="1"/>
    <cellStyle name="Accent1" xfId="27" builtinId="29" customBuiltin="1"/>
    <cellStyle name="Accent2" xfId="28" builtinId="33" customBuiltin="1"/>
    <cellStyle name="Accent3" xfId="29" builtinId="37" customBuiltin="1"/>
    <cellStyle name="Accent4" xfId="30" builtinId="41" customBuiltin="1"/>
    <cellStyle name="Accent5" xfId="31" builtinId="45" customBuiltin="1"/>
    <cellStyle name="Accent6" xfId="32" builtinId="49" customBuiltin="1"/>
    <cellStyle name="Bad" xfId="33" builtinId="27" customBuiltin="1"/>
    <cellStyle name="c_HardInc " xfId="35"/>
    <cellStyle name="Calculation" xfId="36" builtinId="22" customBuiltin="1"/>
    <cellStyle name="Check Cell" xfId="37" builtinId="23" customBuiltin="1"/>
    <cellStyle name="Comma" xfId="38" builtinId="3"/>
    <cellStyle name="Comma 2" xfId="39"/>
    <cellStyle name="Comma 2 2" xfId="40"/>
    <cellStyle name="Comma 3" xfId="41"/>
    <cellStyle name="Currency 2" xfId="34"/>
    <cellStyle name="Currency 3" xfId="42"/>
    <cellStyle name="Explanatory Text" xfId="43" builtinId="53" customBuiltin="1"/>
    <cellStyle name="Good" xfId="44" builtinId="26" customBuiltin="1"/>
    <cellStyle name="Heading 1" xfId="45" builtinId="16" customBuiltin="1"/>
    <cellStyle name="Heading 2" xfId="46" builtinId="17" customBuiltin="1"/>
    <cellStyle name="Heading 3" xfId="47" builtinId="18" customBuiltin="1"/>
    <cellStyle name="Heading 4" xfId="48" builtinId="19" customBuiltin="1"/>
    <cellStyle name="Input" xfId="49" builtinId="20" customBuiltin="1"/>
    <cellStyle name="Linked Cell" xfId="50" builtinId="24" customBuiltin="1"/>
    <cellStyle name="Neutral" xfId="51" builtinId="28" customBuiltin="1"/>
    <cellStyle name="Normal" xfId="0" builtinId="0"/>
    <cellStyle name="Normal 2" xfId="1"/>
    <cellStyle name="Normal 3" xfId="52"/>
    <cellStyle name="Normal 3 2" xfId="53"/>
    <cellStyle name="Normal_AAI.model.BuiltOut" xfId="54"/>
    <cellStyle name="Normal_CF and Bal Sheet" xfId="55"/>
    <cellStyle name="Normal_DisclaimerSheet Samples" xfId="73"/>
    <cellStyle name="Normal_Inc Statement" xfId="56"/>
    <cellStyle name="Normal_Inc Statement_1" xfId="57"/>
    <cellStyle name="Normal_Inc Statement_1_Model" xfId="58"/>
    <cellStyle name="Normal_JBHTqq" xfId="59"/>
    <cellStyle name="Note" xfId="60" builtinId="10" customBuiltin="1"/>
    <cellStyle name="Output" xfId="61" builtinId="21" customBuiltin="1"/>
    <cellStyle name="p " xfId="62"/>
    <cellStyle name="Percent" xfId="63" builtinId="5"/>
    <cellStyle name="Percent 2" xfId="64"/>
    <cellStyle name="RRSInstruction" xfId="65"/>
    <cellStyle name="RRSInstruction 2" xfId="6"/>
    <cellStyle name="s_HardInc " xfId="66"/>
    <cellStyle name="s_Valuation " xfId="67"/>
    <cellStyle name="ssp " xfId="68"/>
    <cellStyle name="Style 32" xfId="69"/>
    <cellStyle name="Title" xfId="70" builtinId="15" customBuiltin="1"/>
    <cellStyle name="Total" xfId="71" builtinId="25" customBuiltin="1"/>
    <cellStyle name="Warning Text" xfId="72" builtinId="11" customBuiltin="1"/>
  </cellStyles>
  <dxfs count="0"/>
  <tableStyles count="0" defaultTableStyle="TableStyleMedium2" defaultPivotStyle="PivotStyleLight16"/>
  <colors>
    <mruColors>
      <color rgb="FF00843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externalLinks/externalLink4.xml" Type="http://schemas.openxmlformats.org/officeDocument/2006/relationships/externalLink"/>
<Relationship Id="rId14" Target="externalLinks/externalLink5.xml" Type="http://schemas.openxmlformats.org/officeDocument/2006/relationships/externalLink"/>
<Relationship Id="rId15" Target="theme/theme1.xml" Type="http://schemas.openxmlformats.org/officeDocument/2006/relationships/theme"/>
<Relationship Id="rId16" Target="styles.xml" Type="http://schemas.openxmlformats.org/officeDocument/2006/relationships/styles"/>
<Relationship Id="rId17" Target="sharedStrings.xml" Type="http://schemas.openxmlformats.org/officeDocument/2006/relationships/sharedStrings"/>
<Relationship Id="rId18" Target="calcChain.xml" Type="http://schemas.openxmlformats.org/officeDocument/2006/relationships/calcChain"/>
<Relationship Id="rId19" Target="../customXml/item1.xml" Type="http://schemas.openxmlformats.org/officeDocument/2006/relationships/customXml"/>
<Relationship Id="rId2" Target="worksheets/sheet2.xml" Type="http://schemas.openxmlformats.org/officeDocument/2006/relationships/worksheet"/>
<Relationship Id="rId20" Target="../customXml/item2.xml" Type="http://schemas.openxmlformats.org/officeDocument/2006/relationships/customXml"/>
<Relationship Id="rId21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6094849" name="Picture 1" descr="C:\Users\sharpmat\AppData\Local\Temp\MercuryPriceRatingHistoryChart\SAVE.N_2018_04_11_12_10_4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TEMP/data/excel/P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FREIGHT-NY/WG%20Airlines/JetBlue/JetBlueQQ.xls" TargetMode="External" Type="http://schemas.microsoft.com/office/2006/relationships/xlExternalLinkPath/xlAlternateStartup"/>
</Relationships>

</file>

<file path=xl/externalLinks/_rels/externalLink3.xml.rels><?xml version="1.0" encoding="UTF-8" standalone="yes"?>
<Relationships xmlns="http://schemas.openxmlformats.org/package/2006/relationships">
<Relationship Id="rId1" Target="UTILITIES/Models/SRE/Published/SRE%20Model.xls" TargetMode="External" Type="http://schemas.microsoft.com/office/2006/relationships/xlExternalLinkPath/xlAlternateStartup"/>
</Relationships>

</file>

<file path=xl/externalLinks/_rels/externalLink4.xml.rels><?xml version="1.0" encoding="UTF-8" standalone="yes"?>
<Relationships xmlns="http://schemas.openxmlformats.org/package/2006/relationships">
<Relationship Id="rId1" Target="CENmodel091205b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P"/>
      <sheetName val="BS"/>
      <sheetName val="TOSCO"/>
      <sheetName val="Segment ROCE"/>
      <sheetName val="ROGIC"/>
      <sheetName val="E&amp;P"/>
      <sheetName val="NEPS"/>
      <sheetName val="RefineryMaint"/>
      <sheetName val="Hamaca"/>
      <sheetName val="Bohai"/>
      <sheetName val="Bayu Undan"/>
      <sheetName val="R&amp;M"/>
      <sheetName val="GPM"/>
      <sheetName val="Variance"/>
      <sheetName val="ARCO - Alaska"/>
      <sheetName val="Capex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IndexInformation"/>
      <sheetName val="MainCode"/>
      <sheetName val="NY UPLOAD"/>
      <sheetName val="NY UPLOAD Shadow"/>
      <sheetName val="Distribution"/>
      <sheetName val="A-Link Source"/>
      <sheetName val="Q-Link Source"/>
      <sheetName val="COP"/>
      <sheetName val="Income Statement"/>
      <sheetName val="Revenue&amp;EBIT"/>
      <sheetName val="Fin. Summary"/>
      <sheetName val="Inputs"/>
      <sheetName val="XOM"/>
      <sheetName val="New Source Charts"/>
      <sheetName val="Modelware"/>
      <sheetName val="R&amp;MIS"/>
      <sheetName val="E&amp;P Growth &amp; Returns"/>
      <sheetName val="Global Product Sum"/>
      <sheetName val="Scenario"/>
      <sheetName val="Quarter"/>
      <sheetName val="Annual"/>
      <sheetName val="AN"/>
      <sheetName val="COC"/>
      <sheetName val="ｾｸﾞﾒﾝﾄ"/>
      <sheetName val="単独"/>
      <sheetName val="Factset Profile"/>
      <sheetName val="ca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ValPrintout"/>
      <sheetName val="__FDSCACHE__"/>
      <sheetName val="Cover"/>
      <sheetName val="Valuation"/>
      <sheetName val="Model"/>
      <sheetName val="MW-Cache"/>
      <sheetName val="Share Price"/>
      <sheetName val="Notes"/>
      <sheetName val="Guid"/>
      <sheetName val="ExportData"/>
      <sheetName val="Valuation OLD"/>
      <sheetName val="Questions"/>
      <sheetName val="Total.Op.Leases"/>
      <sheetName val="Pen.OPEB"/>
      <sheetName val="MWA RR"/>
      <sheetName val="mwareSettings"/>
      <sheetName val="mwareDates"/>
      <sheetName val="Op.Lease.Rate"/>
      <sheetName val="10K"/>
      <sheetName val="10Q.3Q"/>
      <sheetName val="GuidanceTimeSeries"/>
      <sheetName val="ValuationHistory"/>
      <sheetName val="10Q.2Q"/>
      <sheetName val="MWA RR.old"/>
      <sheetName val="Summary"/>
      <sheetName val="Fleet"/>
      <sheetName val="RecentGuidanceAndNotes"/>
      <sheetName val="Traffic"/>
      <sheetName val="RPT CF &amp; BS"/>
      <sheetName val="RPT IS"/>
      <sheetName val="Inc Statement"/>
      <sheetName val="CF and Bal Sheet"/>
      <sheetName val="Depreciation"/>
      <sheetName val="RPT_IS"/>
      <sheetName val="RPT_CF"/>
      <sheetName val="JetBlueQQ"/>
      <sheetName val="PT Chart"/>
      <sheetName val="CF &amp; Bal Sheet"/>
      <sheetName val="Fuel Sensitivity"/>
      <sheetName val="New Lease"/>
      <sheetName val="New Lease Tot"/>
      <sheetName val="Op Lease Analysis"/>
      <sheetName val="RASM Sensitivity"/>
      <sheetName val="Deprec Sched"/>
      <sheetName val="FCF Sensitivity"/>
      <sheetName val="Residual Income"/>
      <sheetName val="DCF-ROCE"/>
      <sheetName val="DTC Chart"/>
      <sheetName val="CASM Op Margin"/>
      <sheetName val="ROIC"/>
      <sheetName val="FTEs per Avg Aircraft"/>
      <sheetName val="Vs LUV"/>
      <sheetName val="Productivity"/>
      <sheetName val="Embraer Rent"/>
      <sheetName val="mwareTaxoPres"/>
      <sheetName val="ASMs per Employee 2005"/>
      <sheetName val="Roadmap"/>
      <sheetName val="Model_Template"/>
      <sheetName val="Recovered_Sheet1"/>
    </sheetNames>
    <sheetDataSet>
      <sheetData sheetId="0"/>
      <sheetData sheetId="1"/>
      <sheetData sheetId="2"/>
      <sheetData sheetId="3">
        <row r="2">
          <cell r="B2" t="str">
            <v>JetBlue</v>
          </cell>
        </row>
      </sheetData>
      <sheetData sheetId="4" refreshError="1">
        <row r="1">
          <cell r="A1" t="str">
            <v>JBLU</v>
          </cell>
          <cell r="B1" t="str">
            <v>Year</v>
          </cell>
          <cell r="C1">
            <v>2000</v>
          </cell>
          <cell r="G1" t="str">
            <v>Year</v>
          </cell>
          <cell r="H1">
            <v>2001</v>
          </cell>
          <cell r="L1" t="str">
            <v>Year</v>
          </cell>
          <cell r="M1">
            <v>2002</v>
          </cell>
          <cell r="Q1" t="str">
            <v>Year</v>
          </cell>
          <cell r="R1">
            <v>2003</v>
          </cell>
          <cell r="V1" t="str">
            <v>Year</v>
          </cell>
          <cell r="W1">
            <v>2004</v>
          </cell>
          <cell r="AA1" t="str">
            <v>Year</v>
          </cell>
          <cell r="AB1">
            <v>2005</v>
          </cell>
          <cell r="AF1" t="str">
            <v>Year</v>
          </cell>
          <cell r="AG1">
            <v>2006</v>
          </cell>
          <cell r="AK1" t="str">
            <v>Year</v>
          </cell>
          <cell r="AL1">
            <v>2007</v>
          </cell>
          <cell r="AP1" t="str">
            <v>Year</v>
          </cell>
          <cell r="AQ1">
            <v>2008</v>
          </cell>
          <cell r="AU1" t="str">
            <v>Year</v>
          </cell>
          <cell r="AV1">
            <v>2009</v>
          </cell>
          <cell r="AZ1" t="str">
            <v>Year</v>
          </cell>
          <cell r="BA1">
            <v>2010</v>
          </cell>
          <cell r="BE1" t="str">
            <v>Year</v>
          </cell>
          <cell r="BF1">
            <v>2011</v>
          </cell>
          <cell r="BJ1" t="str">
            <v>Year</v>
          </cell>
          <cell r="BK1">
            <v>2012</v>
          </cell>
          <cell r="BO1" t="str">
            <v>Year</v>
          </cell>
          <cell r="BP1">
            <v>2013</v>
          </cell>
          <cell r="BT1" t="str">
            <v>Year</v>
          </cell>
          <cell r="BU1">
            <v>2014</v>
          </cell>
          <cell r="BY1" t="str">
            <v>Year</v>
          </cell>
          <cell r="BZ1">
            <v>2015</v>
          </cell>
          <cell r="CD1" t="str">
            <v>Year</v>
          </cell>
          <cell r="CE1">
            <v>2016</v>
          </cell>
          <cell r="CI1" t="str">
            <v>Year</v>
          </cell>
          <cell r="CN1" t="str">
            <v>Year</v>
          </cell>
          <cell r="CQ1" t="str">
            <v>1Q</v>
          </cell>
          <cell r="CR1" t="str">
            <v>2Q</v>
          </cell>
          <cell r="CS1" t="str">
            <v>Year</v>
          </cell>
          <cell r="CT1" t="str">
            <v>4Q</v>
          </cell>
          <cell r="CU1" t="str">
            <v>COMMENTS</v>
          </cell>
          <cell r="CV1" t="str">
            <v>1Q</v>
          </cell>
          <cell r="CW1" t="str">
            <v>2Q</v>
          </cell>
          <cell r="CX1" t="str">
            <v>3Q</v>
          </cell>
          <cell r="CY1" t="str">
            <v>4Q</v>
          </cell>
          <cell r="CZ1" t="str">
            <v>COMMENTS</v>
          </cell>
          <cell r="DE1" t="str">
            <v>ElementName</v>
          </cell>
          <cell r="DF1" t="str">
            <v>ScaleOverride</v>
          </cell>
          <cell r="DG1" t="str">
            <v>UnitOverride</v>
          </cell>
          <cell r="DH1" t="str">
            <v>ReverseSign</v>
          </cell>
          <cell r="DI1" t="str">
            <v>IsDrivingAssumption</v>
          </cell>
          <cell r="DJ1" t="str">
            <v>ElementName</v>
          </cell>
          <cell r="DK1" t="str">
            <v>ScaleOverride</v>
          </cell>
          <cell r="DL1" t="str">
            <v>UnitOverride</v>
          </cell>
          <cell r="DM1" t="str">
            <v>ReverseSign</v>
          </cell>
          <cell r="DN1" t="str">
            <v>IsDrivingAssumption</v>
          </cell>
          <cell r="DO1" t="str">
            <v>SegmentID</v>
          </cell>
        </row>
        <row r="2">
          <cell r="B2" t="str">
            <v>1999A</v>
          </cell>
          <cell r="C2" t="str">
            <v>1QA</v>
          </cell>
          <cell r="D2" t="str">
            <v>2QA</v>
          </cell>
          <cell r="E2" t="str">
            <v>3QA</v>
          </cell>
          <cell r="F2" t="str">
            <v>4QA</v>
          </cell>
          <cell r="G2" t="str">
            <v>2000A</v>
          </cell>
          <cell r="H2" t="str">
            <v>1QA</v>
          </cell>
          <cell r="I2" t="str">
            <v>2QA</v>
          </cell>
          <cell r="J2" t="str">
            <v>3QA</v>
          </cell>
          <cell r="K2" t="str">
            <v>4QA</v>
          </cell>
          <cell r="L2" t="str">
            <v>2001A</v>
          </cell>
          <cell r="M2" t="str">
            <v>1QA</v>
          </cell>
          <cell r="N2" t="str">
            <v>2QA</v>
          </cell>
          <cell r="O2" t="str">
            <v>3QA</v>
          </cell>
          <cell r="P2" t="str">
            <v>4QA</v>
          </cell>
          <cell r="Q2" t="str">
            <v>2002A</v>
          </cell>
          <cell r="R2" t="str">
            <v>1QA</v>
          </cell>
          <cell r="S2" t="str">
            <v>2QA</v>
          </cell>
          <cell r="T2" t="str">
            <v>3QA</v>
          </cell>
          <cell r="U2" t="str">
            <v>4QA</v>
          </cell>
          <cell r="V2" t="str">
            <v>2003A</v>
          </cell>
          <cell r="W2" t="str">
            <v>1QA</v>
          </cell>
          <cell r="X2" t="str">
            <v>2QA</v>
          </cell>
          <cell r="Y2" t="str">
            <v>3QA</v>
          </cell>
          <cell r="Z2" t="str">
            <v>4QA</v>
          </cell>
          <cell r="AA2" t="str">
            <v>2004A</v>
          </cell>
          <cell r="AB2" t="str">
            <v>1QA</v>
          </cell>
          <cell r="AC2" t="str">
            <v>2QA</v>
          </cell>
          <cell r="AD2" t="str">
            <v>3QA</v>
          </cell>
          <cell r="AE2" t="str">
            <v>4QA</v>
          </cell>
          <cell r="AF2" t="str">
            <v>2005A</v>
          </cell>
          <cell r="AG2" t="str">
            <v>1QA</v>
          </cell>
          <cell r="AH2" t="str">
            <v>2QA</v>
          </cell>
          <cell r="AI2" t="str">
            <v>3QE</v>
          </cell>
          <cell r="AJ2" t="str">
            <v>4QA</v>
          </cell>
          <cell r="AK2" t="str">
            <v>2006A</v>
          </cell>
          <cell r="AL2" t="str">
            <v>1QA</v>
          </cell>
          <cell r="AM2" t="str">
            <v>2QA</v>
          </cell>
          <cell r="AN2" t="str">
            <v>3QA</v>
          </cell>
          <cell r="AO2" t="str">
            <v>4QA</v>
          </cell>
          <cell r="AP2" t="str">
            <v>2007A</v>
          </cell>
          <cell r="AQ2" t="str">
            <v>1QA</v>
          </cell>
          <cell r="AR2" t="str">
            <v>2QA</v>
          </cell>
          <cell r="AS2" t="str">
            <v>3QA</v>
          </cell>
          <cell r="AT2" t="str">
            <v>4QA</v>
          </cell>
          <cell r="AU2" t="str">
            <v>2008A</v>
          </cell>
          <cell r="AV2" t="str">
            <v>1QA</v>
          </cell>
          <cell r="AW2" t="str">
            <v>2QA</v>
          </cell>
          <cell r="AX2" t="str">
            <v>3QA</v>
          </cell>
          <cell r="AY2" t="str">
            <v>4QA</v>
          </cell>
          <cell r="AZ2" t="str">
            <v>2009A</v>
          </cell>
          <cell r="BA2" t="str">
            <v>1QA</v>
          </cell>
          <cell r="BB2" t="str">
            <v>2QA</v>
          </cell>
          <cell r="BC2" t="str">
            <v>3QA</v>
          </cell>
          <cell r="BD2" t="str">
            <v>4QA</v>
          </cell>
          <cell r="BE2" t="str">
            <v>2010A</v>
          </cell>
          <cell r="BF2" t="str">
            <v>1QA</v>
          </cell>
          <cell r="BG2" t="str">
            <v>2QA</v>
          </cell>
          <cell r="BH2" t="str">
            <v>3QA</v>
          </cell>
          <cell r="BI2" t="str">
            <v>4QA</v>
          </cell>
          <cell r="BJ2" t="str">
            <v>2011A</v>
          </cell>
          <cell r="BK2" t="str">
            <v>1QA</v>
          </cell>
          <cell r="BL2" t="str">
            <v>2QA</v>
          </cell>
          <cell r="BM2" t="str">
            <v>3QA</v>
          </cell>
          <cell r="BN2" t="str">
            <v>4QA</v>
          </cell>
          <cell r="BO2" t="str">
            <v>2012A</v>
          </cell>
          <cell r="BP2" t="str">
            <v>1QA</v>
          </cell>
          <cell r="BQ2" t="str">
            <v>2QA</v>
          </cell>
          <cell r="BR2" t="str">
            <v>3QA</v>
          </cell>
          <cell r="BS2" t="str">
            <v>4QA</v>
          </cell>
          <cell r="BT2" t="str">
            <v>2013A</v>
          </cell>
          <cell r="BU2" t="str">
            <v>1QA</v>
          </cell>
          <cell r="BV2" t="str">
            <v>2QA</v>
          </cell>
          <cell r="BW2" t="str">
            <v>3QA</v>
          </cell>
          <cell r="BX2" t="str">
            <v>4QA</v>
          </cell>
          <cell r="BY2" t="str">
            <v>2014A</v>
          </cell>
          <cell r="BZ2" t="str">
            <v>1QA</v>
          </cell>
          <cell r="CA2" t="str">
            <v>2QA</v>
          </cell>
          <cell r="CB2" t="str">
            <v>3QA</v>
          </cell>
          <cell r="CC2" t="str">
            <v>4QE</v>
          </cell>
          <cell r="CD2" t="str">
            <v>2015E</v>
          </cell>
          <cell r="CE2" t="str">
            <v>1QA</v>
          </cell>
          <cell r="CF2" t="str">
            <v>2QA</v>
          </cell>
          <cell r="CG2" t="str">
            <v>3QA</v>
          </cell>
          <cell r="CH2" t="str">
            <v>4QE</v>
          </cell>
          <cell r="CI2" t="str">
            <v>2016E</v>
          </cell>
          <cell r="CN2" t="str">
            <v>2017E</v>
          </cell>
          <cell r="CQ2" t="str">
            <v>Avg.</v>
          </cell>
          <cell r="CR2" t="str">
            <v>Avg.</v>
          </cell>
          <cell r="CS2" t="str">
            <v>2018E</v>
          </cell>
          <cell r="CT2" t="str">
            <v>Avg.</v>
          </cell>
          <cell r="CV2" t="str">
            <v>Avg.</v>
          </cell>
          <cell r="CW2" t="str">
            <v>Avg.</v>
          </cell>
          <cell r="CX2" t="str">
            <v>Avg.</v>
          </cell>
          <cell r="CY2" t="str">
            <v>Avg.</v>
          </cell>
        </row>
        <row r="3">
          <cell r="A3" t="str">
            <v>OPERATING STATISTICS</v>
          </cell>
        </row>
        <row r="4">
          <cell r="A4" t="str">
            <v>Revenue Passenger Miles (mm)</v>
          </cell>
          <cell r="G4">
            <v>1004.496</v>
          </cell>
          <cell r="H4">
            <v>600.34299999999996</v>
          </cell>
          <cell r="I4">
            <v>766.35</v>
          </cell>
          <cell r="J4">
            <v>863.85500000000002</v>
          </cell>
          <cell r="K4">
            <v>1051.287</v>
          </cell>
          <cell r="L4">
            <v>3281.835</v>
          </cell>
          <cell r="M4">
            <v>1304.2750000000001</v>
          </cell>
          <cell r="N4">
            <v>1625.5360000000001</v>
          </cell>
          <cell r="O4">
            <v>1888.1510000000001</v>
          </cell>
          <cell r="P4">
            <v>2017.866</v>
          </cell>
          <cell r="Q4">
            <v>6835.8280000000004</v>
          </cell>
          <cell r="R4">
            <v>2374.846</v>
          </cell>
          <cell r="S4">
            <v>2795.0160000000001</v>
          </cell>
          <cell r="T4">
            <v>3248.9580000000001</v>
          </cell>
          <cell r="U4">
            <v>3108.125</v>
          </cell>
          <cell r="V4">
            <v>11526.945</v>
          </cell>
          <cell r="W4">
            <v>3372.2950000000001</v>
          </cell>
          <cell r="X4">
            <v>3935.3850000000002</v>
          </cell>
          <cell r="Y4">
            <v>4196.0060000000003</v>
          </cell>
          <cell r="Z4">
            <v>4226.616</v>
          </cell>
          <cell r="AA4">
            <v>15730.302000000001</v>
          </cell>
          <cell r="AB4">
            <v>4434.5280000000002</v>
          </cell>
          <cell r="AC4">
            <v>5124.6890000000003</v>
          </cell>
          <cell r="AD4">
            <v>5483.8209999999999</v>
          </cell>
          <cell r="AE4">
            <v>5157.0190000000002</v>
          </cell>
          <cell r="AF4">
            <v>20200.057000000001</v>
          </cell>
          <cell r="AG4">
            <v>5536</v>
          </cell>
          <cell r="AH4">
            <v>5924</v>
          </cell>
          <cell r="AI4">
            <v>6062</v>
          </cell>
          <cell r="AJ4">
            <v>5798</v>
          </cell>
          <cell r="AK4">
            <v>23320</v>
          </cell>
          <cell r="AL4">
            <v>5942</v>
          </cell>
          <cell r="AM4">
            <v>6736</v>
          </cell>
          <cell r="AN4">
            <v>6848</v>
          </cell>
          <cell r="AO4">
            <v>6211</v>
          </cell>
          <cell r="AP4">
            <v>25737</v>
          </cell>
          <cell r="AQ4">
            <v>6563</v>
          </cell>
          <cell r="AR4">
            <v>6756</v>
          </cell>
          <cell r="AS4">
            <v>6848</v>
          </cell>
          <cell r="AT4">
            <v>5904</v>
          </cell>
          <cell r="AU4">
            <v>26071</v>
          </cell>
          <cell r="AV4">
            <v>6040</v>
          </cell>
          <cell r="AW4">
            <v>6545</v>
          </cell>
          <cell r="AX4">
            <v>7027</v>
          </cell>
          <cell r="AY4">
            <v>6342.9919999999993</v>
          </cell>
          <cell r="AZ4">
            <v>25954.991999999998</v>
          </cell>
          <cell r="BA4">
            <v>6469.9750000000004</v>
          </cell>
          <cell r="BB4">
            <v>7126.3210000000008</v>
          </cell>
          <cell r="BC4">
            <v>7699</v>
          </cell>
          <cell r="BD4">
            <v>6984.030999999999</v>
          </cell>
          <cell r="BE4">
            <v>28279.327000000001</v>
          </cell>
          <cell r="BF4">
            <v>6923.7</v>
          </cell>
          <cell r="BG4">
            <v>7692</v>
          </cell>
          <cell r="BH4">
            <v>8332</v>
          </cell>
          <cell r="BI4">
            <v>7750</v>
          </cell>
          <cell r="BJ4">
            <v>30697.7</v>
          </cell>
          <cell r="BK4">
            <v>7908</v>
          </cell>
          <cell r="BL4">
            <v>8497</v>
          </cell>
          <cell r="BM4">
            <v>9075</v>
          </cell>
          <cell r="BN4">
            <v>8083</v>
          </cell>
          <cell r="BO4">
            <v>33563</v>
          </cell>
          <cell r="BP4">
            <v>8506</v>
          </cell>
          <cell r="BQ4">
            <v>9115</v>
          </cell>
          <cell r="BR4">
            <v>9561</v>
          </cell>
          <cell r="BS4">
            <v>8654</v>
          </cell>
          <cell r="BT4">
            <v>35836</v>
          </cell>
          <cell r="BU4">
            <v>8662</v>
          </cell>
          <cell r="BV4">
            <v>9632</v>
          </cell>
          <cell r="BW4">
            <v>10127</v>
          </cell>
          <cell r="BX4">
            <v>9392</v>
          </cell>
          <cell r="BY4">
            <v>37813</v>
          </cell>
          <cell r="BZ4">
            <v>9622</v>
          </cell>
          <cell r="CA4">
            <v>10472</v>
          </cell>
          <cell r="CB4">
            <v>11063</v>
          </cell>
          <cell r="CC4">
            <v>10554.084000000001</v>
          </cell>
          <cell r="CD4">
            <v>41711.084000000003</v>
          </cell>
          <cell r="CE4">
            <v>10776.64</v>
          </cell>
          <cell r="CF4">
            <v>11519.2</v>
          </cell>
          <cell r="CG4">
            <v>11616.150000000001</v>
          </cell>
          <cell r="CH4">
            <v>11134.55862</v>
          </cell>
          <cell r="CI4">
            <v>45046.548620000001</v>
          </cell>
          <cell r="CN4">
            <v>48650.272509600007</v>
          </cell>
          <cell r="CS4">
            <v>52542.294310368008</v>
          </cell>
          <cell r="DE4" t="str">
            <v>mstag:revenuePassengerLength</v>
          </cell>
          <cell r="DF4">
            <v>6</v>
          </cell>
          <cell r="DG4" t="str">
            <v>length:miles</v>
          </cell>
          <cell r="DH4" t="b">
            <v>0</v>
          </cell>
          <cell r="DI4" t="b">
            <v>0</v>
          </cell>
          <cell r="DJ4" t="str">
            <v>mstag:revenuePassengerLength</v>
          </cell>
          <cell r="DK4">
            <v>6</v>
          </cell>
          <cell r="DL4" t="str">
            <v>length:miles</v>
          </cell>
          <cell r="DM4" t="b">
            <v>0</v>
          </cell>
          <cell r="DN4" t="b">
            <v>0</v>
          </cell>
        </row>
        <row r="5">
          <cell r="A5" t="str">
            <v>YoY % Chg.</v>
          </cell>
          <cell r="L5">
            <v>2.267145911979739</v>
          </cell>
          <cell r="M5">
            <v>1.1725496924258301</v>
          </cell>
          <cell r="N5">
            <v>1.1211404710641353</v>
          </cell>
          <cell r="O5">
            <v>1.1857267712752719</v>
          </cell>
          <cell r="P5">
            <v>0.91942447685551132</v>
          </cell>
          <cell r="Q5">
            <v>1.0829286054905261</v>
          </cell>
          <cell r="R5">
            <v>0.82081692894519942</v>
          </cell>
          <cell r="S5">
            <v>0.71944269459427534</v>
          </cell>
          <cell r="T5">
            <v>0.72070877805853439</v>
          </cell>
          <cell r="U5">
            <v>0.54030297353739054</v>
          </cell>
          <cell r="V5">
            <v>0.68625439376180886</v>
          </cell>
          <cell r="W5">
            <v>0.42000576037351478</v>
          </cell>
          <cell r="X5">
            <v>0.4080008844314309</v>
          </cell>
          <cell r="Y5">
            <v>0.2914928417049405</v>
          </cell>
          <cell r="Z5">
            <v>0.3598603659762718</v>
          </cell>
          <cell r="AA5">
            <v>0.36465490205774409</v>
          </cell>
          <cell r="AB5">
            <v>0.31498816088153614</v>
          </cell>
          <cell r="AC5">
            <v>0.30220778907273371</v>
          </cell>
          <cell r="AD5">
            <v>0.30691448010322175</v>
          </cell>
          <cell r="AE5">
            <v>0.22012953152119819</v>
          </cell>
          <cell r="AF5">
            <v>0.28414934436732353</v>
          </cell>
          <cell r="AG5">
            <v>0.24838539749889943</v>
          </cell>
          <cell r="AH5">
            <v>0.15597258682429316</v>
          </cell>
          <cell r="AI5">
            <v>0.10543360186264294</v>
          </cell>
          <cell r="AJ5">
            <v>0.12429292969446104</v>
          </cell>
          <cell r="AK5">
            <v>0.15445218793194493</v>
          </cell>
          <cell r="AL5">
            <v>7.3338150289017356E-2</v>
          </cell>
          <cell r="AM5">
            <v>0.13706954760297108</v>
          </cell>
          <cell r="AN5">
            <v>0.12966017815902342</v>
          </cell>
          <cell r="AO5">
            <v>7.1231459123835883E-2</v>
          </cell>
          <cell r="AP5">
            <v>0.10364493996569468</v>
          </cell>
          <cell r="AQ5">
            <v>0.10451026590373602</v>
          </cell>
          <cell r="AR5">
            <v>2.9691211401425832E-3</v>
          </cell>
          <cell r="AS5">
            <v>0</v>
          </cell>
          <cell r="AT5">
            <v>-4.9428433424569262E-2</v>
          </cell>
          <cell r="AU5">
            <v>1.2977425496367045E-2</v>
          </cell>
          <cell r="AV5">
            <v>-7.9689166539692269E-2</v>
          </cell>
          <cell r="AW5">
            <v>-3.1231497927767915E-2</v>
          </cell>
          <cell r="AX5">
            <v>2.6139018691588856E-2</v>
          </cell>
          <cell r="AY5">
            <v>7.4355013550135407E-2</v>
          </cell>
          <cell r="AZ5">
            <v>-4.4496950634805854E-3</v>
          </cell>
          <cell r="BA5">
            <v>7.118791390728485E-2</v>
          </cell>
          <cell r="BB5">
            <v>8.8819098548510445E-2</v>
          </cell>
          <cell r="BC5">
            <v>9.5631137042834879E-2</v>
          </cell>
          <cell r="BD5">
            <v>0.10106255848974732</v>
          </cell>
          <cell r="BE5">
            <v>8.9552522304765292E-2</v>
          </cell>
          <cell r="BF5">
            <v>7.0127782564847641E-2</v>
          </cell>
          <cell r="BG5">
            <v>7.9378826746647979E-2</v>
          </cell>
          <cell r="BH5">
            <v>8.2218469931159888E-2</v>
          </cell>
          <cell r="BI5">
            <v>0.10967434136532339</v>
          </cell>
          <cell r="BJ5">
            <v>8.5517346293283447E-2</v>
          </cell>
          <cell r="BK5">
            <v>0.14216387191819413</v>
          </cell>
          <cell r="BL5">
            <v>0.10465418616744659</v>
          </cell>
          <cell r="BM5">
            <v>8.9174267882861313E-2</v>
          </cell>
          <cell r="BN5">
            <v>4.2967741935483916E-2</v>
          </cell>
          <cell r="BO5">
            <v>9.3339240399117784E-2</v>
          </cell>
          <cell r="BP5">
            <v>7.5619625695498183E-2</v>
          </cell>
          <cell r="BQ5">
            <v>7.2731552312580883E-2</v>
          </cell>
          <cell r="BR5">
            <v>5.3553719008264444E-2</v>
          </cell>
          <cell r="BS5">
            <v>7.0642088333539466E-2</v>
          </cell>
          <cell r="BT5">
            <v>6.7723385871346409E-2</v>
          </cell>
          <cell r="BU5">
            <v>1.8339995297437017E-2</v>
          </cell>
          <cell r="BV5">
            <v>5.6719692814042766E-2</v>
          </cell>
          <cell r="BW5">
            <v>5.919882857441694E-2</v>
          </cell>
          <cell r="BX5">
            <v>8.5278483938063365E-2</v>
          </cell>
          <cell r="BY5">
            <v>5.5167987498604854E-2</v>
          </cell>
          <cell r="BZ5">
            <v>0.11082890787347033</v>
          </cell>
          <cell r="CA5">
            <v>8.7209302325581328E-2</v>
          </cell>
          <cell r="CB5">
            <v>9.2426187419768935E-2</v>
          </cell>
          <cell r="CC5">
            <v>0.12373126064735951</v>
          </cell>
          <cell r="CD5">
            <v>0.10308846164017682</v>
          </cell>
          <cell r="CE5">
            <v>0.11999999999999988</v>
          </cell>
          <cell r="CF5">
            <v>0.10000000000000009</v>
          </cell>
          <cell r="CG5">
            <v>5.0000000000000044E-2</v>
          </cell>
          <cell r="CH5">
            <v>5.4999999999999938E-2</v>
          </cell>
          <cell r="CI5">
            <v>7.9965905944808346E-2</v>
          </cell>
          <cell r="CN5">
            <v>8.0000000000000071E-2</v>
          </cell>
          <cell r="CS5">
            <v>8.0000000000000071E-2</v>
          </cell>
          <cell r="CU5" t="str">
            <v>7/28: 3Q15 8.5%-10.5%</v>
          </cell>
          <cell r="CZ5" t="str">
            <v>10/27: 4Q15 8.5-10.5%</v>
          </cell>
          <cell r="DA5" t="str">
            <v>2015 Growth</v>
          </cell>
          <cell r="DE5" t="str">
            <v>% of ASM</v>
          </cell>
          <cell r="DF5" t="str">
            <v>2015 Growth</v>
          </cell>
        </row>
        <row r="6">
          <cell r="A6" t="str">
            <v>Available Seat Miles (mm)</v>
          </cell>
          <cell r="G6">
            <v>1371.836</v>
          </cell>
          <cell r="H6">
            <v>745.85199999999998</v>
          </cell>
          <cell r="I6">
            <v>960.74400000000003</v>
          </cell>
          <cell r="J6">
            <v>1131.0129999999999</v>
          </cell>
          <cell r="K6">
            <v>1370.6579999999999</v>
          </cell>
          <cell r="L6">
            <v>4208.2669999999998</v>
          </cell>
          <cell r="M6">
            <v>1614.67</v>
          </cell>
          <cell r="N6">
            <v>1932.1130000000001</v>
          </cell>
          <cell r="O6">
            <v>2227.2539999999999</v>
          </cell>
          <cell r="P6">
            <v>2465.9009999999998</v>
          </cell>
          <cell r="Q6">
            <v>8239.9380000000001</v>
          </cell>
          <cell r="R6">
            <v>2918.0709999999999</v>
          </cell>
          <cell r="S6">
            <v>3275.2190000000001</v>
          </cell>
          <cell r="T6">
            <v>3704.8409999999999</v>
          </cell>
          <cell r="U6">
            <v>3741.357</v>
          </cell>
          <cell r="V6">
            <v>13639.487999999999</v>
          </cell>
          <cell r="W6">
            <v>4218.5200000000004</v>
          </cell>
          <cell r="X6">
            <v>4656.7950000000001</v>
          </cell>
          <cell r="Y6">
            <v>4940.08</v>
          </cell>
          <cell r="Z6">
            <v>5095.6559999999999</v>
          </cell>
          <cell r="AA6">
            <v>18911.050999999999</v>
          </cell>
          <cell r="AB6">
            <v>5168.6530000000002</v>
          </cell>
          <cell r="AC6">
            <v>5846.2</v>
          </cell>
          <cell r="AD6">
            <v>6331.8620000000001</v>
          </cell>
          <cell r="AE6">
            <v>6356.3789999999999</v>
          </cell>
          <cell r="AF6">
            <v>23703.094000000001</v>
          </cell>
          <cell r="AG6">
            <v>6577</v>
          </cell>
          <cell r="AH6">
            <v>7202</v>
          </cell>
          <cell r="AI6">
            <v>7537</v>
          </cell>
          <cell r="AJ6">
            <v>7278</v>
          </cell>
          <cell r="AK6">
            <v>28594</v>
          </cell>
          <cell r="AL6">
            <v>7370</v>
          </cell>
          <cell r="AM6">
            <v>8066</v>
          </cell>
          <cell r="AN6">
            <v>8355</v>
          </cell>
          <cell r="AO6">
            <v>8113</v>
          </cell>
          <cell r="AP6">
            <v>31904</v>
          </cell>
          <cell r="AQ6">
            <v>8395</v>
          </cell>
          <cell r="AR6">
            <v>8383</v>
          </cell>
          <cell r="AS6">
            <v>8154</v>
          </cell>
          <cell r="AT6">
            <v>7510</v>
          </cell>
          <cell r="AU6">
            <v>32442</v>
          </cell>
          <cell r="AV6">
            <v>7942.4</v>
          </cell>
          <cell r="AW6">
            <v>8237</v>
          </cell>
          <cell r="AX6">
            <v>8391</v>
          </cell>
          <cell r="AY6">
            <v>7988</v>
          </cell>
          <cell r="AZ6">
            <v>32558.400000000001</v>
          </cell>
          <cell r="BA6">
            <v>8423.6200000000008</v>
          </cell>
          <cell r="BB6">
            <v>8688.2280000000119</v>
          </cell>
          <cell r="BC6">
            <v>9102</v>
          </cell>
          <cell r="BD6">
            <v>8530.19</v>
          </cell>
          <cell r="BE6">
            <v>34744.038000000015</v>
          </cell>
          <cell r="BF6">
            <v>8510.8109999999997</v>
          </cell>
          <cell r="BG6">
            <v>9441</v>
          </cell>
          <cell r="BH6">
            <v>9855</v>
          </cell>
          <cell r="BI6">
            <v>9425</v>
          </cell>
          <cell r="BJ6">
            <v>37231.811000000002</v>
          </cell>
          <cell r="BK6">
            <v>9536</v>
          </cell>
          <cell r="BL6">
            <v>9961</v>
          </cell>
          <cell r="BM6">
            <v>10704</v>
          </cell>
          <cell r="BN6">
            <v>9874</v>
          </cell>
          <cell r="BO6">
            <v>40075</v>
          </cell>
          <cell r="BP6">
            <v>10140</v>
          </cell>
          <cell r="BQ6">
            <v>10741</v>
          </cell>
          <cell r="BR6">
            <v>11252</v>
          </cell>
          <cell r="BS6">
            <v>10691</v>
          </cell>
          <cell r="BT6">
            <v>42824</v>
          </cell>
          <cell r="BU6">
            <v>10419</v>
          </cell>
          <cell r="BV6">
            <v>11386</v>
          </cell>
          <cell r="BW6">
            <v>11752</v>
          </cell>
          <cell r="BX6">
            <v>11436</v>
          </cell>
          <cell r="BY6">
            <v>44993</v>
          </cell>
          <cell r="BZ6">
            <v>11419</v>
          </cell>
          <cell r="CA6">
            <v>12237</v>
          </cell>
          <cell r="CB6">
            <v>12976</v>
          </cell>
          <cell r="CC6">
            <v>12626</v>
          </cell>
          <cell r="CD6">
            <v>49258</v>
          </cell>
          <cell r="CE6">
            <v>13074.755000000001</v>
          </cell>
          <cell r="CF6">
            <v>13583.070000000002</v>
          </cell>
          <cell r="CG6">
            <v>13949.199999999999</v>
          </cell>
          <cell r="CH6">
            <v>13257.300000000001</v>
          </cell>
          <cell r="CI6">
            <v>53864.325000000004</v>
          </cell>
          <cell r="CN6">
            <v>58173.471000000005</v>
          </cell>
          <cell r="CS6">
            <v>62827.34868000001</v>
          </cell>
          <cell r="CV6" t="str">
            <v>7/28: FY15 7%-9%</v>
          </cell>
          <cell r="CY6" t="str">
            <v>Transcon</v>
          </cell>
          <cell r="CZ6">
            <v>0.31</v>
          </cell>
          <cell r="DA6" t="str">
            <v>Excludes winter storm Jonas</v>
          </cell>
          <cell r="DB6">
            <v>4.9599999999999998E-2</v>
          </cell>
          <cell r="DD6" t="str">
            <v>Transcon</v>
          </cell>
          <cell r="DE6">
            <v>0.31</v>
          </cell>
          <cell r="DF6" t="str">
            <v>15-17%</v>
          </cell>
          <cell r="DG6">
            <v>4.9599999999999998E-2</v>
          </cell>
          <cell r="DH6" t="b">
            <v>0</v>
          </cell>
          <cell r="DI6" t="b">
            <v>0</v>
          </cell>
          <cell r="DJ6" t="str">
            <v>mstag:mainlineAvailableSeatLength</v>
          </cell>
          <cell r="DK6">
            <v>6</v>
          </cell>
          <cell r="DL6" t="str">
            <v>length:miles</v>
          </cell>
          <cell r="DM6" t="b">
            <v>0</v>
          </cell>
          <cell r="DN6" t="b">
            <v>0</v>
          </cell>
        </row>
        <row r="7">
          <cell r="A7" t="str">
            <v>YoY % Chg.</v>
          </cell>
          <cell r="L7">
            <v>2.0676166830437457</v>
          </cell>
          <cell r="M7">
            <v>1.1648664882577244</v>
          </cell>
          <cell r="N7">
            <v>1.0110591375017695</v>
          </cell>
          <cell r="O7">
            <v>0.9692558794638082</v>
          </cell>
          <cell r="P7">
            <v>0.79906366139474616</v>
          </cell>
          <cell r="Q7">
            <v>0.95803593260598729</v>
          </cell>
          <cell r="R7">
            <v>0.80722438640712957</v>
          </cell>
          <cell r="S7">
            <v>0.6951487827057734</v>
          </cell>
          <cell r="T7">
            <v>0.66341198623955777</v>
          </cell>
          <cell r="U7">
            <v>0.51723731001366247</v>
          </cell>
          <cell r="V7">
            <v>0.65529012475579296</v>
          </cell>
          <cell r="W7">
            <v>0.44565365270413237</v>
          </cell>
          <cell r="X7">
            <v>0.42182705950350186</v>
          </cell>
          <cell r="Y7">
            <v>0.33341214913136619</v>
          </cell>
          <cell r="Z7">
            <v>0.36198069310146019</v>
          </cell>
          <cell r="AA7">
            <v>0.3864927334515782</v>
          </cell>
          <cell r="AB7">
            <v>0.22522899026198751</v>
          </cell>
          <cell r="AC7">
            <v>0.25541278926815547</v>
          </cell>
          <cell r="AD7">
            <v>0.28173268449093936</v>
          </cell>
          <cell r="AE7">
            <v>0.24741132446931258</v>
          </cell>
          <cell r="AF7">
            <v>0.25339908395360999</v>
          </cell>
          <cell r="AG7">
            <v>0.27247853551012224</v>
          </cell>
          <cell r="AH7">
            <v>0.2319113270158395</v>
          </cell>
          <cell r="AI7">
            <v>0.19032916383837795</v>
          </cell>
          <cell r="AJ7">
            <v>0.14499151167669511</v>
          </cell>
          <cell r="AK7">
            <v>0.20634040433708778</v>
          </cell>
          <cell r="AL7">
            <v>0.12057168922000905</v>
          </cell>
          <cell r="AM7">
            <v>0.11996667592335464</v>
          </cell>
          <cell r="AN7">
            <v>0.10853124585378793</v>
          </cell>
          <cell r="AO7">
            <v>0.11472932124209945</v>
          </cell>
          <cell r="AP7">
            <v>0.11575855074491148</v>
          </cell>
          <cell r="AQ7">
            <v>0.13907734056987797</v>
          </cell>
          <cell r="AR7">
            <v>3.9300768658566909E-2</v>
          </cell>
          <cell r="AS7">
            <v>-2.4057450628366284E-2</v>
          </cell>
          <cell r="AT7">
            <v>-7.4325157155183064E-2</v>
          </cell>
          <cell r="AU7">
            <v>1.6863089267803444E-2</v>
          </cell>
          <cell r="AV7">
            <v>-5.3913043478260869E-2</v>
          </cell>
          <cell r="AW7">
            <v>-1.7416199451270375E-2</v>
          </cell>
          <cell r="AX7">
            <v>2.9065489330389882E-2</v>
          </cell>
          <cell r="AY7">
            <v>6.3648468708388917E-2</v>
          </cell>
          <cell r="AZ7">
            <v>3.5879415572406259E-3</v>
          </cell>
          <cell r="BA7">
            <v>6.058873892022576E-2</v>
          </cell>
          <cell r="BB7">
            <v>5.4780624013598622E-2</v>
          </cell>
          <cell r="BC7">
            <v>8.4733643189131236E-2</v>
          </cell>
          <cell r="BD7">
            <v>6.7875563345017653E-2</v>
          </cell>
          <cell r="BE7">
            <v>6.7129772961816769E-2</v>
          </cell>
          <cell r="BF7">
            <v>1.0350775557301795E-2</v>
          </cell>
          <cell r="BG7">
            <v>8.6642753850380894E-2</v>
          </cell>
          <cell r="BH7">
            <v>8.2729070533948512E-2</v>
          </cell>
          <cell r="BI7">
            <v>0.10489918747413585</v>
          </cell>
          <cell r="BJ7">
            <v>7.1602874714792319E-2</v>
          </cell>
          <cell r="BK7">
            <v>0.12045726312098815</v>
          </cell>
          <cell r="BL7">
            <v>5.507891113229535E-2</v>
          </cell>
          <cell r="BM7">
            <v>8.6149162861491657E-2</v>
          </cell>
          <cell r="BN7">
            <v>4.7639257294429749E-2</v>
          </cell>
          <cell r="BO7">
            <v>7.6364509907938638E-2</v>
          </cell>
          <cell r="BP7">
            <v>6.3338926174496546E-2</v>
          </cell>
          <cell r="BQ7">
            <v>7.8305391024997562E-2</v>
          </cell>
          <cell r="BR7">
            <v>5.1195814648729465E-2</v>
          </cell>
          <cell r="BS7">
            <v>8.2742556208223572E-2</v>
          </cell>
          <cell r="BT7">
            <v>6.8596381784154614E-2</v>
          </cell>
          <cell r="BU7">
            <v>2.7514792899408391E-2</v>
          </cell>
          <cell r="BV7">
            <v>6.0050274648542956E-2</v>
          </cell>
          <cell r="BW7">
            <v>4.4436544614290696E-2</v>
          </cell>
          <cell r="BX7">
            <v>6.9684781591993206E-2</v>
          </cell>
          <cell r="BY7">
            <v>5.0649168690453994E-2</v>
          </cell>
          <cell r="BZ7">
            <v>9.5978500815817158E-2</v>
          </cell>
          <cell r="CA7">
            <v>7.4740909889337681E-2</v>
          </cell>
          <cell r="CB7">
            <v>0.10415248468345806</v>
          </cell>
          <cell r="CC7">
            <v>0.10402562084644984</v>
          </cell>
          <cell r="CD7">
            <v>9.4784455359722575E-2</v>
          </cell>
          <cell r="CE7">
            <v>0.12</v>
          </cell>
          <cell r="CF7">
            <v>0.1</v>
          </cell>
          <cell r="CG7">
            <v>0.05</v>
          </cell>
          <cell r="CH7">
            <v>5.5E-2</v>
          </cell>
          <cell r="CI7">
            <v>7.9930550363185526E-2</v>
          </cell>
          <cell r="CN7">
            <v>0.08</v>
          </cell>
          <cell r="CS7">
            <v>0.08</v>
          </cell>
          <cell r="CV7" t="str">
            <v>High end of FY guidance likely</v>
          </cell>
          <cell r="CY7" t="str">
            <v>Florida</v>
          </cell>
          <cell r="CZ7">
            <v>0.28999999999999998</v>
          </cell>
          <cell r="DA7" t="str">
            <v>4/26: FY16 8.5%-10.5%</v>
          </cell>
          <cell r="DB7">
            <v>1.4499999999999999E-2</v>
          </cell>
          <cell r="DD7" t="str">
            <v>Florida</v>
          </cell>
          <cell r="DE7">
            <v>0.28999999999999998</v>
          </cell>
          <cell r="DF7" t="str">
            <v>4-6%</v>
          </cell>
          <cell r="DG7">
            <v>1.4499999999999999E-2</v>
          </cell>
        </row>
        <row r="8">
          <cell r="A8" t="str">
            <v>Sequential Change %</v>
          </cell>
          <cell r="I8">
            <v>0.28811614100384531</v>
          </cell>
          <cell r="J8">
            <v>0.17722619136835616</v>
          </cell>
          <cell r="K8">
            <v>0.21188527452823269</v>
          </cell>
          <cell r="M8">
            <v>0.17802544471341508</v>
          </cell>
          <cell r="N8">
            <v>0.1965993051211703</v>
          </cell>
          <cell r="O8">
            <v>0.15275555829291543</v>
          </cell>
          <cell r="P8">
            <v>0.1071485335754252</v>
          </cell>
          <cell r="R8">
            <v>0.18336908091606285</v>
          </cell>
          <cell r="S8">
            <v>0.1223918129476631</v>
          </cell>
          <cell r="T8">
            <v>0.13117351847311576</v>
          </cell>
          <cell r="U8">
            <v>9.8562934279771142E-3</v>
          </cell>
          <cell r="W8">
            <v>0.1275374149005295</v>
          </cell>
          <cell r="X8">
            <v>0.10389307150375005</v>
          </cell>
          <cell r="Y8">
            <v>6.0832611270197567E-2</v>
          </cell>
          <cell r="Z8">
            <v>3.1492607407167528E-2</v>
          </cell>
          <cell r="AB8">
            <v>1.4325339073124388E-2</v>
          </cell>
          <cell r="AC8">
            <v>0.13108773214220415</v>
          </cell>
          <cell r="AD8">
            <v>8.3073107317573891E-2</v>
          </cell>
          <cell r="AE8">
            <v>3.8720047910076882E-3</v>
          </cell>
          <cell r="AG8">
            <v>3.4708597457766555E-2</v>
          </cell>
          <cell r="AH8">
            <v>9.5028128325984396E-2</v>
          </cell>
          <cell r="AI8">
            <v>4.6514856984171127E-2</v>
          </cell>
          <cell r="AJ8">
            <v>-3.436380522754412E-2</v>
          </cell>
          <cell r="AL8">
            <v>1.2640835394339023E-2</v>
          </cell>
          <cell r="AM8">
            <v>9.443690637720481E-2</v>
          </cell>
          <cell r="AN8">
            <v>3.5829407389040391E-2</v>
          </cell>
          <cell r="AO8">
            <v>-2.8964691801316556E-2</v>
          </cell>
          <cell r="AQ8">
            <v>3.4759028719339335E-2</v>
          </cell>
          <cell r="AR8">
            <v>-1.4294222751637387E-3</v>
          </cell>
          <cell r="AS8">
            <v>-2.7317189550280285E-2</v>
          </cell>
          <cell r="AT8">
            <v>-7.8979641893549224E-2</v>
          </cell>
          <cell r="AV8">
            <v>5.7576564580559264E-2</v>
          </cell>
          <cell r="AW8">
            <v>3.709206285253841E-2</v>
          </cell>
          <cell r="AX8">
            <v>1.8696127230787951E-2</v>
          </cell>
          <cell r="AY8">
            <v>-4.8027648671195355E-2</v>
          </cell>
          <cell r="BA8">
            <v>5.4534301452178413E-2</v>
          </cell>
          <cell r="BB8">
            <v>3.1412623076540802E-2</v>
          </cell>
          <cell r="BC8">
            <v>4.7624440795060563E-2</v>
          </cell>
          <cell r="BD8">
            <v>-6.2822456602944388E-2</v>
          </cell>
          <cell r="BF8">
            <v>-2.2718134062665873E-3</v>
          </cell>
          <cell r="BG8">
            <v>0.10929498963142303</v>
          </cell>
          <cell r="BH8">
            <v>4.385128693994278E-2</v>
          </cell>
          <cell r="BI8">
            <v>-4.3632673769660069E-2</v>
          </cell>
          <cell r="BK8">
            <v>1.1777188328912391E-2</v>
          </cell>
          <cell r="BL8">
            <v>4.4567953020134166E-2</v>
          </cell>
          <cell r="BM8">
            <v>7.459090452765782E-2</v>
          </cell>
          <cell r="BN8">
            <v>-7.754110612855003E-2</v>
          </cell>
          <cell r="BP8">
            <v>2.6939436905003111E-2</v>
          </cell>
          <cell r="BQ8">
            <v>5.9270216962524547E-2</v>
          </cell>
          <cell r="BR8">
            <v>4.7574713713806949E-2</v>
          </cell>
          <cell r="BS8">
            <v>-4.9857803057234307E-2</v>
          </cell>
          <cell r="BU8">
            <v>-2.5441960527546548E-2</v>
          </cell>
          <cell r="BV8">
            <v>9.2811210288895385E-2</v>
          </cell>
          <cell r="BW8">
            <v>3.2144739153346258E-2</v>
          </cell>
          <cell r="BX8">
            <v>-2.6889040163376454E-2</v>
          </cell>
          <cell r="BZ8">
            <v>-1.4865337530605149E-3</v>
          </cell>
          <cell r="CA8">
            <v>7.1634994307732791E-2</v>
          </cell>
          <cell r="CB8">
            <v>6.0390618615673741E-2</v>
          </cell>
          <cell r="CC8">
            <v>-2.7000847718865573E-2</v>
          </cell>
          <cell r="CE8">
            <v>1.296116782068113E-2</v>
          </cell>
          <cell r="CF8">
            <v>5.2498655123666138E-2</v>
          </cell>
          <cell r="CG8">
            <v>1.2191045042234006E-2</v>
          </cell>
          <cell r="CH8">
            <v>-2.2367518422288901E-2</v>
          </cell>
          <cell r="CQ8">
            <v>2.3063162898917616E-2</v>
          </cell>
          <cell r="CR8">
            <v>5.6258877798777272E-2</v>
          </cell>
          <cell r="CS8">
            <v>3.7025593969204705E-2</v>
          </cell>
          <cell r="CT8">
            <v>-5.6966395542209093E-2</v>
          </cell>
          <cell r="CV8">
            <v>2.3063162898917616E-2</v>
          </cell>
          <cell r="CW8">
            <v>5.6258877798777272E-2</v>
          </cell>
          <cell r="CX8">
            <v>3.7025593969204705E-2</v>
          </cell>
          <cell r="CY8">
            <v>-5.6966395542209093E-2</v>
          </cell>
          <cell r="CZ8">
            <v>0.28000000000000003</v>
          </cell>
          <cell r="DA8" t="str">
            <v>4-6%</v>
          </cell>
          <cell r="DB8">
            <v>1.4000000000000002E-2</v>
          </cell>
          <cell r="DD8" t="str">
            <v>Latin</v>
          </cell>
          <cell r="DE8">
            <v>0.28000000000000003</v>
          </cell>
          <cell r="DF8" t="str">
            <v>4-6%</v>
          </cell>
          <cell r="DG8">
            <v>1.4000000000000002E-2</v>
          </cell>
        </row>
        <row r="9">
          <cell r="A9" t="str">
            <v>Passenger Load Factor</v>
          </cell>
          <cell r="G9">
            <v>0.73222746742321965</v>
          </cell>
          <cell r="H9">
            <v>0.80490901680226101</v>
          </cell>
          <cell r="I9">
            <v>0.79766306112762608</v>
          </cell>
          <cell r="J9">
            <v>0.76378874513378725</v>
          </cell>
          <cell r="K9">
            <v>0.76699439247427159</v>
          </cell>
          <cell r="L9">
            <v>0.77985427255447437</v>
          </cell>
          <cell r="M9">
            <v>0.8077656734812686</v>
          </cell>
          <cell r="N9">
            <v>0.84132553323744519</v>
          </cell>
          <cell r="O9">
            <v>0.84774839331302143</v>
          </cell>
          <cell r="P9">
            <v>0.81830779094537864</v>
          </cell>
          <cell r="Q9">
            <v>0.82959701881252024</v>
          </cell>
          <cell r="R9">
            <v>0.81384106144093138</v>
          </cell>
          <cell r="S9">
            <v>0.85338293408776633</v>
          </cell>
          <cell r="T9">
            <v>0.87694937515537108</v>
          </cell>
          <cell r="U9">
            <v>0.83074804141919634</v>
          </cell>
          <cell r="V9">
            <v>0.8451156670983544</v>
          </cell>
          <cell r="W9">
            <v>0.79940239704920202</v>
          </cell>
          <cell r="X9">
            <v>0.84508444112313297</v>
          </cell>
          <cell r="Y9">
            <v>0.84938017198102067</v>
          </cell>
          <cell r="Z9">
            <v>0.8294547355629972</v>
          </cell>
          <cell r="AA9">
            <v>0.83180474739346866</v>
          </cell>
          <cell r="AB9">
            <v>0.85796589556311864</v>
          </cell>
          <cell r="AC9">
            <v>0.87658461906879692</v>
          </cell>
          <cell r="AD9">
            <v>0.86606767487983782</v>
          </cell>
          <cell r="AE9">
            <v>0.81131395720739752</v>
          </cell>
          <cell r="AF9">
            <v>0.85221182517354066</v>
          </cell>
          <cell r="AG9">
            <v>0.84172114946024024</v>
          </cell>
          <cell r="AH9">
            <v>0.82254929186337133</v>
          </cell>
          <cell r="AI9">
            <v>0.80429879262305959</v>
          </cell>
          <cell r="AJ9">
            <v>0.79664743061280574</v>
          </cell>
          <cell r="AK9">
            <v>0.81555571098831925</v>
          </cell>
          <cell r="AL9">
            <v>0.80624151967435553</v>
          </cell>
          <cell r="AM9">
            <v>0.83511033969749571</v>
          </cell>
          <cell r="AN9">
            <v>0.81962896469180135</v>
          </cell>
          <cell r="AO9">
            <v>0.76556144459509434</v>
          </cell>
          <cell r="AP9">
            <v>0.80670135406218657</v>
          </cell>
          <cell r="AQ9">
            <v>0.78177486599166168</v>
          </cell>
          <cell r="AR9">
            <v>0.80591673625193849</v>
          </cell>
          <cell r="AS9">
            <v>0.83983321069413785</v>
          </cell>
          <cell r="AT9">
            <v>0.78615179760319576</v>
          </cell>
          <cell r="AU9">
            <v>0.80361876579742308</v>
          </cell>
          <cell r="AV9">
            <v>0.76047542304593074</v>
          </cell>
          <cell r="AW9">
            <v>0.79458540730848615</v>
          </cell>
          <cell r="AX9">
            <v>0.83744488142056961</v>
          </cell>
          <cell r="AY9">
            <v>0.7940650976464696</v>
          </cell>
          <cell r="AZ9">
            <v>0.79718266253869963</v>
          </cell>
          <cell r="BA9">
            <v>0.76807536427331713</v>
          </cell>
          <cell r="BB9">
            <v>0.82022720858614562</v>
          </cell>
          <cell r="BC9">
            <v>0.8458580531751263</v>
          </cell>
          <cell r="BD9">
            <v>0.81874272437073481</v>
          </cell>
          <cell r="BE9">
            <v>0.81393322791092937</v>
          </cell>
          <cell r="BF9">
            <v>0.81351824168108067</v>
          </cell>
          <cell r="BG9">
            <v>0.81474420082618371</v>
          </cell>
          <cell r="BH9">
            <v>0.84545915778792491</v>
          </cell>
          <cell r="BI9">
            <v>0.82228116710875332</v>
          </cell>
          <cell r="BJ9">
            <v>0.82450192927762767</v>
          </cell>
          <cell r="BK9">
            <v>0.82927852348993292</v>
          </cell>
          <cell r="BL9">
            <v>0.85302680453769697</v>
          </cell>
          <cell r="BM9">
            <v>0.84781390134529144</v>
          </cell>
          <cell r="BN9">
            <v>0.81861454324488558</v>
          </cell>
          <cell r="BO9">
            <v>0.8375046787273861</v>
          </cell>
          <cell r="BP9">
            <v>0.83885601577909275</v>
          </cell>
          <cell r="BQ9">
            <v>0.84861744716506848</v>
          </cell>
          <cell r="BR9">
            <v>0.8497156061144685</v>
          </cell>
          <cell r="BS9">
            <v>0.80946590590216072</v>
          </cell>
          <cell r="BT9">
            <v>0.83682047450028019</v>
          </cell>
          <cell r="BU9">
            <v>0.83136577406660905</v>
          </cell>
          <cell r="BV9">
            <v>0.84595116810117688</v>
          </cell>
          <cell r="BW9">
            <v>0.86172566371681414</v>
          </cell>
          <cell r="BX9">
            <v>0.82126617698495974</v>
          </cell>
          <cell r="BY9">
            <v>0.84041962082990684</v>
          </cell>
          <cell r="BZ9">
            <v>0.84263070321394162</v>
          </cell>
          <cell r="CA9">
            <v>0.85576530195309308</v>
          </cell>
          <cell r="CB9">
            <v>0.85257398273736129</v>
          </cell>
          <cell r="CC9">
            <v>0.83592487254306458</v>
          </cell>
          <cell r="CD9">
            <v>0.84679425446251111</v>
          </cell>
          <cell r="CE9">
            <v>0.84263070321394162</v>
          </cell>
          <cell r="CF9">
            <v>0.85576530195309308</v>
          </cell>
          <cell r="CG9">
            <v>0.85257398273736129</v>
          </cell>
          <cell r="CH9">
            <v>0.83592487254306458</v>
          </cell>
          <cell r="CI9">
            <v>0.84682197745207866</v>
          </cell>
          <cell r="CN9">
            <v>0.84682197745207866</v>
          </cell>
          <cell r="CS9">
            <v>0.84682197745207866</v>
          </cell>
          <cell r="CY9" t="str">
            <v>East</v>
          </cell>
          <cell r="CZ9" t="str">
            <v>100 bps below 1Q for Jonas</v>
          </cell>
          <cell r="DA9" t="str">
            <v>4-6%</v>
          </cell>
          <cell r="DB9">
            <v>2.5000000000000005E-3</v>
          </cell>
          <cell r="DD9" t="str">
            <v>East</v>
          </cell>
          <cell r="DE9">
            <v>0.05</v>
          </cell>
          <cell r="DF9" t="str">
            <v>4-6%</v>
          </cell>
          <cell r="DG9">
            <v>2.5000000000000005E-3</v>
          </cell>
        </row>
        <row r="10">
          <cell r="A10" t="str">
            <v>YoY Pt. Chg.</v>
          </cell>
          <cell r="L10">
            <v>4.7626805131254724</v>
          </cell>
          <cell r="M10">
            <v>0.28566566790075854</v>
          </cell>
          <cell r="N10">
            <v>4.3662472109819106</v>
          </cell>
          <cell r="O10">
            <v>8.3959648179234172</v>
          </cell>
          <cell r="P10">
            <v>5.1313398471107057</v>
          </cell>
          <cell r="Q10">
            <v>4.9742746258045862</v>
          </cell>
          <cell r="R10">
            <v>0.60753879596627813</v>
          </cell>
          <cell r="S10">
            <v>1.2057400850321143</v>
          </cell>
          <cell r="T10">
            <v>2.9200981842349649</v>
          </cell>
          <cell r="U10">
            <v>1.2440250473817693</v>
          </cell>
          <cell r="V10">
            <v>1.5518648285834158</v>
          </cell>
          <cell r="W10">
            <v>-1.4438664391729361</v>
          </cell>
          <cell r="X10">
            <v>-0.82984929646333638</v>
          </cell>
          <cell r="Y10">
            <v>-2.756920317435041</v>
          </cell>
          <cell r="Z10">
            <v>-0.1293305856199134</v>
          </cell>
          <cell r="AA10">
            <v>-1.3310919704885738</v>
          </cell>
          <cell r="AB10">
            <v>5.8563498513916628</v>
          </cell>
          <cell r="AC10">
            <v>3.1500177945663954</v>
          </cell>
          <cell r="AD10">
            <v>1.6687502898817153</v>
          </cell>
          <cell r="AE10">
            <v>-1.8140778355599685</v>
          </cell>
          <cell r="AF10">
            <v>2.0407077780072003</v>
          </cell>
          <cell r="AG10">
            <v>-1.6244746102878405</v>
          </cell>
          <cell r="AH10">
            <v>-5.4035327205425592</v>
          </cell>
          <cell r="AI10">
            <v>-6.176888225677823</v>
          </cell>
          <cell r="AJ10">
            <v>-1.4666526594591778</v>
          </cell>
          <cell r="AK10">
            <v>-3.6656114185221411</v>
          </cell>
          <cell r="AL10">
            <v>-3.5479629785884703</v>
          </cell>
          <cell r="AM10">
            <v>1.2561047834124373</v>
          </cell>
          <cell r="AN10">
            <v>1.5330172068741765</v>
          </cell>
          <cell r="AO10">
            <v>-3.1085986017711398</v>
          </cell>
          <cell r="AP10">
            <v>-0.88543569261326782</v>
          </cell>
          <cell r="AQ10">
            <v>-2.4466653682693851</v>
          </cell>
          <cell r="AR10">
            <v>-2.9193603445557215</v>
          </cell>
          <cell r="AS10">
            <v>2.0204246002336501</v>
          </cell>
          <cell r="AT10">
            <v>2.0590353008101414</v>
          </cell>
          <cell r="AU10">
            <v>-0.30825882647634861</v>
          </cell>
          <cell r="AV10">
            <v>-2.129944294573094</v>
          </cell>
          <cell r="AW10">
            <v>-1.1331328943452346</v>
          </cell>
          <cell r="AX10">
            <v>-0.2388329273568246</v>
          </cell>
          <cell r="AY10">
            <v>0.7913300043273841</v>
          </cell>
          <cell r="AZ10">
            <v>-0.64361032587234579</v>
          </cell>
          <cell r="BA10">
            <v>0.75999412273863864</v>
          </cell>
          <cell r="BB10">
            <v>2.5641801277659471</v>
          </cell>
          <cell r="BC10">
            <v>0.8413171754556692</v>
          </cell>
          <cell r="BD10">
            <v>2.4677626724265211</v>
          </cell>
          <cell r="BE10">
            <v>1.6750565372229742</v>
          </cell>
          <cell r="BF10">
            <v>4.5442877407763538</v>
          </cell>
          <cell r="BG10">
            <v>-0.54830077599619109</v>
          </cell>
          <cell r="BH10">
            <v>-3.9889538720139228E-2</v>
          </cell>
          <cell r="BI10">
            <v>0.35384427380185102</v>
          </cell>
          <cell r="BJ10">
            <v>1.0568701366698297</v>
          </cell>
          <cell r="BK10">
            <v>1.576028180885225</v>
          </cell>
          <cell r="BL10">
            <v>3.8282603711513263</v>
          </cell>
          <cell r="BM10">
            <v>0.23547435573665343</v>
          </cell>
          <cell r="BN10">
            <v>-0.36666238638677351</v>
          </cell>
          <cell r="BO10">
            <v>1.3002749449758433</v>
          </cell>
          <cell r="BP10">
            <v>0.9577492289159828</v>
          </cell>
          <cell r="BQ10">
            <v>-0.44093573726284863</v>
          </cell>
          <cell r="BR10">
            <v>0.19017047691770594</v>
          </cell>
          <cell r="BS10">
            <v>-0.91486373427248635</v>
          </cell>
          <cell r="BT10">
            <v>-6.8420422710591122E-2</v>
          </cell>
          <cell r="BU10">
            <v>-0.74902417124836917</v>
          </cell>
          <cell r="BV10">
            <v>-0.26662790638916078</v>
          </cell>
          <cell r="BW10">
            <v>1.2010057602345636</v>
          </cell>
          <cell r="BX10">
            <v>1.1800271082799019</v>
          </cell>
          <cell r="BY10">
            <v>0.35991463296266568</v>
          </cell>
          <cell r="BZ10">
            <v>1.126492914733257</v>
          </cell>
          <cell r="CA10">
            <v>0.98141338519162069</v>
          </cell>
          <cell r="CB10">
            <v>-0.91516809794528475</v>
          </cell>
          <cell r="CC10">
            <v>1.4658695558104839</v>
          </cell>
          <cell r="CD10">
            <v>0.63746336326042652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2.7722989567546819E-3</v>
          </cell>
          <cell r="CN10">
            <v>0</v>
          </cell>
          <cell r="CS10">
            <v>0</v>
          </cell>
          <cell r="CY10" t="str">
            <v>West</v>
          </cell>
          <cell r="CZ10">
            <v>0.03</v>
          </cell>
          <cell r="DA10" t="str">
            <v>3-5%</v>
          </cell>
          <cell r="DB10">
            <v>1.1999999999999999E-3</v>
          </cell>
          <cell r="DD10" t="str">
            <v>West</v>
          </cell>
          <cell r="DE10">
            <v>0.03</v>
          </cell>
          <cell r="DF10" t="str">
            <v>3-5%</v>
          </cell>
          <cell r="DG10">
            <v>1.1999999999999999E-3</v>
          </cell>
        </row>
        <row r="11">
          <cell r="A11" t="str">
            <v>Departures</v>
          </cell>
          <cell r="G11">
            <v>10265</v>
          </cell>
          <cell r="H11">
            <v>5283</v>
          </cell>
          <cell r="I11">
            <v>6332</v>
          </cell>
          <cell r="J11">
            <v>6936</v>
          </cell>
          <cell r="K11">
            <v>7783</v>
          </cell>
          <cell r="L11">
            <v>26334</v>
          </cell>
          <cell r="M11">
            <v>9439</v>
          </cell>
          <cell r="N11">
            <v>10090</v>
          </cell>
          <cell r="O11">
            <v>11245</v>
          </cell>
          <cell r="P11">
            <v>13370</v>
          </cell>
          <cell r="Q11">
            <v>44144</v>
          </cell>
          <cell r="R11">
            <v>15411</v>
          </cell>
          <cell r="S11">
            <v>16133</v>
          </cell>
          <cell r="T11">
            <v>17175</v>
          </cell>
          <cell r="U11">
            <v>18201</v>
          </cell>
          <cell r="V11">
            <v>66920</v>
          </cell>
          <cell r="W11">
            <v>20845</v>
          </cell>
          <cell r="X11">
            <v>22145</v>
          </cell>
          <cell r="Y11">
            <v>22893</v>
          </cell>
          <cell r="Z11">
            <v>24649</v>
          </cell>
          <cell r="AA11">
            <v>90532</v>
          </cell>
          <cell r="AB11">
            <v>25637</v>
          </cell>
          <cell r="AC11">
            <v>27382</v>
          </cell>
          <cell r="AD11">
            <v>28104</v>
          </cell>
          <cell r="AE11">
            <v>30886</v>
          </cell>
          <cell r="AF11">
            <v>112009</v>
          </cell>
          <cell r="AG11">
            <v>34417</v>
          </cell>
          <cell r="AH11">
            <v>37688</v>
          </cell>
          <cell r="AI11">
            <v>42311</v>
          </cell>
          <cell r="AJ11">
            <v>44736</v>
          </cell>
          <cell r="AK11">
            <v>159152</v>
          </cell>
          <cell r="AL11">
            <v>46574</v>
          </cell>
          <cell r="AM11">
            <v>49513</v>
          </cell>
          <cell r="AN11">
            <v>50233</v>
          </cell>
          <cell r="AO11">
            <v>50274</v>
          </cell>
          <cell r="AP11">
            <v>196594</v>
          </cell>
          <cell r="AQ11">
            <v>52265</v>
          </cell>
          <cell r="AR11">
            <v>52236</v>
          </cell>
          <cell r="AS11">
            <v>51125</v>
          </cell>
          <cell r="AT11">
            <v>49763</v>
          </cell>
          <cell r="AU11">
            <v>205389</v>
          </cell>
          <cell r="AV11">
            <v>53014</v>
          </cell>
          <cell r="AW11">
            <v>54885</v>
          </cell>
          <cell r="AX11">
            <v>55420</v>
          </cell>
          <cell r="AY11">
            <v>52207</v>
          </cell>
          <cell r="AZ11">
            <v>215526</v>
          </cell>
          <cell r="BA11">
            <v>54367</v>
          </cell>
          <cell r="BB11">
            <v>56202</v>
          </cell>
          <cell r="BC11">
            <v>58935</v>
          </cell>
          <cell r="BD11">
            <v>55997</v>
          </cell>
          <cell r="BE11">
            <v>225501</v>
          </cell>
          <cell r="BF11">
            <v>56706</v>
          </cell>
          <cell r="BG11">
            <v>61632</v>
          </cell>
          <cell r="BH11">
            <v>63099</v>
          </cell>
          <cell r="BI11">
            <v>62009</v>
          </cell>
          <cell r="BJ11">
            <v>243446</v>
          </cell>
          <cell r="BK11">
            <v>63546</v>
          </cell>
          <cell r="BL11">
            <v>66067</v>
          </cell>
          <cell r="BM11">
            <v>69925</v>
          </cell>
          <cell r="BN11">
            <v>65062</v>
          </cell>
          <cell r="BO11">
            <v>264600</v>
          </cell>
          <cell r="BP11">
            <v>66773</v>
          </cell>
          <cell r="BQ11">
            <v>70722</v>
          </cell>
          <cell r="BR11">
            <v>74206</v>
          </cell>
          <cell r="BS11">
            <v>70432</v>
          </cell>
          <cell r="BT11">
            <v>282133</v>
          </cell>
          <cell r="BU11">
            <v>68152</v>
          </cell>
          <cell r="BV11">
            <v>74917</v>
          </cell>
          <cell r="BW11">
            <v>77205</v>
          </cell>
          <cell r="BX11">
            <v>74526</v>
          </cell>
          <cell r="BY11">
            <v>294800</v>
          </cell>
          <cell r="BZ11">
            <v>73823</v>
          </cell>
          <cell r="CA11">
            <v>79558</v>
          </cell>
          <cell r="CB11">
            <v>82989</v>
          </cell>
          <cell r="CC11">
            <v>80135</v>
          </cell>
          <cell r="CD11">
            <v>316505</v>
          </cell>
          <cell r="CE11">
            <v>81943.530000000013</v>
          </cell>
          <cell r="CF11">
            <v>86718.22</v>
          </cell>
          <cell r="CG11">
            <v>86308.56</v>
          </cell>
          <cell r="CH11">
            <v>83741.074999999997</v>
          </cell>
          <cell r="CI11">
            <v>338711.38500000001</v>
          </cell>
          <cell r="CN11">
            <v>362421.18195000006</v>
          </cell>
          <cell r="CS11">
            <v>387790.66468650009</v>
          </cell>
          <cell r="CY11" t="str">
            <v>Central</v>
          </cell>
          <cell r="CZ11">
            <v>0.04</v>
          </cell>
          <cell r="DA11" t="str">
            <v>(3)-(5)%</v>
          </cell>
          <cell r="DB11">
            <v>-1.6000000000000001E-3</v>
          </cell>
          <cell r="DD11" t="str">
            <v>Central</v>
          </cell>
          <cell r="DE11">
            <v>0.04</v>
          </cell>
          <cell r="DF11" t="str">
            <v>(3)-(5)%</v>
          </cell>
          <cell r="DG11">
            <v>-1.6000000000000001E-3</v>
          </cell>
          <cell r="DH11" t="b">
            <v>0</v>
          </cell>
          <cell r="DI11" t="b">
            <v>0</v>
          </cell>
          <cell r="DJ11" t="str">
            <v>mstag:departures</v>
          </cell>
          <cell r="DK11">
            <v>0</v>
          </cell>
          <cell r="DL11" t="str">
            <v>ms_eqr_gcim_Decimal:ms_eqr_gcim_decimal</v>
          </cell>
          <cell r="DM11" t="b">
            <v>0</v>
          </cell>
          <cell r="DN11" t="b">
            <v>0</v>
          </cell>
        </row>
        <row r="12">
          <cell r="A12" t="str">
            <v>YoY % Chg.</v>
          </cell>
          <cell r="L12">
            <v>1.5654164637116414</v>
          </cell>
          <cell r="M12">
            <v>0.7866742381222791</v>
          </cell>
          <cell r="N12">
            <v>0.59349336702463673</v>
          </cell>
          <cell r="O12">
            <v>0.62125144175317182</v>
          </cell>
          <cell r="P12">
            <v>0.71784658871900286</v>
          </cell>
          <cell r="Q12">
            <v>0.67631199210146575</v>
          </cell>
          <cell r="R12">
            <v>0.63269414132853052</v>
          </cell>
          <cell r="S12">
            <v>0.59890981169474733</v>
          </cell>
          <cell r="T12">
            <v>0.52734548688305916</v>
          </cell>
          <cell r="U12">
            <v>0.36133133881824975</v>
          </cell>
          <cell r="V12">
            <v>0.51594780717651334</v>
          </cell>
          <cell r="W12">
            <v>0.35260528194147045</v>
          </cell>
          <cell r="X12">
            <v>0.37265232752742827</v>
          </cell>
          <cell r="Y12">
            <v>0.33292576419213971</v>
          </cell>
          <cell r="Z12">
            <v>0.35426624910719196</v>
          </cell>
          <cell r="AA12">
            <v>0.35283921099820681</v>
          </cell>
          <cell r="AB12">
            <v>0.22988726313264563</v>
          </cell>
          <cell r="AC12">
            <v>0.23648679160081287</v>
          </cell>
          <cell r="AD12">
            <v>0.22762416459179668</v>
          </cell>
          <cell r="AE12">
            <v>0.25303257738650653</v>
          </cell>
          <cell r="AF12">
            <v>0.23723103433040249</v>
          </cell>
          <cell r="AG12">
            <v>0.3424737683816359</v>
          </cell>
          <cell r="AH12">
            <v>0.37637864290409762</v>
          </cell>
          <cell r="AI12">
            <v>0.50551522914887559</v>
          </cell>
          <cell r="AJ12">
            <v>0.44842323382762417</v>
          </cell>
          <cell r="AK12">
            <v>0.42088582167504396</v>
          </cell>
          <cell r="AL12">
            <v>0.35322660313217313</v>
          </cell>
          <cell r="AM12">
            <v>0.31376034812141795</v>
          </cell>
          <cell r="AN12">
            <v>0.18723263453948147</v>
          </cell>
          <cell r="AO12">
            <v>0.12379291845493556</v>
          </cell>
          <cell r="AP12">
            <v>0.23525937468583491</v>
          </cell>
          <cell r="AQ12">
            <v>0.12219263967020222</v>
          </cell>
          <cell r="AR12">
            <v>5.4995657706057077E-2</v>
          </cell>
          <cell r="AS12">
            <v>1.7757251209364444E-2</v>
          </cell>
          <cell r="AT12">
            <v>-1.016429963798382E-2</v>
          </cell>
          <cell r="AU12">
            <v>4.4736868876974922E-2</v>
          </cell>
          <cell r="AV12">
            <v>1.4330814120348201E-2</v>
          </cell>
          <cell r="AW12">
            <v>5.0712152538479272E-2</v>
          </cell>
          <cell r="AX12">
            <v>8.400977995110015E-2</v>
          </cell>
          <cell r="AY12">
            <v>4.9112794646624991E-2</v>
          </cell>
          <cell r="AZ12">
            <v>4.9355126126520821E-2</v>
          </cell>
          <cell r="BA12">
            <v>2.5521560342550931E-2</v>
          </cell>
          <cell r="BB12">
            <v>2.3995627220552151E-2</v>
          </cell>
          <cell r="BC12">
            <v>6.3424756405629834E-2</v>
          </cell>
          <cell r="BD12">
            <v>7.2595628938648016E-2</v>
          </cell>
          <cell r="BE12">
            <v>4.6282119094680052E-2</v>
          </cell>
          <cell r="BF12">
            <v>4.3022421689627999E-2</v>
          </cell>
          <cell r="BG12">
            <v>9.6615778797907614E-2</v>
          </cell>
          <cell r="BH12">
            <v>7.0654110460677044E-2</v>
          </cell>
          <cell r="BI12">
            <v>0.10736289444077363</v>
          </cell>
          <cell r="BJ12">
            <v>7.9578361071569459E-2</v>
          </cell>
          <cell r="BK12">
            <v>0.12062215638556761</v>
          </cell>
          <cell r="BL12">
            <v>7.19593717549325E-2</v>
          </cell>
          <cell r="BM12">
            <v>0.10817921044707512</v>
          </cell>
          <cell r="BN12">
            <v>4.9234788498443871E-2</v>
          </cell>
          <cell r="BO12">
            <v>8.6894013456783048E-2</v>
          </cell>
          <cell r="BP12">
            <v>5.0782110597047847E-2</v>
          </cell>
          <cell r="BQ12">
            <v>7.0458776696384007E-2</v>
          </cell>
          <cell r="BR12">
            <v>6.1222738648551989E-2</v>
          </cell>
          <cell r="BS12">
            <v>8.2536657342227482E-2</v>
          </cell>
          <cell r="BT12">
            <v>6.6262282690854102E-2</v>
          </cell>
          <cell r="BU12">
            <v>2.0652059964356928E-2</v>
          </cell>
          <cell r="BV12">
            <v>5.9316761403806373E-2</v>
          </cell>
          <cell r="BW12">
            <v>4.0414521736786835E-2</v>
          </cell>
          <cell r="BX12">
            <v>5.8126987732848745E-2</v>
          </cell>
          <cell r="BY12">
            <v>4.4897264765199285E-2</v>
          </cell>
          <cell r="BZ12">
            <v>8.3211057635872665E-2</v>
          </cell>
          <cell r="CA12">
            <v>6.1948556402418697E-2</v>
          </cell>
          <cell r="CB12">
            <v>7.4917427627744226E-2</v>
          </cell>
          <cell r="CC12">
            <v>7.5262324557872518E-2</v>
          </cell>
          <cell r="CD12">
            <v>7.3626187245590335E-2</v>
          </cell>
          <cell r="CE12">
            <v>0.11</v>
          </cell>
          <cell r="CF12">
            <v>9.0000000000000011E-2</v>
          </cell>
          <cell r="CG12">
            <v>0.04</v>
          </cell>
          <cell r="CH12">
            <v>4.4999999999999998E-2</v>
          </cell>
          <cell r="CI12">
            <v>7.0161245477954548E-2</v>
          </cell>
          <cell r="CN12">
            <v>7.0000000000000007E-2</v>
          </cell>
          <cell r="CS12">
            <v>7.0000000000000007E-2</v>
          </cell>
          <cell r="CZ12">
            <v>1</v>
          </cell>
          <cell r="DB12">
            <v>8.0199999999999994E-2</v>
          </cell>
          <cell r="DE12">
            <v>1</v>
          </cell>
          <cell r="DG12">
            <v>8.0199999999999994E-2</v>
          </cell>
        </row>
        <row r="13">
          <cell r="A13" t="str">
            <v>Average Stage Length</v>
          </cell>
          <cell r="G13">
            <v>825</v>
          </cell>
          <cell r="H13">
            <v>871</v>
          </cell>
          <cell r="I13">
            <v>937</v>
          </cell>
          <cell r="J13">
            <v>1007</v>
          </cell>
          <cell r="K13">
            <v>1087</v>
          </cell>
          <cell r="L13">
            <v>986</v>
          </cell>
          <cell r="M13">
            <v>1056</v>
          </cell>
          <cell r="N13">
            <v>1182</v>
          </cell>
          <cell r="O13">
            <v>1223</v>
          </cell>
          <cell r="P13">
            <v>1138</v>
          </cell>
          <cell r="Q13">
            <v>1175</v>
          </cell>
          <cell r="R13">
            <v>1169</v>
          </cell>
          <cell r="S13">
            <v>1253</v>
          </cell>
          <cell r="T13">
            <v>1267</v>
          </cell>
          <cell r="U13">
            <v>1318</v>
          </cell>
          <cell r="V13">
            <v>1251.75</v>
          </cell>
          <cell r="W13">
            <v>1297</v>
          </cell>
          <cell r="X13">
            <v>1348</v>
          </cell>
          <cell r="Y13">
            <v>1383</v>
          </cell>
          <cell r="Z13">
            <v>1325</v>
          </cell>
          <cell r="AA13">
            <v>1338.25</v>
          </cell>
          <cell r="AB13">
            <v>1292</v>
          </cell>
          <cell r="AC13">
            <v>1369</v>
          </cell>
          <cell r="AD13">
            <v>1444</v>
          </cell>
          <cell r="AE13">
            <v>1324</v>
          </cell>
          <cell r="AF13">
            <v>1357.25</v>
          </cell>
          <cell r="AG13">
            <v>1246</v>
          </cell>
          <cell r="AH13">
            <v>1253</v>
          </cell>
          <cell r="AI13">
            <v>1181</v>
          </cell>
          <cell r="AJ13">
            <v>1087</v>
          </cell>
          <cell r="AK13">
            <v>1191.75</v>
          </cell>
          <cell r="AL13">
            <v>1086</v>
          </cell>
          <cell r="AM13">
            <v>1135</v>
          </cell>
          <cell r="AN13">
            <v>1161</v>
          </cell>
          <cell r="AO13">
            <v>1133</v>
          </cell>
          <cell r="AP13">
            <v>1128.75</v>
          </cell>
          <cell r="AQ13">
            <v>1131</v>
          </cell>
          <cell r="AR13">
            <v>1138</v>
          </cell>
          <cell r="AS13">
            <v>1132</v>
          </cell>
          <cell r="AT13">
            <v>1075</v>
          </cell>
          <cell r="AU13">
            <v>1119</v>
          </cell>
          <cell r="AV13">
            <v>1064</v>
          </cell>
          <cell r="AW13">
            <v>1067</v>
          </cell>
          <cell r="AX13">
            <v>1081</v>
          </cell>
          <cell r="AY13">
            <v>1091</v>
          </cell>
          <cell r="AZ13">
            <v>1075.75</v>
          </cell>
          <cell r="BA13">
            <v>1102</v>
          </cell>
          <cell r="BB13">
            <v>1102</v>
          </cell>
          <cell r="BC13">
            <v>1103</v>
          </cell>
          <cell r="BD13">
            <v>1093</v>
          </cell>
          <cell r="BE13">
            <v>1100</v>
          </cell>
          <cell r="BF13">
            <v>1075</v>
          </cell>
          <cell r="BG13">
            <v>1091</v>
          </cell>
          <cell r="BH13">
            <v>1108</v>
          </cell>
          <cell r="BI13">
            <v>1090</v>
          </cell>
          <cell r="BJ13">
            <v>1091</v>
          </cell>
          <cell r="BK13">
            <v>1077</v>
          </cell>
          <cell r="BL13">
            <v>1081</v>
          </cell>
          <cell r="BM13">
            <v>1094</v>
          </cell>
          <cell r="BN13">
            <v>1089</v>
          </cell>
          <cell r="BO13">
            <v>1085.25</v>
          </cell>
          <cell r="BP13">
            <v>1092</v>
          </cell>
          <cell r="BQ13">
            <v>1088</v>
          </cell>
          <cell r="BR13">
            <v>1085</v>
          </cell>
          <cell r="BS13">
            <v>1095</v>
          </cell>
          <cell r="BT13">
            <v>1090</v>
          </cell>
          <cell r="BU13">
            <v>1095</v>
          </cell>
          <cell r="BV13">
            <v>1088</v>
          </cell>
          <cell r="BW13">
            <v>1082</v>
          </cell>
          <cell r="BX13">
            <v>1088</v>
          </cell>
          <cell r="BY13">
            <v>1088.25</v>
          </cell>
          <cell r="BZ13">
            <v>1097</v>
          </cell>
          <cell r="CA13">
            <v>1085</v>
          </cell>
          <cell r="CB13">
            <v>1094</v>
          </cell>
          <cell r="CC13">
            <v>1093</v>
          </cell>
          <cell r="CD13">
            <v>1092.25</v>
          </cell>
          <cell r="CE13">
            <v>1107.97</v>
          </cell>
          <cell r="CF13">
            <v>1095.8499999999999</v>
          </cell>
          <cell r="CG13">
            <v>1104.94</v>
          </cell>
          <cell r="CH13">
            <v>1103.93</v>
          </cell>
          <cell r="CI13">
            <v>1103.1724999999999</v>
          </cell>
          <cell r="CN13">
            <v>1114.204225</v>
          </cell>
          <cell r="CS13">
            <v>1125.34626725</v>
          </cell>
          <cell r="CU13" t="str">
            <v>7/28: 3Q15 1,096, FY15 1,095</v>
          </cell>
          <cell r="CZ13" t="str">
            <v>10/27: 4Q15 1,096, FY15 1,093</v>
          </cell>
          <cell r="DE13" t="str">
            <v>mstag:stageLength</v>
          </cell>
          <cell r="DF13">
            <v>0</v>
          </cell>
          <cell r="DG13" t="str">
            <v>length:miles</v>
          </cell>
          <cell r="DH13" t="b">
            <v>0</v>
          </cell>
          <cell r="DI13" t="b">
            <v>0</v>
          </cell>
          <cell r="DJ13" t="str">
            <v>mstag:stageLength</v>
          </cell>
          <cell r="DK13">
            <v>0</v>
          </cell>
          <cell r="DL13" t="str">
            <v>length:miles</v>
          </cell>
          <cell r="DM13" t="b">
            <v>0</v>
          </cell>
          <cell r="DN13" t="b">
            <v>0</v>
          </cell>
        </row>
        <row r="14">
          <cell r="A14" t="str">
            <v>YoY % Chg.</v>
          </cell>
          <cell r="L14">
            <v>0.19515151515151508</v>
          </cell>
          <cell r="M14">
            <v>0.21239954075774969</v>
          </cell>
          <cell r="N14">
            <v>0.26147278548559227</v>
          </cell>
          <cell r="O14">
            <v>0.21449851042701096</v>
          </cell>
          <cell r="P14">
            <v>4.6918123275069057E-2</v>
          </cell>
          <cell r="Q14">
            <v>0.19168356997971592</v>
          </cell>
          <cell r="R14">
            <v>0.10700757575757569</v>
          </cell>
          <cell r="S14">
            <v>6.006768189509315E-2</v>
          </cell>
          <cell r="T14">
            <v>3.5977105478331994E-2</v>
          </cell>
          <cell r="U14">
            <v>0.15817223198594021</v>
          </cell>
          <cell r="V14">
            <v>6.531914893617019E-2</v>
          </cell>
          <cell r="W14">
            <v>0.10949529512403755</v>
          </cell>
          <cell r="X14">
            <v>7.5818036711891468E-2</v>
          </cell>
          <cell r="Y14">
            <v>9.1554853985793105E-2</v>
          </cell>
          <cell r="Z14">
            <v>5.3110773899849306E-3</v>
          </cell>
          <cell r="AA14">
            <v>6.9103255442380718E-2</v>
          </cell>
          <cell r="AB14">
            <v>-3.8550501156514594E-3</v>
          </cell>
          <cell r="AC14">
            <v>1.5578635014836806E-2</v>
          </cell>
          <cell r="AD14">
            <v>4.4107013738250211E-2</v>
          </cell>
          <cell r="AE14">
            <v>-7.547169811320531E-4</v>
          </cell>
          <cell r="AF14">
            <v>1.419764617971242E-2</v>
          </cell>
          <cell r="AG14">
            <v>-3.5603715170278605E-2</v>
          </cell>
          <cell r="AH14">
            <v>-8.4733382030679372E-2</v>
          </cell>
          <cell r="AI14">
            <v>-0.18213296398891965</v>
          </cell>
          <cell r="AJ14">
            <v>-0.17900302114803623</v>
          </cell>
          <cell r="AK14">
            <v>-0.12193774175722971</v>
          </cell>
          <cell r="AL14">
            <v>-0.1284109149277689</v>
          </cell>
          <cell r="AM14">
            <v>-9.4173982442138815E-2</v>
          </cell>
          <cell r="AN14">
            <v>-1.6934801016088019E-2</v>
          </cell>
          <cell r="AO14">
            <v>4.2318307267709354E-2</v>
          </cell>
          <cell r="AP14">
            <v>-5.2863436123347984E-2</v>
          </cell>
          <cell r="AQ14">
            <v>4.143646408839774E-2</v>
          </cell>
          <cell r="AR14">
            <v>2.6431718061674658E-3</v>
          </cell>
          <cell r="AS14">
            <v>-2.4978466838931901E-2</v>
          </cell>
          <cell r="AT14">
            <v>-5.1191526919682206E-2</v>
          </cell>
          <cell r="AU14">
            <v>-8.6378737541528139E-3</v>
          </cell>
          <cell r="AV14">
            <v>-5.9239610963748857E-2</v>
          </cell>
          <cell r="AW14">
            <v>-6.2390158172232035E-2</v>
          </cell>
          <cell r="AX14">
            <v>-4.5053003533568892E-2</v>
          </cell>
          <cell r="AY14">
            <v>1.4883720930232602E-2</v>
          </cell>
          <cell r="AZ14">
            <v>-3.8650580875781992E-2</v>
          </cell>
          <cell r="BA14">
            <v>3.5714285714285809E-2</v>
          </cell>
          <cell r="BB14">
            <v>3.2802249297094743E-2</v>
          </cell>
          <cell r="BC14">
            <v>2.0351526364477346E-2</v>
          </cell>
          <cell r="BD14">
            <v>1.8331805682860747E-3</v>
          </cell>
          <cell r="BE14">
            <v>2.2542412270508905E-2</v>
          </cell>
          <cell r="BF14">
            <v>-2.4500907441016295E-2</v>
          </cell>
          <cell r="BG14">
            <v>-9.9818511796733178E-3</v>
          </cell>
          <cell r="BH14">
            <v>4.5330915684496098E-3</v>
          </cell>
          <cell r="BI14">
            <v>-2.7447392497712553E-3</v>
          </cell>
          <cell r="BJ14">
            <v>-8.181818181818179E-3</v>
          </cell>
          <cell r="BK14">
            <v>1.8604651162790198E-3</v>
          </cell>
          <cell r="BL14">
            <v>-9.1659028414299293E-3</v>
          </cell>
          <cell r="BM14">
            <v>-1.2635379061371799E-2</v>
          </cell>
          <cell r="BN14">
            <v>-9.1743119266052275E-4</v>
          </cell>
          <cell r="BO14">
            <v>-5.2703941338221316E-3</v>
          </cell>
          <cell r="BP14">
            <v>1.3927576601671321E-2</v>
          </cell>
          <cell r="BQ14">
            <v>6.4754856614246403E-3</v>
          </cell>
          <cell r="BR14">
            <v>-8.2266910420475403E-3</v>
          </cell>
          <cell r="BS14">
            <v>5.5096418732782926E-3</v>
          </cell>
          <cell r="BT14">
            <v>4.3768716885510539E-3</v>
          </cell>
          <cell r="BU14">
            <v>2.7472527472527375E-3</v>
          </cell>
          <cell r="BV14">
            <v>0</v>
          </cell>
          <cell r="BW14">
            <v>-2.7649769585254003E-3</v>
          </cell>
          <cell r="BX14">
            <v>-6.3926940639269514E-3</v>
          </cell>
          <cell r="BY14">
            <v>-1.6055045871559148E-3</v>
          </cell>
          <cell r="BZ14">
            <v>1.8264840182649067E-3</v>
          </cell>
          <cell r="CA14">
            <v>-2.7573529411765163E-3</v>
          </cell>
          <cell r="CB14">
            <v>1.109057301293892E-2</v>
          </cell>
          <cell r="CC14">
            <v>4.5955882352941568E-3</v>
          </cell>
          <cell r="CD14">
            <v>3.6756260050538891E-3</v>
          </cell>
          <cell r="CE14">
            <v>0.01</v>
          </cell>
          <cell r="CF14">
            <v>0.01</v>
          </cell>
          <cell r="CG14">
            <v>0.01</v>
          </cell>
          <cell r="CH14">
            <v>0.01</v>
          </cell>
          <cell r="CI14">
            <v>1.0000000000000009E-2</v>
          </cell>
          <cell r="CN14">
            <v>0.01</v>
          </cell>
          <cell r="CS14">
            <v>0.01</v>
          </cell>
        </row>
        <row r="15">
          <cell r="A15" t="str">
            <v>Revenue Passengers (mm)</v>
          </cell>
          <cell r="F15">
            <v>0.52324599999999999</v>
          </cell>
          <cell r="H15">
            <v>0.64441899999999996</v>
          </cell>
          <cell r="I15">
            <v>0.75393699999999997</v>
          </cell>
          <cell r="J15">
            <v>0.791551</v>
          </cell>
          <cell r="K15">
            <v>0.92691000000000001</v>
          </cell>
          <cell r="L15">
            <v>3.1168169999999997</v>
          </cell>
          <cell r="M15">
            <v>1.180917</v>
          </cell>
          <cell r="N15">
            <v>1.3329059999999999</v>
          </cell>
          <cell r="O15">
            <v>1.501946</v>
          </cell>
          <cell r="P15">
            <v>1.7363360000000001</v>
          </cell>
          <cell r="Q15">
            <v>5.7521050000000002</v>
          </cell>
          <cell r="R15">
            <v>2.0106169999999999</v>
          </cell>
          <cell r="S15">
            <v>2.2099199999999999</v>
          </cell>
          <cell r="T15">
            <v>2.4135049999999998</v>
          </cell>
          <cell r="U15">
            <v>2.37751</v>
          </cell>
          <cell r="V15">
            <v>9.011552</v>
          </cell>
          <cell r="W15">
            <v>2.6500729999999999</v>
          </cell>
          <cell r="X15">
            <v>2.9206970000000001</v>
          </cell>
          <cell r="Y15">
            <v>3.0333380000000001</v>
          </cell>
          <cell r="Z15">
            <v>3.1785169999999998</v>
          </cell>
          <cell r="AA15">
            <v>11.782624999999999</v>
          </cell>
          <cell r="AB15">
            <v>3.4000859999999999</v>
          </cell>
          <cell r="AC15">
            <v>3.6959059999999999</v>
          </cell>
          <cell r="AD15">
            <v>3.7825669999999998</v>
          </cell>
          <cell r="AE15">
            <v>3.8505069999999999</v>
          </cell>
          <cell r="AF15">
            <v>14.729066</v>
          </cell>
          <cell r="AG15">
            <v>4.335</v>
          </cell>
          <cell r="AH15">
            <v>4.5250000000000004</v>
          </cell>
          <cell r="AI15">
            <v>4.7729999999999997</v>
          </cell>
          <cell r="AJ15">
            <v>4.9320000000000004</v>
          </cell>
          <cell r="AK15">
            <v>18.564999999999998</v>
          </cell>
          <cell r="AL15">
            <v>5.0910000000000002</v>
          </cell>
          <cell r="AM15">
            <v>5.5869999999999997</v>
          </cell>
          <cell r="AN15">
            <v>5.5279999999999996</v>
          </cell>
          <cell r="AO15">
            <v>5.181</v>
          </cell>
          <cell r="AP15">
            <v>21.387</v>
          </cell>
          <cell r="AQ15">
            <v>5.5179999999999998</v>
          </cell>
          <cell r="AR15">
            <v>5.6369999999999996</v>
          </cell>
          <cell r="AS15">
            <v>5.6369999999999996</v>
          </cell>
          <cell r="AT15">
            <v>5.3</v>
          </cell>
          <cell r="AU15">
            <v>22.091999999999999</v>
          </cell>
          <cell r="AV15">
            <v>5.2910000000000004</v>
          </cell>
          <cell r="AW15">
            <v>5.6909999999999998</v>
          </cell>
          <cell r="AX15">
            <v>6.0112509999999997</v>
          </cell>
          <cell r="AY15">
            <v>5.4569999999999999</v>
          </cell>
          <cell r="AZ15">
            <v>22.450251000000002</v>
          </cell>
          <cell r="BA15">
            <v>5.5283329999999999</v>
          </cell>
          <cell r="BB15">
            <v>6.1134079999999997</v>
          </cell>
          <cell r="BC15">
            <v>6.6625907655863212</v>
          </cell>
          <cell r="BD15">
            <v>6.0389999999999997</v>
          </cell>
          <cell r="BE15">
            <v>24.343331765586321</v>
          </cell>
          <cell r="BF15">
            <v>6.0386930000000003</v>
          </cell>
          <cell r="BG15">
            <v>6.6219999999999999</v>
          </cell>
          <cell r="BH15">
            <v>7.016</v>
          </cell>
          <cell r="BI15">
            <v>6.6929999999999996</v>
          </cell>
          <cell r="BJ15">
            <v>26.369692999999998</v>
          </cell>
          <cell r="BK15">
            <v>6.8529999999999998</v>
          </cell>
          <cell r="BL15">
            <v>7.3380000000000001</v>
          </cell>
          <cell r="BM15">
            <v>7.7469999999999999</v>
          </cell>
          <cell r="BN15">
            <v>7.0179999999999998</v>
          </cell>
          <cell r="BO15">
            <v>28.956</v>
          </cell>
          <cell r="BP15">
            <v>7.3</v>
          </cell>
          <cell r="BQ15">
            <v>7.7530000000000001</v>
          </cell>
          <cell r="BR15">
            <v>8.0589999999999993</v>
          </cell>
          <cell r="BS15">
            <v>7.351</v>
          </cell>
          <cell r="BT15">
            <v>30.463000000000001</v>
          </cell>
          <cell r="BU15">
            <v>7.3330000000000002</v>
          </cell>
          <cell r="BV15">
            <v>8.1790000000000003</v>
          </cell>
          <cell r="BW15">
            <v>8.5790000000000006</v>
          </cell>
          <cell r="BX15">
            <v>7.9870000000000001</v>
          </cell>
          <cell r="BY15">
            <v>32.078000000000003</v>
          </cell>
          <cell r="BZ15">
            <v>8.0950000000000006</v>
          </cell>
          <cell r="CA15">
            <v>8.8580000000000005</v>
          </cell>
          <cell r="CB15">
            <v>9.2370000000000001</v>
          </cell>
          <cell r="CC15">
            <v>8.9113349999999993</v>
          </cell>
          <cell r="CD15">
            <v>35.101335000000006</v>
          </cell>
          <cell r="CE15">
            <v>9.4892416960307759</v>
          </cell>
          <cell r="CF15">
            <v>10.255275724267943</v>
          </cell>
          <cell r="CG15">
            <v>10.256511003577284</v>
          </cell>
          <cell r="CH15">
            <v>9.8402833689746583</v>
          </cell>
          <cell r="CI15">
            <v>39.841311792850661</v>
          </cell>
          <cell r="CN15">
            <v>42.598726007497184</v>
          </cell>
          <cell r="CS15">
            <v>45.551112958511837</v>
          </cell>
          <cell r="DE15" t="str">
            <v>mstag:numberOfPassengers</v>
          </cell>
          <cell r="DF15">
            <v>6</v>
          </cell>
          <cell r="DG15" t="str">
            <v>ms_eqr_gcim_Decimal:ms_eqr_gcim_decimal</v>
          </cell>
          <cell r="DH15" t="b">
            <v>0</v>
          </cell>
          <cell r="DI15" t="b">
            <v>0</v>
          </cell>
          <cell r="DJ15" t="str">
            <v>mstag:numberOfPassengers</v>
          </cell>
          <cell r="DK15">
            <v>6</v>
          </cell>
          <cell r="DL15" t="str">
            <v>ms_eqr_gcim_Decimal:ms_eqr_gcim_decimal</v>
          </cell>
          <cell r="DM15" t="b">
            <v>0</v>
          </cell>
          <cell r="DN15" t="b">
            <v>0</v>
          </cell>
        </row>
        <row r="16">
          <cell r="A16" t="str">
            <v>YoY % Chg.</v>
          </cell>
          <cell r="M16">
            <v>0.83252976712356408</v>
          </cell>
          <cell r="N16">
            <v>0.76792755893396936</v>
          </cell>
          <cell r="O16">
            <v>0.89747217804032831</v>
          </cell>
          <cell r="P16">
            <v>0.87325198778737967</v>
          </cell>
          <cell r="Q16">
            <v>0.84550616863293571</v>
          </cell>
          <cell r="R16">
            <v>0.70258959774480334</v>
          </cell>
          <cell r="S16">
            <v>0.65797137982723464</v>
          </cell>
          <cell r="T16">
            <v>0.60691862423815479</v>
          </cell>
          <cell r="U16">
            <v>0.36926839044977466</v>
          </cell>
          <cell r="V16">
            <v>0.56665290358920761</v>
          </cell>
          <cell r="W16">
            <v>0.3180396863251429</v>
          </cell>
          <cell r="X16">
            <v>0.32163019475818144</v>
          </cell>
          <cell r="Y16">
            <v>0.25681861027841268</v>
          </cell>
          <cell r="Z16">
            <v>0.33691004454239937</v>
          </cell>
          <cell r="AA16">
            <v>0.30750230370972709</v>
          </cell>
          <cell r="AB16">
            <v>0.2830159772957197</v>
          </cell>
          <cell r="AC16">
            <v>0.26541917905212342</v>
          </cell>
          <cell r="AD16">
            <v>0.24699819143135371</v>
          </cell>
          <cell r="AE16">
            <v>0.21141620447523168</v>
          </cell>
          <cell r="AF16">
            <v>0.25006660230636224</v>
          </cell>
          <cell r="AG16">
            <v>0.27496775081571467</v>
          </cell>
          <cell r="AH16">
            <v>0.22432767500039241</v>
          </cell>
          <cell r="AI16">
            <v>0.26184149547119717</v>
          </cell>
          <cell r="AJ16">
            <v>0.28087028539358605</v>
          </cell>
          <cell r="AK16">
            <v>0.2604329425912002</v>
          </cell>
          <cell r="AL16">
            <v>0.17439446366782008</v>
          </cell>
          <cell r="AM16">
            <v>0.23469613259668498</v>
          </cell>
          <cell r="AN16">
            <v>0.1581814372512047</v>
          </cell>
          <cell r="AO16">
            <v>5.0486618004866202E-2</v>
          </cell>
          <cell r="AP16">
            <v>0.15200646377592264</v>
          </cell>
          <cell r="AQ16">
            <v>8.3873502258888122E-2</v>
          </cell>
          <cell r="AR16">
            <v>8.9493466976910963E-3</v>
          </cell>
          <cell r="AS16">
            <v>1.9717800289435594E-2</v>
          </cell>
          <cell r="AT16">
            <v>2.2968538892105705E-2</v>
          </cell>
          <cell r="AU16">
            <v>3.2963950063122471E-2</v>
          </cell>
          <cell r="AV16">
            <v>-4.1138093512141927E-2</v>
          </cell>
          <cell r="AW16">
            <v>9.5795635976583249E-3</v>
          </cell>
          <cell r="AX16">
            <v>6.6391875110874521E-2</v>
          </cell>
          <cell r="AY16">
            <v>2.9622641509434056E-2</v>
          </cell>
          <cell r="AZ16">
            <v>1.6216322650733472E-2</v>
          </cell>
          <cell r="BA16">
            <v>4.4855981855981719E-2</v>
          </cell>
          <cell r="BB16">
            <v>7.4223862238622429E-2</v>
          </cell>
          <cell r="BC16">
            <v>0.10835344682601367</v>
          </cell>
          <cell r="BD16">
            <v>0.10665200659703133</v>
          </cell>
          <cell r="BE16">
            <v>8.4323367502052271E-2</v>
          </cell>
          <cell r="BF16">
            <v>9.2317159621173372E-2</v>
          </cell>
          <cell r="BG16">
            <v>8.319287703356304E-2</v>
          </cell>
          <cell r="BH16">
            <v>5.3043815363703839E-2</v>
          </cell>
          <cell r="BI16">
            <v>0.10829607550919018</v>
          </cell>
          <cell r="BJ16">
            <v>8.3240915989909903E-2</v>
          </cell>
          <cell r="BK16">
            <v>0.13484821963958082</v>
          </cell>
          <cell r="BL16">
            <v>0.10812443370582914</v>
          </cell>
          <cell r="BM16">
            <v>0.10419042189281646</v>
          </cell>
          <cell r="BN16">
            <v>4.8558195129239534E-2</v>
          </cell>
          <cell r="BO16">
            <v>9.8078767924981269E-2</v>
          </cell>
          <cell r="BP16">
            <v>6.5226907923537247E-2</v>
          </cell>
          <cell r="BQ16">
            <v>5.6554919596620401E-2</v>
          </cell>
          <cell r="BR16">
            <v>4.0273654317800389E-2</v>
          </cell>
          <cell r="BS16">
            <v>4.7449415787973903E-2</v>
          </cell>
          <cell r="BT16">
            <v>5.2044481281945165E-2</v>
          </cell>
          <cell r="BU16">
            <v>4.5205479452055108E-3</v>
          </cell>
          <cell r="BV16">
            <v>5.4946472333290419E-2</v>
          </cell>
          <cell r="BW16">
            <v>6.452413450800365E-2</v>
          </cell>
          <cell r="BX16">
            <v>8.6518840974017186E-2</v>
          </cell>
          <cell r="BY16">
            <v>5.3015133112300328E-2</v>
          </cell>
          <cell r="BZ16">
            <v>0.10391381426428481</v>
          </cell>
          <cell r="CA16">
            <v>8.3017483799975533E-2</v>
          </cell>
          <cell r="CB16">
            <v>7.6698915957570835E-2</v>
          </cell>
          <cell r="CC16">
            <v>0.11572993614623761</v>
          </cell>
          <cell r="CD16">
            <v>9.4249485628779883E-2</v>
          </cell>
          <cell r="CE16">
            <v>0.17223492230151649</v>
          </cell>
          <cell r="CF16">
            <v>0.15774167128786876</v>
          </cell>
          <cell r="CG16">
            <v>0.11037252393388375</v>
          </cell>
          <cell r="CH16">
            <v>0.10424345723448392</v>
          </cell>
          <cell r="CI16">
            <v>0.13503693785010329</v>
          </cell>
          <cell r="CN16">
            <v>6.9209925340393275E-2</v>
          </cell>
          <cell r="CS16">
            <v>6.9306930693069146E-2</v>
          </cell>
          <cell r="CW16">
            <v>5.9113300492610765E-2</v>
          </cell>
        </row>
        <row r="17">
          <cell r="A17" t="str">
            <v>Average Passenger Length of Haul</v>
          </cell>
          <cell r="L17">
            <v>1052.9443980830445</v>
          </cell>
          <cell r="M17">
            <v>1104.4595005406816</v>
          </cell>
          <cell r="N17">
            <v>1219.542863487748</v>
          </cell>
          <cell r="O17">
            <v>1257.1364083662129</v>
          </cell>
          <cell r="P17">
            <v>1162.1402769970789</v>
          </cell>
          <cell r="Q17">
            <v>1188.4045927534355</v>
          </cell>
          <cell r="R17">
            <v>1181.1528500952693</v>
          </cell>
          <cell r="S17">
            <v>1264.7589052997394</v>
          </cell>
          <cell r="T17">
            <v>1346.1575592343916</v>
          </cell>
          <cell r="U17">
            <v>1307.3025980963278</v>
          </cell>
          <cell r="V17">
            <v>1279.1298324639306</v>
          </cell>
          <cell r="W17">
            <v>1272.5290963682887</v>
          </cell>
          <cell r="X17">
            <v>1347.4129634125006</v>
          </cell>
          <cell r="Y17">
            <v>1383.2965531701379</v>
          </cell>
          <cell r="Z17">
            <v>1329.7446576500929</v>
          </cell>
          <cell r="AA17">
            <v>1335.0422337976472</v>
          </cell>
          <cell r="AB17">
            <v>1304.2399515776956</v>
          </cell>
          <cell r="AC17">
            <v>1386.5853189989141</v>
          </cell>
          <cell r="AD17">
            <v>1449.7617623164376</v>
          </cell>
          <cell r="AE17">
            <v>1339.3090831934601</v>
          </cell>
          <cell r="AF17">
            <v>1371.4418144368422</v>
          </cell>
          <cell r="AG17">
            <v>1277.0472895040368</v>
          </cell>
          <cell r="AH17">
            <v>1309.1712707182319</v>
          </cell>
          <cell r="AI17">
            <v>1210.5249999999999</v>
          </cell>
          <cell r="AJ17">
            <v>1175.5879967558799</v>
          </cell>
          <cell r="AK17">
            <v>1256.1271209264746</v>
          </cell>
          <cell r="AL17">
            <v>1167.1577293262619</v>
          </cell>
          <cell r="AM17">
            <v>1205.6559871129409</v>
          </cell>
          <cell r="AN17">
            <v>1238.7843704775689</v>
          </cell>
          <cell r="AO17">
            <v>1198.8033198224282</v>
          </cell>
          <cell r="AP17">
            <v>1203.394585495862</v>
          </cell>
          <cell r="AQ17">
            <v>1189.3802102210946</v>
          </cell>
          <cell r="AR17">
            <v>1198.5098456625865</v>
          </cell>
          <cell r="AS17">
            <v>1214.8305836437823</v>
          </cell>
          <cell r="AT17">
            <v>1117</v>
          </cell>
          <cell r="AU17">
            <v>1180.1104472207135</v>
          </cell>
          <cell r="AV17">
            <v>1141.5611415611415</v>
          </cell>
          <cell r="AW17">
            <v>1150.0615006150063</v>
          </cell>
          <cell r="AX17">
            <v>1168.9746443793481</v>
          </cell>
          <cell r="AY17">
            <v>1162.3588052043247</v>
          </cell>
          <cell r="AZ17">
            <v>1156.1114394667568</v>
          </cell>
          <cell r="BA17">
            <v>1170.3301881417058</v>
          </cell>
          <cell r="BB17">
            <v>1165.6871257406672</v>
          </cell>
          <cell r="BC17">
            <v>1155.5564900919549</v>
          </cell>
          <cell r="BD17">
            <v>1156.4879947011093</v>
          </cell>
          <cell r="BE17">
            <v>1161.6867926015748</v>
          </cell>
          <cell r="BF17">
            <v>1146.5560511190085</v>
          </cell>
          <cell r="BG17">
            <v>1161.5826034430686</v>
          </cell>
          <cell r="BH17">
            <v>1187.5712656784492</v>
          </cell>
          <cell r="BI17">
            <v>1157.9261915434035</v>
          </cell>
          <cell r="BJ17">
            <v>1164.1280768797726</v>
          </cell>
          <cell r="BK17">
            <v>1153.9471764190866</v>
          </cell>
          <cell r="BL17">
            <v>1157.9449441264649</v>
          </cell>
          <cell r="BM17">
            <v>1171.4211953014071</v>
          </cell>
          <cell r="BN17">
            <v>1151.7526360786549</v>
          </cell>
          <cell r="BO17">
            <v>1159.1034673297418</v>
          </cell>
          <cell r="BP17">
            <v>1165.2054794520548</v>
          </cell>
          <cell r="BQ17">
            <v>1175.6739326712241</v>
          </cell>
          <cell r="BR17">
            <v>1186.375480828887</v>
          </cell>
          <cell r="BS17">
            <v>1177.2547952659502</v>
          </cell>
          <cell r="BT17">
            <v>1176.3779010603025</v>
          </cell>
          <cell r="BU17">
            <v>1181.2355107050321</v>
          </cell>
          <cell r="BV17">
            <v>1177.6500794718181</v>
          </cell>
          <cell r="BW17">
            <v>1180.4406107937987</v>
          </cell>
          <cell r="BX17">
            <v>1175.9108551396018</v>
          </cell>
          <cell r="BY17">
            <v>1178.7829665191096</v>
          </cell>
          <cell r="BZ17">
            <v>1188.6349598517602</v>
          </cell>
          <cell r="CA17">
            <v>1182.2081734025739</v>
          </cell>
          <cell r="CB17">
            <v>1197.6832304860886</v>
          </cell>
          <cell r="CC17">
            <v>1184.3437599416925</v>
          </cell>
          <cell r="CD17">
            <v>1188.3047753027056</v>
          </cell>
          <cell r="CE17">
            <v>1135.6692499999999</v>
          </cell>
          <cell r="CF17">
            <v>1123.2462499999999</v>
          </cell>
          <cell r="CG17">
            <v>1132.5635</v>
          </cell>
          <cell r="CH17">
            <v>1131.5282500000001</v>
          </cell>
          <cell r="CI17">
            <v>1130.6492329924588</v>
          </cell>
          <cell r="CN17">
            <v>1142.0593306249998</v>
          </cell>
          <cell r="CS17">
            <v>1153.4799239312499</v>
          </cell>
          <cell r="CW17">
            <v>6.0465116279069697E-2</v>
          </cell>
          <cell r="DE17" t="str">
            <v>mstag:passengerLengthOfHaul</v>
          </cell>
          <cell r="DF17">
            <v>0</v>
          </cell>
          <cell r="DG17" t="str">
            <v>length:miles</v>
          </cell>
          <cell r="DH17" t="b">
            <v>0</v>
          </cell>
          <cell r="DI17" t="b">
            <v>0</v>
          </cell>
          <cell r="DJ17" t="str">
            <v>mstag:passengerLengthOfHaul</v>
          </cell>
          <cell r="DK17">
            <v>0</v>
          </cell>
          <cell r="DL17" t="str">
            <v>length:miles</v>
          </cell>
          <cell r="DM17" t="b">
            <v>0</v>
          </cell>
          <cell r="DN17" t="b">
            <v>0</v>
          </cell>
        </row>
        <row r="18">
          <cell r="A18" t="str">
            <v>YoY % Chg.</v>
          </cell>
          <cell r="Q18">
            <v>0.12864895327522086</v>
          </cell>
          <cell r="R18">
            <v>6.9439711928814818E-2</v>
          </cell>
          <cell r="S18">
            <v>3.7076221890781857E-2</v>
          </cell>
          <cell r="T18">
            <v>7.0812642347914734E-2</v>
          </cell>
          <cell r="U18">
            <v>0.12490946572675554</v>
          </cell>
          <cell r="V18">
            <v>7.6342047366454668E-2</v>
          </cell>
          <cell r="W18">
            <v>7.7361914900047957E-2</v>
          </cell>
          <cell r="X18">
            <v>6.5351631655973907E-2</v>
          </cell>
          <cell r="Y18">
            <v>2.7588890825579693E-2</v>
          </cell>
          <cell r="Z18">
            <v>1.7166690853705147E-2</v>
          </cell>
          <cell r="AA18">
            <v>4.3711279273359605E-2</v>
          </cell>
          <cell r="AB18">
            <v>2.4919552173626069E-2</v>
          </cell>
          <cell r="AC18">
            <v>2.9072271567882391E-2</v>
          </cell>
          <cell r="AD18">
            <v>4.8048416656558235E-2</v>
          </cell>
          <cell r="AE18">
            <v>7.1926782998092964E-3</v>
          </cell>
          <cell r="AF18">
            <v>2.7264740933066189E-2</v>
          </cell>
          <cell r="AG18">
            <v>-2.0849431916852956E-2</v>
          </cell>
          <cell r="AH18">
            <v>-5.583071392719885E-2</v>
          </cell>
          <cell r="AI18">
            <v>-0.16501798332312467</v>
          </cell>
          <cell r="AJ18">
            <v>-0.12224294488259735</v>
          </cell>
          <cell r="AK18">
            <v>-8.4082818750658705E-2</v>
          </cell>
          <cell r="AL18">
            <v>-8.6049718816953447E-2</v>
          </cell>
          <cell r="AM18">
            <v>-7.9069321119841551E-2</v>
          </cell>
          <cell r="AN18">
            <v>2.3344722725733957E-2</v>
          </cell>
          <cell r="AO18">
            <v>1.974783949020642E-2</v>
          </cell>
          <cell r="AP18">
            <v>-4.1980253870897211E-2</v>
          </cell>
          <cell r="AQ18">
            <v>1.9039826697339723E-2</v>
          </cell>
          <cell r="AR18">
            <v>-5.9271811584219458E-3</v>
          </cell>
          <cell r="AS18">
            <v>-1.9336526521199215E-2</v>
          </cell>
          <cell r="AT18">
            <v>-6.823748188697476E-2</v>
          </cell>
          <cell r="AU18">
            <v>-1.9348714507930298E-2</v>
          </cell>
          <cell r="AV18">
            <v>-4.0205031367609445E-2</v>
          </cell>
          <cell r="AW18">
            <v>-4.0423818980640847E-2</v>
          </cell>
          <cell r="AX18">
            <v>-3.774677710771257E-2</v>
          </cell>
          <cell r="AY18">
            <v>4.0607703853468902E-2</v>
          </cell>
          <cell r="AZ18">
            <v>-2.0336238705857546E-2</v>
          </cell>
          <cell r="BA18">
            <v>2.5201494281086978E-2</v>
          </cell>
          <cell r="BB18">
            <v>1.3586773504986382E-2</v>
          </cell>
          <cell r="BC18">
            <v>-1.1478567436779108E-2</v>
          </cell>
          <cell r="BD18">
            <v>-5.0507730288870123E-3</v>
          </cell>
          <cell r="BE18">
            <v>4.8225049458809899E-3</v>
          </cell>
          <cell r="BF18">
            <v>-2.0314042364784846E-2</v>
          </cell>
          <cell r="BG18">
            <v>-3.5211183232298771E-3</v>
          </cell>
          <cell r="BH18">
            <v>2.7705071851525709E-2</v>
          </cell>
          <cell r="BI18">
            <v>1.2435899454934507E-3</v>
          </cell>
          <cell r="BJ18">
            <v>2.1014995554271554E-3</v>
          </cell>
          <cell r="BK18">
            <v>6.446370670552426E-3</v>
          </cell>
          <cell r="BL18">
            <v>-3.1316406649181117E-3</v>
          </cell>
          <cell r="BM18">
            <v>-1.3599243130740235E-2</v>
          </cell>
          <cell r="BN18">
            <v>-5.3315621581371264E-3</v>
          </cell>
          <cell r="BO18">
            <v>-4.3161999524127248E-3</v>
          </cell>
          <cell r="BP18">
            <v>9.7563417659245477E-3</v>
          </cell>
          <cell r="BQ18">
            <v>1.5310735311456103E-2</v>
          </cell>
          <cell r="BR18">
            <v>1.2765933882246561E-2</v>
          </cell>
          <cell r="BS18">
            <v>2.2142045425762591E-2</v>
          </cell>
          <cell r="BT18">
            <v>1.490327155206983E-2</v>
          </cell>
          <cell r="BU18">
            <v>1.3757257012313007E-2</v>
          </cell>
          <cell r="BV18">
            <v>1.6808629890296967E-3</v>
          </cell>
          <cell r="BW18">
            <v>-5.0025224989830308E-3</v>
          </cell>
          <cell r="BX18">
            <v>-1.1415881521592564E-3</v>
          </cell>
          <cell r="BY18">
            <v>2.0444667114531967E-3</v>
          </cell>
          <cell r="BZ18">
            <v>6.2641607703715074E-3</v>
          </cell>
          <cell r="CA18">
            <v>3.8704994040337226E-3</v>
          </cell>
          <cell r="CB18">
            <v>1.46069353550069E-2</v>
          </cell>
          <cell r="CC18">
            <v>7.17138103218673E-3</v>
          </cell>
          <cell r="CD18">
            <v>8.0776606500461146E-3</v>
          </cell>
          <cell r="CE18">
            <v>-4.4560114451257515E-2</v>
          </cell>
          <cell r="CF18">
            <v>-4.9874400066844959E-2</v>
          </cell>
          <cell r="CG18">
            <v>-5.4371413766609478E-2</v>
          </cell>
          <cell r="CH18">
            <v>-4.4594746667380281E-2</v>
          </cell>
          <cell r="CI18">
            <v>-4.8519153931330217E-2</v>
          </cell>
          <cell r="CN18">
            <v>1.0091633461194904E-2</v>
          </cell>
          <cell r="CS18">
            <v>1.0000000000000009E-2</v>
          </cell>
        </row>
        <row r="19">
          <cell r="A19" t="str">
            <v>Number of Aircraft (end of period)</v>
          </cell>
          <cell r="AA19">
            <v>69</v>
          </cell>
          <cell r="AE19">
            <v>92</v>
          </cell>
          <cell r="AF19">
            <v>92</v>
          </cell>
          <cell r="AG19">
            <v>99</v>
          </cell>
          <cell r="AH19">
            <v>109</v>
          </cell>
          <cell r="AI19">
            <v>115</v>
          </cell>
          <cell r="AJ19">
            <v>119</v>
          </cell>
          <cell r="AK19">
            <v>119</v>
          </cell>
          <cell r="AL19">
            <v>125</v>
          </cell>
          <cell r="AM19">
            <v>130</v>
          </cell>
          <cell r="AN19">
            <v>134</v>
          </cell>
          <cell r="AO19">
            <v>134</v>
          </cell>
          <cell r="AP19">
            <v>134</v>
          </cell>
          <cell r="AQ19">
            <v>141</v>
          </cell>
          <cell r="AR19">
            <v>142</v>
          </cell>
          <cell r="AS19">
            <v>143</v>
          </cell>
          <cell r="AT19">
            <v>142</v>
          </cell>
          <cell r="AU19">
            <v>142</v>
          </cell>
          <cell r="AV19">
            <v>147</v>
          </cell>
          <cell r="AW19">
            <v>151</v>
          </cell>
          <cell r="AX19">
            <v>151</v>
          </cell>
          <cell r="AY19">
            <v>151</v>
          </cell>
          <cell r="AZ19">
            <v>151</v>
          </cell>
          <cell r="BA19">
            <v>151</v>
          </cell>
          <cell r="BB19">
            <v>153</v>
          </cell>
          <cell r="BC19">
            <v>157</v>
          </cell>
          <cell r="BD19">
            <v>161</v>
          </cell>
          <cell r="BE19">
            <v>161</v>
          </cell>
          <cell r="BF19">
            <v>164</v>
          </cell>
          <cell r="BG19">
            <v>165</v>
          </cell>
          <cell r="BH19">
            <v>167</v>
          </cell>
          <cell r="BI19">
            <v>169</v>
          </cell>
          <cell r="BJ19">
            <v>169</v>
          </cell>
          <cell r="BK19">
            <v>172</v>
          </cell>
          <cell r="BL19">
            <v>175</v>
          </cell>
          <cell r="BM19">
            <v>175</v>
          </cell>
          <cell r="BN19">
            <v>180</v>
          </cell>
          <cell r="BO19">
            <v>180</v>
          </cell>
          <cell r="BP19">
            <v>181</v>
          </cell>
          <cell r="BQ19">
            <v>186</v>
          </cell>
          <cell r="BR19">
            <v>189</v>
          </cell>
          <cell r="BS19">
            <v>194</v>
          </cell>
          <cell r="BT19">
            <v>194</v>
          </cell>
          <cell r="BU19">
            <v>195</v>
          </cell>
          <cell r="BV19">
            <v>197</v>
          </cell>
          <cell r="BW19">
            <v>199</v>
          </cell>
          <cell r="BX19">
            <v>203</v>
          </cell>
          <cell r="BY19">
            <v>203</v>
          </cell>
          <cell r="BZ19">
            <v>205</v>
          </cell>
          <cell r="CA19">
            <v>209</v>
          </cell>
          <cell r="CB19">
            <v>211</v>
          </cell>
          <cell r="CC19">
            <v>215</v>
          </cell>
          <cell r="CD19">
            <v>215</v>
          </cell>
          <cell r="CE19">
            <v>218</v>
          </cell>
          <cell r="CF19">
            <v>221</v>
          </cell>
          <cell r="CG19">
            <v>223</v>
          </cell>
          <cell r="CH19">
            <v>225</v>
          </cell>
          <cell r="CI19">
            <v>225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235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242</v>
          </cell>
          <cell r="CW19">
            <v>2015</v>
          </cell>
          <cell r="CX19">
            <v>2016</v>
          </cell>
          <cell r="CY19">
            <v>2017</v>
          </cell>
          <cell r="CZ19">
            <v>2018</v>
          </cell>
          <cell r="DA19">
            <v>2019</v>
          </cell>
          <cell r="DB19">
            <v>2015</v>
          </cell>
          <cell r="DC19">
            <v>2016</v>
          </cell>
          <cell r="DD19">
            <v>2017</v>
          </cell>
          <cell r="DE19">
            <v>2018</v>
          </cell>
          <cell r="DF19">
            <v>2019</v>
          </cell>
          <cell r="DG19" t="str">
            <v>Seats</v>
          </cell>
          <cell r="DH19" t="b">
            <v>0</v>
          </cell>
          <cell r="DI19" t="b">
            <v>0</v>
          </cell>
          <cell r="DJ19" t="str">
            <v>mstag:numberOfAircraftPeriodEnd</v>
          </cell>
          <cell r="DK19">
            <v>0</v>
          </cell>
          <cell r="DL19" t="str">
            <v>ms_eqr_gcim_Decimal:ms_eqr_gcim_decimal</v>
          </cell>
          <cell r="DM19" t="b">
            <v>0</v>
          </cell>
          <cell r="DN19" t="b">
            <v>0</v>
          </cell>
        </row>
        <row r="20">
          <cell r="A20" t="str">
            <v>A320 (end of period)</v>
          </cell>
          <cell r="AA20">
            <v>69</v>
          </cell>
          <cell r="AE20">
            <v>85</v>
          </cell>
          <cell r="AF20">
            <v>85</v>
          </cell>
          <cell r="AG20">
            <v>88</v>
          </cell>
          <cell r="AH20">
            <v>92</v>
          </cell>
          <cell r="AI20">
            <v>94</v>
          </cell>
          <cell r="AJ20">
            <v>96</v>
          </cell>
          <cell r="AK20">
            <v>96</v>
          </cell>
          <cell r="AL20">
            <v>100</v>
          </cell>
          <cell r="AM20">
            <v>103</v>
          </cell>
          <cell r="AN20">
            <v>104</v>
          </cell>
          <cell r="AO20">
            <v>104</v>
          </cell>
          <cell r="AP20">
            <v>104</v>
          </cell>
          <cell r="AQ20">
            <v>107</v>
          </cell>
          <cell r="AR20">
            <v>106</v>
          </cell>
          <cell r="AS20">
            <v>108</v>
          </cell>
          <cell r="AT20">
            <v>107</v>
          </cell>
          <cell r="AU20">
            <v>107</v>
          </cell>
          <cell r="AV20">
            <v>110</v>
          </cell>
          <cell r="AW20">
            <v>110</v>
          </cell>
          <cell r="AX20">
            <v>110</v>
          </cell>
          <cell r="AY20">
            <v>110</v>
          </cell>
          <cell r="AZ20">
            <v>110</v>
          </cell>
          <cell r="BA20">
            <v>110</v>
          </cell>
          <cell r="BB20">
            <v>110</v>
          </cell>
          <cell r="BC20">
            <v>113</v>
          </cell>
          <cell r="BD20">
            <v>116</v>
          </cell>
          <cell r="BE20">
            <v>116</v>
          </cell>
          <cell r="BF20">
            <v>118</v>
          </cell>
          <cell r="BG20">
            <v>119</v>
          </cell>
          <cell r="BH20">
            <v>119</v>
          </cell>
          <cell r="BI20">
            <v>120</v>
          </cell>
          <cell r="BJ20">
            <v>120</v>
          </cell>
          <cell r="BK20">
            <v>121</v>
          </cell>
          <cell r="BL20">
            <v>123</v>
          </cell>
          <cell r="BM20">
            <v>123</v>
          </cell>
          <cell r="BN20">
            <v>127</v>
          </cell>
          <cell r="BO20">
            <v>127</v>
          </cell>
          <cell r="BP20">
            <v>127</v>
          </cell>
          <cell r="BQ20">
            <v>127</v>
          </cell>
          <cell r="BR20">
            <v>130</v>
          </cell>
          <cell r="BS20">
            <v>130</v>
          </cell>
          <cell r="BT20">
            <v>130</v>
          </cell>
          <cell r="BU20">
            <v>130</v>
          </cell>
          <cell r="BV20">
            <v>130</v>
          </cell>
          <cell r="BW20">
            <v>130</v>
          </cell>
          <cell r="BX20">
            <v>130</v>
          </cell>
          <cell r="BY20">
            <v>130</v>
          </cell>
          <cell r="BZ20">
            <v>130</v>
          </cell>
          <cell r="CA20">
            <v>130</v>
          </cell>
          <cell r="CB20">
            <v>130</v>
          </cell>
          <cell r="CC20">
            <v>130</v>
          </cell>
          <cell r="CD20">
            <v>130</v>
          </cell>
          <cell r="CE20">
            <v>130</v>
          </cell>
          <cell r="CF20">
            <v>130</v>
          </cell>
          <cell r="CG20">
            <v>130</v>
          </cell>
          <cell r="CH20">
            <v>130</v>
          </cell>
          <cell r="CI20">
            <v>130</v>
          </cell>
          <cell r="CN20">
            <v>130</v>
          </cell>
          <cell r="CS20">
            <v>130</v>
          </cell>
          <cell r="CU20" t="str">
            <v>A320</v>
          </cell>
          <cell r="CW20">
            <v>0</v>
          </cell>
          <cell r="CX20">
            <v>0</v>
          </cell>
          <cell r="CY20">
            <v>0</v>
          </cell>
          <cell r="CZ20" t="str">
            <v>A320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150</v>
          </cell>
        </row>
        <row r="21">
          <cell r="A21" t="str">
            <v>A321 (end of period)</v>
          </cell>
          <cell r="BS21">
            <v>4</v>
          </cell>
          <cell r="BT21">
            <v>4</v>
          </cell>
          <cell r="BU21">
            <v>5</v>
          </cell>
          <cell r="BV21">
            <v>7</v>
          </cell>
          <cell r="BW21">
            <v>9</v>
          </cell>
          <cell r="BX21">
            <v>13</v>
          </cell>
          <cell r="BY21">
            <v>13</v>
          </cell>
          <cell r="BZ21">
            <v>15</v>
          </cell>
          <cell r="CA21">
            <v>19</v>
          </cell>
          <cell r="CB21">
            <v>21</v>
          </cell>
          <cell r="CC21">
            <v>25</v>
          </cell>
          <cell r="CD21">
            <v>25</v>
          </cell>
          <cell r="CE21">
            <v>28</v>
          </cell>
          <cell r="CF21">
            <v>31</v>
          </cell>
          <cell r="CG21">
            <v>33</v>
          </cell>
          <cell r="CH21">
            <v>35</v>
          </cell>
          <cell r="CI21">
            <v>35</v>
          </cell>
          <cell r="CN21">
            <v>45</v>
          </cell>
          <cell r="CS21">
            <v>46</v>
          </cell>
          <cell r="CU21" t="str">
            <v>A321</v>
          </cell>
          <cell r="CW21">
            <v>12</v>
          </cell>
          <cell r="CX21">
            <v>10</v>
          </cell>
          <cell r="CY21">
            <v>10</v>
          </cell>
          <cell r="CZ21" t="str">
            <v>A321</v>
          </cell>
          <cell r="DA21">
            <v>0</v>
          </cell>
          <cell r="DB21">
            <v>12</v>
          </cell>
          <cell r="DC21">
            <v>10</v>
          </cell>
          <cell r="DD21">
            <v>10</v>
          </cell>
          <cell r="DE21">
            <v>1</v>
          </cell>
          <cell r="DF21">
            <v>0</v>
          </cell>
          <cell r="DG21" t="str">
            <v>190*</v>
          </cell>
        </row>
        <row r="22">
          <cell r="A22" t="str">
            <v>A321neo (end of period)</v>
          </cell>
          <cell r="AA22">
            <v>0</v>
          </cell>
          <cell r="AE22">
            <v>7</v>
          </cell>
          <cell r="AF22">
            <v>7</v>
          </cell>
          <cell r="AG22">
            <v>11</v>
          </cell>
          <cell r="AH22">
            <v>17</v>
          </cell>
          <cell r="AI22">
            <v>21</v>
          </cell>
          <cell r="AJ22">
            <v>23</v>
          </cell>
          <cell r="AK22">
            <v>23</v>
          </cell>
          <cell r="AL22">
            <v>25</v>
          </cell>
          <cell r="AM22">
            <v>27</v>
          </cell>
          <cell r="AN22">
            <v>30</v>
          </cell>
          <cell r="AO22">
            <v>30</v>
          </cell>
          <cell r="AP22">
            <v>30</v>
          </cell>
          <cell r="AQ22">
            <v>34</v>
          </cell>
          <cell r="AR22">
            <v>36</v>
          </cell>
          <cell r="AS22">
            <v>35</v>
          </cell>
          <cell r="AT22">
            <v>35</v>
          </cell>
          <cell r="AU22">
            <v>35</v>
          </cell>
          <cell r="AV22">
            <v>37</v>
          </cell>
          <cell r="AW22">
            <v>41</v>
          </cell>
          <cell r="AX22">
            <v>41</v>
          </cell>
          <cell r="AY22">
            <v>41</v>
          </cell>
          <cell r="AZ22">
            <v>41</v>
          </cell>
          <cell r="BA22">
            <v>41</v>
          </cell>
          <cell r="BB22">
            <v>43</v>
          </cell>
          <cell r="BC22">
            <v>44</v>
          </cell>
          <cell r="BD22">
            <v>45</v>
          </cell>
          <cell r="BE22">
            <v>45</v>
          </cell>
          <cell r="BF22">
            <v>46</v>
          </cell>
          <cell r="BG22">
            <v>46</v>
          </cell>
          <cell r="BH22">
            <v>48</v>
          </cell>
          <cell r="BI22">
            <v>49</v>
          </cell>
          <cell r="BJ22">
            <v>49</v>
          </cell>
          <cell r="BK22">
            <v>51</v>
          </cell>
          <cell r="BL22">
            <v>52</v>
          </cell>
          <cell r="BM22">
            <v>52</v>
          </cell>
          <cell r="BN22">
            <v>53</v>
          </cell>
          <cell r="BO22">
            <v>53</v>
          </cell>
          <cell r="BP22">
            <v>54</v>
          </cell>
          <cell r="BQ22">
            <v>59</v>
          </cell>
          <cell r="BR22">
            <v>59</v>
          </cell>
          <cell r="BS22">
            <v>60</v>
          </cell>
          <cell r="BT22">
            <v>60</v>
          </cell>
          <cell r="BU22">
            <v>60</v>
          </cell>
          <cell r="BV22">
            <v>60</v>
          </cell>
          <cell r="BW22">
            <v>60</v>
          </cell>
          <cell r="BX22">
            <v>60</v>
          </cell>
          <cell r="BY22">
            <v>60</v>
          </cell>
          <cell r="BZ22">
            <v>60</v>
          </cell>
          <cell r="CA22">
            <v>60</v>
          </cell>
          <cell r="CB22">
            <v>60</v>
          </cell>
          <cell r="CC22">
            <v>60</v>
          </cell>
          <cell r="CD22">
            <v>60</v>
          </cell>
          <cell r="CE22">
            <v>60</v>
          </cell>
          <cell r="CF22">
            <v>60</v>
          </cell>
          <cell r="CG22">
            <v>60</v>
          </cell>
          <cell r="CH22">
            <v>60</v>
          </cell>
          <cell r="CI22">
            <v>60</v>
          </cell>
          <cell r="CN22">
            <v>60</v>
          </cell>
          <cell r="CS22">
            <v>6</v>
          </cell>
          <cell r="CU22" t="str">
            <v>E190</v>
          </cell>
          <cell r="CW22">
            <v>0</v>
          </cell>
          <cell r="CX22">
            <v>0</v>
          </cell>
          <cell r="CY22">
            <v>0</v>
          </cell>
          <cell r="CZ22" t="str">
            <v>E190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100</v>
          </cell>
        </row>
        <row r="23">
          <cell r="A23" t="str">
            <v>E190 (end of period)</v>
          </cell>
          <cell r="G23">
            <v>5.8</v>
          </cell>
          <cell r="H23">
            <v>10.5</v>
          </cell>
          <cell r="I23">
            <v>13.2</v>
          </cell>
          <cell r="J23">
            <v>15.9</v>
          </cell>
          <cell r="K23">
            <v>19.399999999999999</v>
          </cell>
          <cell r="L23">
            <v>14.75</v>
          </cell>
          <cell r="M23">
            <v>22.2</v>
          </cell>
          <cell r="N23">
            <v>24.6</v>
          </cell>
          <cell r="O23">
            <v>28.4</v>
          </cell>
          <cell r="P23">
            <v>32.799999999999997</v>
          </cell>
          <cell r="Q23">
            <v>26.999999999999996</v>
          </cell>
          <cell r="R23">
            <v>38.700000000000003</v>
          </cell>
          <cell r="S23">
            <v>41.6</v>
          </cell>
          <cell r="T23">
            <v>45.8</v>
          </cell>
          <cell r="U23">
            <v>49.6</v>
          </cell>
          <cell r="V23">
            <v>43.925000000000004</v>
          </cell>
          <cell r="W23">
            <v>55.3</v>
          </cell>
          <cell r="X23">
            <v>58.6</v>
          </cell>
          <cell r="Y23">
            <v>61.8</v>
          </cell>
          <cell r="Z23">
            <v>66.5</v>
          </cell>
          <cell r="AA23">
            <v>0</v>
          </cell>
          <cell r="AB23">
            <v>70.900000000000006</v>
          </cell>
          <cell r="AC23">
            <v>74.3</v>
          </cell>
          <cell r="AD23">
            <v>79.2</v>
          </cell>
          <cell r="AE23">
            <v>7</v>
          </cell>
          <cell r="AF23">
            <v>7</v>
          </cell>
          <cell r="AG23">
            <v>11</v>
          </cell>
          <cell r="AH23">
            <v>17</v>
          </cell>
          <cell r="AI23">
            <v>21</v>
          </cell>
          <cell r="AJ23">
            <v>23</v>
          </cell>
          <cell r="AK23">
            <v>23</v>
          </cell>
          <cell r="AL23">
            <v>25</v>
          </cell>
          <cell r="AM23">
            <v>27</v>
          </cell>
          <cell r="AN23">
            <v>30</v>
          </cell>
          <cell r="AO23">
            <v>30</v>
          </cell>
          <cell r="AP23">
            <v>30</v>
          </cell>
          <cell r="AQ23">
            <v>34</v>
          </cell>
          <cell r="AR23">
            <v>36</v>
          </cell>
          <cell r="AS23">
            <v>35</v>
          </cell>
          <cell r="AT23">
            <v>35</v>
          </cell>
          <cell r="AU23">
            <v>35</v>
          </cell>
          <cell r="AV23">
            <v>37</v>
          </cell>
          <cell r="AW23">
            <v>41</v>
          </cell>
          <cell r="AX23">
            <v>41</v>
          </cell>
          <cell r="AY23">
            <v>41</v>
          </cell>
          <cell r="AZ23">
            <v>41</v>
          </cell>
          <cell r="BA23">
            <v>41</v>
          </cell>
          <cell r="BB23">
            <v>43</v>
          </cell>
          <cell r="BC23">
            <v>44</v>
          </cell>
          <cell r="BD23">
            <v>45</v>
          </cell>
          <cell r="BE23">
            <v>45</v>
          </cell>
          <cell r="BF23">
            <v>46</v>
          </cell>
          <cell r="BG23">
            <v>46</v>
          </cell>
          <cell r="BH23">
            <v>48</v>
          </cell>
          <cell r="BI23">
            <v>49</v>
          </cell>
          <cell r="BJ23">
            <v>49</v>
          </cell>
          <cell r="BK23">
            <v>51</v>
          </cell>
          <cell r="BL23">
            <v>52</v>
          </cell>
          <cell r="BM23">
            <v>52</v>
          </cell>
          <cell r="BN23">
            <v>53</v>
          </cell>
          <cell r="BO23">
            <v>53</v>
          </cell>
          <cell r="BP23">
            <v>54</v>
          </cell>
          <cell r="BQ23">
            <v>59</v>
          </cell>
          <cell r="BR23">
            <v>59</v>
          </cell>
          <cell r="BS23">
            <v>60</v>
          </cell>
          <cell r="BT23">
            <v>60</v>
          </cell>
          <cell r="BU23">
            <v>60</v>
          </cell>
          <cell r="BV23">
            <v>60</v>
          </cell>
          <cell r="BW23">
            <v>60</v>
          </cell>
          <cell r="BX23">
            <v>60</v>
          </cell>
          <cell r="BY23">
            <v>60</v>
          </cell>
          <cell r="BZ23">
            <v>60</v>
          </cell>
          <cell r="CA23">
            <v>60</v>
          </cell>
          <cell r="CB23">
            <v>60</v>
          </cell>
          <cell r="CC23">
            <v>60</v>
          </cell>
          <cell r="CD23">
            <v>60</v>
          </cell>
          <cell r="CE23">
            <v>60</v>
          </cell>
          <cell r="CF23">
            <v>60</v>
          </cell>
          <cell r="CG23">
            <v>60</v>
          </cell>
          <cell r="CH23">
            <v>60</v>
          </cell>
          <cell r="CI23">
            <v>60</v>
          </cell>
          <cell r="CN23">
            <v>60</v>
          </cell>
          <cell r="CS23">
            <v>60</v>
          </cell>
          <cell r="CU23" t="str">
            <v>A321neo</v>
          </cell>
          <cell r="CW23">
            <v>0</v>
          </cell>
          <cell r="CX23">
            <v>0</v>
          </cell>
          <cell r="CY23">
            <v>0</v>
          </cell>
          <cell r="CZ23" t="str">
            <v>A321neo</v>
          </cell>
          <cell r="DA23">
            <v>15</v>
          </cell>
          <cell r="DB23">
            <v>0</v>
          </cell>
          <cell r="DC23">
            <v>0</v>
          </cell>
          <cell r="DD23">
            <v>0</v>
          </cell>
          <cell r="DE23">
            <v>6</v>
          </cell>
          <cell r="DF23">
            <v>15</v>
          </cell>
          <cell r="DG23" t="str">
            <v>ms_eqr_gcim_Decimal:ms_eqr_gcim_decimal</v>
          </cell>
          <cell r="DH23" t="b">
            <v>0</v>
          </cell>
          <cell r="DI23" t="b">
            <v>0</v>
          </cell>
        </row>
        <row r="24">
          <cell r="A24" t="str">
            <v>Number of Aircraft (average)</v>
          </cell>
          <cell r="G24">
            <v>5.8</v>
          </cell>
          <cell r="H24">
            <v>10.5</v>
          </cell>
          <cell r="I24">
            <v>13.2</v>
          </cell>
          <cell r="J24">
            <v>15.9</v>
          </cell>
          <cell r="K24">
            <v>19.399999999999999</v>
          </cell>
          <cell r="L24">
            <v>14.75</v>
          </cell>
          <cell r="M24">
            <v>22.2</v>
          </cell>
          <cell r="N24">
            <v>24.6</v>
          </cell>
          <cell r="O24">
            <v>28.4</v>
          </cell>
          <cell r="P24">
            <v>32.799999999999997</v>
          </cell>
          <cell r="Q24">
            <v>26.999999999999996</v>
          </cell>
          <cell r="R24">
            <v>38.700000000000003</v>
          </cell>
          <cell r="S24">
            <v>41.6</v>
          </cell>
          <cell r="T24">
            <v>45.8</v>
          </cell>
          <cell r="U24">
            <v>49.6</v>
          </cell>
          <cell r="V24">
            <v>43.925000000000004</v>
          </cell>
          <cell r="W24">
            <v>55.3</v>
          </cell>
          <cell r="X24">
            <v>58.6</v>
          </cell>
          <cell r="Y24">
            <v>61.8</v>
          </cell>
          <cell r="Z24">
            <v>66.5</v>
          </cell>
          <cell r="AA24">
            <v>60.55</v>
          </cell>
          <cell r="AB24">
            <v>70.900000000000006</v>
          </cell>
          <cell r="AC24">
            <v>74.3</v>
          </cell>
          <cell r="AD24">
            <v>79.2</v>
          </cell>
          <cell r="AE24">
            <v>85.5</v>
          </cell>
          <cell r="AF24">
            <v>77.474999999999994</v>
          </cell>
          <cell r="AG24">
            <v>95.5</v>
          </cell>
          <cell r="AH24">
            <v>104</v>
          </cell>
          <cell r="AI24">
            <v>112</v>
          </cell>
          <cell r="AJ24">
            <v>117</v>
          </cell>
          <cell r="AK24">
            <v>105.5</v>
          </cell>
          <cell r="AL24">
            <v>122</v>
          </cell>
          <cell r="AM24">
            <v>127.5</v>
          </cell>
          <cell r="AN24">
            <v>132</v>
          </cell>
          <cell r="AO24">
            <v>134</v>
          </cell>
          <cell r="AP24">
            <v>126.5</v>
          </cell>
          <cell r="AQ24">
            <v>137.5</v>
          </cell>
          <cell r="AR24">
            <v>141.5</v>
          </cell>
          <cell r="AS24">
            <v>142.5</v>
          </cell>
          <cell r="AT24">
            <v>139.9</v>
          </cell>
          <cell r="AU24">
            <v>138</v>
          </cell>
          <cell r="AV24">
            <v>144.5</v>
          </cell>
          <cell r="AW24">
            <v>149</v>
          </cell>
          <cell r="AX24">
            <v>151</v>
          </cell>
          <cell r="AY24">
            <v>151</v>
          </cell>
          <cell r="AZ24">
            <v>146.5</v>
          </cell>
          <cell r="BA24">
            <v>151</v>
          </cell>
          <cell r="BB24">
            <v>152</v>
          </cell>
          <cell r="BC24">
            <v>155</v>
          </cell>
          <cell r="BD24">
            <v>159</v>
          </cell>
          <cell r="BE24">
            <v>156</v>
          </cell>
          <cell r="BF24">
            <v>162.5</v>
          </cell>
          <cell r="BG24">
            <v>164.5</v>
          </cell>
          <cell r="BH24">
            <v>166</v>
          </cell>
          <cell r="BI24">
            <v>168</v>
          </cell>
          <cell r="BJ24">
            <v>165</v>
          </cell>
          <cell r="BK24">
            <v>170.5</v>
          </cell>
          <cell r="BL24">
            <v>173.5</v>
          </cell>
          <cell r="BM24">
            <v>175</v>
          </cell>
          <cell r="BN24">
            <v>177.5</v>
          </cell>
          <cell r="BO24">
            <v>174.5</v>
          </cell>
          <cell r="BP24">
            <v>180.5</v>
          </cell>
          <cell r="BQ24">
            <v>183.5</v>
          </cell>
          <cell r="BR24">
            <v>187.5</v>
          </cell>
          <cell r="BS24">
            <v>191.5</v>
          </cell>
          <cell r="BT24">
            <v>187</v>
          </cell>
          <cell r="BU24">
            <v>194.5</v>
          </cell>
          <cell r="BV24">
            <v>196</v>
          </cell>
          <cell r="BW24">
            <v>198</v>
          </cell>
          <cell r="BX24">
            <v>201</v>
          </cell>
          <cell r="BY24">
            <v>198.5</v>
          </cell>
          <cell r="BZ24">
            <v>204</v>
          </cell>
          <cell r="CA24">
            <v>207</v>
          </cell>
          <cell r="CB24">
            <v>210</v>
          </cell>
          <cell r="CC24">
            <v>213</v>
          </cell>
          <cell r="CD24">
            <v>209</v>
          </cell>
          <cell r="CE24">
            <v>216.5</v>
          </cell>
          <cell r="CF24">
            <v>219.5</v>
          </cell>
          <cell r="CG24">
            <v>222</v>
          </cell>
          <cell r="CH24">
            <v>224</v>
          </cell>
          <cell r="CI24">
            <v>220</v>
          </cell>
          <cell r="CN24">
            <v>230</v>
          </cell>
          <cell r="CS24">
            <v>238.5</v>
          </cell>
          <cell r="CW24" t="str">
            <v>2015 deliveries: 12 A321 high density, first 2 Mint</v>
          </cell>
          <cell r="DB24" t="str">
            <v>2015 deliveries: 12 A321 high density, first 2 Mint</v>
          </cell>
          <cell r="DG24" t="str">
            <v>* Mint has 159 seats</v>
          </cell>
          <cell r="DJ24" t="str">
            <v>mstag:numberOfAircraftAverage</v>
          </cell>
          <cell r="DK24">
            <v>0</v>
          </cell>
          <cell r="DL24" t="str">
            <v>ms_eqr_gcim_Decimal:ms_eqr_gcim_decimal</v>
          </cell>
          <cell r="DM24" t="b">
            <v>0</v>
          </cell>
          <cell r="DN24" t="b">
            <v>0</v>
          </cell>
        </row>
        <row r="25">
          <cell r="A25" t="str">
            <v>YoY % Chg.</v>
          </cell>
          <cell r="L25">
            <v>1.5431034482758621</v>
          </cell>
          <cell r="M25">
            <v>1.1142857142857143</v>
          </cell>
          <cell r="N25">
            <v>0.86363636363636376</v>
          </cell>
          <cell r="O25">
            <v>0.78616352201257844</v>
          </cell>
          <cell r="P25">
            <v>0.69072164948453607</v>
          </cell>
          <cell r="Q25">
            <v>0.83050847457627097</v>
          </cell>
          <cell r="R25">
            <v>0.74324324324324342</v>
          </cell>
          <cell r="S25">
            <v>0.69105691056910556</v>
          </cell>
          <cell r="T25">
            <v>0.61267605633802824</v>
          </cell>
          <cell r="U25">
            <v>0.51219512195121975</v>
          </cell>
          <cell r="V25">
            <v>0.62685185185185222</v>
          </cell>
          <cell r="W25">
            <v>0.42894056847545192</v>
          </cell>
          <cell r="X25">
            <v>0.40865384615384603</v>
          </cell>
          <cell r="Y25">
            <v>0.34934497816593879</v>
          </cell>
          <cell r="Z25">
            <v>0.34072580645161277</v>
          </cell>
          <cell r="AA25">
            <v>0.37848605577689232</v>
          </cell>
          <cell r="AB25">
            <v>0.28209764918625702</v>
          </cell>
          <cell r="AC25">
            <v>0.26791808873720124</v>
          </cell>
          <cell r="AD25">
            <v>0.28155339805825252</v>
          </cell>
          <cell r="AE25">
            <v>0.28571428571428581</v>
          </cell>
          <cell r="AF25">
            <v>0.27952105697770424</v>
          </cell>
          <cell r="AG25">
            <v>0.34696755994358242</v>
          </cell>
          <cell r="AH25">
            <v>0.39973082099596247</v>
          </cell>
          <cell r="AI25">
            <v>0.41414141414141414</v>
          </cell>
          <cell r="AJ25">
            <v>0.36842105263157898</v>
          </cell>
          <cell r="AK25">
            <v>0.36172959019038409</v>
          </cell>
          <cell r="AL25">
            <v>0.27748691099476441</v>
          </cell>
          <cell r="AM25">
            <v>0.22596153846153855</v>
          </cell>
          <cell r="AN25">
            <v>0.1785714285714286</v>
          </cell>
          <cell r="AO25">
            <v>0.14529914529914523</v>
          </cell>
          <cell r="AP25">
            <v>0.19905213270142186</v>
          </cell>
          <cell r="AQ25">
            <v>0.12704918032786883</v>
          </cell>
          <cell r="AR25">
            <v>0.1098039215686275</v>
          </cell>
          <cell r="AS25">
            <v>7.9545454545454586E-2</v>
          </cell>
          <cell r="AT25">
            <v>4.4029850746268639E-2</v>
          </cell>
          <cell r="AU25">
            <v>9.0909090909090828E-2</v>
          </cell>
          <cell r="AV25">
            <v>5.0909090909091015E-2</v>
          </cell>
          <cell r="AW25">
            <v>5.3003533568904526E-2</v>
          </cell>
          <cell r="AX25">
            <v>5.9649122807017507E-2</v>
          </cell>
          <cell r="AY25">
            <v>7.9342387419585325E-2</v>
          </cell>
          <cell r="AZ25">
            <v>6.1594202898550776E-2</v>
          </cell>
          <cell r="BA25">
            <v>4.4982698961937739E-2</v>
          </cell>
          <cell r="BB25">
            <v>2.0134228187919545E-2</v>
          </cell>
          <cell r="BC25">
            <v>2.6490066225165476E-2</v>
          </cell>
          <cell r="BD25">
            <v>5.2980132450331174E-2</v>
          </cell>
          <cell r="BE25">
            <v>6.4846416382252636E-2</v>
          </cell>
          <cell r="BF25">
            <v>7.6158940397351049E-2</v>
          </cell>
          <cell r="BG25">
            <v>8.2236842105263053E-2</v>
          </cell>
          <cell r="BH25">
            <v>7.0967741935483941E-2</v>
          </cell>
          <cell r="BI25">
            <v>5.6603773584905648E-2</v>
          </cell>
          <cell r="BJ25">
            <v>5.7692307692307709E-2</v>
          </cell>
          <cell r="BK25">
            <v>4.9230769230769189E-2</v>
          </cell>
          <cell r="BL25">
            <v>5.4711246200607855E-2</v>
          </cell>
          <cell r="BM25">
            <v>5.4216867469879526E-2</v>
          </cell>
          <cell r="BN25">
            <v>5.6547619047619069E-2</v>
          </cell>
          <cell r="BO25">
            <v>5.7575757575757613E-2</v>
          </cell>
          <cell r="BP25">
            <v>5.8651026392961825E-2</v>
          </cell>
          <cell r="BQ25">
            <v>5.7636887608069065E-2</v>
          </cell>
          <cell r="BR25">
            <v>7.1428571428571397E-2</v>
          </cell>
          <cell r="BS25">
            <v>7.8873239436619613E-2</v>
          </cell>
          <cell r="BT25">
            <v>7.1633237822349649E-2</v>
          </cell>
          <cell r="BU25">
            <v>7.756232686980602E-2</v>
          </cell>
          <cell r="BV25">
            <v>6.8119891008174394E-2</v>
          </cell>
          <cell r="BW25">
            <v>5.600000000000005E-2</v>
          </cell>
          <cell r="BX25">
            <v>4.9608355091383727E-2</v>
          </cell>
          <cell r="BY25">
            <v>6.149732620320858E-2</v>
          </cell>
          <cell r="BZ25">
            <v>4.8843187660668308E-2</v>
          </cell>
          <cell r="CA25">
            <v>5.6122448979591733E-2</v>
          </cell>
          <cell r="CB25">
            <v>6.0606060606060552E-2</v>
          </cell>
          <cell r="CC25">
            <v>5.9701492537313383E-2</v>
          </cell>
          <cell r="CD25">
            <v>5.2896725440806147E-2</v>
          </cell>
          <cell r="CE25">
            <v>6.1274509803921573E-2</v>
          </cell>
          <cell r="CF25">
            <v>6.0386473429951737E-2</v>
          </cell>
          <cell r="CG25">
            <v>5.7142857142857162E-2</v>
          </cell>
          <cell r="CH25">
            <v>5.164319248826299E-2</v>
          </cell>
          <cell r="CI25">
            <v>5.2631578947368363E-2</v>
          </cell>
          <cell r="CN25">
            <v>4.5454545454545414E-2</v>
          </cell>
          <cell r="CS25">
            <v>3.6956521739130332E-2</v>
          </cell>
          <cell r="CW25" t="str">
            <v>2016 deliveries: 10 A321 Mint</v>
          </cell>
          <cell r="DB25" t="str">
            <v>2016 deliveries: 10 A321 Mint</v>
          </cell>
        </row>
        <row r="26">
          <cell r="A26" t="str">
            <v>INCOME STATEMENT</v>
          </cell>
        </row>
        <row r="27">
          <cell r="A27" t="str">
            <v>OPERATING REVENUE</v>
          </cell>
          <cell r="B27">
            <v>0</v>
          </cell>
          <cell r="G27">
            <v>101.66500000000001</v>
          </cell>
          <cell r="H27">
            <v>61.960999999999999</v>
          </cell>
          <cell r="I27">
            <v>76.156000000000006</v>
          </cell>
          <cell r="J27">
            <v>80.274000000000001</v>
          </cell>
          <cell r="K27">
            <v>92.106999999999999</v>
          </cell>
          <cell r="L27">
            <v>310.49800000000005</v>
          </cell>
          <cell r="M27">
            <v>129.09100000000001</v>
          </cell>
          <cell r="N27">
            <v>144.29499999999999</v>
          </cell>
          <cell r="O27">
            <v>160.239</v>
          </cell>
          <cell r="P27">
            <v>181.54599999999999</v>
          </cell>
          <cell r="Q27">
            <v>615.17100000000005</v>
          </cell>
          <cell r="R27">
            <v>209.90299999999999</v>
          </cell>
          <cell r="S27">
            <v>237.03700000000001</v>
          </cell>
          <cell r="T27">
            <v>264.43099999999998</v>
          </cell>
          <cell r="U27">
            <v>253.72</v>
          </cell>
          <cell r="V27">
            <v>965.09100000000001</v>
          </cell>
          <cell r="W27">
            <v>279.61599999999999</v>
          </cell>
          <cell r="X27">
            <v>309.17500000000001</v>
          </cell>
          <cell r="Y27">
            <v>311.60199999999998</v>
          </cell>
          <cell r="Z27">
            <v>316.86500000000001</v>
          </cell>
          <cell r="AA27">
            <v>1217.2579999999998</v>
          </cell>
          <cell r="AB27">
            <v>357.88400000000001</v>
          </cell>
          <cell r="AC27">
            <v>411</v>
          </cell>
          <cell r="AD27">
            <v>431.529</v>
          </cell>
          <cell r="AE27">
            <v>420.95800000000003</v>
          </cell>
          <cell r="AF27">
            <v>1621.3710000000001</v>
          </cell>
          <cell r="AG27">
            <v>463.4</v>
          </cell>
          <cell r="AH27">
            <v>579</v>
          </cell>
          <cell r="AI27">
            <v>589</v>
          </cell>
          <cell r="AJ27">
            <v>592</v>
          </cell>
          <cell r="AK27">
            <v>2223.4</v>
          </cell>
          <cell r="AL27">
            <v>564</v>
          </cell>
          <cell r="AM27">
            <v>683</v>
          </cell>
          <cell r="AN27">
            <v>712</v>
          </cell>
          <cell r="AO27">
            <v>677</v>
          </cell>
          <cell r="AP27">
            <v>2636</v>
          </cell>
          <cell r="AQ27">
            <v>748</v>
          </cell>
          <cell r="AR27">
            <v>779</v>
          </cell>
          <cell r="AS27">
            <v>807</v>
          </cell>
          <cell r="AT27">
            <v>722</v>
          </cell>
          <cell r="AU27">
            <v>3056</v>
          </cell>
          <cell r="AV27">
            <v>708</v>
          </cell>
          <cell r="AW27">
            <v>723</v>
          </cell>
          <cell r="AX27">
            <v>765</v>
          </cell>
          <cell r="AY27">
            <v>737</v>
          </cell>
          <cell r="AZ27">
            <v>2933</v>
          </cell>
          <cell r="BA27">
            <v>785</v>
          </cell>
          <cell r="BB27">
            <v>850</v>
          </cell>
          <cell r="BC27">
            <v>932</v>
          </cell>
          <cell r="BD27">
            <v>845</v>
          </cell>
          <cell r="BE27">
            <v>3412</v>
          </cell>
          <cell r="BF27">
            <v>906</v>
          </cell>
          <cell r="BG27">
            <v>1046</v>
          </cell>
          <cell r="BH27">
            <v>1087</v>
          </cell>
          <cell r="BI27">
            <v>1041</v>
          </cell>
          <cell r="BJ27">
            <v>4080</v>
          </cell>
          <cell r="BK27">
            <v>1096</v>
          </cell>
          <cell r="BL27">
            <v>1171</v>
          </cell>
          <cell r="BM27">
            <v>1194</v>
          </cell>
          <cell r="BN27">
            <v>1089</v>
          </cell>
          <cell r="BO27">
            <v>4550</v>
          </cell>
          <cell r="BP27">
            <v>1186</v>
          </cell>
          <cell r="BQ27">
            <v>1222</v>
          </cell>
          <cell r="BR27">
            <v>1321</v>
          </cell>
          <cell r="BS27">
            <v>1242</v>
          </cell>
          <cell r="BT27">
            <v>4971</v>
          </cell>
          <cell r="BU27">
            <v>1230</v>
          </cell>
          <cell r="BV27">
            <v>1372</v>
          </cell>
          <cell r="BW27">
            <v>1414</v>
          </cell>
          <cell r="BX27">
            <v>1327</v>
          </cell>
          <cell r="BY27">
            <v>5343</v>
          </cell>
          <cell r="BZ27">
            <v>1408</v>
          </cell>
          <cell r="CA27">
            <v>1496</v>
          </cell>
          <cell r="CB27">
            <v>1548.3300000000002</v>
          </cell>
          <cell r="CC27">
            <v>1481.5954999999999</v>
          </cell>
          <cell r="CD27">
            <v>5933.9254999999994</v>
          </cell>
          <cell r="CE27">
            <v>1533.5935999999999</v>
          </cell>
          <cell r="CF27">
            <v>1605.3575999999998</v>
          </cell>
          <cell r="CG27">
            <v>1628.5500000000002</v>
          </cell>
          <cell r="CH27">
            <v>1540.2489000000003</v>
          </cell>
          <cell r="CI27">
            <v>6357.830302906249</v>
          </cell>
          <cell r="CN27">
            <v>6866.4567271387496</v>
          </cell>
          <cell r="DE27" t="str">
            <v>mstag:mainlineAirlinePassengerRevenue</v>
          </cell>
          <cell r="DF27">
            <v>6</v>
          </cell>
          <cell r="DG27" t="str">
            <v>ISO4217:USD</v>
          </cell>
          <cell r="DH27" t="b">
            <v>0</v>
          </cell>
          <cell r="DI27" t="b">
            <v>0</v>
          </cell>
        </row>
        <row r="28">
          <cell r="A28" t="str">
            <v>Pax Revenue (mm)</v>
          </cell>
          <cell r="B28">
            <v>0</v>
          </cell>
          <cell r="G28">
            <v>101.66500000000001</v>
          </cell>
          <cell r="H28">
            <v>61.960999999999999</v>
          </cell>
          <cell r="I28">
            <v>76.156000000000006</v>
          </cell>
          <cell r="J28">
            <v>80.274000000000001</v>
          </cell>
          <cell r="K28">
            <v>92.106999999999999</v>
          </cell>
          <cell r="L28">
            <v>310.49800000000005</v>
          </cell>
          <cell r="M28">
            <v>129.09100000000001</v>
          </cell>
          <cell r="N28">
            <v>144.29499999999999</v>
          </cell>
          <cell r="O28">
            <v>160.239</v>
          </cell>
          <cell r="P28">
            <v>181.54599999999999</v>
          </cell>
          <cell r="Q28">
            <v>615.17100000000005</v>
          </cell>
          <cell r="R28">
            <v>209.90299999999999</v>
          </cell>
          <cell r="S28">
            <v>237.03700000000001</v>
          </cell>
          <cell r="T28">
            <v>264.43099999999998</v>
          </cell>
          <cell r="U28">
            <v>253.72</v>
          </cell>
          <cell r="V28">
            <v>965.09100000000001</v>
          </cell>
          <cell r="W28">
            <v>279.61599999999999</v>
          </cell>
          <cell r="X28">
            <v>309.17500000000001</v>
          </cell>
          <cell r="Y28">
            <v>311.60199999999998</v>
          </cell>
          <cell r="Z28">
            <v>316.86500000000001</v>
          </cell>
          <cell r="AA28">
            <v>1217.2579999999998</v>
          </cell>
          <cell r="AB28">
            <v>357.88400000000001</v>
          </cell>
          <cell r="AC28">
            <v>411</v>
          </cell>
          <cell r="AD28">
            <v>431.529</v>
          </cell>
          <cell r="AE28">
            <v>420.95800000000003</v>
          </cell>
          <cell r="AF28">
            <v>1621.3710000000001</v>
          </cell>
          <cell r="AG28">
            <v>463.4</v>
          </cell>
          <cell r="AH28">
            <v>579</v>
          </cell>
          <cell r="AI28">
            <v>589</v>
          </cell>
          <cell r="AJ28">
            <v>592</v>
          </cell>
          <cell r="AK28">
            <v>2223.4</v>
          </cell>
          <cell r="AL28">
            <v>564</v>
          </cell>
          <cell r="AM28">
            <v>683</v>
          </cell>
          <cell r="AN28">
            <v>712</v>
          </cell>
          <cell r="AO28">
            <v>677</v>
          </cell>
          <cell r="AP28">
            <v>2636</v>
          </cell>
          <cell r="AQ28">
            <v>748</v>
          </cell>
          <cell r="AR28">
            <v>779</v>
          </cell>
          <cell r="AS28">
            <v>807</v>
          </cell>
          <cell r="AT28">
            <v>722</v>
          </cell>
          <cell r="AU28">
            <v>3056</v>
          </cell>
          <cell r="AV28">
            <v>708</v>
          </cell>
          <cell r="AW28">
            <v>723</v>
          </cell>
          <cell r="AX28">
            <v>765</v>
          </cell>
          <cell r="AY28">
            <v>737</v>
          </cell>
          <cell r="AZ28">
            <v>2933</v>
          </cell>
          <cell r="BA28">
            <v>785</v>
          </cell>
          <cell r="BB28">
            <v>850</v>
          </cell>
          <cell r="BC28">
            <v>932</v>
          </cell>
          <cell r="BD28">
            <v>845</v>
          </cell>
          <cell r="BE28">
            <v>3412</v>
          </cell>
          <cell r="BF28">
            <v>906</v>
          </cell>
          <cell r="BG28">
            <v>1046</v>
          </cell>
          <cell r="BH28">
            <v>1087</v>
          </cell>
          <cell r="BI28">
            <v>1041</v>
          </cell>
          <cell r="BJ28">
            <v>4080</v>
          </cell>
          <cell r="BK28">
            <v>1096</v>
          </cell>
          <cell r="BL28">
            <v>1171</v>
          </cell>
          <cell r="BM28">
            <v>1194</v>
          </cell>
          <cell r="BN28">
            <v>1089</v>
          </cell>
          <cell r="BO28">
            <v>4550</v>
          </cell>
          <cell r="BP28">
            <v>1186</v>
          </cell>
          <cell r="BQ28">
            <v>1222</v>
          </cell>
          <cell r="BR28">
            <v>1321</v>
          </cell>
          <cell r="BS28">
            <v>1242</v>
          </cell>
          <cell r="BT28">
            <v>4971</v>
          </cell>
          <cell r="BU28">
            <v>1230</v>
          </cell>
          <cell r="BV28">
            <v>1372</v>
          </cell>
          <cell r="BW28">
            <v>1414</v>
          </cell>
          <cell r="BX28">
            <v>1327</v>
          </cell>
          <cell r="BY28">
            <v>5343</v>
          </cell>
          <cell r="BZ28">
            <v>1408</v>
          </cell>
          <cell r="CA28">
            <v>1496</v>
          </cell>
          <cell r="CB28">
            <v>1551</v>
          </cell>
          <cell r="CC28">
            <v>1435.7411588859743</v>
          </cell>
          <cell r="CD28">
            <v>5890.7411588859741</v>
          </cell>
          <cell r="CE28">
            <v>1482.3423999999998</v>
          </cell>
          <cell r="CF28">
            <v>1571.548</v>
          </cell>
          <cell r="CG28">
            <v>1628.5500000000002</v>
          </cell>
          <cell r="CH28">
            <v>1537.427526464073</v>
          </cell>
          <cell r="CI28">
            <v>6219.8679264640723</v>
          </cell>
          <cell r="CN28">
            <v>6717.4573605811984</v>
          </cell>
          <cell r="CS28">
            <v>7254.8539494276947</v>
          </cell>
          <cell r="CW28">
            <v>12.5</v>
          </cell>
          <cell r="CX28">
            <v>20</v>
          </cell>
          <cell r="DJ28" t="str">
            <v>mstag:mainlineAirlinePassengerRevenue</v>
          </cell>
          <cell r="DK28">
            <v>6</v>
          </cell>
          <cell r="DL28" t="str">
            <v>ISO4217:USD</v>
          </cell>
          <cell r="DM28" t="b">
            <v>0</v>
          </cell>
          <cell r="DN28" t="b">
            <v>0</v>
          </cell>
        </row>
        <row r="29">
          <cell r="A29" t="str">
            <v>YoY % Chg.</v>
          </cell>
          <cell r="H29">
            <v>8.3074121943763632</v>
          </cell>
          <cell r="I29">
            <v>7.9267734172682847</v>
          </cell>
          <cell r="J29">
            <v>7.0975311512776615</v>
          </cell>
          <cell r="K29">
            <v>6.7199111667534863</v>
          </cell>
          <cell r="L29">
            <v>2.0541287562091184</v>
          </cell>
          <cell r="M29">
            <v>1.0834234437791515</v>
          </cell>
          <cell r="N29">
            <v>0.89472923998109111</v>
          </cell>
          <cell r="O29">
            <v>0.99615068390761641</v>
          </cell>
          <cell r="P29">
            <v>0.97103368907900589</v>
          </cell>
          <cell r="Q29">
            <v>0.98123981474920918</v>
          </cell>
          <cell r="R29">
            <v>0.62600800985351412</v>
          </cell>
          <cell r="S29">
            <v>0.64272497314529287</v>
          </cell>
          <cell r="T29">
            <v>0.65022872084823291</v>
          </cell>
          <cell r="U29">
            <v>0.39755213554691382</v>
          </cell>
          <cell r="V29">
            <v>0.56881745075759405</v>
          </cell>
          <cell r="W29">
            <v>0.33212007451060721</v>
          </cell>
          <cell r="X29">
            <v>0.30433223505191176</v>
          </cell>
          <cell r="Y29">
            <v>0.17838680033732812</v>
          </cell>
          <cell r="Z29">
            <v>0.24887671448841253</v>
          </cell>
          <cell r="AA29">
            <v>0.26128831374450678</v>
          </cell>
          <cell r="AB29">
            <v>0.27991245136186782</v>
          </cell>
          <cell r="AC29">
            <v>0.32934422252769457</v>
          </cell>
          <cell r="AD29">
            <v>0.38487236924024892</v>
          </cell>
          <cell r="AE29">
            <v>0.32850898647689086</v>
          </cell>
          <cell r="AF29">
            <v>0.33198631678740287</v>
          </cell>
          <cell r="AG29">
            <v>0.29483296263593783</v>
          </cell>
          <cell r="AH29">
            <v>0.40875912408759119</v>
          </cell>
          <cell r="AI29">
            <v>0.36491406139564209</v>
          </cell>
          <cell r="AJ29">
            <v>0.40631606953662835</v>
          </cell>
          <cell r="AK29">
            <v>0.37130860241116936</v>
          </cell>
          <cell r="AL29">
            <v>0.21709106603366424</v>
          </cell>
          <cell r="AM29">
            <v>0.17962003454231423</v>
          </cell>
          <cell r="AN29">
            <v>0.20882852292020382</v>
          </cell>
          <cell r="AO29">
            <v>0.14358108108108114</v>
          </cell>
          <cell r="AP29">
            <v>0.18557164702707563</v>
          </cell>
          <cell r="AQ29">
            <v>0.32624113475177308</v>
          </cell>
          <cell r="AR29">
            <v>0.14055636896046853</v>
          </cell>
          <cell r="AS29">
            <v>0.1334269662921348</v>
          </cell>
          <cell r="AT29">
            <v>6.6469719350073841E-2</v>
          </cell>
          <cell r="AU29">
            <v>0.15933232169954481</v>
          </cell>
          <cell r="AV29">
            <v>-5.3475935828876997E-2</v>
          </cell>
          <cell r="AW29">
            <v>-7.188703465982027E-2</v>
          </cell>
          <cell r="AX29">
            <v>-5.2044609665427455E-2</v>
          </cell>
          <cell r="AY29">
            <v>2.0775623268697974E-2</v>
          </cell>
          <cell r="AZ29">
            <v>-4.0248691099476486E-2</v>
          </cell>
          <cell r="BA29">
            <v>0.10875706214689274</v>
          </cell>
          <cell r="BB29">
            <v>0.17565698478561553</v>
          </cell>
          <cell r="BC29">
            <v>0.21830065359477113</v>
          </cell>
          <cell r="BD29">
            <v>0.14654002713704206</v>
          </cell>
          <cell r="BE29">
            <v>0.16331401295601777</v>
          </cell>
          <cell r="BF29">
            <v>0.154140127388535</v>
          </cell>
          <cell r="BG29">
            <v>0.23058823529411754</v>
          </cell>
          <cell r="BH29">
            <v>0.16630901287553645</v>
          </cell>
          <cell r="BI29">
            <v>0.23195266272189352</v>
          </cell>
          <cell r="BJ29">
            <v>0.19577960140679962</v>
          </cell>
          <cell r="BK29">
            <v>0.20971302428256067</v>
          </cell>
          <cell r="BL29">
            <v>0.1195028680688337</v>
          </cell>
          <cell r="BM29">
            <v>9.8436062557497594E-2</v>
          </cell>
          <cell r="BN29">
            <v>4.6109510086455252E-2</v>
          </cell>
          <cell r="BO29">
            <v>0.11519607843137258</v>
          </cell>
          <cell r="BP29">
            <v>8.2116788321167977E-2</v>
          </cell>
          <cell r="BQ29">
            <v>4.3552519214346663E-2</v>
          </cell>
          <cell r="BR29">
            <v>0.10636515912897826</v>
          </cell>
          <cell r="BS29">
            <v>0.14049586776859502</v>
          </cell>
          <cell r="BT29">
            <v>9.252747252747251E-2</v>
          </cell>
          <cell r="BU29">
            <v>3.7099494097807773E-2</v>
          </cell>
          <cell r="BV29">
            <v>0.12274959083469716</v>
          </cell>
          <cell r="BW29">
            <v>7.0401211203633629E-2</v>
          </cell>
          <cell r="BX29">
            <v>6.8438003220611998E-2</v>
          </cell>
          <cell r="BY29">
            <v>7.4834037417018662E-2</v>
          </cell>
          <cell r="BZ29">
            <v>0.1447154471544716</v>
          </cell>
          <cell r="CA29">
            <v>9.0379008746355627E-2</v>
          </cell>
          <cell r="CB29">
            <v>9.6888260254596847E-2</v>
          </cell>
          <cell r="CC29">
            <v>8.3647324792765598E-2</v>
          </cell>
          <cell r="CD29">
            <v>0.10293842410630738</v>
          </cell>
          <cell r="CE29">
            <v>4.9715909090909172E-2</v>
          </cell>
          <cell r="CF29">
            <v>2.4999999999941735E-5</v>
          </cell>
          <cell r="CG29">
            <v>2.7200000000000113E-2</v>
          </cell>
          <cell r="CH29">
            <v>4.9724999999999797E-2</v>
          </cell>
          <cell r="CI29">
            <v>3.1177524181231986E-2</v>
          </cell>
          <cell r="CN29">
            <v>8.0000000000000071E-2</v>
          </cell>
          <cell r="CS29">
            <v>8.0000000000000071E-2</v>
          </cell>
          <cell r="CU29" t="str">
            <v>9/11: 3Q15 PRASM -0.5 to +0.5%</v>
          </cell>
        </row>
        <row r="30">
          <cell r="A30" t="str">
            <v>Revenue per ASM (unit rev., in cents)</v>
          </cell>
          <cell r="H30">
            <v>8.3074121943763632</v>
          </cell>
          <cell r="I30">
            <v>7.9267734172682847</v>
          </cell>
          <cell r="J30">
            <v>7.0975311512776615</v>
          </cell>
          <cell r="K30">
            <v>6.7199111667534863</v>
          </cell>
          <cell r="L30">
            <v>7.3782865963590254</v>
          </cell>
          <cell r="M30">
            <v>7.994884403624269</v>
          </cell>
          <cell r="N30">
            <v>7.468248492712382</v>
          </cell>
          <cell r="O30">
            <v>7.194464573865397</v>
          </cell>
          <cell r="P30">
            <v>7.3622582577321642</v>
          </cell>
          <cell r="Q30">
            <v>7.4657236498624142</v>
          </cell>
          <cell r="R30">
            <v>7.1932108574465801</v>
          </cell>
          <cell r="S30">
            <v>7.2372870333251003</v>
          </cell>
          <cell r="T30">
            <v>7.1374453046702948</v>
          </cell>
          <cell r="U30">
            <v>6.7814966601690241</v>
          </cell>
          <cell r="V30">
            <v>7.0757128126803588</v>
          </cell>
          <cell r="W30">
            <v>6.6282961797028337</v>
          </cell>
          <cell r="X30">
            <v>6.639222899011016</v>
          </cell>
          <cell r="Y30">
            <v>6.3076306456575599</v>
          </cell>
          <cell r="Z30">
            <v>6.2183357746284287</v>
          </cell>
          <cell r="AA30">
            <v>6.4367548900375757</v>
          </cell>
          <cell r="AB30">
            <v>6.9241251057093596</v>
          </cell>
          <cell r="AC30">
            <v>7.0302076562553451</v>
          </cell>
          <cell r="AD30">
            <v>6.8151990678255459</v>
          </cell>
          <cell r="AE30">
            <v>6.6226069905523266</v>
          </cell>
          <cell r="AF30">
            <v>6.8403348524880334</v>
          </cell>
          <cell r="AG30">
            <v>7.0457655466017943</v>
          </cell>
          <cell r="AH30">
            <v>8.0394334906970286</v>
          </cell>
          <cell r="AI30">
            <v>7.8147804166113835</v>
          </cell>
          <cell r="AJ30">
            <v>8.1341027754877704</v>
          </cell>
          <cell r="AK30">
            <v>7.7757571518500397</v>
          </cell>
          <cell r="AL30">
            <v>7.6526458616010862</v>
          </cell>
          <cell r="AM30">
            <v>8.4676419538804861</v>
          </cell>
          <cell r="AN30">
            <v>8.5218432076600834</v>
          </cell>
          <cell r="AO30">
            <v>8.3446320719832361</v>
          </cell>
          <cell r="AP30">
            <v>8.2622868605817459</v>
          </cell>
          <cell r="AQ30">
            <v>8.9100655151876129</v>
          </cell>
          <cell r="AR30">
            <v>9.2926160085888103</v>
          </cell>
          <cell r="AS30">
            <v>9.8969830757910238</v>
          </cell>
          <cell r="AT30">
            <v>9.6138482023968042</v>
          </cell>
          <cell r="AU30">
            <v>9.4198877997657355</v>
          </cell>
          <cell r="AV30">
            <v>8.9141821112006454</v>
          </cell>
          <cell r="AW30">
            <v>8.7774675245841927</v>
          </cell>
          <cell r="AX30">
            <v>9.1169109760457641</v>
          </cell>
          <cell r="AY30">
            <v>9.2263395092638962</v>
          </cell>
          <cell r="AZ30">
            <v>9.0084279325765397</v>
          </cell>
          <cell r="BA30">
            <v>9.3190338595520679</v>
          </cell>
          <cell r="BB30">
            <v>9.7833528309800197</v>
          </cell>
          <cell r="BC30">
            <v>10.239507800483411</v>
          </cell>
          <cell r="BD30">
            <v>9.9059927152853575</v>
          </cell>
          <cell r="BE30">
            <v>9.8203899040174853</v>
          </cell>
          <cell r="BF30">
            <v>10.645283980574824</v>
          </cell>
          <cell r="BG30">
            <v>11.079334816227094</v>
          </cell>
          <cell r="BH30">
            <v>11.029934043632673</v>
          </cell>
          <cell r="BI30">
            <v>11.045092838196286</v>
          </cell>
          <cell r="BJ30">
            <v>10.958371055332226</v>
          </cell>
          <cell r="BK30">
            <v>11.493288590604028</v>
          </cell>
          <cell r="BL30">
            <v>11.755847806445136</v>
          </cell>
          <cell r="BM30">
            <v>11.154708520179373</v>
          </cell>
          <cell r="BN30">
            <v>11.028964958476809</v>
          </cell>
          <cell r="BO30">
            <v>11.353711790393014</v>
          </cell>
          <cell r="BP30">
            <v>11.696252465483235</v>
          </cell>
          <cell r="BQ30">
            <v>11.376966762871241</v>
          </cell>
          <cell r="BR30">
            <v>11.740135087095629</v>
          </cell>
          <cell r="BS30">
            <v>11.617248152651763</v>
          </cell>
          <cell r="BT30">
            <v>11.607976835419391</v>
          </cell>
          <cell r="BU30">
            <v>11.805355600345523</v>
          </cell>
          <cell r="BV30">
            <v>12.049885824696997</v>
          </cell>
          <cell r="BW30">
            <v>12.031994554118448</v>
          </cell>
          <cell r="BX30">
            <v>11.603707590066458</v>
          </cell>
          <cell r="BY30">
            <v>11.875180583646346</v>
          </cell>
          <cell r="BZ30">
            <v>12.330326648568175</v>
          </cell>
          <cell r="CA30">
            <v>12.225218599329901</v>
          </cell>
          <cell r="CB30">
            <v>11.952836004932182</v>
          </cell>
          <cell r="CC30">
            <v>11.389196895295422</v>
          </cell>
          <cell r="CD30">
            <v>11.963538917536237</v>
          </cell>
          <cell r="CE30">
            <v>11.22059725019704</v>
          </cell>
          <cell r="CF30">
            <v>11.491705483370106</v>
          </cell>
          <cell r="CG30">
            <v>11.654015104808877</v>
          </cell>
          <cell r="CH30">
            <v>11.389196895295422</v>
          </cell>
          <cell r="CI30">
            <v>11.442701407657106</v>
          </cell>
          <cell r="CN30">
            <v>11.328274393580534</v>
          </cell>
          <cell r="CS30">
            <v>11.328274393580534</v>
          </cell>
          <cell r="CU30" t="str">
            <v>4/28: April PRASM 3%-4%, May/June shoulder months but modestly positive</v>
          </cell>
          <cell r="CV30" t="str">
            <v>7/28: July PRASM 0-1%</v>
          </cell>
          <cell r="CZ30" t="str">
            <v>12/10: 4Q15 PRASM down 2-3%</v>
          </cell>
        </row>
        <row r="31">
          <cell r="A31" t="str">
            <v>YoY % Chg.</v>
          </cell>
          <cell r="M31">
            <v>-3.7620354382277732E-2</v>
          </cell>
          <cell r="N31">
            <v>-5.78450903563128E-2</v>
          </cell>
          <cell r="O31">
            <v>1.3657343732867755E-2</v>
          </cell>
          <cell r="P31">
            <v>9.5588628337330839E-2</v>
          </cell>
          <cell r="Q31">
            <v>1.1850590562114682E-2</v>
          </cell>
          <cell r="R31">
            <v>-0.10027331299677977</v>
          </cell>
          <cell r="S31">
            <v>-3.0925786630246366E-2</v>
          </cell>
          <cell r="T31">
            <v>-7.9254360918296074E-3</v>
          </cell>
          <cell r="U31">
            <v>-7.8883622012743015E-2</v>
          </cell>
          <cell r="V31">
            <v>-5.224019203942043E-2</v>
          </cell>
          <cell r="W31">
            <v>-7.8534424881891773E-2</v>
          </cell>
          <cell r="X31">
            <v>-8.2636508896249961E-2</v>
          </cell>
          <cell r="Y31">
            <v>-0.11626213912557148</v>
          </cell>
          <cell r="Z31">
            <v>-8.3043745910590605E-2</v>
          </cell>
          <cell r="AA31">
            <v>-9.0302975764888105E-2</v>
          </cell>
          <cell r="AB31">
            <v>4.4631217131245959E-2</v>
          </cell>
          <cell r="AC31">
            <v>5.8890138679117188E-2</v>
          </cell>
          <cell r="AD31">
            <v>8.0468951129441635E-2</v>
          </cell>
          <cell r="AE31">
            <v>6.5012767173714625E-2</v>
          </cell>
          <cell r="AF31">
            <v>6.2699290146203124E-2</v>
          </cell>
          <cell r="AG31">
            <v>1.7567626095047695E-2</v>
          </cell>
          <cell r="AH31">
            <v>0.14355562222172669</v>
          </cell>
          <cell r="AI31">
            <v>0.14666942797090798</v>
          </cell>
          <cell r="AJ31">
            <v>0.22823274687622441</v>
          </cell>
          <cell r="AK31">
            <v>0.13675095145696936</v>
          </cell>
          <cell r="AL31">
            <v>8.6134049023529169E-2</v>
          </cell>
          <cell r="AM31">
            <v>5.3263512121714429E-2</v>
          </cell>
          <cell r="AN31">
            <v>9.0477627438608765E-2</v>
          </cell>
          <cell r="AO31">
            <v>2.5882301011723063E-2</v>
          </cell>
          <cell r="AP31">
            <v>6.2570075071846754E-2</v>
          </cell>
          <cell r="AQ31">
            <v>0.16431175260518982</v>
          </cell>
          <cell r="AR31">
            <v>9.7426657763943547E-2</v>
          </cell>
          <cell r="AS31">
            <v>0.16136648312126423</v>
          </cell>
          <cell r="AT31">
            <v>0.15209971146300272</v>
          </cell>
          <cell r="AU31">
            <v>0.14010660229031102</v>
          </cell>
          <cell r="AV31">
            <v>4.6201635734499646E-4</v>
          </cell>
          <cell r="AW31">
            <v>-5.5436325306941092E-2</v>
          </cell>
          <cell r="AX31">
            <v>-7.8819180933368593E-2</v>
          </cell>
          <cell r="AY31">
            <v>-4.0307344673519929E-2</v>
          </cell>
          <cell r="AZ31">
            <v>-4.3679911686360873E-2</v>
          </cell>
          <cell r="BA31">
            <v>4.5416589351784387E-2</v>
          </cell>
          <cell r="BB31">
            <v>0.1145985790979589</v>
          </cell>
          <cell r="BC31">
            <v>0.12313346344910192</v>
          </cell>
          <cell r="BD31">
            <v>7.3664447892801022E-2</v>
          </cell>
          <cell r="BE31">
            <v>9.013359240014629E-2</v>
          </cell>
          <cell r="BF31">
            <v>0.14231626808216191</v>
          </cell>
          <cell r="BG31">
            <v>0.1324680820202262</v>
          </cell>
          <cell r="BH31">
            <v>7.7193773231165164E-2</v>
          </cell>
          <cell r="BI31">
            <v>0.11499101156749791</v>
          </cell>
          <cell r="BJ31">
            <v>0.11587942662533157</v>
          </cell>
          <cell r="BK31">
            <v>7.9660121005378004E-2</v>
          </cell>
          <cell r="BL31">
            <v>6.1060794843676103E-2</v>
          </cell>
          <cell r="BM31">
            <v>1.1312350196575283E-2</v>
          </cell>
          <cell r="BN31">
            <v>-1.4601850754665247E-3</v>
          </cell>
          <cell r="BO31">
            <v>3.6076596883295009E-2</v>
          </cell>
          <cell r="BP31">
            <v>1.7659338602628916E-2</v>
          </cell>
          <cell r="BQ31">
            <v>-3.2229155209560711E-2</v>
          </cell>
          <cell r="BR31">
            <v>5.2482462079326719E-2</v>
          </cell>
          <cell r="BS31">
            <v>5.3339837091675779E-2</v>
          </cell>
          <cell r="BT31">
            <v>2.2394882811938688E-2</v>
          </cell>
          <cell r="BU31">
            <v>9.3280420531500763E-3</v>
          </cell>
          <cell r="BV31">
            <v>5.9147492987483119E-2</v>
          </cell>
          <cell r="BW31">
            <v>2.4859975192587092E-2</v>
          </cell>
          <cell r="BX31">
            <v>-1.1655568003180461E-3</v>
          </cell>
          <cell r="BY31">
            <v>2.3018976692961379E-2</v>
          </cell>
          <cell r="BZ31">
            <v>4.4468889036030967E-2</v>
          </cell>
          <cell r="CA31">
            <v>1.4550575597450877E-2</v>
          </cell>
          <cell r="CB31">
            <v>-6.5790047385926309E-3</v>
          </cell>
          <cell r="CC31">
            <v>-0.02</v>
          </cell>
          <cell r="CD31">
            <v>7.0618488087186293E-3</v>
          </cell>
          <cell r="CE31">
            <v>-0.06</v>
          </cell>
          <cell r="CF31">
            <v>-4.4999999999999998E-2</v>
          </cell>
          <cell r="CG31">
            <v>0</v>
          </cell>
          <cell r="CH31">
            <v>1.4999999999999999E-2</v>
          </cell>
          <cell r="CI31">
            <v>-2.2277981669198921E-2</v>
          </cell>
          <cell r="CJ31">
            <v>-1</v>
          </cell>
          <cell r="CK31">
            <v>-1</v>
          </cell>
          <cell r="CL31">
            <v>-1</v>
          </cell>
          <cell r="CM31">
            <v>-1</v>
          </cell>
          <cell r="CN31">
            <v>0.01</v>
          </cell>
          <cell r="CS31">
            <v>0</v>
          </cell>
          <cell r="CV31" t="str">
            <v>1Q15 +2 pt weather</v>
          </cell>
          <cell r="DA31" t="str">
            <v>1Q15 +2 pt weather</v>
          </cell>
        </row>
        <row r="32">
          <cell r="A32" t="str">
            <v>2 YoY % Chg.</v>
          </cell>
          <cell r="I32">
            <v>-4.5819175478706731E-2</v>
          </cell>
          <cell r="J32">
            <v>-0.10461283833143742</v>
          </cell>
          <cell r="K32">
            <v>-5.3204413827221853E-2</v>
          </cell>
          <cell r="M32">
            <v>0.18973066834256169</v>
          </cell>
          <cell r="N32">
            <v>-6.5871610435436767E-2</v>
          </cell>
          <cell r="O32">
            <v>-3.6659722706622211E-2</v>
          </cell>
          <cell r="P32">
            <v>2.3322608950816726E-2</v>
          </cell>
          <cell r="R32">
            <v>-0.13412134980903356</v>
          </cell>
          <cell r="S32">
            <v>-8.6981972064592461E-2</v>
          </cell>
          <cell r="T32">
            <v>5.6236672360991946E-3</v>
          </cell>
          <cell r="U32">
            <v>9.1646290981091116E-3</v>
          </cell>
          <cell r="V32">
            <v>-4.1008678604051219E-2</v>
          </cell>
          <cell r="W32">
            <v>-0.17093283091146738</v>
          </cell>
          <cell r="X32">
            <v>-0.11100669648450245</v>
          </cell>
          <cell r="Y32">
            <v>-0.12326614706386196</v>
          </cell>
          <cell r="Z32">
            <v>-0.15537657646040037</v>
          </cell>
          <cell r="AA32">
            <v>-0.13782572300861973</v>
          </cell>
          <cell r="AB32">
            <v>-3.7408294719826873E-2</v>
          </cell>
          <cell r="AC32">
            <v>-2.8612845685991095E-2</v>
          </cell>
          <cell r="AD32">
            <v>-4.5148680387629869E-2</v>
          </cell>
          <cell r="AE32">
            <v>-2.3429882454994444E-2</v>
          </cell>
          <cell r="AF32">
            <v>-3.3265618097233274E-2</v>
          </cell>
          <cell r="AG32">
            <v>6.2982907761022444E-2</v>
          </cell>
          <cell r="AH32">
            <v>0.21089977140164828</v>
          </cell>
          <cell r="AI32">
            <v>0.23894071413192353</v>
          </cell>
          <cell r="AJ32">
            <v>0.3080835564840203</v>
          </cell>
          <cell r="AK32">
            <v>0.20802442918634223</v>
          </cell>
          <cell r="AL32">
            <v>0.10521484588587482</v>
          </cell>
          <cell r="AM32">
            <v>0.20446541096778836</v>
          </cell>
          <cell r="AN32">
            <v>0.25041735727010228</v>
          </cell>
          <cell r="AO32">
            <v>0.26002223654333023</v>
          </cell>
          <cell r="AP32">
            <v>0.20787754382762502</v>
          </cell>
          <cell r="AQ32">
            <v>0.26459863818275631</v>
          </cell>
          <cell r="AR32">
            <v>0.15587945585244589</v>
          </cell>
          <cell r="AS32">
            <v>0.2664441671007971</v>
          </cell>
          <cell r="AT32">
            <v>0.18191870299060731</v>
          </cell>
          <cell r="AU32">
            <v>0.21144315798552404</v>
          </cell>
          <cell r="AV32">
            <v>0.16484968367994246</v>
          </cell>
          <cell r="AW32">
            <v>3.658935656363238E-2</v>
          </cell>
          <cell r="AX32">
            <v>6.9828528158179193E-2</v>
          </cell>
          <cell r="AY32">
            <v>0.10566163129480044</v>
          </cell>
          <cell r="AZ32">
            <v>9.030684658923338E-2</v>
          </cell>
          <cell r="BA32">
            <v>4.5899588916304745E-2</v>
          </cell>
          <cell r="BB32">
            <v>5.2809329680430173E-2</v>
          </cell>
          <cell r="BC32">
            <v>3.4609003781186143E-2</v>
          </cell>
          <cell r="BD32">
            <v>3.0387884927881359E-2</v>
          </cell>
          <cell r="BE32">
            <v>4.2516653357772549E-2</v>
          </cell>
          <cell r="BF32">
            <v>0.19419637693951231</v>
          </cell>
          <cell r="BG32">
            <v>0.26224731509353494</v>
          </cell>
          <cell r="BH32">
            <v>0.20983237333492499</v>
          </cell>
          <cell r="BI32">
            <v>0.19712620884005339</v>
          </cell>
          <cell r="BJ32">
            <v>0.21645764803248801</v>
          </cell>
          <cell r="BK32">
            <v>0.23331332022399898</v>
          </cell>
          <cell r="BL32">
            <v>0.20161748324347473</v>
          </cell>
          <cell r="BM32">
            <v>8.9379366423526285E-2</v>
          </cell>
          <cell r="BN32">
            <v>0.11336291833312773</v>
          </cell>
          <cell r="BO32">
            <v>0.15613655887005584</v>
          </cell>
          <cell r="BP32">
            <v>9.8726204657967331E-2</v>
          </cell>
          <cell r="BQ32">
            <v>2.6863701799879403E-2</v>
          </cell>
          <cell r="BR32">
            <v>6.4388512266121634E-2</v>
          </cell>
          <cell r="BS32">
            <v>5.1801765982160131E-2</v>
          </cell>
          <cell r="BT32">
            <v>5.9279410854688575E-2</v>
          </cell>
          <cell r="BU32">
            <v>2.7152107708894979E-2</v>
          </cell>
          <cell r="BV32">
            <v>2.50120640461724E-2</v>
          </cell>
          <cell r="BW32">
            <v>7.8647149977251862E-2</v>
          </cell>
          <cell r="BX32">
            <v>5.2112109681507812E-2</v>
          </cell>
          <cell r="BY32">
            <v>4.5929366790389725E-2</v>
          </cell>
          <cell r="BZ32">
            <v>5.4211738756166028E-2</v>
          </cell>
          <cell r="CA32">
            <v>7.4558698653047983E-2</v>
          </cell>
          <cell r="CB32">
            <v>1.8117416559401134E-2</v>
          </cell>
          <cell r="CC32">
            <v>-2.1142245664311665E-2</v>
          </cell>
          <cell r="CD32">
            <v>3.0243382034817134E-2</v>
          </cell>
          <cell r="CE32">
            <v>-1.8199244306130957E-2</v>
          </cell>
          <cell r="CF32">
            <v>-3.1104200304434504E-2</v>
          </cell>
          <cell r="CG32">
            <v>-6.5790047385926309E-3</v>
          </cell>
          <cell r="CH32">
            <v>-5.3000000000001934E-3</v>
          </cell>
          <cell r="CI32">
            <v>-1.5373456598791635E-2</v>
          </cell>
          <cell r="CJ32">
            <v>-1</v>
          </cell>
          <cell r="CK32">
            <v>-1</v>
          </cell>
          <cell r="CL32">
            <v>-1</v>
          </cell>
          <cell r="CM32">
            <v>-1</v>
          </cell>
          <cell r="CN32">
            <v>-2.2277981669198921E-2</v>
          </cell>
          <cell r="CO32">
            <v>-1</v>
          </cell>
          <cell r="CP32">
            <v>-1</v>
          </cell>
          <cell r="CQ32">
            <v>-1</v>
          </cell>
          <cell r="CR32">
            <v>-1</v>
          </cell>
          <cell r="CS32">
            <v>0</v>
          </cell>
          <cell r="CT32">
            <v>-1.7056689330472496E-2</v>
          </cell>
          <cell r="CV32" t="str">
            <v>Assume $25M for fare fam in 3Q15 1.5 pts, $40M in 4Q15 2.5 pts.  Fare fam 50/50 with other revenue</v>
          </cell>
          <cell r="DA32" t="str">
            <v>1Q15 +2 pt weather</v>
          </cell>
        </row>
        <row r="33">
          <cell r="A33" t="str">
            <v>Sequential Change %</v>
          </cell>
          <cell r="B33">
            <v>0</v>
          </cell>
          <cell r="G33">
            <v>2.9529999999999998</v>
          </cell>
          <cell r="H33">
            <v>1.889</v>
          </cell>
          <cell r="I33">
            <v>-4.5819175478706731E-2</v>
          </cell>
          <cell r="J33">
            <v>-0.10461283833143742</v>
          </cell>
          <cell r="K33">
            <v>-5.3204413827221853E-2</v>
          </cell>
          <cell r="L33">
            <v>9.9160000000000004</v>
          </cell>
          <cell r="M33">
            <v>0.18973066834256169</v>
          </cell>
          <cell r="N33">
            <v>-6.5871610435436767E-2</v>
          </cell>
          <cell r="O33">
            <v>-3.6659722706622211E-2</v>
          </cell>
          <cell r="P33">
            <v>2.3322608950816726E-2</v>
          </cell>
          <cell r="Q33">
            <v>20.02</v>
          </cell>
          <cell r="R33">
            <v>-2.2961351580955913E-2</v>
          </cell>
          <cell r="S33">
            <v>6.1274689081152189E-3</v>
          </cell>
          <cell r="T33">
            <v>-1.3795463437482947E-2</v>
          </cell>
          <cell r="U33">
            <v>-4.9870595052877054E-2</v>
          </cell>
          <cell r="V33">
            <v>33.260000000000005</v>
          </cell>
          <cell r="W33">
            <v>-2.2590954201306301E-2</v>
          </cell>
          <cell r="X33">
            <v>1.6484959349949424E-3</v>
          </cell>
          <cell r="Y33">
            <v>-4.9944437533924413E-2</v>
          </cell>
          <cell r="Z33">
            <v>-1.4156642334567482E-2</v>
          </cell>
          <cell r="AA33">
            <v>45.213999999999999</v>
          </cell>
          <cell r="AB33">
            <v>0.11350132200333052</v>
          </cell>
          <cell r="AC33">
            <v>1.5320715458840173E-2</v>
          </cell>
          <cell r="AD33">
            <v>-3.0583533082196857E-2</v>
          </cell>
          <cell r="AE33">
            <v>-2.8259200554015207E-2</v>
          </cell>
          <cell r="AF33">
            <v>80.75800000000001</v>
          </cell>
          <cell r="AG33">
            <v>6.3896069426003566E-2</v>
          </cell>
          <cell r="AH33">
            <v>0.1410305150693647</v>
          </cell>
          <cell r="AI33">
            <v>-2.7943893602155767E-2</v>
          </cell>
          <cell r="AJ33">
            <v>4.0861334785251779E-2</v>
          </cell>
          <cell r="AK33">
            <v>140</v>
          </cell>
          <cell r="AL33">
            <v>-5.918992262275824E-2</v>
          </cell>
          <cell r="AM33">
            <v>0.10649860283863788</v>
          </cell>
          <cell r="AN33">
            <v>6.400985548846716E-3</v>
          </cell>
          <cell r="AO33">
            <v>-2.079493031713564E-2</v>
          </cell>
          <cell r="AP33">
            <v>206</v>
          </cell>
          <cell r="AQ33">
            <v>6.7760140690060755E-2</v>
          </cell>
          <cell r="AR33">
            <v>4.2934644279452483E-2</v>
          </cell>
          <cell r="AS33">
            <v>6.5037344343467973E-2</v>
          </cell>
          <cell r="AT33">
            <v>-2.8608200218791402E-2</v>
          </cell>
          <cell r="AU33">
            <v>332</v>
          </cell>
          <cell r="AV33">
            <v>-7.2776902283700151E-2</v>
          </cell>
          <cell r="AW33">
            <v>-1.5336750462464854E-2</v>
          </cell>
          <cell r="AX33">
            <v>3.8672139829722951E-2</v>
          </cell>
          <cell r="AY33">
            <v>1.2002808133769305E-2</v>
          </cell>
          <cell r="AZ33">
            <v>358</v>
          </cell>
          <cell r="BA33">
            <v>1.0046709227977235E-2</v>
          </cell>
          <cell r="BB33">
            <v>4.9824797122292042E-2</v>
          </cell>
          <cell r="BC33">
            <v>4.6625627980923623E-2</v>
          </cell>
          <cell r="BD33">
            <v>-3.2571398127389295E-2</v>
          </cell>
          <cell r="BE33">
            <v>367</v>
          </cell>
          <cell r="BF33">
            <v>7.4630709565201903E-2</v>
          </cell>
          <cell r="BG33">
            <v>4.0774002501418716E-2</v>
          </cell>
          <cell r="BH33">
            <v>-4.4588211669591704E-3</v>
          </cell>
          <cell r="BI33">
            <v>1.3743322946127012E-3</v>
          </cell>
          <cell r="BJ33">
            <v>424</v>
          </cell>
          <cell r="BK33">
            <v>4.0578722059970929E-2</v>
          </cell>
          <cell r="BL33">
            <v>2.2844568268802989E-2</v>
          </cell>
          <cell r="BM33">
            <v>-5.1135340994818645E-2</v>
          </cell>
          <cell r="BN33">
            <v>-1.1272689149616766E-2</v>
          </cell>
          <cell r="BO33">
            <v>432</v>
          </cell>
          <cell r="BP33">
            <v>6.0503184978709434E-2</v>
          </cell>
          <cell r="BQ33">
            <v>-2.7298119936640997E-2</v>
          </cell>
          <cell r="BR33">
            <v>3.1921366370655901E-2</v>
          </cell>
          <cell r="BS33">
            <v>-1.0467250464514577E-2</v>
          </cell>
          <cell r="BT33">
            <v>470</v>
          </cell>
          <cell r="BU33">
            <v>1.6192083118309109E-2</v>
          </cell>
          <cell r="BV33">
            <v>2.0713499248113942E-2</v>
          </cell>
          <cell r="BW33">
            <v>-1.4847668134646552E-3</v>
          </cell>
          <cell r="BX33">
            <v>-3.5595674692637802E-2</v>
          </cell>
          <cell r="BY33">
            <v>474</v>
          </cell>
          <cell r="BZ33">
            <v>6.2619559555581183E-2</v>
          </cell>
          <cell r="CA33">
            <v>-8.5243523739477745E-3</v>
          </cell>
          <cell r="CB33">
            <v>-2.2280386414738507E-2</v>
          </cell>
          <cell r="CC33">
            <v>-4.7155261680506766E-2</v>
          </cell>
          <cell r="CD33">
            <v>488.4</v>
          </cell>
          <cell r="CE33">
            <v>-3.9749778257575086E-3</v>
          </cell>
          <cell r="CF33">
            <v>-2.4691828936023619E-2</v>
          </cell>
          <cell r="CG33">
            <v>3.7139037615304904E-2</v>
          </cell>
          <cell r="CH33">
            <v>-1.2416130595942043E-2</v>
          </cell>
          <cell r="CI33">
            <v>590.96399999999994</v>
          </cell>
          <cell r="CN33">
            <v>641.19593999999995</v>
          </cell>
          <cell r="CU33" t="str">
            <v>11/19/14: Investor Day:</v>
          </cell>
          <cell r="CV33">
            <v>3.2388257316527003E-2</v>
          </cell>
          <cell r="CW33">
            <v>3.9263082512327185E-2</v>
          </cell>
          <cell r="CX33">
            <v>1.57318603470194E-2</v>
          </cell>
          <cell r="CY33">
            <v>-1.7056689330472496E-2</v>
          </cell>
          <cell r="DA33" t="str">
            <v>Assume $25M for fare fam in 3Q15 1.5 pts, $40M in 4Q15 2.5 pts.  Fare fam 50/50 with other revenue</v>
          </cell>
          <cell r="DE33" t="str">
            <v>mstag:otherRevenueSegment</v>
          </cell>
          <cell r="DF33">
            <v>6</v>
          </cell>
          <cell r="DG33" t="str">
            <v>ISO4217:USD</v>
          </cell>
          <cell r="DH33" t="b">
            <v>0</v>
          </cell>
          <cell r="DI33" t="b">
            <v>0</v>
          </cell>
        </row>
        <row r="34">
          <cell r="A34" t="str">
            <v>Other Revenue</v>
          </cell>
          <cell r="B34">
            <v>0</v>
          </cell>
          <cell r="G34">
            <v>2.9529999999999998</v>
          </cell>
          <cell r="H34">
            <v>1.889</v>
          </cell>
          <cell r="I34">
            <v>2.242</v>
          </cell>
          <cell r="J34">
            <v>2.3340000000000001</v>
          </cell>
          <cell r="K34">
            <v>3.4510000000000001</v>
          </cell>
          <cell r="L34">
            <v>9.9160000000000004</v>
          </cell>
          <cell r="M34">
            <v>4.2779999999999996</v>
          </cell>
          <cell r="N34">
            <v>5.008</v>
          </cell>
          <cell r="O34">
            <v>5.0220000000000002</v>
          </cell>
          <cell r="P34">
            <v>5.7119999999999997</v>
          </cell>
          <cell r="Q34">
            <v>20.02</v>
          </cell>
          <cell r="R34">
            <v>7.2270000000000003</v>
          </cell>
          <cell r="S34">
            <v>7.6639999999999997</v>
          </cell>
          <cell r="T34">
            <v>9.1449999999999996</v>
          </cell>
          <cell r="U34">
            <v>9.2240000000000002</v>
          </cell>
          <cell r="V34">
            <v>33.260000000000005</v>
          </cell>
          <cell r="W34">
            <v>9.3870000000000005</v>
          </cell>
          <cell r="X34">
            <v>10.542999999999999</v>
          </cell>
          <cell r="Y34">
            <v>11.613</v>
          </cell>
          <cell r="Z34">
            <v>13.670999999999999</v>
          </cell>
          <cell r="AA34">
            <v>45.213999999999999</v>
          </cell>
          <cell r="AB34">
            <v>16.338000000000001</v>
          </cell>
          <cell r="AC34">
            <v>18</v>
          </cell>
          <cell r="AD34">
            <v>21.385999999999999</v>
          </cell>
          <cell r="AE34">
            <v>25.033999999999999</v>
          </cell>
          <cell r="AF34">
            <v>80.75800000000001</v>
          </cell>
          <cell r="AG34">
            <v>27</v>
          </cell>
          <cell r="AH34">
            <v>33</v>
          </cell>
          <cell r="AI34">
            <v>39</v>
          </cell>
          <cell r="AJ34">
            <v>41</v>
          </cell>
          <cell r="AK34">
            <v>140</v>
          </cell>
          <cell r="AL34">
            <v>44</v>
          </cell>
          <cell r="AM34">
            <v>47</v>
          </cell>
          <cell r="AN34">
            <v>53</v>
          </cell>
          <cell r="AO34">
            <v>62</v>
          </cell>
          <cell r="AP34">
            <v>206</v>
          </cell>
          <cell r="AQ34">
            <v>68</v>
          </cell>
          <cell r="AR34">
            <v>80</v>
          </cell>
          <cell r="AS34">
            <v>95</v>
          </cell>
          <cell r="AT34">
            <v>89</v>
          </cell>
          <cell r="AU34">
            <v>332</v>
          </cell>
          <cell r="AV34">
            <v>87</v>
          </cell>
          <cell r="AW34">
            <v>86</v>
          </cell>
          <cell r="AX34">
            <v>90</v>
          </cell>
          <cell r="AY34">
            <v>95</v>
          </cell>
          <cell r="AZ34">
            <v>358</v>
          </cell>
          <cell r="BA34">
            <v>85</v>
          </cell>
          <cell r="BB34">
            <v>89</v>
          </cell>
          <cell r="BC34">
            <v>98</v>
          </cell>
          <cell r="BD34">
            <v>95</v>
          </cell>
          <cell r="BE34">
            <v>367</v>
          </cell>
          <cell r="BF34">
            <v>106</v>
          </cell>
          <cell r="BG34">
            <v>105</v>
          </cell>
          <cell r="BH34">
            <v>108</v>
          </cell>
          <cell r="BI34">
            <v>105</v>
          </cell>
          <cell r="BJ34">
            <v>424</v>
          </cell>
          <cell r="BK34">
            <v>107</v>
          </cell>
          <cell r="BL34">
            <v>106</v>
          </cell>
          <cell r="BM34">
            <v>114</v>
          </cell>
          <cell r="BN34">
            <v>105</v>
          </cell>
          <cell r="BO34">
            <v>432</v>
          </cell>
          <cell r="BP34">
            <v>113</v>
          </cell>
          <cell r="BQ34">
            <v>113</v>
          </cell>
          <cell r="BR34">
            <v>121</v>
          </cell>
          <cell r="BS34">
            <v>123</v>
          </cell>
          <cell r="BT34">
            <v>470</v>
          </cell>
          <cell r="BU34">
            <v>119</v>
          </cell>
          <cell r="BV34">
            <v>121</v>
          </cell>
          <cell r="BW34">
            <v>115</v>
          </cell>
          <cell r="BX34">
            <v>119</v>
          </cell>
          <cell r="BY34">
            <v>474</v>
          </cell>
          <cell r="BZ34">
            <v>115</v>
          </cell>
          <cell r="CA34">
            <v>116</v>
          </cell>
          <cell r="CB34">
            <v>136</v>
          </cell>
          <cell r="CC34">
            <v>156</v>
          </cell>
          <cell r="CD34">
            <v>523</v>
          </cell>
          <cell r="CE34">
            <v>143.75</v>
          </cell>
          <cell r="CF34">
            <v>154.85999999999999</v>
          </cell>
          <cell r="CG34">
            <v>160.47999999999999</v>
          </cell>
          <cell r="CH34">
            <v>179.39999999999998</v>
          </cell>
          <cell r="CI34">
            <v>638.49</v>
          </cell>
          <cell r="CN34">
            <v>702.33900000000006</v>
          </cell>
          <cell r="CS34">
            <v>765.54951000000017</v>
          </cell>
          <cell r="CW34" t="str">
            <v>- Fare Fam. $65M in 2H15, run rate &gt;$200M, which we reflect in pax revs</v>
          </cell>
          <cell r="CZ34" t="str">
            <v>11/19/14: Investor Day:</v>
          </cell>
          <cell r="DJ34" t="str">
            <v>mstag:otherRevenueSegment</v>
          </cell>
          <cell r="DK34">
            <v>6</v>
          </cell>
          <cell r="DL34" t="str">
            <v>ISO4217:USD</v>
          </cell>
          <cell r="DM34" t="b">
            <v>0</v>
          </cell>
          <cell r="DN34" t="b">
            <v>0</v>
          </cell>
        </row>
        <row r="35">
          <cell r="A35" t="str">
            <v>YoY % Chg.</v>
          </cell>
          <cell r="L35">
            <v>2.3579410768709788</v>
          </cell>
          <cell r="M35">
            <v>1.2646903123345683</v>
          </cell>
          <cell r="N35">
            <v>1.2337198929527209</v>
          </cell>
          <cell r="O35">
            <v>1.1516709511568122</v>
          </cell>
          <cell r="P35">
            <v>0.65517241379310343</v>
          </cell>
          <cell r="Q35">
            <v>1.018959257765228</v>
          </cell>
          <cell r="R35">
            <v>0.68934081346423581</v>
          </cell>
          <cell r="S35">
            <v>0.53035143769968052</v>
          </cell>
          <cell r="T35">
            <v>0.82098765432098753</v>
          </cell>
          <cell r="U35">
            <v>0.61484593837535018</v>
          </cell>
          <cell r="V35">
            <v>0.66133866133866159</v>
          </cell>
          <cell r="W35">
            <v>0.29887920298879211</v>
          </cell>
          <cell r="X35">
            <v>0.37565240083507301</v>
          </cell>
          <cell r="Y35">
            <v>0.26987424822307271</v>
          </cell>
          <cell r="Z35">
            <v>0.48211188204683419</v>
          </cell>
          <cell r="AA35">
            <v>0.35941070354780491</v>
          </cell>
          <cell r="AB35">
            <v>0.74049217002237144</v>
          </cell>
          <cell r="AC35">
            <v>0.70729393910651628</v>
          </cell>
          <cell r="AD35">
            <v>0.84155687591492301</v>
          </cell>
          <cell r="AE35">
            <v>0.83117548094506621</v>
          </cell>
          <cell r="AF35">
            <v>0.78612819038350978</v>
          </cell>
          <cell r="AG35">
            <v>0.65258905618802787</v>
          </cell>
          <cell r="AH35">
            <v>0.83333333333333326</v>
          </cell>
          <cell r="AI35">
            <v>0.823622930889367</v>
          </cell>
          <cell r="AJ35">
            <v>0.63777262922425515</v>
          </cell>
          <cell r="AK35">
            <v>0.73357438272369291</v>
          </cell>
          <cell r="AL35">
            <v>0.62962962962962954</v>
          </cell>
          <cell r="AM35">
            <v>0.42424242424242431</v>
          </cell>
          <cell r="AN35">
            <v>0.35897435897435903</v>
          </cell>
          <cell r="AO35">
            <v>0.51219512195121952</v>
          </cell>
          <cell r="AP35">
            <v>0.47142857142857153</v>
          </cell>
          <cell r="AQ35">
            <v>0.54545454545454541</v>
          </cell>
          <cell r="AR35">
            <v>0.7021276595744681</v>
          </cell>
          <cell r="AS35">
            <v>0.79245283018867929</v>
          </cell>
          <cell r="AT35">
            <v>0.43548387096774199</v>
          </cell>
          <cell r="AU35">
            <v>0.61165048543689315</v>
          </cell>
          <cell r="AV35">
            <v>0.27941176470588225</v>
          </cell>
          <cell r="AW35">
            <v>7.4999999999999956E-2</v>
          </cell>
          <cell r="AX35">
            <v>-5.2631578947368474E-2</v>
          </cell>
          <cell r="AY35">
            <v>6.7415730337078594E-2</v>
          </cell>
          <cell r="AZ35">
            <v>7.8313253012048278E-2</v>
          </cell>
          <cell r="BA35">
            <v>-2.2988505747126409E-2</v>
          </cell>
          <cell r="BB35">
            <v>3.488372093023262E-2</v>
          </cell>
          <cell r="BC35">
            <v>8.8888888888888795E-2</v>
          </cell>
          <cell r="BD35">
            <v>0</v>
          </cell>
          <cell r="BE35">
            <v>2.5139664804469275E-2</v>
          </cell>
          <cell r="BF35">
            <v>0.24705882352941178</v>
          </cell>
          <cell r="BG35">
            <v>0.1797752808988764</v>
          </cell>
          <cell r="BH35">
            <v>0.1020408163265305</v>
          </cell>
          <cell r="BI35">
            <v>0.10526315789473695</v>
          </cell>
          <cell r="BJ35">
            <v>0.15531335149863756</v>
          </cell>
          <cell r="BK35">
            <v>9.4339622641510523E-3</v>
          </cell>
          <cell r="BL35">
            <v>9.52380952380949E-3</v>
          </cell>
          <cell r="BM35">
            <v>5.555555555555558E-2</v>
          </cell>
          <cell r="BN35">
            <v>0</v>
          </cell>
          <cell r="BO35">
            <v>1.8867924528301883E-2</v>
          </cell>
          <cell r="BP35">
            <v>5.6074766355140193E-2</v>
          </cell>
          <cell r="BQ35">
            <v>6.60377358490567E-2</v>
          </cell>
          <cell r="BR35">
            <v>6.1403508771929793E-2</v>
          </cell>
          <cell r="BS35">
            <v>0.17142857142857149</v>
          </cell>
          <cell r="BT35">
            <v>8.7962962962963021E-2</v>
          </cell>
          <cell r="BU35">
            <v>5.3097345132743445E-2</v>
          </cell>
          <cell r="BV35">
            <v>7.079646017699126E-2</v>
          </cell>
          <cell r="BW35">
            <v>-4.9586776859504078E-2</v>
          </cell>
          <cell r="BX35">
            <v>-3.2520325203251987E-2</v>
          </cell>
          <cell r="BY35">
            <v>8.5106382978723527E-3</v>
          </cell>
          <cell r="BZ35">
            <v>-3.3613445378151252E-2</v>
          </cell>
          <cell r="CA35">
            <v>-4.132231404958675E-2</v>
          </cell>
          <cell r="CB35">
            <v>0.18260869565217397</v>
          </cell>
          <cell r="CC35">
            <v>0.255</v>
          </cell>
          <cell r="CD35">
            <v>8.9335443037974693E-2</v>
          </cell>
          <cell r="CE35">
            <v>0.30499999999999999</v>
          </cell>
          <cell r="CF35">
            <v>0.36499999999999999</v>
          </cell>
          <cell r="CG35">
            <v>0.14499999999999999</v>
          </cell>
          <cell r="CH35">
            <v>7.4999999999999983E-2</v>
          </cell>
          <cell r="CI35">
            <v>0.20981296420029238</v>
          </cell>
          <cell r="CN35">
            <v>8.5000000000000006E-2</v>
          </cell>
          <cell r="CS35">
            <v>7.4999999999999997E-2</v>
          </cell>
          <cell r="CW35" t="str">
            <v>- Cabin refresh starts in 3Q16 run rate $100M, which is reflected in ASMs</v>
          </cell>
          <cell r="DB35" t="str">
            <v>- Fare Fam. $65M in 2H15, run rate &gt;$200M, which we reflect in pax revs</v>
          </cell>
        </row>
        <row r="36">
          <cell r="A36" t="str">
            <v>Other Revenue per ASM</v>
          </cell>
          <cell r="R36">
            <v>0.24766361065237963</v>
          </cell>
          <cell r="S36">
            <v>0.23399961956742432</v>
          </cell>
          <cell r="T36">
            <v>0.24683920308590843</v>
          </cell>
          <cell r="U36">
            <v>0.24654156232618274</v>
          </cell>
          <cell r="V36">
            <v>0.24385079557238515</v>
          </cell>
          <cell r="W36">
            <v>0.22251879806187949</v>
          </cell>
          <cell r="X36">
            <v>0.22640034616082516</v>
          </cell>
          <cell r="Y36">
            <v>0.23507716474227136</v>
          </cell>
          <cell r="Z36">
            <v>0.26828734121769604</v>
          </cell>
          <cell r="AA36">
            <v>0.23908771648915755</v>
          </cell>
          <cell r="AB36">
            <v>0.31609783051793183</v>
          </cell>
          <cell r="AC36">
            <v>0.30789230611337282</v>
          </cell>
          <cell r="AD36">
            <v>0.33775214936775311</v>
          </cell>
          <cell r="AE36">
            <v>0.39384058124916721</v>
          </cell>
          <cell r="AF36">
            <v>0.34070657611196248</v>
          </cell>
          <cell r="AG36">
            <v>0.41052151436825302</v>
          </cell>
          <cell r="AH36">
            <v>0.45820605387392388</v>
          </cell>
          <cell r="AI36">
            <v>0.51744726018309672</v>
          </cell>
          <cell r="AJ36">
            <v>0.56334157735641655</v>
          </cell>
          <cell r="AK36">
            <v>0.48961320556760157</v>
          </cell>
          <cell r="AL36">
            <v>0.59701492537313439</v>
          </cell>
          <cell r="AM36">
            <v>0.58269278452764695</v>
          </cell>
          <cell r="AN36">
            <v>0.63435068821065232</v>
          </cell>
          <cell r="AO36">
            <v>0.76420559595710591</v>
          </cell>
          <cell r="AP36">
            <v>0.64568706118355068</v>
          </cell>
          <cell r="AQ36">
            <v>0.81000595592614655</v>
          </cell>
          <cell r="AR36">
            <v>0.95431229869974954</v>
          </cell>
          <cell r="AS36">
            <v>1.1650723571253372</v>
          </cell>
          <cell r="AT36">
            <v>1.18508655126498</v>
          </cell>
          <cell r="AU36">
            <v>1.0233647740583194</v>
          </cell>
          <cell r="AV36">
            <v>1.0953867848509267</v>
          </cell>
          <cell r="AW36">
            <v>1.0440694427582859</v>
          </cell>
          <cell r="AX36">
            <v>1.0725777618877368</v>
          </cell>
          <cell r="AY36">
            <v>1.1892839258888332</v>
          </cell>
          <cell r="AZ36">
            <v>1.099562632070372</v>
          </cell>
          <cell r="BA36">
            <v>1.0090673605884404</v>
          </cell>
          <cell r="BB36">
            <v>1.024374590537908</v>
          </cell>
          <cell r="BC36">
            <v>1.076686442540101</v>
          </cell>
          <cell r="BD36">
            <v>1.1136914887007205</v>
          </cell>
          <cell r="BE36">
            <v>1.0562963349280239</v>
          </cell>
          <cell r="BF36">
            <v>1.2454747262041186</v>
          </cell>
          <cell r="BG36">
            <v>1.1121703209405782</v>
          </cell>
          <cell r="BH36">
            <v>1.095890410958904</v>
          </cell>
          <cell r="BI36">
            <v>1.1140583554376657</v>
          </cell>
          <cell r="BJ36">
            <v>1.1388111096717803</v>
          </cell>
          <cell r="BK36">
            <v>1.1220637583892616</v>
          </cell>
          <cell r="BL36">
            <v>1.0641501857243247</v>
          </cell>
          <cell r="BM36">
            <v>1.0650224215246635</v>
          </cell>
          <cell r="BN36">
            <v>1.0633988251974884</v>
          </cell>
          <cell r="BO36">
            <v>1.0779787897691828</v>
          </cell>
          <cell r="BP36">
            <v>1.1143984220907299</v>
          </cell>
          <cell r="BQ36">
            <v>1.0520435713620706</v>
          </cell>
          <cell r="BR36">
            <v>1.0753643796658372</v>
          </cell>
          <cell r="BS36">
            <v>1.150500420914788</v>
          </cell>
          <cell r="BT36">
            <v>1.0975154119185502</v>
          </cell>
          <cell r="BU36">
            <v>1.1421441597082254</v>
          </cell>
          <cell r="BV36">
            <v>1.0627085894958721</v>
          </cell>
          <cell r="BW36">
            <v>0.97855684138869969</v>
          </cell>
          <cell r="BX36">
            <v>1.0405736271423576</v>
          </cell>
          <cell r="BY36">
            <v>1.0534972106772165</v>
          </cell>
          <cell r="BZ36">
            <v>1.0070934407566337</v>
          </cell>
          <cell r="CA36">
            <v>0.94794475770205111</v>
          </cell>
          <cell r="CB36">
            <v>1.0480887792848335</v>
          </cell>
          <cell r="CC36">
            <v>1.1828710107854361</v>
          </cell>
          <cell r="CD36">
            <v>1.0482536951579711</v>
          </cell>
          <cell r="CE36">
            <v>1.173443696595899</v>
          </cell>
          <cell r="CF36">
            <v>1.1763132675120909</v>
          </cell>
          <cell r="CG36">
            <v>1.1429158593153659</v>
          </cell>
          <cell r="CH36">
            <v>1.205295105776629</v>
          </cell>
          <cell r="CI36">
            <v>1.1743263580667078</v>
          </cell>
          <cell r="CN36">
            <v>1.1797630541688682</v>
          </cell>
          <cell r="CS36">
            <v>1.1743011881773453</v>
          </cell>
          <cell r="CW36" t="str">
            <v>- New &amp; ongoing initiatives $40M in 2015, run rate $150M, which is in other</v>
          </cell>
          <cell r="DB36" t="str">
            <v>- Cabin refresh starts in 3Q16 run rate $100M, which is reflected in ASMs</v>
          </cell>
        </row>
        <row r="37">
          <cell r="A37" t="str">
            <v>YoY % Chg.</v>
          </cell>
          <cell r="G37">
            <v>287.6765708718948</v>
          </cell>
          <cell r="H37">
            <v>357.56199129282606</v>
          </cell>
          <cell r="I37">
            <v>354.07454200884393</v>
          </cell>
          <cell r="J37">
            <v>336.50519031141869</v>
          </cell>
          <cell r="K37">
            <v>443.40228703584739</v>
          </cell>
          <cell r="L37">
            <v>376.54742917900819</v>
          </cell>
          <cell r="M37">
            <v>453.22597732810675</v>
          </cell>
          <cell r="N37">
            <v>496.33300297324087</v>
          </cell>
          <cell r="O37">
            <v>446.59848821698534</v>
          </cell>
          <cell r="P37">
            <v>427.2251308900523</v>
          </cell>
          <cell r="Q37">
            <v>453.51576658209495</v>
          </cell>
          <cell r="R37">
            <v>468.95074946466809</v>
          </cell>
          <cell r="S37">
            <v>475.05113742019461</v>
          </cell>
          <cell r="T37">
            <v>532.45997088791842</v>
          </cell>
          <cell r="U37">
            <v>506.78534146475477</v>
          </cell>
          <cell r="V37">
            <v>497.01135684399293</v>
          </cell>
          <cell r="W37">
            <v>-0.10152808692510495</v>
          </cell>
          <cell r="X37">
            <v>-3.2475580176785313E-2</v>
          </cell>
          <cell r="Y37">
            <v>-4.7650608965640995E-2</v>
          </cell>
          <cell r="Z37">
            <v>8.8203298001100938E-2</v>
          </cell>
          <cell r="AA37">
            <v>-1.9532760071778066E-2</v>
          </cell>
          <cell r="AB37">
            <v>0.42054439117556841</v>
          </cell>
          <cell r="AC37">
            <v>0.35994626922813633</v>
          </cell>
          <cell r="AD37">
            <v>0.43677140966903472</v>
          </cell>
          <cell r="AE37">
            <v>0.46798048488465094</v>
          </cell>
          <cell r="AF37">
            <v>0.42502752176067249</v>
          </cell>
          <cell r="AG37">
            <v>0.29871664634839901</v>
          </cell>
          <cell r="AH37">
            <v>0.48820235119874078</v>
          </cell>
          <cell r="AI37">
            <v>0.53203247159705569</v>
          </cell>
          <cell r="AJ37">
            <v>0.43037971244515516</v>
          </cell>
          <cell r="AK37">
            <v>0.43705240783701704</v>
          </cell>
          <cell r="AL37">
            <v>0.45428413488114994</v>
          </cell>
          <cell r="AM37">
            <v>0.27168285883882226</v>
          </cell>
          <cell r="AN37">
            <v>0.22592336847274019</v>
          </cell>
          <cell r="AO37">
            <v>0.35655812862824821</v>
          </cell>
          <cell r="AP37">
            <v>0.318769701963032</v>
          </cell>
          <cell r="AQ37">
            <v>0.3567599761762954</v>
          </cell>
          <cell r="AR37">
            <v>0.63776234070471904</v>
          </cell>
          <cell r="AS37">
            <v>0.83663764977022481</v>
          </cell>
          <cell r="AT37">
            <v>0.55074309522786802</v>
          </cell>
          <cell r="AU37">
            <v>0.58492377434740872</v>
          </cell>
          <cell r="AV37">
            <v>0.3523194204152249</v>
          </cell>
          <cell r="AW37">
            <v>9.4054267330338837E-2</v>
          </cell>
          <cell r="AX37">
            <v>-7.9389571533409864E-2</v>
          </cell>
          <cell r="AY37">
            <v>3.5418295983300485E-3</v>
          </cell>
          <cell r="AZ37">
            <v>7.4458159928524337E-2</v>
          </cell>
          <cell r="BA37">
            <v>-7.8802689110617385E-2</v>
          </cell>
          <cell r="BB37">
            <v>-1.8863546248750307E-2</v>
          </cell>
          <cell r="BC37">
            <v>3.8306599282209586E-3</v>
          </cell>
          <cell r="BD37">
            <v>-6.3561304027225707E-2</v>
          </cell>
          <cell r="BE37">
            <v>-3.9348642706129255E-2</v>
          </cell>
          <cell r="BF37">
            <v>0.23428303684088703</v>
          </cell>
          <cell r="BG37">
            <v>8.5706665524149628E-2</v>
          </cell>
          <cell r="BH37">
            <v>1.7836175566116941E-2</v>
          </cell>
          <cell r="BI37">
            <v>3.2941504956029988E-4</v>
          </cell>
          <cell r="BJ37">
            <v>7.8117070007043932E-2</v>
          </cell>
          <cell r="BK37">
            <v>-9.9087492679182154E-2</v>
          </cell>
          <cell r="BL37">
            <v>-4.3176961578728523E-2</v>
          </cell>
          <cell r="BM37">
            <v>-2.8167040358744511E-2</v>
          </cell>
          <cell r="BN37">
            <v>-4.5472959287016335E-2</v>
          </cell>
          <cell r="BO37">
            <v>-5.3417392389270013E-2</v>
          </cell>
          <cell r="BP37">
            <v>-6.8314623311026557E-3</v>
          </cell>
          <cell r="BQ37">
            <v>-1.1376791100227712E-2</v>
          </cell>
          <cell r="BR37">
            <v>9.7105543809756778E-3</v>
          </cell>
          <cell r="BS37">
            <v>8.19086815345349E-2</v>
          </cell>
          <cell r="BT37">
            <v>1.8123382699904989E-2</v>
          </cell>
          <cell r="BU37">
            <v>2.4897502605433885E-2</v>
          </cell>
          <cell r="BV37">
            <v>1.0137430068598352E-2</v>
          </cell>
          <cell r="BW37">
            <v>-9.0023009974739776E-2</v>
          </cell>
          <cell r="BX37">
            <v>-9.554693920496371E-2</v>
          </cell>
          <cell r="BY37">
            <v>-4.01071372331675E-2</v>
          </cell>
          <cell r="BZ37">
            <v>-0.11824314628207011</v>
          </cell>
          <cell r="CA37">
            <v>-0.10799181725656581</v>
          </cell>
          <cell r="CB37">
            <v>7.1055594274379574E-2</v>
          </cell>
          <cell r="CC37">
            <v>0.1873697998128443</v>
          </cell>
          <cell r="CD37">
            <v>7.8398454156733965E-3</v>
          </cell>
          <cell r="CE37">
            <v>5.1715404098549467E-2</v>
          </cell>
          <cell r="CF37">
            <v>0.16289592760181004</v>
          </cell>
          <cell r="CG37">
            <v>5.6074766355140193E-2</v>
          </cell>
          <cell r="CH37">
            <v>9.0047393364929063E-2</v>
          </cell>
          <cell r="CI37">
            <v>8.6527778329026361E-2</v>
          </cell>
          <cell r="CN37">
            <v>4.6296296296293171E-3</v>
          </cell>
          <cell r="CS37">
            <v>-4.6296296296298722E-3</v>
          </cell>
          <cell r="CW37" t="str">
            <v>2013 LiveTV revenue $72M, 1Q13: $19M, 1Q14: $16M, 2Q14 $14M</v>
          </cell>
          <cell r="DB37" t="str">
            <v>- New &amp; ongoing initiatives $40M in 2015, run rate $150M, which is in other</v>
          </cell>
        </row>
        <row r="38">
          <cell r="A38" t="str">
            <v>Other Revenue per Departure</v>
          </cell>
          <cell r="G38">
            <v>287.6765708718948</v>
          </cell>
          <cell r="H38">
            <v>357.56199129282606</v>
          </cell>
          <cell r="I38">
            <v>354.07454200884393</v>
          </cell>
          <cell r="J38">
            <v>336.50519031141869</v>
          </cell>
          <cell r="K38">
            <v>443.40228703584739</v>
          </cell>
          <cell r="L38">
            <v>376.54742917900819</v>
          </cell>
          <cell r="M38">
            <v>453.22597732810675</v>
          </cell>
          <cell r="N38">
            <v>496.33300297324087</v>
          </cell>
          <cell r="O38">
            <v>446.59848821698534</v>
          </cell>
          <cell r="P38">
            <v>427.2251308900523</v>
          </cell>
          <cell r="Q38">
            <v>453.51576658209495</v>
          </cell>
          <cell r="R38">
            <v>468.95074946466809</v>
          </cell>
          <cell r="S38">
            <v>475.05113742019461</v>
          </cell>
          <cell r="T38">
            <v>532.45997088791842</v>
          </cell>
          <cell r="U38">
            <v>506.78534146475477</v>
          </cell>
          <cell r="V38">
            <v>497.01135684399293</v>
          </cell>
          <cell r="W38">
            <v>450.32381866154958</v>
          </cell>
          <cell r="X38">
            <v>476.08941070219009</v>
          </cell>
          <cell r="Y38">
            <v>507.27296553531642</v>
          </cell>
          <cell r="Z38">
            <v>554.62696255426181</v>
          </cell>
          <cell r="AA38">
            <v>499.42561746122914</v>
          </cell>
          <cell r="AB38">
            <v>637.28205328236538</v>
          </cell>
          <cell r="AC38">
            <v>657.36615294719161</v>
          </cell>
          <cell r="AD38">
            <v>760.95929405066886</v>
          </cell>
          <cell r="AE38">
            <v>810.52904228453019</v>
          </cell>
          <cell r="AF38">
            <v>720.99563427938836</v>
          </cell>
          <cell r="AG38">
            <v>784.49603393671737</v>
          </cell>
          <cell r="AH38">
            <v>875.61027382721295</v>
          </cell>
          <cell r="AI38">
            <v>921.7461180307721</v>
          </cell>
          <cell r="AJ38">
            <v>916.48783977110168</v>
          </cell>
          <cell r="AK38">
            <v>879.66220971147072</v>
          </cell>
          <cell r="AL38">
            <v>944.73311289560706</v>
          </cell>
          <cell r="AM38">
            <v>949.24565265687806</v>
          </cell>
          <cell r="AN38">
            <v>1055.083311767165</v>
          </cell>
          <cell r="AO38">
            <v>1233.2418347455941</v>
          </cell>
          <cell r="AP38">
            <v>1047.8447968910548</v>
          </cell>
          <cell r="AQ38">
            <v>1301.061896106381</v>
          </cell>
          <cell r="AR38">
            <v>1531.5108354391607</v>
          </cell>
          <cell r="AS38">
            <v>1858.1907090464549</v>
          </cell>
          <cell r="AT38">
            <v>1788.4773827944455</v>
          </cell>
          <cell r="AU38">
            <v>1616.4448923749567</v>
          </cell>
          <cell r="AV38">
            <v>1641.0759422039459</v>
          </cell>
          <cell r="AW38">
            <v>1566.912635510613</v>
          </cell>
          <cell r="AX38">
            <v>1623.962468422952</v>
          </cell>
          <cell r="AY38">
            <v>1819.6793533434213</v>
          </cell>
          <cell r="AZ38">
            <v>1661.0524948266104</v>
          </cell>
          <cell r="BA38">
            <v>1563.4484153990472</v>
          </cell>
          <cell r="BB38">
            <v>1583.5735383082451</v>
          </cell>
          <cell r="BC38">
            <v>1662.8489013319759</v>
          </cell>
          <cell r="BD38">
            <v>1696.5194563994501</v>
          </cell>
          <cell r="BE38">
            <v>1627.4872395244367</v>
          </cell>
          <cell r="BF38">
            <v>1869.2907276125982</v>
          </cell>
          <cell r="BG38">
            <v>1703.6604361370717</v>
          </cell>
          <cell r="BH38">
            <v>1711.5960633290545</v>
          </cell>
          <cell r="BI38">
            <v>1693.3025851086134</v>
          </cell>
          <cell r="BJ38">
            <v>1741.6593412912925</v>
          </cell>
          <cell r="BK38">
            <v>1683.8195952538319</v>
          </cell>
          <cell r="BL38">
            <v>1604.4318646222773</v>
          </cell>
          <cell r="BM38">
            <v>1630.3181980693601</v>
          </cell>
          <cell r="BN38">
            <v>1613.8452552949495</v>
          </cell>
          <cell r="BO38">
            <v>1632.6530612244899</v>
          </cell>
          <cell r="BP38">
            <v>1692.3007802554926</v>
          </cell>
          <cell r="BQ38">
            <v>1597.8054919261333</v>
          </cell>
          <cell r="BR38">
            <v>1630.5959086866292</v>
          </cell>
          <cell r="BS38">
            <v>1746.365288505225</v>
          </cell>
          <cell r="BT38">
            <v>1665.8809852091035</v>
          </cell>
          <cell r="BU38">
            <v>1746.0969597370583</v>
          </cell>
          <cell r="BV38">
            <v>1615.1207336118639</v>
          </cell>
          <cell r="BW38">
            <v>1489.5408328476135</v>
          </cell>
          <cell r="BX38">
            <v>1596.7581783538631</v>
          </cell>
          <cell r="BY38">
            <v>1607.8697421981003</v>
          </cell>
          <cell r="BZ38">
            <v>1557.7800956341521</v>
          </cell>
          <cell r="CA38">
            <v>1458.0557580632999</v>
          </cell>
          <cell r="CB38">
            <v>1638.7714034390101</v>
          </cell>
          <cell r="CC38">
            <v>1863.6675609908282</v>
          </cell>
          <cell r="CD38">
            <v>1631.39602849876</v>
          </cell>
          <cell r="CE38">
            <v>1831.4441664887997</v>
          </cell>
          <cell r="CF38">
            <v>1825.9138621618386</v>
          </cell>
          <cell r="CG38">
            <v>1804.2242855169868</v>
          </cell>
          <cell r="CH38">
            <v>1917.1699790097034</v>
          </cell>
          <cell r="CI38">
            <v>1844.2866188274127</v>
          </cell>
          <cell r="CN38">
            <v>1870.141104138077</v>
          </cell>
          <cell r="CS38">
            <v>1878.8800812602169</v>
          </cell>
          <cell r="DB38" t="str">
            <v>2013 LiveTV revenue $72M, 1Q13: $19M, 1Q14: $16M, 2Q14 $14M</v>
          </cell>
        </row>
        <row r="39">
          <cell r="A39" t="str">
            <v>Other Revenue per Passenger</v>
          </cell>
          <cell r="B39">
            <v>0</v>
          </cell>
          <cell r="G39">
            <v>104.61800000000001</v>
          </cell>
          <cell r="H39">
            <v>2.9313226332556925</v>
          </cell>
          <cell r="I39">
            <v>2.9737232686550734</v>
          </cell>
          <cell r="J39">
            <v>2.9486413383344852</v>
          </cell>
          <cell r="K39">
            <v>3.7231230648067233</v>
          </cell>
          <cell r="L39">
            <v>3.18145081985885</v>
          </cell>
          <cell r="M39">
            <v>3.6226085321830404</v>
          </cell>
          <cell r="N39">
            <v>3.7572041839409533</v>
          </cell>
          <cell r="O39">
            <v>3.3436621556300961</v>
          </cell>
          <cell r="P39">
            <v>3.2896858672514995</v>
          </cell>
          <cell r="Q39">
            <v>3.4804649776038508</v>
          </cell>
          <cell r="R39">
            <v>3.5944190265973086</v>
          </cell>
          <cell r="S39">
            <v>3.467998841587026</v>
          </cell>
          <cell r="T39">
            <v>3.7890951127095245</v>
          </cell>
          <cell r="U39">
            <v>3.8796892547244806</v>
          </cell>
          <cell r="V39">
            <v>3.6908181853691802</v>
          </cell>
          <cell r="W39">
            <v>3.5421665742792747</v>
          </cell>
          <cell r="X39">
            <v>3.6097547948315074</v>
          </cell>
          <cell r="Y39">
            <v>3.8284556485297712</v>
          </cell>
          <cell r="Z39">
            <v>4.3010624136979603</v>
          </cell>
          <cell r="AA39">
            <v>3.8373452435259545</v>
          </cell>
          <cell r="AB39">
            <v>4.8051725750466314</v>
          </cell>
          <cell r="AC39">
            <v>4.8702537348081902</v>
          </cell>
          <cell r="AD39">
            <v>5.6538324370724959</v>
          </cell>
          <cell r="AE39">
            <v>6.5014814932163478</v>
          </cell>
          <cell r="AF39">
            <v>5.4829002735136099</v>
          </cell>
          <cell r="AG39">
            <v>6.2283737024221457</v>
          </cell>
          <cell r="AH39">
            <v>7.2928176795580102</v>
          </cell>
          <cell r="AI39">
            <v>8.1709616593337522</v>
          </cell>
          <cell r="AJ39">
            <v>8.3130575831305755</v>
          </cell>
          <cell r="AK39">
            <v>7.5410719095071377</v>
          </cell>
          <cell r="AL39">
            <v>8.642702808878413</v>
          </cell>
          <cell r="AM39">
            <v>8.4123858958296047</v>
          </cell>
          <cell r="AN39">
            <v>9.5875542691751097</v>
          </cell>
          <cell r="AO39">
            <v>11.966801775718974</v>
          </cell>
          <cell r="AP39">
            <v>9.6320194510684054</v>
          </cell>
          <cell r="AQ39">
            <v>12.323305545487496</v>
          </cell>
          <cell r="AR39">
            <v>14.191946070604933</v>
          </cell>
          <cell r="AS39">
            <v>16.852935958843357</v>
          </cell>
          <cell r="AT39">
            <v>16.79245283018868</v>
          </cell>
          <cell r="AU39">
            <v>15.028064457722254</v>
          </cell>
          <cell r="AV39">
            <v>16.443016443016443</v>
          </cell>
          <cell r="AW39">
            <v>15.111579687225444</v>
          </cell>
          <cell r="AX39">
            <v>14.971925145032207</v>
          </cell>
          <cell r="AY39">
            <v>17.408832691955286</v>
          </cell>
          <cell r="AZ39">
            <v>15.946369597382228</v>
          </cell>
          <cell r="BA39">
            <v>15.375340088956291</v>
          </cell>
          <cell r="BB39">
            <v>14.558164611293734</v>
          </cell>
          <cell r="BC39">
            <v>14.70899285998332</v>
          </cell>
          <cell r="BD39">
            <v>15.731081304851797</v>
          </cell>
          <cell r="BE39">
            <v>15.07599713687592</v>
          </cell>
          <cell r="BF39">
            <v>17.553467281744574</v>
          </cell>
          <cell r="BG39">
            <v>15.856236786469346</v>
          </cell>
          <cell r="BH39">
            <v>15.393386545039908</v>
          </cell>
          <cell r="BI39">
            <v>15.688032272523532</v>
          </cell>
          <cell r="BJ39">
            <v>16.079064705076394</v>
          </cell>
          <cell r="BK39">
            <v>15.613599883262806</v>
          </cell>
          <cell r="BL39">
            <v>14.445352957209048</v>
          </cell>
          <cell r="BM39">
            <v>14.715373693042467</v>
          </cell>
          <cell r="BN39">
            <v>14.961527500712455</v>
          </cell>
          <cell r="BO39">
            <v>14.919187733112308</v>
          </cell>
          <cell r="BP39">
            <v>15.479452054794521</v>
          </cell>
          <cell r="BQ39">
            <v>14.575003224558236</v>
          </cell>
          <cell r="BR39">
            <v>15.014269760516195</v>
          </cell>
          <cell r="BS39">
            <v>16.732417358182559</v>
          </cell>
          <cell r="BT39">
            <v>15.42855267045268</v>
          </cell>
          <cell r="BU39">
            <v>16.228010364107458</v>
          </cell>
          <cell r="BV39">
            <v>14.793984594693727</v>
          </cell>
          <cell r="BW39">
            <v>13.404825737265414</v>
          </cell>
          <cell r="BX39">
            <v>14.899211218229622</v>
          </cell>
          <cell r="BY39">
            <v>14.776482324334433</v>
          </cell>
          <cell r="BZ39">
            <v>14.206300185299567</v>
          </cell>
          <cell r="CA39">
            <v>13.095506886430345</v>
          </cell>
          <cell r="CB39">
            <v>14.723395041680199</v>
          </cell>
          <cell r="CC39">
            <v>17.50645269891146</v>
          </cell>
          <cell r="CD39">
            <v>14.899860402837524</v>
          </cell>
          <cell r="CE39">
            <v>15.133238293672552</v>
          </cell>
          <cell r="CF39">
            <v>14.540818419253755</v>
          </cell>
          <cell r="CG39">
            <v>14.485214473436329</v>
          </cell>
          <cell r="CH39">
            <v>18.141073308832841</v>
          </cell>
          <cell r="CI39">
            <v>15.55454116805392</v>
          </cell>
          <cell r="CN39">
            <v>15.910775107586879</v>
          </cell>
          <cell r="CS39">
            <v>15.995485252835604</v>
          </cell>
          <cell r="CX39">
            <v>2013</v>
          </cell>
          <cell r="CY39">
            <v>2014</v>
          </cell>
          <cell r="CZ39">
            <v>2015</v>
          </cell>
          <cell r="DA39" t="str">
            <v>Run Rate</v>
          </cell>
          <cell r="DE39" t="str">
            <v>mstag:revenueNet</v>
          </cell>
          <cell r="DF39">
            <v>6</v>
          </cell>
          <cell r="DG39" t="str">
            <v>ISO4217:USD</v>
          </cell>
          <cell r="DH39" t="b">
            <v>0</v>
          </cell>
          <cell r="DI39" t="b">
            <v>0</v>
          </cell>
        </row>
        <row r="40">
          <cell r="A40" t="str">
            <v>Total Operating Revenue</v>
          </cell>
          <cell r="B40">
            <v>0</v>
          </cell>
          <cell r="G40">
            <v>104.61800000000001</v>
          </cell>
          <cell r="H40">
            <v>63.85</v>
          </cell>
          <cell r="I40">
            <v>78.39800000000001</v>
          </cell>
          <cell r="J40">
            <v>82.608000000000004</v>
          </cell>
          <cell r="K40">
            <v>95.557999999999993</v>
          </cell>
          <cell r="L40">
            <v>320.41400000000004</v>
          </cell>
          <cell r="M40">
            <v>133.369</v>
          </cell>
          <cell r="N40">
            <v>149.303</v>
          </cell>
          <cell r="O40">
            <v>165.261</v>
          </cell>
          <cell r="P40">
            <v>187.25799999999998</v>
          </cell>
          <cell r="Q40">
            <v>635.19100000000003</v>
          </cell>
          <cell r="R40">
            <v>217.13</v>
          </cell>
          <cell r="S40">
            <v>244.70099999999999</v>
          </cell>
          <cell r="T40">
            <v>273.57599999999996</v>
          </cell>
          <cell r="U40">
            <v>262.94400000000002</v>
          </cell>
          <cell r="V40">
            <v>998.351</v>
          </cell>
          <cell r="W40">
            <v>289.00299999999999</v>
          </cell>
          <cell r="X40">
            <v>319.71800000000002</v>
          </cell>
          <cell r="Y40">
            <v>323.21499999999997</v>
          </cell>
          <cell r="Z40">
            <v>330.536</v>
          </cell>
          <cell r="AA40">
            <v>1262.4719999999998</v>
          </cell>
          <cell r="AB40">
            <v>374.22200000000004</v>
          </cell>
          <cell r="AC40">
            <v>429</v>
          </cell>
          <cell r="AD40">
            <v>452.91500000000002</v>
          </cell>
          <cell r="AE40">
            <v>445.99200000000002</v>
          </cell>
          <cell r="AF40">
            <v>1702.1290000000001</v>
          </cell>
          <cell r="AG40">
            <v>490.4</v>
          </cell>
          <cell r="AH40">
            <v>612</v>
          </cell>
          <cell r="AI40">
            <v>628</v>
          </cell>
          <cell r="AJ40">
            <v>633</v>
          </cell>
          <cell r="AK40">
            <v>2363.4</v>
          </cell>
          <cell r="AL40">
            <v>608</v>
          </cell>
          <cell r="AM40">
            <v>730</v>
          </cell>
          <cell r="AN40">
            <v>765</v>
          </cell>
          <cell r="AO40">
            <v>739</v>
          </cell>
          <cell r="AP40">
            <v>2842</v>
          </cell>
          <cell r="AQ40">
            <v>816</v>
          </cell>
          <cell r="AR40">
            <v>859</v>
          </cell>
          <cell r="AS40">
            <v>902</v>
          </cell>
          <cell r="AT40">
            <v>811</v>
          </cell>
          <cell r="AU40">
            <v>3388</v>
          </cell>
          <cell r="AV40">
            <v>795</v>
          </cell>
          <cell r="AW40">
            <v>809</v>
          </cell>
          <cell r="AX40">
            <v>855</v>
          </cell>
          <cell r="AY40">
            <v>832</v>
          </cell>
          <cell r="AZ40">
            <v>3291</v>
          </cell>
          <cell r="BA40">
            <v>870</v>
          </cell>
          <cell r="BB40">
            <v>939</v>
          </cell>
          <cell r="BC40">
            <v>1030</v>
          </cell>
          <cell r="BD40">
            <v>940</v>
          </cell>
          <cell r="BE40">
            <v>3779</v>
          </cell>
          <cell r="BF40">
            <v>1012</v>
          </cell>
          <cell r="BG40">
            <v>1151</v>
          </cell>
          <cell r="BH40">
            <v>1195</v>
          </cell>
          <cell r="BI40">
            <v>1146</v>
          </cell>
          <cell r="BJ40">
            <v>4504</v>
          </cell>
          <cell r="BK40">
            <v>1203</v>
          </cell>
          <cell r="BL40">
            <v>1277</v>
          </cell>
          <cell r="BM40">
            <v>1308</v>
          </cell>
          <cell r="BN40">
            <v>1194</v>
          </cell>
          <cell r="BO40">
            <v>4982</v>
          </cell>
          <cell r="BP40">
            <v>1299</v>
          </cell>
          <cell r="BQ40">
            <v>1335</v>
          </cell>
          <cell r="BR40">
            <v>1442</v>
          </cell>
          <cell r="BS40">
            <v>1365</v>
          </cell>
          <cell r="BT40">
            <v>5441</v>
          </cell>
          <cell r="BU40">
            <v>1349</v>
          </cell>
          <cell r="BV40">
            <v>1493</v>
          </cell>
          <cell r="BW40">
            <v>1529</v>
          </cell>
          <cell r="BX40">
            <v>1446</v>
          </cell>
          <cell r="BY40">
            <v>5817</v>
          </cell>
          <cell r="BZ40">
            <v>1523</v>
          </cell>
          <cell r="CA40">
            <v>1612</v>
          </cell>
          <cell r="CB40">
            <v>1687</v>
          </cell>
          <cell r="CC40">
            <v>1594</v>
          </cell>
          <cell r="CD40">
            <v>6416</v>
          </cell>
          <cell r="CE40">
            <v>1610.8156000000001</v>
          </cell>
          <cell r="CF40">
            <v>1715.7864</v>
          </cell>
          <cell r="CG40">
            <v>1786.1218749999998</v>
          </cell>
          <cell r="CH40">
            <v>1689.3000000000002</v>
          </cell>
          <cell r="CI40">
            <v>6802.023874999999</v>
          </cell>
          <cell r="CN40">
            <v>7292.3894191499985</v>
          </cell>
          <cell r="CS40">
            <v>7882.8039626819991</v>
          </cell>
          <cell r="CU40" t="str">
            <v>Fare families</v>
          </cell>
          <cell r="CZ40">
            <v>65</v>
          </cell>
          <cell r="DA40">
            <v>200</v>
          </cell>
          <cell r="DC40">
            <v>2013</v>
          </cell>
          <cell r="DD40">
            <v>2014</v>
          </cell>
          <cell r="DE40">
            <v>2015</v>
          </cell>
          <cell r="DF40" t="str">
            <v>Run Rate</v>
          </cell>
          <cell r="DJ40" t="str">
            <v>mstag:revenueNet</v>
          </cell>
          <cell r="DK40">
            <v>6</v>
          </cell>
          <cell r="DL40" t="str">
            <v>ISO4217:USD</v>
          </cell>
          <cell r="DM40" t="b">
            <v>0</v>
          </cell>
          <cell r="DN40" t="b">
            <v>0</v>
          </cell>
        </row>
        <row r="41">
          <cell r="A41" t="str">
            <v>YoY % Chg.</v>
          </cell>
          <cell r="H41">
            <v>8.5606795986335094</v>
          </cell>
          <cell r="I41">
            <v>8.1601342293056227</v>
          </cell>
          <cell r="J41">
            <v>7.3038948270267454</v>
          </cell>
          <cell r="K41">
            <v>6.9716880505567405</v>
          </cell>
          <cell r="L41">
            <v>2.0627043147450728</v>
          </cell>
          <cell r="M41">
            <v>1.088786217697729</v>
          </cell>
          <cell r="N41">
            <v>0.90442358223424035</v>
          </cell>
          <cell r="O41">
            <v>1.0005447414294015</v>
          </cell>
          <cell r="P41">
            <v>0.95962661420289241</v>
          </cell>
          <cell r="Q41">
            <v>0.9824071357680999</v>
          </cell>
          <cell r="R41">
            <v>0.62803949943390136</v>
          </cell>
          <cell r="S41">
            <v>0.63895568072979114</v>
          </cell>
          <cell r="T41">
            <v>0.65541779367182795</v>
          </cell>
          <cell r="U41">
            <v>0.40418032874429954</v>
          </cell>
          <cell r="V41">
            <v>0.57173354156466316</v>
          </cell>
          <cell r="W41">
            <v>0.33101367844148655</v>
          </cell>
          <cell r="X41">
            <v>0.30656597234992922</v>
          </cell>
          <cell r="Y41">
            <v>0.18144500979618106</v>
          </cell>
          <cell r="Z41">
            <v>0.25705853717901905</v>
          </cell>
          <cell r="AA41">
            <v>0.26455725491335191</v>
          </cell>
          <cell r="AB41">
            <v>0.29487237156707735</v>
          </cell>
          <cell r="AC41">
            <v>0.34180746783102611</v>
          </cell>
          <cell r="AD41">
            <v>0.40128088114722416</v>
          </cell>
          <cell r="AE41">
            <v>0.34929931989253826</v>
          </cell>
          <cell r="AF41">
            <v>0.34825089190096925</v>
          </cell>
          <cell r="AG41">
            <v>0.31045208459149887</v>
          </cell>
          <cell r="AH41">
            <v>0.42657342657342667</v>
          </cell>
          <cell r="AI41">
            <v>0.38657363964540803</v>
          </cell>
          <cell r="AJ41">
            <v>0.41930796964967976</v>
          </cell>
          <cell r="AK41">
            <v>0.38849640655907969</v>
          </cell>
          <cell r="AL41">
            <v>0.23980424143556278</v>
          </cell>
          <cell r="AM41">
            <v>0.19281045751633985</v>
          </cell>
          <cell r="AN41">
            <v>0.21815286624203822</v>
          </cell>
          <cell r="AO41">
            <v>0.1674565560821486</v>
          </cell>
          <cell r="AP41">
            <v>0.20250486587120253</v>
          </cell>
          <cell r="AQ41">
            <v>0.34210526315789469</v>
          </cell>
          <cell r="AR41">
            <v>0.17671232876712328</v>
          </cell>
          <cell r="AS41">
            <v>0.17908496732026147</v>
          </cell>
          <cell r="AT41">
            <v>9.7428958051420933E-2</v>
          </cell>
          <cell r="AU41">
            <v>0.19211822660098532</v>
          </cell>
          <cell r="AV41">
            <v>-2.5735294117647078E-2</v>
          </cell>
          <cell r="AW41">
            <v>-5.8207217694994151E-2</v>
          </cell>
          <cell r="AX41">
            <v>-5.2106430155210659E-2</v>
          </cell>
          <cell r="AY41">
            <v>2.5893958076448786E-2</v>
          </cell>
          <cell r="AZ41">
            <v>-2.8630460448642259E-2</v>
          </cell>
          <cell r="BA41">
            <v>9.4339622641509413E-2</v>
          </cell>
          <cell r="BB41">
            <v>0.16069221260815825</v>
          </cell>
          <cell r="BC41">
            <v>0.20467836257309946</v>
          </cell>
          <cell r="BD41">
            <v>0.12980769230769229</v>
          </cell>
          <cell r="BE41">
            <v>0.14828319659677902</v>
          </cell>
          <cell r="BF41">
            <v>0.16321839080459766</v>
          </cell>
          <cell r="BG41">
            <v>0.22577209797657072</v>
          </cell>
          <cell r="BH41">
            <v>0.16019417475728148</v>
          </cell>
          <cell r="BI41">
            <v>0.2191489361702128</v>
          </cell>
          <cell r="BJ41">
            <v>0.19184969568668953</v>
          </cell>
          <cell r="BK41">
            <v>0.18873517786561256</v>
          </cell>
          <cell r="BL41">
            <v>0.10947002606429201</v>
          </cell>
          <cell r="BM41">
            <v>9.4560669456067004E-2</v>
          </cell>
          <cell r="BN41">
            <v>4.1884816753926746E-2</v>
          </cell>
          <cell r="BO41">
            <v>0.10612788632326819</v>
          </cell>
          <cell r="BP41">
            <v>7.9800498753117122E-2</v>
          </cell>
          <cell r="BQ41">
            <v>4.5418950665622626E-2</v>
          </cell>
          <cell r="BR41">
            <v>0.10244648318042815</v>
          </cell>
          <cell r="BS41">
            <v>0.14321608040200995</v>
          </cell>
          <cell r="BT41">
            <v>9.2131674026495469E-2</v>
          </cell>
          <cell r="BU41">
            <v>3.8491147036181728E-2</v>
          </cell>
          <cell r="BV41">
            <v>0.11835205992509357</v>
          </cell>
          <cell r="BW41">
            <v>6.0332871012482636E-2</v>
          </cell>
          <cell r="BX41">
            <v>5.9340659340659352E-2</v>
          </cell>
          <cell r="BY41">
            <v>6.9104943944128028E-2</v>
          </cell>
          <cell r="BZ41">
            <v>0.128984432913269</v>
          </cell>
          <cell r="CA41">
            <v>7.9705291359678521E-2</v>
          </cell>
          <cell r="CB41">
            <v>0.10333551340745584</v>
          </cell>
          <cell r="CC41">
            <v>0.10235131396957131</v>
          </cell>
          <cell r="CD41">
            <v>0.10297404160220047</v>
          </cell>
          <cell r="CE41">
            <v>6.1063690085357836E-2</v>
          </cell>
          <cell r="CF41">
            <v>2.0531885856079235E-2</v>
          </cell>
          <cell r="CG41">
            <v>3.5487374036751618E-2</v>
          </cell>
          <cell r="CH41">
            <v>5.9538613550815356E-2</v>
          </cell>
          <cell r="CI41">
            <v>4.3776363778054828E-2</v>
          </cell>
          <cell r="CN41">
            <v>8.0456334590577105E-2</v>
          </cell>
          <cell r="CS41">
            <v>7.9541746376114775E-2</v>
          </cell>
          <cell r="CU41" t="str">
            <v>Cabin refresh</v>
          </cell>
          <cell r="CZ41" t="str">
            <v>Fare families</v>
          </cell>
          <cell r="DA41">
            <v>100</v>
          </cell>
          <cell r="DE41">
            <v>65</v>
          </cell>
          <cell r="DF41">
            <v>200</v>
          </cell>
        </row>
        <row r="42">
          <cell r="A42" t="str">
            <v>Revenue per ASM (cents)</v>
          </cell>
          <cell r="H42">
            <v>8.5606795986335094</v>
          </cell>
          <cell r="I42">
            <v>8.1601342293056227</v>
          </cell>
          <cell r="J42">
            <v>7.3038948270267454</v>
          </cell>
          <cell r="K42">
            <v>6.9716880505567405</v>
          </cell>
          <cell r="L42">
            <v>7.6139180332426646</v>
          </cell>
          <cell r="M42">
            <v>8.2598301820186162</v>
          </cell>
          <cell r="N42">
            <v>7.727446583093224</v>
          </cell>
          <cell r="O42">
            <v>7.4199440207538077</v>
          </cell>
          <cell r="P42">
            <v>7.5938977274432347</v>
          </cell>
          <cell r="Q42">
            <v>7.7086866430305667</v>
          </cell>
          <cell r="R42">
            <v>7.4408744680989596</v>
          </cell>
          <cell r="S42">
            <v>7.4712866528925241</v>
          </cell>
          <cell r="T42">
            <v>7.3842845077562034</v>
          </cell>
          <cell r="U42">
            <v>7.0280382224952076</v>
          </cell>
          <cell r="V42">
            <v>7.3195636082527438</v>
          </cell>
          <cell r="W42">
            <v>6.8508149777647134</v>
          </cell>
          <cell r="X42">
            <v>6.8656232451718413</v>
          </cell>
          <cell r="Y42">
            <v>6.5427078103998308</v>
          </cell>
          <cell r="Z42">
            <v>6.4866231158461236</v>
          </cell>
          <cell r="AA42">
            <v>6.6758426065267331</v>
          </cell>
          <cell r="AB42">
            <v>7.2402229362272923</v>
          </cell>
          <cell r="AC42">
            <v>7.3380999623687186</v>
          </cell>
          <cell r="AD42">
            <v>7.1529512171932996</v>
          </cell>
          <cell r="AE42">
            <v>7.0164475718014927</v>
          </cell>
          <cell r="AF42">
            <v>7.1810414285999959</v>
          </cell>
          <cell r="AG42">
            <v>7.4562870609700473</v>
          </cell>
          <cell r="AH42">
            <v>8.4976395445709514</v>
          </cell>
          <cell r="AI42">
            <v>8.3322276767944814</v>
          </cell>
          <cell r="AJ42">
            <v>8.6974443528441885</v>
          </cell>
          <cell r="AK42">
            <v>8.2653703574176411</v>
          </cell>
          <cell r="AL42">
            <v>8.2496607869742196</v>
          </cell>
          <cell r="AM42">
            <v>9.0503347384081341</v>
          </cell>
          <cell r="AN42">
            <v>9.1561938958707358</v>
          </cell>
          <cell r="AO42">
            <v>9.1088376679403424</v>
          </cell>
          <cell r="AP42">
            <v>8.9079739217652953</v>
          </cell>
          <cell r="AQ42">
            <v>9.7200714711137586</v>
          </cell>
          <cell r="AR42">
            <v>10.246928307288561</v>
          </cell>
          <cell r="AS42">
            <v>11.06205543291636</v>
          </cell>
          <cell r="AT42">
            <v>10.798934753661785</v>
          </cell>
          <cell r="AU42">
            <v>10.443252573824054</v>
          </cell>
          <cell r="AV42">
            <v>10.009568896051572</v>
          </cell>
          <cell r="AW42">
            <v>9.8215369673424782</v>
          </cell>
          <cell r="AX42">
            <v>10.1894887379335</v>
          </cell>
          <cell r="AY42">
            <v>10.41562343515273</v>
          </cell>
          <cell r="AZ42">
            <v>10.107990564646911</v>
          </cell>
          <cell r="BA42">
            <v>10.328101220140509</v>
          </cell>
          <cell r="BB42">
            <v>10.80772742151793</v>
          </cell>
          <cell r="BC42">
            <v>11.316194243023512</v>
          </cell>
          <cell r="BD42">
            <v>11.019684203986078</v>
          </cell>
          <cell r="BE42">
            <v>10.876686238945508</v>
          </cell>
          <cell r="BF42">
            <v>11.890758706778943</v>
          </cell>
          <cell r="BG42">
            <v>12.191505137167672</v>
          </cell>
          <cell r="BH42">
            <v>12.125824454591577</v>
          </cell>
          <cell r="BI42">
            <v>12.159151193633951</v>
          </cell>
          <cell r="BJ42">
            <v>12.097182165004007</v>
          </cell>
          <cell r="BK42">
            <v>12.615352348993289</v>
          </cell>
          <cell r="BL42">
            <v>12.81999799216946</v>
          </cell>
          <cell r="BM42">
            <v>12.219730941704036</v>
          </cell>
          <cell r="BN42">
            <v>12.092363783674296</v>
          </cell>
          <cell r="BO42">
            <v>12.431690580162195</v>
          </cell>
          <cell r="BP42">
            <v>12.810650887573965</v>
          </cell>
          <cell r="BQ42">
            <v>12.429010334233311</v>
          </cell>
          <cell r="BR42">
            <v>12.815499466761466</v>
          </cell>
          <cell r="BS42">
            <v>12.76774857356655</v>
          </cell>
          <cell r="BT42">
            <v>12.70549224733794</v>
          </cell>
          <cell r="BU42">
            <v>12.947499760053748</v>
          </cell>
          <cell r="BV42">
            <v>13.112594414192868</v>
          </cell>
          <cell r="BW42">
            <v>13.010551395507147</v>
          </cell>
          <cell r="BX42">
            <v>12.644281217208814</v>
          </cell>
          <cell r="BY42">
            <v>12.928677794323562</v>
          </cell>
          <cell r="BZ42">
            <v>13.337420089324809</v>
          </cell>
          <cell r="CA42">
            <v>13.173163357031953</v>
          </cell>
          <cell r="CB42">
            <v>13.000924784217016</v>
          </cell>
          <cell r="CC42">
            <v>12.624742594645969</v>
          </cell>
          <cell r="CD42">
            <v>13.025295383491006</v>
          </cell>
          <cell r="CE42">
            <v>12.320044237922623</v>
          </cell>
          <cell r="CF42">
            <v>12.631801205471222</v>
          </cell>
          <cell r="CG42">
            <v>12.804475346256417</v>
          </cell>
          <cell r="CH42">
            <v>12.742413613631735</v>
          </cell>
          <cell r="CI42">
            <v>12.62806853144451</v>
          </cell>
          <cell r="CN42">
            <v>12.535592760401041</v>
          </cell>
          <cell r="CS42">
            <v>12.546771634167897</v>
          </cell>
          <cell r="CU42" t="str">
            <v>New &amp; Ongoing</v>
          </cell>
          <cell r="CZ42" t="str">
            <v>Cabin refresh</v>
          </cell>
          <cell r="DA42">
            <v>150</v>
          </cell>
          <cell r="DF42">
            <v>100</v>
          </cell>
        </row>
        <row r="43">
          <cell r="A43" t="str">
            <v>YoY % Chg.</v>
          </cell>
          <cell r="M43">
            <v>-3.5143169785599282E-2</v>
          </cell>
          <cell r="N43">
            <v>-5.302457460301091E-2</v>
          </cell>
          <cell r="O43">
            <v>1.588867261582716E-2</v>
          </cell>
          <cell r="P43">
            <v>8.9248066232224144E-2</v>
          </cell>
          <cell r="Q43">
            <v>1.2446759917054351E-2</v>
          </cell>
          <cell r="R43">
            <v>-9.9149219278441891E-2</v>
          </cell>
          <cell r="S43">
            <v>-3.3149362787074921E-2</v>
          </cell>
          <cell r="T43">
            <v>-4.8059005428967572E-3</v>
          </cell>
          <cell r="U43">
            <v>-7.4515028415920503E-2</v>
          </cell>
          <cell r="V43">
            <v>-5.0478512462253211E-2</v>
          </cell>
          <cell r="W43">
            <v>-7.9299750703225924E-2</v>
          </cell>
          <cell r="X43">
            <v>-8.1065475848955515E-2</v>
          </cell>
          <cell r="Y43">
            <v>-0.11396861760572863</v>
          </cell>
          <cell r="Z43">
            <v>-7.7036448793937007E-2</v>
          </cell>
          <cell r="AA43">
            <v>-8.7945270535011222E-2</v>
          </cell>
          <cell r="AB43">
            <v>5.6841114484401878E-2</v>
          </cell>
          <cell r="AC43">
            <v>6.8817746084325337E-2</v>
          </cell>
          <cell r="AD43">
            <v>9.3270771747359538E-2</v>
          </cell>
          <cell r="AE43">
            <v>8.1679549820162123E-2</v>
          </cell>
          <cell r="AF43">
            <v>7.5675664009715815E-2</v>
          </cell>
          <cell r="AG43">
            <v>2.9842192242679921E-2</v>
          </cell>
          <cell r="AH43">
            <v>0.15801632413684596</v>
          </cell>
          <cell r="AI43">
            <v>0.16486572098612884</v>
          </cell>
          <cell r="AJ43">
            <v>0.23957946864713686</v>
          </cell>
          <cell r="AK43">
            <v>0.15099884043268141</v>
          </cell>
          <cell r="AL43">
            <v>0.10640332373428718</v>
          </cell>
          <cell r="AM43">
            <v>6.5041025915284045E-2</v>
          </cell>
          <cell r="AN43">
            <v>9.8889066770345924E-2</v>
          </cell>
          <cell r="AO43">
            <v>4.7300482579301972E-2</v>
          </cell>
          <cell r="AP43">
            <v>7.774649369110942E-2</v>
          </cell>
          <cell r="AQ43">
            <v>0.17823892667941443</v>
          </cell>
          <cell r="AR43">
            <v>0.13221539351492506</v>
          </cell>
          <cell r="AS43">
            <v>0.20814997571262994</v>
          </cell>
          <cell r="AT43">
            <v>0.18554475854476404</v>
          </cell>
          <cell r="AU43">
            <v>0.17234880406503406</v>
          </cell>
          <cell r="AV43">
            <v>2.9783466695501692E-2</v>
          </cell>
          <cell r="AW43">
            <v>-4.1514034956554258E-2</v>
          </cell>
          <cell r="AX43">
            <v>-7.8879255331377407E-2</v>
          </cell>
          <cell r="AY43">
            <v>-3.5495289790419271E-2</v>
          </cell>
          <cell r="AZ43">
            <v>-3.2103217537558626E-2</v>
          </cell>
          <cell r="BA43">
            <v>3.1822781520049803E-2</v>
          </cell>
          <cell r="BB43">
            <v>0.10041101076691228</v>
          </cell>
          <cell r="BC43">
            <v>0.11057527360479869</v>
          </cell>
          <cell r="BD43">
            <v>5.7995642084624821E-2</v>
          </cell>
          <cell r="BE43">
            <v>7.6048317356680162E-2</v>
          </cell>
          <cell r="BF43">
            <v>0.15130152709881894</v>
          </cell>
          <cell r="BG43">
            <v>0.12803595628204634</v>
          </cell>
          <cell r="BH43">
            <v>7.1546157142645894E-2</v>
          </cell>
          <cell r="BI43">
            <v>0.10340287149387661</v>
          </cell>
          <cell r="BJ43">
            <v>0.11221211123001251</v>
          </cell>
          <cell r="BK43">
            <v>6.0937544868457705E-2</v>
          </cell>
          <cell r="BL43">
            <v>5.1551703249972824E-2</v>
          </cell>
          <cell r="BM43">
            <v>7.7443383304878211E-3</v>
          </cell>
          <cell r="BN43">
            <v>-5.4927691000851153E-3</v>
          </cell>
          <cell r="BO43">
            <v>2.7651763079660663E-2</v>
          </cell>
          <cell r="BP43">
            <v>1.548102131259621E-2</v>
          </cell>
          <cell r="BQ43">
            <v>-3.049826202585737E-2</v>
          </cell>
          <cell r="BR43">
            <v>4.8754635261580415E-2</v>
          </cell>
          <cell r="BS43">
            <v>5.5852172658259036E-2</v>
          </cell>
          <cell r="BT43">
            <v>2.2024491794596424E-2</v>
          </cell>
          <cell r="BU43">
            <v>1.0682429306736019E-2</v>
          </cell>
          <cell r="BV43">
            <v>5.4999075676746001E-2</v>
          </cell>
          <cell r="BW43">
            <v>1.5220002096022256E-2</v>
          </cell>
          <cell r="BX43">
            <v>-9.6702527972202246E-3</v>
          </cell>
          <cell r="BY43">
            <v>1.756606848761666E-2</v>
          </cell>
          <cell r="BZ43">
            <v>3.0115492295590629E-2</v>
          </cell>
          <cell r="CA43">
            <v>4.6191425530195396E-3</v>
          </cell>
          <cell r="CB43">
            <v>-7.3990801753831548E-4</v>
          </cell>
          <cell r="CC43">
            <v>-7.1001875564158379E-3</v>
          </cell>
          <cell r="CD43">
            <v>6.0808394786677766E-3</v>
          </cell>
          <cell r="CE43">
            <v>-4.2997021855360806E-2</v>
          </cell>
          <cell r="CF43">
            <v>-2.4425896683961446E-2</v>
          </cell>
          <cell r="CG43">
            <v>7.2938719056085954E-3</v>
          </cell>
          <cell r="CH43">
            <v>1.5372856598872886E-2</v>
          </cell>
          <cell r="CI43">
            <v>-1.0790148156187618E-2</v>
          </cell>
          <cell r="CN43">
            <v>4.2253202831199488E-4</v>
          </cell>
          <cell r="CS43">
            <v>-4.2430891100508905E-4</v>
          </cell>
          <cell r="CU43" t="str">
            <v>Total Ancillary</v>
          </cell>
          <cell r="CX43">
            <v>470</v>
          </cell>
          <cell r="CY43">
            <v>474</v>
          </cell>
          <cell r="CZ43" t="str">
            <v>New &amp; Ongoing</v>
          </cell>
          <cell r="DE43">
            <v>20</v>
          </cell>
          <cell r="DF43">
            <v>150</v>
          </cell>
        </row>
        <row r="44">
          <cell r="A44" t="str">
            <v>OPERATING EXPENSES</v>
          </cell>
          <cell r="B44">
            <v>6</v>
          </cell>
          <cell r="G44">
            <v>32.911999999999999</v>
          </cell>
          <cell r="H44">
            <v>15.917</v>
          </cell>
          <cell r="I44">
            <v>18.863</v>
          </cell>
          <cell r="J44">
            <v>21.599</v>
          </cell>
          <cell r="K44">
            <v>28.382999999999999</v>
          </cell>
          <cell r="L44">
            <v>84.762</v>
          </cell>
          <cell r="M44">
            <v>33.561</v>
          </cell>
          <cell r="N44">
            <v>37.622</v>
          </cell>
          <cell r="O44">
            <v>41.747</v>
          </cell>
          <cell r="P44">
            <v>49.261000000000003</v>
          </cell>
          <cell r="Q44">
            <v>162.191</v>
          </cell>
          <cell r="R44">
            <v>56.901000000000003</v>
          </cell>
          <cell r="S44">
            <v>64.426999999999992</v>
          </cell>
          <cell r="T44">
            <v>69.875</v>
          </cell>
          <cell r="U44">
            <v>72.730999999999995</v>
          </cell>
          <cell r="V44">
            <v>263.93399999999997</v>
          </cell>
          <cell r="W44">
            <v>77.584000000000003</v>
          </cell>
          <cell r="X44">
            <v>83.902000000000001</v>
          </cell>
          <cell r="Y44">
            <v>86.254999999999995</v>
          </cell>
          <cell r="Z44">
            <v>89.376999999999995</v>
          </cell>
          <cell r="AA44">
            <v>337.11799999999999</v>
          </cell>
          <cell r="AB44">
            <v>98.456000000000003</v>
          </cell>
          <cell r="AC44">
            <v>105.429</v>
          </cell>
          <cell r="AD44">
            <v>107.75700000000001</v>
          </cell>
          <cell r="AE44">
            <v>108.881</v>
          </cell>
          <cell r="AF44">
            <v>420.52300000000002</v>
          </cell>
          <cell r="AG44">
            <v>132</v>
          </cell>
          <cell r="AH44">
            <v>134</v>
          </cell>
          <cell r="AI44">
            <v>140</v>
          </cell>
          <cell r="AJ44">
            <v>147</v>
          </cell>
          <cell r="AK44">
            <v>553</v>
          </cell>
          <cell r="AL44">
            <v>164</v>
          </cell>
          <cell r="AM44">
            <v>158</v>
          </cell>
          <cell r="AN44">
            <v>159</v>
          </cell>
          <cell r="AO44">
            <v>167</v>
          </cell>
          <cell r="AP44">
            <v>648</v>
          </cell>
          <cell r="AQ44">
            <v>178</v>
          </cell>
          <cell r="AR44">
            <v>168</v>
          </cell>
          <cell r="AS44">
            <v>173</v>
          </cell>
          <cell r="AT44">
            <v>175</v>
          </cell>
          <cell r="AU44">
            <v>694</v>
          </cell>
          <cell r="AV44">
            <v>185</v>
          </cell>
          <cell r="AW44">
            <v>192</v>
          </cell>
          <cell r="AX44">
            <v>199</v>
          </cell>
          <cell r="AY44">
            <v>200</v>
          </cell>
          <cell r="AZ44">
            <v>776</v>
          </cell>
          <cell r="BA44">
            <v>219</v>
          </cell>
          <cell r="BB44">
            <v>218</v>
          </cell>
          <cell r="BC44">
            <v>227</v>
          </cell>
          <cell r="BD44">
            <v>227</v>
          </cell>
          <cell r="BE44">
            <v>891</v>
          </cell>
          <cell r="BF44">
            <v>235</v>
          </cell>
          <cell r="BG44">
            <v>235</v>
          </cell>
          <cell r="BH44">
            <v>236</v>
          </cell>
          <cell r="BI44">
            <v>241</v>
          </cell>
          <cell r="BJ44">
            <v>947</v>
          </cell>
          <cell r="BK44">
            <v>255</v>
          </cell>
          <cell r="BL44">
            <v>265</v>
          </cell>
          <cell r="BM44">
            <v>262</v>
          </cell>
          <cell r="BN44">
            <v>262</v>
          </cell>
          <cell r="BO44">
            <v>1044</v>
          </cell>
          <cell r="BP44">
            <v>280</v>
          </cell>
          <cell r="BQ44">
            <v>279</v>
          </cell>
          <cell r="BR44">
            <v>283</v>
          </cell>
          <cell r="BS44">
            <v>293</v>
          </cell>
          <cell r="BT44">
            <v>1135</v>
          </cell>
          <cell r="BU44">
            <v>329</v>
          </cell>
          <cell r="BV44">
            <v>316</v>
          </cell>
          <cell r="BW44">
            <v>318</v>
          </cell>
          <cell r="BX44">
            <v>331</v>
          </cell>
          <cell r="BY44">
            <v>1294</v>
          </cell>
          <cell r="BZ44">
            <v>375</v>
          </cell>
          <cell r="CA44">
            <v>375</v>
          </cell>
          <cell r="CB44">
            <v>365.62847222222223</v>
          </cell>
          <cell r="CC44">
            <v>380.82592465305055</v>
          </cell>
          <cell r="CD44">
            <v>1519.5900716417909</v>
          </cell>
          <cell r="CE44">
            <v>434.22959589460783</v>
          </cell>
          <cell r="CF44">
            <v>417.42221097445247</v>
          </cell>
          <cell r="CG44">
            <v>409.99542673157839</v>
          </cell>
          <cell r="CH44">
            <v>416.58842791063989</v>
          </cell>
          <cell r="CI44">
            <v>1537.0941908710131</v>
          </cell>
          <cell r="CN44">
            <v>1688.2743913349543</v>
          </cell>
          <cell r="CY44">
            <v>8.5106382978723527E-3</v>
          </cell>
          <cell r="CZ44" t="str">
            <v>Total Ancillary</v>
          </cell>
          <cell r="DC44">
            <v>470</v>
          </cell>
          <cell r="DD44">
            <v>474</v>
          </cell>
          <cell r="DE44">
            <v>537.75</v>
          </cell>
          <cell r="DF44">
            <v>6</v>
          </cell>
          <cell r="DG44" t="str">
            <v>ISO4217:USD</v>
          </cell>
          <cell r="DH44" t="b">
            <v>0</v>
          </cell>
          <cell r="DI44" t="b">
            <v>0</v>
          </cell>
        </row>
        <row r="45">
          <cell r="A45" t="str">
            <v>Salaries, Wages, and Benefits</v>
          </cell>
          <cell r="B45">
            <v>6</v>
          </cell>
          <cell r="G45">
            <v>32.911999999999999</v>
          </cell>
          <cell r="H45">
            <v>15.917</v>
          </cell>
          <cell r="I45">
            <v>18.863</v>
          </cell>
          <cell r="J45">
            <v>21.599</v>
          </cell>
          <cell r="K45">
            <v>28.382999999999999</v>
          </cell>
          <cell r="L45">
            <v>84.762</v>
          </cell>
          <cell r="M45">
            <v>33.561</v>
          </cell>
          <cell r="N45">
            <v>37.622</v>
          </cell>
          <cell r="O45">
            <v>41.747</v>
          </cell>
          <cell r="P45">
            <v>49.261000000000003</v>
          </cell>
          <cell r="Q45">
            <v>162.191</v>
          </cell>
          <cell r="R45">
            <v>56.901000000000003</v>
          </cell>
          <cell r="S45">
            <v>64.426999999999992</v>
          </cell>
          <cell r="T45">
            <v>69.875</v>
          </cell>
          <cell r="U45">
            <v>72.730999999999995</v>
          </cell>
          <cell r="V45">
            <v>263.93399999999997</v>
          </cell>
          <cell r="W45">
            <v>77.584000000000003</v>
          </cell>
          <cell r="X45">
            <v>83.902000000000001</v>
          </cell>
          <cell r="Y45">
            <v>86.254999999999995</v>
          </cell>
          <cell r="Z45">
            <v>89.376999999999995</v>
          </cell>
          <cell r="AA45">
            <v>337.11799999999999</v>
          </cell>
          <cell r="AB45">
            <v>98.456000000000003</v>
          </cell>
          <cell r="AC45">
            <v>105.429</v>
          </cell>
          <cell r="AD45">
            <v>107.75700000000001</v>
          </cell>
          <cell r="AE45">
            <v>108.881</v>
          </cell>
          <cell r="AF45">
            <v>420.52300000000002</v>
          </cell>
          <cell r="AG45">
            <v>132</v>
          </cell>
          <cell r="AH45">
            <v>134</v>
          </cell>
          <cell r="AI45">
            <v>140</v>
          </cell>
          <cell r="AJ45">
            <v>147</v>
          </cell>
          <cell r="AK45">
            <v>553</v>
          </cell>
          <cell r="AL45">
            <v>164</v>
          </cell>
          <cell r="AM45">
            <v>158</v>
          </cell>
          <cell r="AN45">
            <v>159</v>
          </cell>
          <cell r="AO45">
            <v>167</v>
          </cell>
          <cell r="AP45">
            <v>648</v>
          </cell>
          <cell r="AQ45">
            <v>178</v>
          </cell>
          <cell r="AR45">
            <v>168</v>
          </cell>
          <cell r="AS45">
            <v>173</v>
          </cell>
          <cell r="AT45">
            <v>175</v>
          </cell>
          <cell r="AU45">
            <v>694</v>
          </cell>
          <cell r="AV45">
            <v>185</v>
          </cell>
          <cell r="AW45">
            <v>192</v>
          </cell>
          <cell r="AX45">
            <v>199</v>
          </cell>
          <cell r="AY45">
            <v>200</v>
          </cell>
          <cell r="AZ45">
            <v>776</v>
          </cell>
          <cell r="BA45">
            <v>219</v>
          </cell>
          <cell r="BB45">
            <v>218</v>
          </cell>
          <cell r="BC45">
            <v>227</v>
          </cell>
          <cell r="BD45">
            <v>227</v>
          </cell>
          <cell r="BE45">
            <v>891</v>
          </cell>
          <cell r="BF45">
            <v>235</v>
          </cell>
          <cell r="BG45">
            <v>235</v>
          </cell>
          <cell r="BH45">
            <v>236</v>
          </cell>
          <cell r="BI45">
            <v>241</v>
          </cell>
          <cell r="BJ45">
            <v>947</v>
          </cell>
          <cell r="BK45">
            <v>255</v>
          </cell>
          <cell r="BL45">
            <v>265</v>
          </cell>
          <cell r="BM45">
            <v>262</v>
          </cell>
          <cell r="BN45">
            <v>262</v>
          </cell>
          <cell r="BO45">
            <v>1044</v>
          </cell>
          <cell r="BP45">
            <v>280</v>
          </cell>
          <cell r="BQ45">
            <v>279</v>
          </cell>
          <cell r="BR45">
            <v>283</v>
          </cell>
          <cell r="BS45">
            <v>293</v>
          </cell>
          <cell r="BT45">
            <v>1135</v>
          </cell>
          <cell r="BU45">
            <v>329</v>
          </cell>
          <cell r="BV45">
            <v>316</v>
          </cell>
          <cell r="BW45">
            <v>318</v>
          </cell>
          <cell r="BX45">
            <v>331</v>
          </cell>
          <cell r="BY45">
            <v>1294</v>
          </cell>
          <cell r="BZ45">
            <v>375</v>
          </cell>
          <cell r="CA45">
            <v>375</v>
          </cell>
          <cell r="CB45">
            <v>389</v>
          </cell>
          <cell r="CC45">
            <v>380.59007164179104</v>
          </cell>
          <cell r="CD45">
            <v>1519.5900716417909</v>
          </cell>
          <cell r="CE45">
            <v>430.26157009803921</v>
          </cell>
          <cell r="CF45">
            <v>425.98265000348897</v>
          </cell>
          <cell r="CG45">
            <v>412.38921361978447</v>
          </cell>
          <cell r="CH45">
            <v>419.05245489406195</v>
          </cell>
          <cell r="CI45">
            <v>1687.6858886153746</v>
          </cell>
          <cell r="CN45">
            <v>1889.6712042846605</v>
          </cell>
          <cell r="CS45">
            <v>2098.6318676506339</v>
          </cell>
          <cell r="CU45" t="str">
            <v>Retirement plus and profit sharing</v>
          </cell>
          <cell r="DD45">
            <v>8.5106382978723527E-3</v>
          </cell>
          <cell r="DE45">
            <v>0.134493670886076</v>
          </cell>
          <cell r="DJ45" t="str">
            <v>mstag:employeeExpenses</v>
          </cell>
          <cell r="DK45">
            <v>6</v>
          </cell>
          <cell r="DL45" t="str">
            <v>ISO4217:USD</v>
          </cell>
          <cell r="DM45" t="b">
            <v>0</v>
          </cell>
          <cell r="DN45" t="b">
            <v>0</v>
          </cell>
        </row>
        <row r="46">
          <cell r="A46" t="str">
            <v>YoY % Chg.</v>
          </cell>
          <cell r="L46">
            <v>1.575413223140496</v>
          </cell>
          <cell r="M46">
            <v>1.1085003455425015</v>
          </cell>
          <cell r="N46">
            <v>0.99448656099241917</v>
          </cell>
          <cell r="O46">
            <v>0.93282096393351543</v>
          </cell>
          <cell r="P46">
            <v>0.73558115773526422</v>
          </cell>
          <cell r="Q46">
            <v>0.9134871758571057</v>
          </cell>
          <cell r="R46">
            <v>0.69545007598104958</v>
          </cell>
          <cell r="S46">
            <v>0.71248205837010237</v>
          </cell>
          <cell r="T46">
            <v>0.67377296572208789</v>
          </cell>
          <cell r="U46">
            <v>0.47644180995107677</v>
          </cell>
          <cell r="V46">
            <v>0.62730361117447919</v>
          </cell>
          <cell r="W46">
            <v>0.36349097555403231</v>
          </cell>
          <cell r="X46">
            <v>0.30228009995809235</v>
          </cell>
          <cell r="Y46">
            <v>0.23441860465116271</v>
          </cell>
          <cell r="Z46">
            <v>0.2288707703730184</v>
          </cell>
          <cell r="AA46">
            <v>0.27728144157251444</v>
          </cell>
          <cell r="AB46">
            <v>0.26902454114250363</v>
          </cell>
          <cell r="AC46">
            <v>0.25657314485947902</v>
          </cell>
          <cell r="AD46">
            <v>0.24928409947249452</v>
          </cell>
          <cell r="AE46">
            <v>0.21822169014399684</v>
          </cell>
          <cell r="AF46">
            <v>0.24740595281177513</v>
          </cell>
          <cell r="AG46">
            <v>0.34070041439830989</v>
          </cell>
          <cell r="AH46">
            <v>0.27099754337041992</v>
          </cell>
          <cell r="AI46">
            <v>0.29921954026188557</v>
          </cell>
          <cell r="AJ46">
            <v>0.35009781320891609</v>
          </cell>
          <cell r="AK46">
            <v>0.31502914228234835</v>
          </cell>
          <cell r="AL46">
            <v>0.24242424242424243</v>
          </cell>
          <cell r="AM46">
            <v>0.17910447761194037</v>
          </cell>
          <cell r="AN46">
            <v>0.13571428571428568</v>
          </cell>
          <cell r="AO46">
            <v>0.13605442176870741</v>
          </cell>
          <cell r="AP46">
            <v>0.17179023508137425</v>
          </cell>
          <cell r="AQ46">
            <v>8.5365853658536661E-2</v>
          </cell>
          <cell r="AR46">
            <v>6.3291139240506222E-2</v>
          </cell>
          <cell r="AS46">
            <v>8.8050314465408785E-2</v>
          </cell>
          <cell r="AT46">
            <v>4.7904191616766401E-2</v>
          </cell>
          <cell r="AU46">
            <v>7.0987654320987748E-2</v>
          </cell>
          <cell r="AV46">
            <v>3.9325842696629199E-2</v>
          </cell>
          <cell r="AW46">
            <v>0.14285714285714279</v>
          </cell>
          <cell r="AX46">
            <v>0.1502890173410405</v>
          </cell>
          <cell r="AY46">
            <v>0.14285714285714279</v>
          </cell>
          <cell r="AZ46">
            <v>0.11815561959654186</v>
          </cell>
          <cell r="BA46">
            <v>0.18378378378378368</v>
          </cell>
          <cell r="BB46">
            <v>0.13541666666666674</v>
          </cell>
          <cell r="BC46">
            <v>0.14070351758793964</v>
          </cell>
          <cell r="BD46">
            <v>0.13500000000000001</v>
          </cell>
          <cell r="BE46">
            <v>0.14819587628865971</v>
          </cell>
          <cell r="BF46">
            <v>7.3059360730593603E-2</v>
          </cell>
          <cell r="BG46">
            <v>7.7981651376146877E-2</v>
          </cell>
          <cell r="BH46">
            <v>3.9647577092511099E-2</v>
          </cell>
          <cell r="BI46">
            <v>6.1674008810572722E-2</v>
          </cell>
          <cell r="BJ46">
            <v>6.285072951739612E-2</v>
          </cell>
          <cell r="BK46">
            <v>8.5106382978723305E-2</v>
          </cell>
          <cell r="BL46">
            <v>0.12765957446808507</v>
          </cell>
          <cell r="BM46">
            <v>0.11016949152542366</v>
          </cell>
          <cell r="BN46">
            <v>8.7136929460580825E-2</v>
          </cell>
          <cell r="BO46">
            <v>0.10242872228088706</v>
          </cell>
          <cell r="BP46">
            <v>9.8039215686274606E-2</v>
          </cell>
          <cell r="BQ46">
            <v>5.2830188679245271E-2</v>
          </cell>
          <cell r="BR46">
            <v>8.0152671755725269E-2</v>
          </cell>
          <cell r="BS46">
            <v>0.11832061068702293</v>
          </cell>
          <cell r="BT46">
            <v>8.7164750957854364E-2</v>
          </cell>
          <cell r="BU46">
            <v>0.17500000000000004</v>
          </cell>
          <cell r="BV46">
            <v>0.13261648745519716</v>
          </cell>
          <cell r="BW46">
            <v>0.12367491166077738</v>
          </cell>
          <cell r="BX46">
            <v>0.12969283276450505</v>
          </cell>
          <cell r="BY46">
            <v>0.14008810572687214</v>
          </cell>
          <cell r="BZ46">
            <v>0.13981762917933138</v>
          </cell>
          <cell r="CA46">
            <v>0.18670886075949378</v>
          </cell>
          <cell r="CB46">
            <v>0.22327044025157239</v>
          </cell>
          <cell r="CC46">
            <v>0.14981894755828118</v>
          </cell>
          <cell r="CD46">
            <v>0.17433544949133761</v>
          </cell>
          <cell r="CE46">
            <v>0.1473641869281046</v>
          </cell>
          <cell r="CF46">
            <v>0.13595373334263727</v>
          </cell>
          <cell r="CG46">
            <v>6.0126513161399719E-2</v>
          </cell>
          <cell r="CH46">
            <v>0.10105987023348173</v>
          </cell>
          <cell r="CI46">
            <v>0.11061918612824972</v>
          </cell>
          <cell r="CN46">
            <v>0.11968181818181844</v>
          </cell>
          <cell r="CS46">
            <v>0.11058043478260871</v>
          </cell>
          <cell r="CV46" t="str">
            <v>2012: $35M retirement plus, $3M profit sharing</v>
          </cell>
          <cell r="CZ46" t="str">
            <v>Retirement plus and profit sharing</v>
          </cell>
          <cell r="DA46">
            <v>0.11401869158878504</v>
          </cell>
        </row>
        <row r="47">
          <cell r="A47" t="str">
            <v>Profit-Sharing Expense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7</v>
          </cell>
          <cell r="BM47">
            <v>4</v>
          </cell>
          <cell r="BN47">
            <v>-8</v>
          </cell>
          <cell r="BO47">
            <v>3</v>
          </cell>
          <cell r="BP47">
            <v>0</v>
          </cell>
          <cell r="BQ47">
            <v>0</v>
          </cell>
          <cell r="BR47">
            <v>7</v>
          </cell>
          <cell r="BS47">
            <v>5</v>
          </cell>
          <cell r="BT47">
            <v>12</v>
          </cell>
          <cell r="BU47">
            <v>0</v>
          </cell>
          <cell r="BV47">
            <v>0</v>
          </cell>
          <cell r="BW47">
            <v>11</v>
          </cell>
          <cell r="BX47">
            <v>14</v>
          </cell>
          <cell r="BY47">
            <v>25</v>
          </cell>
          <cell r="BZ47">
            <v>28</v>
          </cell>
          <cell r="CA47">
            <v>33</v>
          </cell>
          <cell r="CB47">
            <v>47</v>
          </cell>
          <cell r="CC47">
            <v>19</v>
          </cell>
          <cell r="CD47">
            <v>127</v>
          </cell>
          <cell r="CE47">
            <v>36</v>
          </cell>
          <cell r="CF47">
            <v>35.641982612184705</v>
          </cell>
          <cell r="CG47">
            <v>34.504619334070284</v>
          </cell>
          <cell r="CH47">
            <v>35.062132954957534</v>
          </cell>
          <cell r="CI47">
            <v>141.20873490121252</v>
          </cell>
          <cell r="CN47">
            <v>158.10885303734403</v>
          </cell>
          <cell r="CS47">
            <v>175.59259874919314</v>
          </cell>
          <cell r="CV47" t="str">
            <v>2011: $32M retirement plus</v>
          </cell>
          <cell r="DA47" t="str">
            <v>2012: $35M retirement plus, $3M profit sharing</v>
          </cell>
          <cell r="DF47">
            <v>0.11401869158878504</v>
          </cell>
        </row>
        <row r="48">
          <cell r="A48" t="str">
            <v>Expense ex-Profit Sharing</v>
          </cell>
          <cell r="R48">
            <v>56.901000000000003</v>
          </cell>
          <cell r="S48">
            <v>64.426999999999992</v>
          </cell>
          <cell r="T48">
            <v>69.875</v>
          </cell>
          <cell r="U48">
            <v>72.730999999999995</v>
          </cell>
          <cell r="V48">
            <v>263.93399999999997</v>
          </cell>
          <cell r="W48">
            <v>77.584000000000003</v>
          </cell>
          <cell r="X48">
            <v>83.902000000000001</v>
          </cell>
          <cell r="Y48">
            <v>86.254999999999995</v>
          </cell>
          <cell r="Z48">
            <v>89.376999999999995</v>
          </cell>
          <cell r="AA48">
            <v>337.11799999999999</v>
          </cell>
          <cell r="AB48">
            <v>98.456000000000003</v>
          </cell>
          <cell r="AC48">
            <v>105.429</v>
          </cell>
          <cell r="AD48">
            <v>107.75700000000001</v>
          </cell>
          <cell r="AE48">
            <v>108.881</v>
          </cell>
          <cell r="AF48">
            <v>420.52300000000002</v>
          </cell>
          <cell r="AG48">
            <v>132</v>
          </cell>
          <cell r="AH48">
            <v>134</v>
          </cell>
          <cell r="AI48">
            <v>140</v>
          </cell>
          <cell r="AJ48">
            <v>147</v>
          </cell>
          <cell r="AK48">
            <v>553</v>
          </cell>
          <cell r="AL48">
            <v>164</v>
          </cell>
          <cell r="AM48">
            <v>158</v>
          </cell>
          <cell r="AN48">
            <v>159</v>
          </cell>
          <cell r="AO48">
            <v>167</v>
          </cell>
          <cell r="AP48">
            <v>648</v>
          </cell>
          <cell r="AQ48">
            <v>178</v>
          </cell>
          <cell r="AR48">
            <v>168</v>
          </cell>
          <cell r="AS48">
            <v>173</v>
          </cell>
          <cell r="AT48">
            <v>175</v>
          </cell>
          <cell r="AU48">
            <v>694</v>
          </cell>
          <cell r="AV48">
            <v>185</v>
          </cell>
          <cell r="AW48">
            <v>192</v>
          </cell>
          <cell r="AX48">
            <v>199</v>
          </cell>
          <cell r="AY48">
            <v>200</v>
          </cell>
          <cell r="AZ48">
            <v>776</v>
          </cell>
          <cell r="BA48">
            <v>219</v>
          </cell>
          <cell r="BB48">
            <v>218</v>
          </cell>
          <cell r="BC48">
            <v>227</v>
          </cell>
          <cell r="BD48">
            <v>227</v>
          </cell>
          <cell r="BE48">
            <v>891</v>
          </cell>
          <cell r="BF48">
            <v>235</v>
          </cell>
          <cell r="BG48">
            <v>235</v>
          </cell>
          <cell r="BH48">
            <v>236</v>
          </cell>
          <cell r="BI48">
            <v>241</v>
          </cell>
          <cell r="BJ48">
            <v>947</v>
          </cell>
          <cell r="BK48">
            <v>255</v>
          </cell>
          <cell r="BL48">
            <v>258</v>
          </cell>
          <cell r="BM48">
            <v>258</v>
          </cell>
          <cell r="BN48">
            <v>270</v>
          </cell>
          <cell r="BO48">
            <v>1041</v>
          </cell>
          <cell r="BP48">
            <v>280</v>
          </cell>
          <cell r="BQ48">
            <v>279</v>
          </cell>
          <cell r="BR48">
            <v>276</v>
          </cell>
          <cell r="BS48">
            <v>288</v>
          </cell>
          <cell r="BT48">
            <v>1123</v>
          </cell>
          <cell r="BU48">
            <v>329</v>
          </cell>
          <cell r="BV48">
            <v>316</v>
          </cell>
          <cell r="BW48">
            <v>307</v>
          </cell>
          <cell r="BX48">
            <v>317</v>
          </cell>
          <cell r="BY48">
            <v>1269</v>
          </cell>
          <cell r="BZ48">
            <v>347</v>
          </cell>
          <cell r="CA48">
            <v>342</v>
          </cell>
          <cell r="CB48">
            <v>342</v>
          </cell>
          <cell r="CC48">
            <v>361.59007164179104</v>
          </cell>
          <cell r="CD48">
            <v>1392.5900716417909</v>
          </cell>
          <cell r="CE48">
            <v>394.26157009803921</v>
          </cell>
          <cell r="CF48">
            <v>390.34066739130429</v>
          </cell>
          <cell r="CG48">
            <v>377.88459428571417</v>
          </cell>
          <cell r="CH48">
            <v>383.99032193910443</v>
          </cell>
          <cell r="CI48">
            <v>1546.4771537141621</v>
          </cell>
          <cell r="CN48">
            <v>1731.5623512473164</v>
          </cell>
          <cell r="CS48">
            <v>1923.0392689014409</v>
          </cell>
          <cell r="CV48" t="str">
            <v>2010: $29M retirement plus</v>
          </cell>
          <cell r="DA48" t="str">
            <v>2011: $32M retirement plus</v>
          </cell>
          <cell r="DF48">
            <v>141.30410087844899</v>
          </cell>
        </row>
        <row r="49">
          <cell r="A49" t="str">
            <v>YoY % Chg.</v>
          </cell>
          <cell r="H49">
            <v>2.1340694936797111</v>
          </cell>
          <cell r="I49">
            <v>1.9633742183141396</v>
          </cell>
          <cell r="J49">
            <v>1.9097039556574504</v>
          </cell>
          <cell r="K49">
            <v>2.0707572567336272</v>
          </cell>
          <cell r="L49">
            <v>2.01417828288937</v>
          </cell>
          <cell r="M49">
            <v>2.0785052053980069</v>
          </cell>
          <cell r="N49">
            <v>1.9471945999017655</v>
          </cell>
          <cell r="O49">
            <v>1.8743708620570443</v>
          </cell>
          <cell r="P49">
            <v>1.9976876606157348</v>
          </cell>
          <cell r="Q49">
            <v>1.9683521890577333</v>
          </cell>
          <cell r="R49">
            <v>1.9499525542730114</v>
          </cell>
          <cell r="S49">
            <v>1.9671051004528244</v>
          </cell>
          <cell r="T49">
            <v>1.886045851900257</v>
          </cell>
          <cell r="U49">
            <v>1.9439738041571546</v>
          </cell>
          <cell r="V49">
            <v>1.9350726361576036</v>
          </cell>
          <cell r="W49">
            <v>0.36349097555403231</v>
          </cell>
          <cell r="X49">
            <v>0.30228009995809235</v>
          </cell>
          <cell r="Y49">
            <v>0.23441860465116271</v>
          </cell>
          <cell r="Z49">
            <v>0.2288707703730184</v>
          </cell>
          <cell r="AA49">
            <v>0.27728144157251444</v>
          </cell>
          <cell r="AB49">
            <v>0.26902454114250363</v>
          </cell>
          <cell r="AC49">
            <v>0.25657314485947902</v>
          </cell>
          <cell r="AD49">
            <v>0.24928409947249452</v>
          </cell>
          <cell r="AE49">
            <v>0.21822169014399684</v>
          </cell>
          <cell r="AF49">
            <v>0.24740595281177513</v>
          </cell>
          <cell r="AG49">
            <v>0.34070041439830989</v>
          </cell>
          <cell r="AH49">
            <v>0.27099754337041992</v>
          </cell>
          <cell r="AI49">
            <v>0.29921954026188557</v>
          </cell>
          <cell r="AJ49">
            <v>0.35009781320891609</v>
          </cell>
          <cell r="AK49">
            <v>0.31502914228234835</v>
          </cell>
          <cell r="AL49">
            <v>0.24242424242424243</v>
          </cell>
          <cell r="AM49">
            <v>0.17910447761194037</v>
          </cell>
          <cell r="AN49">
            <v>0.13571428571428568</v>
          </cell>
          <cell r="AO49">
            <v>0.13605442176870741</v>
          </cell>
          <cell r="AP49">
            <v>0.17179023508137425</v>
          </cell>
          <cell r="AQ49">
            <v>8.5365853658536661E-2</v>
          </cell>
          <cell r="AR49">
            <v>6.3291139240506222E-2</v>
          </cell>
          <cell r="AS49">
            <v>8.8050314465408785E-2</v>
          </cell>
          <cell r="AT49">
            <v>4.7904191616766401E-2</v>
          </cell>
          <cell r="AU49">
            <v>7.0987654320987748E-2</v>
          </cell>
          <cell r="AV49">
            <v>3.9325842696629199E-2</v>
          </cell>
          <cell r="AW49">
            <v>0.14285714285714279</v>
          </cell>
          <cell r="AX49">
            <v>0.1502890173410405</v>
          </cell>
          <cell r="AY49">
            <v>0.14285714285714279</v>
          </cell>
          <cell r="AZ49">
            <v>0.11815561959654186</v>
          </cell>
          <cell r="BA49">
            <v>0.18378378378378368</v>
          </cell>
          <cell r="BB49">
            <v>0.13541666666666674</v>
          </cell>
          <cell r="BC49">
            <v>0.14070351758793964</v>
          </cell>
          <cell r="BD49">
            <v>0.13500000000000001</v>
          </cell>
          <cell r="BE49">
            <v>0.14819587628865971</v>
          </cell>
          <cell r="BF49">
            <v>7.3059360730593603E-2</v>
          </cell>
          <cell r="BG49">
            <v>7.7981651376146877E-2</v>
          </cell>
          <cell r="BH49">
            <v>3.9647577092511099E-2</v>
          </cell>
          <cell r="BI49">
            <v>6.1674008810572722E-2</v>
          </cell>
          <cell r="BJ49">
            <v>6.285072951739612E-2</v>
          </cell>
          <cell r="BK49">
            <v>8.5106382978723305E-2</v>
          </cell>
          <cell r="BL49">
            <v>9.7872340425531945E-2</v>
          </cell>
          <cell r="BM49">
            <v>9.3220338983050821E-2</v>
          </cell>
          <cell r="BN49">
            <v>0.1203319502074689</v>
          </cell>
          <cell r="BO49">
            <v>9.9260823653643193E-2</v>
          </cell>
          <cell r="BP49">
            <v>9.8039215686274606E-2</v>
          </cell>
          <cell r="BQ49">
            <v>8.1395348837209225E-2</v>
          </cell>
          <cell r="BR49">
            <v>6.9767441860465018E-2</v>
          </cell>
          <cell r="BS49">
            <v>6.6666666666666652E-2</v>
          </cell>
          <cell r="BT49">
            <v>7.8770413064361167E-2</v>
          </cell>
          <cell r="BU49">
            <v>0.17500000000000004</v>
          </cell>
          <cell r="BV49">
            <v>0.13261648745519716</v>
          </cell>
          <cell r="BW49">
            <v>0.1123188405797102</v>
          </cell>
          <cell r="BX49">
            <v>0.10069444444444442</v>
          </cell>
          <cell r="BY49">
            <v>0.13000890471950144</v>
          </cell>
          <cell r="BZ49">
            <v>5.4711246200607855E-2</v>
          </cell>
          <cell r="CA49">
            <v>8.2278481012658222E-2</v>
          </cell>
          <cell r="CB49">
            <v>0.11400651465798051</v>
          </cell>
          <cell r="CC49">
            <v>0.12618296529968465</v>
          </cell>
          <cell r="CD49">
            <v>9.3774625689519331E-2</v>
          </cell>
          <cell r="CE49">
            <v>0.10086455331412103</v>
          </cell>
          <cell r="CF49">
            <v>0.10634999999999972</v>
          </cell>
          <cell r="CG49">
            <v>9.2393749999999608E-2</v>
          </cell>
          <cell r="CH49">
            <v>8.098450704225324E-2</v>
          </cell>
          <cell r="CI49">
            <v>9.5015728756544959E-2</v>
          </cell>
          <cell r="CJ49" t="e">
            <v>#DIV/0!</v>
          </cell>
          <cell r="CK49" t="e">
            <v>#DIV/0!</v>
          </cell>
          <cell r="CL49" t="e">
            <v>#DIV/0!</v>
          </cell>
          <cell r="CM49" t="e">
            <v>#DIV/0!</v>
          </cell>
          <cell r="CN49">
            <v>0.11968181818181822</v>
          </cell>
          <cell r="CS49">
            <v>0.11058043478260871</v>
          </cell>
          <cell r="CW49" t="str">
            <v>Eligible pay (salary less profit sharing less retirement plus)</v>
          </cell>
          <cell r="DA49" t="str">
            <v>2010: $29M retirement plus</v>
          </cell>
        </row>
        <row r="50">
          <cell r="A50" t="str">
            <v>Salaries, Wages, and Benefits per ASM (cents)</v>
          </cell>
          <cell r="H50">
            <v>2.1340694936797111</v>
          </cell>
          <cell r="I50">
            <v>1.9633742183141396</v>
          </cell>
          <cell r="J50">
            <v>1.9097039556574504</v>
          </cell>
          <cell r="K50">
            <v>2.0707572567336272</v>
          </cell>
          <cell r="L50">
            <v>2.01417828288937</v>
          </cell>
          <cell r="M50">
            <v>2.0785052053980069</v>
          </cell>
          <cell r="N50">
            <v>1.9471945999017655</v>
          </cell>
          <cell r="O50">
            <v>1.8743708620570443</v>
          </cell>
          <cell r="P50">
            <v>1.9976876606157348</v>
          </cell>
          <cell r="Q50">
            <v>1.9683521890577333</v>
          </cell>
          <cell r="R50">
            <v>1.9499525542730114</v>
          </cell>
          <cell r="S50">
            <v>1.9671051004528244</v>
          </cell>
          <cell r="T50">
            <v>1.886045851900257</v>
          </cell>
          <cell r="U50">
            <v>1.9439738041571546</v>
          </cell>
          <cell r="V50">
            <v>1.9350726361576036</v>
          </cell>
          <cell r="W50">
            <v>1.8391284147046831</v>
          </cell>
          <cell r="X50">
            <v>1.801711262789107</v>
          </cell>
          <cell r="Y50">
            <v>1.7460243558808763</v>
          </cell>
          <cell r="Z50">
            <v>1.7539841778958392</v>
          </cell>
          <cell r="AA50">
            <v>1.7826507897419346</v>
          </cell>
          <cell r="AB50">
            <v>1.9048676705516892</v>
          </cell>
          <cell r="AC50">
            <v>1.8033765522903769</v>
          </cell>
          <cell r="AD50">
            <v>1.701821675835639</v>
          </cell>
          <cell r="AE50">
            <v>1.7129406537904679</v>
          </cell>
          <cell r="AF50">
            <v>1.7741270401239602</v>
          </cell>
          <cell r="AG50">
            <v>2.0069940702447924</v>
          </cell>
          <cell r="AH50">
            <v>1.8605942793668426</v>
          </cell>
          <cell r="AI50">
            <v>1.8575029852726548</v>
          </cell>
          <cell r="AJ50">
            <v>2.019785655399835</v>
          </cell>
          <cell r="AK50">
            <v>1.9339721619920263</v>
          </cell>
          <cell r="AL50">
            <v>2.2252374491180462</v>
          </cell>
          <cell r="AM50">
            <v>1.9588395735184727</v>
          </cell>
          <cell r="AN50">
            <v>1.9030520646319569</v>
          </cell>
          <cell r="AO50">
            <v>2.0584247504005915</v>
          </cell>
          <cell r="AP50">
            <v>2.0310932798395189</v>
          </cell>
          <cell r="AQ50">
            <v>2.1203097081596187</v>
          </cell>
          <cell r="AR50">
            <v>2.004055827269474</v>
          </cell>
          <cell r="AS50">
            <v>2.1216580819229827</v>
          </cell>
          <cell r="AT50">
            <v>2.3302263648468711</v>
          </cell>
          <cell r="AU50">
            <v>2.1392022686640777</v>
          </cell>
          <cell r="AV50">
            <v>2.3292707493956488</v>
          </cell>
          <cell r="AW50">
            <v>2.3309457326696612</v>
          </cell>
          <cell r="AX50">
            <v>2.3715886068406626</v>
          </cell>
          <cell r="AY50">
            <v>2.5037556334501754</v>
          </cell>
          <cell r="AZ50">
            <v>2.3834095041525378</v>
          </cell>
          <cell r="BA50">
            <v>2.5998323761043349</v>
          </cell>
          <cell r="BB50">
            <v>2.5091422554748761</v>
          </cell>
          <cell r="BC50">
            <v>2.4939573720061525</v>
          </cell>
          <cell r="BD50">
            <v>2.6611365045796163</v>
          </cell>
          <cell r="BE50">
            <v>2.5644687586399706</v>
          </cell>
          <cell r="BF50">
            <v>2.7611939684713946</v>
          </cell>
          <cell r="BG50">
            <v>2.4891430992479613</v>
          </cell>
          <cell r="BH50">
            <v>2.3947234906139014</v>
          </cell>
          <cell r="BI50">
            <v>2.557029177718833</v>
          </cell>
          <cell r="BJ50">
            <v>2.5435238699508869</v>
          </cell>
          <cell r="BK50">
            <v>2.6740771812080539</v>
          </cell>
          <cell r="BL50">
            <v>2.5901013954422245</v>
          </cell>
          <cell r="BM50">
            <v>2.4103139013452917</v>
          </cell>
          <cell r="BN50">
            <v>2.7344541219363987</v>
          </cell>
          <cell r="BO50">
            <v>2.5976294447910169</v>
          </cell>
          <cell r="BP50">
            <v>2.7613412228796843</v>
          </cell>
          <cell r="BQ50">
            <v>2.5975235080532539</v>
          </cell>
          <cell r="BR50">
            <v>2.4528972627088517</v>
          </cell>
          <cell r="BS50">
            <v>2.6938546440931623</v>
          </cell>
          <cell r="BT50">
            <v>2.6223612927330469</v>
          </cell>
          <cell r="BU50">
            <v>3.1576926768403881</v>
          </cell>
          <cell r="BV50">
            <v>2.7753381345512032</v>
          </cell>
          <cell r="BW50">
            <v>2.6123213070115723</v>
          </cell>
          <cell r="BX50">
            <v>2.7719482336481289</v>
          </cell>
          <cell r="BY50">
            <v>2.8204387349143203</v>
          </cell>
          <cell r="BZ50">
            <v>3.0387949908047993</v>
          </cell>
          <cell r="CA50">
            <v>2.7948026477077716</v>
          </cell>
          <cell r="CB50">
            <v>2.6356350184956843</v>
          </cell>
          <cell r="CC50">
            <v>2.8639352742502502</v>
          </cell>
          <cell r="CD50">
            <v>2.8271556584043829</v>
          </cell>
          <cell r="CE50">
            <v>3.0827503197837505</v>
          </cell>
          <cell r="CF50">
            <v>2.8998541486795206</v>
          </cell>
          <cell r="CG50">
            <v>2.7735056241978904</v>
          </cell>
          <cell r="CH50">
            <v>2.8828000451509248</v>
          </cell>
          <cell r="CI50">
            <v>2.9071946275840763</v>
          </cell>
          <cell r="CJ50" t="e">
            <v>#DIV/0!</v>
          </cell>
          <cell r="CK50" t="e">
            <v>#DIV/0!</v>
          </cell>
          <cell r="CL50" t="e">
            <v>#DIV/0!</v>
          </cell>
          <cell r="CM50" t="e">
            <v>#DIV/0!</v>
          </cell>
          <cell r="CN50">
            <v>3.0140120059460673</v>
          </cell>
          <cell r="CO50" t="e">
            <v>#DIV/0!</v>
          </cell>
          <cell r="CP50" t="e">
            <v>#DIV/0!</v>
          </cell>
          <cell r="CQ50" t="e">
            <v>#DIV/0!</v>
          </cell>
          <cell r="CR50" t="e">
            <v>#DIV/0!</v>
          </cell>
          <cell r="CS50">
            <v>3.0993544111144313</v>
          </cell>
          <cell r="CU50" t="str">
            <v>IR: On a CASM basis tends to be higher in the 4Q with more holidays</v>
          </cell>
          <cell r="DB50" t="str">
            <v>Eligible pay (salary less profit sharing less retirement plus)</v>
          </cell>
        </row>
        <row r="51">
          <cell r="A51" t="str">
            <v>YoY % Chg.</v>
          </cell>
          <cell r="G51">
            <v>1028</v>
          </cell>
          <cell r="H51">
            <v>1350</v>
          </cell>
          <cell r="I51">
            <v>1587</v>
          </cell>
          <cell r="J51">
            <v>1876</v>
          </cell>
          <cell r="K51">
            <v>2116</v>
          </cell>
          <cell r="L51">
            <v>1732.25</v>
          </cell>
          <cell r="M51">
            <v>-2.6036775487520036E-2</v>
          </cell>
          <cell r="N51">
            <v>-8.2407206234310637E-3</v>
          </cell>
          <cell r="O51">
            <v>-1.8501869620017652E-2</v>
          </cell>
          <cell r="P51">
            <v>-3.5286413161314201E-2</v>
          </cell>
          <cell r="Q51">
            <v>-2.2751756495903774E-2</v>
          </cell>
          <cell r="R51">
            <v>-6.1848606773337034E-2</v>
          </cell>
          <cell r="S51">
            <v>1.0225223792251326E-2</v>
          </cell>
          <cell r="T51">
            <v>6.2287512463781169E-3</v>
          </cell>
          <cell r="U51">
            <v>-2.6888015337705129E-2</v>
          </cell>
          <cell r="V51">
            <v>-1.6907316223760183E-2</v>
          </cell>
          <cell r="W51">
            <v>-5.6834274929138506E-2</v>
          </cell>
          <cell r="X51">
            <v>-8.407981740560988E-2</v>
          </cell>
          <cell r="Y51">
            <v>-7.4240769851010802E-2</v>
          </cell>
          <cell r="Z51">
            <v>-9.7732606198203897E-2</v>
          </cell>
          <cell r="AA51">
            <v>-7.8768023260525788E-2</v>
          </cell>
          <cell r="AB51">
            <v>3.574478830373673E-2</v>
          </cell>
          <cell r="AC51">
            <v>9.2428211759743029E-4</v>
          </cell>
          <cell r="AD51">
            <v>-2.5316187541345569E-2</v>
          </cell>
          <cell r="AE51">
            <v>-2.3400167813719341E-2</v>
          </cell>
          <cell r="AF51">
            <v>-4.781502730104692E-3</v>
          </cell>
          <cell r="AG51">
            <v>5.3613382846444901E-2</v>
          </cell>
          <cell r="AH51">
            <v>3.172810858819064E-2</v>
          </cell>
          <cell r="AI51">
            <v>9.147921409601989E-2</v>
          </cell>
          <cell r="AJ51">
            <v>0.17913346906115368</v>
          </cell>
          <cell r="AK51">
            <v>9.009790068748269E-2</v>
          </cell>
          <cell r="AL51">
            <v>0.10874141688252958</v>
          </cell>
          <cell r="AM51">
            <v>5.2803179737316297E-2</v>
          </cell>
          <cell r="AN51">
            <v>2.4521672223647206E-2</v>
          </cell>
          <cell r="AO51">
            <v>1.9130294790170366E-2</v>
          </cell>
          <cell r="AP51">
            <v>5.0218467336911488E-2</v>
          </cell>
          <cell r="AQ51">
            <v>-4.715350310143962E-2</v>
          </cell>
          <cell r="AR51">
            <v>2.3083183718707323E-2</v>
          </cell>
          <cell r="AS51">
            <v>0.11487127512368045</v>
          </cell>
          <cell r="AT51">
            <v>0.13204350287441113</v>
          </cell>
          <cell r="AU51">
            <v>5.3226993510165466E-2</v>
          </cell>
          <cell r="AV51">
            <v>9.8552131526768116E-2</v>
          </cell>
          <cell r="AW51">
            <v>0.16311417124820049</v>
          </cell>
          <cell r="AX51">
            <v>0.11779962428778967</v>
          </cell>
          <cell r="AY51">
            <v>7.4468846126332311E-2</v>
          </cell>
          <cell r="AZ51">
            <v>0.11415808550023954</v>
          </cell>
          <cell r="BA51">
            <v>0.11615722507951731</v>
          </cell>
          <cell r="BB51">
            <v>7.6448164497216364E-2</v>
          </cell>
          <cell r="BC51">
            <v>5.1597804447418349E-2</v>
          </cell>
          <cell r="BD51">
            <v>6.2857919929098616E-2</v>
          </cell>
          <cell r="BE51">
            <v>7.5966490094119044E-2</v>
          </cell>
          <cell r="BF51">
            <v>6.2066152360502835E-2</v>
          </cell>
          <cell r="BG51">
            <v>-7.9705150966539184E-3</v>
          </cell>
          <cell r="BH51">
            <v>-3.9789726362654987E-2</v>
          </cell>
          <cell r="BI51">
            <v>-3.9121377908131527E-2</v>
          </cell>
          <cell r="BJ51">
            <v>-8.1673401629550613E-3</v>
          </cell>
          <cell r="BK51">
            <v>-3.1550404737255344E-2</v>
          </cell>
          <cell r="BL51">
            <v>4.0559458483831357E-2</v>
          </cell>
          <cell r="BM51">
            <v>6.5103177016039293E-3</v>
          </cell>
          <cell r="BN51">
            <v>6.9387141047740908E-2</v>
          </cell>
          <cell r="BO51">
            <v>2.1271895844710453E-2</v>
          </cell>
          <cell r="BP51">
            <v>3.2633329465908467E-2</v>
          </cell>
          <cell r="BQ51">
            <v>2.8655683611806815E-3</v>
          </cell>
          <cell r="BR51">
            <v>1.7667143412230413E-2</v>
          </cell>
          <cell r="BS51">
            <v>-1.4847379415708017E-2</v>
          </cell>
          <cell r="BT51">
            <v>9.5209299354164223E-3</v>
          </cell>
          <cell r="BU51">
            <v>0.14353584797005481</v>
          </cell>
          <cell r="BV51">
            <v>6.8455444559658574E-2</v>
          </cell>
          <cell r="BW51">
            <v>6.499417922080486E-2</v>
          </cell>
          <cell r="BX51">
            <v>2.8989533539310663E-2</v>
          </cell>
          <cell r="BY51">
            <v>7.5534001638208892E-2</v>
          </cell>
          <cell r="BZ51">
            <v>-3.7653343185556243E-2</v>
          </cell>
          <cell r="CA51">
            <v>7.0133843924269357E-3</v>
          </cell>
          <cell r="CB51">
            <v>8.9245191322893103E-3</v>
          </cell>
          <cell r="CC51">
            <v>2.0040265417962333E-2</v>
          </cell>
          <cell r="CD51">
            <v>-9.2976301009917162E-4</v>
          </cell>
          <cell r="CE51">
            <v>-3.5169826211225108E-2</v>
          </cell>
          <cell r="CF51">
            <v>1.221719457013215E-3</v>
          </cell>
          <cell r="CG51">
            <v>2.0928738317756546E-2</v>
          </cell>
          <cell r="CH51">
            <v>2.462986449502691E-2</v>
          </cell>
          <cell r="CI51">
            <v>3.3977789880055287E-3</v>
          </cell>
          <cell r="CN51">
            <v>3.6742424242424354E-2</v>
          </cell>
          <cell r="CS51">
            <v>2.8315217391304381E-2</v>
          </cell>
          <cell r="CZ51" t="str">
            <v>IR: On a CASM basis tends to be higher in the 4Q with more holidays</v>
          </cell>
          <cell r="DE51" t="str">
            <v>mstag:totalNumberOfEmployees</v>
          </cell>
          <cell r="DF51">
            <v>0</v>
          </cell>
          <cell r="DG51" t="str">
            <v>ms_eqr_gcim_Decimal:ms_eqr_gcim_decimal</v>
          </cell>
          <cell r="DH51" t="b">
            <v>0</v>
          </cell>
          <cell r="DI51" t="b">
            <v>0</v>
          </cell>
        </row>
        <row r="52">
          <cell r="A52" t="str">
            <v>Full-Time Equivalent Employees (end of prd.)</v>
          </cell>
          <cell r="G52">
            <v>1028</v>
          </cell>
          <cell r="H52">
            <v>1350</v>
          </cell>
          <cell r="I52">
            <v>1587</v>
          </cell>
          <cell r="J52">
            <v>1876</v>
          </cell>
          <cell r="K52">
            <v>2116</v>
          </cell>
          <cell r="L52">
            <v>1732.25</v>
          </cell>
          <cell r="M52">
            <v>2293.0750000000003</v>
          </cell>
          <cell r="N52">
            <v>2649.2000000000003</v>
          </cell>
          <cell r="O52">
            <v>3143</v>
          </cell>
          <cell r="P52">
            <v>3536.2750000000001</v>
          </cell>
          <cell r="Q52">
            <v>2905.3875000000003</v>
          </cell>
          <cell r="R52">
            <v>4005</v>
          </cell>
          <cell r="S52">
            <v>4475</v>
          </cell>
          <cell r="T52">
            <v>4650</v>
          </cell>
          <cell r="U52">
            <v>4892</v>
          </cell>
          <cell r="V52">
            <v>4505.5</v>
          </cell>
          <cell r="W52">
            <v>5292</v>
          </cell>
          <cell r="X52">
            <v>5781</v>
          </cell>
          <cell r="Y52">
            <v>6127</v>
          </cell>
          <cell r="Z52">
            <v>6413</v>
          </cell>
          <cell r="AA52">
            <v>5903.25</v>
          </cell>
          <cell r="AB52">
            <v>6797</v>
          </cell>
          <cell r="AC52">
            <v>7284</v>
          </cell>
          <cell r="AD52">
            <v>7452</v>
          </cell>
          <cell r="AE52">
            <v>8326</v>
          </cell>
          <cell r="AF52">
            <v>7464.75</v>
          </cell>
          <cell r="AG52">
            <v>9039</v>
          </cell>
          <cell r="AH52">
            <v>9337</v>
          </cell>
          <cell r="AI52">
            <v>9223</v>
          </cell>
          <cell r="AJ52">
            <v>9265</v>
          </cell>
          <cell r="AK52">
            <v>9216</v>
          </cell>
          <cell r="AL52">
            <v>9260</v>
          </cell>
          <cell r="AM52">
            <v>9421</v>
          </cell>
          <cell r="AN52">
            <v>9301</v>
          </cell>
          <cell r="AO52">
            <v>9909</v>
          </cell>
          <cell r="AP52">
            <v>9472.75</v>
          </cell>
          <cell r="AQ52">
            <v>10165</v>
          </cell>
          <cell r="AR52">
            <v>9856</v>
          </cell>
          <cell r="AS52">
            <v>9398</v>
          </cell>
          <cell r="AT52">
            <v>9895</v>
          </cell>
          <cell r="AU52">
            <v>9895</v>
          </cell>
          <cell r="AV52">
            <v>10047</v>
          </cell>
          <cell r="AW52">
            <v>10235</v>
          </cell>
          <cell r="AX52">
            <v>10246</v>
          </cell>
          <cell r="AY52">
            <v>10704</v>
          </cell>
          <cell r="AZ52">
            <v>10704</v>
          </cell>
          <cell r="BA52">
            <v>11084</v>
          </cell>
          <cell r="BB52">
            <v>10906</v>
          </cell>
          <cell r="BC52">
            <v>10669</v>
          </cell>
          <cell r="BD52">
            <v>11832.13245033113</v>
          </cell>
          <cell r="BE52">
            <v>11832.13245033113</v>
          </cell>
          <cell r="BF52">
            <v>11452.169271523173</v>
          </cell>
          <cell r="BG52">
            <v>11609</v>
          </cell>
          <cell r="BH52">
            <v>11740</v>
          </cell>
          <cell r="BI52">
            <v>11733</v>
          </cell>
          <cell r="BJ52">
            <v>11733</v>
          </cell>
          <cell r="BK52">
            <v>11965</v>
          </cell>
          <cell r="BL52">
            <v>12308</v>
          </cell>
          <cell r="BM52">
            <v>11797</v>
          </cell>
          <cell r="BN52">
            <v>12070</v>
          </cell>
          <cell r="BO52">
            <v>12070</v>
          </cell>
          <cell r="BP52">
            <v>12385</v>
          </cell>
          <cell r="BQ52">
            <v>12743</v>
          </cell>
          <cell r="BR52">
            <v>12124</v>
          </cell>
          <cell r="BS52">
            <v>12647</v>
          </cell>
          <cell r="BT52">
            <v>12647</v>
          </cell>
          <cell r="BU52">
            <v>13042</v>
          </cell>
          <cell r="BV52">
            <v>13162</v>
          </cell>
          <cell r="BW52">
            <v>13225</v>
          </cell>
          <cell r="BX52">
            <v>13335</v>
          </cell>
          <cell r="BY52">
            <v>13335</v>
          </cell>
          <cell r="BZ52">
            <v>14761</v>
          </cell>
          <cell r="CA52">
            <v>14223</v>
          </cell>
          <cell r="CB52">
            <v>14418</v>
          </cell>
          <cell r="CC52">
            <v>14712.770149253727</v>
          </cell>
          <cell r="CD52">
            <v>14712.770149253727</v>
          </cell>
          <cell r="CE52">
            <v>15402.974164471761</v>
          </cell>
          <cell r="CF52">
            <v>16253.294627798765</v>
          </cell>
          <cell r="CG52">
            <v>15235.439086486946</v>
          </cell>
          <cell r="CH52">
            <v>16012.440555304096</v>
          </cell>
          <cell r="CI52">
            <v>16012.440555304096</v>
          </cell>
          <cell r="CN52">
            <v>17180.427362880309</v>
          </cell>
          <cell r="CS52">
            <v>17927.524717366297</v>
          </cell>
          <cell r="DE52" t="str">
            <v>mstag:averageNumberOfEmployees</v>
          </cell>
          <cell r="DF52">
            <v>0</v>
          </cell>
          <cell r="DG52" t="str">
            <v>ms_eqr_gcim_Decimal:ms_eqr_gcim_decimal</v>
          </cell>
          <cell r="DH52" t="b">
            <v>0</v>
          </cell>
          <cell r="DI52" t="b">
            <v>0</v>
          </cell>
          <cell r="DJ52" t="str">
            <v>mstag:totalNumberOfEmployees</v>
          </cell>
          <cell r="DK52">
            <v>0</v>
          </cell>
          <cell r="DL52" t="str">
            <v>ms_eqr_gcim_Decimal:ms_eqr_gcim_decimal</v>
          </cell>
          <cell r="DM52" t="b">
            <v>0</v>
          </cell>
          <cell r="DN52" t="b">
            <v>0</v>
          </cell>
        </row>
        <row r="53">
          <cell r="A53" t="str">
            <v>Avg. FTEs</v>
          </cell>
          <cell r="H53">
            <v>1350</v>
          </cell>
          <cell r="I53">
            <v>1468.5</v>
          </cell>
          <cell r="J53">
            <v>1731.5</v>
          </cell>
          <cell r="K53">
            <v>1996</v>
          </cell>
          <cell r="L53">
            <v>1636.5</v>
          </cell>
          <cell r="M53">
            <v>2204.5375000000004</v>
          </cell>
          <cell r="N53">
            <v>2471.1375000000003</v>
          </cell>
          <cell r="O53">
            <v>2896.1000000000004</v>
          </cell>
          <cell r="P53">
            <v>3339.6374999999998</v>
          </cell>
          <cell r="Q53">
            <v>2727.8531250000005</v>
          </cell>
          <cell r="R53">
            <v>3770.6374999999998</v>
          </cell>
          <cell r="S53">
            <v>4240</v>
          </cell>
          <cell r="T53">
            <v>4562.5</v>
          </cell>
          <cell r="U53">
            <v>4771</v>
          </cell>
          <cell r="V53">
            <v>4336.0343750000002</v>
          </cell>
          <cell r="W53">
            <v>5092</v>
          </cell>
          <cell r="X53">
            <v>5536.5</v>
          </cell>
          <cell r="Y53">
            <v>5954</v>
          </cell>
          <cell r="Z53">
            <v>6270</v>
          </cell>
          <cell r="AA53">
            <v>5713.125</v>
          </cell>
          <cell r="AB53">
            <v>6605</v>
          </cell>
          <cell r="AC53">
            <v>7040.5</v>
          </cell>
          <cell r="AD53">
            <v>7368</v>
          </cell>
          <cell r="AE53">
            <v>7889</v>
          </cell>
          <cell r="AF53">
            <v>7225.625</v>
          </cell>
          <cell r="AG53">
            <v>8682.5</v>
          </cell>
          <cell r="AH53">
            <v>9188</v>
          </cell>
          <cell r="AI53">
            <v>9280</v>
          </cell>
          <cell r="AJ53">
            <v>9244</v>
          </cell>
          <cell r="AK53">
            <v>9098.625</v>
          </cell>
          <cell r="AL53">
            <v>9262.5</v>
          </cell>
          <cell r="AM53">
            <v>9340.5</v>
          </cell>
          <cell r="AN53">
            <v>9361</v>
          </cell>
          <cell r="AO53">
            <v>9605</v>
          </cell>
          <cell r="AP53">
            <v>9392.25</v>
          </cell>
          <cell r="AQ53">
            <v>10037</v>
          </cell>
          <cell r="AR53">
            <v>10010.5</v>
          </cell>
          <cell r="AS53">
            <v>9627</v>
          </cell>
          <cell r="AT53">
            <v>9646.5</v>
          </cell>
          <cell r="AU53">
            <v>9830.25</v>
          </cell>
          <cell r="AV53">
            <v>9971</v>
          </cell>
          <cell r="AW53">
            <v>10141</v>
          </cell>
          <cell r="AX53">
            <v>10240.5</v>
          </cell>
          <cell r="AY53">
            <v>10475</v>
          </cell>
          <cell r="AZ53">
            <v>10206.875</v>
          </cell>
          <cell r="BA53">
            <v>10894</v>
          </cell>
          <cell r="BB53">
            <v>10995</v>
          </cell>
          <cell r="BC53">
            <v>10787.5</v>
          </cell>
          <cell r="BD53">
            <v>11250.566225165565</v>
          </cell>
          <cell r="BE53">
            <v>11039.026490066226</v>
          </cell>
          <cell r="BF53">
            <v>11642.150860927151</v>
          </cell>
          <cell r="BG53">
            <v>11530.584635761586</v>
          </cell>
          <cell r="BH53">
            <v>11674.5</v>
          </cell>
          <cell r="BI53">
            <v>11736.5</v>
          </cell>
          <cell r="BJ53">
            <v>11645.933874172184</v>
          </cell>
          <cell r="BK53">
            <v>11849</v>
          </cell>
          <cell r="BL53">
            <v>12136.5</v>
          </cell>
          <cell r="BM53">
            <v>12052.5</v>
          </cell>
          <cell r="BN53">
            <v>11933.5</v>
          </cell>
          <cell r="BO53">
            <v>11992.875</v>
          </cell>
          <cell r="BP53">
            <v>12227.5</v>
          </cell>
          <cell r="BQ53">
            <v>12564</v>
          </cell>
          <cell r="BR53">
            <v>12433.5</v>
          </cell>
          <cell r="BS53">
            <v>12385.5</v>
          </cell>
          <cell r="BT53">
            <v>12402.625</v>
          </cell>
          <cell r="BU53">
            <v>12844.5</v>
          </cell>
          <cell r="BV53">
            <v>13102</v>
          </cell>
          <cell r="BW53">
            <v>13193.5</v>
          </cell>
          <cell r="BX53">
            <v>13280</v>
          </cell>
          <cell r="BY53">
            <v>13105</v>
          </cell>
          <cell r="BZ53">
            <v>14048</v>
          </cell>
          <cell r="CA53">
            <v>14492</v>
          </cell>
          <cell r="CB53">
            <v>14320.5</v>
          </cell>
          <cell r="CC53">
            <v>14565.385074626864</v>
          </cell>
          <cell r="CD53">
            <v>14356.471268656716</v>
          </cell>
          <cell r="CE53">
            <v>15057.872156862744</v>
          </cell>
          <cell r="CF53">
            <v>15828.134396135263</v>
          </cell>
          <cell r="CG53">
            <v>15744.366857142855</v>
          </cell>
          <cell r="CH53">
            <v>15623.939820895521</v>
          </cell>
          <cell r="CI53">
            <v>15563.578307759097</v>
          </cell>
          <cell r="CN53">
            <v>16596.433959092203</v>
          </cell>
          <cell r="CS53">
            <v>17553.976040123303</v>
          </cell>
          <cell r="DJ53" t="str">
            <v>mstag:averageNumberOfEmployees</v>
          </cell>
          <cell r="DK53">
            <v>0</v>
          </cell>
          <cell r="DL53" t="str">
            <v>ms_eqr_gcim_Decimal:ms_eqr_gcim_decimal</v>
          </cell>
          <cell r="DM53" t="b">
            <v>0</v>
          </cell>
          <cell r="DN53" t="b">
            <v>0</v>
          </cell>
        </row>
        <row r="54">
          <cell r="A54" t="str">
            <v>YoY % Chg.</v>
          </cell>
          <cell r="G54">
            <v>177.24137931034483</v>
          </cell>
          <cell r="H54">
            <v>128.57142857142858</v>
          </cell>
          <cell r="I54">
            <v>111.25</v>
          </cell>
          <cell r="J54">
            <v>108.89937106918239</v>
          </cell>
          <cell r="K54">
            <v>102.88659793814433</v>
          </cell>
          <cell r="L54">
            <v>110.94915254237289</v>
          </cell>
          <cell r="M54">
            <v>0.63299074074074091</v>
          </cell>
          <cell r="N54">
            <v>0.68276302349336082</v>
          </cell>
          <cell r="O54">
            <v>0.67259601501588229</v>
          </cell>
          <cell r="P54">
            <v>0.67316508016032062</v>
          </cell>
          <cell r="Q54">
            <v>0.66688244729605906</v>
          </cell>
          <cell r="R54">
            <v>0.71039843958199822</v>
          </cell>
          <cell r="S54">
            <v>0.7158090150790879</v>
          </cell>
          <cell r="T54">
            <v>0.57539449604640702</v>
          </cell>
          <cell r="U54">
            <v>0.4285981637228593</v>
          </cell>
          <cell r="V54">
            <v>0.5895409966399856</v>
          </cell>
          <cell r="W54">
            <v>0.3504347739606366</v>
          </cell>
          <cell r="X54">
            <v>0.30577830188679256</v>
          </cell>
          <cell r="Y54">
            <v>0.30498630136986304</v>
          </cell>
          <cell r="Z54">
            <v>0.31418989729616431</v>
          </cell>
          <cell r="AA54">
            <v>0.31759218352598961</v>
          </cell>
          <cell r="AB54">
            <v>0.29713275726630006</v>
          </cell>
          <cell r="AC54">
            <v>0.27165176555585657</v>
          </cell>
          <cell r="AD54">
            <v>0.23748740342626795</v>
          </cell>
          <cell r="AE54">
            <v>0.25821371610845301</v>
          </cell>
          <cell r="AF54">
            <v>0.26474127557160054</v>
          </cell>
          <cell r="AG54">
            <v>0.31453444360333083</v>
          </cell>
          <cell r="AH54">
            <v>0.30502095021660391</v>
          </cell>
          <cell r="AI54">
            <v>0.25950054288816493</v>
          </cell>
          <cell r="AJ54">
            <v>0.1717581442514895</v>
          </cell>
          <cell r="AK54">
            <v>0.2592163307672346</v>
          </cell>
          <cell r="AL54">
            <v>6.6801036567808891E-2</v>
          </cell>
          <cell r="AM54">
            <v>1.6597736177623057E-2</v>
          </cell>
          <cell r="AN54">
            <v>8.7284482758620552E-3</v>
          </cell>
          <cell r="AO54">
            <v>3.9052358286456146E-2</v>
          </cell>
          <cell r="AP54">
            <v>3.2271359683468726E-2</v>
          </cell>
          <cell r="AQ54">
            <v>8.3616734143050042E-2</v>
          </cell>
          <cell r="AR54">
            <v>7.1730635404956944E-2</v>
          </cell>
          <cell r="AS54">
            <v>2.8415767546202231E-2</v>
          </cell>
          <cell r="AT54">
            <v>4.3206663196251327E-3</v>
          </cell>
          <cell r="AU54">
            <v>4.6634193084724052E-2</v>
          </cell>
          <cell r="AV54">
            <v>-6.5756700209226304E-3</v>
          </cell>
          <cell r="AW54">
            <v>1.3036311872533846E-2</v>
          </cell>
          <cell r="AX54">
            <v>6.3727017762542859E-2</v>
          </cell>
          <cell r="AY54">
            <v>8.5886072668843516E-2</v>
          </cell>
          <cell r="AZ54">
            <v>3.8312860812288685E-2</v>
          </cell>
          <cell r="BA54">
            <v>9.2568448500651934E-2</v>
          </cell>
          <cell r="BB54">
            <v>8.4212602307464746E-2</v>
          </cell>
          <cell r="BC54">
            <v>5.3415360578096704E-2</v>
          </cell>
          <cell r="BD54">
            <v>7.4039735099338033E-2</v>
          </cell>
          <cell r="BE54">
            <v>8.1528527592061861E-2</v>
          </cell>
          <cell r="BF54">
            <v>6.8675496688741733E-2</v>
          </cell>
          <cell r="BG54">
            <v>4.8711654002872695E-2</v>
          </cell>
          <cell r="BH54">
            <v>8.2224797219003554E-2</v>
          </cell>
          <cell r="BI54">
            <v>4.3191939419678693E-2</v>
          </cell>
          <cell r="BJ54">
            <v>5.4978342941028435E-2</v>
          </cell>
          <cell r="BK54">
            <v>1.7767261526138389E-2</v>
          </cell>
          <cell r="BL54">
            <v>5.254853794309744E-2</v>
          </cell>
          <cell r="BM54">
            <v>3.2378260310934159E-2</v>
          </cell>
          <cell r="BN54">
            <v>1.6785242619179463E-2</v>
          </cell>
          <cell r="BO54">
            <v>2.9790751826029638E-2</v>
          </cell>
          <cell r="BP54">
            <v>3.1943623934509224E-2</v>
          </cell>
          <cell r="BQ54">
            <v>3.5224323322209816E-2</v>
          </cell>
          <cell r="BR54">
            <v>3.1611698817672673E-2</v>
          </cell>
          <cell r="BS54">
            <v>3.7876565969749088E-2</v>
          </cell>
          <cell r="BT54">
            <v>3.416611946676662E-2</v>
          </cell>
          <cell r="BU54">
            <v>5.0460028624003339E-2</v>
          </cell>
          <cell r="BV54">
            <v>4.2820757720471114E-2</v>
          </cell>
          <cell r="BW54">
            <v>6.1125185989463926E-2</v>
          </cell>
          <cell r="BX54">
            <v>7.2221549392434747E-2</v>
          </cell>
          <cell r="BY54">
            <v>5.6631156710776898E-2</v>
          </cell>
          <cell r="BZ54">
            <v>9.3697691618980894E-2</v>
          </cell>
          <cell r="CA54">
            <v>0.10609067317966714</v>
          </cell>
          <cell r="CB54">
            <v>8.5420851176715829E-2</v>
          </cell>
          <cell r="CC54">
            <v>8.5692771084337371E-2</v>
          </cell>
          <cell r="CD54">
            <v>9.2684090041968759E-2</v>
          </cell>
          <cell r="CE54">
            <v>5.4313781321184473E-2</v>
          </cell>
          <cell r="CF54">
            <v>6.8937198067632544E-2</v>
          </cell>
          <cell r="CG54">
            <v>7.6249999999999707E-2</v>
          </cell>
          <cell r="CH54">
            <v>7.0281690140844955E-2</v>
          </cell>
          <cell r="CI54">
            <v>6.7517435125690195E-2</v>
          </cell>
          <cell r="CN54">
            <v>6.6363636363636402E-2</v>
          </cell>
          <cell r="CS54">
            <v>5.7695652173912926E-2</v>
          </cell>
          <cell r="CU54" t="str">
            <v>11/19: Increase in headcount, seat initiatives increase FA</v>
          </cell>
        </row>
        <row r="55">
          <cell r="A55" t="str">
            <v>Average FTEs per Aircraft</v>
          </cell>
          <cell r="G55">
            <v>177.24137931034483</v>
          </cell>
          <cell r="H55">
            <v>128.57142857142858</v>
          </cell>
          <cell r="I55">
            <v>111.25</v>
          </cell>
          <cell r="J55">
            <v>108.89937106918239</v>
          </cell>
          <cell r="K55">
            <v>102.88659793814433</v>
          </cell>
          <cell r="L55">
            <v>110.94915254237289</v>
          </cell>
          <cell r="M55">
            <v>99.303490990991008</v>
          </cell>
          <cell r="N55">
            <v>100.45274390243902</v>
          </cell>
          <cell r="O55">
            <v>101.97535211267608</v>
          </cell>
          <cell r="P55">
            <v>101.81821646341464</v>
          </cell>
          <cell r="Q55">
            <v>101.03159722222226</v>
          </cell>
          <cell r="R55">
            <v>97.432493540051667</v>
          </cell>
          <cell r="S55">
            <v>101.92307692307692</v>
          </cell>
          <cell r="T55">
            <v>99.617903930131007</v>
          </cell>
          <cell r="U55">
            <v>96.189516129032256</v>
          </cell>
          <cell r="V55">
            <v>98.714499146272047</v>
          </cell>
          <cell r="W55">
            <v>92.079566003616648</v>
          </cell>
          <cell r="X55">
            <v>94.479522184300336</v>
          </cell>
          <cell r="Y55">
            <v>96.343042071197416</v>
          </cell>
          <cell r="Z55">
            <v>94.285714285714292</v>
          </cell>
          <cell r="AA55">
            <v>94.35383980181669</v>
          </cell>
          <cell r="AB55">
            <v>93.159379407616356</v>
          </cell>
          <cell r="AC55">
            <v>94.757738896366092</v>
          </cell>
          <cell r="AD55">
            <v>93.030303030303031</v>
          </cell>
          <cell r="AE55">
            <v>92.26900584795321</v>
          </cell>
          <cell r="AF55">
            <v>93.263956114875768</v>
          </cell>
          <cell r="AG55">
            <v>90.916230366492144</v>
          </cell>
          <cell r="AH55">
            <v>88.34615384615384</v>
          </cell>
          <cell r="AI55">
            <v>82.857142857142861</v>
          </cell>
          <cell r="AJ55">
            <v>79.008547008547012</v>
          </cell>
          <cell r="AK55">
            <v>86.242890995260666</v>
          </cell>
          <cell r="AL55">
            <v>75.922131147540981</v>
          </cell>
          <cell r="AM55">
            <v>73.258823529411771</v>
          </cell>
          <cell r="AN55">
            <v>70.916666666666671</v>
          </cell>
          <cell r="AO55">
            <v>71.679104477611943</v>
          </cell>
          <cell r="AP55">
            <v>74.247035573122531</v>
          </cell>
          <cell r="AQ55">
            <v>72.99636363636364</v>
          </cell>
          <cell r="AR55">
            <v>70.745583038869256</v>
          </cell>
          <cell r="AS55">
            <v>67.557894736842101</v>
          </cell>
          <cell r="AT55">
            <v>68.952823445318089</v>
          </cell>
          <cell r="AU55">
            <v>71.233695652173907</v>
          </cell>
          <cell r="AV55">
            <v>69.003460207612463</v>
          </cell>
          <cell r="AW55">
            <v>68.060402684563755</v>
          </cell>
          <cell r="AX55">
            <v>67.817880794701992</v>
          </cell>
          <cell r="AY55">
            <v>69.370860927152322</v>
          </cell>
          <cell r="AZ55">
            <v>69.671501706484648</v>
          </cell>
          <cell r="BA55">
            <v>72.145695364238406</v>
          </cell>
          <cell r="BB55">
            <v>72.33552631578948</v>
          </cell>
          <cell r="BC55">
            <v>69.596774193548384</v>
          </cell>
          <cell r="BD55">
            <v>70.758278145695371</v>
          </cell>
          <cell r="BE55">
            <v>70.762990320937348</v>
          </cell>
          <cell r="BF55">
            <v>71.644005298013241</v>
          </cell>
          <cell r="BG55">
            <v>70.094739427122107</v>
          </cell>
          <cell r="BH55">
            <v>70.328313253012041</v>
          </cell>
          <cell r="BI55">
            <v>69.860119047619051</v>
          </cell>
          <cell r="BJ55">
            <v>70.58141741922536</v>
          </cell>
          <cell r="BK55">
            <v>69.495601173020532</v>
          </cell>
          <cell r="BL55">
            <v>69.951008645533136</v>
          </cell>
          <cell r="BM55">
            <v>68.871428571428567</v>
          </cell>
          <cell r="BN55">
            <v>67.230985915492951</v>
          </cell>
          <cell r="BO55">
            <v>68.727077363896854</v>
          </cell>
          <cell r="BP55">
            <v>67.742382271468145</v>
          </cell>
          <cell r="BQ55">
            <v>68.468664850136236</v>
          </cell>
          <cell r="BR55">
            <v>66.311999999999998</v>
          </cell>
          <cell r="BS55">
            <v>64.676240208877289</v>
          </cell>
          <cell r="BT55">
            <v>66.32419786096257</v>
          </cell>
          <cell r="BU55">
            <v>66.038560411311053</v>
          </cell>
          <cell r="BV55">
            <v>66.84693877551021</v>
          </cell>
          <cell r="BW55">
            <v>66.633838383838381</v>
          </cell>
          <cell r="BX55">
            <v>66.069651741293526</v>
          </cell>
          <cell r="BY55">
            <v>66.020151133501258</v>
          </cell>
          <cell r="BZ55">
            <v>68.862745098039213</v>
          </cell>
          <cell r="CA55">
            <v>70.009661835748787</v>
          </cell>
          <cell r="CB55">
            <v>68.192857142857136</v>
          </cell>
          <cell r="CC55">
            <v>68.382089552238796</v>
          </cell>
          <cell r="CD55">
            <v>68.691250089266589</v>
          </cell>
          <cell r="CE55">
            <v>69.551372549019604</v>
          </cell>
          <cell r="CF55">
            <v>72.109951690821248</v>
          </cell>
          <cell r="CG55">
            <v>70.920571428571421</v>
          </cell>
          <cell r="CH55">
            <v>69.749731343283571</v>
          </cell>
          <cell r="CI55">
            <v>70.743537762541351</v>
          </cell>
          <cell r="CN55">
            <v>72.158408517792182</v>
          </cell>
          <cell r="CS55">
            <v>73.601576688148029</v>
          </cell>
          <cell r="CU55" t="str">
            <v>Account for 60% of CASM increase in 2014</v>
          </cell>
          <cell r="CZ55" t="str">
            <v>11/19: Increase in headcount, seat initiatives increase FA</v>
          </cell>
        </row>
        <row r="56">
          <cell r="A56" t="str">
            <v>YoY % Chg.</v>
          </cell>
          <cell r="G56">
            <v>32015.56420233463</v>
          </cell>
          <cell r="H56">
            <v>47161.481481481482</v>
          </cell>
          <cell r="I56">
            <v>51380.320054477357</v>
          </cell>
          <cell r="J56">
            <v>49896.621426508806</v>
          </cell>
          <cell r="K56">
            <v>56879.759519038074</v>
          </cell>
          <cell r="L56">
            <v>-0.37402229110334362</v>
          </cell>
          <cell r="M56">
            <v>-0.22763951451451447</v>
          </cell>
          <cell r="N56">
            <v>-9.7053987393806551E-2</v>
          </cell>
          <cell r="O56">
            <v>-6.3581808494629133E-2</v>
          </cell>
          <cell r="P56">
            <v>-1.038406844176154E-2</v>
          </cell>
          <cell r="Q56">
            <v>-8.9388292680856574E-2</v>
          </cell>
          <cell r="R56">
            <v>-1.8841205201024391E-2</v>
          </cell>
          <cell r="S56">
            <v>1.463706180157609E-2</v>
          </cell>
          <cell r="T56">
            <v>-2.3117823412271643E-2</v>
          </cell>
          <cell r="U56">
            <v>-5.5281859473593209E-2</v>
          </cell>
          <cell r="V56">
            <v>-2.2934390226986956E-2</v>
          </cell>
          <cell r="W56">
            <v>-5.4939859814165493E-2</v>
          </cell>
          <cell r="X56">
            <v>-7.3031103097430661E-2</v>
          </cell>
          <cell r="Y56">
            <v>-3.2874229729130566E-2</v>
          </cell>
          <cell r="Z56">
            <v>-1.9792196903913428E-2</v>
          </cell>
          <cell r="AA56">
            <v>-4.4174456459469713E-2</v>
          </cell>
          <cell r="AB56">
            <v>1.1726960180908019E-2</v>
          </cell>
          <cell r="AC56">
            <v>2.9447303038117045E-3</v>
          </cell>
          <cell r="AD56">
            <v>-3.4384829144654572E-2</v>
          </cell>
          <cell r="AE56">
            <v>-2.1389331915647847E-2</v>
          </cell>
          <cell r="AF56">
            <v>-1.155102631996896E-2</v>
          </cell>
          <cell r="AG56">
            <v>-2.4078617262029756E-2</v>
          </cell>
          <cell r="AH56">
            <v>-6.7662917297176328E-2</v>
          </cell>
          <cell r="AI56">
            <v>-0.1093531875290833</v>
          </cell>
          <cell r="AJ56">
            <v>-0.14371520227775758</v>
          </cell>
          <cell r="AK56">
            <v>-7.5281656623777171E-2</v>
          </cell>
          <cell r="AL56">
            <v>-0.16492213940798572</v>
          </cell>
          <cell r="AM56">
            <v>-0.17077517990217406</v>
          </cell>
          <cell r="AN56">
            <v>-0.14410919540229883</v>
          </cell>
          <cell r="AO56">
            <v>-9.2767717018542029E-2</v>
          </cell>
          <cell r="AP56">
            <v>-0.13909384627188981</v>
          </cell>
          <cell r="AQ56">
            <v>-3.8536424978530159E-2</v>
          </cell>
          <cell r="AR56">
            <v>-3.4306317921328655E-2</v>
          </cell>
          <cell r="AS56">
            <v>-4.7362236378254763E-2</v>
          </cell>
          <cell r="AT56">
            <v>-3.8034529758185998E-2</v>
          </cell>
          <cell r="AU56">
            <v>-4.0585323005669638E-2</v>
          </cell>
          <cell r="AV56">
            <v>-5.4700032026829382E-2</v>
          </cell>
          <cell r="AW56">
            <v>-3.7955448792191038E-2</v>
          </cell>
          <cell r="AX56">
            <v>3.848344577234375E-3</v>
          </cell>
          <cell r="AY56">
            <v>6.0626593799417705E-3</v>
          </cell>
          <cell r="AZ56">
            <v>-2.1930547494226293E-2</v>
          </cell>
          <cell r="BA56">
            <v>4.5537356346650126E-2</v>
          </cell>
          <cell r="BB56">
            <v>6.2813669367185909E-2</v>
          </cell>
          <cell r="BC56">
            <v>2.6230448047048993E-2</v>
          </cell>
          <cell r="BD56">
            <v>2.0000000000000018E-2</v>
          </cell>
          <cell r="BE56">
            <v>1.5666213411775987E-2</v>
          </cell>
          <cell r="BF56">
            <v>-6.9538461538461993E-3</v>
          </cell>
          <cell r="BG56">
            <v>-3.0977681407679869E-2</v>
          </cell>
          <cell r="BH56">
            <v>1.0511105837021306E-2</v>
          </cell>
          <cell r="BI56">
            <v>-1.269334304923242E-2</v>
          </cell>
          <cell r="BJ56">
            <v>-2.5659303103003905E-3</v>
          </cell>
          <cell r="BK56">
            <v>-2.9987214087991321E-2</v>
          </cell>
          <cell r="BL56">
            <v>-2.0505216620201328E-3</v>
          </cell>
          <cell r="BM56">
            <v>-2.0715478790771069E-2</v>
          </cell>
          <cell r="BN56">
            <v>-3.7634249239311912E-2</v>
          </cell>
          <cell r="BO56">
            <v>-2.6272355006905945E-2</v>
          </cell>
          <cell r="BP56">
            <v>-2.5227767973219795E-2</v>
          </cell>
          <cell r="BQ56">
            <v>-2.1191171136766163E-2</v>
          </cell>
          <cell r="BR56">
            <v>-3.7162414436838764E-2</v>
          </cell>
          <cell r="BS56">
            <v>-3.7999527625950491E-2</v>
          </cell>
          <cell r="BT56">
            <v>-3.4962631834487778E-2</v>
          </cell>
          <cell r="BU56">
            <v>-2.5151490145847943E-2</v>
          </cell>
          <cell r="BV56">
            <v>-2.3685668154558748E-2</v>
          </cell>
          <cell r="BW56">
            <v>4.8533958233560881E-3</v>
          </cell>
          <cell r="BX56">
            <v>2.1544411485826975E-2</v>
          </cell>
          <cell r="BY56">
            <v>-4.5842503530716394E-3</v>
          </cell>
          <cell r="BZ56">
            <v>4.2765691273979334E-2</v>
          </cell>
          <cell r="CA56">
            <v>4.7312907938235504E-2</v>
          </cell>
          <cell r="CB56">
            <v>2.3396802538046213E-2</v>
          </cell>
          <cell r="CC56">
            <v>2.4526981164092909E-2</v>
          </cell>
          <cell r="CD56">
            <v>3.7788477862826797E-2</v>
          </cell>
          <cell r="CE56">
            <v>-4.2592065299923432E-3</v>
          </cell>
          <cell r="CF56">
            <v>1.4999999999999999E-2</v>
          </cell>
          <cell r="CG56">
            <v>2.5000000000000001E-2</v>
          </cell>
          <cell r="CH56">
            <v>0.02</v>
          </cell>
          <cell r="CI56">
            <v>1.414156336940553E-2</v>
          </cell>
          <cell r="CN56">
            <v>0.02</v>
          </cell>
          <cell r="CS56">
            <v>0.02</v>
          </cell>
          <cell r="CV56" t="str">
            <v xml:space="preserve">1Q14 Call: Pay raise of 20% for pilots = </v>
          </cell>
          <cell r="CZ56" t="str">
            <v>Account for 60% of CASM increase in 2014</v>
          </cell>
        </row>
        <row r="57">
          <cell r="A57" t="str">
            <v>Salaries, Wages, Benefits Per Avg FTE</v>
          </cell>
          <cell r="G57">
            <v>32015.56420233463</v>
          </cell>
          <cell r="H57">
            <v>47161.481481481482</v>
          </cell>
          <cell r="I57">
            <v>51380.320054477357</v>
          </cell>
          <cell r="J57">
            <v>49896.621426508806</v>
          </cell>
          <cell r="K57">
            <v>56879.759519038074</v>
          </cell>
          <cell r="L57">
            <v>51794.683776351972</v>
          </cell>
          <cell r="M57">
            <v>60894.405289091243</v>
          </cell>
          <cell r="N57">
            <v>60898.270533307026</v>
          </cell>
          <cell r="O57">
            <v>57659.611201270665</v>
          </cell>
          <cell r="P57">
            <v>59001.613199037325</v>
          </cell>
          <cell r="Q57">
            <v>59457.380059639378</v>
          </cell>
          <cell r="R57">
            <v>60362.20665603628</v>
          </cell>
          <cell r="S57">
            <v>60780.188679245279</v>
          </cell>
          <cell r="T57">
            <v>61260.273972602743</v>
          </cell>
          <cell r="U57">
            <v>60977.57283588346</v>
          </cell>
          <cell r="V57">
            <v>60869.904888611491</v>
          </cell>
          <cell r="W57">
            <v>60945.797329143752</v>
          </cell>
          <cell r="X57">
            <v>60617.357536349678</v>
          </cell>
          <cell r="Y57">
            <v>57947.598253275108</v>
          </cell>
          <cell r="Z57">
            <v>57018.81977671451</v>
          </cell>
          <cell r="AA57">
            <v>59007.635926047478</v>
          </cell>
          <cell r="AB57">
            <v>59625.132475397426</v>
          </cell>
          <cell r="AC57">
            <v>59898.586748100279</v>
          </cell>
          <cell r="AD57">
            <v>58500</v>
          </cell>
          <cell r="AE57">
            <v>55206.490049435924</v>
          </cell>
          <cell r="AF57">
            <v>58198.840930715334</v>
          </cell>
          <cell r="AG57">
            <v>60811.978116901817</v>
          </cell>
          <cell r="AH57">
            <v>58336.961253809313</v>
          </cell>
          <cell r="AI57">
            <v>60344.827586206899</v>
          </cell>
          <cell r="AJ57">
            <v>63608.827347468628</v>
          </cell>
          <cell r="AK57">
            <v>60778.414320845186</v>
          </cell>
          <cell r="AL57">
            <v>70823.211875843452</v>
          </cell>
          <cell r="AM57">
            <v>67662.330710347407</v>
          </cell>
          <cell r="AN57">
            <v>67941.459245807069</v>
          </cell>
          <cell r="AO57">
            <v>69547.110879750137</v>
          </cell>
          <cell r="AP57">
            <v>68993.052782879502</v>
          </cell>
          <cell r="AQ57">
            <v>70937.531134801233</v>
          </cell>
          <cell r="AR57">
            <v>67129.514010289189</v>
          </cell>
          <cell r="AS57">
            <v>71881.167549600083</v>
          </cell>
          <cell r="AT57">
            <v>72565.179080495524</v>
          </cell>
          <cell r="AU57">
            <v>70598.407975382113</v>
          </cell>
          <cell r="AV57">
            <v>74215.224150035108</v>
          </cell>
          <cell r="AW57">
            <v>75732.176313972974</v>
          </cell>
          <cell r="AX57">
            <v>77730.579561544844</v>
          </cell>
          <cell r="AY57">
            <v>76372.315035799518</v>
          </cell>
          <cell r="AZ57">
            <v>76027.187557406156</v>
          </cell>
          <cell r="BA57">
            <v>80411.235542500464</v>
          </cell>
          <cell r="BB57">
            <v>79308.776716689405</v>
          </cell>
          <cell r="BC57">
            <v>84171.494785631512</v>
          </cell>
          <cell r="BD57">
            <v>80707.049034470954</v>
          </cell>
          <cell r="BE57">
            <v>80713.639087811869</v>
          </cell>
          <cell r="BF57">
            <v>80741.094255597098</v>
          </cell>
          <cell r="BG57">
            <v>81522.319092531747</v>
          </cell>
          <cell r="BH57">
            <v>80859.994004025866</v>
          </cell>
          <cell r="BI57">
            <v>82136.923273548338</v>
          </cell>
          <cell r="BJ57">
            <v>81315.934834578875</v>
          </cell>
          <cell r="BK57">
            <v>86083.213773314201</v>
          </cell>
          <cell r="BL57">
            <v>85032.752440983808</v>
          </cell>
          <cell r="BM57">
            <v>85625.388923459861</v>
          </cell>
          <cell r="BN57">
            <v>90501.529308249883</v>
          </cell>
          <cell r="BO57">
            <v>86801.53841343298</v>
          </cell>
          <cell r="BP57">
            <v>91596.81046820691</v>
          </cell>
          <cell r="BQ57">
            <v>88825.214899713465</v>
          </cell>
          <cell r="BR57">
            <v>88792.375437326584</v>
          </cell>
          <cell r="BS57">
            <v>93011.989826813617</v>
          </cell>
          <cell r="BT57">
            <v>90545.348262968531</v>
          </cell>
          <cell r="BU57">
            <v>102456.30425473939</v>
          </cell>
          <cell r="BV57">
            <v>96473.820790718979</v>
          </cell>
          <cell r="BW57">
            <v>93076.135976048812</v>
          </cell>
          <cell r="BX57">
            <v>95481.927710843374</v>
          </cell>
          <cell r="BY57">
            <v>96833.269744372374</v>
          </cell>
          <cell r="BZ57">
            <v>98804.100227790434</v>
          </cell>
          <cell r="CA57">
            <v>94396.908639249246</v>
          </cell>
          <cell r="CB57">
            <v>95527.390803393733</v>
          </cell>
          <cell r="CC57">
            <v>99301.204819277118</v>
          </cell>
          <cell r="CD57">
            <v>97000.860837030079</v>
          </cell>
          <cell r="CE57">
            <v>104732.34624145787</v>
          </cell>
          <cell r="CF57">
            <v>98644.769528015458</v>
          </cell>
          <cell r="CG57">
            <v>96005.027757410688</v>
          </cell>
          <cell r="CH57">
            <v>98308.192771084345</v>
          </cell>
          <cell r="CI57">
            <v>99365.141044921416</v>
          </cell>
          <cell r="CN57">
            <v>104333.39809716749</v>
          </cell>
          <cell r="CS57">
            <v>109550.06800202587</v>
          </cell>
          <cell r="CV57" t="str">
            <v>= $145M over 3 years, $30M 2014, $50M in 2015, $65M in 2016</v>
          </cell>
          <cell r="DA57" t="str">
            <v xml:space="preserve">1Q14 Call: Pay raise of 20% for pilots = </v>
          </cell>
        </row>
        <row r="58">
          <cell r="A58" t="str">
            <v>YoY % Chg.</v>
          </cell>
          <cell r="B58">
            <v>4.0000000000000001E-3</v>
          </cell>
          <cell r="G58">
            <v>17.634</v>
          </cell>
          <cell r="H58">
            <v>8.5315950999999988</v>
          </cell>
          <cell r="I58">
            <v>10.529027599999999</v>
          </cell>
          <cell r="J58">
            <v>11.8960974</v>
          </cell>
          <cell r="K58">
            <v>10.702496100000001</v>
          </cell>
          <cell r="L58">
            <v>0.61779700176500452</v>
          </cell>
          <cell r="M58">
            <v>0.29118940661357628</v>
          </cell>
          <cell r="N58">
            <v>0.18524506014633624</v>
          </cell>
          <cell r="O58">
            <v>0.15558147130654376</v>
          </cell>
          <cell r="P58">
            <v>3.7304195691774122E-2</v>
          </cell>
          <cell r="Q58">
            <v>0.14794368310799455</v>
          </cell>
          <cell r="R58">
            <v>-8.7396967016656335E-3</v>
          </cell>
          <cell r="S58">
            <v>-1.9390017652006764E-3</v>
          </cell>
          <cell r="T58">
            <v>6.2446879129367527E-2</v>
          </cell>
          <cell r="U58">
            <v>3.3489925608989557E-2</v>
          </cell>
          <cell r="V58">
            <v>2.3756930217161631E-2</v>
          </cell>
          <cell r="W58">
            <v>9.6681467666177578E-3</v>
          </cell>
          <cell r="X58">
            <v>-2.6790167394001863E-3</v>
          </cell>
          <cell r="Y58">
            <v>-5.4075431017647002E-2</v>
          </cell>
          <cell r="Z58">
            <v>-6.4921460055873959E-2</v>
          </cell>
          <cell r="AA58">
            <v>-3.0594247945217923E-2</v>
          </cell>
          <cell r="AB58">
            <v>-2.1669498334954018E-2</v>
          </cell>
          <cell r="AC58">
            <v>-1.1857507774376108E-2</v>
          </cell>
          <cell r="AD58">
            <v>9.5327807083647187E-3</v>
          </cell>
          <cell r="AE58">
            <v>-3.1784763949440964E-2</v>
          </cell>
          <cell r="AF58">
            <v>-1.3706615807245415E-2</v>
          </cell>
          <cell r="AG58">
            <v>1.9905123766292832E-2</v>
          </cell>
          <cell r="AH58">
            <v>-2.6071157586042615E-2</v>
          </cell>
          <cell r="AI58">
            <v>3.1535514294134925E-2</v>
          </cell>
          <cell r="AJ58">
            <v>0.15219836092656203</v>
          </cell>
          <cell r="AK58">
            <v>4.4323449554618977E-2</v>
          </cell>
          <cell r="AL58">
            <v>0.16462601725759618</v>
          </cell>
          <cell r="AM58">
            <v>0.15985353463931351</v>
          </cell>
          <cell r="AN58">
            <v>0.12588703893051711</v>
          </cell>
          <cell r="AO58">
            <v>9.3356280565323635E-2</v>
          </cell>
          <cell r="AP58">
            <v>0.1351571697588192</v>
          </cell>
          <cell r="AQ58">
            <v>1.6141495977080034E-3</v>
          </cell>
          <cell r="AR58">
            <v>-7.8746430172369486E-3</v>
          </cell>
          <cell r="AS58">
            <v>5.7986807282714548E-2</v>
          </cell>
          <cell r="AT58">
            <v>4.3396025551136974E-2</v>
          </cell>
          <cell r="AU58">
            <v>2.326836004133126E-2</v>
          </cell>
          <cell r="AV58">
            <v>4.6205343811660748E-2</v>
          </cell>
          <cell r="AW58">
            <v>0.12815022468902759</v>
          </cell>
          <cell r="AX58">
            <v>8.1376140807792208E-2</v>
          </cell>
          <cell r="AY58">
            <v>5.2465052846914162E-2</v>
          </cell>
          <cell r="AZ58">
            <v>7.68966289426396E-2</v>
          </cell>
          <cell r="BA58">
            <v>8.3487067019286654E-2</v>
          </cell>
          <cell r="BB58">
            <v>4.7226959223889642E-2</v>
          </cell>
          <cell r="BC58">
            <v>8.2862050693793377E-2</v>
          </cell>
          <cell r="BD58">
            <v>5.6757923295104096E-2</v>
          </cell>
          <cell r="BE58">
            <v>6.1641784747950901E-2</v>
          </cell>
          <cell r="BF58">
            <v>4.1021470553364026E-3</v>
          </cell>
          <cell r="BG58">
            <v>2.7910433970626869E-2</v>
          </cell>
          <cell r="BH58">
            <v>-3.9342306918029646E-2</v>
          </cell>
          <cell r="BI58">
            <v>1.7716844515857089E-2</v>
          </cell>
          <cell r="BJ58">
            <v>7.4621309802640479E-3</v>
          </cell>
          <cell r="BK58">
            <v>6.6163575896133864E-2</v>
          </cell>
          <cell r="BL58">
            <v>4.3061009396304639E-2</v>
          </cell>
          <cell r="BM58">
            <v>5.893390146920785E-2</v>
          </cell>
          <cell r="BN58">
            <v>0.1018373430770485</v>
          </cell>
          <cell r="BO58">
            <v>6.7460376493407859E-2</v>
          </cell>
          <cell r="BP58">
            <v>6.4049614939003741E-2</v>
          </cell>
          <cell r="BQ58">
            <v>4.4600019990671091E-2</v>
          </cell>
          <cell r="BR58">
            <v>3.6986535812382426E-2</v>
          </cell>
          <cell r="BS58">
            <v>2.773942647988914E-2</v>
          </cell>
          <cell r="BT58">
            <v>4.3130685445964101E-2</v>
          </cell>
          <cell r="BU58">
            <v>0.11855755381680888</v>
          </cell>
          <cell r="BV58">
            <v>8.610849857938474E-2</v>
          </cell>
          <cell r="BW58">
            <v>4.8244689001995411E-2</v>
          </cell>
          <cell r="BX58">
            <v>2.6555048318273045E-2</v>
          </cell>
          <cell r="BY58">
            <v>6.9444997473995018E-2</v>
          </cell>
          <cell r="BZ58">
            <v>-3.5646454881569811E-2</v>
          </cell>
          <cell r="CA58">
            <v>-2.1528246051073174E-2</v>
          </cell>
          <cell r="CB58">
            <v>2.6336018375061165E-2</v>
          </cell>
          <cell r="CC58">
            <v>3.7294338963782092E-2</v>
          </cell>
          <cell r="CD58">
            <v>9.9803379356311339E-4</v>
          </cell>
          <cell r="CE58">
            <v>4.4152673347969129E-2</v>
          </cell>
          <cell r="CF58">
            <v>3.5000000000000003E-2</v>
          </cell>
          <cell r="CG58">
            <v>1.5000000000000003E-2</v>
          </cell>
          <cell r="CH58">
            <v>1.0000000000000002E-2</v>
          </cell>
          <cell r="CI58">
            <v>2.5759104934541144E-2</v>
          </cell>
          <cell r="CN58">
            <v>0.05</v>
          </cell>
          <cell r="CS58">
            <v>0.05</v>
          </cell>
          <cell r="DA58" t="str">
            <v>= $145M over 3 years, $30M 2014, $50M in 2015, $65M in 2016</v>
          </cell>
          <cell r="DE58" t="str">
            <v>mstag:fuelExpense</v>
          </cell>
          <cell r="DF58">
            <v>6</v>
          </cell>
          <cell r="DG58" t="str">
            <v>ISO4217:USD</v>
          </cell>
          <cell r="DH58" t="b">
            <v>0</v>
          </cell>
          <cell r="DI58" t="b">
            <v>0</v>
          </cell>
        </row>
        <row r="59">
          <cell r="A59" t="str">
            <v>Aircraft Fuel</v>
          </cell>
          <cell r="B59">
            <v>4.0000000000000001E-3</v>
          </cell>
          <cell r="G59">
            <v>17.634</v>
          </cell>
          <cell r="H59">
            <v>8.5315950999999988</v>
          </cell>
          <cell r="I59">
            <v>10.529027599999999</v>
          </cell>
          <cell r="J59">
            <v>11.8960974</v>
          </cell>
          <cell r="K59">
            <v>10.702496100000001</v>
          </cell>
          <cell r="L59">
            <v>41.659216200000003</v>
          </cell>
          <cell r="M59">
            <v>12.983266800000001</v>
          </cell>
          <cell r="N59">
            <v>16.982577199999998</v>
          </cell>
          <cell r="O59">
            <v>21.169148</v>
          </cell>
          <cell r="P59">
            <v>25.134021600000001</v>
          </cell>
          <cell r="Q59">
            <v>76.269013599999994</v>
          </cell>
          <cell r="R59">
            <v>35.966000000000001</v>
          </cell>
          <cell r="S59">
            <v>32.457000000000001</v>
          </cell>
          <cell r="T59">
            <v>38.295999999999999</v>
          </cell>
          <cell r="U59">
            <v>40.597000000000001</v>
          </cell>
          <cell r="V59">
            <v>147.316</v>
          </cell>
          <cell r="W59">
            <v>49.244999999999997</v>
          </cell>
          <cell r="X59">
            <v>57.43</v>
          </cell>
          <cell r="Y59">
            <v>68.498999999999995</v>
          </cell>
          <cell r="Z59">
            <v>80.191999999999993</v>
          </cell>
          <cell r="AA59">
            <v>255.36599999999999</v>
          </cell>
          <cell r="AB59">
            <v>86.62</v>
          </cell>
          <cell r="AC59">
            <v>111.307</v>
          </cell>
          <cell r="AD59">
            <v>138.02600000000001</v>
          </cell>
          <cell r="AE59">
            <v>151.982</v>
          </cell>
          <cell r="AF59">
            <v>487.93500000000006</v>
          </cell>
          <cell r="AG59">
            <v>160</v>
          </cell>
          <cell r="AH59">
            <v>192</v>
          </cell>
          <cell r="AI59">
            <v>212</v>
          </cell>
          <cell r="AJ59">
            <v>188</v>
          </cell>
          <cell r="AK59">
            <v>752</v>
          </cell>
          <cell r="AL59">
            <v>190</v>
          </cell>
          <cell r="AM59">
            <v>226</v>
          </cell>
          <cell r="AN59">
            <v>249</v>
          </cell>
          <cell r="AO59">
            <v>264</v>
          </cell>
          <cell r="AP59">
            <v>929</v>
          </cell>
          <cell r="AQ59">
            <v>308</v>
          </cell>
          <cell r="AR59">
            <v>370</v>
          </cell>
          <cell r="AS59">
            <v>394</v>
          </cell>
          <cell r="AT59">
            <v>288.39999999999998</v>
          </cell>
          <cell r="AU59">
            <v>1360.4</v>
          </cell>
          <cell r="AV59">
            <v>223.1</v>
          </cell>
          <cell r="AW59">
            <v>235.1</v>
          </cell>
          <cell r="AX59">
            <v>254.3</v>
          </cell>
          <cell r="AY59">
            <v>232</v>
          </cell>
          <cell r="AZ59">
            <v>944.5</v>
          </cell>
          <cell r="BA59">
            <v>254</v>
          </cell>
          <cell r="BB59">
            <v>279</v>
          </cell>
          <cell r="BC59">
            <v>292.2</v>
          </cell>
          <cell r="BD59">
            <v>289.5</v>
          </cell>
          <cell r="BE59">
            <v>1114.7</v>
          </cell>
          <cell r="BF59">
            <v>353</v>
          </cell>
          <cell r="BG59">
            <v>439</v>
          </cell>
          <cell r="BH59">
            <v>454</v>
          </cell>
          <cell r="BI59">
            <v>418</v>
          </cell>
          <cell r="BJ59">
            <v>1664</v>
          </cell>
          <cell r="BK59">
            <v>433</v>
          </cell>
          <cell r="BL59">
            <v>450</v>
          </cell>
          <cell r="BM59">
            <v>481</v>
          </cell>
          <cell r="BN59">
            <v>442</v>
          </cell>
          <cell r="BO59">
            <v>1806</v>
          </cell>
          <cell r="BP59">
            <v>467</v>
          </cell>
          <cell r="BQ59">
            <v>465</v>
          </cell>
          <cell r="BR59">
            <v>501</v>
          </cell>
          <cell r="BS59">
            <v>466</v>
          </cell>
          <cell r="BT59">
            <v>1899</v>
          </cell>
          <cell r="BU59">
            <v>464</v>
          </cell>
          <cell r="BV59">
            <v>497</v>
          </cell>
          <cell r="BW59">
            <v>515</v>
          </cell>
          <cell r="BX59">
            <v>436</v>
          </cell>
          <cell r="BY59">
            <v>1912</v>
          </cell>
          <cell r="BZ59">
            <v>335</v>
          </cell>
          <cell r="CA59">
            <v>371</v>
          </cell>
          <cell r="CB59">
            <v>342</v>
          </cell>
          <cell r="CC59">
            <v>296.75730093245932</v>
          </cell>
          <cell r="CD59">
            <v>1344.7573009324592</v>
          </cell>
          <cell r="CE59">
            <v>225.91800000000001</v>
          </cell>
          <cell r="CF59">
            <v>246.33179999999999</v>
          </cell>
          <cell r="CG59">
            <v>273.30974999999995</v>
          </cell>
          <cell r="CH59">
            <v>272.1900420970282</v>
          </cell>
          <cell r="CI59">
            <v>1017.7495920970282</v>
          </cell>
          <cell r="CN59">
            <v>1214.0168638116895</v>
          </cell>
          <cell r="CS59">
            <v>1391.5546899755111</v>
          </cell>
          <cell r="DB59">
            <v>5.2499999999999998E-2</v>
          </cell>
          <cell r="DJ59" t="str">
            <v>mstag:fuelExpense</v>
          </cell>
          <cell r="DK59">
            <v>6</v>
          </cell>
          <cell r="DL59" t="str">
            <v>ISO4217:USD</v>
          </cell>
          <cell r="DM59" t="b">
            <v>0</v>
          </cell>
          <cell r="DN59" t="b">
            <v>0</v>
          </cell>
        </row>
        <row r="60">
          <cell r="A60" t="str">
            <v>YoY % Chg.</v>
          </cell>
          <cell r="F60">
            <v>0.10338</v>
          </cell>
          <cell r="G60">
            <v>0.96150000000000002</v>
          </cell>
          <cell r="H60">
            <v>0.86029999999999995</v>
          </cell>
          <cell r="I60">
            <v>0.83240000000000003</v>
          </cell>
          <cell r="J60">
            <v>0.79530000000000001</v>
          </cell>
          <cell r="K60">
            <v>0.60909999999999997</v>
          </cell>
          <cell r="L60">
            <v>1.3624371214698878</v>
          </cell>
          <cell r="M60">
            <v>0.52178656485936648</v>
          </cell>
          <cell r="N60">
            <v>0.61292930792583356</v>
          </cell>
          <cell r="O60">
            <v>0.77950358745381476</v>
          </cell>
          <cell r="P60">
            <v>1.3484261395806532</v>
          </cell>
          <cell r="Q60">
            <v>0.83078369102873295</v>
          </cell>
          <cell r="R60">
            <v>1.770181076460664</v>
          </cell>
          <cell r="S60">
            <v>0.91119402065783062</v>
          </cell>
          <cell r="T60">
            <v>0.80904777084084811</v>
          </cell>
          <cell r="U60">
            <v>0.61522101978300214</v>
          </cell>
          <cell r="V60">
            <v>0.93153147059974573</v>
          </cell>
          <cell r="W60">
            <v>0.36920980926430502</v>
          </cell>
          <cell r="X60">
            <v>0.76941799919894005</v>
          </cell>
          <cell r="Y60">
            <v>0.78867244620848131</v>
          </cell>
          <cell r="Z60">
            <v>0.97531837327881354</v>
          </cell>
          <cell r="AA60">
            <v>0.73345732982160783</v>
          </cell>
          <cell r="AB60">
            <v>0.7589603005381258</v>
          </cell>
          <cell r="AC60">
            <v>0.93813337976667244</v>
          </cell>
          <cell r="AD60">
            <v>1.0150075183579323</v>
          </cell>
          <cell r="AE60">
            <v>0.8952264565043897</v>
          </cell>
          <cell r="AF60">
            <v>0.91072813138789077</v>
          </cell>
          <cell r="AG60">
            <v>0.84714846455783865</v>
          </cell>
          <cell r="AH60">
            <v>0.72495889746377129</v>
          </cell>
          <cell r="AI60">
            <v>0.53594250358628082</v>
          </cell>
          <cell r="AJ60">
            <v>0.23698859075416823</v>
          </cell>
          <cell r="AK60">
            <v>0.54118888786416197</v>
          </cell>
          <cell r="AL60">
            <v>0.1875</v>
          </cell>
          <cell r="AM60">
            <v>0.17708333333333326</v>
          </cell>
          <cell r="AN60">
            <v>0.17452830188679247</v>
          </cell>
          <cell r="AO60">
            <v>0.4042553191489362</v>
          </cell>
          <cell r="AP60">
            <v>0.2353723404255319</v>
          </cell>
          <cell r="AQ60">
            <v>0.6210526315789473</v>
          </cell>
          <cell r="AR60">
            <v>0.63716814159292046</v>
          </cell>
          <cell r="AS60">
            <v>0.58232931726907622</v>
          </cell>
          <cell r="AT60">
            <v>9.2424242424242298E-2</v>
          </cell>
          <cell r="AU60">
            <v>0.4643702906350915</v>
          </cell>
          <cell r="AV60">
            <v>-0.2756493506493507</v>
          </cell>
          <cell r="AW60">
            <v>-0.36459459459459465</v>
          </cell>
          <cell r="AX60">
            <v>-0.35456852791878168</v>
          </cell>
          <cell r="AY60">
            <v>-0.19556171983356441</v>
          </cell>
          <cell r="AZ60">
            <v>-0.30571890620405773</v>
          </cell>
          <cell r="BA60">
            <v>0.13850291349170774</v>
          </cell>
          <cell r="BB60">
            <v>0.18672905146746066</v>
          </cell>
          <cell r="BC60">
            <v>0.14903657097915834</v>
          </cell>
          <cell r="BD60">
            <v>0.24784482758620685</v>
          </cell>
          <cell r="BE60">
            <v>0.18020116463737423</v>
          </cell>
          <cell r="BF60">
            <v>0.38976377952755903</v>
          </cell>
          <cell r="BG60">
            <v>0.57347670250896066</v>
          </cell>
          <cell r="BH60">
            <v>0.55373032169746761</v>
          </cell>
          <cell r="BI60">
            <v>0.44386873920552672</v>
          </cell>
          <cell r="BJ60">
            <v>0.49277832600699734</v>
          </cell>
          <cell r="BK60">
            <v>0.22662889518413598</v>
          </cell>
          <cell r="BL60">
            <v>2.5056947608200542E-2</v>
          </cell>
          <cell r="BM60">
            <v>5.9471365638766427E-2</v>
          </cell>
          <cell r="BN60">
            <v>5.741626794258381E-2</v>
          </cell>
          <cell r="BO60">
            <v>8.5336538461538547E-2</v>
          </cell>
          <cell r="BP60">
            <v>7.8521939953810627E-2</v>
          </cell>
          <cell r="BQ60">
            <v>3.3333333333333437E-2</v>
          </cell>
          <cell r="BR60">
            <v>4.1580041580041582E-2</v>
          </cell>
          <cell r="BS60">
            <v>5.4298642533936681E-2</v>
          </cell>
          <cell r="BT60">
            <v>5.1495016611295741E-2</v>
          </cell>
          <cell r="BU60">
            <v>-6.4239828693790635E-3</v>
          </cell>
          <cell r="BV60">
            <v>6.8817204301075297E-2</v>
          </cell>
          <cell r="BW60">
            <v>2.7944111776447178E-2</v>
          </cell>
          <cell r="BX60">
            <v>-6.4377682403433445E-2</v>
          </cell>
          <cell r="BY60">
            <v>6.8457082675092984E-3</v>
          </cell>
          <cell r="BZ60">
            <v>-0.27801724137931039</v>
          </cell>
          <cell r="CA60">
            <v>-0.25352112676056338</v>
          </cell>
          <cell r="CB60">
            <v>-0.33592233009708738</v>
          </cell>
          <cell r="CC60">
            <v>-0.31192660550458717</v>
          </cell>
          <cell r="CD60">
            <v>-0.29497907949790791</v>
          </cell>
          <cell r="CE60">
            <v>-0.35820895522388063</v>
          </cell>
          <cell r="CF60">
            <v>-0.31417653773584908</v>
          </cell>
          <cell r="CG60">
            <v>-8.0339927631578822E-2</v>
          </cell>
          <cell r="CH60">
            <v>-5.9649333333333665E-3</v>
          </cell>
          <cell r="CI60">
            <v>-0.19719972607566782</v>
          </cell>
          <cell r="CN60">
            <v>0.19284436293436502</v>
          </cell>
          <cell r="CS60">
            <v>0.14624000000000015</v>
          </cell>
          <cell r="CU60" t="str">
            <v>10/8: 3Q $1.90 is new assumption given decline in oil</v>
          </cell>
          <cell r="DE60" t="str">
            <v>mstag:averageFuelCostPerGallon</v>
          </cell>
          <cell r="DF60">
            <v>0</v>
          </cell>
          <cell r="DG60" t="str">
            <v>ISO4217:USD</v>
          </cell>
          <cell r="DH60" t="b">
            <v>0</v>
          </cell>
          <cell r="DI60" t="b">
            <v>0</v>
          </cell>
        </row>
        <row r="61">
          <cell r="A61" t="str">
            <v>Realized Price per Gallon</v>
          </cell>
          <cell r="F61">
            <v>0.10338</v>
          </cell>
          <cell r="G61">
            <v>0.96150000000000002</v>
          </cell>
          <cell r="H61">
            <v>0.86029999999999995</v>
          </cell>
          <cell r="I61">
            <v>0.83240000000000003</v>
          </cell>
          <cell r="J61">
            <v>0.79530000000000001</v>
          </cell>
          <cell r="K61">
            <v>0.60909999999999997</v>
          </cell>
          <cell r="L61">
            <v>0.75613424448679556</v>
          </cell>
          <cell r="M61">
            <v>0.62019999999999997</v>
          </cell>
          <cell r="N61">
            <v>0.68920000000000003</v>
          </cell>
          <cell r="O61">
            <v>0.748</v>
          </cell>
          <cell r="P61">
            <v>0.7944</v>
          </cell>
          <cell r="Q61">
            <v>0.72282626735535227</v>
          </cell>
          <cell r="R61">
            <v>0.97609031942899016</v>
          </cell>
          <cell r="S61">
            <v>0.79009250243427465</v>
          </cell>
          <cell r="T61">
            <v>0.81330303480790866</v>
          </cell>
          <cell r="U61">
            <v>0.84325862534532536</v>
          </cell>
          <cell r="V61">
            <v>0.85076549027760939</v>
          </cell>
          <cell r="W61">
            <v>0.91661237785016281</v>
          </cell>
          <cell r="X61">
            <v>0.96732356408960762</v>
          </cell>
          <cell r="Y61">
            <v>1.079302303595626</v>
          </cell>
          <cell r="Z61">
            <v>1.2427858537643741</v>
          </cell>
          <cell r="AA61">
            <v>1.0592275817443495</v>
          </cell>
          <cell r="AB61">
            <v>1.3068601861770341</v>
          </cell>
          <cell r="AC61">
            <v>1.4962629385670116</v>
          </cell>
          <cell r="AD61">
            <v>1.703835376316212</v>
          </cell>
          <cell r="AE61">
            <v>1.8681334890295618</v>
          </cell>
          <cell r="AF61">
            <v>1.6101605425115912</v>
          </cell>
          <cell r="AG61">
            <v>1.8604651162790697</v>
          </cell>
          <cell r="AH61">
            <v>2.064516129032258</v>
          </cell>
          <cell r="AI61">
            <v>2.12</v>
          </cell>
          <cell r="AJ61">
            <v>1.9183673469387754</v>
          </cell>
          <cell r="AK61">
            <v>1.9946949602122015</v>
          </cell>
          <cell r="AL61">
            <v>1.8811881188118811</v>
          </cell>
          <cell r="AM61">
            <v>2</v>
          </cell>
          <cell r="AN61">
            <v>2.1282051282051282</v>
          </cell>
          <cell r="AO61">
            <v>2.336283185840708</v>
          </cell>
          <cell r="AP61">
            <v>2.0923423423423424</v>
          </cell>
          <cell r="AQ61">
            <v>2.6324786324786325</v>
          </cell>
          <cell r="AR61">
            <v>3.1896551724137931</v>
          </cell>
          <cell r="AS61">
            <v>3.4201388888888888</v>
          </cell>
          <cell r="AT61">
            <v>2.7466666666666666</v>
          </cell>
          <cell r="AU61">
            <v>3.0017652250661961</v>
          </cell>
          <cell r="AV61">
            <v>2.046788990825688</v>
          </cell>
          <cell r="AW61">
            <v>2.0443478260869563</v>
          </cell>
          <cell r="AX61">
            <v>2.1369747899159663</v>
          </cell>
          <cell r="AY61">
            <v>2.0807174887892375</v>
          </cell>
          <cell r="AZ61">
            <v>2.078107810781078</v>
          </cell>
          <cell r="BA61">
            <v>2.1896551724137931</v>
          </cell>
          <cell r="BB61">
            <v>2.2981878088962109</v>
          </cell>
          <cell r="BC61">
            <v>2.2563706563706565</v>
          </cell>
          <cell r="BD61">
            <v>2.4246231155778895</v>
          </cell>
          <cell r="BE61">
            <v>2.2922064569195975</v>
          </cell>
          <cell r="BF61">
            <v>3.0044166195126052</v>
          </cell>
          <cell r="BG61">
            <v>3.3007518796992481</v>
          </cell>
          <cell r="BH61">
            <v>3.2661870503597124</v>
          </cell>
          <cell r="BI61">
            <v>3.1428571428571428</v>
          </cell>
          <cell r="BJ61">
            <v>3.1847274454533911</v>
          </cell>
          <cell r="BK61">
            <v>3.255639097744361</v>
          </cell>
          <cell r="BL61">
            <v>3.2142857142857144</v>
          </cell>
          <cell r="BM61">
            <v>3.1644736842105261</v>
          </cell>
          <cell r="BN61">
            <v>3.2028985507246377</v>
          </cell>
          <cell r="BO61">
            <v>3.2078152753108347</v>
          </cell>
          <cell r="BP61">
            <v>3.288732394366197</v>
          </cell>
          <cell r="BQ61">
            <v>3.0592105263157894</v>
          </cell>
          <cell r="BR61">
            <v>3.1312500000000001</v>
          </cell>
          <cell r="BS61">
            <v>3.1066666666666665</v>
          </cell>
          <cell r="BT61">
            <v>3.1440397350993377</v>
          </cell>
          <cell r="BU61">
            <v>3.1351351351351351</v>
          </cell>
          <cell r="BV61">
            <v>3.0869565217391304</v>
          </cell>
          <cell r="BW61">
            <v>3.0473372781065087</v>
          </cell>
          <cell r="BX61">
            <v>2.691358024691358</v>
          </cell>
          <cell r="BY61">
            <v>2.9874999999999998</v>
          </cell>
          <cell r="BZ61">
            <v>2.0552147239263805</v>
          </cell>
          <cell r="CA61">
            <v>2.132183908045977</v>
          </cell>
          <cell r="CB61">
            <v>1.8486486486486486</v>
          </cell>
          <cell r="CC61">
            <v>1.6844999999999997</v>
          </cell>
          <cell r="CD61">
            <v>1.9261190220523279</v>
          </cell>
          <cell r="CE61">
            <v>1.25</v>
          </cell>
          <cell r="CF61">
            <v>1.3</v>
          </cell>
          <cell r="CG61">
            <v>1.4</v>
          </cell>
          <cell r="CH61">
            <v>1.45</v>
          </cell>
          <cell r="CI61">
            <v>1.3513078906914304</v>
          </cell>
          <cell r="CN61">
            <v>1.5</v>
          </cell>
          <cell r="CS61">
            <v>1.6</v>
          </cell>
          <cell r="CU61" t="str">
            <v>7/28: 3Q $1.95</v>
          </cell>
          <cell r="CV61" t="str">
            <v>4/28: 2Q $2.11</v>
          </cell>
          <cell r="CZ61" t="str">
            <v xml:space="preserve">10/27: 4Q $1.77 </v>
          </cell>
          <cell r="DJ61" t="str">
            <v>mstag:averageFuelCostPerGallon</v>
          </cell>
          <cell r="DK61">
            <v>0</v>
          </cell>
          <cell r="DL61" t="str">
            <v>ISO4217:USD</v>
          </cell>
          <cell r="DM61" t="b">
            <v>0</v>
          </cell>
          <cell r="DN61" t="b">
            <v>0</v>
          </cell>
        </row>
        <row r="62">
          <cell r="A62" t="str">
            <v>YoY % Chg.</v>
          </cell>
          <cell r="L62">
            <v>-0.21358892929090423</v>
          </cell>
          <cell r="M62">
            <v>-0.27908868999186331</v>
          </cell>
          <cell r="N62">
            <v>-0.17203267659778954</v>
          </cell>
          <cell r="O62">
            <v>-5.9474412171507618E-2</v>
          </cell>
          <cell r="P62">
            <v>0.30421934000985074</v>
          </cell>
          <cell r="Q62">
            <v>-4.4050348697075803E-2</v>
          </cell>
          <cell r="R62">
            <v>0.5738315372927929</v>
          </cell>
          <cell r="S62">
            <v>0.14639074642233685</v>
          </cell>
          <cell r="T62">
            <v>8.7303522470466133E-2</v>
          </cell>
          <cell r="U62">
            <v>6.1503808340036992E-2</v>
          </cell>
          <cell r="V62">
            <v>0.17699858001889712</v>
          </cell>
          <cell r="W62">
            <v>-6.0934874975116848E-2</v>
          </cell>
          <cell r="X62">
            <v>0.22431685038053661</v>
          </cell>
          <cell r="Y62">
            <v>0.32706046504614705</v>
          </cell>
          <cell r="Z62">
            <v>0.4737896730738298</v>
          </cell>
          <cell r="AA62">
            <v>0.24502885207381619</v>
          </cell>
          <cell r="AB62">
            <v>0.42575009650444029</v>
          </cell>
          <cell r="AC62">
            <v>0.54680708101555764</v>
          </cell>
          <cell r="AD62">
            <v>0.57864517720382369</v>
          </cell>
          <cell r="AE62">
            <v>0.50318213179770432</v>
          </cell>
          <cell r="AF62">
            <v>0.52012709096940091</v>
          </cell>
          <cell r="AG62">
            <v>0.42361450441114079</v>
          </cell>
          <cell r="AH62">
            <v>0.37978163851967683</v>
          </cell>
          <cell r="AI62">
            <v>0.24425166273021026</v>
          </cell>
          <cell r="AJ62">
            <v>2.6889865314340344E-2</v>
          </cell>
          <cell r="AK62">
            <v>0.23881743934725819</v>
          </cell>
          <cell r="AL62">
            <v>1.1138613861386037E-2</v>
          </cell>
          <cell r="AM62">
            <v>-3.125E-2</v>
          </cell>
          <cell r="AN62">
            <v>3.8703434929849845E-3</v>
          </cell>
          <cell r="AO62">
            <v>0.21784974581058192</v>
          </cell>
          <cell r="AP62">
            <v>4.8953541307264814E-2</v>
          </cell>
          <cell r="AQ62">
            <v>0.39937022042285197</v>
          </cell>
          <cell r="AR62">
            <v>0.59482758620689657</v>
          </cell>
          <cell r="AS62">
            <v>0.60705321285140568</v>
          </cell>
          <cell r="AT62">
            <v>0.17565656565656562</v>
          </cell>
          <cell r="AU62">
            <v>0.43464344448804204</v>
          </cell>
          <cell r="AV62">
            <v>-0.22248600023829379</v>
          </cell>
          <cell r="AW62">
            <v>-0.35906933019976506</v>
          </cell>
          <cell r="AX62">
            <v>-0.37517894467431645</v>
          </cell>
          <cell r="AY62">
            <v>-0.24245722495537469</v>
          </cell>
          <cell r="AZ62">
            <v>-0.30770474871656539</v>
          </cell>
          <cell r="BA62">
            <v>6.9800151470656546E-2</v>
          </cell>
          <cell r="BB62">
            <v>0.12416672914957161</v>
          </cell>
          <cell r="BC62">
            <v>5.5871443602470094E-2</v>
          </cell>
          <cell r="BD62">
            <v>0.16528223011609788</v>
          </cell>
          <cell r="BE62">
            <v>0.10302576460556612</v>
          </cell>
          <cell r="BF62">
            <v>0.37209577899000856</v>
          </cell>
          <cell r="BG62">
            <v>0.43624114048562257</v>
          </cell>
          <cell r="BH62">
            <v>0.44754011985483477</v>
          </cell>
          <cell r="BI62">
            <v>0.2962250185048112</v>
          </cell>
          <cell r="BJ62">
            <v>0.3893719895254184</v>
          </cell>
          <cell r="BK62">
            <v>8.3617723520817977E-2</v>
          </cell>
          <cell r="BL62">
            <v>-2.6195899772209486E-2</v>
          </cell>
          <cell r="BM62">
            <v>-3.1141316948759656E-2</v>
          </cell>
          <cell r="BN62">
            <v>1.910408432147559E-2</v>
          </cell>
          <cell r="BO62">
            <v>7.2495465476658527E-3</v>
          </cell>
          <cell r="BP62">
            <v>1.016491559054078E-2</v>
          </cell>
          <cell r="BQ62">
            <v>-4.8245614035087758E-2</v>
          </cell>
          <cell r="BR62">
            <v>-1.0498960498960375E-2</v>
          </cell>
          <cell r="BS62">
            <v>-3.0045248868778351E-2</v>
          </cell>
          <cell r="BT62">
            <v>-1.9881300741457775E-2</v>
          </cell>
          <cell r="BU62">
            <v>-4.6704091671971759E-2</v>
          </cell>
          <cell r="BV62">
            <v>9.0696587190275402E-3</v>
          </cell>
          <cell r="BW62">
            <v>-2.6798474057801669E-2</v>
          </cell>
          <cell r="BX62">
            <v>-0.13368303926243841</v>
          </cell>
          <cell r="BY62">
            <v>-4.9789362822538208E-2</v>
          </cell>
          <cell r="BZ62">
            <v>-0.34445737254072351</v>
          </cell>
          <cell r="CA62">
            <v>-0.30929253683017643</v>
          </cell>
          <cell r="CB62">
            <v>-0.39335607452112298</v>
          </cell>
          <cell r="CC62">
            <v>-0.37410779816513773</v>
          </cell>
          <cell r="CD62">
            <v>-0.35527396751386509</v>
          </cell>
          <cell r="CE62">
            <v>-0.39179104477611948</v>
          </cell>
          <cell r="CF62">
            <v>-0.39029649595687332</v>
          </cell>
          <cell r="CG62">
            <v>-0.24269005847953218</v>
          </cell>
          <cell r="CH62">
            <v>-0.1392104482042148</v>
          </cell>
          <cell r="CI62">
            <v>-0.29842970490391707</v>
          </cell>
          <cell r="CN62">
            <v>0.11003569973419425</v>
          </cell>
          <cell r="CS62">
            <v>6.6666666666666652E-2</v>
          </cell>
          <cell r="CU62" t="str">
            <v>5/8: we add $0.05/gal to 2016/2017 "Other Fuel Costs" for hedging cost</v>
          </cell>
        </row>
        <row r="63">
          <cell r="A63" t="str">
            <v>Hedged Fuel Price Forecasting Details</v>
          </cell>
          <cell r="CA63">
            <v>0.1</v>
          </cell>
          <cell r="CB63">
            <v>0.05</v>
          </cell>
          <cell r="CC63">
            <v>0.05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N63">
            <v>0</v>
          </cell>
          <cell r="CU63" t="str">
            <v>Hedge disclosure from investor update</v>
          </cell>
          <cell r="CZ63" t="str">
            <v>5/8: we add $0.05/gal to 2016/2017 "Other Fuel Costs" for hedging cost</v>
          </cell>
        </row>
        <row r="64">
          <cell r="A64" t="str">
            <v>Approx. Swap Hedged Consumption (%)</v>
          </cell>
          <cell r="CA64">
            <v>2.76</v>
          </cell>
          <cell r="CB64">
            <v>2.74</v>
          </cell>
          <cell r="CC64">
            <v>0.05</v>
          </cell>
          <cell r="CE64">
            <v>0</v>
          </cell>
          <cell r="CF64">
            <v>0</v>
          </cell>
          <cell r="CG64">
            <v>0.19</v>
          </cell>
          <cell r="CH64">
            <v>0.2</v>
          </cell>
          <cell r="CI64">
            <v>2</v>
          </cell>
          <cell r="CN64">
            <v>0</v>
          </cell>
          <cell r="CS64">
            <v>0</v>
          </cell>
          <cell r="CV64" t="str">
            <v>As of 4/20/15 forward Brent was $63 and crack spread was $15</v>
          </cell>
          <cell r="CZ64" t="str">
            <v>Hedge disclosure from investor update</v>
          </cell>
        </row>
        <row r="65">
          <cell r="A65" t="str">
            <v>Approx. Swap Hedged Jet Fuel Price</v>
          </cell>
          <cell r="CA65">
            <v>0.1</v>
          </cell>
          <cell r="CB65">
            <v>0.09</v>
          </cell>
          <cell r="CC65">
            <v>2.7</v>
          </cell>
          <cell r="CE65">
            <v>2.7</v>
          </cell>
          <cell r="CF65">
            <v>2.7</v>
          </cell>
          <cell r="CG65">
            <v>1.21</v>
          </cell>
          <cell r="CH65">
            <v>1.25</v>
          </cell>
          <cell r="CI65">
            <v>0.05</v>
          </cell>
          <cell r="CN65">
            <v>2</v>
          </cell>
          <cell r="CS65">
            <v>2</v>
          </cell>
          <cell r="DA65" t="str">
            <v>As of 10/16/15 forward Brent was $51 and crack spread was $14</v>
          </cell>
        </row>
        <row r="66">
          <cell r="A66" t="str">
            <v>Approx. Call Hedged Consumption (%)</v>
          </cell>
          <cell r="CA66">
            <v>2.76</v>
          </cell>
          <cell r="CB66">
            <v>2.9</v>
          </cell>
          <cell r="CC66">
            <v>0.1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2.25</v>
          </cell>
          <cell r="CN66">
            <v>0</v>
          </cell>
          <cell r="CS66">
            <v>0</v>
          </cell>
          <cell r="CV66" t="str">
            <v>Relative to A320ceo</v>
          </cell>
        </row>
        <row r="67">
          <cell r="A67" t="str">
            <v>Approx. Call Hedged Jet Fuel Price</v>
          </cell>
          <cell r="CA67">
            <v>0.1</v>
          </cell>
          <cell r="CB67">
            <v>0.09</v>
          </cell>
          <cell r="CC67">
            <v>2.92</v>
          </cell>
          <cell r="CE67">
            <v>2.92</v>
          </cell>
          <cell r="CF67">
            <v>2.92</v>
          </cell>
          <cell r="CG67">
            <v>2.92</v>
          </cell>
          <cell r="CH67">
            <v>2.92</v>
          </cell>
          <cell r="CI67">
            <v>0.05</v>
          </cell>
          <cell r="CN67">
            <v>2.25</v>
          </cell>
          <cell r="CS67">
            <v>2.25</v>
          </cell>
          <cell r="CV67" t="str">
            <v>A320 sharklets in 2Q15, 25% a year that is providing 3% benefit</v>
          </cell>
          <cell r="DA67" t="str">
            <v>Relative to A320ceo</v>
          </cell>
        </row>
        <row r="68">
          <cell r="A68" t="str">
            <v>Approx. Put Hedged Consumption (%)</v>
          </cell>
          <cell r="CA68">
            <v>2.56</v>
          </cell>
          <cell r="CB68">
            <v>2.6</v>
          </cell>
          <cell r="CC68">
            <v>0.1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1.75</v>
          </cell>
          <cell r="CN68">
            <v>0</v>
          </cell>
          <cell r="CS68">
            <v>0</v>
          </cell>
          <cell r="CV68" t="str">
            <v>A320neo 12% benefit</v>
          </cell>
          <cell r="CZ68">
            <v>2015</v>
          </cell>
          <cell r="DA68" t="str">
            <v>A320 sharklets in 2Q15, 25% a year that is providing 3% benefit</v>
          </cell>
        </row>
        <row r="69">
          <cell r="A69" t="str">
            <v>Approx. Put Hedged Jet Fuel Price</v>
          </cell>
          <cell r="CA69">
            <v>2.0500000000000003</v>
          </cell>
          <cell r="CB69">
            <v>2.0500000000000003</v>
          </cell>
          <cell r="CC69">
            <v>2.62</v>
          </cell>
          <cell r="CE69">
            <v>2.62</v>
          </cell>
          <cell r="CF69">
            <v>2.62</v>
          </cell>
          <cell r="CG69">
            <v>2.62</v>
          </cell>
          <cell r="CH69">
            <v>2.62</v>
          </cell>
          <cell r="CI69">
            <v>1.75</v>
          </cell>
          <cell r="CN69">
            <v>1.75</v>
          </cell>
          <cell r="CS69">
            <v>1.75</v>
          </cell>
          <cell r="CV69" t="str">
            <v>A321ceo 9-11%</v>
          </cell>
          <cell r="CY69" t="str">
            <v>A320</v>
          </cell>
          <cell r="CZ69">
            <v>130</v>
          </cell>
          <cell r="DA69" t="str">
            <v>A320neo 12% benefit</v>
          </cell>
          <cell r="DB69">
            <v>7.4999999999999997E-3</v>
          </cell>
          <cell r="DE69">
            <v>2015</v>
          </cell>
          <cell r="DF69">
            <v>2016</v>
          </cell>
        </row>
        <row r="70">
          <cell r="A70" t="str">
            <v>Unhedged Jet Fuel Price Assumption</v>
          </cell>
          <cell r="CA70">
            <v>1.85</v>
          </cell>
          <cell r="CB70">
            <v>1.85</v>
          </cell>
          <cell r="CC70">
            <v>1.48</v>
          </cell>
          <cell r="CE70">
            <v>1.25</v>
          </cell>
          <cell r="CF70">
            <v>1.3</v>
          </cell>
          <cell r="CG70">
            <v>1.6</v>
          </cell>
          <cell r="CH70">
            <v>1.6</v>
          </cell>
          <cell r="CI70">
            <v>1.5</v>
          </cell>
          <cell r="CN70">
            <v>1.5</v>
          </cell>
          <cell r="CS70">
            <v>1.6</v>
          </cell>
          <cell r="CV70" t="str">
            <v>A321neo 17-19%</v>
          </cell>
          <cell r="CY70" t="str">
            <v>A321</v>
          </cell>
          <cell r="CZ70">
            <v>25</v>
          </cell>
          <cell r="DA70" t="str">
            <v>A321ceo 9-11%</v>
          </cell>
          <cell r="DB70">
            <v>1.5555555555555557E-2</v>
          </cell>
          <cell r="DD70" t="str">
            <v>A320</v>
          </cell>
          <cell r="DE70">
            <v>130</v>
          </cell>
          <cell r="DF70">
            <v>130</v>
          </cell>
          <cell r="DG70">
            <v>7.4999999999999997E-3</v>
          </cell>
        </row>
        <row r="71">
          <cell r="A71" t="str">
            <v>Baseline Unhedged Jet Fuel Price</v>
          </cell>
          <cell r="CA71">
            <v>0.2</v>
          </cell>
          <cell r="CB71">
            <v>0.2</v>
          </cell>
          <cell r="CC71">
            <v>1.3</v>
          </cell>
          <cell r="CE71">
            <v>1</v>
          </cell>
          <cell r="CF71">
            <v>1.05</v>
          </cell>
          <cell r="CG71">
            <v>1.35</v>
          </cell>
          <cell r="CH71">
            <v>1.35</v>
          </cell>
          <cell r="CI71">
            <v>0.25</v>
          </cell>
          <cell r="CN71">
            <v>1.25</v>
          </cell>
          <cell r="CS71">
            <v>1.35</v>
          </cell>
          <cell r="CY71" t="str">
            <v>E190</v>
          </cell>
          <cell r="CZ71">
            <v>60</v>
          </cell>
          <cell r="DA71" t="str">
            <v>A321neo 17-19%</v>
          </cell>
          <cell r="DD71" t="str">
            <v>A321</v>
          </cell>
          <cell r="DE71">
            <v>25</v>
          </cell>
          <cell r="DF71">
            <v>35</v>
          </cell>
          <cell r="DG71">
            <v>1.5555555555555557E-2</v>
          </cell>
        </row>
        <row r="72">
          <cell r="A72" t="str">
            <v>Other Fuel Costs (transports, taxes, etc.)</v>
          </cell>
          <cell r="CC72">
            <v>0.18</v>
          </cell>
          <cell r="CE72">
            <v>0.25</v>
          </cell>
          <cell r="CF72">
            <v>0.25</v>
          </cell>
          <cell r="CG72">
            <v>0.25</v>
          </cell>
          <cell r="CH72">
            <v>0.25</v>
          </cell>
          <cell r="CN72">
            <v>0.25</v>
          </cell>
          <cell r="CS72">
            <v>0.25</v>
          </cell>
          <cell r="CZ72">
            <v>215</v>
          </cell>
          <cell r="DA72">
            <v>225</v>
          </cell>
          <cell r="DD72" t="str">
            <v>E190</v>
          </cell>
          <cell r="DE72">
            <v>60</v>
          </cell>
          <cell r="DF72">
            <v>60</v>
          </cell>
        </row>
        <row r="73">
          <cell r="A73" t="str">
            <v>Fuel Consumption</v>
          </cell>
          <cell r="F73">
            <v>8.3480000000000008</v>
          </cell>
          <cell r="G73">
            <v>18.34</v>
          </cell>
          <cell r="H73">
            <v>9.9169999999999998</v>
          </cell>
          <cell r="I73">
            <v>12.648999999999999</v>
          </cell>
          <cell r="J73">
            <v>14.958</v>
          </cell>
          <cell r="K73">
            <v>17.571000000000002</v>
          </cell>
          <cell r="L73">
            <v>55.094999999999999</v>
          </cell>
          <cell r="M73">
            <v>20.934000000000001</v>
          </cell>
          <cell r="N73">
            <v>24.640999999999998</v>
          </cell>
          <cell r="O73">
            <v>28.300999999999998</v>
          </cell>
          <cell r="P73">
            <v>31.638999999999999</v>
          </cell>
          <cell r="Q73">
            <v>105.515</v>
          </cell>
          <cell r="R73">
            <v>36.847000000000001</v>
          </cell>
          <cell r="S73">
            <v>41.08</v>
          </cell>
          <cell r="T73">
            <v>47.087000000000003</v>
          </cell>
          <cell r="U73">
            <v>48.143000000000001</v>
          </cell>
          <cell r="V73">
            <v>173.15699999999998</v>
          </cell>
          <cell r="W73">
            <v>53.725000000000001</v>
          </cell>
          <cell r="X73">
            <v>59.37</v>
          </cell>
          <cell r="Y73">
            <v>63.466000000000001</v>
          </cell>
          <cell r="Z73">
            <v>64.525999999999996</v>
          </cell>
          <cell r="AA73">
            <v>241.08699999999999</v>
          </cell>
          <cell r="AB73">
            <v>66.281000000000006</v>
          </cell>
          <cell r="AC73">
            <v>74.39</v>
          </cell>
          <cell r="AD73">
            <v>81.009</v>
          </cell>
          <cell r="AE73">
            <v>81.355000000000004</v>
          </cell>
          <cell r="AF73">
            <v>303.03500000000003</v>
          </cell>
          <cell r="AG73">
            <v>86</v>
          </cell>
          <cell r="AH73">
            <v>93</v>
          </cell>
          <cell r="AI73">
            <v>100</v>
          </cell>
          <cell r="AJ73">
            <v>98</v>
          </cell>
          <cell r="AK73">
            <v>377</v>
          </cell>
          <cell r="AL73">
            <v>101</v>
          </cell>
          <cell r="AM73">
            <v>113</v>
          </cell>
          <cell r="AN73">
            <v>117</v>
          </cell>
          <cell r="AO73">
            <v>113</v>
          </cell>
          <cell r="AP73">
            <v>444</v>
          </cell>
          <cell r="AQ73">
            <v>117</v>
          </cell>
          <cell r="AR73">
            <v>116</v>
          </cell>
          <cell r="AS73">
            <v>115.2</v>
          </cell>
          <cell r="AT73">
            <v>105</v>
          </cell>
          <cell r="AU73">
            <v>453.2</v>
          </cell>
          <cell r="AV73">
            <v>109</v>
          </cell>
          <cell r="AW73">
            <v>115</v>
          </cell>
          <cell r="AX73">
            <v>119</v>
          </cell>
          <cell r="AY73">
            <v>111.5</v>
          </cell>
          <cell r="AZ73">
            <v>454.5</v>
          </cell>
          <cell r="BA73">
            <v>116</v>
          </cell>
          <cell r="BB73">
            <v>121.4</v>
          </cell>
          <cell r="BC73">
            <v>129.5</v>
          </cell>
          <cell r="BD73">
            <v>119.4</v>
          </cell>
          <cell r="BE73">
            <v>486.29999999999995</v>
          </cell>
          <cell r="BF73">
            <v>117.49369168955863</v>
          </cell>
          <cell r="BG73">
            <v>133</v>
          </cell>
          <cell r="BH73">
            <v>139</v>
          </cell>
          <cell r="BI73">
            <v>133</v>
          </cell>
          <cell r="BJ73">
            <v>522.49369168955866</v>
          </cell>
          <cell r="BK73">
            <v>133</v>
          </cell>
          <cell r="BL73">
            <v>140</v>
          </cell>
          <cell r="BM73">
            <v>152</v>
          </cell>
          <cell r="BN73">
            <v>138</v>
          </cell>
          <cell r="BO73">
            <v>563</v>
          </cell>
          <cell r="BP73">
            <v>142</v>
          </cell>
          <cell r="BQ73">
            <v>152</v>
          </cell>
          <cell r="BR73">
            <v>160</v>
          </cell>
          <cell r="BS73">
            <v>150</v>
          </cell>
          <cell r="BT73">
            <v>604</v>
          </cell>
          <cell r="BU73">
            <v>148</v>
          </cell>
          <cell r="BV73">
            <v>161</v>
          </cell>
          <cell r="BW73">
            <v>169</v>
          </cell>
          <cell r="BX73">
            <v>162</v>
          </cell>
          <cell r="BY73">
            <v>640</v>
          </cell>
          <cell r="BZ73">
            <v>163</v>
          </cell>
          <cell r="CA73">
            <v>174</v>
          </cell>
          <cell r="CB73">
            <v>185.98027500000001</v>
          </cell>
          <cell r="CC73">
            <v>174.72915</v>
          </cell>
          <cell r="CD73">
            <v>697.13027499999998</v>
          </cell>
          <cell r="CE73">
            <v>180.73439999999999</v>
          </cell>
          <cell r="CF73">
            <v>188.62469999999999</v>
          </cell>
          <cell r="CG73">
            <v>195.22124999999997</v>
          </cell>
          <cell r="CH73">
            <v>187.06502799000003</v>
          </cell>
          <cell r="CI73">
            <v>760.78059837499995</v>
          </cell>
          <cell r="CN73">
            <v>817.53483101377503</v>
          </cell>
          <cell r="CU73" t="str">
            <v>7/28: 3Q15 186, FY15 697</v>
          </cell>
          <cell r="DE73">
            <v>215</v>
          </cell>
          <cell r="DF73">
            <v>225</v>
          </cell>
          <cell r="DG73" t="str">
            <v>ms_eqr_gcim_Decimal:ms_eqr_gcim_decimal</v>
          </cell>
          <cell r="DH73" t="b">
            <v>0</v>
          </cell>
          <cell r="DI73" t="b">
            <v>0</v>
          </cell>
        </row>
        <row r="74">
          <cell r="A74" t="str">
            <v>Gallons Consumed (mm)</v>
          </cell>
          <cell r="F74">
            <v>8.3480000000000008</v>
          </cell>
          <cell r="G74">
            <v>18.34</v>
          </cell>
          <cell r="H74">
            <v>9.9169999999999998</v>
          </cell>
          <cell r="I74">
            <v>12.648999999999999</v>
          </cell>
          <cell r="J74">
            <v>14.958</v>
          </cell>
          <cell r="K74">
            <v>17.571000000000002</v>
          </cell>
          <cell r="L74">
            <v>55.094999999999999</v>
          </cell>
          <cell r="M74">
            <v>20.934000000000001</v>
          </cell>
          <cell r="N74">
            <v>24.640999999999998</v>
          </cell>
          <cell r="O74">
            <v>28.300999999999998</v>
          </cell>
          <cell r="P74">
            <v>31.638999999999999</v>
          </cell>
          <cell r="Q74">
            <v>105.515</v>
          </cell>
          <cell r="R74">
            <v>36.847000000000001</v>
          </cell>
          <cell r="S74">
            <v>41.08</v>
          </cell>
          <cell r="T74">
            <v>47.087000000000003</v>
          </cell>
          <cell r="U74">
            <v>48.143000000000001</v>
          </cell>
          <cell r="V74">
            <v>173.15699999999998</v>
          </cell>
          <cell r="W74">
            <v>53.725000000000001</v>
          </cell>
          <cell r="X74">
            <v>59.37</v>
          </cell>
          <cell r="Y74">
            <v>63.466000000000001</v>
          </cell>
          <cell r="Z74">
            <v>64.525999999999996</v>
          </cell>
          <cell r="AA74">
            <v>241.08699999999999</v>
          </cell>
          <cell r="AB74">
            <v>66.281000000000006</v>
          </cell>
          <cell r="AC74">
            <v>74.39</v>
          </cell>
          <cell r="AD74">
            <v>81.009</v>
          </cell>
          <cell r="AE74">
            <v>81.355000000000004</v>
          </cell>
          <cell r="AF74">
            <v>303.03500000000003</v>
          </cell>
          <cell r="AG74">
            <v>86</v>
          </cell>
          <cell r="AH74">
            <v>93</v>
          </cell>
          <cell r="AI74">
            <v>100</v>
          </cell>
          <cell r="AJ74">
            <v>98</v>
          </cell>
          <cell r="AK74">
            <v>377</v>
          </cell>
          <cell r="AL74">
            <v>101</v>
          </cell>
          <cell r="AM74">
            <v>113</v>
          </cell>
          <cell r="AN74">
            <v>117</v>
          </cell>
          <cell r="AO74">
            <v>113</v>
          </cell>
          <cell r="AP74">
            <v>444</v>
          </cell>
          <cell r="AQ74">
            <v>117</v>
          </cell>
          <cell r="AR74">
            <v>116</v>
          </cell>
          <cell r="AS74">
            <v>115.2</v>
          </cell>
          <cell r="AT74">
            <v>105</v>
          </cell>
          <cell r="AU74">
            <v>453.2</v>
          </cell>
          <cell r="AV74">
            <v>109</v>
          </cell>
          <cell r="AW74">
            <v>115</v>
          </cell>
          <cell r="AX74">
            <v>119</v>
          </cell>
          <cell r="AY74">
            <v>111.5</v>
          </cell>
          <cell r="AZ74">
            <v>454.5</v>
          </cell>
          <cell r="BA74">
            <v>116</v>
          </cell>
          <cell r="BB74">
            <v>121.4</v>
          </cell>
          <cell r="BC74">
            <v>129.5</v>
          </cell>
          <cell r="BD74">
            <v>119.4</v>
          </cell>
          <cell r="BE74">
            <v>486.29999999999995</v>
          </cell>
          <cell r="BF74">
            <v>117.49369168955863</v>
          </cell>
          <cell r="BG74">
            <v>133</v>
          </cell>
          <cell r="BH74">
            <v>139</v>
          </cell>
          <cell r="BI74">
            <v>133</v>
          </cell>
          <cell r="BJ74">
            <v>522.49369168955866</v>
          </cell>
          <cell r="BK74">
            <v>133</v>
          </cell>
          <cell r="BL74">
            <v>140</v>
          </cell>
          <cell r="BM74">
            <v>152</v>
          </cell>
          <cell r="BN74">
            <v>138</v>
          </cell>
          <cell r="BO74">
            <v>563</v>
          </cell>
          <cell r="BP74">
            <v>142</v>
          </cell>
          <cell r="BQ74">
            <v>152</v>
          </cell>
          <cell r="BR74">
            <v>160</v>
          </cell>
          <cell r="BS74">
            <v>150</v>
          </cell>
          <cell r="BT74">
            <v>604</v>
          </cell>
          <cell r="BU74">
            <v>148</v>
          </cell>
          <cell r="BV74">
            <v>161</v>
          </cell>
          <cell r="BW74">
            <v>169</v>
          </cell>
          <cell r="BX74">
            <v>162</v>
          </cell>
          <cell r="BY74">
            <v>640</v>
          </cell>
          <cell r="BZ74">
            <v>163</v>
          </cell>
          <cell r="CA74">
            <v>174</v>
          </cell>
          <cell r="CB74">
            <v>185</v>
          </cell>
          <cell r="CC74">
            <v>176.169368318468</v>
          </cell>
          <cell r="CD74">
            <v>698.16936831846806</v>
          </cell>
          <cell r="CE74">
            <v>180.73439999999999</v>
          </cell>
          <cell r="CF74">
            <v>189.48599999999999</v>
          </cell>
          <cell r="CG74">
            <v>195.22124999999997</v>
          </cell>
          <cell r="CH74">
            <v>187.71727041174358</v>
          </cell>
          <cell r="CI74">
            <v>753.15892041174357</v>
          </cell>
          <cell r="CN74">
            <v>809.34457587445968</v>
          </cell>
          <cell r="CS74">
            <v>869.72168123469442</v>
          </cell>
          <cell r="CZ74" t="str">
            <v>10/27: 4Q15 175, FY15 697</v>
          </cell>
          <cell r="DJ74" t="str">
            <v>mstag:gallonsOfFuelConsumed</v>
          </cell>
          <cell r="DK74">
            <v>6</v>
          </cell>
          <cell r="DL74" t="str">
            <v>ms_eqr_gcim_Decimal:ms_eqr_gcim_decimal</v>
          </cell>
          <cell r="DM74" t="b">
            <v>0</v>
          </cell>
          <cell r="DN74" t="b">
            <v>0</v>
          </cell>
        </row>
        <row r="75">
          <cell r="A75" t="str">
            <v>YoY % Chg.</v>
          </cell>
          <cell r="H75">
            <v>13.296203536358419</v>
          </cell>
          <cell r="I75">
            <v>13.165838142106532</v>
          </cell>
          <cell r="J75">
            <v>13.225312175898953</v>
          </cell>
          <cell r="K75">
            <v>12.81939039497818</v>
          </cell>
          <cell r="L75">
            <v>2.0040894220283532</v>
          </cell>
          <cell r="M75">
            <v>1.1109206413229811</v>
          </cell>
          <cell r="N75">
            <v>0.94805913510949491</v>
          </cell>
          <cell r="O75">
            <v>0.89203102018986491</v>
          </cell>
          <cell r="P75">
            <v>0.80063741392066445</v>
          </cell>
          <cell r="Q75">
            <v>0.91514656502404934</v>
          </cell>
          <cell r="R75">
            <v>0.7601509506066686</v>
          </cell>
          <cell r="S75">
            <v>0.66714013229982561</v>
          </cell>
          <cell r="T75">
            <v>0.6637927988410306</v>
          </cell>
          <cell r="U75">
            <v>0.52163469136192675</v>
          </cell>
          <cell r="V75">
            <v>0.64106525138605863</v>
          </cell>
          <cell r="W75">
            <v>0.4580562868076099</v>
          </cell>
          <cell r="X75">
            <v>0.44522882181110024</v>
          </cell>
          <cell r="Y75">
            <v>0.34784547752033457</v>
          </cell>
          <cell r="Z75">
            <v>0.34029869347568686</v>
          </cell>
          <cell r="AA75">
            <v>0.39230293895135637</v>
          </cell>
          <cell r="AB75">
            <v>0.23370870172173119</v>
          </cell>
          <cell r="AC75">
            <v>0.25298972545056442</v>
          </cell>
          <cell r="AD75">
            <v>0.27641571865250691</v>
          </cell>
          <cell r="AE75">
            <v>0.260809596131792</v>
          </cell>
          <cell r="AF75">
            <v>0.25695288422851514</v>
          </cell>
          <cell r="AG75">
            <v>0.29750607263016549</v>
          </cell>
          <cell r="AH75">
            <v>0.25016803333781423</v>
          </cell>
          <cell r="AI75">
            <v>0.23443074226320526</v>
          </cell>
          <cell r="AJ75">
            <v>0.2045971360088501</v>
          </cell>
          <cell r="AK75">
            <v>0.24408071674889031</v>
          </cell>
          <cell r="AL75">
            <v>0.17441860465116288</v>
          </cell>
          <cell r="AM75">
            <v>0.21505376344086025</v>
          </cell>
          <cell r="AN75">
            <v>0.16999999999999993</v>
          </cell>
          <cell r="AO75">
            <v>0.15306122448979598</v>
          </cell>
          <cell r="AP75">
            <v>0.17771883289124668</v>
          </cell>
          <cell r="AQ75">
            <v>0.15841584158415833</v>
          </cell>
          <cell r="AR75">
            <v>2.6548672566371723E-2</v>
          </cell>
          <cell r="AS75">
            <v>-1.538461538461533E-2</v>
          </cell>
          <cell r="AT75">
            <v>-7.0796460176991149E-2</v>
          </cell>
          <cell r="AU75">
            <v>2.0720720720720731E-2</v>
          </cell>
          <cell r="AV75">
            <v>-6.8376068376068355E-2</v>
          </cell>
          <cell r="AW75">
            <v>-8.6206896551723755E-3</v>
          </cell>
          <cell r="AX75">
            <v>3.298611111111116E-2</v>
          </cell>
          <cell r="AY75">
            <v>6.1904761904761907E-2</v>
          </cell>
          <cell r="AZ75">
            <v>2.8684907325684517E-3</v>
          </cell>
          <cell r="BA75">
            <v>6.4220183486238591E-2</v>
          </cell>
          <cell r="BB75">
            <v>5.5652173913043557E-2</v>
          </cell>
          <cell r="BC75">
            <v>8.8235294117646967E-2</v>
          </cell>
          <cell r="BD75">
            <v>7.0852017937219847E-2</v>
          </cell>
          <cell r="BE75">
            <v>6.9966996699669881E-2</v>
          </cell>
          <cell r="BF75">
            <v>1.2876652496195184E-2</v>
          </cell>
          <cell r="BG75">
            <v>9.5551894563426609E-2</v>
          </cell>
          <cell r="BH75">
            <v>7.3359073359073435E-2</v>
          </cell>
          <cell r="BI75">
            <v>0.11390284757118918</v>
          </cell>
          <cell r="BJ75">
            <v>7.442667425366789E-2</v>
          </cell>
          <cell r="BK75">
            <v>0.13197566684185968</v>
          </cell>
          <cell r="BL75">
            <v>5.2631578947368363E-2</v>
          </cell>
          <cell r="BM75">
            <v>9.3525179856115193E-2</v>
          </cell>
          <cell r="BN75">
            <v>3.7593984962406068E-2</v>
          </cell>
          <cell r="BO75">
            <v>7.7524971027800094E-2</v>
          </cell>
          <cell r="BP75">
            <v>6.7669172932330879E-2</v>
          </cell>
          <cell r="BQ75">
            <v>8.5714285714285632E-2</v>
          </cell>
          <cell r="BR75">
            <v>5.2631578947368363E-2</v>
          </cell>
          <cell r="BS75">
            <v>8.6956521739130377E-2</v>
          </cell>
          <cell r="BT75">
            <v>7.2824156305506316E-2</v>
          </cell>
          <cell r="BU75">
            <v>4.2253521126760507E-2</v>
          </cell>
          <cell r="BV75">
            <v>5.921052631578938E-2</v>
          </cell>
          <cell r="BW75">
            <v>5.6249999999999911E-2</v>
          </cell>
          <cell r="BX75">
            <v>8.0000000000000071E-2</v>
          </cell>
          <cell r="BY75">
            <v>5.9602649006622599E-2</v>
          </cell>
          <cell r="BZ75">
            <v>0.10135135135135132</v>
          </cell>
          <cell r="CA75">
            <v>8.0745341614906874E-2</v>
          </cell>
          <cell r="CB75">
            <v>9.4674556213017791E-2</v>
          </cell>
          <cell r="CC75">
            <v>9.8765432098765427E-2</v>
          </cell>
          <cell r="CD75">
            <v>9.375E-2</v>
          </cell>
          <cell r="CE75">
            <v>0.12269938650306744</v>
          </cell>
          <cell r="CF75">
            <v>9.947499999999998E-2</v>
          </cell>
          <cell r="CG75">
            <v>7.5350000000000028E-2</v>
          </cell>
          <cell r="CH75">
            <v>5.4999999999999938E-2</v>
          </cell>
          <cell r="CI75">
            <v>8.7197714285714101E-2</v>
          </cell>
          <cell r="CN75">
            <v>7.46E-2</v>
          </cell>
          <cell r="CS75">
            <v>7.46E-2</v>
          </cell>
          <cell r="CU75" t="str">
            <v>Modeling slightly improving fuel efficiency</v>
          </cell>
          <cell r="DA75" t="str">
            <v>We go a bit below  guidance due to Jonas</v>
          </cell>
        </row>
        <row r="76">
          <cell r="A76" t="str">
            <v>Gallons per 1,000 ASMs</v>
          </cell>
          <cell r="H76">
            <v>13.296203536358419</v>
          </cell>
          <cell r="I76">
            <v>13.165838142106532</v>
          </cell>
          <cell r="J76">
            <v>13.225312175898953</v>
          </cell>
          <cell r="K76">
            <v>12.81939039497818</v>
          </cell>
          <cell r="L76">
            <v>13.092087550528518</v>
          </cell>
          <cell r="M76">
            <v>12.964878272340478</v>
          </cell>
          <cell r="N76">
            <v>12.753394858375261</v>
          </cell>
          <cell r="O76">
            <v>12.706678268396869</v>
          </cell>
          <cell r="P76">
            <v>12.830604310554238</v>
          </cell>
          <cell r="Q76">
            <v>12.805314797271532</v>
          </cell>
          <cell r="R76">
            <v>12.627177337357454</v>
          </cell>
          <cell r="S76">
            <v>12.542672718984592</v>
          </cell>
          <cell r="T76">
            <v>12.709587267037911</v>
          </cell>
          <cell r="U76">
            <v>12.867791018071786</v>
          </cell>
          <cell r="V76">
            <v>12.695271259449033</v>
          </cell>
          <cell r="W76">
            <v>12.735509135905481</v>
          </cell>
          <cell r="X76">
            <v>12.749111781815605</v>
          </cell>
          <cell r="Y76">
            <v>12.847160369872553</v>
          </cell>
          <cell r="Z76">
            <v>12.662942710418442</v>
          </cell>
          <cell r="AA76">
            <v>12.748471779807478</v>
          </cell>
          <cell r="AB76">
            <v>12.823650572015573</v>
          </cell>
          <cell r="AC76">
            <v>12.724504806541002</v>
          </cell>
          <cell r="AD76">
            <v>12.793866954143978</v>
          </cell>
          <cell r="AE76">
            <v>12.798953618089797</v>
          </cell>
          <cell r="AF76">
            <v>12.784617906843724</v>
          </cell>
          <cell r="AG76">
            <v>13.075870457655466</v>
          </cell>
          <cell r="AH76">
            <v>12.91307970008331</v>
          </cell>
          <cell r="AI76">
            <v>13.267878466233249</v>
          </cell>
          <cell r="AJ76">
            <v>13.465237702665569</v>
          </cell>
          <cell r="AK76">
            <v>13.184584178498985</v>
          </cell>
          <cell r="AL76">
            <v>13.704206241519675</v>
          </cell>
          <cell r="AM76">
            <v>14.009422266302998</v>
          </cell>
          <cell r="AN76">
            <v>14.00359066427289</v>
          </cell>
          <cell r="AO76">
            <v>13.928263281153704</v>
          </cell>
          <cell r="AP76">
            <v>13.916750250752257</v>
          </cell>
          <cell r="AQ76">
            <v>13.936867182846933</v>
          </cell>
          <cell r="AR76">
            <v>13.83752833114637</v>
          </cell>
          <cell r="AS76">
            <v>14.128035320088301</v>
          </cell>
          <cell r="AT76">
            <v>13.981358189081226</v>
          </cell>
          <cell r="AU76">
            <v>13.969545650699709</v>
          </cell>
          <cell r="AV76">
            <v>13.723811442385175</v>
          </cell>
          <cell r="AW76">
            <v>13.961393711302659</v>
          </cell>
          <cell r="AX76">
            <v>14.18186151829341</v>
          </cell>
          <cell r="AY76">
            <v>13.958437656484726</v>
          </cell>
          <cell r="AZ76">
            <v>13.959531180893411</v>
          </cell>
          <cell r="BA76">
            <v>13.770801626854011</v>
          </cell>
          <cell r="BB76">
            <v>13.972929808011466</v>
          </cell>
          <cell r="BC76">
            <v>14.227642276422763</v>
          </cell>
          <cell r="BD76">
            <v>13.997343552722739</v>
          </cell>
          <cell r="BE76">
            <v>13.996645985708389</v>
          </cell>
          <cell r="BF76">
            <v>13.805228630921146</v>
          </cell>
          <cell r="BG76">
            <v>14.087490731913991</v>
          </cell>
          <cell r="BH76">
            <v>14.104515474378488</v>
          </cell>
          <cell r="BI76">
            <v>14.111405835543765</v>
          </cell>
          <cell r="BJ76">
            <v>14.033528793148381</v>
          </cell>
          <cell r="BK76">
            <v>13.947147651006713</v>
          </cell>
          <cell r="BL76">
            <v>14.054813773717498</v>
          </cell>
          <cell r="BM76">
            <v>14.200298953662182</v>
          </cell>
          <cell r="BN76">
            <v>13.976098845452704</v>
          </cell>
          <cell r="BO76">
            <v>14.048658764815968</v>
          </cell>
          <cell r="BP76">
            <v>14.003944773175542</v>
          </cell>
          <cell r="BQ76">
            <v>14.151382552834932</v>
          </cell>
          <cell r="BR76">
            <v>14.219694276573053</v>
          </cell>
          <cell r="BS76">
            <v>14.030492937985221</v>
          </cell>
          <cell r="BT76">
            <v>14.10424061274052</v>
          </cell>
          <cell r="BU76">
            <v>14.204818120740953</v>
          </cell>
          <cell r="BV76">
            <v>14.140172141226069</v>
          </cell>
          <cell r="BW76">
            <v>14.380530973451327</v>
          </cell>
          <cell r="BX76">
            <v>14.165792235047219</v>
          </cell>
          <cell r="BY76">
            <v>14.224434912097436</v>
          </cell>
          <cell r="BZ76">
            <v>14.274454855941851</v>
          </cell>
          <cell r="CA76">
            <v>14.219171365530768</v>
          </cell>
          <cell r="CB76">
            <v>14.257090012330455</v>
          </cell>
          <cell r="CC76">
            <v>13.953305351521511</v>
          </cell>
          <cell r="CD76">
            <v>14.173829904152081</v>
          </cell>
          <cell r="CE76">
            <v>14.131710307382432</v>
          </cell>
          <cell r="CF76">
            <v>14.07697965187546</v>
          </cell>
          <cell r="CG76">
            <v>14.328375462392106</v>
          </cell>
          <cell r="CH76">
            <v>14.092838405036726</v>
          </cell>
          <cell r="CI76">
            <v>14.158499282574901</v>
          </cell>
          <cell r="CN76">
            <v>14.087706786162027</v>
          </cell>
          <cell r="CS76">
            <v>14.017268252231217</v>
          </cell>
          <cell r="CZ76" t="str">
            <v>Modeling slightly improving fuel efficiency</v>
          </cell>
        </row>
        <row r="77">
          <cell r="A77" t="str">
            <v>YoY % Chg.</v>
          </cell>
          <cell r="H77">
            <v>1.1438723902329146</v>
          </cell>
          <cell r="I77">
            <v>1.0959243669489478</v>
          </cell>
          <cell r="J77">
            <v>1.0518090773492437</v>
          </cell>
          <cell r="K77">
            <v>0.78082906895812099</v>
          </cell>
          <cell r="L77">
            <v>0.98993757287738648</v>
          </cell>
          <cell r="M77">
            <v>-2.4918787014047594E-2</v>
          </cell>
          <cell r="N77">
            <v>-3.1326777625513169E-2</v>
          </cell>
          <cell r="O77">
            <v>-3.9215248805031022E-2</v>
          </cell>
          <cell r="P77">
            <v>8.7476199963854029E-4</v>
          </cell>
          <cell r="Q77">
            <v>-2.1904280134867449E-2</v>
          </cell>
          <cell r="R77">
            <v>-2.6047366422520257E-2</v>
          </cell>
          <cell r="S77">
            <v>-1.6522827194696776E-2</v>
          </cell>
          <cell r="T77">
            <v>2.2893462631201622E-4</v>
          </cell>
          <cell r="U77">
            <v>2.8982818437444102E-3</v>
          </cell>
          <cell r="V77">
            <v>-8.5935831773495952E-3</v>
          </cell>
          <cell r="W77">
            <v>8.579256919717837E-3</v>
          </cell>
          <cell r="X77">
            <v>1.6458937218265079E-2</v>
          </cell>
          <cell r="Y77">
            <v>1.082435644400781E-2</v>
          </cell>
          <cell r="Z77">
            <v>-1.5919461807053836E-2</v>
          </cell>
          <cell r="AA77">
            <v>4.1905776781923088E-3</v>
          </cell>
          <cell r="AB77">
            <v>6.9209197032880088E-3</v>
          </cell>
          <cell r="AC77">
            <v>-1.9300933034174239E-3</v>
          </cell>
          <cell r="AD77">
            <v>-4.1482642229291322E-3</v>
          </cell>
          <cell r="AE77">
            <v>1.0740861013250225E-2</v>
          </cell>
          <cell r="AF77">
            <v>2.8353301996164593E-3</v>
          </cell>
          <cell r="AG77">
            <v>1.9668337360213117E-2</v>
          </cell>
          <cell r="AH77">
            <v>1.4819821785549747E-2</v>
          </cell>
          <cell r="AI77">
            <v>3.7049901627727699E-2</v>
          </cell>
          <cell r="AJ77">
            <v>5.2057699750865494E-2</v>
          </cell>
          <cell r="AK77">
            <v>3.1284960924890415E-2</v>
          </cell>
          <cell r="AL77">
            <v>4.8053075005522139E-2</v>
          </cell>
          <cell r="AM77">
            <v>8.490171141843228E-2</v>
          </cell>
          <cell r="AN77">
            <v>5.5450628366247701E-2</v>
          </cell>
          <cell r="AO77">
            <v>3.43867363289454E-2</v>
          </cell>
          <cell r="AP77">
            <v>5.5531980557055771E-2</v>
          </cell>
          <cell r="AQ77">
            <v>1.6977337995860431E-2</v>
          </cell>
          <cell r="AR77">
            <v>-1.2269880362596131E-2</v>
          </cell>
          <cell r="AS77">
            <v>8.8866247806647092E-3</v>
          </cell>
          <cell r="AT77">
            <v>3.812026442619354E-3</v>
          </cell>
          <cell r="AU77">
            <v>3.7936586484763613E-3</v>
          </cell>
          <cell r="AV77">
            <v>-1.5287204625439865E-2</v>
          </cell>
          <cell r="AW77">
            <v>8.9514093262945682E-3</v>
          </cell>
          <cell r="AX77">
            <v>3.8098855917052532E-3</v>
          </cell>
          <cell r="AY77">
            <v>-1.639363807616312E-3</v>
          </cell>
          <cell r="AZ77">
            <v>-7.1687870577219481E-4</v>
          </cell>
          <cell r="BA77">
            <v>3.423989368121827E-3</v>
          </cell>
          <cell r="BB77">
            <v>8.2628546600393982E-4</v>
          </cell>
          <cell r="BC77">
            <v>3.2281205164992333E-3</v>
          </cell>
          <cell r="BD77">
            <v>2.7872672569440038E-3</v>
          </cell>
          <cell r="BE77">
            <v>2.6587429286863973E-3</v>
          </cell>
          <cell r="BF77">
            <v>2.4999999999999467E-3</v>
          </cell>
          <cell r="BG77">
            <v>8.1987761676753923E-3</v>
          </cell>
          <cell r="BH77">
            <v>-8.6540552293976614E-3</v>
          </cell>
          <cell r="BI77">
            <v>8.1488521297914396E-3</v>
          </cell>
          <cell r="BJ77">
            <v>2.6351175472789645E-3</v>
          </cell>
          <cell r="BK77">
            <v>1.0280091976723638E-2</v>
          </cell>
          <cell r="BL77">
            <v>-2.3195726491209712E-3</v>
          </cell>
          <cell r="BM77">
            <v>6.7909797722360832E-3</v>
          </cell>
          <cell r="BN77">
            <v>-9.5884840722425535E-3</v>
          </cell>
          <cell r="BO77">
            <v>1.0781302330011844E-3</v>
          </cell>
          <cell r="BP77">
            <v>4.0723109549019032E-3</v>
          </cell>
          <cell r="BQ77">
            <v>6.8708686342053849E-3</v>
          </cell>
          <cell r="BR77">
            <v>1.3658390555129074E-3</v>
          </cell>
          <cell r="BS77">
            <v>3.8919367367107327E-3</v>
          </cell>
          <cell r="BT77">
            <v>3.956381093386252E-3</v>
          </cell>
          <cell r="BU77">
            <v>1.4344054537417383E-2</v>
          </cell>
          <cell r="BV77">
            <v>-7.9217783612361981E-4</v>
          </cell>
          <cell r="BW77">
            <v>1.1310840707964509E-2</v>
          </cell>
          <cell r="BX77">
            <v>9.6432318992654142E-3</v>
          </cell>
          <cell r="BY77">
            <v>8.5218554232791011E-3</v>
          </cell>
          <cell r="BZ77">
            <v>4.9023320544470117E-3</v>
          </cell>
          <cell r="CA77">
            <v>5.586864397101321E-3</v>
          </cell>
          <cell r="CB77">
            <v>-8.5838945271744516E-3</v>
          </cell>
          <cell r="CC77">
            <v>-4.7931663645269795E-3</v>
          </cell>
          <cell r="CD77">
            <v>-9.5225648625607562E-4</v>
          </cell>
          <cell r="CE77">
            <v>-1.6033134202277366E-2</v>
          </cell>
          <cell r="CF77">
            <v>-5.0000000000000001E-3</v>
          </cell>
          <cell r="CG77">
            <v>5.0000000000000001E-3</v>
          </cell>
          <cell r="CH77">
            <v>0</v>
          </cell>
          <cell r="CI77">
            <v>-3.7661166073900132E-3</v>
          </cell>
          <cell r="CN77">
            <v>-5.0000000000000001E-3</v>
          </cell>
          <cell r="CS77">
            <v>-5.0000000000000001E-3</v>
          </cell>
        </row>
        <row r="78">
          <cell r="A78" t="str">
            <v>Aircraft Fuel per ASM (cents)</v>
          </cell>
          <cell r="H78">
            <v>1.1438723902329146</v>
          </cell>
          <cell r="I78">
            <v>1.0959243669489478</v>
          </cell>
          <cell r="J78">
            <v>1.0518090773492437</v>
          </cell>
          <cell r="K78">
            <v>0.78082906895812099</v>
          </cell>
          <cell r="L78">
            <v>0.98993757287738648</v>
          </cell>
          <cell r="M78">
            <v>0.80408175045055641</v>
          </cell>
          <cell r="N78">
            <v>0.87896397363922285</v>
          </cell>
          <cell r="O78">
            <v>0.95045953447608578</v>
          </cell>
          <cell r="P78">
            <v>1.0192632064304286</v>
          </cell>
          <cell r="Q78">
            <v>0.92560178972220419</v>
          </cell>
          <cell r="R78">
            <v>1.2325265560707743</v>
          </cell>
          <cell r="S78">
            <v>0.99098716757566441</v>
          </cell>
          <cell r="T78">
            <v>1.0336745895437889</v>
          </cell>
          <cell r="U78">
            <v>1.0850875765130139</v>
          </cell>
          <cell r="V78">
            <v>1.0800698677252403</v>
          </cell>
          <cell r="W78">
            <v>1.1673525312194797</v>
          </cell>
          <cell r="X78">
            <v>1.2332516247762679</v>
          </cell>
          <cell r="Y78">
            <v>1.3865969781865879</v>
          </cell>
          <cell r="Z78">
            <v>1.5737326067536739</v>
          </cell>
          <cell r="AA78">
            <v>1.350353293426156</v>
          </cell>
          <cell r="AB78">
            <v>1.6758718374013499</v>
          </cell>
          <cell r="AC78">
            <v>1.9039204953645104</v>
          </cell>
          <cell r="AD78">
            <v>2.1798643116353453</v>
          </cell>
          <cell r="AE78">
            <v>2.3910153878489626</v>
          </cell>
          <cell r="AF78">
            <v>2.058528730468689</v>
          </cell>
          <cell r="AG78">
            <v>2.4327200851452031</v>
          </cell>
          <cell r="AH78">
            <v>2.6659261316301026</v>
          </cell>
          <cell r="AI78">
            <v>2.8127902348414486</v>
          </cell>
          <cell r="AJ78">
            <v>2.5831272327562518</v>
          </cell>
          <cell r="AK78">
            <v>2.6299223613345459</v>
          </cell>
          <cell r="AL78">
            <v>2.5780189959294439</v>
          </cell>
          <cell r="AM78">
            <v>2.8018844532606</v>
          </cell>
          <cell r="AN78">
            <v>2.9802513464991023</v>
          </cell>
          <cell r="AO78">
            <v>3.2540367311721927</v>
          </cell>
          <cell r="AP78">
            <v>2.9118605817452359</v>
          </cell>
          <cell r="AQ78">
            <v>3.668850506253722</v>
          </cell>
          <cell r="AR78">
            <v>4.4136943814863407</v>
          </cell>
          <cell r="AS78">
            <v>4.8319843021829776</v>
          </cell>
          <cell r="AT78">
            <v>3.8402130492676427</v>
          </cell>
          <cell r="AU78">
            <v>4.1933296344245123</v>
          </cell>
          <cell r="AV78">
            <v>2.8089746172441581</v>
          </cell>
          <cell r="AW78">
            <v>2.8541944882845693</v>
          </cell>
          <cell r="AX78">
            <v>3.0306280538672388</v>
          </cell>
          <cell r="AY78">
            <v>2.9043565348022033</v>
          </cell>
          <cell r="AZ78">
            <v>2.9009410781856602</v>
          </cell>
          <cell r="BA78">
            <v>3.0153307010525165</v>
          </cell>
          <cell r="BB78">
            <v>3.2112416939334421</v>
          </cell>
          <cell r="BC78">
            <v>3.2102834541858929</v>
          </cell>
          <cell r="BD78">
            <v>3.3938282734616694</v>
          </cell>
          <cell r="BE78">
            <v>3.2083202303658536</v>
          </cell>
          <cell r="BF78">
            <v>4.1476658334910734</v>
          </cell>
          <cell r="BG78">
            <v>4.6499311513610841</v>
          </cell>
          <cell r="BH78">
            <v>4.6067985794013193</v>
          </cell>
          <cell r="BI78">
            <v>4.4350132625994698</v>
          </cell>
          <cell r="BJ78">
            <v>4.4692964304100062</v>
          </cell>
          <cell r="BK78">
            <v>4.5406879194630871</v>
          </cell>
          <cell r="BL78">
            <v>4.5176187129806245</v>
          </cell>
          <cell r="BM78">
            <v>4.4936472346786251</v>
          </cell>
          <cell r="BN78">
            <v>4.476402673688475</v>
          </cell>
          <cell r="BO78">
            <v>4.5065502183406112</v>
          </cell>
          <cell r="BP78">
            <v>4.60552268244576</v>
          </cell>
          <cell r="BQ78">
            <v>4.3292058467554231</v>
          </cell>
          <cell r="BR78">
            <v>4.452541770351937</v>
          </cell>
          <cell r="BS78">
            <v>4.3588064727340754</v>
          </cell>
          <cell r="BT78">
            <v>4.4344292919858024</v>
          </cell>
          <cell r="BU78">
            <v>4.4534024378539208</v>
          </cell>
          <cell r="BV78">
            <v>4.3650096609871767</v>
          </cell>
          <cell r="BW78">
            <v>4.3822328114363511</v>
          </cell>
          <cell r="BX78">
            <v>3.8125218607904863</v>
          </cell>
          <cell r="BY78">
            <v>4.2495499299891097</v>
          </cell>
          <cell r="BZ78">
            <v>2.9337069795954114</v>
          </cell>
          <cell r="CA78">
            <v>3.0317888371332846</v>
          </cell>
          <cell r="CB78">
            <v>2.6356350184956843</v>
          </cell>
          <cell r="CC78">
            <v>2.3504342864637984</v>
          </cell>
          <cell r="CD78">
            <v>2.7300483393721446</v>
          </cell>
          <cell r="CE78">
            <v>1.7664637884228043</v>
          </cell>
          <cell r="CF78">
            <v>1.8300073547438096</v>
          </cell>
          <cell r="CG78">
            <v>2.0059725647348947</v>
          </cell>
          <cell r="CH78">
            <v>2.0434615687303257</v>
          </cell>
          <cell r="CI78">
            <v>1.9132491800892419</v>
          </cell>
          <cell r="CN78">
            <v>2.1131560179243039</v>
          </cell>
          <cell r="CS78">
            <v>2.2427629203569945</v>
          </cell>
        </row>
        <row r="79">
          <cell r="A79" t="str">
            <v>YoY % Chg.</v>
          </cell>
          <cell r="B79">
            <v>0.32400000000000001</v>
          </cell>
          <cell r="G79">
            <v>13.026999999999999</v>
          </cell>
          <cell r="H79">
            <v>5.61</v>
          </cell>
          <cell r="I79">
            <v>8.1270000000000007</v>
          </cell>
          <cell r="J79">
            <v>9.31</v>
          </cell>
          <cell r="K79">
            <v>9.8800000000000008</v>
          </cell>
          <cell r="L79">
            <v>32.927000000000007</v>
          </cell>
          <cell r="M79">
            <v>-0.29705292538197403</v>
          </cell>
          <cell r="N79">
            <v>-0.19797022481920212</v>
          </cell>
          <cell r="O79">
            <v>-9.6357357105700037E-2</v>
          </cell>
          <cell r="P79">
            <v>0.30536022152768472</v>
          </cell>
          <cell r="Q79">
            <v>-6.4989737654043922E-2</v>
          </cell>
          <cell r="R79">
            <v>0.53283737055360936</v>
          </cell>
          <cell r="S79">
            <v>0.12744913022160143</v>
          </cell>
          <cell r="T79">
            <v>8.7552443896070864E-2</v>
          </cell>
          <cell r="U79">
            <v>6.4580345554814622E-2</v>
          </cell>
          <cell r="V79">
            <v>0.16688394482188262</v>
          </cell>
          <cell r="W79">
            <v>-5.2878394003181395E-2</v>
          </cell>
          <cell r="X79">
            <v>0.24446780455621386</v>
          </cell>
          <cell r="Y79">
            <v>0.34142504054255696</v>
          </cell>
          <cell r="Z79">
            <v>0.45032773466170029</v>
          </cell>
          <cell r="AA79">
            <v>0.25024624219002223</v>
          </cell>
          <cell r="AB79">
            <v>0.43561759843930226</v>
          </cell>
          <cell r="AC79">
            <v>0.54382159902681071</v>
          </cell>
          <cell r="AD79">
            <v>0.57209653989452969</v>
          </cell>
          <cell r="AE79">
            <v>0.51932760215294493</v>
          </cell>
          <cell r="AF79">
            <v>0.52443715321768103</v>
          </cell>
          <cell r="AG79">
            <v>0.45161463475479224</v>
          </cell>
          <cell r="AH79">
            <v>0.40022975650551218</v>
          </cell>
          <cell r="AI79">
            <v>0.29035106443450109</v>
          </cell>
          <cell r="AJ79">
            <v>8.034738960008081E-2</v>
          </cell>
          <cell r="AK79">
            <v>0.2775737945303105</v>
          </cell>
          <cell r="AL79">
            <v>5.972693351424696E-2</v>
          </cell>
          <cell r="AM79">
            <v>5.0998532936606278E-2</v>
          </cell>
          <cell r="AN79">
            <v>5.9535584837911992E-2</v>
          </cell>
          <cell r="AO79">
            <v>0.25972762390804349</v>
          </cell>
          <cell r="AP79">
            <v>0.10720400896839455</v>
          </cell>
          <cell r="AQ79">
            <v>0.42312780163631203</v>
          </cell>
          <cell r="AR79">
            <v>0.57525924252516925</v>
          </cell>
          <cell r="AS79">
            <v>0.62133449175657751</v>
          </cell>
          <cell r="AT79">
            <v>0.18013819957228727</v>
          </cell>
          <cell r="AU79">
            <v>0.44008599199870435</v>
          </cell>
          <cell r="AV79">
            <v>-0.23437201585179512</v>
          </cell>
          <cell r="AW79">
            <v>-0.35333209742460681</v>
          </cell>
          <cell r="AX79">
            <v>-0.37279844793823691</v>
          </cell>
          <cell r="AY79">
            <v>-0.24369911316350379</v>
          </cell>
          <cell r="AZ79">
            <v>-0.30820104044031782</v>
          </cell>
          <cell r="BA79">
            <v>7.3463135815307279E-2</v>
          </cell>
          <cell r="BB79">
            <v>0.12509561177923278</v>
          </cell>
          <cell r="BC79">
            <v>5.9279923872348705E-2</v>
          </cell>
          <cell r="BD79">
            <v>0.16853018312119894</v>
          </cell>
          <cell r="BE79">
            <v>0.10595842655737009</v>
          </cell>
          <cell r="BF79">
            <v>0.37552601843748334</v>
          </cell>
          <cell r="BG79">
            <v>0.44801656011927116</v>
          </cell>
          <cell r="BH79">
            <v>0.43501302771084238</v>
          </cell>
          <cell r="BI79">
            <v>0.30678776450754319</v>
          </cell>
          <cell r="BJ79">
            <v>0.39303314803471467</v>
          </cell>
          <cell r="BK79">
            <v>9.4757413386219902E-2</v>
          </cell>
          <cell r="BL79">
            <v>-2.845470912869974E-2</v>
          </cell>
          <cell r="BM79">
            <v>-2.456181723000328E-2</v>
          </cell>
          <cell r="BN79">
            <v>9.3324210410017372E-3</v>
          </cell>
          <cell r="BO79">
            <v>8.3354927359757802E-3</v>
          </cell>
          <cell r="BP79">
            <v>1.4278621242558076E-2</v>
          </cell>
          <cell r="BQ79">
            <v>-4.1706234677094001E-2</v>
          </cell>
          <cell r="BR79">
            <v>-9.1474613337394484E-3</v>
          </cell>
          <cell r="BS79">
            <v>-2.6270246339903602E-2</v>
          </cell>
          <cell r="BT79">
            <v>-1.6003577650437251E-2</v>
          </cell>
          <cell r="BU79">
            <v>-3.3029963172617749E-2</v>
          </cell>
          <cell r="BV79">
            <v>8.2702961002851794E-3</v>
          </cell>
          <cell r="BW79">
            <v>-1.5790746621121232E-2</v>
          </cell>
          <cell r="BX79">
            <v>-0.12532894391177918</v>
          </cell>
          <cell r="BY79">
            <v>-4.1691805150849692E-2</v>
          </cell>
          <cell r="BZ79">
            <v>-0.34124368490507351</v>
          </cell>
          <cell r="CA79">
            <v>-0.30543364789538063</v>
          </cell>
          <cell r="CB79">
            <v>-0.39856344199298477</v>
          </cell>
          <cell r="CC79">
            <v>-0.37677749568750663</v>
          </cell>
          <cell r="CD79">
            <v>-0.35602325965019643</v>
          </cell>
          <cell r="CE79">
            <v>-0.43751539333037792</v>
          </cell>
          <cell r="CF79">
            <v>-0.37934528301886805</v>
          </cell>
          <cell r="CG79">
            <v>-0.14050460526315778</v>
          </cell>
          <cell r="CH79">
            <v>-5.7786666666666653E-2</v>
          </cell>
          <cell r="CI79">
            <v>-0.26436854679579636</v>
          </cell>
          <cell r="CN79">
            <v>0.10448552123552335</v>
          </cell>
          <cell r="CS79">
            <v>6.1333333333333462E-2</v>
          </cell>
          <cell r="CU79" t="str">
            <v>IR: flat to slight decline, we see favorable interest rate environment so don't see</v>
          </cell>
          <cell r="DE79" t="str">
            <v>mstag:aircraftOperatingLeaseExpense</v>
          </cell>
          <cell r="DF79">
            <v>6</v>
          </cell>
          <cell r="DG79" t="str">
            <v>ISO4217:USD</v>
          </cell>
          <cell r="DH79" t="b">
            <v>0</v>
          </cell>
          <cell r="DI79" t="b">
            <v>0</v>
          </cell>
        </row>
        <row r="80">
          <cell r="A80" t="str">
            <v>Aircraft Rent</v>
          </cell>
          <cell r="B80">
            <v>0.32400000000000001</v>
          </cell>
          <cell r="G80">
            <v>13.026999999999999</v>
          </cell>
          <cell r="H80">
            <v>5.61</v>
          </cell>
          <cell r="I80">
            <v>8.1270000000000007</v>
          </cell>
          <cell r="J80">
            <v>9.31</v>
          </cell>
          <cell r="K80">
            <v>9.8800000000000008</v>
          </cell>
          <cell r="L80">
            <v>32.927000000000007</v>
          </cell>
          <cell r="M80">
            <v>9.4909999999999997</v>
          </cell>
          <cell r="N80">
            <v>10.298</v>
          </cell>
          <cell r="O80">
            <v>10.061</v>
          </cell>
          <cell r="P80">
            <v>10.994999999999999</v>
          </cell>
          <cell r="Q80">
            <v>40.844999999999999</v>
          </cell>
          <cell r="R80">
            <v>13.079000000000001</v>
          </cell>
          <cell r="S80">
            <v>14.907</v>
          </cell>
          <cell r="T80">
            <v>15.673</v>
          </cell>
          <cell r="U80">
            <v>16.303999999999998</v>
          </cell>
          <cell r="V80">
            <v>59.962999999999994</v>
          </cell>
          <cell r="W80">
            <v>17.254999999999999</v>
          </cell>
          <cell r="X80">
            <v>17.739999999999998</v>
          </cell>
          <cell r="Y80">
            <v>17.553000000000001</v>
          </cell>
          <cell r="Z80">
            <v>17.667999999999999</v>
          </cell>
          <cell r="AA80">
            <v>70.216000000000008</v>
          </cell>
          <cell r="AB80">
            <v>17.812999999999999</v>
          </cell>
          <cell r="AC80">
            <v>18.076000000000001</v>
          </cell>
          <cell r="AD80">
            <v>18.265000000000001</v>
          </cell>
          <cell r="AE80">
            <v>20.082000000000001</v>
          </cell>
          <cell r="AF80">
            <v>74.23599999999999</v>
          </cell>
          <cell r="AG80">
            <v>22</v>
          </cell>
          <cell r="AH80">
            <v>25</v>
          </cell>
          <cell r="AI80">
            <v>27</v>
          </cell>
          <cell r="AJ80">
            <v>29</v>
          </cell>
          <cell r="AK80">
            <v>103</v>
          </cell>
          <cell r="AL80">
            <v>30</v>
          </cell>
          <cell r="AM80">
            <v>30</v>
          </cell>
          <cell r="AN80">
            <v>32</v>
          </cell>
          <cell r="AO80">
            <v>32</v>
          </cell>
          <cell r="AP80">
            <v>124</v>
          </cell>
          <cell r="AQ80">
            <v>32</v>
          </cell>
          <cell r="AR80">
            <v>32</v>
          </cell>
          <cell r="AS80">
            <v>33</v>
          </cell>
          <cell r="AT80">
            <v>32</v>
          </cell>
          <cell r="AU80">
            <v>129</v>
          </cell>
          <cell r="AV80">
            <v>32</v>
          </cell>
          <cell r="AW80">
            <v>32</v>
          </cell>
          <cell r="AX80">
            <v>31</v>
          </cell>
          <cell r="AY80">
            <v>31</v>
          </cell>
          <cell r="AZ80">
            <v>126</v>
          </cell>
          <cell r="BA80">
            <v>31</v>
          </cell>
          <cell r="BB80">
            <v>31</v>
          </cell>
          <cell r="BC80">
            <v>31</v>
          </cell>
          <cell r="BD80">
            <v>33</v>
          </cell>
          <cell r="BE80">
            <v>126</v>
          </cell>
          <cell r="BF80">
            <v>34</v>
          </cell>
          <cell r="BG80">
            <v>36</v>
          </cell>
          <cell r="BH80">
            <v>32</v>
          </cell>
          <cell r="BI80">
            <v>33</v>
          </cell>
          <cell r="BJ80">
            <v>135</v>
          </cell>
          <cell r="BK80">
            <v>33</v>
          </cell>
          <cell r="BL80">
            <v>33</v>
          </cell>
          <cell r="BM80">
            <v>32</v>
          </cell>
          <cell r="BN80">
            <v>32</v>
          </cell>
          <cell r="BO80">
            <v>130</v>
          </cell>
          <cell r="BP80">
            <v>32</v>
          </cell>
          <cell r="BQ80">
            <v>33</v>
          </cell>
          <cell r="BR80">
            <v>32</v>
          </cell>
          <cell r="BS80">
            <v>31</v>
          </cell>
          <cell r="BT80">
            <v>128</v>
          </cell>
          <cell r="BU80">
            <v>31</v>
          </cell>
          <cell r="BV80">
            <v>31</v>
          </cell>
          <cell r="BW80">
            <v>31</v>
          </cell>
          <cell r="BX80">
            <v>31</v>
          </cell>
          <cell r="BY80">
            <v>124</v>
          </cell>
          <cell r="BZ80">
            <v>31</v>
          </cell>
          <cell r="CA80">
            <v>31</v>
          </cell>
          <cell r="CB80">
            <v>30</v>
          </cell>
          <cell r="CC80">
            <v>26.93761194029851</v>
          </cell>
          <cell r="CD80">
            <v>118.93761194029851</v>
          </cell>
          <cell r="CE80">
            <v>26.977598039215685</v>
          </cell>
          <cell r="CF80">
            <v>27.119384057971015</v>
          </cell>
          <cell r="CG80">
            <v>26.48142857142857</v>
          </cell>
          <cell r="CH80">
            <v>25.354236815920402</v>
          </cell>
          <cell r="CI80">
            <v>105.93264748453566</v>
          </cell>
          <cell r="CN80">
            <v>104.10290175525731</v>
          </cell>
          <cell r="CS80">
            <v>101.47317193265711</v>
          </cell>
          <cell r="CV80" t="str">
            <v>any interest to lease additional</v>
          </cell>
          <cell r="CZ80" t="str">
            <v>IR: flat to slight decline, we see favorable interest rate environment so don't see</v>
          </cell>
          <cell r="DJ80" t="str">
            <v>mstag:aircraftOperatingLeaseExpense</v>
          </cell>
          <cell r="DK80">
            <v>6</v>
          </cell>
          <cell r="DL80" t="str">
            <v>ISO4217:USD</v>
          </cell>
          <cell r="DM80" t="b">
            <v>0</v>
          </cell>
          <cell r="DN80" t="b">
            <v>0</v>
          </cell>
        </row>
        <row r="81">
          <cell r="A81" t="str">
            <v>YoY % Chg.</v>
          </cell>
          <cell r="I81">
            <v>0.44866310160427814</v>
          </cell>
          <cell r="J81">
            <v>0.14556416881998269</v>
          </cell>
          <cell r="K81">
            <v>6.1224489795918435E-2</v>
          </cell>
          <cell r="L81">
            <v>1.5275965302832586</v>
          </cell>
          <cell r="M81">
            <v>0.69180035650623872</v>
          </cell>
          <cell r="N81">
            <v>0.26713424387842988</v>
          </cell>
          <cell r="O81">
            <v>8.0665950590762536E-2</v>
          </cell>
          <cell r="P81">
            <v>0.11285425101214552</v>
          </cell>
          <cell r="Q81">
            <v>0.2404713457041332</v>
          </cell>
          <cell r="R81">
            <v>0.37804235591613122</v>
          </cell>
          <cell r="S81">
            <v>0.44756263352107206</v>
          </cell>
          <cell r="T81">
            <v>0.55779743564258033</v>
          </cell>
          <cell r="U81">
            <v>0.48285584356525679</v>
          </cell>
          <cell r="V81">
            <v>0.46806218631411411</v>
          </cell>
          <cell r="W81">
            <v>0.31929046563192887</v>
          </cell>
          <cell r="X81">
            <v>0.19004494532769822</v>
          </cell>
          <cell r="Y81">
            <v>0.11995150896446116</v>
          </cell>
          <cell r="Z81">
            <v>8.3660451422963744E-2</v>
          </cell>
          <cell r="AA81">
            <v>0.17098877641212096</v>
          </cell>
          <cell r="AB81">
            <v>3.2338452622428182E-2</v>
          </cell>
          <cell r="AC81">
            <v>1.8940248027057516E-2</v>
          </cell>
          <cell r="AD81">
            <v>4.0562866746425064E-2</v>
          </cell>
          <cell r="AE81">
            <v>0.13663119764546083</v>
          </cell>
          <cell r="AF81">
            <v>5.7251908396946272E-2</v>
          </cell>
          <cell r="AG81">
            <v>0.23505305114242425</v>
          </cell>
          <cell r="AH81">
            <v>0.38304934720070816</v>
          </cell>
          <cell r="AI81">
            <v>0.47823706542567757</v>
          </cell>
          <cell r="AJ81">
            <v>0.44407927497261213</v>
          </cell>
          <cell r="AK81">
            <v>0.38746699714424282</v>
          </cell>
          <cell r="AL81">
            <v>0.36363636363636354</v>
          </cell>
          <cell r="AM81">
            <v>0.19999999999999996</v>
          </cell>
          <cell r="AN81">
            <v>0.18518518518518512</v>
          </cell>
          <cell r="AO81">
            <v>0.10344827586206895</v>
          </cell>
          <cell r="AP81">
            <v>0.20388349514563098</v>
          </cell>
          <cell r="AQ81">
            <v>6.6666666666666652E-2</v>
          </cell>
          <cell r="AR81">
            <v>6.6666666666666652E-2</v>
          </cell>
          <cell r="AS81">
            <v>3.125E-2</v>
          </cell>
          <cell r="AT81">
            <v>0</v>
          </cell>
          <cell r="AU81">
            <v>4.0322580645161255E-2</v>
          </cell>
          <cell r="AV81">
            <v>0</v>
          </cell>
          <cell r="AW81">
            <v>0</v>
          </cell>
          <cell r="AX81">
            <v>-6.0606060606060552E-2</v>
          </cell>
          <cell r="AY81">
            <v>-3.125E-2</v>
          </cell>
          <cell r="AZ81">
            <v>-2.3255813953488413E-2</v>
          </cell>
          <cell r="BA81">
            <v>-3.125E-2</v>
          </cell>
          <cell r="BB81">
            <v>-3.125E-2</v>
          </cell>
          <cell r="BC81">
            <v>0</v>
          </cell>
          <cell r="BD81">
            <v>6.4516129032258007E-2</v>
          </cell>
          <cell r="BE81">
            <v>0</v>
          </cell>
          <cell r="BF81">
            <v>9.6774193548387011E-2</v>
          </cell>
          <cell r="BG81">
            <v>0.16129032258064524</v>
          </cell>
          <cell r="BH81">
            <v>3.2258064516129004E-2</v>
          </cell>
          <cell r="BI81">
            <v>0</v>
          </cell>
          <cell r="BJ81">
            <v>7.1428571428571397E-2</v>
          </cell>
          <cell r="BK81">
            <v>-2.9411764705882359E-2</v>
          </cell>
          <cell r="BL81">
            <v>-8.333333333333337E-2</v>
          </cell>
          <cell r="BM81">
            <v>0</v>
          </cell>
          <cell r="BN81">
            <v>-3.0303030303030276E-2</v>
          </cell>
          <cell r="BO81">
            <v>-3.703703703703709E-2</v>
          </cell>
          <cell r="BP81">
            <v>-3.0303030303030276E-2</v>
          </cell>
          <cell r="BQ81">
            <v>0</v>
          </cell>
          <cell r="BR81">
            <v>0</v>
          </cell>
          <cell r="BS81">
            <v>-3.125E-2</v>
          </cell>
          <cell r="BT81">
            <v>-1.538461538461533E-2</v>
          </cell>
          <cell r="BU81">
            <v>-3.125E-2</v>
          </cell>
          <cell r="BV81">
            <v>-6.0606060606060552E-2</v>
          </cell>
          <cell r="BW81">
            <v>-3.125E-2</v>
          </cell>
          <cell r="BX81">
            <v>0</v>
          </cell>
          <cell r="BY81">
            <v>-3.125E-2</v>
          </cell>
          <cell r="BZ81">
            <v>0</v>
          </cell>
          <cell r="CA81">
            <v>0</v>
          </cell>
          <cell r="CB81">
            <v>-3.2258064516129004E-2</v>
          </cell>
          <cell r="CC81">
            <v>-3.2258064516129004E-2</v>
          </cell>
          <cell r="CD81">
            <v>-1.6129032258064502E-2</v>
          </cell>
          <cell r="CE81">
            <v>-9.6774193548387122E-2</v>
          </cell>
          <cell r="CF81">
            <v>-9.9565217391304417E-2</v>
          </cell>
          <cell r="CG81">
            <v>-6.5500000000000003E-2</v>
          </cell>
          <cell r="CH81">
            <v>-7.1373239436619662E-2</v>
          </cell>
          <cell r="CI81">
            <v>-8.3546876411713433E-2</v>
          </cell>
          <cell r="CN81">
            <v>-1.7272727272727439E-2</v>
          </cell>
          <cell r="CQ81">
            <v>1.0797631487286666E-2</v>
          </cell>
          <cell r="CR81">
            <v>1.5012254901960786E-2</v>
          </cell>
          <cell r="CS81">
            <v>-2.5260869565217448E-2</v>
          </cell>
          <cell r="CT81">
            <v>5.7021831215379555E-3</v>
          </cell>
          <cell r="CU81" t="str">
            <v>Simplifying assumption: run most capex through D&amp;A and int exp</v>
          </cell>
          <cell r="DA81" t="str">
            <v>any interest to lease additional</v>
          </cell>
        </row>
        <row r="82">
          <cell r="A82" t="str">
            <v>Sequential % change</v>
          </cell>
          <cell r="H82">
            <v>2.1371428571428575</v>
          </cell>
          <cell r="I82">
            <v>0.44866310160427814</v>
          </cell>
          <cell r="J82">
            <v>0.14556416881998269</v>
          </cell>
          <cell r="K82">
            <v>6.1224489795918435E-2</v>
          </cell>
          <cell r="L82">
            <v>2.2323389830508478</v>
          </cell>
          <cell r="M82">
            <v>-3.9372469635627683E-2</v>
          </cell>
          <cell r="N82">
            <v>8.5027921188494338E-2</v>
          </cell>
          <cell r="O82">
            <v>-2.3014177510196188E-2</v>
          </cell>
          <cell r="P82">
            <v>9.2833714342510643E-2</v>
          </cell>
          <cell r="Q82">
            <v>1.512777777777778</v>
          </cell>
          <cell r="R82">
            <v>0.1895407003183267</v>
          </cell>
          <cell r="S82">
            <v>0.13976603715880409</v>
          </cell>
          <cell r="T82">
            <v>5.1385255249211781E-2</v>
          </cell>
          <cell r="U82">
            <v>4.0260320296050534E-2</v>
          </cell>
          <cell r="V82">
            <v>1.3651223676721682</v>
          </cell>
          <cell r="W82">
            <v>5.8329244357212984E-2</v>
          </cell>
          <cell r="X82">
            <v>2.8107794842074707E-2</v>
          </cell>
          <cell r="Y82">
            <v>-1.054114994363009E-2</v>
          </cell>
          <cell r="Z82">
            <v>6.5515866233691877E-3</v>
          </cell>
          <cell r="AA82">
            <v>1.1596366639141207</v>
          </cell>
          <cell r="AB82">
            <v>8.2069277790355333E-3</v>
          </cell>
          <cell r="AC82">
            <v>1.4764497838657187E-2</v>
          </cell>
          <cell r="AD82">
            <v>1.0455853064837317E-2</v>
          </cell>
          <cell r="AE82">
            <v>9.9479879551053862E-2</v>
          </cell>
          <cell r="AF82">
            <v>0.95819296547273303</v>
          </cell>
          <cell r="AG82">
            <v>9.5508415496464494E-2</v>
          </cell>
          <cell r="AH82">
            <v>0.13636363636363646</v>
          </cell>
          <cell r="AI82">
            <v>8.0000000000000071E-2</v>
          </cell>
          <cell r="AJ82">
            <v>7.4074074074074181E-2</v>
          </cell>
          <cell r="AK82">
            <v>0.976303317535545</v>
          </cell>
          <cell r="AL82">
            <v>3.4482758620689724E-2</v>
          </cell>
          <cell r="AM82">
            <v>0</v>
          </cell>
          <cell r="AN82">
            <v>6.6666666666666652E-2</v>
          </cell>
          <cell r="AO82">
            <v>0</v>
          </cell>
          <cell r="AP82">
            <v>0.98023715415019763</v>
          </cell>
          <cell r="AQ82">
            <v>0</v>
          </cell>
          <cell r="AR82">
            <v>0</v>
          </cell>
          <cell r="AS82">
            <v>3.125E-2</v>
          </cell>
          <cell r="AT82">
            <v>-3.0303030303030276E-2</v>
          </cell>
          <cell r="AU82">
            <v>0.93478260869565222</v>
          </cell>
          <cell r="AV82">
            <v>0</v>
          </cell>
          <cell r="AW82">
            <v>0</v>
          </cell>
          <cell r="AX82">
            <v>-3.125E-2</v>
          </cell>
          <cell r="AY82">
            <v>0</v>
          </cell>
          <cell r="AZ82">
            <v>0.86006825938566556</v>
          </cell>
          <cell r="BA82">
            <v>0</v>
          </cell>
          <cell r="BB82">
            <v>0</v>
          </cell>
          <cell r="BC82">
            <v>0</v>
          </cell>
          <cell r="BD82">
            <v>6.4516129032258007E-2</v>
          </cell>
          <cell r="BE82">
            <v>0.80769230769230771</v>
          </cell>
          <cell r="BF82">
            <v>3.0303030303030276E-2</v>
          </cell>
          <cell r="BG82">
            <v>5.8823529411764719E-2</v>
          </cell>
          <cell r="BH82">
            <v>-0.11111111111111116</v>
          </cell>
          <cell r="BI82">
            <v>3.125E-2</v>
          </cell>
          <cell r="BJ82">
            <v>0.81818181818181823</v>
          </cell>
          <cell r="BK82">
            <v>0</v>
          </cell>
          <cell r="BL82">
            <v>0</v>
          </cell>
          <cell r="BM82">
            <v>-3.0303030303030276E-2</v>
          </cell>
          <cell r="BN82">
            <v>0</v>
          </cell>
          <cell r="BO82">
            <v>0.74498567335243548</v>
          </cell>
          <cell r="BP82">
            <v>0</v>
          </cell>
          <cell r="BQ82">
            <v>3.125E-2</v>
          </cell>
          <cell r="BR82">
            <v>-3.0303030303030276E-2</v>
          </cell>
          <cell r="BS82">
            <v>-3.125E-2</v>
          </cell>
          <cell r="BT82">
            <v>0.69189189189189193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0.63104325699745545</v>
          </cell>
          <cell r="BZ82">
            <v>0</v>
          </cell>
          <cell r="CA82">
            <v>0</v>
          </cell>
          <cell r="CB82">
            <v>-3.2258064516129004E-2</v>
          </cell>
          <cell r="CC82">
            <v>0</v>
          </cell>
          <cell r="CD82">
            <v>0.59227570282558506</v>
          </cell>
          <cell r="CE82">
            <v>-6.6666666666666652E-2</v>
          </cell>
          <cell r="CF82">
            <v>-3.090062111801295E-3</v>
          </cell>
          <cell r="CG82">
            <v>4.3535147427611331E-3</v>
          </cell>
          <cell r="CH82">
            <v>-6.2849004137182085E-3</v>
          </cell>
          <cell r="CI82">
            <v>0.56266191768430573</v>
          </cell>
          <cell r="CN82">
            <v>0.54015544097693347</v>
          </cell>
          <cell r="CV82">
            <v>1.0797631487286666E-2</v>
          </cell>
          <cell r="CW82">
            <v>1.5012254901960786E-2</v>
          </cell>
          <cell r="CX82">
            <v>-1.2300084175084177E-2</v>
          </cell>
          <cell r="CY82">
            <v>5.7021831215379555E-3</v>
          </cell>
          <cell r="CZ82" t="str">
            <v>Simplifying assumption: run most capex through D&amp;A and int exp</v>
          </cell>
        </row>
        <row r="83">
          <cell r="A83" t="str">
            <v>Aircraft Rent per Avg Aircraft ($mm)</v>
          </cell>
          <cell r="H83">
            <v>2.1371428571428575</v>
          </cell>
          <cell r="I83">
            <v>2.4627272727272729</v>
          </cell>
          <cell r="J83">
            <v>2.3421383647798741</v>
          </cell>
          <cell r="K83">
            <v>2.037113402061856</v>
          </cell>
          <cell r="L83">
            <v>2.2323389830508478</v>
          </cell>
          <cell r="M83">
            <v>1.7100900900900902</v>
          </cell>
          <cell r="N83">
            <v>1.674471544715447</v>
          </cell>
          <cell r="O83">
            <v>1.4170422535211269</v>
          </cell>
          <cell r="P83">
            <v>1.3408536585365853</v>
          </cell>
          <cell r="Q83">
            <v>1.512777777777778</v>
          </cell>
          <cell r="R83">
            <v>1.3518346253229974</v>
          </cell>
          <cell r="S83">
            <v>1.4333653846153847</v>
          </cell>
          <cell r="T83">
            <v>1.3688209606986901</v>
          </cell>
          <cell r="U83">
            <v>1.3148387096774192</v>
          </cell>
          <cell r="V83">
            <v>1.3651223676721682</v>
          </cell>
          <cell r="W83">
            <v>1.2481012658227848</v>
          </cell>
          <cell r="X83">
            <v>1.2109215017064845</v>
          </cell>
          <cell r="Y83">
            <v>1.1361165048543691</v>
          </cell>
          <cell r="Z83">
            <v>1.0627368421052632</v>
          </cell>
          <cell r="AA83">
            <v>1.1596366639141207</v>
          </cell>
          <cell r="AB83">
            <v>1.0049647390691112</v>
          </cell>
          <cell r="AC83">
            <v>0.97313593539703913</v>
          </cell>
          <cell r="AD83">
            <v>0.92247474747474745</v>
          </cell>
          <cell r="AE83">
            <v>0.93950877192982463</v>
          </cell>
          <cell r="AF83">
            <v>0.95819296547273303</v>
          </cell>
          <cell r="AG83">
            <v>0.92146596858638741</v>
          </cell>
          <cell r="AH83">
            <v>0.96153846153846156</v>
          </cell>
          <cell r="AI83">
            <v>0.9642857142857143</v>
          </cell>
          <cell r="AJ83">
            <v>0.99145299145299148</v>
          </cell>
          <cell r="AK83">
            <v>0.976303317535545</v>
          </cell>
          <cell r="AL83">
            <v>0.98360655737704916</v>
          </cell>
          <cell r="AM83">
            <v>0.94117647058823528</v>
          </cell>
          <cell r="AN83">
            <v>0.96969696969696972</v>
          </cell>
          <cell r="AO83">
            <v>0.95522388059701491</v>
          </cell>
          <cell r="AP83">
            <v>0.98023715415019763</v>
          </cell>
          <cell r="AQ83">
            <v>0.93090909090909091</v>
          </cell>
          <cell r="AR83">
            <v>0.90459363957597172</v>
          </cell>
          <cell r="AS83">
            <v>0.9263157894736842</v>
          </cell>
          <cell r="AT83">
            <v>0.91493924231593993</v>
          </cell>
          <cell r="AU83">
            <v>0.93478260869565222</v>
          </cell>
          <cell r="AV83">
            <v>0.88581314878892736</v>
          </cell>
          <cell r="AW83">
            <v>0.85906040268456374</v>
          </cell>
          <cell r="AX83">
            <v>0.82119205298013243</v>
          </cell>
          <cell r="AY83">
            <v>0.82119205298013243</v>
          </cell>
          <cell r="AZ83">
            <v>0.86006825938566556</v>
          </cell>
          <cell r="BA83">
            <v>0.82119205298013243</v>
          </cell>
          <cell r="BB83">
            <v>0.81578947368421051</v>
          </cell>
          <cell r="BC83">
            <v>0.8</v>
          </cell>
          <cell r="BD83">
            <v>0.83018867924528306</v>
          </cell>
          <cell r="BE83">
            <v>0.80769230769230771</v>
          </cell>
          <cell r="BF83">
            <v>0.83692307692307688</v>
          </cell>
          <cell r="BG83">
            <v>0.87537993920972645</v>
          </cell>
          <cell r="BH83">
            <v>0.77108433734939763</v>
          </cell>
          <cell r="BI83">
            <v>0.7857142857142857</v>
          </cell>
          <cell r="BJ83">
            <v>0.81818181818181823</v>
          </cell>
          <cell r="BK83">
            <v>0.77419354838709675</v>
          </cell>
          <cell r="BL83">
            <v>0.76080691642651299</v>
          </cell>
          <cell r="BM83">
            <v>0.73142857142857143</v>
          </cell>
          <cell r="BN83">
            <v>0.72112676056338032</v>
          </cell>
          <cell r="BO83">
            <v>0.74498567335243548</v>
          </cell>
          <cell r="BP83">
            <v>0.70914127423822715</v>
          </cell>
          <cell r="BQ83">
            <v>0.71934604904632149</v>
          </cell>
          <cell r="BR83">
            <v>0.68266666666666664</v>
          </cell>
          <cell r="BS83">
            <v>0.64751958224543082</v>
          </cell>
          <cell r="BT83">
            <v>0.68449197860962563</v>
          </cell>
          <cell r="BU83">
            <v>0.63753213367609252</v>
          </cell>
          <cell r="BV83">
            <v>0.63265306122448983</v>
          </cell>
          <cell r="BW83">
            <v>0.6262626262626263</v>
          </cell>
          <cell r="BX83">
            <v>0.61691542288557211</v>
          </cell>
          <cell r="BY83">
            <v>0.62468513853904284</v>
          </cell>
          <cell r="BZ83">
            <v>0.60784313725490191</v>
          </cell>
          <cell r="CA83">
            <v>0.59903381642512077</v>
          </cell>
          <cell r="CB83">
            <v>0.5714285714285714</v>
          </cell>
          <cell r="CC83">
            <v>0.50587064676616922</v>
          </cell>
          <cell r="CD83">
            <v>0.56907948296793542</v>
          </cell>
          <cell r="CE83">
            <v>0.49843137254901959</v>
          </cell>
          <cell r="CF83">
            <v>0.49420289855072463</v>
          </cell>
          <cell r="CG83">
            <v>0.47714285714285709</v>
          </cell>
          <cell r="CH83">
            <v>0.45275422885572147</v>
          </cell>
          <cell r="CI83">
            <v>0.48151203402061665</v>
          </cell>
          <cell r="CN83">
            <v>0.4526213119793796</v>
          </cell>
          <cell r="CS83">
            <v>0.42546403326061683</v>
          </cell>
        </row>
        <row r="84">
          <cell r="A84" t="str">
            <v>YoY % Chg.</v>
          </cell>
          <cell r="B84">
            <v>0.111</v>
          </cell>
          <cell r="G84">
            <v>3.9950000000000001</v>
          </cell>
          <cell r="H84">
            <v>2.13</v>
          </cell>
          <cell r="I84">
            <v>2.2810000000000001</v>
          </cell>
          <cell r="J84">
            <v>2.7250000000000001</v>
          </cell>
          <cell r="K84">
            <v>3.2810000000000001</v>
          </cell>
          <cell r="L84">
            <v>10.417</v>
          </cell>
          <cell r="M84">
            <v>-0.19982415570650869</v>
          </cell>
          <cell r="N84">
            <v>-0.32007430816279381</v>
          </cell>
          <cell r="O84">
            <v>-0.39497927414108702</v>
          </cell>
          <cell r="P84">
            <v>-0.34178742470623102</v>
          </cell>
          <cell r="Q84">
            <v>-0.32233509818014938</v>
          </cell>
          <cell r="R84">
            <v>-0.20949508265276207</v>
          </cell>
          <cell r="S84">
            <v>-0.14398940421590445</v>
          </cell>
          <cell r="T84">
            <v>-3.4029537723814896E-2</v>
          </cell>
          <cell r="U84">
            <v>-1.9401780868136598E-2</v>
          </cell>
          <cell r="V84">
            <v>-9.7605485930994385E-2</v>
          </cell>
          <cell r="W84">
            <v>-7.6735243762103833E-2</v>
          </cell>
          <cell r="X84">
            <v>-0.15518993642265788</v>
          </cell>
          <cell r="Y84">
            <v>-0.17000357426258372</v>
          </cell>
          <cell r="Z84">
            <v>-0.19173596405144355</v>
          </cell>
          <cell r="AA84">
            <v>-0.15052548300739188</v>
          </cell>
          <cell r="AB84">
            <v>-0.19480512792637128</v>
          </cell>
          <cell r="AC84">
            <v>-0.1963674490661429</v>
          </cell>
          <cell r="AD84">
            <v>-0.18804564185695627</v>
          </cell>
          <cell r="AE84">
            <v>-0.1159535129424194</v>
          </cell>
          <cell r="AF84">
            <v>-0.17371277117218331</v>
          </cell>
          <cell r="AG84">
            <v>-8.3086268837718524E-2</v>
          </cell>
          <cell r="AH84">
            <v>-1.1917629836417309E-2</v>
          </cell>
          <cell r="AI84">
            <v>4.5324781979586337E-2</v>
          </cell>
          <cell r="AJ84">
            <v>5.5288700941524382E-2</v>
          </cell>
          <cell r="AK84">
            <v>1.8900527049765081E-2</v>
          </cell>
          <cell r="AL84">
            <v>6.743666169895679E-2</v>
          </cell>
          <cell r="AM84">
            <v>-2.1176470588235352E-2</v>
          </cell>
          <cell r="AN84">
            <v>5.6116722783390305E-3</v>
          </cell>
          <cell r="AO84">
            <v>-3.6541430777148776E-2</v>
          </cell>
          <cell r="AP84">
            <v>4.0293180858821387E-3</v>
          </cell>
          <cell r="AQ84">
            <v>-5.357575757575761E-2</v>
          </cell>
          <cell r="AR84">
            <v>-3.8869257950530089E-2</v>
          </cell>
          <cell r="AS84">
            <v>-4.4736842105263186E-2</v>
          </cell>
          <cell r="AT84">
            <v>-4.2172980700500351E-2</v>
          </cell>
          <cell r="AU84">
            <v>-4.6370967741935387E-2</v>
          </cell>
          <cell r="AV84">
            <v>-4.8442906574394429E-2</v>
          </cell>
          <cell r="AW84">
            <v>-5.0335570469798641E-2</v>
          </cell>
          <cell r="AX84">
            <v>-0.113485851896448</v>
          </cell>
          <cell r="AY84">
            <v>-0.10246274834437086</v>
          </cell>
          <cell r="AZ84">
            <v>-7.9926978331613663E-2</v>
          </cell>
          <cell r="BA84">
            <v>-7.2951158940397387E-2</v>
          </cell>
          <cell r="BB84">
            <v>-5.0370065789473673E-2</v>
          </cell>
          <cell r="BC84">
            <v>-2.5806451612903181E-2</v>
          </cell>
          <cell r="BD84">
            <v>1.0955569080949523E-2</v>
          </cell>
          <cell r="BE84">
            <v>-6.0897435897435903E-2</v>
          </cell>
          <cell r="BF84">
            <v>1.9156327543424334E-2</v>
          </cell>
          <cell r="BG84">
            <v>7.3046377095793646E-2</v>
          </cell>
          <cell r="BH84">
            <v>-3.6144578313253017E-2</v>
          </cell>
          <cell r="BI84">
            <v>-5.3571428571428603E-2</v>
          </cell>
          <cell r="BJ84">
            <v>1.2987012987013102E-2</v>
          </cell>
          <cell r="BK84">
            <v>-7.4952561669829221E-2</v>
          </cell>
          <cell r="BL84">
            <v>-0.13088376560999038</v>
          </cell>
          <cell r="BM84">
            <v>-5.142857142857149E-2</v>
          </cell>
          <cell r="BN84">
            <v>-8.2202304737515886E-2</v>
          </cell>
          <cell r="BO84">
            <v>-8.946195479146779E-2</v>
          </cell>
          <cell r="BP84">
            <v>-8.4025854108956577E-2</v>
          </cell>
          <cell r="BQ84">
            <v>-5.4495912806539537E-2</v>
          </cell>
          <cell r="BR84">
            <v>-6.6666666666666652E-2</v>
          </cell>
          <cell r="BS84">
            <v>-0.10207245430809397</v>
          </cell>
          <cell r="BT84">
            <v>-8.1201151789387027E-2</v>
          </cell>
          <cell r="BU84">
            <v>-0.10098007712082269</v>
          </cell>
          <cell r="BV84">
            <v>-0.12051638837353118</v>
          </cell>
          <cell r="BW84">
            <v>-8.2623106060605966E-2</v>
          </cell>
          <cell r="BX84">
            <v>-4.7263681592039863E-2</v>
          </cell>
          <cell r="BY84">
            <v>-8.7374055415617047E-2</v>
          </cell>
          <cell r="BZ84">
            <v>-4.6568627450980449E-2</v>
          </cell>
          <cell r="CA84">
            <v>-5.3140096618357502E-2</v>
          </cell>
          <cell r="CB84">
            <v>-8.755760368663601E-2</v>
          </cell>
          <cell r="CC84">
            <v>-8.6778736937755507E-2</v>
          </cell>
          <cell r="CD84">
            <v>-6.5557956474764589E-2</v>
          </cell>
          <cell r="CE84">
            <v>-0.14695340501792109</v>
          </cell>
          <cell r="CF84">
            <v>-0.14499999999999999</v>
          </cell>
          <cell r="CG84">
            <v>-0.10999999999999999</v>
          </cell>
          <cell r="CH84">
            <v>-0.11499999999999999</v>
          </cell>
          <cell r="CI84">
            <v>-0.12936953259112771</v>
          </cell>
          <cell r="CN84">
            <v>-0.06</v>
          </cell>
          <cell r="CS84">
            <v>-0.06</v>
          </cell>
          <cell r="CU84" t="str">
            <v>Account for 20% of FY14 CASM ex-fuel increase due to $12M accelerated dep. Of IT</v>
          </cell>
          <cell r="DE84" t="str">
            <v>mstag:depreciationInIncomeStatement</v>
          </cell>
          <cell r="DF84">
            <v>6</v>
          </cell>
          <cell r="DG84" t="str">
            <v>ISO4217:USD</v>
          </cell>
          <cell r="DH84" t="b">
            <v>0</v>
          </cell>
          <cell r="DI84" t="b">
            <v>0</v>
          </cell>
        </row>
        <row r="85">
          <cell r="A85" t="str">
            <v>Depreciation and Amortization</v>
          </cell>
          <cell r="B85">
            <v>0.111</v>
          </cell>
          <cell r="G85">
            <v>3.9950000000000001</v>
          </cell>
          <cell r="H85">
            <v>2.13</v>
          </cell>
          <cell r="I85">
            <v>2.2810000000000001</v>
          </cell>
          <cell r="J85">
            <v>2.7250000000000001</v>
          </cell>
          <cell r="K85">
            <v>3.2810000000000001</v>
          </cell>
          <cell r="L85">
            <v>10.417</v>
          </cell>
          <cell r="M85">
            <v>4.7119999999999997</v>
          </cell>
          <cell r="N85">
            <v>5.6950000000000003</v>
          </cell>
          <cell r="O85">
            <v>6.9260000000000002</v>
          </cell>
          <cell r="P85">
            <v>9.5890000000000004</v>
          </cell>
          <cell r="Q85">
            <v>26.921999999999997</v>
          </cell>
          <cell r="R85">
            <v>10.321999999999999</v>
          </cell>
          <cell r="S85">
            <v>11.471</v>
          </cell>
          <cell r="T85">
            <v>13.7</v>
          </cell>
          <cell r="U85">
            <v>14.904</v>
          </cell>
          <cell r="V85">
            <v>50.396999999999991</v>
          </cell>
          <cell r="W85">
            <v>16.315999999999999</v>
          </cell>
          <cell r="X85">
            <v>17.440999999999999</v>
          </cell>
          <cell r="Y85">
            <v>19.55</v>
          </cell>
          <cell r="Z85">
            <v>23.233000000000001</v>
          </cell>
          <cell r="AA85">
            <v>76.540000000000006</v>
          </cell>
          <cell r="AB85">
            <v>24.323</v>
          </cell>
          <cell r="AC85">
            <v>27</v>
          </cell>
          <cell r="AD85">
            <v>29.510999999999999</v>
          </cell>
          <cell r="AE85">
            <v>34.107999999999997</v>
          </cell>
          <cell r="AF85">
            <v>114.94200000000001</v>
          </cell>
          <cell r="AG85">
            <v>34</v>
          </cell>
          <cell r="AH85">
            <v>37</v>
          </cell>
          <cell r="AI85">
            <v>39</v>
          </cell>
          <cell r="AJ85">
            <v>41</v>
          </cell>
          <cell r="AK85">
            <v>151</v>
          </cell>
          <cell r="AL85">
            <v>42</v>
          </cell>
          <cell r="AM85">
            <v>43</v>
          </cell>
          <cell r="AN85">
            <v>44</v>
          </cell>
          <cell r="AO85">
            <v>47</v>
          </cell>
          <cell r="AP85">
            <v>176</v>
          </cell>
          <cell r="AQ85">
            <v>45</v>
          </cell>
          <cell r="AR85">
            <v>46</v>
          </cell>
          <cell r="AS85">
            <v>54</v>
          </cell>
          <cell r="AT85">
            <v>60</v>
          </cell>
          <cell r="AU85">
            <v>205</v>
          </cell>
          <cell r="AV85">
            <v>55</v>
          </cell>
          <cell r="AW85">
            <v>56</v>
          </cell>
          <cell r="AX85">
            <v>59</v>
          </cell>
          <cell r="AY85">
            <v>58</v>
          </cell>
          <cell r="AZ85">
            <v>228</v>
          </cell>
          <cell r="BA85">
            <v>57</v>
          </cell>
          <cell r="BB85">
            <v>54</v>
          </cell>
          <cell r="BC85">
            <v>54</v>
          </cell>
          <cell r="BD85">
            <v>55</v>
          </cell>
          <cell r="BE85">
            <v>220</v>
          </cell>
          <cell r="BF85">
            <v>56</v>
          </cell>
          <cell r="BG85">
            <v>58</v>
          </cell>
          <cell r="BH85">
            <v>57</v>
          </cell>
          <cell r="BI85">
            <v>62</v>
          </cell>
          <cell r="BJ85">
            <v>233</v>
          </cell>
          <cell r="BK85">
            <v>61</v>
          </cell>
          <cell r="BL85">
            <v>63</v>
          </cell>
          <cell r="BM85">
            <v>66</v>
          </cell>
          <cell r="BN85">
            <v>68</v>
          </cell>
          <cell r="BO85">
            <v>258</v>
          </cell>
          <cell r="BP85">
            <v>68</v>
          </cell>
          <cell r="BQ85">
            <v>71</v>
          </cell>
          <cell r="BR85">
            <v>73</v>
          </cell>
          <cell r="BS85">
            <v>78</v>
          </cell>
          <cell r="BT85">
            <v>290</v>
          </cell>
          <cell r="BU85">
            <v>78</v>
          </cell>
          <cell r="BV85">
            <v>77</v>
          </cell>
          <cell r="BW85">
            <v>79</v>
          </cell>
          <cell r="BX85">
            <v>86</v>
          </cell>
          <cell r="BY85">
            <v>320</v>
          </cell>
          <cell r="BZ85">
            <v>87</v>
          </cell>
          <cell r="CA85">
            <v>81</v>
          </cell>
          <cell r="CB85">
            <v>84</v>
          </cell>
          <cell r="CC85">
            <v>89.86999999999999</v>
          </cell>
          <cell r="CD85">
            <v>341.87</v>
          </cell>
          <cell r="CE85">
            <v>93.960000000000008</v>
          </cell>
          <cell r="CF85">
            <v>97.2</v>
          </cell>
          <cell r="CG85">
            <v>99.96</v>
          </cell>
          <cell r="CH85">
            <v>103.35049999999998</v>
          </cell>
          <cell r="CI85">
            <v>394.47050000000002</v>
          </cell>
          <cell r="CN85">
            <v>426.02814000000006</v>
          </cell>
          <cell r="CS85">
            <v>457.98025050000007</v>
          </cell>
          <cell r="CW85">
            <v>2013</v>
          </cell>
          <cell r="CX85">
            <v>2014</v>
          </cell>
          <cell r="CZ85" t="str">
            <v>Account for 20% of FY14 CASM ex-fuel increase due to $12M accelerated dep. Of IT</v>
          </cell>
          <cell r="DJ85" t="str">
            <v>mstag:depreciationInIncomeStatement</v>
          </cell>
          <cell r="DK85">
            <v>6</v>
          </cell>
          <cell r="DL85" t="str">
            <v>ISO4217:USD</v>
          </cell>
          <cell r="DM85" t="b">
            <v>0</v>
          </cell>
          <cell r="DN85" t="b">
            <v>0</v>
          </cell>
        </row>
        <row r="86">
          <cell r="A86" t="str">
            <v>YoY % Chg.</v>
          </cell>
          <cell r="I86">
            <v>7.0892018779342925E-2</v>
          </cell>
          <cell r="J86">
            <v>0.19465146865409899</v>
          </cell>
          <cell r="K86">
            <v>0.20403669724770634</v>
          </cell>
          <cell r="L86">
            <v>1.6075093867334167</v>
          </cell>
          <cell r="M86">
            <v>1.2122065727699529</v>
          </cell>
          <cell r="N86">
            <v>1.4967119684348971</v>
          </cell>
          <cell r="O86">
            <v>1.5416513761467892</v>
          </cell>
          <cell r="P86">
            <v>1.9225845778725996</v>
          </cell>
          <cell r="Q86">
            <v>1.5844292982624553</v>
          </cell>
          <cell r="R86">
            <v>1.1905772495755516</v>
          </cell>
          <cell r="S86">
            <v>1.0142230026338894</v>
          </cell>
          <cell r="T86">
            <v>0.97805371065550095</v>
          </cell>
          <cell r="U86">
            <v>0.55428094691834384</v>
          </cell>
          <cell r="V86">
            <v>0.87196344996657005</v>
          </cell>
          <cell r="W86">
            <v>0.58070141445456303</v>
          </cell>
          <cell r="X86">
            <v>0.52044285589748052</v>
          </cell>
          <cell r="Y86">
            <v>0.42700729927007308</v>
          </cell>
          <cell r="Z86">
            <v>0.55884326355340863</v>
          </cell>
          <cell r="AA86">
            <v>0.5187411949123959</v>
          </cell>
          <cell r="AB86">
            <v>0.4907452807060555</v>
          </cell>
          <cell r="AC86">
            <v>0.54807637176767399</v>
          </cell>
          <cell r="AD86">
            <v>0.50951406649616349</v>
          </cell>
          <cell r="AE86">
            <v>0.46808419059096962</v>
          </cell>
          <cell r="AF86">
            <v>0.50172458845048329</v>
          </cell>
          <cell r="AG86">
            <v>0.39785388315586068</v>
          </cell>
          <cell r="AH86">
            <v>0.37037037037037046</v>
          </cell>
          <cell r="AI86">
            <v>0.32154112026024206</v>
          </cell>
          <cell r="AJ86">
            <v>0.20206403189867483</v>
          </cell>
          <cell r="AK86">
            <v>0.31370604304779803</v>
          </cell>
          <cell r="AL86">
            <v>0.23529411764705888</v>
          </cell>
          <cell r="AM86">
            <v>0.16216216216216206</v>
          </cell>
          <cell r="AN86">
            <v>0.12820512820512819</v>
          </cell>
          <cell r="AO86">
            <v>0.14634146341463405</v>
          </cell>
          <cell r="AP86">
            <v>0.16556291390728473</v>
          </cell>
          <cell r="AQ86">
            <v>7.1428571428571397E-2</v>
          </cell>
          <cell r="AR86">
            <v>6.9767441860465018E-2</v>
          </cell>
          <cell r="AS86">
            <v>0.22727272727272729</v>
          </cell>
          <cell r="AT86">
            <v>0.27659574468085113</v>
          </cell>
          <cell r="AU86">
            <v>0.16477272727272729</v>
          </cell>
          <cell r="AV86">
            <v>0.22222222222222232</v>
          </cell>
          <cell r="AW86">
            <v>0.21739130434782616</v>
          </cell>
          <cell r="AX86">
            <v>9.259259259259256E-2</v>
          </cell>
          <cell r="AY86">
            <v>-3.3333333333333326E-2</v>
          </cell>
          <cell r="AZ86">
            <v>0.11219512195121961</v>
          </cell>
          <cell r="BA86">
            <v>3.6363636363636376E-2</v>
          </cell>
          <cell r="BB86">
            <v>-3.5714285714285698E-2</v>
          </cell>
          <cell r="BC86">
            <v>-8.4745762711864403E-2</v>
          </cell>
          <cell r="BD86">
            <v>-5.1724137931034475E-2</v>
          </cell>
          <cell r="BE86">
            <v>-3.5087719298245612E-2</v>
          </cell>
          <cell r="BF86">
            <v>-1.7543859649122862E-2</v>
          </cell>
          <cell r="BG86">
            <v>7.4074074074074181E-2</v>
          </cell>
          <cell r="BH86">
            <v>5.555555555555558E-2</v>
          </cell>
          <cell r="BI86">
            <v>0.1272727272727272</v>
          </cell>
          <cell r="BJ86">
            <v>5.9090909090909083E-2</v>
          </cell>
          <cell r="BK86">
            <v>8.9285714285714191E-2</v>
          </cell>
          <cell r="BL86">
            <v>8.6206896551724199E-2</v>
          </cell>
          <cell r="BM86">
            <v>0.15789473684210531</v>
          </cell>
          <cell r="BN86">
            <v>9.6774193548387011E-2</v>
          </cell>
          <cell r="BO86">
            <v>0.10729613733905574</v>
          </cell>
          <cell r="BP86">
            <v>0.11475409836065564</v>
          </cell>
          <cell r="BQ86">
            <v>0.12698412698412698</v>
          </cell>
          <cell r="BR86">
            <v>0.10606060606060597</v>
          </cell>
          <cell r="BS86">
            <v>0.14705882352941169</v>
          </cell>
          <cell r="BT86">
            <v>0.12403100775193798</v>
          </cell>
          <cell r="BU86">
            <v>0.14705882352941169</v>
          </cell>
          <cell r="BV86">
            <v>8.4507042253521236E-2</v>
          </cell>
          <cell r="BW86">
            <v>8.2191780821917915E-2</v>
          </cell>
          <cell r="BX86">
            <v>0.10256410256410264</v>
          </cell>
          <cell r="BY86">
            <v>0.10344827586206895</v>
          </cell>
          <cell r="BZ86">
            <v>0.11538461538461542</v>
          </cell>
          <cell r="CA86">
            <v>5.1948051948051965E-2</v>
          </cell>
          <cell r="CB86">
            <v>6.3291139240506222E-2</v>
          </cell>
          <cell r="CC86">
            <v>8.1395348837209225E-2</v>
          </cell>
          <cell r="CD86">
            <v>7.8125E-2</v>
          </cell>
          <cell r="CE86">
            <v>4.5977011494252817E-2</v>
          </cell>
          <cell r="CF86">
            <v>0.155</v>
          </cell>
          <cell r="CG86">
            <v>0.14499999999999999</v>
          </cell>
          <cell r="CH86">
            <v>7.4999999999999983E-2</v>
          </cell>
          <cell r="CI86">
            <v>0.10350724637681163</v>
          </cell>
          <cell r="CN86">
            <v>0.08</v>
          </cell>
          <cell r="CQ86">
            <v>-5.5585901622523153E-3</v>
          </cell>
          <cell r="CR86">
            <v>1.7669830850564745E-2</v>
          </cell>
          <cell r="CS86">
            <v>7.0000000000000007E-2</v>
          </cell>
          <cell r="CT86">
            <v>6.4054487840837296E-2</v>
          </cell>
          <cell r="CW86">
            <v>0.67719036054548853</v>
          </cell>
          <cell r="CX86">
            <v>0.71122174560487184</v>
          </cell>
          <cell r="CY86">
            <v>4.7067889992759862E-2</v>
          </cell>
          <cell r="DB86">
            <v>2013</v>
          </cell>
          <cell r="DC86">
            <v>2014</v>
          </cell>
        </row>
        <row r="87">
          <cell r="A87" t="str">
            <v>Sequential % change</v>
          </cell>
          <cell r="I87">
            <v>7.0892018779342925E-2</v>
          </cell>
          <cell r="J87">
            <v>0.19465146865409899</v>
          </cell>
          <cell r="K87">
            <v>0.20403669724770634</v>
          </cell>
          <cell r="L87">
            <v>39.695346971520266</v>
          </cell>
          <cell r="M87">
            <v>0.43614751600121893</v>
          </cell>
          <cell r="N87">
            <v>0.2086162988115452</v>
          </cell>
          <cell r="O87">
            <v>0.21615452151009662</v>
          </cell>
          <cell r="P87">
            <v>0.38449321397632108</v>
          </cell>
          <cell r="Q87">
            <v>31.416235341690257</v>
          </cell>
          <cell r="R87">
            <v>7.6441756178954989E-2</v>
          </cell>
          <cell r="S87">
            <v>0.11131563650455356</v>
          </cell>
          <cell r="T87">
            <v>0.19431610147328038</v>
          </cell>
          <cell r="U87">
            <v>8.7883211678832174E-2</v>
          </cell>
          <cell r="V87">
            <v>28.744442933859016</v>
          </cell>
          <cell r="W87">
            <v>9.4739667203435296E-2</v>
          </cell>
          <cell r="X87">
            <v>6.8950723216474552E-2</v>
          </cell>
          <cell r="Y87">
            <v>0.12092196548363066</v>
          </cell>
          <cell r="Z87">
            <v>0.18838874680306894</v>
          </cell>
          <cell r="AA87">
            <v>28.446069511076356</v>
          </cell>
          <cell r="AB87">
            <v>4.6916024620152319E-2</v>
          </cell>
          <cell r="AC87">
            <v>0.11006043662377163</v>
          </cell>
          <cell r="AD87">
            <v>9.2999999999999972E-2</v>
          </cell>
          <cell r="AE87">
            <v>0.15577242384195711</v>
          </cell>
          <cell r="AF87">
            <v>27.217351485148519</v>
          </cell>
          <cell r="AG87">
            <v>-3.1664125718305902E-3</v>
          </cell>
          <cell r="AH87">
            <v>8.8235294117646967E-2</v>
          </cell>
          <cell r="AI87">
            <v>5.4054054054053946E-2</v>
          </cell>
          <cell r="AJ87">
            <v>5.1282051282051322E-2</v>
          </cell>
          <cell r="AK87">
            <v>26.393382352941178</v>
          </cell>
          <cell r="AL87">
            <v>2.4390243902439046E-2</v>
          </cell>
          <cell r="AM87">
            <v>2.3809523809523725E-2</v>
          </cell>
          <cell r="AN87">
            <v>2.3255813953488413E-2</v>
          </cell>
          <cell r="AO87">
            <v>6.8181818181818121E-2</v>
          </cell>
          <cell r="AP87">
            <v>26.937888198757765</v>
          </cell>
          <cell r="AQ87">
            <v>-4.2553191489361653E-2</v>
          </cell>
          <cell r="AR87">
            <v>2.2222222222222143E-2</v>
          </cell>
          <cell r="AS87">
            <v>0.17391304347826098</v>
          </cell>
          <cell r="AT87">
            <v>0.11111111111111116</v>
          </cell>
          <cell r="AU87">
            <v>25.732804232804234</v>
          </cell>
          <cell r="AV87">
            <v>-8.333333333333337E-2</v>
          </cell>
          <cell r="AW87">
            <v>1.8181818181818077E-2</v>
          </cell>
          <cell r="AX87">
            <v>5.3571428571428603E-2</v>
          </cell>
          <cell r="AY87">
            <v>-1.6949152542372836E-2</v>
          </cell>
          <cell r="AZ87">
            <v>27.336842105263159</v>
          </cell>
          <cell r="BA87">
            <v>-1.7241379310344862E-2</v>
          </cell>
          <cell r="BB87">
            <v>-5.2631578947368474E-2</v>
          </cell>
          <cell r="BC87">
            <v>0</v>
          </cell>
          <cell r="BD87">
            <v>1.8518518518518601E-2</v>
          </cell>
          <cell r="BE87">
            <v>28.144329896907216</v>
          </cell>
          <cell r="BF87">
            <v>1.8181818181818077E-2</v>
          </cell>
          <cell r="BG87">
            <v>3.5714285714285809E-2</v>
          </cell>
          <cell r="BH87">
            <v>-1.7241379310344862E-2</v>
          </cell>
          <cell r="BI87">
            <v>8.7719298245614086E-2</v>
          </cell>
          <cell r="BJ87">
            <v>27.023474178403756</v>
          </cell>
          <cell r="BK87">
            <v>-1.6129032258064502E-2</v>
          </cell>
          <cell r="BL87">
            <v>3.2786885245901676E-2</v>
          </cell>
          <cell r="BM87">
            <v>4.7619047619047672E-2</v>
          </cell>
          <cell r="BN87">
            <v>3.0303030303030276E-2</v>
          </cell>
          <cell r="BO87">
            <v>26.693478260869565</v>
          </cell>
          <cell r="BP87">
            <v>0</v>
          </cell>
          <cell r="BQ87">
            <v>4.4117647058823595E-2</v>
          </cell>
          <cell r="BR87">
            <v>2.8169014084507005E-2</v>
          </cell>
          <cell r="BS87">
            <v>6.8493150684931559E-2</v>
          </cell>
          <cell r="BT87">
            <v>25.854651162790699</v>
          </cell>
          <cell r="BU87">
            <v>0</v>
          </cell>
          <cell r="BV87">
            <v>-1.2820512820512775E-2</v>
          </cell>
          <cell r="BW87">
            <v>2.5974025974025983E-2</v>
          </cell>
          <cell r="BX87">
            <v>8.8607594936708889E-2</v>
          </cell>
          <cell r="BY87">
            <v>27.826996197718632</v>
          </cell>
          <cell r="BZ87">
            <v>1.1627906976744207E-2</v>
          </cell>
          <cell r="CA87">
            <v>-6.8965517241379337E-2</v>
          </cell>
          <cell r="CB87">
            <v>3.7037037037036979E-2</v>
          </cell>
          <cell r="CC87">
            <v>0.10714285714285721</v>
          </cell>
          <cell r="CD87">
            <v>28.100782710552245</v>
          </cell>
          <cell r="CE87">
            <v>-2.1505376344086002E-2</v>
          </cell>
          <cell r="CF87">
            <v>2.807692307692311E-2</v>
          </cell>
          <cell r="CG87">
            <v>2.8058361391694708E-2</v>
          </cell>
          <cell r="CH87">
            <v>3.9457267623206338E-2</v>
          </cell>
          <cell r="CI87">
            <v>26.79152920801415</v>
          </cell>
          <cell r="CN87">
            <v>26.591658262916397</v>
          </cell>
          <cell r="CV87">
            <v>-5.5585901622523153E-3</v>
          </cell>
          <cell r="CW87">
            <v>1.7669830850564745E-2</v>
          </cell>
          <cell r="CX87">
            <v>4.2619256637493198E-2</v>
          </cell>
          <cell r="CY87">
            <v>6.4054487840837296E-2</v>
          </cell>
          <cell r="DB87">
            <v>0.67719036054548853</v>
          </cell>
          <cell r="DC87">
            <v>0.71122174560487184</v>
          </cell>
          <cell r="DD87">
            <v>4.7067889992759862E-2</v>
          </cell>
        </row>
        <row r="88">
          <cell r="A88" t="str">
            <v>Implied / assumed depreciable life of PPE</v>
          </cell>
          <cell r="H88">
            <v>0.81142857142857139</v>
          </cell>
          <cell r="I88">
            <v>0.69121212121212128</v>
          </cell>
          <cell r="J88">
            <v>0.68553459119496851</v>
          </cell>
          <cell r="K88">
            <v>0.67649484536082483</v>
          </cell>
          <cell r="L88">
            <v>39.695346971520266</v>
          </cell>
          <cell r="M88">
            <v>0.849009009009009</v>
          </cell>
          <cell r="N88">
            <v>0.92601626016260163</v>
          </cell>
          <cell r="O88">
            <v>0.97549295774647893</v>
          </cell>
          <cell r="P88">
            <v>1.1693902439024393</v>
          </cell>
          <cell r="Q88">
            <v>31.416235341690257</v>
          </cell>
          <cell r="R88">
            <v>1.0668733850129197</v>
          </cell>
          <cell r="S88">
            <v>1.1029807692307692</v>
          </cell>
          <cell r="T88">
            <v>1.1965065502183405</v>
          </cell>
          <cell r="U88">
            <v>1.2019354838709677</v>
          </cell>
          <cell r="V88">
            <v>28.744442933859016</v>
          </cell>
          <cell r="W88">
            <v>1.1801808318264013</v>
          </cell>
          <cell r="X88">
            <v>1.1905119453924913</v>
          </cell>
          <cell r="Y88">
            <v>1.2653721682847898</v>
          </cell>
          <cell r="Z88">
            <v>1.3974736842105264</v>
          </cell>
          <cell r="AA88">
            <v>28.446069511076356</v>
          </cell>
          <cell r="AB88">
            <v>1.3722425952045134</v>
          </cell>
          <cell r="AC88">
            <v>1.4535666218034995</v>
          </cell>
          <cell r="AD88">
            <v>1.4904545454545453</v>
          </cell>
          <cell r="AE88">
            <v>1.5956959064327485</v>
          </cell>
          <cell r="AF88">
            <v>27.217351485148519</v>
          </cell>
          <cell r="AG88">
            <v>27.837499999999999</v>
          </cell>
          <cell r="AH88">
            <v>27.208333333333332</v>
          </cell>
          <cell r="AI88">
            <v>26.309027777777779</v>
          </cell>
          <cell r="AJ88">
            <v>26.418918918918919</v>
          </cell>
          <cell r="AK88">
            <v>26.393382352941178</v>
          </cell>
          <cell r="AL88">
            <v>26.243589743589745</v>
          </cell>
          <cell r="AM88">
            <v>28.503289473684209</v>
          </cell>
          <cell r="AN88">
            <v>27.457317073170731</v>
          </cell>
          <cell r="AO88">
            <v>26.973837209302324</v>
          </cell>
          <cell r="AP88">
            <v>26.937888198757765</v>
          </cell>
          <cell r="AQ88">
            <v>29.362804878048781</v>
          </cell>
          <cell r="AR88">
            <v>28.930232558139537</v>
          </cell>
          <cell r="AS88">
            <v>25.24</v>
          </cell>
          <cell r="AT88">
            <v>22.904545454545456</v>
          </cell>
          <cell r="AU88">
            <v>25.732804232804234</v>
          </cell>
          <cell r="AV88">
            <v>28.96590909090909</v>
          </cell>
          <cell r="AW88">
            <v>28.540760869565219</v>
          </cell>
          <cell r="AX88">
            <v>27.206632653061224</v>
          </cell>
          <cell r="AY88">
            <v>26.264705882352942</v>
          </cell>
          <cell r="AZ88">
            <v>27.336842105263159</v>
          </cell>
          <cell r="BA88">
            <v>28.036458333333332</v>
          </cell>
          <cell r="BB88">
            <v>28.244791666666668</v>
          </cell>
          <cell r="BC88">
            <v>27.941326530612244</v>
          </cell>
          <cell r="BD88">
            <v>28.181122448979593</v>
          </cell>
          <cell r="BE88">
            <v>28.144329896907216</v>
          </cell>
          <cell r="BF88">
            <v>27.450980392156861</v>
          </cell>
          <cell r="BG88">
            <v>26.377314814814813</v>
          </cell>
          <cell r="BH88">
            <v>28.416666666666668</v>
          </cell>
          <cell r="BI88">
            <v>25.914473684210527</v>
          </cell>
          <cell r="BJ88">
            <v>27.023474178403756</v>
          </cell>
          <cell r="BK88">
            <v>27.393181818181819</v>
          </cell>
          <cell r="BL88">
            <v>27.05043859649123</v>
          </cell>
          <cell r="BM88">
            <v>27.036637931034484</v>
          </cell>
          <cell r="BN88">
            <v>26.274999999999999</v>
          </cell>
          <cell r="BO88">
            <v>26.693478260869565</v>
          </cell>
          <cell r="BP88">
            <v>25.997950819672131</v>
          </cell>
          <cell r="BQ88">
            <v>26.08266129032258</v>
          </cell>
          <cell r="BR88">
            <v>25.611538461538462</v>
          </cell>
          <cell r="BS88">
            <v>24.608928571428571</v>
          </cell>
          <cell r="BT88">
            <v>25.854651162790699</v>
          </cell>
          <cell r="BU88">
            <v>25.840073529411764</v>
          </cell>
          <cell r="BV88">
            <v>27.375</v>
          </cell>
          <cell r="BW88">
            <v>28.474609375</v>
          </cell>
          <cell r="BX88">
            <v>28.378787878787879</v>
          </cell>
          <cell r="BY88">
            <v>27.826996197718632</v>
          </cell>
          <cell r="BZ88">
            <v>28.692164179104477</v>
          </cell>
          <cell r="CA88">
            <v>27.79225352112676</v>
          </cell>
          <cell r="CB88">
            <v>28.045138888888889</v>
          </cell>
          <cell r="CC88">
            <v>26.674679487179485</v>
          </cell>
          <cell r="CD88">
            <v>27.982638888888889</v>
          </cell>
          <cell r="CE88">
            <v>28.253434065934066</v>
          </cell>
          <cell r="CF88">
            <v>28.134982301648968</v>
          </cell>
          <cell r="CG88">
            <v>27.975315714125756</v>
          </cell>
          <cell r="CH88">
            <v>27.59913536076327</v>
          </cell>
          <cell r="CI88">
            <v>28.007690085124349</v>
          </cell>
          <cell r="CN88">
            <v>26.425899540974669</v>
          </cell>
          <cell r="CS88">
            <v>26.215845947533818</v>
          </cell>
        </row>
        <row r="89">
          <cell r="A89" t="str">
            <v>Depreciation and Amortization per Aircraft ($mm)</v>
          </cell>
          <cell r="B89">
            <v>3.7999999999999999E-2</v>
          </cell>
          <cell r="G89">
            <v>1.052</v>
          </cell>
          <cell r="H89">
            <v>0.81142857142857139</v>
          </cell>
          <cell r="I89">
            <v>0.69121212121212128</v>
          </cell>
          <cell r="J89">
            <v>0.68553459119496851</v>
          </cell>
          <cell r="K89">
            <v>0.67649484536082483</v>
          </cell>
          <cell r="L89">
            <v>0.70623728813559317</v>
          </cell>
          <cell r="M89">
            <v>0.849009009009009</v>
          </cell>
          <cell r="N89">
            <v>0.92601626016260163</v>
          </cell>
          <cell r="O89">
            <v>0.97549295774647893</v>
          </cell>
          <cell r="P89">
            <v>1.1693902439024393</v>
          </cell>
          <cell r="Q89">
            <v>0.99711111111111117</v>
          </cell>
          <cell r="R89">
            <v>1.0668733850129197</v>
          </cell>
          <cell r="S89">
            <v>1.1029807692307692</v>
          </cell>
          <cell r="T89">
            <v>1.1965065502183405</v>
          </cell>
          <cell r="U89">
            <v>1.2019354838709677</v>
          </cell>
          <cell r="V89">
            <v>1.1473420603301079</v>
          </cell>
          <cell r="W89">
            <v>1.1801808318264013</v>
          </cell>
          <cell r="X89">
            <v>1.1905119453924913</v>
          </cell>
          <cell r="Y89">
            <v>1.2653721682847898</v>
          </cell>
          <cell r="Z89">
            <v>1.3974736842105264</v>
          </cell>
          <cell r="AA89">
            <v>1.2640792733278283</v>
          </cell>
          <cell r="AB89">
            <v>1.3722425952045134</v>
          </cell>
          <cell r="AC89">
            <v>1.4535666218034995</v>
          </cell>
          <cell r="AD89">
            <v>1.4904545454545453</v>
          </cell>
          <cell r="AE89">
            <v>1.5956959064327485</v>
          </cell>
          <cell r="AF89">
            <v>1.4836011616650535</v>
          </cell>
          <cell r="AG89">
            <v>1.4240837696335078</v>
          </cell>
          <cell r="AH89">
            <v>1.4230769230769231</v>
          </cell>
          <cell r="AI89">
            <v>1.3928571428571428</v>
          </cell>
          <cell r="AJ89">
            <v>1.4017094017094016</v>
          </cell>
          <cell r="AK89">
            <v>1.4312796208530805</v>
          </cell>
          <cell r="AL89">
            <v>1.3770491803278688</v>
          </cell>
          <cell r="AM89">
            <v>1.3490196078431373</v>
          </cell>
          <cell r="AN89">
            <v>1.3333333333333333</v>
          </cell>
          <cell r="AO89">
            <v>1.4029850746268657</v>
          </cell>
          <cell r="AP89">
            <v>1.3913043478260869</v>
          </cell>
          <cell r="AQ89">
            <v>1.3090909090909091</v>
          </cell>
          <cell r="AR89">
            <v>1.3003533568904593</v>
          </cell>
          <cell r="AS89">
            <v>1.5157894736842106</v>
          </cell>
          <cell r="AT89">
            <v>1.7155110793423873</v>
          </cell>
          <cell r="AU89">
            <v>1.4855072463768115</v>
          </cell>
          <cell r="AV89">
            <v>1.5224913494809689</v>
          </cell>
          <cell r="AW89">
            <v>1.5033557046979866</v>
          </cell>
          <cell r="AX89">
            <v>1.5629139072847682</v>
          </cell>
          <cell r="AY89">
            <v>1.5364238410596027</v>
          </cell>
          <cell r="AZ89">
            <v>1.5563139931740615</v>
          </cell>
          <cell r="BA89">
            <v>1.509933774834437</v>
          </cell>
          <cell r="BB89">
            <v>1.4210526315789473</v>
          </cell>
          <cell r="BC89">
            <v>1.3935483870967742</v>
          </cell>
          <cell r="BD89">
            <v>1.3836477987421383</v>
          </cell>
          <cell r="BE89">
            <v>1.4102564102564104</v>
          </cell>
          <cell r="BF89">
            <v>1.3784615384615384</v>
          </cell>
          <cell r="BG89">
            <v>1.4103343465045592</v>
          </cell>
          <cell r="BH89">
            <v>1.3734939759036144</v>
          </cell>
          <cell r="BI89">
            <v>1.4761904761904763</v>
          </cell>
          <cell r="BJ89">
            <v>1.4121212121212121</v>
          </cell>
          <cell r="BK89">
            <v>1.4310850439882699</v>
          </cell>
          <cell r="BL89">
            <v>1.4524495677233429</v>
          </cell>
          <cell r="BM89">
            <v>1.5085714285714287</v>
          </cell>
          <cell r="BN89">
            <v>1.5323943661971831</v>
          </cell>
          <cell r="BO89">
            <v>1.4785100286532951</v>
          </cell>
          <cell r="BP89">
            <v>1.5069252077562327</v>
          </cell>
          <cell r="BQ89">
            <v>1.5476839237057221</v>
          </cell>
          <cell r="BR89">
            <v>1.5573333333333332</v>
          </cell>
          <cell r="BS89">
            <v>1.629242819843342</v>
          </cell>
          <cell r="BT89">
            <v>1.5508021390374331</v>
          </cell>
          <cell r="BU89">
            <v>1.6041131105398458</v>
          </cell>
          <cell r="BV89">
            <v>1.5714285714285714</v>
          </cell>
          <cell r="BW89">
            <v>1.595959595959596</v>
          </cell>
          <cell r="BX89">
            <v>1.7114427860696517</v>
          </cell>
          <cell r="BY89">
            <v>1.6120906801007557</v>
          </cell>
          <cell r="BZ89">
            <v>1.7058823529411764</v>
          </cell>
          <cell r="CA89">
            <v>1.5652173913043479</v>
          </cell>
          <cell r="CB89">
            <v>1.6</v>
          </cell>
          <cell r="CC89">
            <v>1.7464788732394365</v>
          </cell>
          <cell r="CD89">
            <v>1.6507177033492824</v>
          </cell>
          <cell r="CE89">
            <v>1.6851851851851851</v>
          </cell>
          <cell r="CF89">
            <v>1.716605504587156</v>
          </cell>
          <cell r="CG89">
            <v>1.744761904761905</v>
          </cell>
          <cell r="CH89">
            <v>1.7892617449664427</v>
          </cell>
          <cell r="CI89">
            <v>1.7305000000000001</v>
          </cell>
          <cell r="CN89">
            <v>1.8522962608695654</v>
          </cell>
          <cell r="CS89">
            <v>1.9202526226415098</v>
          </cell>
          <cell r="CU89" t="str">
            <v>1/29: IR FY15 maintenance low double digits</v>
          </cell>
          <cell r="DE89" t="str">
            <v>mstag:repairsAndMaintenanceExpense</v>
          </cell>
          <cell r="DF89">
            <v>6</v>
          </cell>
          <cell r="DG89" t="str">
            <v>ISO4217:USD</v>
          </cell>
          <cell r="DH89" t="b">
            <v>0</v>
          </cell>
          <cell r="DI89" t="b">
            <v>0</v>
          </cell>
        </row>
        <row r="90">
          <cell r="A90" t="str">
            <v>Maintenance, Materials, and Repairs</v>
          </cell>
          <cell r="B90">
            <v>3.7999999999999999E-2</v>
          </cell>
          <cell r="G90">
            <v>1.052</v>
          </cell>
          <cell r="H90">
            <v>0.69399999999999995</v>
          </cell>
          <cell r="I90">
            <v>0.80300000000000005</v>
          </cell>
          <cell r="J90">
            <v>1.6479999999999999</v>
          </cell>
          <cell r="K90">
            <v>1.56</v>
          </cell>
          <cell r="L90">
            <v>4.7050000000000001</v>
          </cell>
          <cell r="M90">
            <v>1.905</v>
          </cell>
          <cell r="N90">
            <v>1.506</v>
          </cell>
          <cell r="O90">
            <v>2.7330000000000001</v>
          </cell>
          <cell r="P90">
            <v>2.782</v>
          </cell>
          <cell r="Q90">
            <v>8.9260000000000002</v>
          </cell>
          <cell r="R90">
            <v>3.3319999999999999</v>
          </cell>
          <cell r="S90">
            <v>5.3659999999999997</v>
          </cell>
          <cell r="T90">
            <v>5.7549999999999999</v>
          </cell>
          <cell r="U90">
            <v>8.6609999999999996</v>
          </cell>
          <cell r="V90">
            <v>23.113999999999997</v>
          </cell>
          <cell r="W90">
            <v>12.497999999999999</v>
          </cell>
          <cell r="X90">
            <v>8.391</v>
          </cell>
          <cell r="Y90">
            <v>11.518000000000001</v>
          </cell>
          <cell r="Z90">
            <v>12.494999999999999</v>
          </cell>
          <cell r="AA90">
            <v>44.901999999999994</v>
          </cell>
          <cell r="AB90">
            <v>13.54</v>
          </cell>
          <cell r="AC90">
            <v>13.579000000000001</v>
          </cell>
          <cell r="AD90">
            <v>19.812000000000001</v>
          </cell>
          <cell r="AE90">
            <v>17.518999999999998</v>
          </cell>
          <cell r="AF90">
            <v>64.449999999999989</v>
          </cell>
          <cell r="AG90">
            <v>21</v>
          </cell>
          <cell r="AH90">
            <v>23</v>
          </cell>
          <cell r="AI90">
            <v>22</v>
          </cell>
          <cell r="AJ90">
            <v>20</v>
          </cell>
          <cell r="AK90">
            <v>86</v>
          </cell>
          <cell r="AL90">
            <v>26</v>
          </cell>
          <cell r="AM90">
            <v>27</v>
          </cell>
          <cell r="AN90">
            <v>25</v>
          </cell>
          <cell r="AO90">
            <v>28</v>
          </cell>
          <cell r="AP90">
            <v>106</v>
          </cell>
          <cell r="AQ90">
            <v>33</v>
          </cell>
          <cell r="AR90">
            <v>32</v>
          </cell>
          <cell r="AS90">
            <v>32</v>
          </cell>
          <cell r="AT90">
            <v>30</v>
          </cell>
          <cell r="AU90">
            <v>127</v>
          </cell>
          <cell r="AV90">
            <v>37</v>
          </cell>
          <cell r="AW90">
            <v>34</v>
          </cell>
          <cell r="AX90">
            <v>40</v>
          </cell>
          <cell r="AY90">
            <v>38</v>
          </cell>
          <cell r="AZ90">
            <v>149</v>
          </cell>
          <cell r="BA90">
            <v>39</v>
          </cell>
          <cell r="BB90">
            <v>41</v>
          </cell>
          <cell r="BC90">
            <v>44</v>
          </cell>
          <cell r="BD90">
            <v>48</v>
          </cell>
          <cell r="BE90">
            <v>172</v>
          </cell>
          <cell r="BF90">
            <v>52</v>
          </cell>
          <cell r="BG90">
            <v>54</v>
          </cell>
          <cell r="BH90">
            <v>59</v>
          </cell>
          <cell r="BI90">
            <v>62</v>
          </cell>
          <cell r="BJ90">
            <v>227</v>
          </cell>
          <cell r="BK90">
            <v>88</v>
          </cell>
          <cell r="BL90">
            <v>85</v>
          </cell>
          <cell r="BM90">
            <v>85</v>
          </cell>
          <cell r="BN90">
            <v>80</v>
          </cell>
          <cell r="BO90">
            <v>338</v>
          </cell>
          <cell r="BP90">
            <v>114</v>
          </cell>
          <cell r="BQ90">
            <v>111</v>
          </cell>
          <cell r="BR90">
            <v>109</v>
          </cell>
          <cell r="BS90">
            <v>98</v>
          </cell>
          <cell r="BT90">
            <v>432</v>
          </cell>
          <cell r="BU90">
            <v>94</v>
          </cell>
          <cell r="BV90">
            <v>102</v>
          </cell>
          <cell r="BW90">
            <v>109</v>
          </cell>
          <cell r="BX90">
            <v>113</v>
          </cell>
          <cell r="BY90">
            <v>418</v>
          </cell>
          <cell r="BZ90">
            <v>113</v>
          </cell>
          <cell r="CA90">
            <v>126</v>
          </cell>
          <cell r="CB90">
            <v>132</v>
          </cell>
          <cell r="CC90">
            <v>128.49754201031828</v>
          </cell>
          <cell r="CD90">
            <v>499.49754201031828</v>
          </cell>
          <cell r="CE90">
            <v>133.52079999999998</v>
          </cell>
          <cell r="CF90">
            <v>139.98599999999999</v>
          </cell>
          <cell r="CG90">
            <v>147.60900000000004</v>
          </cell>
          <cell r="CH90">
            <v>145.05445029834777</v>
          </cell>
          <cell r="CI90">
            <v>566.17025029834781</v>
          </cell>
          <cell r="CN90">
            <v>642.03706383832639</v>
          </cell>
          <cell r="CS90">
            <v>728.07003039266215</v>
          </cell>
          <cell r="CV90" t="str">
            <v>4/25: 1Q13 $20M higher than expected maint. Related to E190 in 2013</v>
          </cell>
          <cell r="DJ90" t="str">
            <v>mstag:repairsAndMaintenanceExpense</v>
          </cell>
          <cell r="DK90">
            <v>6</v>
          </cell>
          <cell r="DL90" t="str">
            <v>ISO4217:USD</v>
          </cell>
          <cell r="DM90" t="b">
            <v>0</v>
          </cell>
          <cell r="DN90" t="b">
            <v>0</v>
          </cell>
        </row>
        <row r="91">
          <cell r="A91" t="str">
            <v>YoY % Chg.</v>
          </cell>
          <cell r="I91">
            <v>0.15706051873198867</v>
          </cell>
          <cell r="J91">
            <v>1.0523038605230384</v>
          </cell>
          <cell r="K91">
            <v>-5.339805825242705E-2</v>
          </cell>
          <cell r="L91">
            <v>3.4724334600760454</v>
          </cell>
          <cell r="M91">
            <v>1.744956772334294</v>
          </cell>
          <cell r="N91">
            <v>0.87546699875466993</v>
          </cell>
          <cell r="O91">
            <v>0.65837378640776723</v>
          </cell>
          <cell r="P91">
            <v>0.78333333333333321</v>
          </cell>
          <cell r="Q91">
            <v>0.8971307120085017</v>
          </cell>
          <cell r="R91">
            <v>0.74908136482939613</v>
          </cell>
          <cell r="S91">
            <v>2.5630810092961487</v>
          </cell>
          <cell r="T91">
            <v>1.1057446030003657</v>
          </cell>
          <cell r="U91">
            <v>2.1132278936017252</v>
          </cell>
          <cell r="V91">
            <v>1.5895137799686307</v>
          </cell>
          <cell r="W91">
            <v>2.7509003601440578</v>
          </cell>
          <cell r="X91">
            <v>0.56373462541930675</v>
          </cell>
          <cell r="Y91">
            <v>1.0013900955690707</v>
          </cell>
          <cell r="Z91">
            <v>0.44267405611361266</v>
          </cell>
          <cell r="AA91">
            <v>0.94263217097862761</v>
          </cell>
          <cell r="AB91">
            <v>8.3373339734357454E-2</v>
          </cell>
          <cell r="AC91">
            <v>0.61828149207484207</v>
          </cell>
          <cell r="AD91">
            <v>0.72009029345372455</v>
          </cell>
          <cell r="AE91">
            <v>0.40208083233293324</v>
          </cell>
          <cell r="AF91">
            <v>0.43534809139904684</v>
          </cell>
          <cell r="AG91">
            <v>0.55096011816839008</v>
          </cell>
          <cell r="AH91">
            <v>0.69379188452757923</v>
          </cell>
          <cell r="AI91">
            <v>0.1104381183121339</v>
          </cell>
          <cell r="AJ91">
            <v>0.14161767224156652</v>
          </cell>
          <cell r="AK91">
            <v>0.33436772692009331</v>
          </cell>
          <cell r="AL91">
            <v>0.23809523809523814</v>
          </cell>
          <cell r="AM91">
            <v>0.17391304347826098</v>
          </cell>
          <cell r="AN91">
            <v>0.13636363636363646</v>
          </cell>
          <cell r="AO91">
            <v>0.39999999999999991</v>
          </cell>
          <cell r="AP91">
            <v>0.23255813953488369</v>
          </cell>
          <cell r="AQ91">
            <v>0.26923076923076916</v>
          </cell>
          <cell r="AR91">
            <v>0.18518518518518512</v>
          </cell>
          <cell r="AS91">
            <v>0.28000000000000003</v>
          </cell>
          <cell r="AT91">
            <v>7.1428571428571397E-2</v>
          </cell>
          <cell r="AU91">
            <v>0.19811320754716988</v>
          </cell>
          <cell r="AV91">
            <v>0.1212121212121211</v>
          </cell>
          <cell r="AW91">
            <v>6.25E-2</v>
          </cell>
          <cell r="AX91">
            <v>0.25</v>
          </cell>
          <cell r="AY91">
            <v>0.26666666666666661</v>
          </cell>
          <cell r="AZ91">
            <v>0.17322834645669283</v>
          </cell>
          <cell r="BA91">
            <v>5.4054054054053946E-2</v>
          </cell>
          <cell r="BB91">
            <v>0.20588235294117641</v>
          </cell>
          <cell r="BC91">
            <v>0.10000000000000009</v>
          </cell>
          <cell r="BD91">
            <v>0.26315789473684204</v>
          </cell>
          <cell r="BE91">
            <v>0.15436241610738266</v>
          </cell>
          <cell r="BF91">
            <v>0.33333333333333326</v>
          </cell>
          <cell r="BG91">
            <v>0.31707317073170738</v>
          </cell>
          <cell r="BH91">
            <v>0.34090909090909083</v>
          </cell>
          <cell r="BI91">
            <v>0.29166666666666674</v>
          </cell>
          <cell r="BJ91">
            <v>0.31976744186046502</v>
          </cell>
          <cell r="BK91">
            <v>0.69230769230769229</v>
          </cell>
          <cell r="BL91">
            <v>0.57407407407407418</v>
          </cell>
          <cell r="BM91">
            <v>0.44067796610169485</v>
          </cell>
          <cell r="BN91">
            <v>0.29032258064516125</v>
          </cell>
          <cell r="BO91">
            <v>0.48898678414096919</v>
          </cell>
          <cell r="BP91">
            <v>0.29545454545454541</v>
          </cell>
          <cell r="BQ91">
            <v>0.30588235294117649</v>
          </cell>
          <cell r="BR91">
            <v>0.2823529411764707</v>
          </cell>
          <cell r="BS91">
            <v>0.22500000000000009</v>
          </cell>
          <cell r="BT91">
            <v>0.27810650887573973</v>
          </cell>
          <cell r="BU91">
            <v>-0.17543859649122806</v>
          </cell>
          <cell r="BV91">
            <v>-8.108108108108103E-2</v>
          </cell>
          <cell r="BW91">
            <v>0</v>
          </cell>
          <cell r="BX91">
            <v>0.15306122448979598</v>
          </cell>
          <cell r="BY91">
            <v>-3.240740740740744E-2</v>
          </cell>
          <cell r="BZ91">
            <v>0.2021276595744681</v>
          </cell>
          <cell r="CA91">
            <v>0.23529411764705888</v>
          </cell>
          <cell r="CB91">
            <v>0.21100917431192667</v>
          </cell>
          <cell r="CC91">
            <v>5.3097345132743445E-2</v>
          </cell>
          <cell r="CD91">
            <v>0.17224880382775121</v>
          </cell>
          <cell r="CE91">
            <v>0.19469026548672574</v>
          </cell>
          <cell r="CF91">
            <v>0.16025</v>
          </cell>
          <cell r="CG91">
            <v>0.17700000000000027</v>
          </cell>
          <cell r="CH91">
            <v>0.16577499999999978</v>
          </cell>
          <cell r="CI91">
            <v>0.17404637755102037</v>
          </cell>
          <cell r="CN91">
            <v>0.1339999999999999</v>
          </cell>
          <cell r="CQ91">
            <v>0.23876256501468729</v>
          </cell>
          <cell r="CR91">
            <v>6.249233222917483E-3</v>
          </cell>
          <cell r="CS91">
            <v>0.13400000000000034</v>
          </cell>
          <cell r="CT91">
            <v>6.5859313219640741E-3</v>
          </cell>
          <cell r="CX91">
            <v>2014</v>
          </cell>
          <cell r="CY91">
            <v>2015</v>
          </cell>
          <cell r="CZ91">
            <v>2016</v>
          </cell>
          <cell r="DA91" t="str">
            <v>4/25: 1Q13 $20M higher than expected maint. Related to E190 in 2013</v>
          </cell>
          <cell r="DB91">
            <v>2018</v>
          </cell>
        </row>
        <row r="92">
          <cell r="A92" t="str">
            <v>Sequential % change</v>
          </cell>
          <cell r="H92">
            <v>9.3047950531740878E-2</v>
          </cell>
          <cell r="I92">
            <v>0.15706051873198867</v>
          </cell>
          <cell r="J92">
            <v>1.0523038605230384</v>
          </cell>
          <cell r="K92">
            <v>-5.339805825242705E-2</v>
          </cell>
          <cell r="L92">
            <v>0.11180374249067374</v>
          </cell>
          <cell r="M92">
            <v>0.22115384615384603</v>
          </cell>
          <cell r="N92">
            <v>-0.20944881889763778</v>
          </cell>
          <cell r="O92">
            <v>0.81474103585657387</v>
          </cell>
          <cell r="P92">
            <v>1.7929015733626041E-2</v>
          </cell>
          <cell r="Q92">
            <v>0.10832605779315328</v>
          </cell>
          <cell r="R92">
            <v>0.19769949676491727</v>
          </cell>
          <cell r="S92">
            <v>0.61044417767106829</v>
          </cell>
          <cell r="T92">
            <v>7.2493477450614963E-2</v>
          </cell>
          <cell r="U92">
            <v>0.50495221546481317</v>
          </cell>
          <cell r="V92">
            <v>0.16946383911184937</v>
          </cell>
          <cell r="W92">
            <v>0.4430204364392103</v>
          </cell>
          <cell r="X92">
            <v>-0.328612578012482</v>
          </cell>
          <cell r="Y92">
            <v>0.37266118460255049</v>
          </cell>
          <cell r="Z92">
            <v>8.48237541239798E-2</v>
          </cell>
          <cell r="AA92">
            <v>0.23743788750820879</v>
          </cell>
          <cell r="AB92">
            <v>8.3633453381352529E-2</v>
          </cell>
          <cell r="AC92">
            <v>2.8803545051698798E-3</v>
          </cell>
          <cell r="AD92">
            <v>0.45901760070697395</v>
          </cell>
          <cell r="AE92">
            <v>-0.1157379366040785</v>
          </cell>
          <cell r="AF92">
            <v>0.27190543141751872</v>
          </cell>
          <cell r="AG92">
            <v>0.19869855585364471</v>
          </cell>
          <cell r="AH92">
            <v>9.5238095238095344E-2</v>
          </cell>
          <cell r="AI92">
            <v>-4.3478260869565188E-2</v>
          </cell>
          <cell r="AJ92">
            <v>-9.0909090909090939E-2</v>
          </cell>
          <cell r="AK92">
            <v>0.30076239770581242</v>
          </cell>
          <cell r="AL92">
            <v>0.30000000000000004</v>
          </cell>
          <cell r="AM92">
            <v>3.8461538461538547E-2</v>
          </cell>
          <cell r="AN92">
            <v>-7.407407407407407E-2</v>
          </cell>
          <cell r="AO92">
            <v>0.12000000000000011</v>
          </cell>
          <cell r="AP92">
            <v>0.33224674022066197</v>
          </cell>
          <cell r="AQ92">
            <v>0.1785714285714286</v>
          </cell>
          <cell r="AR92">
            <v>-3.0303030303030276E-2</v>
          </cell>
          <cell r="AS92">
            <v>0</v>
          </cell>
          <cell r="AT92">
            <v>-6.25E-2</v>
          </cell>
          <cell r="AU92">
            <v>0.39146785031748971</v>
          </cell>
          <cell r="AV92">
            <v>0.23333333333333339</v>
          </cell>
          <cell r="AW92">
            <v>-8.108108108108103E-2</v>
          </cell>
          <cell r="AX92">
            <v>0.17647058823529416</v>
          </cell>
          <cell r="AY92">
            <v>-5.0000000000000044E-2</v>
          </cell>
          <cell r="AZ92">
            <v>0.45763919602928887</v>
          </cell>
          <cell r="BA92">
            <v>2.6315789473684292E-2</v>
          </cell>
          <cell r="BB92">
            <v>5.1282051282051322E-2</v>
          </cell>
          <cell r="BC92">
            <v>7.3170731707317138E-2</v>
          </cell>
          <cell r="BD92">
            <v>9.0909090909090828E-2</v>
          </cell>
          <cell r="BE92">
            <v>0.49504896350850158</v>
          </cell>
          <cell r="BF92">
            <v>8.3333333333333259E-2</v>
          </cell>
          <cell r="BG92">
            <v>3.8461538461538547E-2</v>
          </cell>
          <cell r="BH92">
            <v>9.259259259259256E-2</v>
          </cell>
          <cell r="BI92">
            <v>5.0847457627118731E-2</v>
          </cell>
          <cell r="BJ92">
            <v>0.60969368371578814</v>
          </cell>
          <cell r="BK92">
            <v>0.41935483870967749</v>
          </cell>
          <cell r="BL92">
            <v>-3.4090909090909061E-2</v>
          </cell>
          <cell r="BM92">
            <v>0</v>
          </cell>
          <cell r="BN92">
            <v>-5.8823529411764719E-2</v>
          </cell>
          <cell r="BO92">
            <v>0.84341859014348086</v>
          </cell>
          <cell r="BP92">
            <v>0.42500000000000004</v>
          </cell>
          <cell r="BQ92">
            <v>-2.6315789473684181E-2</v>
          </cell>
          <cell r="BR92">
            <v>-1.8018018018018056E-2</v>
          </cell>
          <cell r="BS92">
            <v>-0.1009174311926605</v>
          </cell>
          <cell r="BT92">
            <v>1.0087801232953484</v>
          </cell>
          <cell r="BU92">
            <v>-4.081632653061229E-2</v>
          </cell>
          <cell r="BV92">
            <v>8.5106382978723305E-2</v>
          </cell>
          <cell r="BW92">
            <v>6.8627450980392135E-2</v>
          </cell>
          <cell r="BX92">
            <v>3.669724770642202E-2</v>
          </cell>
          <cell r="BY92">
            <v>0.9290334051963639</v>
          </cell>
          <cell r="BZ92">
            <v>0</v>
          </cell>
          <cell r="CA92">
            <v>0.11504424778761058</v>
          </cell>
          <cell r="CB92">
            <v>4.7619047619047672E-2</v>
          </cell>
          <cell r="CC92">
            <v>-9.8484848484848508E-2</v>
          </cell>
          <cell r="CD92">
            <v>1.0178587138654986</v>
          </cell>
          <cell r="CE92">
            <v>0.13445378151260501</v>
          </cell>
          <cell r="CF92">
            <v>8.2899999999999974E-2</v>
          </cell>
          <cell r="CG92">
            <v>6.2743045936323627E-2</v>
          </cell>
          <cell r="CH92">
            <v>-0.10708256095363178</v>
          </cell>
          <cell r="CI92">
            <v>1.0891088238360835</v>
          </cell>
          <cell r="CN92">
            <v>1.1108910003128052</v>
          </cell>
          <cell r="CV92">
            <v>0.23876256501468729</v>
          </cell>
          <cell r="CW92">
            <v>6.249233222917483E-3</v>
          </cell>
          <cell r="CX92">
            <v>1.2278538701302929E-2</v>
          </cell>
          <cell r="CY92">
            <v>6.5859313219640741E-3</v>
          </cell>
          <cell r="CZ92">
            <v>28</v>
          </cell>
          <cell r="DA92">
            <v>15</v>
          </cell>
          <cell r="DB92">
            <v>19</v>
          </cell>
          <cell r="DC92">
            <v>2014</v>
          </cell>
          <cell r="DD92">
            <v>2015</v>
          </cell>
          <cell r="DE92">
            <v>2016</v>
          </cell>
          <cell r="DF92">
            <v>2017</v>
          </cell>
          <cell r="DG92">
            <v>2018</v>
          </cell>
        </row>
        <row r="93">
          <cell r="A93" t="str">
            <v>Maintenance, Materials, and Repairs per ASM (cents)</v>
          </cell>
          <cell r="H93">
            <v>9.3047950531740878E-2</v>
          </cell>
          <cell r="I93">
            <v>8.3581058013372969E-2</v>
          </cell>
          <cell r="J93">
            <v>0.14571008467630345</v>
          </cell>
          <cell r="K93">
            <v>0.1138139492127139</v>
          </cell>
          <cell r="L93">
            <v>0.11180374249067374</v>
          </cell>
          <cell r="M93">
            <v>0.11798076387125542</v>
          </cell>
          <cell r="N93">
            <v>7.7945751620117465E-2</v>
          </cell>
          <cell r="O93">
            <v>0.12270715419076586</v>
          </cell>
          <cell r="P93">
            <v>0.11281880335017506</v>
          </cell>
          <cell r="Q93">
            <v>0.10832605779315328</v>
          </cell>
          <cell r="R93">
            <v>0.11418502154334147</v>
          </cell>
          <cell r="S93">
            <v>0.16383637246852803</v>
          </cell>
          <cell r="T93">
            <v>0.15533730057511241</v>
          </cell>
          <cell r="U93">
            <v>0.23149354632557118</v>
          </cell>
          <cell r="V93">
            <v>0.16946383911184937</v>
          </cell>
          <cell r="W93">
            <v>0.29626504082000316</v>
          </cell>
          <cell r="X93">
            <v>0.18018830547619125</v>
          </cell>
          <cell r="Y93">
            <v>0.23315411896163624</v>
          </cell>
          <cell r="Z93">
            <v>0.24520886025273292</v>
          </cell>
          <cell r="AA93">
            <v>0.23743788750820879</v>
          </cell>
          <cell r="AB93">
            <v>0.26196380372216899</v>
          </cell>
          <cell r="AC93">
            <v>0.23227053470630499</v>
          </cell>
          <cell r="AD93">
            <v>0.31289374278845622</v>
          </cell>
          <cell r="AE93">
            <v>0.27561289218279778</v>
          </cell>
          <cell r="AF93">
            <v>0.27190543141751872</v>
          </cell>
          <cell r="AG93">
            <v>0.31929451117530788</v>
          </cell>
          <cell r="AH93">
            <v>0.31935573451818938</v>
          </cell>
          <cell r="AI93">
            <v>0.29189332625713149</v>
          </cell>
          <cell r="AJ93">
            <v>0.27480076944215442</v>
          </cell>
          <cell r="AK93">
            <v>0.30076239770581242</v>
          </cell>
          <cell r="AL93">
            <v>0.35278154681139756</v>
          </cell>
          <cell r="AM93">
            <v>0.33473840813290356</v>
          </cell>
          <cell r="AN93">
            <v>0.29922202274087373</v>
          </cell>
          <cell r="AO93">
            <v>0.34512510785159622</v>
          </cell>
          <cell r="AP93">
            <v>0.33224674022066197</v>
          </cell>
          <cell r="AQ93">
            <v>0.39309112567004167</v>
          </cell>
          <cell r="AR93">
            <v>0.38172491947989984</v>
          </cell>
          <cell r="AS93">
            <v>0.39244542555800832</v>
          </cell>
          <cell r="AT93">
            <v>0.39946737683089217</v>
          </cell>
          <cell r="AU93">
            <v>0.39146785031748971</v>
          </cell>
          <cell r="AV93">
            <v>0.46585414987912976</v>
          </cell>
          <cell r="AW93">
            <v>0.41277164016025258</v>
          </cell>
          <cell r="AX93">
            <v>0.4767012275056608</v>
          </cell>
          <cell r="AY93">
            <v>0.4757135703555333</v>
          </cell>
          <cell r="AZ93">
            <v>0.45763919602928887</v>
          </cell>
          <cell r="BA93">
            <v>0.4629838477994021</v>
          </cell>
          <cell r="BB93">
            <v>0.47190290125903633</v>
          </cell>
          <cell r="BC93">
            <v>0.48341023950780049</v>
          </cell>
          <cell r="BD93">
            <v>0.56270727850141666</v>
          </cell>
          <cell r="BE93">
            <v>0.49504896350850158</v>
          </cell>
          <cell r="BF93">
            <v>0.61098760153409593</v>
          </cell>
          <cell r="BG93">
            <v>0.57197330791229739</v>
          </cell>
          <cell r="BH93">
            <v>0.59868087265347536</v>
          </cell>
          <cell r="BI93">
            <v>0.65782493368700257</v>
          </cell>
          <cell r="BJ93">
            <v>0.60969368371578814</v>
          </cell>
          <cell r="BK93">
            <v>0.92281879194630878</v>
          </cell>
          <cell r="BL93">
            <v>0.8533279791185624</v>
          </cell>
          <cell r="BM93">
            <v>0.79409566517189834</v>
          </cell>
          <cell r="BN93">
            <v>0.81020862872189581</v>
          </cell>
          <cell r="BO93">
            <v>0.84341859014348086</v>
          </cell>
          <cell r="BP93">
            <v>1.1242603550295858</v>
          </cell>
          <cell r="BQ93">
            <v>1.033423331160972</v>
          </cell>
          <cell r="BR93">
            <v>0.96871667259153926</v>
          </cell>
          <cell r="BS93">
            <v>0.9166588719483677</v>
          </cell>
          <cell r="BT93">
            <v>1.0087801232953484</v>
          </cell>
          <cell r="BU93">
            <v>0.90219790766868235</v>
          </cell>
          <cell r="BV93">
            <v>0.89583699279817319</v>
          </cell>
          <cell r="BW93">
            <v>0.92750170183798497</v>
          </cell>
          <cell r="BX93">
            <v>0.98810772997551588</v>
          </cell>
          <cell r="BY93">
            <v>0.9290334051963639</v>
          </cell>
          <cell r="BZ93">
            <v>0.98957877222173563</v>
          </cell>
          <cell r="CA93">
            <v>1.029664133366021</v>
          </cell>
          <cell r="CB93">
            <v>1.0172626387176327</v>
          </cell>
          <cell r="CC93">
            <v>1.0177509618747813</v>
          </cell>
          <cell r="CD93">
            <v>1.014050962311323</v>
          </cell>
          <cell r="CE93">
            <v>1.044005604693931</v>
          </cell>
          <cell r="CF93">
            <v>1.0399607746996813</v>
          </cell>
          <cell r="CG93">
            <v>1.0833847102342788</v>
          </cell>
          <cell r="CH93">
            <v>1.088993529206016</v>
          </cell>
          <cell r="CI93">
            <v>1.064333285501297</v>
          </cell>
          <cell r="CN93">
            <v>1.1175499497763619</v>
          </cell>
          <cell r="CS93">
            <v>1.17342744726518</v>
          </cell>
          <cell r="CV93" t="str">
            <v>Heavy maint checks</v>
          </cell>
          <cell r="CX93">
            <v>110</v>
          </cell>
          <cell r="CY93">
            <v>123</v>
          </cell>
          <cell r="CZ93">
            <v>131</v>
          </cell>
          <cell r="DA93" t="str">
            <v>Landing gear overhaul</v>
          </cell>
          <cell r="DB93">
            <v>151</v>
          </cell>
          <cell r="DC93">
            <v>11</v>
          </cell>
          <cell r="DD93">
            <v>28</v>
          </cell>
          <cell r="DE93">
            <v>28</v>
          </cell>
          <cell r="DF93">
            <v>15</v>
          </cell>
          <cell r="DG93">
            <v>19</v>
          </cell>
        </row>
        <row r="94">
          <cell r="A94" t="str">
            <v>YoY % Chg.</v>
          </cell>
          <cell r="B94">
            <v>7.7389999999999999</v>
          </cell>
          <cell r="G94">
            <v>57.186</v>
          </cell>
          <cell r="H94">
            <v>23.429000000000002</v>
          </cell>
          <cell r="I94">
            <v>26.805</v>
          </cell>
          <cell r="J94">
            <v>30.792000000000002</v>
          </cell>
          <cell r="K94">
            <v>38.540999999999997</v>
          </cell>
          <cell r="L94">
            <v>119.56700000000001</v>
          </cell>
          <cell r="M94">
            <v>0.26795660943665123</v>
          </cell>
          <cell r="N94">
            <v>-6.742324788893983E-2</v>
          </cell>
          <cell r="O94">
            <v>-0.15786779986188915</v>
          </cell>
          <cell r="P94">
            <v>-8.7436194721522975E-3</v>
          </cell>
          <cell r="Q94">
            <v>-3.1105261953199403E-2</v>
          </cell>
          <cell r="R94">
            <v>-3.2172552570146062E-2</v>
          </cell>
          <cell r="S94">
            <v>1.1019281880430616</v>
          </cell>
          <cell r="T94">
            <v>0.26591885859905373</v>
          </cell>
          <cell r="U94">
            <v>1.0519057058870316</v>
          </cell>
          <cell r="V94">
            <v>0.56438665418285239</v>
          </cell>
          <cell r="W94">
            <v>1.5946051138375377</v>
          </cell>
          <cell r="X94">
            <v>9.9806488396246174E-2</v>
          </cell>
          <cell r="Y94">
            <v>0.50095384752032546</v>
          </cell>
          <cell r="Z94">
            <v>5.9247068200651176E-2</v>
          </cell>
          <cell r="AA94">
            <v>0.4011124069453853</v>
          </cell>
          <cell r="AB94">
            <v>-0.11577888839970829</v>
          </cell>
          <cell r="AC94">
            <v>0.2890433377042636</v>
          </cell>
          <cell r="AD94">
            <v>0.34200392505156874</v>
          </cell>
          <cell r="AE94">
            <v>0.1239923871377564</v>
          </cell>
          <cell r="AF94">
            <v>0.14516446499347446</v>
          </cell>
          <cell r="AG94">
            <v>0.2188497290027982</v>
          </cell>
          <cell r="AH94">
            <v>0.37493003545197623</v>
          </cell>
          <cell r="AI94">
            <v>-6.7116767322262683E-2</v>
          </cell>
          <cell r="AJ94">
            <v>-2.9466065038231681E-3</v>
          </cell>
          <cell r="AK94">
            <v>0.1061286864990314</v>
          </cell>
          <cell r="AL94">
            <v>0.10487820637074363</v>
          </cell>
          <cell r="AM94">
            <v>4.8167832770944052E-2</v>
          </cell>
          <cell r="AN94">
            <v>2.5107447908166103E-2</v>
          </cell>
          <cell r="AO94">
            <v>0.25591026747195866</v>
          </cell>
          <cell r="AP94">
            <v>0.10468177789181499</v>
          </cell>
          <cell r="AQ94">
            <v>0.11426215238007975</v>
          </cell>
          <cell r="AR94">
            <v>0.1403678520462488</v>
          </cell>
          <cell r="AS94">
            <v>0.31155261221486374</v>
          </cell>
          <cell r="AT94">
            <v>0.15745672436751001</v>
          </cell>
          <cell r="AU94">
            <v>0.1782443675970935</v>
          </cell>
          <cell r="AV94">
            <v>0.18510472370766506</v>
          </cell>
          <cell r="AW94">
            <v>8.1332706082311468E-2</v>
          </cell>
          <cell r="AX94">
            <v>0.21469431533786199</v>
          </cell>
          <cell r="AY94">
            <v>0.19086963779001831</v>
          </cell>
          <cell r="AZ94">
            <v>0.16903392106946358</v>
          </cell>
          <cell r="BA94">
            <v>-6.1613749291969944E-3</v>
          </cell>
          <cell r="BB94">
            <v>0.1432541757854946</v>
          </cell>
          <cell r="BC94">
            <v>1.4073829927488513E-2</v>
          </cell>
          <cell r="BD94">
            <v>0.18286993175508326</v>
          </cell>
          <cell r="BE94">
            <v>8.1745112315114055E-2</v>
          </cell>
          <cell r="BF94">
            <v>0.31967368718836964</v>
          </cell>
          <cell r="BG94">
            <v>0.21205719733079276</v>
          </cell>
          <cell r="BH94">
            <v>0.23845302338453012</v>
          </cell>
          <cell r="BI94">
            <v>0.16903576480990279</v>
          </cell>
          <cell r="BJ94">
            <v>0.23158258810356602</v>
          </cell>
          <cell r="BK94">
            <v>0.51037237028910676</v>
          </cell>
          <cell r="BL94">
            <v>0.49190175015895332</v>
          </cell>
          <cell r="BM94">
            <v>0.32640894580831503</v>
          </cell>
          <cell r="BN94">
            <v>0.23164779446836592</v>
          </cell>
          <cell r="BO94">
            <v>0.38334808555544231</v>
          </cell>
          <cell r="BP94">
            <v>0.21828940290478749</v>
          </cell>
          <cell r="BQ94">
            <v>0.21105056490522833</v>
          </cell>
          <cell r="BR94">
            <v>0.21989920746115721</v>
          </cell>
          <cell r="BS94">
            <v>0.13138621270227291</v>
          </cell>
          <cell r="BT94">
            <v>0.19606104855210327</v>
          </cell>
          <cell r="BU94">
            <v>-0.19751870317890885</v>
          </cell>
          <cell r="BV94">
            <v>-0.13313647390583982</v>
          </cell>
          <cell r="BW94">
            <v>-4.2545949625595658E-2</v>
          </cell>
          <cell r="BX94">
            <v>7.7944871547779737E-2</v>
          </cell>
          <cell r="BY94">
            <v>-7.9052626293308115E-2</v>
          </cell>
          <cell r="BZ94">
            <v>9.6853322104070383E-2</v>
          </cell>
          <cell r="CA94">
            <v>0.14938782573583476</v>
          </cell>
          <cell r="CB94">
            <v>9.6777112863267956E-2</v>
          </cell>
          <cell r="CC94">
            <v>-4.6157037942495371E-2</v>
          </cell>
          <cell r="CD94">
            <v>7.0749734675017439E-2</v>
          </cell>
          <cell r="CE94">
            <v>4.7061796115812626E-2</v>
          </cell>
          <cell r="CF94">
            <v>0.05</v>
          </cell>
          <cell r="CG94">
            <v>0.1</v>
          </cell>
          <cell r="CH94">
            <v>0.10500000000000001</v>
          </cell>
          <cell r="CI94">
            <v>7.5816078917273488E-2</v>
          </cell>
          <cell r="CN94">
            <v>0.05</v>
          </cell>
          <cell r="CS94">
            <v>0.05</v>
          </cell>
          <cell r="CY94">
            <v>1.5454545454545454</v>
          </cell>
          <cell r="CZ94">
            <v>0</v>
          </cell>
          <cell r="DA94" t="str">
            <v>Heavy maint checks</v>
          </cell>
          <cell r="DB94">
            <v>0.26666666666666661</v>
          </cell>
          <cell r="DC94">
            <v>110</v>
          </cell>
          <cell r="DD94">
            <v>123</v>
          </cell>
          <cell r="DE94">
            <v>131</v>
          </cell>
          <cell r="DF94">
            <v>125</v>
          </cell>
          <cell r="DG94">
            <v>151</v>
          </cell>
        </row>
        <row r="95">
          <cell r="A95" t="str">
            <v>All Other Operating Expenses</v>
          </cell>
          <cell r="B95">
            <v>7.7389999999999999</v>
          </cell>
          <cell r="G95">
            <v>57.186</v>
          </cell>
          <cell r="H95">
            <v>23.429000000000002</v>
          </cell>
          <cell r="I95">
            <v>26.805</v>
          </cell>
          <cell r="J95">
            <v>30.792000000000002</v>
          </cell>
          <cell r="K95">
            <v>38.540999999999997</v>
          </cell>
          <cell r="L95">
            <v>119.56700000000001</v>
          </cell>
          <cell r="M95">
            <v>47.338000000000001</v>
          </cell>
          <cell r="N95">
            <v>49.491999999999997</v>
          </cell>
          <cell r="O95">
            <v>60.163000000000004</v>
          </cell>
          <cell r="P95">
            <v>58.055999999999997</v>
          </cell>
          <cell r="Q95">
            <v>215.04899999999998</v>
          </cell>
          <cell r="R95">
            <v>63.076999999999998</v>
          </cell>
          <cell r="S95">
            <v>67.129000000000005</v>
          </cell>
          <cell r="T95">
            <v>76.441000000000003</v>
          </cell>
          <cell r="U95">
            <v>74.747</v>
          </cell>
          <cell r="V95">
            <v>281.39400000000001</v>
          </cell>
          <cell r="W95">
            <v>83.441000000000003</v>
          </cell>
          <cell r="X95">
            <v>89.725999999999999</v>
          </cell>
          <cell r="Y95">
            <v>96.855000000000004</v>
          </cell>
          <cell r="Z95">
            <v>96.865000000000009</v>
          </cell>
          <cell r="AA95">
            <v>366.887</v>
          </cell>
          <cell r="AB95">
            <v>107.80799999999999</v>
          </cell>
          <cell r="AC95">
            <v>113.54899999999999</v>
          </cell>
          <cell r="AD95">
            <v>125.69799999999999</v>
          </cell>
          <cell r="AE95">
            <v>131.935</v>
          </cell>
          <cell r="AF95">
            <v>478.98999999999995</v>
          </cell>
          <cell r="AG95">
            <v>146</v>
          </cell>
          <cell r="AH95">
            <v>154</v>
          </cell>
          <cell r="AI95">
            <v>154</v>
          </cell>
          <cell r="AJ95">
            <v>144</v>
          </cell>
          <cell r="AK95">
            <v>598</v>
          </cell>
          <cell r="AL95">
            <v>169</v>
          </cell>
          <cell r="AM95">
            <v>173</v>
          </cell>
          <cell r="AN95">
            <v>177</v>
          </cell>
          <cell r="AO95">
            <v>171</v>
          </cell>
          <cell r="AP95">
            <v>690</v>
          </cell>
          <cell r="AQ95">
            <v>202.8</v>
          </cell>
          <cell r="AR95">
            <v>190</v>
          </cell>
          <cell r="AS95">
            <v>194</v>
          </cell>
          <cell r="AT95">
            <v>176.6</v>
          </cell>
          <cell r="AU95">
            <v>763.4</v>
          </cell>
          <cell r="AV95">
            <v>187.4</v>
          </cell>
          <cell r="AW95">
            <v>181.9</v>
          </cell>
          <cell r="AX95">
            <v>204.7</v>
          </cell>
          <cell r="AY95">
            <v>209</v>
          </cell>
          <cell r="AZ95">
            <v>783</v>
          </cell>
          <cell r="BA95">
            <v>228</v>
          </cell>
          <cell r="BB95">
            <v>222</v>
          </cell>
          <cell r="BC95">
            <v>242</v>
          </cell>
          <cell r="BD95">
            <v>230.4</v>
          </cell>
          <cell r="BE95">
            <v>922.4</v>
          </cell>
          <cell r="BF95">
            <v>237</v>
          </cell>
          <cell r="BG95">
            <v>243</v>
          </cell>
          <cell r="BH95">
            <v>249</v>
          </cell>
          <cell r="BI95">
            <v>247</v>
          </cell>
          <cell r="BJ95">
            <v>976</v>
          </cell>
          <cell r="BK95">
            <v>244</v>
          </cell>
          <cell r="BL95">
            <v>251</v>
          </cell>
          <cell r="BM95">
            <v>269</v>
          </cell>
          <cell r="BN95">
            <v>266</v>
          </cell>
          <cell r="BO95">
            <v>1030</v>
          </cell>
          <cell r="BP95">
            <v>279</v>
          </cell>
          <cell r="BQ95">
            <v>274</v>
          </cell>
          <cell r="BR95">
            <v>292</v>
          </cell>
          <cell r="BS95">
            <v>284</v>
          </cell>
          <cell r="BT95">
            <v>1129</v>
          </cell>
          <cell r="BU95">
            <v>312</v>
          </cell>
          <cell r="BV95">
            <v>329</v>
          </cell>
          <cell r="BW95">
            <v>313</v>
          </cell>
          <cell r="BX95">
            <v>280</v>
          </cell>
          <cell r="BY95">
            <v>1234</v>
          </cell>
          <cell r="BZ95">
            <v>329</v>
          </cell>
          <cell r="CA95">
            <v>346</v>
          </cell>
          <cell r="CB95">
            <v>359</v>
          </cell>
          <cell r="CC95">
            <v>309.12717383700596</v>
          </cell>
          <cell r="CD95">
            <v>1343.127173837006</v>
          </cell>
          <cell r="CE95">
            <v>370.32239999999996</v>
          </cell>
          <cell r="CF95">
            <v>382.50299999999993</v>
          </cell>
          <cell r="CG95">
            <v>371.29575</v>
          </cell>
          <cell r="CH95">
            <v>326.12916839804126</v>
          </cell>
          <cell r="CI95">
            <v>1450.2503183980411</v>
          </cell>
          <cell r="CN95">
            <v>1589.7643990279328</v>
          </cell>
          <cell r="CS95">
            <v>1742.6997342144198</v>
          </cell>
          <cell r="CY95">
            <v>0.11818181818181817</v>
          </cell>
          <cell r="CZ95">
            <v>6.5040650406503975E-2</v>
          </cell>
          <cell r="DA95">
            <v>-4.5801526717557217E-2</v>
          </cell>
          <cell r="DB95">
            <v>0.20799999999999996</v>
          </cell>
          <cell r="DD95">
            <v>1.5454545454545454</v>
          </cell>
          <cell r="DE95">
            <v>0</v>
          </cell>
          <cell r="DF95">
            <v>-0.4642857142857143</v>
          </cell>
          <cell r="DG95">
            <v>0.26666666666666661</v>
          </cell>
        </row>
        <row r="96">
          <cell r="A96" t="str">
            <v>YoY % Chg.</v>
          </cell>
          <cell r="I96">
            <v>0.14409492509283361</v>
          </cell>
          <cell r="J96">
            <v>0.148740906547286</v>
          </cell>
          <cell r="K96">
            <v>0.25165627435697568</v>
          </cell>
          <cell r="L96">
            <v>1.0908439128458016</v>
          </cell>
          <cell r="M96">
            <v>1.0204874301079858</v>
          </cell>
          <cell r="N96">
            <v>0.8463719455325498</v>
          </cell>
          <cell r="O96">
            <v>0.95385164977916337</v>
          </cell>
          <cell r="P96">
            <v>0.50634389351599607</v>
          </cell>
          <cell r="Q96">
            <v>0.79856482139720786</v>
          </cell>
          <cell r="R96">
            <v>0.33248130466010384</v>
          </cell>
          <cell r="S96">
            <v>0.35636062393922274</v>
          </cell>
          <cell r="T96">
            <v>0.27056496517793316</v>
          </cell>
          <cell r="U96">
            <v>0.28749827752514823</v>
          </cell>
          <cell r="V96">
            <v>0.30851108352050005</v>
          </cell>
          <cell r="W96">
            <v>0.3228435087274284</v>
          </cell>
          <cell r="X96">
            <v>0.33662053657882574</v>
          </cell>
          <cell r="Y96">
            <v>0.2670556376813491</v>
          </cell>
          <cell r="Z96">
            <v>0.29590485236865716</v>
          </cell>
          <cell r="AA96">
            <v>0.30381955549869577</v>
          </cell>
          <cell r="AB96">
            <v>0.29202670150165977</v>
          </cell>
          <cell r="AC96">
            <v>0.26550832534605351</v>
          </cell>
          <cell r="AD96">
            <v>0.2977956739455887</v>
          </cell>
          <cell r="AE96">
            <v>0.36205027615753882</v>
          </cell>
          <cell r="AF96">
            <v>0.30555184566365101</v>
          </cell>
          <cell r="AG96">
            <v>0.35425942416147227</v>
          </cell>
          <cell r="AH96">
            <v>0.35624267937190113</v>
          </cell>
          <cell r="AI96">
            <v>0.22515871374246221</v>
          </cell>
          <cell r="AJ96">
            <v>9.1446545647478006E-2</v>
          </cell>
          <cell r="AK96">
            <v>0.24846030188521695</v>
          </cell>
          <cell r="AL96">
            <v>0.15753424657534243</v>
          </cell>
          <cell r="AM96">
            <v>0.12337662337662336</v>
          </cell>
          <cell r="AN96">
            <v>0.14935064935064934</v>
          </cell>
          <cell r="AO96">
            <v>0.1875</v>
          </cell>
          <cell r="AP96">
            <v>0.15384615384615374</v>
          </cell>
          <cell r="AQ96">
            <v>0.20000000000000018</v>
          </cell>
          <cell r="AR96">
            <v>9.8265895953757232E-2</v>
          </cell>
          <cell r="AS96">
            <v>9.6045197740112886E-2</v>
          </cell>
          <cell r="AT96">
            <v>3.274853801169586E-2</v>
          </cell>
          <cell r="AU96">
            <v>0.10637681159420276</v>
          </cell>
          <cell r="AV96">
            <v>-7.5936883629191376E-2</v>
          </cell>
          <cell r="AW96">
            <v>-4.2631578947368354E-2</v>
          </cell>
          <cell r="AX96">
            <v>5.5154639175257758E-2</v>
          </cell>
          <cell r="AY96">
            <v>0.18346545866364661</v>
          </cell>
          <cell r="AZ96">
            <v>2.56746135708672E-2</v>
          </cell>
          <cell r="BA96">
            <v>0.21664887940234778</v>
          </cell>
          <cell r="BB96">
            <v>0.22045079714128635</v>
          </cell>
          <cell r="BC96">
            <v>0.18221787982413296</v>
          </cell>
          <cell r="BD96">
            <v>0.10239234449760759</v>
          </cell>
          <cell r="BE96">
            <v>0.17803320561941249</v>
          </cell>
          <cell r="BF96">
            <v>3.9473684210526327E-2</v>
          </cell>
          <cell r="BG96">
            <v>9.4594594594594517E-2</v>
          </cell>
          <cell r="BH96">
            <v>2.8925619834710758E-2</v>
          </cell>
          <cell r="BI96">
            <v>7.204861111111116E-2</v>
          </cell>
          <cell r="BJ96">
            <v>5.8109280138768371E-2</v>
          </cell>
          <cell r="BK96">
            <v>2.9535864978903037E-2</v>
          </cell>
          <cell r="BL96">
            <v>3.292181069958855E-2</v>
          </cell>
          <cell r="BM96">
            <v>8.032128514056236E-2</v>
          </cell>
          <cell r="BN96">
            <v>7.6923076923076872E-2</v>
          </cell>
          <cell r="BO96">
            <v>5.5327868852458995E-2</v>
          </cell>
          <cell r="BP96">
            <v>0.14344262295081966</v>
          </cell>
          <cell r="BQ96">
            <v>9.1633466135458086E-2</v>
          </cell>
          <cell r="BR96">
            <v>8.5501858736059422E-2</v>
          </cell>
          <cell r="BS96">
            <v>6.7669172932330879E-2</v>
          </cell>
          <cell r="BT96">
            <v>9.6116504854368845E-2</v>
          </cell>
          <cell r="BU96">
            <v>0.11827956989247301</v>
          </cell>
          <cell r="BV96">
            <v>0.2007299270072993</v>
          </cell>
          <cell r="BW96">
            <v>7.1917808219178037E-2</v>
          </cell>
          <cell r="BX96">
            <v>-1.4084507042253502E-2</v>
          </cell>
          <cell r="BY96">
            <v>9.3002657218777651E-2</v>
          </cell>
          <cell r="BZ96">
            <v>5.4487179487179516E-2</v>
          </cell>
          <cell r="CA96">
            <v>5.1671732522796443E-2</v>
          </cell>
          <cell r="CB96">
            <v>0.14696485623003186</v>
          </cell>
          <cell r="CC96">
            <v>0.14642857142857135</v>
          </cell>
          <cell r="CD96">
            <v>9.8055105348460181E-2</v>
          </cell>
          <cell r="CE96">
            <v>0.10334346504559266</v>
          </cell>
          <cell r="CF96">
            <v>0.10499999999999998</v>
          </cell>
          <cell r="CG96">
            <v>7.5349999999999806E-2</v>
          </cell>
          <cell r="CH96">
            <v>7.6099999999999834E-2</v>
          </cell>
          <cell r="CI96">
            <v>8.9895756457564424E-2</v>
          </cell>
          <cell r="CN96">
            <v>9.6200000000000063E-2</v>
          </cell>
          <cell r="CQ96">
            <v>8.5976229849585126E-2</v>
          </cell>
          <cell r="CR96">
            <v>-4.9466146493578238E-3</v>
          </cell>
          <cell r="CS96">
            <v>9.6200000000000063E-2</v>
          </cell>
          <cell r="CT96">
            <v>-3.6350786029442861E-2</v>
          </cell>
          <cell r="DD96">
            <v>0.11818181818181817</v>
          </cell>
          <cell r="DE96">
            <v>6.5040650406503975E-2</v>
          </cell>
          <cell r="DF96">
            <v>-4.5801526717557217E-2</v>
          </cell>
          <cell r="DG96">
            <v>0.20799999999999996</v>
          </cell>
        </row>
        <row r="97">
          <cell r="A97" t="str">
            <v>Sequential % change</v>
          </cell>
          <cell r="H97">
            <v>3.1412398170146356</v>
          </cell>
          <cell r="I97">
            <v>0.14409492509283361</v>
          </cell>
          <cell r="J97">
            <v>0.148740906547286</v>
          </cell>
          <cell r="K97">
            <v>0.25165627435697568</v>
          </cell>
          <cell r="L97">
            <v>2.8412408243108151</v>
          </cell>
          <cell r="M97">
            <v>0.22825043460211214</v>
          </cell>
          <cell r="N97">
            <v>4.5502556086019608E-2</v>
          </cell>
          <cell r="O97">
            <v>0.21561060373393692</v>
          </cell>
          <cell r="P97">
            <v>-3.5021524857470676E-2</v>
          </cell>
          <cell r="Q97">
            <v>2.6098375982926081</v>
          </cell>
          <cell r="R97">
            <v>8.6485462312250183E-2</v>
          </cell>
          <cell r="S97">
            <v>6.4238946050065859E-2</v>
          </cell>
          <cell r="T97">
            <v>0.13871799073425795</v>
          </cell>
          <cell r="U97">
            <v>-2.2160882249054881E-2</v>
          </cell>
          <cell r="V97">
            <v>2.0630833063528486</v>
          </cell>
          <cell r="W97">
            <v>0.11631236036228887</v>
          </cell>
          <cell r="X97">
            <v>7.5322683093443255E-2</v>
          </cell>
          <cell r="Y97">
            <v>7.9453001359695019E-2</v>
          </cell>
          <cell r="Z97">
            <v>1.0324712198661601E-4</v>
          </cell>
          <cell r="AA97">
            <v>1.9400666837607283</v>
          </cell>
          <cell r="AB97">
            <v>0.1129716615908738</v>
          </cell>
          <cell r="AC97">
            <v>5.3252077767883543E-2</v>
          </cell>
          <cell r="AD97">
            <v>0.10699345656941062</v>
          </cell>
          <cell r="AE97">
            <v>4.9618927906569743E-2</v>
          </cell>
          <cell r="AF97">
            <v>2.0207910410345584</v>
          </cell>
          <cell r="AG97">
            <v>0.10660552544813728</v>
          </cell>
          <cell r="AH97">
            <v>5.4794520547945202E-2</v>
          </cell>
          <cell r="AI97">
            <v>0</v>
          </cell>
          <cell r="AJ97">
            <v>-6.4935064935064957E-2</v>
          </cell>
          <cell r="AK97">
            <v>2.091347835210184</v>
          </cell>
          <cell r="AL97">
            <v>0.17361111111111116</v>
          </cell>
          <cell r="AM97">
            <v>2.3668639053254337E-2</v>
          </cell>
          <cell r="AN97">
            <v>2.3121387283236983E-2</v>
          </cell>
          <cell r="AO97">
            <v>-3.3898305084745783E-2</v>
          </cell>
          <cell r="AP97">
            <v>2.162738214643932</v>
          </cell>
          <cell r="AQ97">
            <v>0.18596491228070189</v>
          </cell>
          <cell r="AR97">
            <v>-6.3116370808678601E-2</v>
          </cell>
          <cell r="AS97">
            <v>2.1052631578947434E-2</v>
          </cell>
          <cell r="AT97">
            <v>-8.9690721649484551E-2</v>
          </cell>
          <cell r="AU97">
            <v>2.353122495530485</v>
          </cell>
          <cell r="AV97">
            <v>6.1155152887882203E-2</v>
          </cell>
          <cell r="AW97">
            <v>-2.934898612593384E-2</v>
          </cell>
          <cell r="AX97">
            <v>0.12534359538207807</v>
          </cell>
          <cell r="AY97">
            <v>2.1006350757205805E-2</v>
          </cell>
          <cell r="AZ97">
            <v>2.4049093321539141</v>
          </cell>
          <cell r="BA97">
            <v>9.0909090909090828E-2</v>
          </cell>
          <cell r="BB97">
            <v>-2.6315789473684181E-2</v>
          </cell>
          <cell r="BC97">
            <v>9.0090090090090058E-2</v>
          </cell>
          <cell r="BD97">
            <v>-4.7933884297520657E-2</v>
          </cell>
          <cell r="BE97">
            <v>2.6548439763967551</v>
          </cell>
          <cell r="BF97">
            <v>2.8645833333333259E-2</v>
          </cell>
          <cell r="BG97">
            <v>2.5316455696202445E-2</v>
          </cell>
          <cell r="BH97">
            <v>2.4691358024691468E-2</v>
          </cell>
          <cell r="BI97">
            <v>-8.0321285140562138E-3</v>
          </cell>
          <cell r="BJ97">
            <v>2.621414252452023</v>
          </cell>
          <cell r="BK97">
            <v>-1.2145748987854255E-2</v>
          </cell>
          <cell r="BL97">
            <v>2.8688524590164022E-2</v>
          </cell>
          <cell r="BM97">
            <v>7.1713147410358502E-2</v>
          </cell>
          <cell r="BN97">
            <v>-1.1152416356877359E-2</v>
          </cell>
          <cell r="BO97">
            <v>2.5701809107922644</v>
          </cell>
          <cell r="BP97">
            <v>4.8872180451127845E-2</v>
          </cell>
          <cell r="BQ97">
            <v>-1.7921146953404965E-2</v>
          </cell>
          <cell r="BR97">
            <v>6.5693430656934337E-2</v>
          </cell>
          <cell r="BS97">
            <v>-2.7397260273972601E-2</v>
          </cell>
          <cell r="BT97">
            <v>2.6363721277788157</v>
          </cell>
          <cell r="BU97">
            <v>9.8591549295774739E-2</v>
          </cell>
          <cell r="BV97">
            <v>5.4487179487179516E-2</v>
          </cell>
          <cell r="BW97">
            <v>-4.8632218844984809E-2</v>
          </cell>
          <cell r="BX97">
            <v>-0.10543130990415339</v>
          </cell>
          <cell r="BY97">
            <v>2.742648856488787</v>
          </cell>
          <cell r="BZ97">
            <v>0.17500000000000004</v>
          </cell>
          <cell r="CA97">
            <v>5.1671732522796443E-2</v>
          </cell>
          <cell r="CB97">
            <v>3.7572254335260125E-2</v>
          </cell>
          <cell r="CC97">
            <v>-0.10584958217270191</v>
          </cell>
          <cell r="CD97">
            <v>2.7703072394857942</v>
          </cell>
          <cell r="CE97">
            <v>0.13084112149532712</v>
          </cell>
          <cell r="CF97">
            <v>5.3250688705234195E-2</v>
          </cell>
          <cell r="CG97">
            <v>9.7315146601102409E-3</v>
          </cell>
          <cell r="CH97">
            <v>-0.10522595933979129</v>
          </cell>
          <cell r="CI97">
            <v>2.9226741376575127</v>
          </cell>
          <cell r="CN97">
            <v>2.9665142497223753</v>
          </cell>
          <cell r="CV97">
            <v>8.5976229849585126E-2</v>
          </cell>
          <cell r="CW97">
            <v>-4.9466146493578238E-3</v>
          </cell>
          <cell r="CX97">
            <v>4.9393674174043133E-2</v>
          </cell>
          <cell r="CY97">
            <v>-3.6350786029442861E-2</v>
          </cell>
        </row>
        <row r="98">
          <cell r="A98" t="str">
            <v>All Other Operating Expenses per ASM (cents)</v>
          </cell>
          <cell r="H98">
            <v>3.1412398170146356</v>
          </cell>
          <cell r="I98">
            <v>2.7900252304464037</v>
          </cell>
          <cell r="J98">
            <v>2.7225151258208355</v>
          </cell>
          <cell r="K98">
            <v>2.8118611644917988</v>
          </cell>
          <cell r="L98">
            <v>2.8412408243108151</v>
          </cell>
          <cell r="M98">
            <v>2.9317445670013065</v>
          </cell>
          <cell r="N98">
            <v>2.5615479011838334</v>
          </cell>
          <cell r="O98">
            <v>2.7012186306546093</v>
          </cell>
          <cell r="P98">
            <v>2.3543524253406769</v>
          </cell>
          <cell r="Q98">
            <v>2.6098375982926081</v>
          </cell>
          <cell r="R98">
            <v>2.1615992208551473</v>
          </cell>
          <cell r="S98">
            <v>2.0496034005664967</v>
          </cell>
          <cell r="T98">
            <v>2.0632734306276572</v>
          </cell>
          <cell r="U98">
            <v>1.9978579964435366</v>
          </cell>
          <cell r="V98">
            <v>2.0630833063528486</v>
          </cell>
          <cell r="W98">
            <v>1.9779685766572161</v>
          </cell>
          <cell r="X98">
            <v>1.9267758189913879</v>
          </cell>
          <cell r="Y98">
            <v>1.9605957798254279</v>
          </cell>
          <cell r="Z98">
            <v>1.9009328730196859</v>
          </cell>
          <cell r="AA98">
            <v>1.9400666837607283</v>
          </cell>
          <cell r="AB98">
            <v>2.0858045606853466</v>
          </cell>
          <cell r="AC98">
            <v>1.9422701926037425</v>
          </cell>
          <cell r="AD98">
            <v>1.9851664486686535</v>
          </cell>
          <cell r="AE98">
            <v>2.0756314247466991</v>
          </cell>
          <cell r="AF98">
            <v>2.0207910410345584</v>
          </cell>
          <cell r="AG98">
            <v>2.2198570776949977</v>
          </cell>
          <cell r="AH98">
            <v>2.1382949180783117</v>
          </cell>
          <cell r="AI98">
            <v>2.0432532837999204</v>
          </cell>
          <cell r="AJ98">
            <v>1.9785655399835118</v>
          </cell>
          <cell r="AK98">
            <v>2.091347835210184</v>
          </cell>
          <cell r="AL98">
            <v>2.2930800542740841</v>
          </cell>
          <cell r="AM98">
            <v>2.1448053558145301</v>
          </cell>
          <cell r="AN98">
            <v>2.1184919210053859</v>
          </cell>
          <cell r="AO98">
            <v>2.1077283372365341</v>
          </cell>
          <cell r="AP98">
            <v>2.162738214643932</v>
          </cell>
          <cell r="AQ98">
            <v>2.415723645026802</v>
          </cell>
          <cell r="AR98">
            <v>2.266491709411905</v>
          </cell>
          <cell r="AS98">
            <v>2.3792003924454255</v>
          </cell>
          <cell r="AT98">
            <v>2.351531291611185</v>
          </cell>
          <cell r="AU98">
            <v>2.353122495530485</v>
          </cell>
          <cell r="AV98">
            <v>2.359488315874295</v>
          </cell>
          <cell r="AW98">
            <v>2.2083282748573509</v>
          </cell>
          <cell r="AX98">
            <v>2.439518531760219</v>
          </cell>
          <cell r="AY98">
            <v>2.6164246369554331</v>
          </cell>
          <cell r="AZ98">
            <v>2.4049093321539141</v>
          </cell>
          <cell r="BA98">
            <v>2.7066748025195815</v>
          </cell>
          <cell r="BB98">
            <v>2.555181562914782</v>
          </cell>
          <cell r="BC98">
            <v>2.6587563172929025</v>
          </cell>
          <cell r="BD98">
            <v>2.7009949368068003</v>
          </cell>
          <cell r="BE98">
            <v>2.6548439763967551</v>
          </cell>
          <cell r="BF98">
            <v>2.7846934916073218</v>
          </cell>
          <cell r="BG98">
            <v>2.5738798856053386</v>
          </cell>
          <cell r="BH98">
            <v>2.5266362252663623</v>
          </cell>
          <cell r="BI98">
            <v>2.6206896551724137</v>
          </cell>
          <cell r="BJ98">
            <v>2.621414252452023</v>
          </cell>
          <cell r="BK98">
            <v>2.5587248322147653</v>
          </cell>
          <cell r="BL98">
            <v>2.5198273265736368</v>
          </cell>
          <cell r="BM98">
            <v>2.5130792227204783</v>
          </cell>
          <cell r="BN98">
            <v>2.693943690500304</v>
          </cell>
          <cell r="BO98">
            <v>2.5701809107922644</v>
          </cell>
          <cell r="BP98">
            <v>2.7514792899408285</v>
          </cell>
          <cell r="BQ98">
            <v>2.5509729075505074</v>
          </cell>
          <cell r="BR98">
            <v>2.5950942054745822</v>
          </cell>
          <cell r="BS98">
            <v>2.656439996258535</v>
          </cell>
          <cell r="BT98">
            <v>2.6363721277788157</v>
          </cell>
          <cell r="BU98">
            <v>2.9945292254534985</v>
          </cell>
          <cell r="BV98">
            <v>2.8895134375548923</v>
          </cell>
          <cell r="BW98">
            <v>2.6633764465622876</v>
          </cell>
          <cell r="BX98">
            <v>2.4484085344526059</v>
          </cell>
          <cell r="BY98">
            <v>2.742648856488787</v>
          </cell>
          <cell r="BZ98">
            <v>2.8811629739907172</v>
          </cell>
          <cell r="CA98">
            <v>2.8274903979733592</v>
          </cell>
          <cell r="CB98">
            <v>2.7666461159062883</v>
          </cell>
          <cell r="CC98">
            <v>2.4484085344526059</v>
          </cell>
          <cell r="CD98">
            <v>2.726738949814028</v>
          </cell>
          <cell r="CE98">
            <v>2.8955687888606705</v>
          </cell>
          <cell r="CF98">
            <v>2.8416278499632259</v>
          </cell>
          <cell r="CG98">
            <v>2.7251464241676939</v>
          </cell>
          <cell r="CH98">
            <v>2.4484085344526059</v>
          </cell>
          <cell r="CI98">
            <v>2.726299528042146</v>
          </cell>
          <cell r="CN98">
            <v>2.7671940209627781</v>
          </cell>
          <cell r="CS98">
            <v>2.8087019312772195</v>
          </cell>
          <cell r="CU98" t="str">
            <v>Assume mean reversion to inflation over time</v>
          </cell>
        </row>
        <row r="99">
          <cell r="A99" t="str">
            <v>YoY % Chg.</v>
          </cell>
          <cell r="M99">
            <v>-6.6691899446387648E-2</v>
          </cell>
          <cell r="N99">
            <v>-8.1890775312456254E-2</v>
          </cell>
          <cell r="O99">
            <v>-7.8223606415429581E-3</v>
          </cell>
          <cell r="P99">
            <v>-0.1627067313737055</v>
          </cell>
          <cell r="Q99">
            <v>-8.1444425280049026E-2</v>
          </cell>
          <cell r="R99">
            <v>-0.26269183025514786</v>
          </cell>
          <cell r="S99">
            <v>-0.1998574769500655</v>
          </cell>
          <cell r="T99">
            <v>-0.23616940620328586</v>
          </cell>
          <cell r="U99">
            <v>-0.15141931388863983</v>
          </cell>
          <cell r="V99">
            <v>-0.20949743857527903</v>
          </cell>
          <cell r="W99">
            <v>-8.495129088975395E-2</v>
          </cell>
          <cell r="X99">
            <v>-5.9927487211018482E-2</v>
          </cell>
          <cell r="Y99">
            <v>-4.9764441919360358E-2</v>
          </cell>
          <cell r="Z99">
            <v>-4.8514520850025722E-2</v>
          </cell>
          <cell r="AA99">
            <v>-5.9627559494721094E-2</v>
          </cell>
          <cell r="AB99">
            <v>5.4518552671030784E-2</v>
          </cell>
          <cell r="AC99">
            <v>8.0416068437403343E-3</v>
          </cell>
          <cell r="AD99">
            <v>1.2532246114195678E-2</v>
          </cell>
          <cell r="AE99">
            <v>9.1901483848558785E-2</v>
          </cell>
          <cell r="AF99">
            <v>4.1609063208770669E-2</v>
          </cell>
          <cell r="AG99">
            <v>6.4268973007521213E-2</v>
          </cell>
          <cell r="AH99">
            <v>0.10092556958400567</v>
          </cell>
          <cell r="AI99">
            <v>2.9260435652749717E-2</v>
          </cell>
          <cell r="AJ99">
            <v>-4.6764509154139877E-2</v>
          </cell>
          <cell r="AK99">
            <v>3.4915432987818296E-2</v>
          </cell>
          <cell r="AL99">
            <v>3.2985446367167937E-2</v>
          </cell>
          <cell r="AM99">
            <v>3.0446865309250448E-3</v>
          </cell>
          <cell r="AN99">
            <v>3.6822961598544923E-2</v>
          </cell>
          <cell r="AO99">
            <v>6.5281030444964916E-2</v>
          </cell>
          <cell r="AP99">
            <v>3.4136062032250614E-2</v>
          </cell>
          <cell r="AQ99">
            <v>5.3484216795711914E-2</v>
          </cell>
          <cell r="AR99">
            <v>5.6735383128117212E-2</v>
          </cell>
          <cell r="AS99">
            <v>0.12306323609500169</v>
          </cell>
          <cell r="AT99">
            <v>0.11567095724219545</v>
          </cell>
          <cell r="AU99">
            <v>8.8029276773979426E-2</v>
          </cell>
          <cell r="AV99">
            <v>-2.327887515953142E-2</v>
          </cell>
          <cell r="AW99">
            <v>-2.5662319572148817E-2</v>
          </cell>
          <cell r="AX99">
            <v>2.5352273606846776E-2</v>
          </cell>
          <cell r="AY99">
            <v>0.11264717007561176</v>
          </cell>
          <cell r="AZ99">
            <v>2.2007709637638095E-2</v>
          </cell>
          <cell r="BA99">
            <v>0.1471448213197184</v>
          </cell>
          <cell r="BB99">
            <v>0.15706599965525347</v>
          </cell>
          <cell r="BC99">
            <v>8.9869284729103383E-2</v>
          </cell>
          <cell r="BD99">
            <v>3.2322849531709164E-2</v>
          </cell>
          <cell r="BE99">
            <v>0.10392684701297727</v>
          </cell>
          <cell r="BF99">
            <v>2.8824552183038143E-2</v>
          </cell>
          <cell r="BG99">
            <v>7.3178058897807041E-3</v>
          </cell>
          <cell r="BH99">
            <v>-4.9692441224197026E-2</v>
          </cell>
          <cell r="BI99">
            <v>-2.9731740900383108E-2</v>
          </cell>
          <cell r="BJ99">
            <v>-1.2591973103483145E-2</v>
          </cell>
          <cell r="BK99">
            <v>-8.1146689958372265E-2</v>
          </cell>
          <cell r="BL99">
            <v>-2.100042015713155E-2</v>
          </cell>
          <cell r="BM99">
            <v>-5.3656329353287679E-3</v>
          </cell>
          <cell r="BN99">
            <v>2.7952197690905622E-2</v>
          </cell>
          <cell r="BO99">
            <v>-1.9544160794821241E-2</v>
          </cell>
          <cell r="BP99">
            <v>7.5332233970317075E-2</v>
          </cell>
          <cell r="BQ99">
            <v>1.2360204466558056E-2</v>
          </cell>
          <cell r="BR99">
            <v>3.2635255591075385E-2</v>
          </cell>
          <cell r="BS99">
            <v>-1.3921484095610004E-2</v>
          </cell>
          <cell r="BT99">
            <v>2.5753524473165479E-2</v>
          </cell>
          <cell r="BU99">
            <v>8.8334277637938108E-2</v>
          </cell>
          <cell r="BV99">
            <v>0.13271035886047811</v>
          </cell>
          <cell r="BW99">
            <v>2.6312047147906137E-2</v>
          </cell>
          <cell r="BX99">
            <v>-7.8312125287577028E-2</v>
          </cell>
          <cell r="BY99">
            <v>4.0311732774807929E-2</v>
          </cell>
          <cell r="BZ99">
            <v>-3.7857787627907702E-2</v>
          </cell>
          <cell r="CA99">
            <v>-2.1464873212016289E-2</v>
          </cell>
          <cell r="CB99">
            <v>3.8773966585645248E-2</v>
          </cell>
          <cell r="CC99">
            <v>0</v>
          </cell>
          <cell r="CD99">
            <v>-5.8009273178073473E-3</v>
          </cell>
          <cell r="CE99">
            <v>5.0000000000000001E-3</v>
          </cell>
          <cell r="CF99">
            <v>5.000000000000001E-3</v>
          </cell>
          <cell r="CG99">
            <v>-1.4999999999999999E-2</v>
          </cell>
          <cell r="CH99">
            <v>0</v>
          </cell>
          <cell r="CI99">
            <v>-1.6115285693629744E-4</v>
          </cell>
          <cell r="CN99">
            <v>1.4999999999999999E-2</v>
          </cell>
          <cell r="CS99">
            <v>1.4999999999999999E-2</v>
          </cell>
          <cell r="CZ99" t="str">
            <v>Assume mean reversion to inflation over time</v>
          </cell>
        </row>
        <row r="100">
          <cell r="A100" t="str">
            <v>Other Expense Detail</v>
          </cell>
          <cell r="B100">
            <v>0.88700000000000001</v>
          </cell>
          <cell r="G100">
            <v>16.978000000000002</v>
          </cell>
          <cell r="H100">
            <v>5.6909999999999998</v>
          </cell>
          <cell r="I100">
            <v>6.5830000000000002</v>
          </cell>
          <cell r="J100">
            <v>7.46</v>
          </cell>
          <cell r="K100">
            <v>8.7460000000000004</v>
          </cell>
          <cell r="L100">
            <v>28.480000000000004</v>
          </cell>
          <cell r="M100">
            <v>9.85</v>
          </cell>
          <cell r="N100">
            <v>11.785</v>
          </cell>
          <cell r="O100">
            <v>11.795</v>
          </cell>
          <cell r="P100">
            <v>10.914999999999999</v>
          </cell>
          <cell r="Q100">
            <v>44.344999999999999</v>
          </cell>
          <cell r="R100">
            <v>11.427</v>
          </cell>
          <cell r="S100">
            <v>14.541</v>
          </cell>
          <cell r="T100">
            <v>15.067</v>
          </cell>
          <cell r="U100">
            <v>12.552</v>
          </cell>
          <cell r="V100">
            <v>53.586999999999996</v>
          </cell>
          <cell r="W100">
            <v>13.420999999999999</v>
          </cell>
          <cell r="X100">
            <v>18.341999999999999</v>
          </cell>
          <cell r="Y100">
            <v>14.657</v>
          </cell>
          <cell r="Z100">
            <v>16.774999999999999</v>
          </cell>
          <cell r="AA100">
            <v>63.195</v>
          </cell>
          <cell r="AB100">
            <v>19.457000000000001</v>
          </cell>
          <cell r="AC100">
            <v>20.291</v>
          </cell>
          <cell r="AD100">
            <v>21.995999999999999</v>
          </cell>
          <cell r="AE100">
            <v>19.748999999999999</v>
          </cell>
          <cell r="AF100">
            <v>81.492999999999995</v>
          </cell>
          <cell r="AG100">
            <v>20</v>
          </cell>
          <cell r="AH100">
            <v>30</v>
          </cell>
          <cell r="AI100">
            <v>27</v>
          </cell>
          <cell r="AJ100">
            <v>27</v>
          </cell>
          <cell r="AK100">
            <v>104</v>
          </cell>
          <cell r="AL100">
            <v>29</v>
          </cell>
          <cell r="AM100">
            <v>31</v>
          </cell>
          <cell r="AN100">
            <v>32</v>
          </cell>
          <cell r="AO100">
            <v>29</v>
          </cell>
          <cell r="AP100">
            <v>121</v>
          </cell>
          <cell r="AQ100">
            <v>39</v>
          </cell>
          <cell r="AR100">
            <v>41</v>
          </cell>
          <cell r="AS100">
            <v>38</v>
          </cell>
          <cell r="AT100">
            <v>33</v>
          </cell>
          <cell r="AU100">
            <v>151</v>
          </cell>
          <cell r="AV100">
            <v>37</v>
          </cell>
          <cell r="AW100">
            <v>38</v>
          </cell>
          <cell r="AX100">
            <v>38</v>
          </cell>
          <cell r="AY100">
            <v>38</v>
          </cell>
          <cell r="AZ100">
            <v>151</v>
          </cell>
          <cell r="BA100">
            <v>40</v>
          </cell>
          <cell r="BB100">
            <v>43</v>
          </cell>
          <cell r="BC100">
            <v>47</v>
          </cell>
          <cell r="BD100">
            <v>49</v>
          </cell>
          <cell r="BE100">
            <v>179</v>
          </cell>
          <cell r="BF100">
            <v>45</v>
          </cell>
          <cell r="BG100">
            <v>51</v>
          </cell>
          <cell r="BH100">
            <v>49</v>
          </cell>
          <cell r="BI100">
            <v>54</v>
          </cell>
          <cell r="BJ100">
            <v>199</v>
          </cell>
          <cell r="BK100">
            <v>47</v>
          </cell>
          <cell r="BL100">
            <v>54</v>
          </cell>
          <cell r="BM100">
            <v>51</v>
          </cell>
          <cell r="BN100">
            <v>52</v>
          </cell>
          <cell r="BO100">
            <v>204</v>
          </cell>
          <cell r="BP100">
            <v>50</v>
          </cell>
          <cell r="BQ100">
            <v>53</v>
          </cell>
          <cell r="BR100">
            <v>60</v>
          </cell>
          <cell r="BS100">
            <v>60</v>
          </cell>
          <cell r="BT100">
            <v>223</v>
          </cell>
          <cell r="BU100">
            <v>54</v>
          </cell>
          <cell r="BV100">
            <v>69</v>
          </cell>
          <cell r="BW100">
            <v>59</v>
          </cell>
          <cell r="BX100">
            <v>49</v>
          </cell>
          <cell r="BY100">
            <v>231</v>
          </cell>
          <cell r="BZ100">
            <v>60</v>
          </cell>
          <cell r="CA100">
            <v>70</v>
          </cell>
          <cell r="CB100">
            <v>73.84651517341041</v>
          </cell>
          <cell r="CC100">
            <v>64.804624277456654</v>
          </cell>
          <cell r="CD100">
            <v>268.65113945086705</v>
          </cell>
          <cell r="CE100">
            <v>71.53028189415042</v>
          </cell>
          <cell r="CF100">
            <v>73.54721532033426</v>
          </cell>
          <cell r="CG100">
            <v>71.725500000000011</v>
          </cell>
          <cell r="CH100">
            <v>63.718385332311996</v>
          </cell>
          <cell r="CI100">
            <v>307.51824305092117</v>
          </cell>
          <cell r="CN100">
            <v>337.10149803241978</v>
          </cell>
          <cell r="DE100" t="str">
            <v>mstag:otherOperatingExpense</v>
          </cell>
          <cell r="DF100">
            <v>6</v>
          </cell>
          <cell r="DG100" t="str">
            <v>ISO4217:USD</v>
          </cell>
          <cell r="DH100" t="b">
            <v>0</v>
          </cell>
          <cell r="DI100" t="b">
            <v>0</v>
          </cell>
        </row>
        <row r="101">
          <cell r="A101" t="str">
            <v>Sales and Marketing</v>
          </cell>
          <cell r="B101">
            <v>0.88700000000000001</v>
          </cell>
          <cell r="G101">
            <v>16.978000000000002</v>
          </cell>
          <cell r="H101">
            <v>5.6909999999999998</v>
          </cell>
          <cell r="I101">
            <v>6.5830000000000002</v>
          </cell>
          <cell r="J101">
            <v>7.46</v>
          </cell>
          <cell r="K101">
            <v>8.7460000000000004</v>
          </cell>
          <cell r="L101">
            <v>28.480000000000004</v>
          </cell>
          <cell r="M101">
            <v>9.85</v>
          </cell>
          <cell r="N101">
            <v>11.785</v>
          </cell>
          <cell r="O101">
            <v>11.795</v>
          </cell>
          <cell r="P101">
            <v>10.914999999999999</v>
          </cell>
          <cell r="Q101">
            <v>44.344999999999999</v>
          </cell>
          <cell r="R101">
            <v>11.427</v>
          </cell>
          <cell r="S101">
            <v>14.541</v>
          </cell>
          <cell r="T101">
            <v>15.067</v>
          </cell>
          <cell r="U101">
            <v>12.552</v>
          </cell>
          <cell r="V101">
            <v>53.586999999999996</v>
          </cell>
          <cell r="W101">
            <v>13.420999999999999</v>
          </cell>
          <cell r="X101">
            <v>18.341999999999999</v>
          </cell>
          <cell r="Y101">
            <v>14.657</v>
          </cell>
          <cell r="Z101">
            <v>16.774999999999999</v>
          </cell>
          <cell r="AA101">
            <v>63.195</v>
          </cell>
          <cell r="AB101">
            <v>19.457000000000001</v>
          </cell>
          <cell r="AC101">
            <v>20.291</v>
          </cell>
          <cell r="AD101">
            <v>21.995999999999999</v>
          </cell>
          <cell r="AE101">
            <v>19.748999999999999</v>
          </cell>
          <cell r="AF101">
            <v>81.492999999999995</v>
          </cell>
          <cell r="AG101">
            <v>20</v>
          </cell>
          <cell r="AH101">
            <v>30</v>
          </cell>
          <cell r="AI101">
            <v>27</v>
          </cell>
          <cell r="AJ101">
            <v>27</v>
          </cell>
          <cell r="AK101">
            <v>104</v>
          </cell>
          <cell r="AL101">
            <v>29</v>
          </cell>
          <cell r="AM101">
            <v>31</v>
          </cell>
          <cell r="AN101">
            <v>32</v>
          </cell>
          <cell r="AO101">
            <v>29</v>
          </cell>
          <cell r="AP101">
            <v>121</v>
          </cell>
          <cell r="AQ101">
            <v>39</v>
          </cell>
          <cell r="AR101">
            <v>41</v>
          </cell>
          <cell r="AS101">
            <v>38</v>
          </cell>
          <cell r="AT101">
            <v>33</v>
          </cell>
          <cell r="AU101">
            <v>151</v>
          </cell>
          <cell r="AV101">
            <v>37</v>
          </cell>
          <cell r="AW101">
            <v>38</v>
          </cell>
          <cell r="AX101">
            <v>38</v>
          </cell>
          <cell r="AY101">
            <v>38</v>
          </cell>
          <cell r="AZ101">
            <v>151</v>
          </cell>
          <cell r="BA101">
            <v>40</v>
          </cell>
          <cell r="BB101">
            <v>43</v>
          </cell>
          <cell r="BC101">
            <v>47</v>
          </cell>
          <cell r="BD101">
            <v>49</v>
          </cell>
          <cell r="BE101">
            <v>179</v>
          </cell>
          <cell r="BF101">
            <v>45</v>
          </cell>
          <cell r="BG101">
            <v>51</v>
          </cell>
          <cell r="BH101">
            <v>49</v>
          </cell>
          <cell r="BI101">
            <v>54</v>
          </cell>
          <cell r="BJ101">
            <v>199</v>
          </cell>
          <cell r="BK101">
            <v>47</v>
          </cell>
          <cell r="BL101">
            <v>54</v>
          </cell>
          <cell r="BM101">
            <v>51</v>
          </cell>
          <cell r="BN101">
            <v>52</v>
          </cell>
          <cell r="BO101">
            <v>204</v>
          </cell>
          <cell r="BP101">
            <v>50</v>
          </cell>
          <cell r="BQ101">
            <v>53</v>
          </cell>
          <cell r="BR101">
            <v>60</v>
          </cell>
          <cell r="BS101">
            <v>60</v>
          </cell>
          <cell r="BT101">
            <v>223</v>
          </cell>
          <cell r="BU101">
            <v>54</v>
          </cell>
          <cell r="BV101">
            <v>69</v>
          </cell>
          <cell r="BW101">
            <v>59</v>
          </cell>
          <cell r="BX101">
            <v>49</v>
          </cell>
          <cell r="BY101">
            <v>231</v>
          </cell>
          <cell r="BZ101">
            <v>60</v>
          </cell>
          <cell r="CA101">
            <v>70</v>
          </cell>
          <cell r="CB101">
            <v>69</v>
          </cell>
          <cell r="CC101">
            <v>59.414415027168282</v>
          </cell>
          <cell r="CD101">
            <v>258.41441502716827</v>
          </cell>
          <cell r="CE101">
            <v>71.176171587743724</v>
          </cell>
          <cell r="CF101">
            <v>73.517289693593298</v>
          </cell>
          <cell r="CG101">
            <v>71.363249999999994</v>
          </cell>
          <cell r="CH101">
            <v>62.682207853662518</v>
          </cell>
          <cell r="CI101">
            <v>279.02464857529094</v>
          </cell>
          <cell r="CN101">
            <v>305.86681976823394</v>
          </cell>
          <cell r="CS101">
            <v>335.29120782993806</v>
          </cell>
          <cell r="DE101" t="str">
            <v>mstag:landingFeesAndOtherRents</v>
          </cell>
          <cell r="DF101">
            <v>6</v>
          </cell>
          <cell r="DG101" t="str">
            <v>ISO4217:USD</v>
          </cell>
          <cell r="DH101" t="b">
            <v>0</v>
          </cell>
          <cell r="DI101" t="b">
            <v>0</v>
          </cell>
          <cell r="DJ101" t="str">
            <v>mstag:otherOperatingExpense</v>
          </cell>
          <cell r="DK101">
            <v>6</v>
          </cell>
          <cell r="DL101" t="str">
            <v>ISO4217:USD</v>
          </cell>
          <cell r="DM101" t="b">
            <v>0</v>
          </cell>
          <cell r="DN101" t="b">
            <v>0</v>
          </cell>
        </row>
        <row r="102">
          <cell r="A102" t="str">
            <v>Landing Fees and Other Rents</v>
          </cell>
          <cell r="B102">
            <v>0.44700000000000001</v>
          </cell>
          <cell r="G102">
            <v>11.112</v>
          </cell>
          <cell r="H102">
            <v>5.7389999999999999</v>
          </cell>
          <cell r="I102">
            <v>6.3680000000000003</v>
          </cell>
          <cell r="J102">
            <v>7.5179999999999998</v>
          </cell>
          <cell r="K102">
            <v>7.9790000000000001</v>
          </cell>
          <cell r="L102">
            <v>27.603999999999999</v>
          </cell>
          <cell r="M102">
            <v>9.9390000000000001</v>
          </cell>
          <cell r="N102">
            <v>9.6809999999999992</v>
          </cell>
          <cell r="O102">
            <v>11.865</v>
          </cell>
          <cell r="P102">
            <v>12.396000000000001</v>
          </cell>
          <cell r="Q102">
            <v>43.881</v>
          </cell>
          <cell r="R102">
            <v>16.288</v>
          </cell>
          <cell r="S102">
            <v>16.309000000000001</v>
          </cell>
          <cell r="T102">
            <v>18.850999999999999</v>
          </cell>
          <cell r="U102">
            <v>17.242999999999999</v>
          </cell>
          <cell r="V102">
            <v>68.691000000000003</v>
          </cell>
          <cell r="W102">
            <v>21.516999999999999</v>
          </cell>
          <cell r="X102">
            <v>21.867999999999999</v>
          </cell>
          <cell r="Y102">
            <v>24.699000000000002</v>
          </cell>
          <cell r="Z102">
            <v>23.097000000000001</v>
          </cell>
          <cell r="AA102">
            <v>91.181000000000012</v>
          </cell>
          <cell r="AB102">
            <v>26.097000000000001</v>
          </cell>
          <cell r="AC102">
            <v>27</v>
          </cell>
          <cell r="AD102">
            <v>27.184000000000001</v>
          </cell>
          <cell r="AE102">
            <v>32.084000000000003</v>
          </cell>
          <cell r="AF102">
            <v>112.36500000000001</v>
          </cell>
          <cell r="AG102">
            <v>38</v>
          </cell>
          <cell r="AH102">
            <v>37</v>
          </cell>
          <cell r="AI102">
            <v>42</v>
          </cell>
          <cell r="AJ102">
            <v>41</v>
          </cell>
          <cell r="AK102">
            <v>158</v>
          </cell>
          <cell r="AL102">
            <v>45</v>
          </cell>
          <cell r="AM102">
            <v>47</v>
          </cell>
          <cell r="AN102">
            <v>44</v>
          </cell>
          <cell r="AO102">
            <v>44</v>
          </cell>
          <cell r="AP102">
            <v>180</v>
          </cell>
          <cell r="AQ102">
            <v>51</v>
          </cell>
          <cell r="AR102">
            <v>49</v>
          </cell>
          <cell r="AS102">
            <v>52</v>
          </cell>
          <cell r="AT102">
            <v>48</v>
          </cell>
          <cell r="AU102">
            <v>200</v>
          </cell>
          <cell r="AV102">
            <v>50</v>
          </cell>
          <cell r="AW102">
            <v>54</v>
          </cell>
          <cell r="AX102">
            <v>56</v>
          </cell>
          <cell r="AY102">
            <v>53</v>
          </cell>
          <cell r="AZ102">
            <v>213</v>
          </cell>
          <cell r="BA102">
            <v>54</v>
          </cell>
          <cell r="BB102">
            <v>58</v>
          </cell>
          <cell r="BC102">
            <v>61</v>
          </cell>
          <cell r="BD102">
            <v>55</v>
          </cell>
          <cell r="BE102">
            <v>228</v>
          </cell>
          <cell r="BF102">
            <v>57</v>
          </cell>
          <cell r="BG102">
            <v>63</v>
          </cell>
          <cell r="BH102">
            <v>65</v>
          </cell>
          <cell r="BI102">
            <v>60</v>
          </cell>
          <cell r="BJ102">
            <v>245</v>
          </cell>
          <cell r="BK102">
            <v>66</v>
          </cell>
          <cell r="BL102">
            <v>72</v>
          </cell>
          <cell r="BM102">
            <v>73</v>
          </cell>
          <cell r="BN102">
            <v>66</v>
          </cell>
          <cell r="BO102">
            <v>277</v>
          </cell>
          <cell r="BP102">
            <v>70</v>
          </cell>
          <cell r="BQ102">
            <v>80</v>
          </cell>
          <cell r="BR102">
            <v>81</v>
          </cell>
          <cell r="BS102">
            <v>74</v>
          </cell>
          <cell r="BT102">
            <v>305</v>
          </cell>
          <cell r="BU102">
            <v>77</v>
          </cell>
          <cell r="BV102">
            <v>83</v>
          </cell>
          <cell r="BW102">
            <v>88</v>
          </cell>
          <cell r="BX102">
            <v>73</v>
          </cell>
          <cell r="BY102">
            <v>321</v>
          </cell>
          <cell r="BZ102">
            <v>83</v>
          </cell>
          <cell r="CA102">
            <v>90</v>
          </cell>
          <cell r="CB102">
            <v>91</v>
          </cell>
          <cell r="CC102">
            <v>78.358141557569752</v>
          </cell>
          <cell r="CD102">
            <v>342.35814155756975</v>
          </cell>
          <cell r="CE102">
            <v>93.870023398328684</v>
          </cell>
          <cell r="CF102">
            <v>96.957584958217254</v>
          </cell>
          <cell r="CG102">
            <v>94.116749999999996</v>
          </cell>
          <cell r="CH102">
            <v>82.667839343236082</v>
          </cell>
          <cell r="CI102">
            <v>369.66343431324259</v>
          </cell>
          <cell r="CN102">
            <v>405.22505669417654</v>
          </cell>
          <cell r="CS102">
            <v>444.20770714815632</v>
          </cell>
          <cell r="DE102" t="str">
            <v>mstag:otherOperatingExpense</v>
          </cell>
          <cell r="DF102">
            <v>6</v>
          </cell>
          <cell r="DG102" t="str">
            <v>ISO4217:USD</v>
          </cell>
          <cell r="DH102" t="b">
            <v>0</v>
          </cell>
          <cell r="DI102" t="b">
            <v>0</v>
          </cell>
          <cell r="DJ102" t="str">
            <v>mstag:landingFeesAndOtherRents</v>
          </cell>
          <cell r="DK102">
            <v>6</v>
          </cell>
          <cell r="DL102" t="str">
            <v>ISO4217:USD</v>
          </cell>
          <cell r="DM102" t="b">
            <v>0</v>
          </cell>
          <cell r="DN102" t="b">
            <v>0</v>
          </cell>
        </row>
        <row r="103">
          <cell r="A103" t="str">
            <v>Other Operating Expenses</v>
          </cell>
          <cell r="B103">
            <v>6.4050000000000002</v>
          </cell>
          <cell r="G103">
            <v>29.096</v>
          </cell>
          <cell r="H103">
            <v>11.999000000000001</v>
          </cell>
          <cell r="I103">
            <v>13.853999999999999</v>
          </cell>
          <cell r="J103">
            <v>15.814</v>
          </cell>
          <cell r="K103">
            <v>21.815999999999999</v>
          </cell>
          <cell r="L103">
            <v>63.483000000000004</v>
          </cell>
          <cell r="M103">
            <v>27.548999999999999</v>
          </cell>
          <cell r="N103">
            <v>28.026</v>
          </cell>
          <cell r="O103">
            <v>36.503</v>
          </cell>
          <cell r="P103">
            <v>34.744999999999997</v>
          </cell>
          <cell r="Q103">
            <v>126.82300000000001</v>
          </cell>
          <cell r="R103">
            <v>35.362000000000002</v>
          </cell>
          <cell r="S103">
            <v>36.279000000000003</v>
          </cell>
          <cell r="T103">
            <v>42.523000000000003</v>
          </cell>
          <cell r="U103">
            <v>44.951999999999998</v>
          </cell>
          <cell r="V103">
            <v>159.11600000000001</v>
          </cell>
          <cell r="W103">
            <v>48.503</v>
          </cell>
          <cell r="X103">
            <v>49.515999999999998</v>
          </cell>
          <cell r="Y103">
            <v>57.499000000000002</v>
          </cell>
          <cell r="Z103">
            <v>56.993000000000002</v>
          </cell>
          <cell r="AA103">
            <v>212.511</v>
          </cell>
          <cell r="AB103">
            <v>62.253999999999998</v>
          </cell>
          <cell r="AC103">
            <v>66.257999999999996</v>
          </cell>
          <cell r="AD103">
            <v>76.518000000000001</v>
          </cell>
          <cell r="AE103">
            <v>80.102000000000004</v>
          </cell>
          <cell r="AF103">
            <v>285.13200000000001</v>
          </cell>
          <cell r="AG103">
            <v>88</v>
          </cell>
          <cell r="AH103">
            <v>87</v>
          </cell>
          <cell r="AI103">
            <v>85</v>
          </cell>
          <cell r="AJ103">
            <v>76</v>
          </cell>
          <cell r="AK103">
            <v>336</v>
          </cell>
          <cell r="AL103">
            <v>95</v>
          </cell>
          <cell r="AM103">
            <v>95</v>
          </cell>
          <cell r="AN103">
            <v>101</v>
          </cell>
          <cell r="AO103">
            <v>98</v>
          </cell>
          <cell r="AP103">
            <v>389</v>
          </cell>
          <cell r="AQ103">
            <v>112.8</v>
          </cell>
          <cell r="AR103">
            <v>100</v>
          </cell>
          <cell r="AS103">
            <v>104</v>
          </cell>
          <cell r="AT103">
            <v>95.6</v>
          </cell>
          <cell r="AU103">
            <v>412.4</v>
          </cell>
          <cell r="AV103">
            <v>100.4</v>
          </cell>
          <cell r="AW103">
            <v>89.9</v>
          </cell>
          <cell r="AX103">
            <v>110.7</v>
          </cell>
          <cell r="AY103">
            <v>118</v>
          </cell>
          <cell r="AZ103">
            <v>419</v>
          </cell>
          <cell r="BA103">
            <v>134</v>
          </cell>
          <cell r="BB103">
            <v>121</v>
          </cell>
          <cell r="BC103">
            <v>134</v>
          </cell>
          <cell r="BD103">
            <v>126.4</v>
          </cell>
          <cell r="BE103">
            <v>515.4</v>
          </cell>
          <cell r="BF103">
            <v>135</v>
          </cell>
          <cell r="BG103">
            <v>129</v>
          </cell>
          <cell r="BH103">
            <v>135</v>
          </cell>
          <cell r="BI103">
            <v>133</v>
          </cell>
          <cell r="BJ103">
            <v>532</v>
          </cell>
          <cell r="BK103">
            <v>131</v>
          </cell>
          <cell r="BL103">
            <v>125</v>
          </cell>
          <cell r="BM103">
            <v>145</v>
          </cell>
          <cell r="BN103">
            <v>148</v>
          </cell>
          <cell r="BO103">
            <v>549</v>
          </cell>
          <cell r="BP103">
            <v>159</v>
          </cell>
          <cell r="BQ103">
            <v>141</v>
          </cell>
          <cell r="BR103">
            <v>151</v>
          </cell>
          <cell r="BS103">
            <v>150</v>
          </cell>
          <cell r="BT103">
            <v>601</v>
          </cell>
          <cell r="BU103">
            <v>181</v>
          </cell>
          <cell r="BV103">
            <v>177</v>
          </cell>
          <cell r="BW103">
            <v>166</v>
          </cell>
          <cell r="BX103">
            <v>158</v>
          </cell>
          <cell r="BY103">
            <v>682</v>
          </cell>
          <cell r="BZ103">
            <v>186</v>
          </cell>
          <cell r="CA103">
            <v>186</v>
          </cell>
          <cell r="CB103">
            <v>199</v>
          </cell>
          <cell r="CC103">
            <v>171.3546172522679</v>
          </cell>
          <cell r="CD103">
            <v>742.35461725226787</v>
          </cell>
          <cell r="CE103">
            <v>205.27620501392755</v>
          </cell>
          <cell r="CF103">
            <v>212.02812534818935</v>
          </cell>
          <cell r="CG103">
            <v>205.81574999999998</v>
          </cell>
          <cell r="CH103">
            <v>180.77912120114263</v>
          </cell>
          <cell r="CI103">
            <v>801.56223550950745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>
            <v>894.86305244335756</v>
          </cell>
          <cell r="CS103">
            <v>963.20081923632529</v>
          </cell>
          <cell r="DJ103" t="str">
            <v>mstag:otherOperatingExpense</v>
          </cell>
          <cell r="DK103">
            <v>6</v>
          </cell>
          <cell r="DL103" t="str">
            <v>ISO4217:USD</v>
          </cell>
          <cell r="DM103" t="b">
            <v>0</v>
          </cell>
          <cell r="DN103" t="b">
            <v>0</v>
          </cell>
        </row>
        <row r="104">
          <cell r="A104" t="str">
            <v>Total Operating Expense</v>
          </cell>
          <cell r="B104">
            <v>14.215999999999999</v>
          </cell>
          <cell r="G104">
            <v>125.80599999999998</v>
          </cell>
          <cell r="H104">
            <v>56.311595099999998</v>
          </cell>
          <cell r="I104">
            <v>67.408027599999997</v>
          </cell>
          <cell r="J104">
            <v>77.970097400000014</v>
          </cell>
          <cell r="K104">
            <v>92.347496100000001</v>
          </cell>
          <cell r="L104">
            <v>294.03721619999999</v>
          </cell>
          <cell r="M104">
            <v>109.9902668</v>
          </cell>
          <cell r="N104">
            <v>121.59557719999999</v>
          </cell>
          <cell r="O104">
            <v>142.799148</v>
          </cell>
          <cell r="P104">
            <v>155.8170216</v>
          </cell>
          <cell r="Q104">
            <v>530.20201359999999</v>
          </cell>
          <cell r="R104">
            <v>182.67700000000002</v>
          </cell>
          <cell r="S104">
            <v>195.75700000000001</v>
          </cell>
          <cell r="T104">
            <v>219.74</v>
          </cell>
          <cell r="U104">
            <v>227.94399999999999</v>
          </cell>
          <cell r="V104">
            <v>826.11799999999994</v>
          </cell>
          <cell r="W104">
            <v>256.33900000000006</v>
          </cell>
          <cell r="X104">
            <v>274.63</v>
          </cell>
          <cell r="Y104">
            <v>300.23</v>
          </cell>
          <cell r="Z104">
            <v>319.83000000000004</v>
          </cell>
          <cell r="AA104">
            <v>1151.029</v>
          </cell>
          <cell r="AB104">
            <v>348.56</v>
          </cell>
          <cell r="AC104">
            <v>388.93999999999994</v>
          </cell>
          <cell r="AD104">
            <v>439.06900000000002</v>
          </cell>
          <cell r="AE104">
            <v>464.50699999999995</v>
          </cell>
          <cell r="AF104">
            <v>1641.076</v>
          </cell>
          <cell r="AG104">
            <v>515</v>
          </cell>
          <cell r="AH104">
            <v>565</v>
          </cell>
          <cell r="AI104">
            <v>594</v>
          </cell>
          <cell r="AJ104">
            <v>569</v>
          </cell>
          <cell r="AK104">
            <v>2243</v>
          </cell>
          <cell r="AL104">
            <v>621</v>
          </cell>
          <cell r="AM104">
            <v>657</v>
          </cell>
          <cell r="AN104">
            <v>686</v>
          </cell>
          <cell r="AO104">
            <v>709</v>
          </cell>
          <cell r="AP104">
            <v>2673</v>
          </cell>
          <cell r="AQ104">
            <v>798.8</v>
          </cell>
          <cell r="AR104">
            <v>838</v>
          </cell>
          <cell r="AS104">
            <v>880</v>
          </cell>
          <cell r="AT104">
            <v>762</v>
          </cell>
          <cell r="AU104">
            <v>3278.8</v>
          </cell>
          <cell r="AV104">
            <v>719.5</v>
          </cell>
          <cell r="AW104">
            <v>731</v>
          </cell>
          <cell r="AX104">
            <v>788</v>
          </cell>
          <cell r="AY104">
            <v>768</v>
          </cell>
          <cell r="AZ104">
            <v>3006.5</v>
          </cell>
          <cell r="BA104">
            <v>828</v>
          </cell>
          <cell r="BB104">
            <v>845</v>
          </cell>
          <cell r="BC104">
            <v>890.2</v>
          </cell>
          <cell r="BD104">
            <v>882.9</v>
          </cell>
          <cell r="BE104">
            <v>3446.1000000000004</v>
          </cell>
          <cell r="BF104">
            <v>967</v>
          </cell>
          <cell r="BG104">
            <v>1065</v>
          </cell>
          <cell r="BH104">
            <v>1087</v>
          </cell>
          <cell r="BI104">
            <v>1063</v>
          </cell>
          <cell r="BJ104">
            <v>4182</v>
          </cell>
          <cell r="BK104">
            <v>1114</v>
          </cell>
          <cell r="BL104">
            <v>1147</v>
          </cell>
          <cell r="BM104">
            <v>1195</v>
          </cell>
          <cell r="BN104">
            <v>1150</v>
          </cell>
          <cell r="BO104">
            <v>4606</v>
          </cell>
          <cell r="BP104">
            <v>1240</v>
          </cell>
          <cell r="BQ104">
            <v>1233</v>
          </cell>
          <cell r="BR104">
            <v>1290</v>
          </cell>
          <cell r="BS104">
            <v>1250</v>
          </cell>
          <cell r="BT104">
            <v>5013</v>
          </cell>
          <cell r="BU104">
            <v>1308</v>
          </cell>
          <cell r="BV104">
            <v>1352</v>
          </cell>
          <cell r="BW104">
            <v>1365</v>
          </cell>
          <cell r="BX104">
            <v>1277</v>
          </cell>
          <cell r="BY104">
            <v>5302</v>
          </cell>
          <cell r="BZ104">
            <v>1270</v>
          </cell>
          <cell r="CA104">
            <v>1330</v>
          </cell>
          <cell r="CB104">
            <v>1336</v>
          </cell>
          <cell r="CC104">
            <v>1231.779700361873</v>
          </cell>
          <cell r="CD104">
            <v>5167.7797003618725</v>
          </cell>
          <cell r="CE104">
            <v>1280.9603681372548</v>
          </cell>
          <cell r="CF104">
            <v>1319.12283406146</v>
          </cell>
          <cell r="CG104">
            <v>1331.045142191213</v>
          </cell>
          <cell r="CH104">
            <v>1291.1308525033996</v>
          </cell>
          <cell r="CI104">
            <v>5222.2591968933275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N104">
            <v>5865.6205727178658</v>
          </cell>
          <cell r="CO104">
            <v>0</v>
          </cell>
          <cell r="CP104">
            <v>0</v>
          </cell>
          <cell r="CQ104">
            <v>0</v>
          </cell>
          <cell r="CR104">
            <v>0</v>
          </cell>
          <cell r="CS104">
            <v>6520.4097446658834</v>
          </cell>
        </row>
        <row r="105">
          <cell r="A105" t="str">
            <v>YoY % Chg.</v>
          </cell>
          <cell r="I105">
            <v>0.19705413210715461</v>
          </cell>
          <cell r="J105">
            <v>0.1566886048450411</v>
          </cell>
          <cell r="K105">
            <v>0.18439631575989268</v>
          </cell>
          <cell r="L105">
            <v>1.3372272880466753</v>
          </cell>
          <cell r="M105">
            <v>0.95324367218999284</v>
          </cell>
          <cell r="N105">
            <v>0.80387383416036928</v>
          </cell>
          <cell r="O105">
            <v>0.83146042857194091</v>
          </cell>
          <cell r="P105">
            <v>0.68729016140590304</v>
          </cell>
          <cell r="Q105">
            <v>0.8031799527015111</v>
          </cell>
          <cell r="R105">
            <v>0.66084695777826785</v>
          </cell>
          <cell r="S105">
            <v>0.60990230490060959</v>
          </cell>
          <cell r="T105">
            <v>0.53880469931095121</v>
          </cell>
          <cell r="U105">
            <v>0.46289537342818776</v>
          </cell>
          <cell r="V105">
            <v>0.5581193183156179</v>
          </cell>
          <cell r="W105">
            <v>0.40323631327424914</v>
          </cell>
          <cell r="X105">
            <v>0.40291279494475285</v>
          </cell>
          <cell r="Y105">
            <v>0.3662965322654046</v>
          </cell>
          <cell r="Z105">
            <v>0.40310778085845667</v>
          </cell>
          <cell r="AA105">
            <v>0.39329853604448761</v>
          </cell>
          <cell r="AB105">
            <v>0.35976187782584756</v>
          </cell>
          <cell r="AC105">
            <v>0.41623274951753242</v>
          </cell>
          <cell r="AD105">
            <v>0.46244212770209492</v>
          </cell>
          <cell r="AE105">
            <v>0.4523559390926426</v>
          </cell>
          <cell r="AF105">
            <v>0.42574687518733234</v>
          </cell>
          <cell r="AG105">
            <v>0.47750745926095939</v>
          </cell>
          <cell r="AH105">
            <v>0.45266622101095311</v>
          </cell>
          <cell r="AI105">
            <v>0.35286253413472601</v>
          </cell>
          <cell r="AJ105">
            <v>0.22495462931667354</v>
          </cell>
          <cell r="AK105">
            <v>0.36678618174904765</v>
          </cell>
          <cell r="AL105">
            <v>0.2058252427184466</v>
          </cell>
          <cell r="AM105">
            <v>0.16283185840707959</v>
          </cell>
          <cell r="AN105">
            <v>0.15488215488215484</v>
          </cell>
          <cell r="AO105">
            <v>0.24604569420035149</v>
          </cell>
          <cell r="AP105">
            <v>0.19170753455193945</v>
          </cell>
          <cell r="AQ105">
            <v>0.2863123993558776</v>
          </cell>
          <cell r="AR105">
            <v>0.27549467275494677</v>
          </cell>
          <cell r="AS105">
            <v>0.28279883381924198</v>
          </cell>
          <cell r="AT105">
            <v>7.4753173483780078E-2</v>
          </cell>
          <cell r="AU105">
            <v>0.22663673774784887</v>
          </cell>
          <cell r="AV105">
            <v>-9.9273910866299442E-2</v>
          </cell>
          <cell r="AW105">
            <v>-0.12768496420047737</v>
          </cell>
          <cell r="AX105">
            <v>-0.1045454545454545</v>
          </cell>
          <cell r="AY105">
            <v>7.8740157480314821E-3</v>
          </cell>
          <cell r="AZ105">
            <v>-8.3048676345004346E-2</v>
          </cell>
          <cell r="BA105">
            <v>0.15079916608756072</v>
          </cell>
          <cell r="BB105">
            <v>0.15595075239398093</v>
          </cell>
          <cell r="BC105">
            <v>0.12969543147208129</v>
          </cell>
          <cell r="BD105">
            <v>0.14960937500000004</v>
          </cell>
          <cell r="BE105">
            <v>0.14621653084982555</v>
          </cell>
          <cell r="BF105">
            <v>0.16787439613526578</v>
          </cell>
          <cell r="BG105">
            <v>0.26035502958579881</v>
          </cell>
          <cell r="BH105">
            <v>0.22107391597393833</v>
          </cell>
          <cell r="BI105">
            <v>0.20398686147921619</v>
          </cell>
          <cell r="BJ105">
            <v>0.21354574736658827</v>
          </cell>
          <cell r="BK105">
            <v>0.15201654601861425</v>
          </cell>
          <cell r="BL105">
            <v>7.6995305164319294E-2</v>
          </cell>
          <cell r="BM105">
            <v>9.9356025758969624E-2</v>
          </cell>
          <cell r="BN105">
            <v>8.1843838193791152E-2</v>
          </cell>
          <cell r="BO105">
            <v>0.10138689622190333</v>
          </cell>
          <cell r="BP105">
            <v>0.11310592459605018</v>
          </cell>
          <cell r="BQ105">
            <v>7.4978204010462068E-2</v>
          </cell>
          <cell r="BR105">
            <v>7.9497907949790836E-2</v>
          </cell>
          <cell r="BS105">
            <v>8.6956521739130377E-2</v>
          </cell>
          <cell r="BT105">
            <v>8.8363004776378595E-2</v>
          </cell>
          <cell r="BU105">
            <v>5.4838709677419439E-2</v>
          </cell>
          <cell r="BV105">
            <v>9.6512570965125777E-2</v>
          </cell>
          <cell r="BW105">
            <v>5.8139534883721034E-2</v>
          </cell>
          <cell r="BX105">
            <v>2.1600000000000064E-2</v>
          </cell>
          <cell r="BY105">
            <v>5.7650109714741715E-2</v>
          </cell>
          <cell r="BZ105">
            <v>-2.9051987767584109E-2</v>
          </cell>
          <cell r="CA105">
            <v>-1.6272189349112454E-2</v>
          </cell>
          <cell r="CB105">
            <v>-2.1245421245421281E-2</v>
          </cell>
          <cell r="CC105">
            <v>-1.018010963194993E-2</v>
          </cell>
          <cell r="CD105">
            <v>-1.9238023387400993E-2</v>
          </cell>
          <cell r="CE105">
            <v>-2.3622047244094002E-3</v>
          </cell>
          <cell r="CF105">
            <v>6.6181825269693295E-3</v>
          </cell>
          <cell r="CG105">
            <v>5.8946150636227435E-2</v>
          </cell>
          <cell r="CH105">
            <v>6.9708162049830547E-2</v>
          </cell>
          <cell r="CI105">
            <v>3.3204876315741316E-2</v>
          </cell>
          <cell r="CN105">
            <v>0.12319598694129685</v>
          </cell>
          <cell r="CQ105">
            <v>-4.750974584044998E-2</v>
          </cell>
          <cell r="CR105">
            <v>-8.990019129412434E-2</v>
          </cell>
          <cell r="CS105">
            <v>0.10226127148949882</v>
          </cell>
          <cell r="CT105">
            <v>-3.325123154006876E-2</v>
          </cell>
        </row>
        <row r="106">
          <cell r="A106" t="str">
            <v>Sequential % change</v>
          </cell>
          <cell r="G106">
            <v>9.1706297254190723</v>
          </cell>
          <cell r="H106">
            <v>7.5499690421155936</v>
          </cell>
          <cell r="I106">
            <v>0.19705413210715461</v>
          </cell>
          <cell r="J106">
            <v>0.1566886048450411</v>
          </cell>
          <cell r="K106">
            <v>0.18439631575989268</v>
          </cell>
          <cell r="L106">
            <v>6.9871330930285556</v>
          </cell>
          <cell r="M106">
            <v>0.19104763469596664</v>
          </cell>
          <cell r="N106">
            <v>-0.58646194937006757</v>
          </cell>
          <cell r="O106">
            <v>0.29828895005462441</v>
          </cell>
          <cell r="P106">
            <v>0.28143658830380569</v>
          </cell>
          <cell r="Q106">
            <v>6.4345388715303447</v>
          </cell>
          <cell r="R106">
            <v>0.17238154165821906</v>
          </cell>
          <cell r="S106">
            <v>-0.63078789786022038</v>
          </cell>
          <cell r="T106">
            <v>0.20288815778669456</v>
          </cell>
          <cell r="U106">
            <v>0.16442323901571831</v>
          </cell>
          <cell r="V106">
            <v>6.0568109301463515</v>
          </cell>
          <cell r="W106">
            <v>0.12457006984171581</v>
          </cell>
          <cell r="X106">
            <v>-0.6675656504276628</v>
          </cell>
          <cell r="Y106">
            <v>0.17122248272794982</v>
          </cell>
          <cell r="Z106">
            <v>0.16458507810508705</v>
          </cell>
          <cell r="AA106">
            <v>6.0865416734373987</v>
          </cell>
          <cell r="AB106">
            <v>8.9828971641184197E-2</v>
          </cell>
          <cell r="AC106">
            <v>-0.66209365706685075</v>
          </cell>
          <cell r="AD106">
            <v>0.25966548083543728</v>
          </cell>
          <cell r="AE106">
            <v>0.19428960765156589</v>
          </cell>
          <cell r="AF106">
            <v>6.9234674595645611</v>
          </cell>
          <cell r="AG106">
            <v>0.10870234463635642</v>
          </cell>
          <cell r="AH106">
            <v>-0.65571369028612936</v>
          </cell>
          <cell r="AI106">
            <v>5.1327433628318486E-2</v>
          </cell>
          <cell r="AJ106">
            <v>7.0796460176991705E-3</v>
          </cell>
          <cell r="AK106">
            <v>7.8443030006295027</v>
          </cell>
          <cell r="AL106">
            <v>9.1388400702987704E-2</v>
          </cell>
          <cell r="AM106">
            <v>5.7971014492753659E-2</v>
          </cell>
          <cell r="AN106">
            <v>4.4140030441400357E-2</v>
          </cell>
          <cell r="AO106">
            <v>3.3527696793002937E-2</v>
          </cell>
          <cell r="AP106">
            <v>8.3782597793380145</v>
          </cell>
          <cell r="AQ106">
            <v>0.12665726375176289</v>
          </cell>
          <cell r="AR106">
            <v>4.9073610415623525E-2</v>
          </cell>
          <cell r="AS106">
            <v>5.0119331742243478E-2</v>
          </cell>
          <cell r="AT106">
            <v>-0.13409090909090904</v>
          </cell>
          <cell r="AU106">
            <v>10.10665187103138</v>
          </cell>
          <cell r="AV106">
            <v>-5.5774278215223072E-2</v>
          </cell>
          <cell r="AW106">
            <v>1.5983321751216195E-2</v>
          </cell>
          <cell r="AX106">
            <v>7.7975376196990354E-2</v>
          </cell>
          <cell r="AY106">
            <v>-2.5380710659898442E-2</v>
          </cell>
          <cell r="AZ106">
            <v>9.2341761265909881</v>
          </cell>
          <cell r="BA106">
            <v>-0.72459670713454183</v>
          </cell>
          <cell r="BB106">
            <v>2.0531400966183666E-2</v>
          </cell>
          <cell r="BC106">
            <v>5.3491124260355072E-2</v>
          </cell>
          <cell r="BD106">
            <v>-8.2004044035048906E-3</v>
          </cell>
          <cell r="BE106">
            <v>9.9185362392246947</v>
          </cell>
          <cell r="BF106">
            <v>9.5254275682410183E-2</v>
          </cell>
          <cell r="BG106">
            <v>-0.69095499260033089</v>
          </cell>
          <cell r="BH106">
            <v>2.0657276995305063E-2</v>
          </cell>
          <cell r="BI106">
            <v>-2.2079116835326595E-2</v>
          </cell>
          <cell r="BJ106">
            <v>11.232330331715531</v>
          </cell>
          <cell r="BK106">
            <v>4.7977422389463786E-2</v>
          </cell>
          <cell r="BL106">
            <v>2.9622980251346576E-2</v>
          </cell>
          <cell r="BM106">
            <v>4.1848299912816023E-2</v>
          </cell>
          <cell r="BN106">
            <v>-3.7656903765690419E-2</v>
          </cell>
          <cell r="BO106">
            <v>11.493449781659388</v>
          </cell>
          <cell r="BP106">
            <v>7.8260869565217384E-2</v>
          </cell>
          <cell r="BQ106">
            <v>-5.6451612903225534E-3</v>
          </cell>
          <cell r="BR106">
            <v>4.6228710462287159E-2</v>
          </cell>
          <cell r="BS106">
            <v>-3.1007751937984551E-2</v>
          </cell>
          <cell r="BT106">
            <v>11.706052680739772</v>
          </cell>
          <cell r="BU106">
            <v>4.6399999999999997E-2</v>
          </cell>
          <cell r="BV106">
            <v>3.3639143730886945E-2</v>
          </cell>
          <cell r="BW106">
            <v>9.6153846153845812E-3</v>
          </cell>
          <cell r="BX106">
            <v>-6.4468864468864462E-2</v>
          </cell>
          <cell r="BY106">
            <v>11.78405529749072</v>
          </cell>
          <cell r="BZ106">
            <v>-5.4815974941269108E-3</v>
          </cell>
          <cell r="CA106">
            <v>4.7244094488188892E-2</v>
          </cell>
          <cell r="CB106">
            <v>4.5112781954887993E-3</v>
          </cell>
          <cell r="CC106">
            <v>-5.3892215568862256E-2</v>
          </cell>
          <cell r="CD106">
            <v>10.617932793851219</v>
          </cell>
          <cell r="CE106">
            <v>2.373417721518889E-3</v>
          </cell>
          <cell r="CF106">
            <v>5.6671020332177857E-2</v>
          </cell>
          <cell r="CG106">
            <v>5.6729721139613831E-2</v>
          </cell>
          <cell r="CH106">
            <v>-4.4276974257083324E-2</v>
          </cell>
          <cell r="CI106">
            <v>10.367212125916817</v>
          </cell>
          <cell r="CN106">
            <v>10.655290518786762</v>
          </cell>
          <cell r="CV106">
            <v>-4.750974584044998E-2</v>
          </cell>
          <cell r="CW106">
            <v>-8.990019129412434E-2</v>
          </cell>
          <cell r="CX106">
            <v>4.2747462302401194E-2</v>
          </cell>
          <cell r="CY106">
            <v>-3.325123154006876E-2</v>
          </cell>
        </row>
        <row r="107">
          <cell r="A107" t="str">
            <v>Total Operating Expense per ASM (cents)</v>
          </cell>
          <cell r="G107">
            <v>9.1706297254190723</v>
          </cell>
          <cell r="H107">
            <v>7.5499690421155936</v>
          </cell>
          <cell r="I107">
            <v>7.0162319618961968</v>
          </cell>
          <cell r="J107">
            <v>6.8938285766830285</v>
          </cell>
          <cell r="K107">
            <v>6.7374571993889081</v>
          </cell>
          <cell r="L107">
            <v>6.9871330930285556</v>
          </cell>
          <cell r="M107">
            <v>6.8119347482767374</v>
          </cell>
          <cell r="N107">
            <v>6.2933988436494133</v>
          </cell>
          <cell r="O107">
            <v>6.4114442268371734</v>
          </cell>
          <cell r="P107">
            <v>6.3188676917686486</v>
          </cell>
          <cell r="Q107">
            <v>6.4345388715303447</v>
          </cell>
          <cell r="R107">
            <v>6.2601972330351128</v>
          </cell>
          <cell r="S107">
            <v>5.976913299538138</v>
          </cell>
          <cell r="T107">
            <v>5.9311587190921289</v>
          </cell>
          <cell r="U107">
            <v>6.0925487730788586</v>
          </cell>
          <cell r="V107">
            <v>6.0568109301463515</v>
          </cell>
          <cell r="W107">
            <v>6.0765149862985135</v>
          </cell>
          <cell r="X107">
            <v>5.8974036864409962</v>
          </cell>
          <cell r="Y107">
            <v>6.0774319444219529</v>
          </cell>
          <cell r="Z107">
            <v>6.2765225910069296</v>
          </cell>
          <cell r="AA107">
            <v>6.0865416734373987</v>
          </cell>
          <cell r="AB107">
            <v>6.7437299427916706</v>
          </cell>
          <cell r="AC107">
            <v>6.6528685299852883</v>
          </cell>
          <cell r="AD107">
            <v>6.934279363637426</v>
          </cell>
          <cell r="AE107">
            <v>7.3077297624952813</v>
          </cell>
          <cell r="AF107">
            <v>6.9234674595645611</v>
          </cell>
          <cell r="AG107">
            <v>7.8303177740611227</v>
          </cell>
          <cell r="AH107">
            <v>7.8450430435990013</v>
          </cell>
          <cell r="AI107">
            <v>7.8811198089425512</v>
          </cell>
          <cell r="AJ107">
            <v>7.8180818906292942</v>
          </cell>
          <cell r="AK107">
            <v>7.8443030006295027</v>
          </cell>
          <cell r="AL107">
            <v>8.4260515603799178</v>
          </cell>
          <cell r="AM107">
            <v>8.1453012645673208</v>
          </cell>
          <cell r="AN107">
            <v>8.2106523040095745</v>
          </cell>
          <cell r="AO107">
            <v>8.7390607666707751</v>
          </cell>
          <cell r="AP107">
            <v>8.3782597793380145</v>
          </cell>
          <cell r="AQ107">
            <v>9.515187611673614</v>
          </cell>
          <cell r="AR107">
            <v>9.996421328879876</v>
          </cell>
          <cell r="AS107">
            <v>10.792249202845229</v>
          </cell>
          <cell r="AT107">
            <v>10.14647137150466</v>
          </cell>
          <cell r="AU107">
            <v>10.10665187103138</v>
          </cell>
          <cell r="AV107">
            <v>9.058974617244159</v>
          </cell>
          <cell r="AW107">
            <v>8.8745902634454303</v>
          </cell>
          <cell r="AX107">
            <v>9.391014181861518</v>
          </cell>
          <cell r="AY107">
            <v>9.6144216324486731</v>
          </cell>
          <cell r="AZ107">
            <v>9.2341761265909881</v>
          </cell>
          <cell r="BA107">
            <v>9.8295032302026915</v>
          </cell>
          <cell r="BB107">
            <v>9.7258036966801384</v>
          </cell>
          <cell r="BC107">
            <v>9.7802680729509994</v>
          </cell>
          <cell r="BD107">
            <v>10.350297003935433</v>
          </cell>
          <cell r="BE107">
            <v>9.9185362392246947</v>
          </cell>
          <cell r="BF107">
            <v>11.36201943622059</v>
          </cell>
          <cell r="BG107">
            <v>11.280584683825866</v>
          </cell>
          <cell r="BH107">
            <v>11.029934043632673</v>
          </cell>
          <cell r="BI107">
            <v>11.278514588859416</v>
          </cell>
          <cell r="BJ107">
            <v>11.232330331715531</v>
          </cell>
          <cell r="BK107">
            <v>11.682046979865772</v>
          </cell>
          <cell r="BL107">
            <v>11.514908141752835</v>
          </cell>
          <cell r="BM107">
            <v>11.16405082212257</v>
          </cell>
          <cell r="BN107">
            <v>11.646749037877253</v>
          </cell>
          <cell r="BO107">
            <v>11.493449781659388</v>
          </cell>
          <cell r="BP107">
            <v>12.22879684418146</v>
          </cell>
          <cell r="BQ107">
            <v>11.479378083977283</v>
          </cell>
          <cell r="BR107">
            <v>11.464628510487024</v>
          </cell>
          <cell r="BS107">
            <v>11.692077448321017</v>
          </cell>
          <cell r="BT107">
            <v>11.706052680739772</v>
          </cell>
          <cell r="BU107">
            <v>12.553987906708898</v>
          </cell>
          <cell r="BV107">
            <v>11.874231512383629</v>
          </cell>
          <cell r="BW107">
            <v>11.61504424778761</v>
          </cell>
          <cell r="BX107">
            <v>11.166491780342778</v>
          </cell>
          <cell r="BY107">
            <v>11.78405529749072</v>
          </cell>
          <cell r="BZ107">
            <v>11.121814519660216</v>
          </cell>
          <cell r="CA107">
            <v>10.868676963308001</v>
          </cell>
          <cell r="CB107">
            <v>10.295930949445129</v>
          </cell>
          <cell r="CC107">
            <v>9.7561786416152536</v>
          </cell>
          <cell r="CD107">
            <v>10.491326858334418</v>
          </cell>
          <cell r="CE107">
            <v>10.01589118493969</v>
          </cell>
          <cell r="CF107">
            <v>9.7998085839626459</v>
          </cell>
          <cell r="CG107">
            <v>9.7692820605896085</v>
          </cell>
          <cell r="CH107">
            <v>9.6931403403516558</v>
          </cell>
          <cell r="CI107">
            <v>9.8172312759985019</v>
          </cell>
          <cell r="CN107">
            <v>10.209884048218616</v>
          </cell>
          <cell r="CS107">
            <v>10.508917332690974</v>
          </cell>
        </row>
        <row r="108">
          <cell r="A108" t="str">
            <v>YoY % Chg.</v>
          </cell>
          <cell r="G108">
            <v>7.8851991054324264</v>
          </cell>
          <cell r="H108">
            <v>6.4060966518826801</v>
          </cell>
          <cell r="I108">
            <v>5.920307594947249</v>
          </cell>
          <cell r="J108">
            <v>5.8420194993337846</v>
          </cell>
          <cell r="K108">
            <v>5.9566281304307864</v>
          </cell>
          <cell r="L108">
            <v>-0.23809669540340506</v>
          </cell>
          <cell r="M108">
            <v>-9.7753287426997182E-2</v>
          </cell>
          <cell r="N108">
            <v>-0.10302297902525903</v>
          </cell>
          <cell r="O108">
            <v>-6.9973360155403674E-2</v>
          </cell>
          <cell r="P108">
            <v>-6.2128707497871138E-2</v>
          </cell>
          <cell r="Q108">
            <v>-7.9087404539290085E-2</v>
          </cell>
          <cell r="R108">
            <v>-8.0995713498459687E-2</v>
          </cell>
          <cell r="S108">
            <v>-5.0288493066133366E-2</v>
          </cell>
          <cell r="T108">
            <v>-7.4910658309192524E-2</v>
          </cell>
          <cell r="U108">
            <v>-3.5816372446697553E-2</v>
          </cell>
          <cell r="V108">
            <v>-5.8703187427346593E-2</v>
          </cell>
          <cell r="W108">
            <v>-2.9341287486487899E-2</v>
          </cell>
          <cell r="X108">
            <v>-1.3302788431494572E-2</v>
          </cell>
          <cell r="Y108">
            <v>2.4661829544196268E-2</v>
          </cell>
          <cell r="Z108">
            <v>3.0196527722682553E-2</v>
          </cell>
          <cell r="AA108">
            <v>4.9086464203578206E-3</v>
          </cell>
          <cell r="AB108">
            <v>0.10980223993483285</v>
          </cell>
          <cell r="AC108">
            <v>0.12810126009878164</v>
          </cell>
          <cell r="AD108">
            <v>0.14098840218225939</v>
          </cell>
          <cell r="AE108">
            <v>0.16429593879991389</v>
          </cell>
          <cell r="AF108">
            <v>0.13750432199940965</v>
          </cell>
          <cell r="AG108">
            <v>0.1611256441890736</v>
          </cell>
          <cell r="AH108">
            <v>0.1791970648811767</v>
          </cell>
          <cell r="AI108">
            <v>0.13654489466782205</v>
          </cell>
          <cell r="AJ108">
            <v>6.9837301695697684E-2</v>
          </cell>
          <cell r="AK108">
            <v>0.13300207539689302</v>
          </cell>
          <cell r="AL108">
            <v>7.608040995376153E-2</v>
          </cell>
          <cell r="AM108">
            <v>3.8273623140067992E-2</v>
          </cell>
          <cell r="AN108">
            <v>4.1812902614817515E-2</v>
          </cell>
          <cell r="AO108">
            <v>0.11780112934674691</v>
          </cell>
          <cell r="AP108">
            <v>6.8069371958944247E-2</v>
          </cell>
          <cell r="AQ108">
            <v>0.12925817549169949</v>
          </cell>
          <cell r="AR108">
            <v>0.22726232022443016</v>
          </cell>
          <cell r="AS108">
            <v>0.31442043862641245</v>
          </cell>
          <cell r="AT108">
            <v>0.16104826850518061</v>
          </cell>
          <cell r="AU108">
            <v>0.20629487951135483</v>
          </cell>
          <cell r="AV108">
            <v>-4.7945769757577361E-2</v>
          </cell>
          <cell r="AW108">
            <v>-0.11222326756010692</v>
          </cell>
          <cell r="AX108">
            <v>-0.12983716319433158</v>
          </cell>
          <cell r="AY108">
            <v>-5.2436923101187194E-2</v>
          </cell>
          <cell r="AZ108">
            <v>-8.6326882094471147E-2</v>
          </cell>
          <cell r="BA108">
            <v>8.505693475416054E-2</v>
          </cell>
          <cell r="BB108">
            <v>9.59158009514951E-2</v>
          </cell>
          <cell r="BC108">
            <v>4.1449611676799947E-2</v>
          </cell>
          <cell r="BD108">
            <v>7.6538704003076052E-2</v>
          </cell>
          <cell r="BE108">
            <v>7.4111659042651823E-2</v>
          </cell>
          <cell r="BF108">
            <v>0.15590983289053728</v>
          </cell>
          <cell r="BG108">
            <v>0.15986144031227423</v>
          </cell>
          <cell r="BH108">
            <v>0.1277742042815615</v>
          </cell>
          <cell r="BI108">
            <v>8.9680284978397529E-2</v>
          </cell>
          <cell r="BJ108">
            <v>0.13245846572553654</v>
          </cell>
          <cell r="BK108">
            <v>2.8166431631420741E-2</v>
          </cell>
          <cell r="BL108">
            <v>2.0772279495666846E-2</v>
          </cell>
          <cell r="BM108">
            <v>1.2159345464746396E-2</v>
          </cell>
          <cell r="BN108">
            <v>3.2649197384695405E-2</v>
          </cell>
          <cell r="BO108">
            <v>2.3247130580424713E-2</v>
          </cell>
          <cell r="BP108">
            <v>4.6802573663504488E-2</v>
          </cell>
          <cell r="BQ108">
            <v>-3.0855702310573774E-3</v>
          </cell>
          <cell r="BR108">
            <v>2.6923711935172623E-2</v>
          </cell>
          <cell r="BS108">
            <v>3.8919367367107327E-3</v>
          </cell>
          <cell r="BT108">
            <v>1.8497744638832803E-2</v>
          </cell>
          <cell r="BU108">
            <v>2.6592236887324372E-2</v>
          </cell>
          <cell r="BV108">
            <v>3.4396761350466987E-2</v>
          </cell>
          <cell r="BW108">
            <v>1.3119983535706981E-2</v>
          </cell>
          <cell r="BX108">
            <v>-4.495229101084286E-2</v>
          </cell>
          <cell r="BY108">
            <v>6.6634431672503158E-3</v>
          </cell>
          <cell r="BZ108">
            <v>-0.11408115076192826</v>
          </cell>
          <cell r="CA108">
            <v>-8.4683758104845408E-2</v>
          </cell>
          <cell r="CB108">
            <v>-0.11356937349539076</v>
          </cell>
          <cell r="CC108">
            <v>-0.10347059510145573</v>
          </cell>
          <cell r="CD108">
            <v>-0.10415722088329471</v>
          </cell>
          <cell r="CE108">
            <v>-0.12564080249812204</v>
          </cell>
          <cell r="CF108">
            <v>-8.9033318980118348E-2</v>
          </cell>
          <cell r="CG108">
            <v>-1.0330700339974519E-2</v>
          </cell>
          <cell r="CH108">
            <v>1.3941385829223218E-2</v>
          </cell>
          <cell r="CI108">
            <v>-5.3241473241627757E-2</v>
          </cell>
          <cell r="CN108">
            <v>3.999628420490442E-2</v>
          </cell>
          <cell r="CS108">
            <v>2.928860730054339E-2</v>
          </cell>
        </row>
        <row r="109">
          <cell r="A109" t="str">
            <v>Total Operating Expense per ASM ex Fuel (cents)</v>
          </cell>
          <cell r="G109">
            <v>7.8851991054324264</v>
          </cell>
          <cell r="H109">
            <v>6.4060966518826801</v>
          </cell>
          <cell r="I109">
            <v>5.920307594947249</v>
          </cell>
          <cell r="J109">
            <v>5.8420194993337846</v>
          </cell>
          <cell r="K109">
            <v>5.9566281304307864</v>
          </cell>
          <cell r="L109">
            <v>5.9971955201511689</v>
          </cell>
          <cell r="M109">
            <v>6.0078529978261814</v>
          </cell>
          <cell r="N109">
            <v>5.414434870010191</v>
          </cell>
          <cell r="O109">
            <v>5.4609846923610865</v>
          </cell>
          <cell r="P109">
            <v>5.2996044853382189</v>
          </cell>
          <cell r="Q109">
            <v>5.5089370818081402</v>
          </cell>
          <cell r="R109">
            <v>5.0276706769643376</v>
          </cell>
          <cell r="S109">
            <v>4.9859261319624739</v>
          </cell>
          <cell r="T109">
            <v>4.8974841295483396</v>
          </cell>
          <cell r="U109">
            <v>5.0074611965658447</v>
          </cell>
          <cell r="V109">
            <v>4.9767410624211115</v>
          </cell>
          <cell r="W109">
            <v>4.9091624550790334</v>
          </cell>
          <cell r="X109">
            <v>4.6641520616647281</v>
          </cell>
          <cell r="Y109">
            <v>4.6908349662353652</v>
          </cell>
          <cell r="Z109">
            <v>4.702789984253255</v>
          </cell>
          <cell r="AA109">
            <v>4.7361883800112432</v>
          </cell>
          <cell r="AB109">
            <v>5.0678581053903207</v>
          </cell>
          <cell r="AC109">
            <v>4.7489480346207777</v>
          </cell>
          <cell r="AD109">
            <v>4.7544150520020807</v>
          </cell>
          <cell r="AE109">
            <v>4.9167143746463191</v>
          </cell>
          <cell r="AF109">
            <v>4.8649387290958721</v>
          </cell>
          <cell r="AG109">
            <v>5.3975976889159192</v>
          </cell>
          <cell r="AH109">
            <v>5.1791169119688973</v>
          </cell>
          <cell r="AI109">
            <v>5.0683295741011012</v>
          </cell>
          <cell r="AJ109">
            <v>5.2349546578730424</v>
          </cell>
          <cell r="AK109">
            <v>5.2143806392949568</v>
          </cell>
          <cell r="AL109">
            <v>5.8480325644504747</v>
          </cell>
          <cell r="AM109">
            <v>5.34341681130672</v>
          </cell>
          <cell r="AN109">
            <v>5.2304009575104722</v>
          </cell>
          <cell r="AO109">
            <v>5.4850240354985829</v>
          </cell>
          <cell r="AP109">
            <v>5.4663991975927786</v>
          </cell>
          <cell r="AQ109">
            <v>5.8463371054198925</v>
          </cell>
          <cell r="AR109">
            <v>5.5827269473935353</v>
          </cell>
          <cell r="AS109">
            <v>5.9602649006622519</v>
          </cell>
          <cell r="AT109">
            <v>6.3062583222370172</v>
          </cell>
          <cell r="AU109">
            <v>5.9133222366068683</v>
          </cell>
          <cell r="AV109">
            <v>6.25</v>
          </cell>
          <cell r="AW109">
            <v>6.0203957751608588</v>
          </cell>
          <cell r="AX109">
            <v>6.3603861279942802</v>
          </cell>
          <cell r="AY109">
            <v>6.7100650976464697</v>
          </cell>
          <cell r="AZ109">
            <v>6.3332350484053261</v>
          </cell>
          <cell r="BA109">
            <v>6.8141725291501754</v>
          </cell>
          <cell r="BB109">
            <v>6.5145620027466959</v>
          </cell>
          <cell r="BC109">
            <v>6.5699846187651065</v>
          </cell>
          <cell r="BD109">
            <v>6.9564687304737642</v>
          </cell>
          <cell r="BE109">
            <v>6.7102160088588425</v>
          </cell>
          <cell r="BF109">
            <v>7.214353602729517</v>
          </cell>
          <cell r="BG109">
            <v>6.6306535324647804</v>
          </cell>
          <cell r="BH109">
            <v>6.4231354642313541</v>
          </cell>
          <cell r="BI109">
            <v>6.8435013262599469</v>
          </cell>
          <cell r="BJ109">
            <v>6.7630339013055263</v>
          </cell>
          <cell r="BK109">
            <v>7.1413590604026842</v>
          </cell>
          <cell r="BL109">
            <v>6.9270153599036242</v>
          </cell>
          <cell r="BM109">
            <v>6.6330343796711517</v>
          </cell>
          <cell r="BN109">
            <v>7.2513672270609693</v>
          </cell>
          <cell r="BO109">
            <v>6.9868995633187767</v>
          </cell>
          <cell r="BP109">
            <v>7.6232741617357007</v>
          </cell>
          <cell r="BQ109">
            <v>7.1501722372218603</v>
          </cell>
          <cell r="BR109">
            <v>6.9498755776750798</v>
          </cell>
          <cell r="BS109">
            <v>7.286502665793658</v>
          </cell>
          <cell r="BT109">
            <v>7.2436017186624317</v>
          </cell>
          <cell r="BU109">
            <v>8.1005854688549768</v>
          </cell>
          <cell r="BV109">
            <v>7.5092218513964513</v>
          </cell>
          <cell r="BW109">
            <v>7.1392103471749486</v>
          </cell>
          <cell r="BX109">
            <v>7.23154949282966</v>
          </cell>
          <cell r="BY109">
            <v>7.478941168626231</v>
          </cell>
          <cell r="BZ109">
            <v>7.9429021805762323</v>
          </cell>
          <cell r="CA109">
            <v>7.567214186483616</v>
          </cell>
          <cell r="CB109">
            <v>7.2980887792848339</v>
          </cell>
          <cell r="CC109">
            <v>7.2552568985581765</v>
          </cell>
          <cell r="CD109">
            <v>7.5034504790179302</v>
          </cell>
          <cell r="CE109">
            <v>7.9679416522060258</v>
          </cell>
          <cell r="CF109">
            <v>7.7050157231739469</v>
          </cell>
          <cell r="CG109">
            <v>7.5100608658999963</v>
          </cell>
          <cell r="CH109">
            <v>7.3864504747329809</v>
          </cell>
          <cell r="CI109">
            <v>7.6385263311817937</v>
          </cell>
          <cell r="CN109">
            <v>7.8215187772416304</v>
          </cell>
          <cell r="CS109">
            <v>7.9831525494530142</v>
          </cell>
          <cell r="CU109" t="str">
            <v>7/28: CASM ex-Fuel 3Q15 1%-3%; FY15 0-1.5%</v>
          </cell>
        </row>
        <row r="110">
          <cell r="A110" t="str">
            <v>YoY % Chg.</v>
          </cell>
          <cell r="L110">
            <v>-0.23943638708888615</v>
          </cell>
          <cell r="M110">
            <v>-6.2166351164785971E-2</v>
          </cell>
          <cell r="N110">
            <v>-8.544703409816079E-2</v>
          </cell>
          <cell r="O110">
            <v>-6.522313166126037E-2</v>
          </cell>
          <cell r="P110">
            <v>-0.11030126956155162</v>
          </cell>
          <cell r="Q110">
            <v>-8.1414460592860838E-2</v>
          </cell>
          <cell r="R110">
            <v>-0.16315018380384849</v>
          </cell>
          <cell r="S110">
            <v>-7.9141913853497003E-2</v>
          </cell>
          <cell r="T110">
            <v>-0.10318662192937123</v>
          </cell>
          <cell r="U110">
            <v>-5.5125489002172179E-2</v>
          </cell>
          <cell r="V110">
            <v>-9.6605935316355418E-2</v>
          </cell>
          <cell r="W110">
            <v>-2.3571198174988317E-2</v>
          </cell>
          <cell r="X110">
            <v>-6.4536469610931624E-2</v>
          </cell>
          <cell r="Y110">
            <v>-4.2194963341725455E-2</v>
          </cell>
          <cell r="Z110">
            <v>-6.0843449475262101E-2</v>
          </cell>
          <cell r="AA110">
            <v>-4.8335382410440886E-2</v>
          </cell>
          <cell r="AB110">
            <v>3.2326420598915107E-2</v>
          </cell>
          <cell r="AC110">
            <v>1.8180362011135598E-2</v>
          </cell>
          <cell r="AD110">
            <v>1.3554108431519163E-2</v>
          </cell>
          <cell r="AE110">
            <v>4.5488824954838414E-2</v>
          </cell>
          <cell r="AF110">
            <v>2.7184380931301488E-2</v>
          </cell>
          <cell r="AG110">
            <v>6.5064880797447433E-2</v>
          </cell>
          <cell r="AH110">
            <v>9.0581929768888347E-2</v>
          </cell>
          <cell r="AI110">
            <v>6.6025897753043461E-2</v>
          </cell>
          <cell r="AJ110">
            <v>6.4726209207468077E-2</v>
          </cell>
          <cell r="AK110">
            <v>7.1828635396611995E-2</v>
          </cell>
          <cell r="AL110">
            <v>8.3450990884247123E-2</v>
          </cell>
          <cell r="AM110">
            <v>3.1723535523619173E-2</v>
          </cell>
          <cell r="AN110">
            <v>3.1977277925560932E-2</v>
          </cell>
          <cell r="AO110">
            <v>4.7769158277130908E-2</v>
          </cell>
          <cell r="AP110">
            <v>4.8331446384761279E-2</v>
          </cell>
          <cell r="AQ110">
            <v>-2.8991956044988054E-4</v>
          </cell>
          <cell r="AR110">
            <v>4.47859758161544E-2</v>
          </cell>
          <cell r="AS110">
            <v>0.13954263718611259</v>
          </cell>
          <cell r="AT110">
            <v>0.14972300602941391</v>
          </cell>
          <cell r="AU110">
            <v>8.1758214660008655E-2</v>
          </cell>
          <cell r="AV110">
            <v>6.9045436022819873E-2</v>
          </cell>
          <cell r="AW110">
            <v>7.8396961178920366E-2</v>
          </cell>
          <cell r="AX110">
            <v>6.7131450363484779E-2</v>
          </cell>
          <cell r="AY110">
            <v>6.4032704462098522E-2</v>
          </cell>
          <cell r="AZ110">
            <v>7.101131901775215E-2</v>
          </cell>
          <cell r="BA110">
            <v>9.0267604664028056E-2</v>
          </cell>
          <cell r="BB110">
            <v>8.2082016870831609E-2</v>
          </cell>
          <cell r="BC110">
            <v>3.2953736856998317E-2</v>
          </cell>
          <cell r="BD110">
            <v>3.6721496623590033E-2</v>
          </cell>
          <cell r="BE110">
            <v>5.9524233282394645E-2</v>
          </cell>
          <cell r="BF110">
            <v>5.8727757753038512E-2</v>
          </cell>
          <cell r="BG110">
            <v>1.7820312350874445E-2</v>
          </cell>
          <cell r="BH110">
            <v>-2.2351521815488495E-2</v>
          </cell>
          <cell r="BI110">
            <v>-1.6239188098258528E-2</v>
          </cell>
          <cell r="BJ110">
            <v>7.8712656011301618E-3</v>
          </cell>
          <cell r="BK110">
            <v>-1.0117960159204742E-2</v>
          </cell>
          <cell r="BL110">
            <v>4.4695719055113825E-2</v>
          </cell>
          <cell r="BM110">
            <v>3.2678575223684225E-2</v>
          </cell>
          <cell r="BN110">
            <v>5.9599009535653336E-2</v>
          </cell>
          <cell r="BO110">
            <v>3.3101366232991314E-2</v>
          </cell>
          <cell r="BP110">
            <v>6.7482267346720137E-2</v>
          </cell>
          <cell r="BQ110">
            <v>3.2215444274883431E-2</v>
          </cell>
          <cell r="BR110">
            <v>4.7767157513155523E-2</v>
          </cell>
          <cell r="BS110">
            <v>4.8453536598682678E-3</v>
          </cell>
          <cell r="BT110">
            <v>3.6740495983560661E-2</v>
          </cell>
          <cell r="BU110">
            <v>6.2612375862735492E-2</v>
          </cell>
          <cell r="BV110">
            <v>5.0215519607412551E-2</v>
          </cell>
          <cell r="BW110">
            <v>2.7242900593510644E-2</v>
          </cell>
          <cell r="BX110">
            <v>-7.5417762793080767E-3</v>
          </cell>
          <cell r="BY110">
            <v>3.2489286283848395E-2</v>
          </cell>
          <cell r="BZ110">
            <v>-1.9465665646637875E-2</v>
          </cell>
          <cell r="CA110">
            <v>7.7228155240054441E-3</v>
          </cell>
          <cell r="CB110">
            <v>2.2254342480993783E-2</v>
          </cell>
          <cell r="CC110">
            <v>3.2783300110195146E-3</v>
          </cell>
          <cell r="CD110">
            <v>3.2771096655386245E-3</v>
          </cell>
          <cell r="CE110">
            <v>3.1524335892019195E-3</v>
          </cell>
          <cell r="CF110">
            <v>1.8210339141248255E-2</v>
          </cell>
          <cell r="CG110">
            <v>2.9044876408852671E-2</v>
          </cell>
          <cell r="CH110">
            <v>1.8082554209882806E-2</v>
          </cell>
          <cell r="CI110">
            <v>1.8001831629538945E-2</v>
          </cell>
          <cell r="CN110">
            <v>2.3956511783278067E-2</v>
          </cell>
          <cell r="CS110">
            <v>2.0665266787019965E-2</v>
          </cell>
          <cell r="CV110" t="str">
            <v>11/19/14 Investor Day: CASM ex-Fuel 2015-2017 &lt;2%</v>
          </cell>
          <cell r="CZ110" t="str">
            <v>10/27: CASM ex-Fuel 4Q15 0%-2%; FY15 0-1.0%</v>
          </cell>
        </row>
        <row r="111">
          <cell r="A111" t="str">
            <v>OPERATING SUMMARY</v>
          </cell>
          <cell r="B111">
            <v>0</v>
          </cell>
          <cell r="G111">
            <v>104.61800000000001</v>
          </cell>
          <cell r="H111">
            <v>63.85</v>
          </cell>
          <cell r="I111">
            <v>78.39800000000001</v>
          </cell>
          <cell r="J111">
            <v>82.608000000000004</v>
          </cell>
          <cell r="K111">
            <v>95.557999999999993</v>
          </cell>
          <cell r="L111">
            <v>320.41400000000004</v>
          </cell>
          <cell r="M111">
            <v>133.369</v>
          </cell>
          <cell r="N111">
            <v>149.303</v>
          </cell>
          <cell r="O111">
            <v>165.261</v>
          </cell>
          <cell r="P111">
            <v>187.25799999999998</v>
          </cell>
          <cell r="Q111">
            <v>635.19100000000003</v>
          </cell>
          <cell r="R111">
            <v>217.13</v>
          </cell>
          <cell r="S111">
            <v>244.70099999999999</v>
          </cell>
          <cell r="T111">
            <v>273.57599999999996</v>
          </cell>
          <cell r="U111">
            <v>262.94400000000002</v>
          </cell>
          <cell r="V111">
            <v>998.351</v>
          </cell>
          <cell r="W111">
            <v>289.00299999999999</v>
          </cell>
          <cell r="X111">
            <v>319.71800000000002</v>
          </cell>
          <cell r="Y111">
            <v>323.21499999999997</v>
          </cell>
          <cell r="Z111">
            <v>330.536</v>
          </cell>
          <cell r="AA111">
            <v>1262.4719999999998</v>
          </cell>
          <cell r="AB111">
            <v>374.22200000000004</v>
          </cell>
          <cell r="AC111">
            <v>429</v>
          </cell>
          <cell r="AD111">
            <v>452.91500000000002</v>
          </cell>
          <cell r="AE111">
            <v>445.99200000000002</v>
          </cell>
          <cell r="AF111">
            <v>1702.1290000000001</v>
          </cell>
          <cell r="AG111">
            <v>490.4</v>
          </cell>
          <cell r="AH111">
            <v>612</v>
          </cell>
          <cell r="AI111">
            <v>628</v>
          </cell>
          <cell r="AJ111">
            <v>633</v>
          </cell>
          <cell r="AK111">
            <v>2363.4</v>
          </cell>
          <cell r="AL111">
            <v>608</v>
          </cell>
          <cell r="AM111">
            <v>730</v>
          </cell>
          <cell r="AN111">
            <v>765</v>
          </cell>
          <cell r="AO111">
            <v>739</v>
          </cell>
          <cell r="AP111">
            <v>2842</v>
          </cell>
          <cell r="AQ111">
            <v>816</v>
          </cell>
          <cell r="AR111">
            <v>859</v>
          </cell>
          <cell r="AS111">
            <v>902</v>
          </cell>
          <cell r="AT111">
            <v>811</v>
          </cell>
          <cell r="AU111">
            <v>3388</v>
          </cell>
          <cell r="AV111">
            <v>795</v>
          </cell>
          <cell r="AW111">
            <v>809</v>
          </cell>
          <cell r="AX111">
            <v>855</v>
          </cell>
          <cell r="AY111">
            <v>832</v>
          </cell>
          <cell r="AZ111">
            <v>3291</v>
          </cell>
          <cell r="BA111">
            <v>870</v>
          </cell>
          <cell r="BB111">
            <v>939</v>
          </cell>
          <cell r="BC111">
            <v>1030</v>
          </cell>
          <cell r="BD111">
            <v>940</v>
          </cell>
          <cell r="BE111">
            <v>3779</v>
          </cell>
          <cell r="BF111">
            <v>1012</v>
          </cell>
          <cell r="BG111">
            <v>1151</v>
          </cell>
          <cell r="BH111">
            <v>1195</v>
          </cell>
          <cell r="BI111">
            <v>1146</v>
          </cell>
          <cell r="BJ111">
            <v>4504</v>
          </cell>
          <cell r="BK111">
            <v>1203</v>
          </cell>
          <cell r="BL111">
            <v>1277</v>
          </cell>
          <cell r="BM111">
            <v>1308</v>
          </cell>
          <cell r="BN111">
            <v>1194</v>
          </cell>
          <cell r="BO111">
            <v>4982</v>
          </cell>
          <cell r="BP111">
            <v>1299</v>
          </cell>
          <cell r="BQ111">
            <v>1335</v>
          </cell>
          <cell r="BR111">
            <v>1442</v>
          </cell>
          <cell r="BS111">
            <v>1365</v>
          </cell>
          <cell r="BT111">
            <v>5441</v>
          </cell>
          <cell r="BU111">
            <v>1349</v>
          </cell>
          <cell r="BV111">
            <v>1493</v>
          </cell>
          <cell r="BW111">
            <v>1529</v>
          </cell>
          <cell r="BX111">
            <v>1446</v>
          </cell>
          <cell r="BY111">
            <v>5817</v>
          </cell>
          <cell r="BZ111">
            <v>1523</v>
          </cell>
          <cell r="CA111">
            <v>1612</v>
          </cell>
          <cell r="CB111">
            <v>1687</v>
          </cell>
          <cell r="CC111">
            <v>1602.41</v>
          </cell>
          <cell r="CD111">
            <v>6422.325499999999</v>
          </cell>
          <cell r="CE111">
            <v>1683.6686</v>
          </cell>
          <cell r="CF111">
            <v>1763.6975999999997</v>
          </cell>
          <cell r="CG111">
            <v>1784.2700000000002</v>
          </cell>
          <cell r="CH111">
            <v>1700.7947750000003</v>
          </cell>
          <cell r="CI111">
            <v>6948.794302906249</v>
          </cell>
          <cell r="CN111">
            <v>7507.6526671387492</v>
          </cell>
          <cell r="DA111" t="str">
            <v>11/19/14 Investor Day: CASM ex-Fuel 2015-2017 &lt;2%</v>
          </cell>
        </row>
        <row r="112">
          <cell r="A112" t="str">
            <v>Operating Revenue</v>
          </cell>
          <cell r="B112">
            <v>0</v>
          </cell>
          <cell r="G112">
            <v>104.61800000000001</v>
          </cell>
          <cell r="H112">
            <v>63.85</v>
          </cell>
          <cell r="I112">
            <v>78.39800000000001</v>
          </cell>
          <cell r="J112">
            <v>82.608000000000004</v>
          </cell>
          <cell r="K112">
            <v>95.557999999999993</v>
          </cell>
          <cell r="L112">
            <v>320.41400000000004</v>
          </cell>
          <cell r="M112">
            <v>133.369</v>
          </cell>
          <cell r="N112">
            <v>149.303</v>
          </cell>
          <cell r="O112">
            <v>165.261</v>
          </cell>
          <cell r="P112">
            <v>187.25799999999998</v>
          </cell>
          <cell r="Q112">
            <v>635.19100000000003</v>
          </cell>
          <cell r="R112">
            <v>217.13</v>
          </cell>
          <cell r="S112">
            <v>244.70099999999999</v>
          </cell>
          <cell r="T112">
            <v>273.57599999999996</v>
          </cell>
          <cell r="U112">
            <v>262.94400000000002</v>
          </cell>
          <cell r="V112">
            <v>998.351</v>
          </cell>
          <cell r="W112">
            <v>289.00299999999999</v>
          </cell>
          <cell r="X112">
            <v>319.71800000000002</v>
          </cell>
          <cell r="Y112">
            <v>323.21499999999997</v>
          </cell>
          <cell r="Z112">
            <v>330.536</v>
          </cell>
          <cell r="AA112">
            <v>1262.4719999999998</v>
          </cell>
          <cell r="AB112">
            <v>374.22200000000004</v>
          </cell>
          <cell r="AC112">
            <v>429</v>
          </cell>
          <cell r="AD112">
            <v>452.91500000000002</v>
          </cell>
          <cell r="AE112">
            <v>445.99200000000002</v>
          </cell>
          <cell r="AF112">
            <v>1702.1290000000001</v>
          </cell>
          <cell r="AG112">
            <v>490.4</v>
          </cell>
          <cell r="AH112">
            <v>612</v>
          </cell>
          <cell r="AI112">
            <v>628</v>
          </cell>
          <cell r="AJ112">
            <v>633</v>
          </cell>
          <cell r="AK112">
            <v>2363.4</v>
          </cell>
          <cell r="AL112">
            <v>608</v>
          </cell>
          <cell r="AM112">
            <v>730</v>
          </cell>
          <cell r="AN112">
            <v>765</v>
          </cell>
          <cell r="AO112">
            <v>739</v>
          </cell>
          <cell r="AP112">
            <v>2842</v>
          </cell>
          <cell r="AQ112">
            <v>816</v>
          </cell>
          <cell r="AR112">
            <v>859</v>
          </cell>
          <cell r="AS112">
            <v>902</v>
          </cell>
          <cell r="AT112">
            <v>811</v>
          </cell>
          <cell r="AU112">
            <v>3388</v>
          </cell>
          <cell r="AV112">
            <v>795</v>
          </cell>
          <cell r="AW112">
            <v>809</v>
          </cell>
          <cell r="AX112">
            <v>855</v>
          </cell>
          <cell r="AY112">
            <v>832</v>
          </cell>
          <cell r="AZ112">
            <v>3291</v>
          </cell>
          <cell r="BA112">
            <v>870</v>
          </cell>
          <cell r="BB112">
            <v>939</v>
          </cell>
          <cell r="BC112">
            <v>1030</v>
          </cell>
          <cell r="BD112">
            <v>940</v>
          </cell>
          <cell r="BE112">
            <v>3779</v>
          </cell>
          <cell r="BF112">
            <v>1012</v>
          </cell>
          <cell r="BG112">
            <v>1151</v>
          </cell>
          <cell r="BH112">
            <v>1195</v>
          </cell>
          <cell r="BI112">
            <v>1146</v>
          </cell>
          <cell r="BJ112">
            <v>4504</v>
          </cell>
          <cell r="BK112">
            <v>1203</v>
          </cell>
          <cell r="BL112">
            <v>1277</v>
          </cell>
          <cell r="BM112">
            <v>1308</v>
          </cell>
          <cell r="BN112">
            <v>1194</v>
          </cell>
          <cell r="BO112">
            <v>4982</v>
          </cell>
          <cell r="BP112">
            <v>1299</v>
          </cell>
          <cell r="BQ112">
            <v>1335</v>
          </cell>
          <cell r="BR112">
            <v>1442</v>
          </cell>
          <cell r="BS112">
            <v>1365</v>
          </cell>
          <cell r="BT112">
            <v>5441</v>
          </cell>
          <cell r="BU112">
            <v>1349</v>
          </cell>
          <cell r="BV112">
            <v>1493</v>
          </cell>
          <cell r="BW112">
            <v>1529</v>
          </cell>
          <cell r="BX112">
            <v>1446</v>
          </cell>
          <cell r="BY112">
            <v>5817</v>
          </cell>
          <cell r="BZ112">
            <v>1523</v>
          </cell>
          <cell r="CA112">
            <v>1612</v>
          </cell>
          <cell r="CB112">
            <v>1687</v>
          </cell>
          <cell r="CC112">
            <v>1585.0861588859743</v>
          </cell>
          <cell r="CD112">
            <v>6407.0861588859743</v>
          </cell>
          <cell r="CE112">
            <v>1632.4173999999998</v>
          </cell>
          <cell r="CF112">
            <v>1729.8879999999999</v>
          </cell>
          <cell r="CG112">
            <v>1784.2700000000002</v>
          </cell>
          <cell r="CH112">
            <v>1697.973401464073</v>
          </cell>
          <cell r="CI112">
            <v>6844.5488014640723</v>
          </cell>
          <cell r="CN112">
            <v>7395.2361099561986</v>
          </cell>
          <cell r="CS112">
            <v>7983.4661050058194</v>
          </cell>
          <cell r="CX112" t="str">
            <v>LiveTV</v>
          </cell>
          <cell r="DA112" t="str">
            <v>We assume 50 bps impact to 1Q guidance due to Jonas, immaterial for FY</v>
          </cell>
        </row>
        <row r="113">
          <cell r="A113" t="str">
            <v>YoY % Chg.</v>
          </cell>
          <cell r="B113">
            <v>14.215999999999999</v>
          </cell>
          <cell r="G113">
            <v>125.80599999999998</v>
          </cell>
          <cell r="H113">
            <v>56.311595099999998</v>
          </cell>
          <cell r="I113">
            <v>67.408027599999997</v>
          </cell>
          <cell r="J113">
            <v>77.970097400000014</v>
          </cell>
          <cell r="K113">
            <v>92.347496100000001</v>
          </cell>
          <cell r="L113">
            <v>2.0627043147450728</v>
          </cell>
          <cell r="M113">
            <v>1.088786217697729</v>
          </cell>
          <cell r="N113">
            <v>0.90442358223424035</v>
          </cell>
          <cell r="O113">
            <v>1.0005447414294015</v>
          </cell>
          <cell r="P113">
            <v>0.95962661420289241</v>
          </cell>
          <cell r="Q113">
            <v>0.9824071357680999</v>
          </cell>
          <cell r="R113">
            <v>0.62803949943390136</v>
          </cell>
          <cell r="S113">
            <v>0.63895568072979114</v>
          </cell>
          <cell r="T113">
            <v>0.65541779367182795</v>
          </cell>
          <cell r="U113">
            <v>0.40418032874429954</v>
          </cell>
          <cell r="V113">
            <v>0.57173354156466316</v>
          </cell>
          <cell r="W113">
            <v>0.33101367844148655</v>
          </cell>
          <cell r="X113">
            <v>0.30656597234992922</v>
          </cell>
          <cell r="Y113">
            <v>0.18144500979618106</v>
          </cell>
          <cell r="Z113">
            <v>0.25705853717901905</v>
          </cell>
          <cell r="AA113">
            <v>0.26455725491335191</v>
          </cell>
          <cell r="AB113">
            <v>0.29487237156707735</v>
          </cell>
          <cell r="AC113">
            <v>0.34180746783102611</v>
          </cell>
          <cell r="AD113">
            <v>0.40128088114722416</v>
          </cell>
          <cell r="AE113">
            <v>0.34929931989253826</v>
          </cell>
          <cell r="AF113">
            <v>0.34825089190096925</v>
          </cell>
          <cell r="AG113">
            <v>0.31045208459149887</v>
          </cell>
          <cell r="AH113">
            <v>0.42657342657342667</v>
          </cell>
          <cell r="AI113">
            <v>0.38657363964540803</v>
          </cell>
          <cell r="AJ113">
            <v>0.41930796964967976</v>
          </cell>
          <cell r="AK113">
            <v>0.38849640655907969</v>
          </cell>
          <cell r="AL113">
            <v>0.23980424143556278</v>
          </cell>
          <cell r="AM113">
            <v>0.19281045751633985</v>
          </cell>
          <cell r="AN113">
            <v>0.21815286624203822</v>
          </cell>
          <cell r="AO113">
            <v>0.1674565560821486</v>
          </cell>
          <cell r="AP113">
            <v>0.20250486587120253</v>
          </cell>
          <cell r="AQ113">
            <v>0.34210526315789469</v>
          </cell>
          <cell r="AR113">
            <v>0.17671232876712328</v>
          </cell>
          <cell r="AS113">
            <v>0.17908496732026147</v>
          </cell>
          <cell r="AT113">
            <v>9.7428958051420933E-2</v>
          </cell>
          <cell r="AU113">
            <v>0.19211822660098532</v>
          </cell>
          <cell r="AV113">
            <v>-2.5735294117647078E-2</v>
          </cell>
          <cell r="AW113">
            <v>-5.8207217694994151E-2</v>
          </cell>
          <cell r="AX113">
            <v>-5.2106430155210659E-2</v>
          </cell>
          <cell r="AY113">
            <v>2.5893958076448786E-2</v>
          </cell>
          <cell r="AZ113">
            <v>-2.8630460448642259E-2</v>
          </cell>
          <cell r="BA113">
            <v>9.4339622641509413E-2</v>
          </cell>
          <cell r="BB113">
            <v>0.16069221260815825</v>
          </cell>
          <cell r="BC113">
            <v>0.20467836257309946</v>
          </cell>
          <cell r="BD113">
            <v>0.12980769230769229</v>
          </cell>
          <cell r="BE113">
            <v>0.14828319659677902</v>
          </cell>
          <cell r="BF113">
            <v>0.16321839080459766</v>
          </cell>
          <cell r="BG113">
            <v>0.22577209797657072</v>
          </cell>
          <cell r="BH113">
            <v>0.16019417475728148</v>
          </cell>
          <cell r="BI113">
            <v>0.2191489361702128</v>
          </cell>
          <cell r="BJ113">
            <v>0.19184969568668953</v>
          </cell>
          <cell r="BK113">
            <v>0.18873517786561256</v>
          </cell>
          <cell r="BL113">
            <v>0.10947002606429201</v>
          </cell>
          <cell r="BM113">
            <v>9.4560669456067004E-2</v>
          </cell>
          <cell r="BN113">
            <v>4.1884816753926746E-2</v>
          </cell>
          <cell r="BO113">
            <v>0.10612788632326819</v>
          </cell>
          <cell r="BP113">
            <v>7.9800498753117122E-2</v>
          </cell>
          <cell r="BQ113">
            <v>4.5418950665622626E-2</v>
          </cell>
          <cell r="BR113">
            <v>0.10244648318042815</v>
          </cell>
          <cell r="BS113">
            <v>0.14321608040200995</v>
          </cell>
          <cell r="BT113">
            <v>9.2131674026495469E-2</v>
          </cell>
          <cell r="BU113">
            <v>3.8491147036181728E-2</v>
          </cell>
          <cell r="BV113">
            <v>0.11835205992509357</v>
          </cell>
          <cell r="BW113">
            <v>6.0332871012482636E-2</v>
          </cell>
          <cell r="BX113">
            <v>5.9340659340659352E-2</v>
          </cell>
          <cell r="BY113">
            <v>6.9104943944128028E-2</v>
          </cell>
          <cell r="BZ113">
            <v>0.128984432913269</v>
          </cell>
          <cell r="CA113">
            <v>7.9705291359678521E-2</v>
          </cell>
          <cell r="CB113">
            <v>0.10333551340745584</v>
          </cell>
          <cell r="CC113">
            <v>0.10235131396957131</v>
          </cell>
          <cell r="CD113">
            <v>0.10297404160220047</v>
          </cell>
          <cell r="CE113">
            <v>6.1063690085357836E-2</v>
          </cell>
          <cell r="CF113">
            <v>2.0531885856079235E-2</v>
          </cell>
          <cell r="CG113">
            <v>3.5487374036751618E-2</v>
          </cell>
          <cell r="CH113">
            <v>5.9538613550815356E-2</v>
          </cell>
          <cell r="CI113">
            <v>4.3776363778054828E-2</v>
          </cell>
          <cell r="CN113">
            <v>8.0456334590577105E-2</v>
          </cell>
          <cell r="CS113">
            <v>7.9541746376114775E-2</v>
          </cell>
          <cell r="CX113" t="str">
            <v>Rev</v>
          </cell>
          <cell r="CZ113">
            <v>72</v>
          </cell>
          <cell r="DC113" t="str">
            <v>LiveTV</v>
          </cell>
        </row>
        <row r="114">
          <cell r="A114" t="str">
            <v>Operating Expense</v>
          </cell>
          <cell r="B114">
            <v>14.215999999999999</v>
          </cell>
          <cell r="G114">
            <v>125.80599999999998</v>
          </cell>
          <cell r="H114">
            <v>56.311595099999998</v>
          </cell>
          <cell r="I114">
            <v>67.408027599999997</v>
          </cell>
          <cell r="J114">
            <v>77.970097400000014</v>
          </cell>
          <cell r="K114">
            <v>92.347496100000001</v>
          </cell>
          <cell r="L114">
            <v>294.03721619999999</v>
          </cell>
          <cell r="M114">
            <v>109.9902668</v>
          </cell>
          <cell r="N114">
            <v>121.59557719999999</v>
          </cell>
          <cell r="O114">
            <v>142.799148</v>
          </cell>
          <cell r="P114">
            <v>155.8170216</v>
          </cell>
          <cell r="Q114">
            <v>530.20201359999999</v>
          </cell>
          <cell r="R114">
            <v>182.67700000000002</v>
          </cell>
          <cell r="S114">
            <v>195.75700000000001</v>
          </cell>
          <cell r="T114">
            <v>219.74</v>
          </cell>
          <cell r="U114">
            <v>227.94399999999999</v>
          </cell>
          <cell r="V114">
            <v>826.11799999999994</v>
          </cell>
          <cell r="W114">
            <v>256.33900000000006</v>
          </cell>
          <cell r="X114">
            <v>274.63</v>
          </cell>
          <cell r="Y114">
            <v>300.23</v>
          </cell>
          <cell r="Z114">
            <v>319.83000000000004</v>
          </cell>
          <cell r="AA114">
            <v>1151.029</v>
          </cell>
          <cell r="AB114">
            <v>348.56</v>
          </cell>
          <cell r="AC114">
            <v>388.93999999999994</v>
          </cell>
          <cell r="AD114">
            <v>439.06900000000002</v>
          </cell>
          <cell r="AE114">
            <v>464.50699999999995</v>
          </cell>
          <cell r="AF114">
            <v>1641.076</v>
          </cell>
          <cell r="AG114">
            <v>515</v>
          </cell>
          <cell r="AH114">
            <v>565</v>
          </cell>
          <cell r="AI114">
            <v>594</v>
          </cell>
          <cell r="AJ114">
            <v>569</v>
          </cell>
          <cell r="AK114">
            <v>2243</v>
          </cell>
          <cell r="AL114">
            <v>621</v>
          </cell>
          <cell r="AM114">
            <v>657</v>
          </cell>
          <cell r="AN114">
            <v>686</v>
          </cell>
          <cell r="AO114">
            <v>709</v>
          </cell>
          <cell r="AP114">
            <v>2673</v>
          </cell>
          <cell r="AQ114">
            <v>798.8</v>
          </cell>
          <cell r="AR114">
            <v>838</v>
          </cell>
          <cell r="AS114">
            <v>880</v>
          </cell>
          <cell r="AT114">
            <v>762</v>
          </cell>
          <cell r="AU114">
            <v>3278.8</v>
          </cell>
          <cell r="AV114">
            <v>719.5</v>
          </cell>
          <cell r="AW114">
            <v>731</v>
          </cell>
          <cell r="AX114">
            <v>788</v>
          </cell>
          <cell r="AY114">
            <v>768</v>
          </cell>
          <cell r="AZ114">
            <v>3006.5</v>
          </cell>
          <cell r="BA114">
            <v>828</v>
          </cell>
          <cell r="BB114">
            <v>845</v>
          </cell>
          <cell r="BC114">
            <v>890.2</v>
          </cell>
          <cell r="BD114">
            <v>882.9</v>
          </cell>
          <cell r="BE114">
            <v>3446.1000000000004</v>
          </cell>
          <cell r="BF114">
            <v>967</v>
          </cell>
          <cell r="BG114">
            <v>1065</v>
          </cell>
          <cell r="BH114">
            <v>1087</v>
          </cell>
          <cell r="BI114">
            <v>1063</v>
          </cell>
          <cell r="BJ114">
            <v>4182</v>
          </cell>
          <cell r="BK114">
            <v>1114</v>
          </cell>
          <cell r="BL114">
            <v>1147</v>
          </cell>
          <cell r="BM114">
            <v>1195</v>
          </cell>
          <cell r="BN114">
            <v>1150</v>
          </cell>
          <cell r="BO114">
            <v>4606</v>
          </cell>
          <cell r="BP114">
            <v>1240</v>
          </cell>
          <cell r="BQ114">
            <v>1233</v>
          </cell>
          <cell r="BR114">
            <v>1290</v>
          </cell>
          <cell r="BS114">
            <v>1250</v>
          </cell>
          <cell r="BT114">
            <v>5013</v>
          </cell>
          <cell r="BU114">
            <v>1308</v>
          </cell>
          <cell r="BV114">
            <v>1352</v>
          </cell>
          <cell r="BW114">
            <v>1365</v>
          </cell>
          <cell r="BX114">
            <v>1277</v>
          </cell>
          <cell r="BY114">
            <v>5302</v>
          </cell>
          <cell r="BZ114">
            <v>1270</v>
          </cell>
          <cell r="CA114">
            <v>1330</v>
          </cell>
          <cell r="CB114">
            <v>1336</v>
          </cell>
          <cell r="CC114">
            <v>1231.779700361873</v>
          </cell>
          <cell r="CD114">
            <v>5167.7797003618725</v>
          </cell>
          <cell r="CE114">
            <v>1280.9603681372548</v>
          </cell>
          <cell r="CF114">
            <v>1319.12283406146</v>
          </cell>
          <cell r="CG114">
            <v>1331.045142191213</v>
          </cell>
          <cell r="CH114">
            <v>1291.1308525033996</v>
          </cell>
          <cell r="CI114">
            <v>5222.2591968933275</v>
          </cell>
          <cell r="CN114">
            <v>5865.6205727178658</v>
          </cell>
          <cell r="CS114">
            <v>6520.4097446658834</v>
          </cell>
          <cell r="CX114" t="str">
            <v>SWB</v>
          </cell>
          <cell r="CY114">
            <v>0.45</v>
          </cell>
          <cell r="CZ114">
            <v>29.25</v>
          </cell>
          <cell r="DA114">
            <v>7.3125</v>
          </cell>
          <cell r="DC114" t="str">
            <v>Rev</v>
          </cell>
          <cell r="DE114">
            <v>72</v>
          </cell>
        </row>
        <row r="115">
          <cell r="A115" t="str">
            <v>YoY % Chg.</v>
          </cell>
          <cell r="B115">
            <v>-14.215999999999999</v>
          </cell>
          <cell r="G115">
            <v>7.8496060776589758</v>
          </cell>
          <cell r="H115">
            <v>7.5384049000000033</v>
          </cell>
          <cell r="I115">
            <v>10.989972400000013</v>
          </cell>
          <cell r="J115">
            <v>4.6379025999999897</v>
          </cell>
          <cell r="K115">
            <v>3.210503899999992</v>
          </cell>
          <cell r="L115">
            <v>1.3372272880466753</v>
          </cell>
          <cell r="M115">
            <v>0.95324367218999284</v>
          </cell>
          <cell r="N115">
            <v>0.80387383416036928</v>
          </cell>
          <cell r="O115">
            <v>0.83146042857194091</v>
          </cell>
          <cell r="P115">
            <v>0.68729016140590304</v>
          </cell>
          <cell r="Q115">
            <v>0.8031799527015111</v>
          </cell>
          <cell r="R115">
            <v>0.66084695777826785</v>
          </cell>
          <cell r="S115">
            <v>0.60990230490060959</v>
          </cell>
          <cell r="T115">
            <v>0.53880469931095121</v>
          </cell>
          <cell r="U115">
            <v>0.46289537342818776</v>
          </cell>
          <cell r="V115">
            <v>0.5581193183156179</v>
          </cell>
          <cell r="W115">
            <v>0.40323631327424914</v>
          </cell>
          <cell r="X115">
            <v>0.40291279494475285</v>
          </cell>
          <cell r="Y115">
            <v>0.3662965322654046</v>
          </cell>
          <cell r="Z115">
            <v>0.40310778085845667</v>
          </cell>
          <cell r="AA115">
            <v>0.39329853604448761</v>
          </cell>
          <cell r="AB115">
            <v>0.35976187782584756</v>
          </cell>
          <cell r="AC115">
            <v>0.41623274951753242</v>
          </cell>
          <cell r="AD115">
            <v>0.46244212770209492</v>
          </cell>
          <cell r="AE115">
            <v>0.4523559390926426</v>
          </cell>
          <cell r="AF115">
            <v>0.42574687518733234</v>
          </cell>
          <cell r="AG115">
            <v>0.47750745926095939</v>
          </cell>
          <cell r="AH115">
            <v>0.45266622101095311</v>
          </cell>
          <cell r="AI115">
            <v>0.35286253413472601</v>
          </cell>
          <cell r="AJ115">
            <v>0.22495462931667354</v>
          </cell>
          <cell r="AK115">
            <v>0.36678618174904765</v>
          </cell>
          <cell r="AL115">
            <v>0.2058252427184466</v>
          </cell>
          <cell r="AM115">
            <v>0.16283185840707959</v>
          </cell>
          <cell r="AN115">
            <v>0.15488215488215484</v>
          </cell>
          <cell r="AO115">
            <v>0.24604569420035149</v>
          </cell>
          <cell r="AP115">
            <v>0.19170753455193945</v>
          </cell>
          <cell r="AQ115">
            <v>0.2863123993558776</v>
          </cell>
          <cell r="AR115">
            <v>0.27549467275494677</v>
          </cell>
          <cell r="AS115">
            <v>0.28279883381924198</v>
          </cell>
          <cell r="AT115">
            <v>7.4753173483780078E-2</v>
          </cell>
          <cell r="AU115">
            <v>0.22663673774784887</v>
          </cell>
          <cell r="AV115">
            <v>-9.9273910866299442E-2</v>
          </cell>
          <cell r="AW115">
            <v>-0.12768496420047737</v>
          </cell>
          <cell r="AX115">
            <v>-0.1045454545454545</v>
          </cell>
          <cell r="AY115">
            <v>7.8740157480314821E-3</v>
          </cell>
          <cell r="AZ115">
            <v>-8.3048676345004346E-2</v>
          </cell>
          <cell r="BA115">
            <v>0.15079916608756072</v>
          </cell>
          <cell r="BB115">
            <v>0.15595075239398093</v>
          </cell>
          <cell r="BC115">
            <v>0.12969543147208129</v>
          </cell>
          <cell r="BD115">
            <v>0.14960937500000004</v>
          </cell>
          <cell r="BE115">
            <v>0.14621653084982555</v>
          </cell>
          <cell r="BF115">
            <v>0.16787439613526578</v>
          </cell>
          <cell r="BG115">
            <v>0.26035502958579881</v>
          </cell>
          <cell r="BH115">
            <v>0.22107391597393833</v>
          </cell>
          <cell r="BI115">
            <v>0.20398686147921619</v>
          </cell>
          <cell r="BJ115">
            <v>0.21354574736658827</v>
          </cell>
          <cell r="BK115">
            <v>0.15201654601861425</v>
          </cell>
          <cell r="BL115">
            <v>7.6995305164319294E-2</v>
          </cell>
          <cell r="BM115">
            <v>9.9356025758969624E-2</v>
          </cell>
          <cell r="BN115">
            <v>8.1843838193791152E-2</v>
          </cell>
          <cell r="BO115">
            <v>0.10138689622190333</v>
          </cell>
          <cell r="BP115">
            <v>0.11310592459605018</v>
          </cell>
          <cell r="BQ115">
            <v>7.4978204010462068E-2</v>
          </cell>
          <cell r="BR115">
            <v>7.9497907949790836E-2</v>
          </cell>
          <cell r="BS115">
            <v>8.6956521739130377E-2</v>
          </cell>
          <cell r="BT115">
            <v>8.8363004776378595E-2</v>
          </cell>
          <cell r="BU115">
            <v>5.4838709677419439E-2</v>
          </cell>
          <cell r="BV115">
            <v>9.6512570965125777E-2</v>
          </cell>
          <cell r="BW115">
            <v>5.8139534883721034E-2</v>
          </cell>
          <cell r="BX115">
            <v>2.1600000000000064E-2</v>
          </cell>
          <cell r="BY115">
            <v>5.7650109714741715E-2</v>
          </cell>
          <cell r="BZ115">
            <v>-2.9051987767584109E-2</v>
          </cell>
          <cell r="CA115">
            <v>-1.6272189349112454E-2</v>
          </cell>
          <cell r="CB115">
            <v>-2.1245421245421281E-2</v>
          </cell>
          <cell r="CC115">
            <v>-1.018010963194993E-2</v>
          </cell>
          <cell r="CD115">
            <v>-1.9238023387400993E-2</v>
          </cell>
          <cell r="CE115">
            <v>-2.3622047244094002E-3</v>
          </cell>
          <cell r="CF115">
            <v>6.6181825269693295E-3</v>
          </cell>
          <cell r="CG115">
            <v>5.8946150636227435E-2</v>
          </cell>
          <cell r="CH115">
            <v>6.9708162049830547E-2</v>
          </cell>
          <cell r="CI115">
            <v>3.3204876315741316E-2</v>
          </cell>
          <cell r="CN115">
            <v>0.12319598694129685</v>
          </cell>
          <cell r="CS115">
            <v>0.11163169588458688</v>
          </cell>
          <cell r="CX115" t="str">
            <v>D&amp;A</v>
          </cell>
          <cell r="CY115">
            <v>0.15</v>
          </cell>
          <cell r="CZ115">
            <v>9.75</v>
          </cell>
          <cell r="DA115">
            <v>2.4375</v>
          </cell>
          <cell r="DC115" t="str">
            <v>SWB</v>
          </cell>
          <cell r="DD115">
            <v>0.45</v>
          </cell>
          <cell r="DE115">
            <v>29.25</v>
          </cell>
          <cell r="DF115">
            <v>7.3125</v>
          </cell>
        </row>
        <row r="116">
          <cell r="A116" t="str">
            <v>Operating Income</v>
          </cell>
          <cell r="B116">
            <v>-14.215999999999999</v>
          </cell>
          <cell r="G116">
            <v>-21.187999999999974</v>
          </cell>
          <cell r="H116">
            <v>7.5384049000000033</v>
          </cell>
          <cell r="I116">
            <v>10.989972400000013</v>
          </cell>
          <cell r="J116">
            <v>4.6379025999999897</v>
          </cell>
          <cell r="K116">
            <v>3.210503899999992</v>
          </cell>
          <cell r="L116">
            <v>26.376783800000055</v>
          </cell>
          <cell r="M116">
            <v>23.378733199999999</v>
          </cell>
          <cell r="N116">
            <v>27.707422800000003</v>
          </cell>
          <cell r="O116">
            <v>22.461851999999993</v>
          </cell>
          <cell r="P116">
            <v>31.440978399999977</v>
          </cell>
          <cell r="Q116">
            <v>104.98898640000004</v>
          </cell>
          <cell r="R116">
            <v>34.452999999999975</v>
          </cell>
          <cell r="S116">
            <v>48.943999999999988</v>
          </cell>
          <cell r="T116">
            <v>53.835999999999956</v>
          </cell>
          <cell r="U116">
            <v>35.000000000000028</v>
          </cell>
          <cell r="V116">
            <v>172.23300000000006</v>
          </cell>
          <cell r="W116">
            <v>32.66399999999993</v>
          </cell>
          <cell r="X116">
            <v>45.088000000000022</v>
          </cell>
          <cell r="Y116">
            <v>22.984999999999957</v>
          </cell>
          <cell r="Z116">
            <v>10.70599999999996</v>
          </cell>
          <cell r="AA116">
            <v>111.44299999999976</v>
          </cell>
          <cell r="AB116">
            <v>25.662000000000035</v>
          </cell>
          <cell r="AC116">
            <v>40.060000000000059</v>
          </cell>
          <cell r="AD116">
            <v>13.846000000000004</v>
          </cell>
          <cell r="AE116">
            <v>-18.51499999999993</v>
          </cell>
          <cell r="AF116">
            <v>61.053000000000111</v>
          </cell>
          <cell r="AG116">
            <v>-24.600000000000023</v>
          </cell>
          <cell r="AH116">
            <v>47</v>
          </cell>
          <cell r="AI116">
            <v>34</v>
          </cell>
          <cell r="AJ116">
            <v>64</v>
          </cell>
          <cell r="AK116">
            <v>120.40000000000009</v>
          </cell>
          <cell r="AL116">
            <v>-13</v>
          </cell>
          <cell r="AM116">
            <v>73</v>
          </cell>
          <cell r="AN116">
            <v>79</v>
          </cell>
          <cell r="AO116">
            <v>30</v>
          </cell>
          <cell r="AP116">
            <v>169</v>
          </cell>
          <cell r="AQ116">
            <v>17.200000000000045</v>
          </cell>
          <cell r="AR116">
            <v>21</v>
          </cell>
          <cell r="AS116">
            <v>22</v>
          </cell>
          <cell r="AT116">
            <v>49</v>
          </cell>
          <cell r="AU116">
            <v>109.19999999999982</v>
          </cell>
          <cell r="AV116">
            <v>75.5</v>
          </cell>
          <cell r="AW116">
            <v>78</v>
          </cell>
          <cell r="AX116">
            <v>67</v>
          </cell>
          <cell r="AY116">
            <v>64</v>
          </cell>
          <cell r="AZ116">
            <v>284.5</v>
          </cell>
          <cell r="BA116">
            <v>42</v>
          </cell>
          <cell r="BB116">
            <v>94</v>
          </cell>
          <cell r="BC116">
            <v>139.79999999999995</v>
          </cell>
          <cell r="BD116">
            <v>57.100000000000023</v>
          </cell>
          <cell r="BE116">
            <v>332.89999999999964</v>
          </cell>
          <cell r="BF116">
            <v>45</v>
          </cell>
          <cell r="BG116">
            <v>86</v>
          </cell>
          <cell r="BH116">
            <v>108</v>
          </cell>
          <cell r="BI116">
            <v>83</v>
          </cell>
          <cell r="BJ116">
            <v>322</v>
          </cell>
          <cell r="BK116">
            <v>89</v>
          </cell>
          <cell r="BL116">
            <v>130</v>
          </cell>
          <cell r="BM116">
            <v>113</v>
          </cell>
          <cell r="BN116">
            <v>44</v>
          </cell>
          <cell r="BO116">
            <v>376</v>
          </cell>
          <cell r="BP116">
            <v>59</v>
          </cell>
          <cell r="BQ116">
            <v>102</v>
          </cell>
          <cell r="BR116">
            <v>152</v>
          </cell>
          <cell r="BS116">
            <v>115</v>
          </cell>
          <cell r="BT116">
            <v>428</v>
          </cell>
          <cell r="BU116">
            <v>41</v>
          </cell>
          <cell r="BV116">
            <v>141</v>
          </cell>
          <cell r="BW116">
            <v>164</v>
          </cell>
          <cell r="BX116">
            <v>169</v>
          </cell>
          <cell r="BY116">
            <v>515</v>
          </cell>
          <cell r="BZ116">
            <v>253</v>
          </cell>
          <cell r="CA116">
            <v>282</v>
          </cell>
          <cell r="CB116">
            <v>351</v>
          </cell>
          <cell r="CC116">
            <v>353.30645852410134</v>
          </cell>
          <cell r="CD116">
            <v>1239.3064585241018</v>
          </cell>
          <cell r="CE116">
            <v>351.457031862745</v>
          </cell>
          <cell r="CF116">
            <v>410.76516593853989</v>
          </cell>
          <cell r="CG116">
            <v>453.22485780878719</v>
          </cell>
          <cell r="CH116">
            <v>406.84254896067341</v>
          </cell>
          <cell r="CI116">
            <v>1622.2896045707448</v>
          </cell>
          <cell r="CN116">
            <v>1529.6155372383328</v>
          </cell>
          <cell r="CS116">
            <v>1463.056360339936</v>
          </cell>
          <cell r="CX116" t="str">
            <v>Other</v>
          </cell>
          <cell r="CY116">
            <v>0.4</v>
          </cell>
          <cell r="CZ116">
            <v>26</v>
          </cell>
          <cell r="DA116">
            <v>6.5</v>
          </cell>
          <cell r="DC116" t="str">
            <v>D&amp;A</v>
          </cell>
          <cell r="DD116">
            <v>0.15</v>
          </cell>
          <cell r="DE116">
            <v>9.75</v>
          </cell>
          <cell r="DF116">
            <v>2.4375</v>
          </cell>
        </row>
        <row r="117">
          <cell r="A117" t="str">
            <v>Traditional EBITDAR</v>
          </cell>
          <cell r="B117">
            <v>-13.780999999999999</v>
          </cell>
          <cell r="G117">
            <v>-4.1659999999999737</v>
          </cell>
          <cell r="H117">
            <v>15.278404900000002</v>
          </cell>
          <cell r="I117">
            <v>21.397972400000015</v>
          </cell>
          <cell r="J117">
            <v>16.67290259999999</v>
          </cell>
          <cell r="K117">
            <v>16.371503899999993</v>
          </cell>
          <cell r="L117">
            <v>69.720783800000063</v>
          </cell>
          <cell r="M117">
            <v>37.581733200000002</v>
          </cell>
          <cell r="N117">
            <v>43.700422800000005</v>
          </cell>
          <cell r="O117">
            <v>39.448851999999995</v>
          </cell>
          <cell r="P117">
            <v>52.024978399999974</v>
          </cell>
          <cell r="Q117">
            <v>172.75598640000004</v>
          </cell>
          <cell r="R117">
            <v>57.853999999999978</v>
          </cell>
          <cell r="S117">
            <v>75.321999999999989</v>
          </cell>
          <cell r="T117">
            <v>83.208999999999961</v>
          </cell>
          <cell r="U117">
            <v>66.208000000000027</v>
          </cell>
          <cell r="V117">
            <v>282.59300000000007</v>
          </cell>
          <cell r="W117">
            <v>66.234999999999928</v>
          </cell>
          <cell r="X117">
            <v>80.26900000000002</v>
          </cell>
          <cell r="Y117">
            <v>60.087999999999951</v>
          </cell>
          <cell r="Z117">
            <v>51.606999999999964</v>
          </cell>
          <cell r="AA117">
            <v>258.19899999999978</v>
          </cell>
          <cell r="AB117">
            <v>67.79800000000003</v>
          </cell>
          <cell r="AC117">
            <v>85.136000000000053</v>
          </cell>
          <cell r="AD117">
            <v>61.622</v>
          </cell>
          <cell r="AE117">
            <v>35.675000000000068</v>
          </cell>
          <cell r="AF117">
            <v>250.23100000000011</v>
          </cell>
          <cell r="AG117">
            <v>31.399999999999977</v>
          </cell>
          <cell r="AH117">
            <v>109</v>
          </cell>
          <cell r="AI117">
            <v>100</v>
          </cell>
          <cell r="AJ117">
            <v>134</v>
          </cell>
          <cell r="AK117">
            <v>374.40000000000009</v>
          </cell>
          <cell r="AL117">
            <v>59</v>
          </cell>
          <cell r="AM117">
            <v>146</v>
          </cell>
          <cell r="AN117">
            <v>155</v>
          </cell>
          <cell r="AO117">
            <v>109</v>
          </cell>
          <cell r="AP117">
            <v>469</v>
          </cell>
          <cell r="AQ117">
            <v>94.200000000000045</v>
          </cell>
          <cell r="AR117">
            <v>99</v>
          </cell>
          <cell r="AS117">
            <v>109</v>
          </cell>
          <cell r="AT117">
            <v>141</v>
          </cell>
          <cell r="AU117">
            <v>443.19999999999982</v>
          </cell>
          <cell r="AV117">
            <v>162.5</v>
          </cell>
          <cell r="AW117">
            <v>166</v>
          </cell>
          <cell r="AX117">
            <v>157</v>
          </cell>
          <cell r="AY117">
            <v>153</v>
          </cell>
          <cell r="AZ117">
            <v>638.5</v>
          </cell>
          <cell r="BA117">
            <v>130</v>
          </cell>
          <cell r="BB117">
            <v>179</v>
          </cell>
          <cell r="BC117">
            <v>224.79999999999995</v>
          </cell>
          <cell r="BD117">
            <v>145.10000000000002</v>
          </cell>
          <cell r="BE117">
            <v>678.89999999999964</v>
          </cell>
          <cell r="BF117">
            <v>135</v>
          </cell>
          <cell r="BG117">
            <v>180</v>
          </cell>
          <cell r="BH117">
            <v>197</v>
          </cell>
          <cell r="BI117">
            <v>178</v>
          </cell>
          <cell r="BJ117">
            <v>690</v>
          </cell>
          <cell r="BK117">
            <v>183</v>
          </cell>
          <cell r="BL117">
            <v>226</v>
          </cell>
          <cell r="BM117">
            <v>211</v>
          </cell>
          <cell r="BN117">
            <v>144</v>
          </cell>
          <cell r="BO117">
            <v>764</v>
          </cell>
          <cell r="BP117">
            <v>159</v>
          </cell>
          <cell r="BQ117">
            <v>206</v>
          </cell>
          <cell r="BR117">
            <v>257</v>
          </cell>
          <cell r="BS117">
            <v>224</v>
          </cell>
          <cell r="BT117">
            <v>846</v>
          </cell>
          <cell r="BU117">
            <v>150</v>
          </cell>
          <cell r="BV117">
            <v>249</v>
          </cell>
          <cell r="BW117">
            <v>274</v>
          </cell>
          <cell r="BX117">
            <v>286</v>
          </cell>
          <cell r="BY117">
            <v>959</v>
          </cell>
          <cell r="BZ117">
            <v>371</v>
          </cell>
          <cell r="CA117">
            <v>394</v>
          </cell>
          <cell r="CB117">
            <v>465</v>
          </cell>
          <cell r="CC117">
            <v>470.11407046439984</v>
          </cell>
          <cell r="CD117">
            <v>1700.1140704644001</v>
          </cell>
          <cell r="CE117">
            <v>472.39462990196074</v>
          </cell>
          <cell r="CF117">
            <v>535.08454999651087</v>
          </cell>
          <cell r="CG117">
            <v>579.66628638021575</v>
          </cell>
          <cell r="CH117">
            <v>535.54728577659387</v>
          </cell>
          <cell r="CI117">
            <v>2122.6927520552804</v>
          </cell>
          <cell r="CN117">
            <v>2059.74657899359</v>
          </cell>
          <cell r="CS117">
            <v>2022.5097827725931</v>
          </cell>
          <cell r="CX117" t="str">
            <v>Total Exp</v>
          </cell>
          <cell r="CZ117">
            <v>65</v>
          </cell>
          <cell r="DC117" t="str">
            <v>Other</v>
          </cell>
          <cell r="DD117">
            <v>0.4</v>
          </cell>
          <cell r="DE117">
            <v>26</v>
          </cell>
          <cell r="DF117">
            <v>6.5</v>
          </cell>
        </row>
        <row r="118">
          <cell r="A118" t="str">
            <v>YoY % Chg.</v>
          </cell>
          <cell r="G118">
            <v>-0.69769973151440579</v>
          </cell>
          <cell r="H118">
            <v>0.11806428974158188</v>
          </cell>
          <cell r="I118">
            <v>0.14018179545396581</v>
          </cell>
          <cell r="J118">
            <v>5.6143504261088384E-2</v>
          </cell>
          <cell r="K118">
            <v>3.3597437158584237E-2</v>
          </cell>
          <cell r="L118">
            <v>-17.735665818531086</v>
          </cell>
          <cell r="M118">
            <v>1.4597942943638049</v>
          </cell>
          <cell r="N118">
            <v>1.0422693320232517</v>
          </cell>
          <cell r="O118">
            <v>1.3660458497490424</v>
          </cell>
          <cell r="P118">
            <v>2.1777763800917516</v>
          </cell>
          <cell r="Q118">
            <v>1.4778262231756476</v>
          </cell>
          <cell r="R118">
            <v>0.53941809155305198</v>
          </cell>
          <cell r="S118">
            <v>0.723598884722918</v>
          </cell>
          <cell r="T118">
            <v>1.109288250010418</v>
          </cell>
          <cell r="U118">
            <v>0.27261946157771133</v>
          </cell>
          <cell r="V118">
            <v>0.635792807467076</v>
          </cell>
          <cell r="W118">
            <v>0.14486465931482617</v>
          </cell>
          <cell r="X118">
            <v>6.5678022357346322E-2</v>
          </cell>
          <cell r="Y118">
            <v>-0.27786657693278394</v>
          </cell>
          <cell r="Z118">
            <v>-0.22053226196230147</v>
          </cell>
          <cell r="AA118">
            <v>-8.6322024961695054E-2</v>
          </cell>
          <cell r="AB118">
            <v>2.3597795727336113E-2</v>
          </cell>
          <cell r="AC118">
            <v>6.0633619454584453E-2</v>
          </cell>
          <cell r="AD118">
            <v>2.5529223805086598E-2</v>
          </cell>
          <cell r="AE118">
            <v>-0.30871780959947115</v>
          </cell>
          <cell r="AF118">
            <v>-3.0859918125165753E-2</v>
          </cell>
          <cell r="AG118">
            <v>-0.53685949438036573</v>
          </cell>
          <cell r="AH118">
            <v>0.28030445404998972</v>
          </cell>
          <cell r="AI118">
            <v>0.62279705300055177</v>
          </cell>
          <cell r="AJ118">
            <v>2.7561317449194043</v>
          </cell>
          <cell r="AK118">
            <v>0.49621749503458767</v>
          </cell>
          <cell r="AL118">
            <v>0.87898089171974658</v>
          </cell>
          <cell r="AM118">
            <v>0.33944954128440363</v>
          </cell>
          <cell r="AN118">
            <v>0.55000000000000004</v>
          </cell>
          <cell r="AO118">
            <v>-0.18656716417910446</v>
          </cell>
          <cell r="AP118">
            <v>0.25267094017093994</v>
          </cell>
          <cell r="AQ118">
            <v>0.59661016949152623</v>
          </cell>
          <cell r="AR118">
            <v>-0.32191780821917804</v>
          </cell>
          <cell r="AS118">
            <v>-0.29677419354838708</v>
          </cell>
          <cell r="AT118">
            <v>0.29357798165137616</v>
          </cell>
          <cell r="AU118">
            <v>-5.5010660980810644E-2</v>
          </cell>
          <cell r="AV118">
            <v>0.72505307855626233</v>
          </cell>
          <cell r="AW118">
            <v>0.67676767676767668</v>
          </cell>
          <cell r="AX118">
            <v>0.44036697247706424</v>
          </cell>
          <cell r="AY118">
            <v>8.5106382978723305E-2</v>
          </cell>
          <cell r="AZ118">
            <v>0.44065884476534345</v>
          </cell>
          <cell r="BA118">
            <v>-0.19999999999999996</v>
          </cell>
          <cell r="BB118">
            <v>7.8313253012048278E-2</v>
          </cell>
          <cell r="BC118">
            <v>0.43184713375796147</v>
          </cell>
          <cell r="BD118">
            <v>-5.1633986928104392E-2</v>
          </cell>
          <cell r="BE118">
            <v>6.3273296789349454E-2</v>
          </cell>
          <cell r="BF118">
            <v>3.8461538461538547E-2</v>
          </cell>
          <cell r="BG118">
            <v>5.5865921787709993E-3</v>
          </cell>
          <cell r="BH118">
            <v>-0.12366548042704606</v>
          </cell>
          <cell r="BI118">
            <v>0.22674017918676759</v>
          </cell>
          <cell r="BJ118">
            <v>1.6349977905435908E-2</v>
          </cell>
          <cell r="BK118">
            <v>0.35555555555555562</v>
          </cell>
          <cell r="BL118">
            <v>0.25555555555555554</v>
          </cell>
          <cell r="BM118">
            <v>7.1065989847715727E-2</v>
          </cell>
          <cell r="BN118">
            <v>-0.1910112359550562</v>
          </cell>
          <cell r="BO118">
            <v>0.1072463768115941</v>
          </cell>
          <cell r="BP118">
            <v>-0.13114754098360659</v>
          </cell>
          <cell r="BQ118">
            <v>-8.8495575221238965E-2</v>
          </cell>
          <cell r="BR118">
            <v>0.21800947867298581</v>
          </cell>
          <cell r="BS118">
            <v>0.55555555555555558</v>
          </cell>
          <cell r="BT118">
            <v>0.10732984293193715</v>
          </cell>
          <cell r="BU118">
            <v>-5.6603773584905648E-2</v>
          </cell>
          <cell r="BV118">
            <v>0.20873786407766981</v>
          </cell>
          <cell r="BW118">
            <v>6.6147859922178975E-2</v>
          </cell>
          <cell r="BX118">
            <v>0.27678571428571419</v>
          </cell>
          <cell r="BY118">
            <v>0.1335697399527187</v>
          </cell>
          <cell r="BZ118">
            <v>1.4733333333333332</v>
          </cell>
          <cell r="CA118">
            <v>0.58232931726907622</v>
          </cell>
          <cell r="CB118">
            <v>0.69708029197080301</v>
          </cell>
          <cell r="CC118">
            <v>0.58391608391608396</v>
          </cell>
          <cell r="CD118">
            <v>0.7549530761209593</v>
          </cell>
          <cell r="CE118">
            <v>0.26145552560646901</v>
          </cell>
          <cell r="CF118">
            <v>8.5694658629442033E-2</v>
          </cell>
          <cell r="CG118">
            <v>-1.8644854301074432E-2</v>
          </cell>
          <cell r="CH118">
            <v>2.5667187606877251E-2</v>
          </cell>
          <cell r="CI118">
            <v>7.9453995386759679E-2</v>
          </cell>
          <cell r="CN118">
            <v>-2.9653925656807023E-2</v>
          </cell>
          <cell r="CS118">
            <v>-1.8078338665910576E-2</v>
          </cell>
          <cell r="DC118" t="str">
            <v>Total Exp</v>
          </cell>
          <cell r="DE118">
            <v>65</v>
          </cell>
        </row>
        <row r="119">
          <cell r="A119" t="str">
            <v>Operating Margin</v>
          </cell>
          <cell r="G119">
            <v>-0.20252728975893222</v>
          </cell>
          <cell r="H119">
            <v>0.11806428974158188</v>
          </cell>
          <cell r="I119">
            <v>0.14018179545396581</v>
          </cell>
          <cell r="J119">
            <v>5.6143504261088384E-2</v>
          </cell>
          <cell r="K119">
            <v>3.3597437158584237E-2</v>
          </cell>
          <cell r="L119">
            <v>8.232094665027137E-2</v>
          </cell>
          <cell r="M119">
            <v>0.17529360795987073</v>
          </cell>
          <cell r="N119">
            <v>0.18557847330596172</v>
          </cell>
          <cell r="O119">
            <v>0.13591743968631434</v>
          </cell>
          <cell r="P119">
            <v>0.16790192354932756</v>
          </cell>
          <cell r="Q119">
            <v>0.16528727012819772</v>
          </cell>
          <cell r="R119">
            <v>0.15867452678119087</v>
          </cell>
          <cell r="S119">
            <v>0.20001552915599033</v>
          </cell>
          <cell r="T119">
            <v>0.19678626780126898</v>
          </cell>
          <cell r="U119">
            <v>0.13310819033710611</v>
          </cell>
          <cell r="V119">
            <v>0.1725174813267078</v>
          </cell>
          <cell r="W119">
            <v>0.11302304820365162</v>
          </cell>
          <cell r="X119">
            <v>0.14102427764467443</v>
          </cell>
          <cell r="Y119">
            <v>7.1113654997447387E-2</v>
          </cell>
          <cell r="Z119">
            <v>3.2389815330251349E-2</v>
          </cell>
          <cell r="AA119">
            <v>8.8273640920352905E-2</v>
          </cell>
          <cell r="AB119">
            <v>6.8574268749565848E-2</v>
          </cell>
          <cell r="AC119">
            <v>9.3379953379953515E-2</v>
          </cell>
          <cell r="AD119">
            <v>3.0570857666449562E-2</v>
          </cell>
          <cell r="AE119">
            <v>-4.1514197564081708E-2</v>
          </cell>
          <cell r="AF119">
            <v>3.5868609253470275E-2</v>
          </cell>
          <cell r="AG119">
            <v>-5.0163132137031045E-2</v>
          </cell>
          <cell r="AH119">
            <v>7.6797385620915037E-2</v>
          </cell>
          <cell r="AI119">
            <v>5.4140127388535034E-2</v>
          </cell>
          <cell r="AJ119">
            <v>0.10110584518167456</v>
          </cell>
          <cell r="AK119">
            <v>5.0943555894050981E-2</v>
          </cell>
          <cell r="AL119">
            <v>-2.1381578947368422E-2</v>
          </cell>
          <cell r="AM119">
            <v>0.1</v>
          </cell>
          <cell r="AN119">
            <v>0.10326797385620914</v>
          </cell>
          <cell r="AO119">
            <v>4.0595399188092018E-2</v>
          </cell>
          <cell r="AP119">
            <v>5.9465165376495425E-2</v>
          </cell>
          <cell r="AQ119">
            <v>2.1078431372549077E-2</v>
          </cell>
          <cell r="AR119">
            <v>2.4447031431897557E-2</v>
          </cell>
          <cell r="AS119">
            <v>2.4390243902439025E-2</v>
          </cell>
          <cell r="AT119">
            <v>6.0419235511713937E-2</v>
          </cell>
          <cell r="AU119">
            <v>3.2231404958677635E-2</v>
          </cell>
          <cell r="AV119">
            <v>9.4968553459119504E-2</v>
          </cell>
          <cell r="AW119">
            <v>9.6415327564894932E-2</v>
          </cell>
          <cell r="AX119">
            <v>7.8362573099415203E-2</v>
          </cell>
          <cell r="AY119">
            <v>7.6923076923076927E-2</v>
          </cell>
          <cell r="AZ119">
            <v>8.6447888179884538E-2</v>
          </cell>
          <cell r="BA119">
            <v>4.8275862068965517E-2</v>
          </cell>
          <cell r="BB119">
            <v>0.10010649627263046</v>
          </cell>
          <cell r="BC119">
            <v>0.13572815533980578</v>
          </cell>
          <cell r="BD119">
            <v>6.0744680851063854E-2</v>
          </cell>
          <cell r="BE119">
            <v>8.809208785392951E-2</v>
          </cell>
          <cell r="BF119">
            <v>4.4466403162055336E-2</v>
          </cell>
          <cell r="BG119">
            <v>7.4717636837532575E-2</v>
          </cell>
          <cell r="BH119">
            <v>9.0376569037656909E-2</v>
          </cell>
          <cell r="BI119">
            <v>7.2425828970331591E-2</v>
          </cell>
          <cell r="BJ119">
            <v>7.1492007104795738E-2</v>
          </cell>
          <cell r="BK119">
            <v>7.3981712385702406E-2</v>
          </cell>
          <cell r="BL119">
            <v>0.10180109631949882</v>
          </cell>
          <cell r="BM119">
            <v>8.6391437308868502E-2</v>
          </cell>
          <cell r="BN119">
            <v>3.6850921273031828E-2</v>
          </cell>
          <cell r="BO119">
            <v>7.5471698113207544E-2</v>
          </cell>
          <cell r="BP119">
            <v>4.5419553502694381E-2</v>
          </cell>
          <cell r="BQ119">
            <v>7.6404494382022473E-2</v>
          </cell>
          <cell r="BR119">
            <v>0.10540915395284327</v>
          </cell>
          <cell r="BS119">
            <v>8.4249084249084255E-2</v>
          </cell>
          <cell r="BT119">
            <v>7.8662010659805187E-2</v>
          </cell>
          <cell r="BU119">
            <v>3.039288361749444E-2</v>
          </cell>
          <cell r="BV119">
            <v>9.4440723375753516E-2</v>
          </cell>
          <cell r="BW119">
            <v>0.10725964682799215</v>
          </cell>
          <cell r="BX119">
            <v>0.11687413554633472</v>
          </cell>
          <cell r="BY119">
            <v>8.8533608389204058E-2</v>
          </cell>
          <cell r="BZ119">
            <v>0.16611950098489822</v>
          </cell>
          <cell r="CA119">
            <v>0.17493796526054592</v>
          </cell>
          <cell r="CB119">
            <v>0.2080616478956728</v>
          </cell>
          <cell r="CC119">
            <v>0.22289416669464274</v>
          </cell>
          <cell r="CD119">
            <v>0.1934274688666876</v>
          </cell>
          <cell r="CE119">
            <v>0.21529850874092926</v>
          </cell>
          <cell r="CF119">
            <v>0.23745188471076736</v>
          </cell>
          <cell r="CG119">
            <v>0.25401136476474251</v>
          </cell>
          <cell r="CH119">
            <v>0.23960478333163199</v>
          </cell>
          <cell r="CI119">
            <v>0.23701921801240303</v>
          </cell>
          <cell r="CN119">
            <v>0.2068379581794573</v>
          </cell>
          <cell r="CS119">
            <v>0.18326079688903113</v>
          </cell>
        </row>
        <row r="120">
          <cell r="A120" t="str">
            <v>YoY Pt. Chg.</v>
          </cell>
          <cell r="G120">
            <v>-3.9821063296946735E-2</v>
          </cell>
          <cell r="H120">
            <v>0.23928590289741583</v>
          </cell>
          <cell r="I120">
            <v>0.27294028419092337</v>
          </cell>
          <cell r="J120">
            <v>0.20183157321324799</v>
          </cell>
          <cell r="K120">
            <v>0.17132530923627529</v>
          </cell>
          <cell r="L120">
            <v>28.484823640920361</v>
          </cell>
          <cell r="M120">
            <v>5.7229318218288849</v>
          </cell>
          <cell r="N120">
            <v>4.5396677851995912</v>
          </cell>
          <cell r="O120">
            <v>7.9773935425225959</v>
          </cell>
          <cell r="P120">
            <v>13.430448639074333</v>
          </cell>
          <cell r="Q120">
            <v>8.2966323477926345</v>
          </cell>
          <cell r="R120">
            <v>-1.6619081178679855</v>
          </cell>
          <cell r="S120">
            <v>1.4437055850028608</v>
          </cell>
          <cell r="T120">
            <v>6.0868828114954638</v>
          </cell>
          <cell r="U120">
            <v>-3.4793733212221456</v>
          </cell>
          <cell r="V120">
            <v>0.72302111985100836</v>
          </cell>
          <cell r="W120">
            <v>-4.5651478577539244</v>
          </cell>
          <cell r="X120">
            <v>-5.8991251511315905</v>
          </cell>
          <cell r="Y120">
            <v>-12.567261280382159</v>
          </cell>
          <cell r="Z120">
            <v>-10.071837500685476</v>
          </cell>
          <cell r="AA120">
            <v>-8.4243840406354895</v>
          </cell>
          <cell r="AB120">
            <v>-4.4448779454085781</v>
          </cell>
          <cell r="AC120">
            <v>-4.7644324264720916</v>
          </cell>
          <cell r="AD120">
            <v>-4.0542797330997828</v>
          </cell>
          <cell r="AE120">
            <v>-7.3904012894333055</v>
          </cell>
          <cell r="AF120">
            <v>-5.2405031666882627</v>
          </cell>
          <cell r="AG120">
            <v>-11.873740088659691</v>
          </cell>
          <cell r="AH120">
            <v>-1.6582567759038478</v>
          </cell>
          <cell r="AI120">
            <v>2.3569269722085471</v>
          </cell>
          <cell r="AJ120">
            <v>14.262004274575627</v>
          </cell>
          <cell r="AK120">
            <v>1.5074946640580706</v>
          </cell>
          <cell r="AL120">
            <v>2.8781553189662623</v>
          </cell>
          <cell r="AM120">
            <v>2.3202614379084969</v>
          </cell>
          <cell r="AN120">
            <v>4.9127846467674114</v>
          </cell>
          <cell r="AO120">
            <v>-6.0510445993582547</v>
          </cell>
          <cell r="AP120">
            <v>0.85216094824444455</v>
          </cell>
          <cell r="AQ120">
            <v>4.2460010319917503</v>
          </cell>
          <cell r="AR120">
            <v>-7.5552968568102452</v>
          </cell>
          <cell r="AS120">
            <v>-7.8877729953770128</v>
          </cell>
          <cell r="AT120">
            <v>1.9823836323621919</v>
          </cell>
          <cell r="AU120">
            <v>-2.7233760417817789</v>
          </cell>
          <cell r="AV120">
            <v>7.389012208657042</v>
          </cell>
          <cell r="AW120">
            <v>7.1968296132997374</v>
          </cell>
          <cell r="AX120">
            <v>5.3972329196976174</v>
          </cell>
          <cell r="AY120">
            <v>1.6503841411362989</v>
          </cell>
          <cell r="AZ120">
            <v>5.4216483221206904</v>
          </cell>
          <cell r="BA120">
            <v>-4.6692691390153991</v>
          </cell>
          <cell r="BB120">
            <v>0.36911687077355315</v>
          </cell>
          <cell r="BC120">
            <v>5.736558224039058</v>
          </cell>
          <cell r="BD120">
            <v>-1.6178396072013075</v>
          </cell>
          <cell r="BE120">
            <v>0.16441996740449716</v>
          </cell>
          <cell r="BF120">
            <v>-0.38094589069101803</v>
          </cell>
          <cell r="BG120">
            <v>-2.538885943509789</v>
          </cell>
          <cell r="BH120">
            <v>-4.5351586302148874</v>
          </cell>
          <cell r="BI120">
            <v>1.1681148119267737</v>
          </cell>
          <cell r="BJ120">
            <v>-1.6600080749133772</v>
          </cell>
          <cell r="BK120">
            <v>2.9515309223647068</v>
          </cell>
          <cell r="BL120">
            <v>2.7083459481966248</v>
          </cell>
          <cell r="BM120">
            <v>-0.39851317287884075</v>
          </cell>
          <cell r="BN120">
            <v>-3.5574907697299762</v>
          </cell>
          <cell r="BO120">
            <v>0.39796910084118065</v>
          </cell>
          <cell r="BP120">
            <v>-2.8562158883008024</v>
          </cell>
          <cell r="BQ120">
            <v>-2.5396601937476353</v>
          </cell>
          <cell r="BR120">
            <v>1.9017716643974767</v>
          </cell>
          <cell r="BS120">
            <v>4.7398162976052429</v>
          </cell>
          <cell r="BT120">
            <v>0.31903125465976429</v>
          </cell>
          <cell r="BU120">
            <v>-1.5026669885199941</v>
          </cell>
          <cell r="BV120">
            <v>1.8036228993731043</v>
          </cell>
          <cell r="BW120">
            <v>0.18504928751488792</v>
          </cell>
          <cell r="BX120">
            <v>3.2625051297250462</v>
          </cell>
          <cell r="BY120">
            <v>0.9871597729398871</v>
          </cell>
          <cell r="BZ120">
            <v>13.572661736740377</v>
          </cell>
          <cell r="CA120">
            <v>8.0497241884792405</v>
          </cell>
          <cell r="CB120">
            <v>10.080200106768066</v>
          </cell>
          <cell r="CC120">
            <v>9.0152213261695398</v>
          </cell>
          <cell r="CD120">
            <v>10.09925761494493</v>
          </cell>
          <cell r="CE120">
            <v>4.9845845549755241</v>
          </cell>
          <cell r="CF120">
            <v>1.1248711126597226</v>
          </cell>
          <cell r="CG120">
            <v>-1.7941218162948802</v>
          </cell>
          <cell r="CH120">
            <v>-0.76110336151057889</v>
          </cell>
          <cell r="CI120">
            <v>0.82085723302553482</v>
          </cell>
          <cell r="CN120">
            <v>-3.0181259832945728</v>
          </cell>
          <cell r="CS120">
            <v>-2.357716129042617</v>
          </cell>
        </row>
        <row r="121">
          <cell r="A121" t="str">
            <v>EBITDAR Margin</v>
          </cell>
          <cell r="G121">
            <v>-3.9821063296946735E-2</v>
          </cell>
          <cell r="H121">
            <v>0.23928590289741583</v>
          </cell>
          <cell r="I121">
            <v>0.27294028419092337</v>
          </cell>
          <cell r="J121">
            <v>0.20183157321324799</v>
          </cell>
          <cell r="K121">
            <v>0.17132530923627529</v>
          </cell>
          <cell r="L121">
            <v>0.2175959346345667</v>
          </cell>
          <cell r="M121">
            <v>0.28178762081143294</v>
          </cell>
          <cell r="N121">
            <v>0.2926962137398445</v>
          </cell>
          <cell r="O121">
            <v>0.23870636145249027</v>
          </cell>
          <cell r="P121">
            <v>0.27782513110254292</v>
          </cell>
          <cell r="Q121">
            <v>0.27197486488316119</v>
          </cell>
          <cell r="R121">
            <v>0.266448671302906</v>
          </cell>
          <cell r="S121">
            <v>0.30781239144915629</v>
          </cell>
          <cell r="T121">
            <v>0.30415314208848721</v>
          </cell>
          <cell r="U121">
            <v>0.25179505902397475</v>
          </cell>
          <cell r="V121">
            <v>0.28305976555339762</v>
          </cell>
          <cell r="W121">
            <v>0.22918447213350704</v>
          </cell>
          <cell r="X121">
            <v>0.25106187327582435</v>
          </cell>
          <cell r="Y121">
            <v>0.1859072134647215</v>
          </cell>
          <cell r="Z121">
            <v>0.15613125347919732</v>
          </cell>
          <cell r="AA121">
            <v>0.20451859526389482</v>
          </cell>
          <cell r="AB121">
            <v>0.1811705351368974</v>
          </cell>
          <cell r="AC121">
            <v>0.19845221445221459</v>
          </cell>
          <cell r="AD121">
            <v>0.13605643443030149</v>
          </cell>
          <cell r="AE121">
            <v>7.999022403989324E-2</v>
          </cell>
          <cell r="AF121">
            <v>0.14701059672915512</v>
          </cell>
          <cell r="AG121">
            <v>6.4029363784665533E-2</v>
          </cell>
          <cell r="AH121">
            <v>0.1781045751633987</v>
          </cell>
          <cell r="AI121">
            <v>0.15923566878980891</v>
          </cell>
          <cell r="AJ121">
            <v>0.21169036334913113</v>
          </cell>
          <cell r="AK121">
            <v>0.15841584158415845</v>
          </cell>
          <cell r="AL121">
            <v>9.7039473684210523E-2</v>
          </cell>
          <cell r="AM121">
            <v>0.2</v>
          </cell>
          <cell r="AN121">
            <v>0.20261437908496732</v>
          </cell>
          <cell r="AO121">
            <v>0.14749661705006767</v>
          </cell>
          <cell r="AP121">
            <v>0.16502463054187191</v>
          </cell>
          <cell r="AQ121">
            <v>0.1154411764705883</v>
          </cell>
          <cell r="AR121">
            <v>0.11525029103608847</v>
          </cell>
          <cell r="AS121">
            <v>0.12084257206208426</v>
          </cell>
          <cell r="AT121">
            <v>0.17385943279901356</v>
          </cell>
          <cell r="AU121">
            <v>0.13081463990554895</v>
          </cell>
          <cell r="AV121">
            <v>0.20440251572327045</v>
          </cell>
          <cell r="AW121">
            <v>0.20519159456118666</v>
          </cell>
          <cell r="AX121">
            <v>0.18362573099415205</v>
          </cell>
          <cell r="AY121">
            <v>0.18389423076923078</v>
          </cell>
          <cell r="AZ121">
            <v>0.19401397751443331</v>
          </cell>
          <cell r="BA121">
            <v>0.14942528735632185</v>
          </cell>
          <cell r="BB121">
            <v>0.1906283280085197</v>
          </cell>
          <cell r="BC121">
            <v>0.21825242718446597</v>
          </cell>
          <cell r="BD121">
            <v>0.15436170212765959</v>
          </cell>
          <cell r="BE121">
            <v>0.17965070124371518</v>
          </cell>
          <cell r="BF121">
            <v>0.13339920948616601</v>
          </cell>
          <cell r="BG121">
            <v>0.15638575152041703</v>
          </cell>
          <cell r="BH121">
            <v>0.16485355648535566</v>
          </cell>
          <cell r="BI121">
            <v>0.15532286212914484</v>
          </cell>
          <cell r="BJ121">
            <v>0.15319715808170514</v>
          </cell>
          <cell r="BK121">
            <v>0.15211970074812967</v>
          </cell>
          <cell r="BL121">
            <v>0.17697729052466718</v>
          </cell>
          <cell r="BM121">
            <v>0.16131498470948014</v>
          </cell>
          <cell r="BN121">
            <v>0.12060301507537688</v>
          </cell>
          <cell r="BO121">
            <v>0.15335206744279406</v>
          </cell>
          <cell r="BP121">
            <v>0.12240184757505773</v>
          </cell>
          <cell r="BQ121">
            <v>0.15430711610486891</v>
          </cell>
          <cell r="BR121">
            <v>0.1782246879334258</v>
          </cell>
          <cell r="BS121">
            <v>0.1641025641025641</v>
          </cell>
          <cell r="BT121">
            <v>0.15548612387428781</v>
          </cell>
          <cell r="BU121">
            <v>0.1111934766493699</v>
          </cell>
          <cell r="BV121">
            <v>0.1667782987273945</v>
          </cell>
          <cell r="BW121">
            <v>0.17920209287115763</v>
          </cell>
          <cell r="BX121">
            <v>0.19778699861687413</v>
          </cell>
          <cell r="BY121">
            <v>0.16486161251504211</v>
          </cell>
          <cell r="BZ121">
            <v>0.24359816152330926</v>
          </cell>
          <cell r="CA121">
            <v>0.24441687344913152</v>
          </cell>
          <cell r="CB121">
            <v>0.27563722584469474</v>
          </cell>
          <cell r="CC121">
            <v>0.29658581511733345</v>
          </cell>
          <cell r="CD121">
            <v>0.2653490257980245</v>
          </cell>
          <cell r="CE121">
            <v>0.28938348115007889</v>
          </cell>
          <cell r="CF121">
            <v>0.30931745291979068</v>
          </cell>
          <cell r="CG121">
            <v>0.32487587998465239</v>
          </cell>
          <cell r="CH121">
            <v>0.31540381334290613</v>
          </cell>
          <cell r="CI121">
            <v>0.31012895278082159</v>
          </cell>
          <cell r="CN121">
            <v>0.27852343703003007</v>
          </cell>
          <cell r="CS121">
            <v>0.25333730439519653</v>
          </cell>
        </row>
        <row r="122">
          <cell r="A122" t="str">
            <v>YoY Pt. Chg.</v>
          </cell>
          <cell r="L122">
            <v>25.741699793151341</v>
          </cell>
          <cell r="M122">
            <v>4.2501717914017103</v>
          </cell>
          <cell r="N122">
            <v>1.9755929548921136</v>
          </cell>
          <cell r="O122">
            <v>3.6874788239242284</v>
          </cell>
          <cell r="P122">
            <v>10.649982186626763</v>
          </cell>
          <cell r="Q122">
            <v>5.4378930248594495</v>
          </cell>
          <cell r="R122">
            <v>-1.5338949508526933</v>
          </cell>
          <cell r="S122">
            <v>1.5116177709311784</v>
          </cell>
          <cell r="T122">
            <v>6.5446780635996928</v>
          </cell>
          <cell r="U122">
            <v>-2.6030072078568169</v>
          </cell>
          <cell r="V122">
            <v>1.1084900670236431</v>
          </cell>
          <cell r="W122">
            <v>-3.7264199169398964</v>
          </cell>
          <cell r="X122">
            <v>-5.675051817333193</v>
          </cell>
          <cell r="Y122">
            <v>-11.824592862376571</v>
          </cell>
          <cell r="Z122">
            <v>-9.5663805544777443</v>
          </cell>
          <cell r="AA122">
            <v>-7.8541170289502809</v>
          </cell>
          <cell r="AB122">
            <v>-4.8013936996609639</v>
          </cell>
          <cell r="AC122">
            <v>-5.2609658823609768</v>
          </cell>
          <cell r="AD122">
            <v>-4.9850779034420007</v>
          </cell>
          <cell r="AE122">
            <v>-7.6141029439304075</v>
          </cell>
          <cell r="AF122">
            <v>-5.7507998534739704</v>
          </cell>
          <cell r="AG122">
            <v>-11.714117135223187</v>
          </cell>
          <cell r="AH122">
            <v>-2.0347639288815889</v>
          </cell>
          <cell r="AI122">
            <v>2.3179234359507417</v>
          </cell>
          <cell r="AJ122">
            <v>13.17001393092379</v>
          </cell>
          <cell r="AK122">
            <v>1.1405244855003327</v>
          </cell>
          <cell r="AL122">
            <v>3.301010989954499</v>
          </cell>
          <cell r="AM122">
            <v>2.1895424836601314</v>
          </cell>
          <cell r="AN122">
            <v>4.3378710295158411</v>
          </cell>
          <cell r="AO122">
            <v>-6.4193746299063461</v>
          </cell>
          <cell r="AP122">
            <v>0.66087889577134684</v>
          </cell>
          <cell r="AQ122">
            <v>1.8401702786377774</v>
          </cell>
          <cell r="AR122">
            <v>-8.4749708963911541</v>
          </cell>
          <cell r="AS122">
            <v>-8.1771807022883056</v>
          </cell>
          <cell r="AT122">
            <v>2.6362815748945891</v>
          </cell>
          <cell r="AU122">
            <v>-3.420999063632296</v>
          </cell>
          <cell r="AV122">
            <v>8.8961339252682148</v>
          </cell>
          <cell r="AW122">
            <v>8.9941303525098188</v>
          </cell>
          <cell r="AX122">
            <v>6.2783158932067789</v>
          </cell>
          <cell r="AY122">
            <v>1.0034797970217224</v>
          </cell>
          <cell r="AZ122">
            <v>6.3199337608884356</v>
          </cell>
          <cell r="BA122">
            <v>-5.4977228366948596</v>
          </cell>
          <cell r="BB122">
            <v>-1.4563266552666958</v>
          </cell>
          <cell r="BC122">
            <v>3.4626696190313915</v>
          </cell>
          <cell r="BD122">
            <v>-2.9532528641571187</v>
          </cell>
          <cell r="BE122">
            <v>-1.4363276270718122</v>
          </cell>
          <cell r="BF122">
            <v>-1.6026077870155837</v>
          </cell>
          <cell r="BG122">
            <v>-3.4242576488102667</v>
          </cell>
          <cell r="BH122">
            <v>-5.3398870699110308</v>
          </cell>
          <cell r="BI122">
            <v>9.6116000148524505E-2</v>
          </cell>
          <cell r="BJ122">
            <v>-2.6453543162010043</v>
          </cell>
          <cell r="BK122">
            <v>1.872049126196365</v>
          </cell>
          <cell r="BL122">
            <v>2.0591539004250148</v>
          </cell>
          <cell r="BM122">
            <v>-0.35385717758755209</v>
          </cell>
          <cell r="BN122">
            <v>-3.471984705376796</v>
          </cell>
          <cell r="BO122">
            <v>1.549093610889174E-2</v>
          </cell>
          <cell r="BP122">
            <v>-2.9717853173071935</v>
          </cell>
          <cell r="BQ122">
            <v>-2.2670174419798266</v>
          </cell>
          <cell r="BR122">
            <v>1.6909703223945667</v>
          </cell>
          <cell r="BS122">
            <v>4.3499549027187223</v>
          </cell>
          <cell r="BT122">
            <v>0.21340564314937527</v>
          </cell>
          <cell r="BU122">
            <v>-1.1208370925687827</v>
          </cell>
          <cell r="BV122">
            <v>1.2471182622525583</v>
          </cell>
          <cell r="BW122">
            <v>9.7740493773182391E-2</v>
          </cell>
          <cell r="BX122">
            <v>3.3684434514310024</v>
          </cell>
          <cell r="BY122">
            <v>0.93754886407542981</v>
          </cell>
          <cell r="BZ122">
            <v>13.240468487393937</v>
          </cell>
          <cell r="CA122">
            <v>7.7638574721737017</v>
          </cell>
          <cell r="CB122">
            <v>9.6435132973537119</v>
          </cell>
          <cell r="CC122">
            <v>9.8798816500459328</v>
          </cell>
          <cell r="CD122">
            <v>10.048741328298238</v>
          </cell>
          <cell r="CE122">
            <v>4.5785319626769629</v>
          </cell>
          <cell r="CF122">
            <v>6.4900579470659165</v>
          </cell>
          <cell r="CG122">
            <v>4.9238654139957649</v>
          </cell>
          <cell r="CH122">
            <v>1.8817998225572674</v>
          </cell>
          <cell r="CI122">
            <v>4.4779926982797091</v>
          </cell>
          <cell r="CN122">
            <v>-3.1605515750791513</v>
          </cell>
          <cell r="CS122">
            <v>-2.5186132634833545</v>
          </cell>
        </row>
        <row r="123">
          <cell r="A123" t="str">
            <v>Interest component of capitalized rent (7.5%)</v>
          </cell>
          <cell r="BO123">
            <v>68.25</v>
          </cell>
          <cell r="BT123">
            <v>67.2</v>
          </cell>
          <cell r="BY123">
            <v>65.099999999999994</v>
          </cell>
          <cell r="CD123">
            <v>62.44224626865671</v>
          </cell>
          <cell r="CI123">
            <v>55.614639929381219</v>
          </cell>
          <cell r="CN123">
            <v>54.654023421510082</v>
          </cell>
          <cell r="CS123">
            <v>53.273415264644981</v>
          </cell>
        </row>
        <row r="124">
          <cell r="A124" t="str">
            <v>Income tax impact</v>
          </cell>
          <cell r="BO124">
            <v>172</v>
          </cell>
          <cell r="BT124">
            <v>194</v>
          </cell>
          <cell r="BY124">
            <v>226</v>
          </cell>
          <cell r="CD124">
            <v>503.80764995747097</v>
          </cell>
          <cell r="CI124">
            <v>653.60265535504948</v>
          </cell>
          <cell r="CN124">
            <v>617.08512865733906</v>
          </cell>
          <cell r="CS124">
            <v>590.58861248578694</v>
          </cell>
        </row>
        <row r="125">
          <cell r="A125" t="str">
            <v>Adjusted Operating Income After Tax</v>
          </cell>
          <cell r="BO125">
            <v>273.25</v>
          </cell>
          <cell r="BT125">
            <v>300.2</v>
          </cell>
          <cell r="BY125">
            <v>354.1</v>
          </cell>
          <cell r="CD125">
            <v>795.94105483528745</v>
          </cell>
          <cell r="CI125">
            <v>1022.3015891450765</v>
          </cell>
          <cell r="CN125">
            <v>965.18443200250385</v>
          </cell>
          <cell r="CS125">
            <v>923.74116311879391</v>
          </cell>
        </row>
        <row r="126">
          <cell r="A126" t="str">
            <v>Invested Capital</v>
          </cell>
          <cell r="BO126">
            <v>5726</v>
          </cell>
          <cell r="BT126">
            <v>5625</v>
          </cell>
          <cell r="BY126">
            <v>5608.5</v>
          </cell>
          <cell r="CD126">
            <v>5792.1717534319405</v>
          </cell>
          <cell r="CI126">
            <v>6105.2638014855293</v>
          </cell>
          <cell r="CN126">
            <v>6514.6091210695113</v>
          </cell>
          <cell r="CS126">
            <v>6852.3807306096624</v>
          </cell>
          <cell r="CU126" t="str">
            <v>11/19/14 Investor Day: ROIC of at least 10% by 2017</v>
          </cell>
        </row>
        <row r="127">
          <cell r="A127" t="str">
            <v>ROIC, pre-tax</v>
          </cell>
          <cell r="BO127">
            <v>4.7720922109675164E-2</v>
          </cell>
          <cell r="BT127">
            <v>5.3368888888888889E-2</v>
          </cell>
          <cell r="BY127">
            <v>6.3136310956583758E-2</v>
          </cell>
          <cell r="CD127">
            <v>0.13741668733557177</v>
          </cell>
          <cell r="CI127">
            <v>0.16744593229474058</v>
          </cell>
          <cell r="CN127">
            <v>0.14815692147682505</v>
          </cell>
          <cell r="CS127">
            <v>0.1348058725039068</v>
          </cell>
          <cell r="CZ127" t="str">
            <v>11/19/14 Investor Day: ROIC of at least 10% by 2017</v>
          </cell>
        </row>
        <row r="128">
          <cell r="A128" t="str">
            <v>EPS RECONCILIATION</v>
          </cell>
        </row>
        <row r="129">
          <cell r="A129" t="str">
            <v>OTHER INCOME/(EXPENSE)</v>
          </cell>
          <cell r="L129">
            <v>275.73950000000002</v>
          </cell>
          <cell r="Q129">
            <v>543.18100000000004</v>
          </cell>
          <cell r="V129">
            <v>910.26300000000003</v>
          </cell>
          <cell r="AA129">
            <v>1326.7035000000001</v>
          </cell>
          <cell r="AF129">
            <v>1935.4059999999999</v>
          </cell>
          <cell r="AG129">
            <v>2354</v>
          </cell>
          <cell r="AH129">
            <v>2450</v>
          </cell>
          <cell r="AI129">
            <v>2539</v>
          </cell>
          <cell r="AJ129">
            <v>2700</v>
          </cell>
          <cell r="AK129">
            <v>2583</v>
          </cell>
          <cell r="AL129">
            <v>2889</v>
          </cell>
          <cell r="AM129">
            <v>2971.5</v>
          </cell>
          <cell r="AN129">
            <v>3011</v>
          </cell>
          <cell r="AO129">
            <v>3032.5</v>
          </cell>
          <cell r="AP129">
            <v>2944</v>
          </cell>
          <cell r="AQ129">
            <v>3072.5</v>
          </cell>
          <cell r="AR129">
            <v>3216</v>
          </cell>
          <cell r="AS129">
            <v>3235</v>
          </cell>
          <cell r="AT129">
            <v>3145</v>
          </cell>
          <cell r="AU129">
            <v>3101.5</v>
          </cell>
          <cell r="AV129">
            <v>3189.5</v>
          </cell>
          <cell r="AW129">
            <v>3316</v>
          </cell>
          <cell r="AX129">
            <v>3385</v>
          </cell>
          <cell r="AY129">
            <v>3333</v>
          </cell>
          <cell r="AZ129">
            <v>3229.5</v>
          </cell>
          <cell r="BA129">
            <v>3211.5</v>
          </cell>
          <cell r="BB129">
            <v>3117.5</v>
          </cell>
          <cell r="BC129">
            <v>3090</v>
          </cell>
          <cell r="BD129">
            <v>3048.5</v>
          </cell>
          <cell r="BE129">
            <v>3168.5</v>
          </cell>
          <cell r="BF129">
            <v>3055.5</v>
          </cell>
          <cell r="BG129">
            <v>3080.5</v>
          </cell>
          <cell r="BH129">
            <v>3070</v>
          </cell>
          <cell r="BI129">
            <v>3096.5</v>
          </cell>
          <cell r="BJ129">
            <v>3084.5</v>
          </cell>
          <cell r="BK129">
            <v>3069.5</v>
          </cell>
          <cell r="BL129">
            <v>2947</v>
          </cell>
          <cell r="BM129">
            <v>2881</v>
          </cell>
          <cell r="BN129">
            <v>2861</v>
          </cell>
          <cell r="BO129">
            <v>2993.5</v>
          </cell>
          <cell r="BP129">
            <v>2838.5</v>
          </cell>
          <cell r="BQ129">
            <v>2823</v>
          </cell>
          <cell r="BR129">
            <v>2831</v>
          </cell>
          <cell r="BS129">
            <v>2713.5</v>
          </cell>
          <cell r="BT129">
            <v>2718</v>
          </cell>
          <cell r="BU129">
            <v>2612</v>
          </cell>
          <cell r="BV129">
            <v>2512.5</v>
          </cell>
          <cell r="BW129">
            <v>2374</v>
          </cell>
          <cell r="BX129">
            <v>2297.5</v>
          </cell>
          <cell r="BY129">
            <v>2409</v>
          </cell>
          <cell r="BZ129">
            <v>2207</v>
          </cell>
          <cell r="CA129">
            <v>2125</v>
          </cell>
          <cell r="CB129">
            <v>2045.75</v>
          </cell>
          <cell r="CC129">
            <v>1999.25</v>
          </cell>
          <cell r="CD129">
            <v>2104.5</v>
          </cell>
          <cell r="CE129">
            <v>1873</v>
          </cell>
          <cell r="CF129">
            <v>1733</v>
          </cell>
          <cell r="CG129">
            <v>1593</v>
          </cell>
          <cell r="CH129">
            <v>1453</v>
          </cell>
          <cell r="CI129">
            <v>1696</v>
          </cell>
          <cell r="CN129">
            <v>1166</v>
          </cell>
        </row>
        <row r="130">
          <cell r="A130" t="str">
            <v>Avg Debt</v>
          </cell>
          <cell r="L130">
            <v>275.73950000000002</v>
          </cell>
          <cell r="Q130">
            <v>543.18100000000004</v>
          </cell>
          <cell r="V130">
            <v>910.26300000000003</v>
          </cell>
          <cell r="AA130">
            <v>1326.7035000000001</v>
          </cell>
          <cell r="AF130">
            <v>1935.4059999999999</v>
          </cell>
          <cell r="AG130">
            <v>2354</v>
          </cell>
          <cell r="AH130">
            <v>2450</v>
          </cell>
          <cell r="AI130">
            <v>2539</v>
          </cell>
          <cell r="AJ130">
            <v>2700</v>
          </cell>
          <cell r="AK130">
            <v>2583</v>
          </cell>
          <cell r="AL130">
            <v>2889</v>
          </cell>
          <cell r="AM130">
            <v>2971.5</v>
          </cell>
          <cell r="AN130">
            <v>3011</v>
          </cell>
          <cell r="AO130">
            <v>3032.5</v>
          </cell>
          <cell r="AP130">
            <v>2944</v>
          </cell>
          <cell r="AQ130">
            <v>3072.5</v>
          </cell>
          <cell r="AR130">
            <v>3216</v>
          </cell>
          <cell r="AS130">
            <v>3235</v>
          </cell>
          <cell r="AT130">
            <v>3145</v>
          </cell>
          <cell r="AU130">
            <v>3101.5</v>
          </cell>
          <cell r="AV130">
            <v>3189.5</v>
          </cell>
          <cell r="AW130">
            <v>3316</v>
          </cell>
          <cell r="AX130">
            <v>3385</v>
          </cell>
          <cell r="AY130">
            <v>3333</v>
          </cell>
          <cell r="AZ130">
            <v>3229.5</v>
          </cell>
          <cell r="BA130">
            <v>3211.5</v>
          </cell>
          <cell r="BB130">
            <v>3117.5</v>
          </cell>
          <cell r="BC130">
            <v>3090</v>
          </cell>
          <cell r="BD130">
            <v>3048.5</v>
          </cell>
          <cell r="BE130">
            <v>3168.5</v>
          </cell>
          <cell r="BF130">
            <v>3055.5</v>
          </cell>
          <cell r="BG130">
            <v>3080.5</v>
          </cell>
          <cell r="BH130">
            <v>3070</v>
          </cell>
          <cell r="BI130">
            <v>3096.5</v>
          </cell>
          <cell r="BJ130">
            <v>3084.5</v>
          </cell>
          <cell r="BK130">
            <v>3069.5</v>
          </cell>
          <cell r="BL130">
            <v>2947</v>
          </cell>
          <cell r="BM130">
            <v>2881</v>
          </cell>
          <cell r="BN130">
            <v>2861</v>
          </cell>
          <cell r="BO130">
            <v>2993.5</v>
          </cell>
          <cell r="BP130">
            <v>2838.5</v>
          </cell>
          <cell r="BQ130">
            <v>2823</v>
          </cell>
          <cell r="BR130">
            <v>2831</v>
          </cell>
          <cell r="BS130">
            <v>2713.5</v>
          </cell>
          <cell r="BT130">
            <v>2718</v>
          </cell>
          <cell r="BU130">
            <v>2612</v>
          </cell>
          <cell r="BV130">
            <v>2512.5</v>
          </cell>
          <cell r="BW130">
            <v>2374</v>
          </cell>
          <cell r="BX130">
            <v>2297.5</v>
          </cell>
          <cell r="BY130">
            <v>2409</v>
          </cell>
          <cell r="BZ130">
            <v>2207</v>
          </cell>
          <cell r="CA130">
            <v>2125</v>
          </cell>
          <cell r="CB130">
            <v>2025.5</v>
          </cell>
          <cell r="CC130">
            <v>1962.5</v>
          </cell>
          <cell r="CD130">
            <v>2088</v>
          </cell>
          <cell r="CE130">
            <v>1873</v>
          </cell>
          <cell r="CF130">
            <v>1733</v>
          </cell>
          <cell r="CG130">
            <v>1593</v>
          </cell>
          <cell r="CH130">
            <v>1453</v>
          </cell>
          <cell r="CI130">
            <v>1663</v>
          </cell>
          <cell r="CN130">
            <v>1108</v>
          </cell>
          <cell r="CS130">
            <v>535.5</v>
          </cell>
        </row>
        <row r="131">
          <cell r="A131" t="str">
            <v>Implied Interest Rate and Forward Interest Rate Assumption</v>
          </cell>
          <cell r="L131">
            <v>5.1251271580604149E-2</v>
          </cell>
          <cell r="Q131">
            <v>3.8677715163085602E-2</v>
          </cell>
          <cell r="V131">
            <v>3.1745770178508846E-2</v>
          </cell>
          <cell r="AA131">
            <v>4.0308931121384693E-2</v>
          </cell>
          <cell r="AF131">
            <v>5.4843789881812918E-2</v>
          </cell>
          <cell r="AG131">
            <v>6.2871707731520815E-2</v>
          </cell>
          <cell r="AH131">
            <v>6.8571428571428575E-2</v>
          </cell>
          <cell r="AI131">
            <v>7.089405277668373E-2</v>
          </cell>
          <cell r="AJ131">
            <v>7.2592592592592597E-2</v>
          </cell>
          <cell r="AK131">
            <v>6.6976384049554777E-2</v>
          </cell>
          <cell r="AL131">
            <v>7.1997230875735549E-2</v>
          </cell>
          <cell r="AM131">
            <v>7.5382803297997639E-2</v>
          </cell>
          <cell r="AN131">
            <v>7.7050813683161745E-2</v>
          </cell>
          <cell r="AO131">
            <v>7.782357790601814E-2</v>
          </cell>
          <cell r="AP131">
            <v>7.6426630434782608E-2</v>
          </cell>
          <cell r="AQ131">
            <v>7.2904800650935714E-2</v>
          </cell>
          <cell r="AR131">
            <v>6.5920398009950254E-2</v>
          </cell>
          <cell r="AS131">
            <v>7.9134466769706341E-2</v>
          </cell>
          <cell r="AT131">
            <v>7.5039745627980922E-2</v>
          </cell>
          <cell r="AU131">
            <v>7.4802514912139281E-2</v>
          </cell>
          <cell r="AV131">
            <v>6.1577049694309452E-2</v>
          </cell>
          <cell r="AW131">
            <v>5.8986731001206272E-2</v>
          </cell>
          <cell r="AX131">
            <v>5.9084194977843424E-2</v>
          </cell>
          <cell r="AY131">
            <v>5.8805880588058808E-2</v>
          </cell>
          <cell r="AZ131">
            <v>6.1000154822727977E-2</v>
          </cell>
          <cell r="BA131">
            <v>5.8539623229020704E-2</v>
          </cell>
          <cell r="BB131">
            <v>5.5172413793103448E-2</v>
          </cell>
          <cell r="BC131">
            <v>5.8252427184466021E-2</v>
          </cell>
          <cell r="BD131">
            <v>6.0357552894866329E-2</v>
          </cell>
          <cell r="BE131">
            <v>5.7124822471200883E-2</v>
          </cell>
          <cell r="BF131">
            <v>5.7601047291768938E-2</v>
          </cell>
          <cell r="BG131">
            <v>5.7133582210680087E-2</v>
          </cell>
          <cell r="BH131">
            <v>5.8631921824104233E-2</v>
          </cell>
          <cell r="BI131">
            <v>5.9421927983206849E-2</v>
          </cell>
          <cell r="BJ131">
            <v>5.8032095963689412E-2</v>
          </cell>
          <cell r="BK131">
            <v>5.8641472552532985E-2</v>
          </cell>
          <cell r="BL131">
            <v>5.9721750933152358E-2</v>
          </cell>
          <cell r="BM131">
            <v>6.1089899340506772E-2</v>
          </cell>
          <cell r="BN131">
            <v>6.0118839566585112E-2</v>
          </cell>
          <cell r="BO131">
            <v>5.879405378319693E-2</v>
          </cell>
          <cell r="BP131">
            <v>5.7776994891668133E-2</v>
          </cell>
          <cell r="BQ131">
            <v>5.951115834218916E-2</v>
          </cell>
          <cell r="BR131">
            <v>5.6517131755563402E-2</v>
          </cell>
          <cell r="BS131">
            <v>5.6016215220195321E-2</v>
          </cell>
          <cell r="BT131">
            <v>5.9234731420161883E-2</v>
          </cell>
          <cell r="BU131">
            <v>5.6661562021439509E-2</v>
          </cell>
          <cell r="BV131">
            <v>6.2089552238805967E-2</v>
          </cell>
          <cell r="BW131">
            <v>6.2342038753159225E-2</v>
          </cell>
          <cell r="BX131">
            <v>6.0935799782372145E-2</v>
          </cell>
          <cell r="BY131">
            <v>6.1436280614362807E-2</v>
          </cell>
          <cell r="BZ131">
            <v>6.1622111463525149E-2</v>
          </cell>
          <cell r="CA131">
            <v>6.023529411764706E-2</v>
          </cell>
          <cell r="CB131">
            <v>6.3194273019007652E-2</v>
          </cell>
          <cell r="CC131">
            <v>6.1146496815286625E-2</v>
          </cell>
          <cell r="CD131">
            <v>6.1302681992337162E-2</v>
          </cell>
          <cell r="CE131">
            <v>6.0864922584089695E-2</v>
          </cell>
          <cell r="CF131">
            <v>6.1165608770917486E-2</v>
          </cell>
          <cell r="CG131">
            <v>6.1519146264908973E-2</v>
          </cell>
          <cell r="CH131">
            <v>6.1940812112869927E-2</v>
          </cell>
          <cell r="CI131">
            <v>6.1334936861094411E-2</v>
          </cell>
          <cell r="CN131">
            <v>6.1334936861094411E-2</v>
          </cell>
          <cell r="CS131">
            <v>6.1334936861094411E-2</v>
          </cell>
          <cell r="CU131" t="str">
            <v>1/30 IR: avg. weighted cost of debt LT target 4.5%</v>
          </cell>
        </row>
        <row r="132">
          <cell r="A132" t="str">
            <v>Interest Expense Forecast</v>
          </cell>
          <cell r="B132">
            <v>0.70499999999999996</v>
          </cell>
          <cell r="G132">
            <v>7.3949999999999996</v>
          </cell>
          <cell r="H132">
            <v>3.6269999999999998</v>
          </cell>
          <cell r="I132">
            <v>3.3759999999999999</v>
          </cell>
          <cell r="J132">
            <v>3.165</v>
          </cell>
          <cell r="K132">
            <v>3.964</v>
          </cell>
          <cell r="L132">
            <v>14.132</v>
          </cell>
          <cell r="M132">
            <v>4.1870000000000003</v>
          </cell>
          <cell r="N132">
            <v>4.7249999999999996</v>
          </cell>
          <cell r="O132">
            <v>5.7380000000000004</v>
          </cell>
          <cell r="P132">
            <v>6.359</v>
          </cell>
          <cell r="Q132">
            <v>21.009</v>
          </cell>
          <cell r="R132">
            <v>6.194</v>
          </cell>
          <cell r="S132">
            <v>6.0229999999999997</v>
          </cell>
          <cell r="T132">
            <v>7.8570000000000002</v>
          </cell>
          <cell r="U132">
            <v>8.8230000000000004</v>
          </cell>
          <cell r="V132">
            <v>28.896999999999998</v>
          </cell>
          <cell r="W132">
            <v>9.8209999999999997</v>
          </cell>
          <cell r="X132">
            <v>12.519</v>
          </cell>
          <cell r="Y132">
            <v>14.172000000000001</v>
          </cell>
          <cell r="Z132">
            <v>16.966000000000001</v>
          </cell>
          <cell r="AA132">
            <v>53.478000000000002</v>
          </cell>
          <cell r="AB132">
            <v>20.658000000000001</v>
          </cell>
          <cell r="AC132">
            <v>25</v>
          </cell>
          <cell r="AD132">
            <v>28.361000000000001</v>
          </cell>
          <cell r="AE132">
            <v>32.125999999999998</v>
          </cell>
          <cell r="AF132">
            <v>106.14500000000001</v>
          </cell>
          <cell r="AG132">
            <v>37</v>
          </cell>
          <cell r="AH132">
            <v>42</v>
          </cell>
          <cell r="AI132">
            <v>45</v>
          </cell>
          <cell r="AJ132">
            <v>49</v>
          </cell>
          <cell r="AK132">
            <v>173</v>
          </cell>
          <cell r="AL132">
            <v>52</v>
          </cell>
          <cell r="AM132">
            <v>56</v>
          </cell>
          <cell r="AN132">
            <v>58</v>
          </cell>
          <cell r="AO132">
            <v>59</v>
          </cell>
          <cell r="AP132">
            <v>225</v>
          </cell>
          <cell r="AQ132">
            <v>56</v>
          </cell>
          <cell r="AR132">
            <v>53</v>
          </cell>
          <cell r="AS132">
            <v>64</v>
          </cell>
          <cell r="AT132">
            <v>59</v>
          </cell>
          <cell r="AU132">
            <v>232</v>
          </cell>
          <cell r="AV132">
            <v>49.1</v>
          </cell>
          <cell r="AW132">
            <v>48.9</v>
          </cell>
          <cell r="AX132">
            <v>50</v>
          </cell>
          <cell r="AY132">
            <v>49</v>
          </cell>
          <cell r="AZ132">
            <v>197</v>
          </cell>
          <cell r="BA132">
            <v>47</v>
          </cell>
          <cell r="BB132">
            <v>43</v>
          </cell>
          <cell r="BC132">
            <v>45</v>
          </cell>
          <cell r="BD132">
            <v>46</v>
          </cell>
          <cell r="BE132">
            <v>181</v>
          </cell>
          <cell r="BF132">
            <v>44</v>
          </cell>
          <cell r="BG132">
            <v>44</v>
          </cell>
          <cell r="BH132">
            <v>45</v>
          </cell>
          <cell r="BI132">
            <v>46</v>
          </cell>
          <cell r="BJ132">
            <v>179</v>
          </cell>
          <cell r="BK132">
            <v>45</v>
          </cell>
          <cell r="BL132">
            <v>44</v>
          </cell>
          <cell r="BM132">
            <v>44</v>
          </cell>
          <cell r="BN132">
            <v>43</v>
          </cell>
          <cell r="BO132">
            <v>176</v>
          </cell>
          <cell r="BP132">
            <v>41</v>
          </cell>
          <cell r="BQ132">
            <v>42</v>
          </cell>
          <cell r="BR132">
            <v>40</v>
          </cell>
          <cell r="BS132">
            <v>38</v>
          </cell>
          <cell r="BT132">
            <v>161</v>
          </cell>
          <cell r="BU132">
            <v>37</v>
          </cell>
          <cell r="BV132">
            <v>39</v>
          </cell>
          <cell r="BW132">
            <v>37</v>
          </cell>
          <cell r="BX132">
            <v>35</v>
          </cell>
          <cell r="BY132">
            <v>148</v>
          </cell>
          <cell r="BZ132">
            <v>34</v>
          </cell>
          <cell r="CA132">
            <v>32</v>
          </cell>
          <cell r="CB132">
            <v>31</v>
          </cell>
          <cell r="CC132">
            <v>30</v>
          </cell>
          <cell r="CD132">
            <v>127.99999999999999</v>
          </cell>
          <cell r="CE132">
            <v>28.5</v>
          </cell>
          <cell r="CF132">
            <v>26.5</v>
          </cell>
          <cell r="CG132">
            <v>24.5</v>
          </cell>
          <cell r="CH132">
            <v>22.5</v>
          </cell>
          <cell r="CI132">
            <v>110.00000000000001</v>
          </cell>
          <cell r="CN132">
            <v>67.959110042092604</v>
          </cell>
          <cell r="CS132">
            <v>32.844858689116059</v>
          </cell>
          <cell r="CZ132" t="str">
            <v>1/30 IR: avg. weighted cost of debt LT target 4.5%</v>
          </cell>
          <cell r="DE132" t="str">
            <v>mstag:interestPaid</v>
          </cell>
          <cell r="DF132">
            <v>6</v>
          </cell>
          <cell r="DG132" t="str">
            <v>ISO4217:USD</v>
          </cell>
          <cell r="DH132" t="b">
            <v>0</v>
          </cell>
          <cell r="DI132" t="b">
            <v>0</v>
          </cell>
        </row>
        <row r="133">
          <cell r="A133" t="str">
            <v>Interest Expense</v>
          </cell>
          <cell r="B133">
            <v>0.70499999999999996</v>
          </cell>
          <cell r="G133">
            <v>7.3949999999999996</v>
          </cell>
          <cell r="H133">
            <v>3.6269999999999998</v>
          </cell>
          <cell r="I133">
            <v>3.3759999999999999</v>
          </cell>
          <cell r="J133">
            <v>3.165</v>
          </cell>
          <cell r="K133">
            <v>3.964</v>
          </cell>
          <cell r="L133">
            <v>14.132</v>
          </cell>
          <cell r="M133">
            <v>4.1870000000000003</v>
          </cell>
          <cell r="N133">
            <v>4.7249999999999996</v>
          </cell>
          <cell r="O133">
            <v>5.7380000000000004</v>
          </cell>
          <cell r="P133">
            <v>6.359</v>
          </cell>
          <cell r="Q133">
            <v>21.009</v>
          </cell>
          <cell r="R133">
            <v>6.194</v>
          </cell>
          <cell r="S133">
            <v>6.0229999999999997</v>
          </cell>
          <cell r="T133">
            <v>7.8570000000000002</v>
          </cell>
          <cell r="U133">
            <v>8.8230000000000004</v>
          </cell>
          <cell r="V133">
            <v>28.896999999999998</v>
          </cell>
          <cell r="W133">
            <v>9.8209999999999997</v>
          </cell>
          <cell r="X133">
            <v>12.519</v>
          </cell>
          <cell r="Y133">
            <v>14.172000000000001</v>
          </cell>
          <cell r="Z133">
            <v>16.966000000000001</v>
          </cell>
          <cell r="AA133">
            <v>53.478000000000002</v>
          </cell>
          <cell r="AB133">
            <v>20.658000000000001</v>
          </cell>
          <cell r="AC133">
            <v>25</v>
          </cell>
          <cell r="AD133">
            <v>28.361000000000001</v>
          </cell>
          <cell r="AE133">
            <v>32.125999999999998</v>
          </cell>
          <cell r="AF133">
            <v>106.14500000000001</v>
          </cell>
          <cell r="AG133">
            <v>37</v>
          </cell>
          <cell r="AH133">
            <v>42</v>
          </cell>
          <cell r="AI133">
            <v>45</v>
          </cell>
          <cell r="AJ133">
            <v>49</v>
          </cell>
          <cell r="AK133">
            <v>173</v>
          </cell>
          <cell r="AL133">
            <v>52</v>
          </cell>
          <cell r="AM133">
            <v>56</v>
          </cell>
          <cell r="AN133">
            <v>58</v>
          </cell>
          <cell r="AO133">
            <v>59</v>
          </cell>
          <cell r="AP133">
            <v>225</v>
          </cell>
          <cell r="AQ133">
            <v>56</v>
          </cell>
          <cell r="AR133">
            <v>53</v>
          </cell>
          <cell r="AS133">
            <v>64</v>
          </cell>
          <cell r="AT133">
            <v>59</v>
          </cell>
          <cell r="AU133">
            <v>232</v>
          </cell>
          <cell r="AV133">
            <v>49.1</v>
          </cell>
          <cell r="AW133">
            <v>48.9</v>
          </cell>
          <cell r="AX133">
            <v>50</v>
          </cell>
          <cell r="AY133">
            <v>49</v>
          </cell>
          <cell r="AZ133">
            <v>197</v>
          </cell>
          <cell r="BA133">
            <v>47</v>
          </cell>
          <cell r="BB133">
            <v>43</v>
          </cell>
          <cell r="BC133">
            <v>45</v>
          </cell>
          <cell r="BD133">
            <v>46</v>
          </cell>
          <cell r="BE133">
            <v>181</v>
          </cell>
          <cell r="BF133">
            <v>44</v>
          </cell>
          <cell r="BG133">
            <v>44</v>
          </cell>
          <cell r="BH133">
            <v>45</v>
          </cell>
          <cell r="BI133">
            <v>46</v>
          </cell>
          <cell r="BJ133">
            <v>179</v>
          </cell>
          <cell r="BK133">
            <v>45</v>
          </cell>
          <cell r="BL133">
            <v>44</v>
          </cell>
          <cell r="BM133">
            <v>44</v>
          </cell>
          <cell r="BN133">
            <v>43</v>
          </cell>
          <cell r="BO133">
            <v>176</v>
          </cell>
          <cell r="BP133">
            <v>41</v>
          </cell>
          <cell r="BQ133">
            <v>42</v>
          </cell>
          <cell r="BR133">
            <v>40</v>
          </cell>
          <cell r="BS133">
            <v>38</v>
          </cell>
          <cell r="BT133">
            <v>161</v>
          </cell>
          <cell r="BU133">
            <v>37</v>
          </cell>
          <cell r="BV133">
            <v>39</v>
          </cell>
          <cell r="BW133">
            <v>37</v>
          </cell>
          <cell r="BX133">
            <v>35</v>
          </cell>
          <cell r="BY133">
            <v>148</v>
          </cell>
          <cell r="BZ133">
            <v>34</v>
          </cell>
          <cell r="CA133">
            <v>32</v>
          </cell>
          <cell r="CB133">
            <v>32</v>
          </cell>
          <cell r="CC133">
            <v>30</v>
          </cell>
          <cell r="CD133">
            <v>128</v>
          </cell>
          <cell r="CE133">
            <v>28.5</v>
          </cell>
          <cell r="CF133">
            <v>26.5</v>
          </cell>
          <cell r="CG133">
            <v>24.5</v>
          </cell>
          <cell r="CH133">
            <v>22.5</v>
          </cell>
          <cell r="CI133">
            <v>102</v>
          </cell>
          <cell r="CN133">
            <v>67.959110042092604</v>
          </cell>
          <cell r="CS133">
            <v>32.844858689116059</v>
          </cell>
          <cell r="DJ133" t="str">
            <v>mstag:interestPaid</v>
          </cell>
          <cell r="DK133">
            <v>6</v>
          </cell>
          <cell r="DL133" t="str">
            <v>ISO4217:USD</v>
          </cell>
          <cell r="DM133" t="b">
            <v>0</v>
          </cell>
          <cell r="DN133" t="b">
            <v>0</v>
          </cell>
        </row>
        <row r="134">
          <cell r="A134" t="str">
            <v>Net Interest Expense</v>
          </cell>
          <cell r="B134">
            <v>0.70499999999999996</v>
          </cell>
          <cell r="G134">
            <v>2.9079999999999995</v>
          </cell>
          <cell r="H134">
            <v>1.5639999999999996</v>
          </cell>
          <cell r="I134">
            <v>0.95599999999999996</v>
          </cell>
          <cell r="J134">
            <v>1.1280000000000001</v>
          </cell>
          <cell r="K134">
            <v>2.4409999999999998</v>
          </cell>
          <cell r="L134">
            <v>6.0889999999999986</v>
          </cell>
          <cell r="M134">
            <v>2.8900000000000006</v>
          </cell>
          <cell r="N134">
            <v>3.2899999999999996</v>
          </cell>
          <cell r="O134">
            <v>4.3230000000000004</v>
          </cell>
          <cell r="P134">
            <v>5.181</v>
          </cell>
          <cell r="Q134">
            <v>15.684000000000001</v>
          </cell>
          <cell r="R134">
            <v>5.173</v>
          </cell>
          <cell r="S134">
            <v>4.8019999999999996</v>
          </cell>
          <cell r="T134">
            <v>6.452</v>
          </cell>
          <cell r="U134">
            <v>7.2670000000000003</v>
          </cell>
          <cell r="V134">
            <v>23.693999999999999</v>
          </cell>
          <cell r="W134">
            <v>8.2449999999999992</v>
          </cell>
          <cell r="X134">
            <v>10.709</v>
          </cell>
          <cell r="Y134">
            <v>11.695</v>
          </cell>
          <cell r="Z134">
            <v>13.955000000000002</v>
          </cell>
          <cell r="AA134">
            <v>44.603999999999999</v>
          </cell>
          <cell r="AB134">
            <v>16.86</v>
          </cell>
          <cell r="AC134">
            <v>21</v>
          </cell>
          <cell r="AD134">
            <v>24.506</v>
          </cell>
          <cell r="AE134">
            <v>27.74</v>
          </cell>
          <cell r="AF134">
            <v>90.106000000000009</v>
          </cell>
          <cell r="AG134">
            <v>32</v>
          </cell>
          <cell r="AH134">
            <v>35</v>
          </cell>
          <cell r="AI134">
            <v>38</v>
          </cell>
          <cell r="AJ134">
            <v>41</v>
          </cell>
          <cell r="AK134">
            <v>146</v>
          </cell>
          <cell r="AL134">
            <v>44</v>
          </cell>
          <cell r="AM134">
            <v>45</v>
          </cell>
          <cell r="AN134">
            <v>47</v>
          </cell>
          <cell r="AO134">
            <v>46</v>
          </cell>
          <cell r="AP134">
            <v>182</v>
          </cell>
          <cell r="AQ134">
            <v>42</v>
          </cell>
          <cell r="AR134">
            <v>39</v>
          </cell>
          <cell r="AS134">
            <v>49</v>
          </cell>
          <cell r="AT134">
            <v>54</v>
          </cell>
          <cell r="AU134">
            <v>184</v>
          </cell>
          <cell r="AV134">
            <v>47.1</v>
          </cell>
          <cell r="AW134">
            <v>46.8</v>
          </cell>
          <cell r="AX134">
            <v>48</v>
          </cell>
          <cell r="AY134">
            <v>48</v>
          </cell>
          <cell r="AZ134">
            <v>189.9</v>
          </cell>
          <cell r="BA134">
            <v>46</v>
          </cell>
          <cell r="BB134">
            <v>42</v>
          </cell>
          <cell r="BC134">
            <v>44</v>
          </cell>
          <cell r="BD134">
            <v>45</v>
          </cell>
          <cell r="BE134">
            <v>177</v>
          </cell>
          <cell r="BF134">
            <v>43</v>
          </cell>
          <cell r="BG134">
            <v>43</v>
          </cell>
          <cell r="BH134">
            <v>44</v>
          </cell>
          <cell r="BI134">
            <v>44</v>
          </cell>
          <cell r="BJ134">
            <v>174</v>
          </cell>
          <cell r="BK134">
            <v>43</v>
          </cell>
          <cell r="BL134">
            <v>42</v>
          </cell>
          <cell r="BM134">
            <v>42</v>
          </cell>
          <cell r="BN134">
            <v>41</v>
          </cell>
          <cell r="BO134">
            <v>168</v>
          </cell>
          <cell r="BP134">
            <v>38</v>
          </cell>
          <cell r="BQ134">
            <v>38</v>
          </cell>
          <cell r="BR134">
            <v>36</v>
          </cell>
          <cell r="BS134">
            <v>36</v>
          </cell>
          <cell r="BT134">
            <v>148</v>
          </cell>
          <cell r="BU134">
            <v>34</v>
          </cell>
          <cell r="BV134">
            <v>35</v>
          </cell>
          <cell r="BW134">
            <v>33</v>
          </cell>
          <cell r="BX134">
            <v>32</v>
          </cell>
          <cell r="BY134">
            <v>134</v>
          </cell>
          <cell r="BZ134">
            <v>32</v>
          </cell>
          <cell r="CA134">
            <v>30</v>
          </cell>
          <cell r="CB134">
            <v>30</v>
          </cell>
          <cell r="CC134">
            <v>28</v>
          </cell>
          <cell r="CD134">
            <v>120</v>
          </cell>
          <cell r="CE134">
            <v>26.5</v>
          </cell>
          <cell r="CF134">
            <v>24.5</v>
          </cell>
          <cell r="CG134">
            <v>22.5</v>
          </cell>
          <cell r="CH134">
            <v>20.5</v>
          </cell>
          <cell r="CI134">
            <v>94</v>
          </cell>
          <cell r="CN134">
            <v>59.959110042092604</v>
          </cell>
          <cell r="CS134">
            <v>24.844858689116059</v>
          </cell>
          <cell r="DE134" t="str">
            <v>mstag:interestCapitalized</v>
          </cell>
          <cell r="DF134">
            <v>6</v>
          </cell>
          <cell r="DG134" t="str">
            <v>ISO4217:USD</v>
          </cell>
          <cell r="DH134" t="b">
            <v>0</v>
          </cell>
          <cell r="DI134" t="b">
            <v>0</v>
          </cell>
        </row>
        <row r="135">
          <cell r="A135" t="str">
            <v>Capitalized Interest</v>
          </cell>
          <cell r="B135">
            <v>0.70499999999999996</v>
          </cell>
          <cell r="G135">
            <v>4.4870000000000001</v>
          </cell>
          <cell r="H135">
            <v>2.0630000000000002</v>
          </cell>
          <cell r="I135">
            <v>2.42</v>
          </cell>
          <cell r="J135">
            <v>2.0369999999999999</v>
          </cell>
          <cell r="K135">
            <v>1.5229999999999999</v>
          </cell>
          <cell r="L135">
            <v>8.043000000000001</v>
          </cell>
          <cell r="M135">
            <v>1.2969999999999999</v>
          </cell>
          <cell r="N135">
            <v>1.4350000000000001</v>
          </cell>
          <cell r="O135">
            <v>1.415</v>
          </cell>
          <cell r="P135">
            <v>1.1779999999999999</v>
          </cell>
          <cell r="Q135">
            <v>5.3250000000000002</v>
          </cell>
          <cell r="R135">
            <v>1.0209999999999999</v>
          </cell>
          <cell r="S135">
            <v>1.2210000000000001</v>
          </cell>
          <cell r="T135">
            <v>1.405</v>
          </cell>
          <cell r="U135">
            <v>1.556</v>
          </cell>
          <cell r="V135">
            <v>5.2030000000000003</v>
          </cell>
          <cell r="W135">
            <v>1.5760000000000001</v>
          </cell>
          <cell r="X135">
            <v>1.81</v>
          </cell>
          <cell r="Y135">
            <v>2.4769999999999999</v>
          </cell>
          <cell r="Z135">
            <v>3.0110000000000001</v>
          </cell>
          <cell r="AA135">
            <v>8.8739999999999988</v>
          </cell>
          <cell r="AB135">
            <v>3.798</v>
          </cell>
          <cell r="AC135">
            <v>4</v>
          </cell>
          <cell r="AD135">
            <v>3.855</v>
          </cell>
          <cell r="AE135">
            <v>4.3860000000000001</v>
          </cell>
          <cell r="AF135">
            <v>16.039000000000001</v>
          </cell>
          <cell r="AG135">
            <v>5</v>
          </cell>
          <cell r="AH135">
            <v>7</v>
          </cell>
          <cell r="AI135">
            <v>7</v>
          </cell>
          <cell r="AJ135">
            <v>8</v>
          </cell>
          <cell r="AK135">
            <v>27</v>
          </cell>
          <cell r="AL135">
            <v>8</v>
          </cell>
          <cell r="AM135">
            <v>11</v>
          </cell>
          <cell r="AN135">
            <v>11</v>
          </cell>
          <cell r="AO135">
            <v>13</v>
          </cell>
          <cell r="AP135">
            <v>43</v>
          </cell>
          <cell r="AQ135">
            <v>14</v>
          </cell>
          <cell r="AR135">
            <v>14</v>
          </cell>
          <cell r="AS135">
            <v>15</v>
          </cell>
          <cell r="AT135">
            <v>5</v>
          </cell>
          <cell r="AU135">
            <v>48</v>
          </cell>
          <cell r="AV135">
            <v>2</v>
          </cell>
          <cell r="AW135">
            <v>2.1</v>
          </cell>
          <cell r="AX135">
            <v>2</v>
          </cell>
          <cell r="AY135">
            <v>1</v>
          </cell>
          <cell r="AZ135">
            <v>7.1</v>
          </cell>
          <cell r="BA135">
            <v>1</v>
          </cell>
          <cell r="BB135">
            <v>1</v>
          </cell>
          <cell r="BC135">
            <v>1</v>
          </cell>
          <cell r="BD135">
            <v>1</v>
          </cell>
          <cell r="BE135">
            <v>4</v>
          </cell>
          <cell r="BF135">
            <v>1</v>
          </cell>
          <cell r="BG135">
            <v>1</v>
          </cell>
          <cell r="BH135">
            <v>1</v>
          </cell>
          <cell r="BI135">
            <v>2</v>
          </cell>
          <cell r="BJ135">
            <v>5</v>
          </cell>
          <cell r="BK135">
            <v>2</v>
          </cell>
          <cell r="BL135">
            <v>2</v>
          </cell>
          <cell r="BM135">
            <v>2</v>
          </cell>
          <cell r="BN135">
            <v>2</v>
          </cell>
          <cell r="BO135">
            <v>8</v>
          </cell>
          <cell r="BP135">
            <v>3</v>
          </cell>
          <cell r="BQ135">
            <v>4</v>
          </cell>
          <cell r="BR135">
            <v>4</v>
          </cell>
          <cell r="BS135">
            <v>2</v>
          </cell>
          <cell r="BT135">
            <v>13</v>
          </cell>
          <cell r="BU135">
            <v>3</v>
          </cell>
          <cell r="BV135">
            <v>4</v>
          </cell>
          <cell r="BW135">
            <v>4</v>
          </cell>
          <cell r="BX135">
            <v>3</v>
          </cell>
          <cell r="BY135">
            <v>14</v>
          </cell>
          <cell r="BZ135">
            <v>2</v>
          </cell>
          <cell r="CA135">
            <v>2</v>
          </cell>
          <cell r="CB135">
            <v>2</v>
          </cell>
          <cell r="CC135">
            <v>2</v>
          </cell>
          <cell r="CD135">
            <v>8</v>
          </cell>
          <cell r="CE135">
            <v>2</v>
          </cell>
          <cell r="CF135">
            <v>2</v>
          </cell>
          <cell r="CG135">
            <v>2</v>
          </cell>
          <cell r="CH135">
            <v>2</v>
          </cell>
          <cell r="CI135">
            <v>8</v>
          </cell>
          <cell r="CN135">
            <v>8</v>
          </cell>
          <cell r="CS135">
            <v>8</v>
          </cell>
          <cell r="DE135" t="str">
            <v>mstag:otherNonOperatingIncomeExpense</v>
          </cell>
          <cell r="DF135">
            <v>6</v>
          </cell>
          <cell r="DG135" t="str">
            <v>ISO4217:USD</v>
          </cell>
          <cell r="DH135" t="b">
            <v>0</v>
          </cell>
          <cell r="DI135" t="b">
            <v>0</v>
          </cell>
          <cell r="DJ135" t="str">
            <v>mstag:interestCapitalized</v>
          </cell>
          <cell r="DK135">
            <v>6</v>
          </cell>
          <cell r="DL135" t="str">
            <v>ISO4217:USD</v>
          </cell>
          <cell r="DM135" t="b">
            <v>0</v>
          </cell>
          <cell r="DN135" t="b">
            <v>0</v>
          </cell>
        </row>
        <row r="136">
          <cell r="A136" t="str">
            <v>Interest and Other Income (Expense)</v>
          </cell>
          <cell r="B136">
            <v>0</v>
          </cell>
          <cell r="G136">
            <v>2.5270000000000001</v>
          </cell>
          <cell r="H136">
            <v>0.77500000000000002</v>
          </cell>
          <cell r="I136">
            <v>0.57899999999999996</v>
          </cell>
          <cell r="J136">
            <v>6.9880000000000004</v>
          </cell>
          <cell r="K136">
            <v>12.859</v>
          </cell>
          <cell r="L136">
            <v>21.201000000000001</v>
          </cell>
          <cell r="M136">
            <v>1.802</v>
          </cell>
          <cell r="N136">
            <v>0.61699999999999999</v>
          </cell>
          <cell r="O136">
            <v>2.35</v>
          </cell>
          <cell r="P136">
            <v>0.95199999999999996</v>
          </cell>
          <cell r="Q136">
            <v>5.7210000000000001</v>
          </cell>
          <cell r="R136">
            <v>0.77200000000000002</v>
          </cell>
          <cell r="S136">
            <v>1.948</v>
          </cell>
          <cell r="T136">
            <v>2.0329999999999999</v>
          </cell>
          <cell r="U136">
            <v>2.786</v>
          </cell>
          <cell r="V136">
            <v>7.5389999999999997</v>
          </cell>
          <cell r="W136">
            <v>1.345</v>
          </cell>
          <cell r="X136">
            <v>2.1349999999999998</v>
          </cell>
          <cell r="Y136">
            <v>2.52</v>
          </cell>
          <cell r="Z136">
            <v>2.4830000000000001</v>
          </cell>
          <cell r="AA136">
            <v>8.4830000000000005</v>
          </cell>
          <cell r="AB136">
            <v>3.004</v>
          </cell>
          <cell r="AC136">
            <v>5</v>
          </cell>
          <cell r="AD136">
            <v>6.9630000000000001</v>
          </cell>
          <cell r="AE136">
            <v>4.1079999999999997</v>
          </cell>
          <cell r="AF136">
            <v>19.074999999999999</v>
          </cell>
          <cell r="AG136">
            <v>10</v>
          </cell>
          <cell r="AH136">
            <v>13</v>
          </cell>
          <cell r="AI136">
            <v>-2</v>
          </cell>
          <cell r="AJ136">
            <v>6</v>
          </cell>
          <cell r="AK136">
            <v>27</v>
          </cell>
          <cell r="AL136">
            <v>12</v>
          </cell>
          <cell r="AM136">
            <v>15</v>
          </cell>
          <cell r="AN136">
            <v>14</v>
          </cell>
          <cell r="AO136">
            <v>13</v>
          </cell>
          <cell r="AP136">
            <v>54</v>
          </cell>
          <cell r="AQ136">
            <v>12</v>
          </cell>
          <cell r="AR136">
            <v>8</v>
          </cell>
          <cell r="AS136">
            <v>23</v>
          </cell>
          <cell r="AT136">
            <v>9</v>
          </cell>
          <cell r="AU136">
            <v>52</v>
          </cell>
          <cell r="AV136">
            <v>2</v>
          </cell>
          <cell r="AW136">
            <v>1</v>
          </cell>
          <cell r="AX136">
            <v>2</v>
          </cell>
          <cell r="AY136">
            <v>4</v>
          </cell>
          <cell r="AZ136">
            <v>9</v>
          </cell>
          <cell r="BA136">
            <v>2</v>
          </cell>
          <cell r="BB136">
            <v>-1</v>
          </cell>
          <cell r="BC136">
            <v>1</v>
          </cell>
          <cell r="BD136">
            <v>3</v>
          </cell>
          <cell r="BE136">
            <v>5</v>
          </cell>
          <cell r="BF136">
            <v>4</v>
          </cell>
          <cell r="BG136">
            <v>0</v>
          </cell>
          <cell r="BH136">
            <v>-3</v>
          </cell>
          <cell r="BI136">
            <v>1</v>
          </cell>
          <cell r="BJ136">
            <v>2</v>
          </cell>
          <cell r="BK136">
            <v>3</v>
          </cell>
          <cell r="BL136">
            <v>-2</v>
          </cell>
          <cell r="BM136">
            <v>2</v>
          </cell>
          <cell r="BN136">
            <v>-2</v>
          </cell>
          <cell r="BO136">
            <v>1</v>
          </cell>
          <cell r="BP136">
            <v>2</v>
          </cell>
          <cell r="BQ136">
            <v>-4</v>
          </cell>
          <cell r="BR136">
            <v>3</v>
          </cell>
          <cell r="BS136">
            <v>-2</v>
          </cell>
          <cell r="BT136">
            <v>-1</v>
          </cell>
          <cell r="BU136">
            <v>-1</v>
          </cell>
          <cell r="BV136">
            <v>-3</v>
          </cell>
          <cell r="BW136">
            <v>1</v>
          </cell>
          <cell r="BX136">
            <v>3</v>
          </cell>
          <cell r="BY136">
            <v>0</v>
          </cell>
          <cell r="BZ136">
            <v>1</v>
          </cell>
          <cell r="CA136">
            <v>-2</v>
          </cell>
          <cell r="CB136">
            <v>1</v>
          </cell>
          <cell r="CC136">
            <v>-2</v>
          </cell>
          <cell r="CD136">
            <v>-2</v>
          </cell>
          <cell r="CE136">
            <v>-0.5</v>
          </cell>
          <cell r="CF136">
            <v>-0.5</v>
          </cell>
          <cell r="CG136">
            <v>-0.5</v>
          </cell>
          <cell r="CH136">
            <v>-0.5</v>
          </cell>
          <cell r="CI136">
            <v>-2</v>
          </cell>
          <cell r="CN136">
            <v>-2</v>
          </cell>
          <cell r="CS136">
            <v>-2</v>
          </cell>
          <cell r="CU136" t="str">
            <v>7/28: Other inc 3Q15 -27 to -32; FY15 -120 to -130</v>
          </cell>
          <cell r="DJ136" t="str">
            <v>mstag:otherNonOperatingIncomeExpense</v>
          </cell>
          <cell r="DK136">
            <v>6</v>
          </cell>
          <cell r="DL136" t="str">
            <v>ISO4217:USD</v>
          </cell>
          <cell r="DM136" t="b">
            <v>0</v>
          </cell>
          <cell r="DN136" t="b">
            <v>0</v>
          </cell>
        </row>
        <row r="137">
          <cell r="A137" t="str">
            <v>Total Other Income (Expense)</v>
          </cell>
          <cell r="B137">
            <v>0</v>
          </cell>
          <cell r="G137">
            <v>-0.38099999999999934</v>
          </cell>
          <cell r="H137">
            <v>-0.78899999999999959</v>
          </cell>
          <cell r="I137">
            <v>-0.377</v>
          </cell>
          <cell r="J137">
            <v>5.86</v>
          </cell>
          <cell r="K137">
            <v>10.417999999999999</v>
          </cell>
          <cell r="L137">
            <v>15.112000000000002</v>
          </cell>
          <cell r="M137">
            <v>-1.0880000000000005</v>
          </cell>
          <cell r="N137">
            <v>-2.6729999999999996</v>
          </cell>
          <cell r="O137">
            <v>-1.9730000000000003</v>
          </cell>
          <cell r="P137">
            <v>-4.2290000000000001</v>
          </cell>
          <cell r="Q137">
            <v>-9.963000000000001</v>
          </cell>
          <cell r="R137">
            <v>-4.4009999999999998</v>
          </cell>
          <cell r="S137">
            <v>-2.8539999999999996</v>
          </cell>
          <cell r="T137">
            <v>-4.4190000000000005</v>
          </cell>
          <cell r="U137">
            <v>-4.4809999999999999</v>
          </cell>
          <cell r="V137">
            <v>-16.155000000000001</v>
          </cell>
          <cell r="W137">
            <v>-6.8999999999999995</v>
          </cell>
          <cell r="X137">
            <v>-8.5739999999999998</v>
          </cell>
          <cell r="Y137">
            <v>-9.1750000000000007</v>
          </cell>
          <cell r="Z137">
            <v>-11.472000000000001</v>
          </cell>
          <cell r="AA137">
            <v>-36.120999999999995</v>
          </cell>
          <cell r="AB137">
            <v>-13.856</v>
          </cell>
          <cell r="AC137">
            <v>-16</v>
          </cell>
          <cell r="AD137">
            <v>-17.542999999999999</v>
          </cell>
          <cell r="AE137">
            <v>-23.631999999999998</v>
          </cell>
          <cell r="AF137">
            <v>-71.031000000000006</v>
          </cell>
          <cell r="AG137">
            <v>-22</v>
          </cell>
          <cell r="AH137">
            <v>-22</v>
          </cell>
          <cell r="AI137">
            <v>-40</v>
          </cell>
          <cell r="AJ137">
            <v>-35</v>
          </cell>
          <cell r="AK137">
            <v>-119</v>
          </cell>
          <cell r="AL137">
            <v>-32</v>
          </cell>
          <cell r="AM137">
            <v>-30</v>
          </cell>
          <cell r="AN137">
            <v>-33</v>
          </cell>
          <cell r="AO137">
            <v>-33</v>
          </cell>
          <cell r="AP137">
            <v>-128</v>
          </cell>
          <cell r="AQ137">
            <v>-30</v>
          </cell>
          <cell r="AR137">
            <v>-31</v>
          </cell>
          <cell r="AS137">
            <v>-26</v>
          </cell>
          <cell r="AT137">
            <v>-45</v>
          </cell>
          <cell r="AU137">
            <v>-132</v>
          </cell>
          <cell r="AV137">
            <v>-45.1</v>
          </cell>
          <cell r="AW137">
            <v>-45.8</v>
          </cell>
          <cell r="AX137">
            <v>-46</v>
          </cell>
          <cell r="AY137">
            <v>-44</v>
          </cell>
          <cell r="AZ137">
            <v>-180.9</v>
          </cell>
          <cell r="BA137">
            <v>-44</v>
          </cell>
          <cell r="BB137">
            <v>-43</v>
          </cell>
          <cell r="BC137">
            <v>-43</v>
          </cell>
          <cell r="BD137">
            <v>-42</v>
          </cell>
          <cell r="BE137">
            <v>-172</v>
          </cell>
          <cell r="BF137">
            <v>-39</v>
          </cell>
          <cell r="BG137">
            <v>-43</v>
          </cell>
          <cell r="BH137">
            <v>-47</v>
          </cell>
          <cell r="BI137">
            <v>-43</v>
          </cell>
          <cell r="BJ137">
            <v>-172</v>
          </cell>
          <cell r="BK137">
            <v>-40</v>
          </cell>
          <cell r="BL137">
            <v>-44</v>
          </cell>
          <cell r="BM137">
            <v>-40</v>
          </cell>
          <cell r="BN137">
            <v>-43</v>
          </cell>
          <cell r="BO137">
            <v>-167</v>
          </cell>
          <cell r="BP137">
            <v>-36</v>
          </cell>
          <cell r="BQ137">
            <v>-42</v>
          </cell>
          <cell r="BR137">
            <v>-33</v>
          </cell>
          <cell r="BS137">
            <v>-38</v>
          </cell>
          <cell r="BT137">
            <v>-149</v>
          </cell>
          <cell r="BU137">
            <v>-35</v>
          </cell>
          <cell r="BV137">
            <v>-38</v>
          </cell>
          <cell r="BW137">
            <v>-32</v>
          </cell>
          <cell r="BX137">
            <v>-29</v>
          </cell>
          <cell r="BY137">
            <v>-134</v>
          </cell>
          <cell r="BZ137">
            <v>-31</v>
          </cell>
          <cell r="CA137">
            <v>-32</v>
          </cell>
          <cell r="CB137">
            <v>-29</v>
          </cell>
          <cell r="CC137">
            <v>-30</v>
          </cell>
          <cell r="CD137">
            <v>-122</v>
          </cell>
          <cell r="CE137">
            <v>-27</v>
          </cell>
          <cell r="CF137">
            <v>-25</v>
          </cell>
          <cell r="CG137">
            <v>-23</v>
          </cell>
          <cell r="CH137">
            <v>-21</v>
          </cell>
          <cell r="CI137">
            <v>-96</v>
          </cell>
          <cell r="CN137">
            <v>-61.959110042092604</v>
          </cell>
          <cell r="CS137">
            <v>-26.844858689116059</v>
          </cell>
          <cell r="CZ137" t="str">
            <v>10/27: Other inc 4Q15 -27 to -32; FY15 -120 to -130</v>
          </cell>
        </row>
        <row r="138">
          <cell r="A138" t="str">
            <v>YoY % Chg.</v>
          </cell>
          <cell r="L138">
            <v>-40.664041994750733</v>
          </cell>
          <cell r="M138">
            <v>0.37896070975919027</v>
          </cell>
          <cell r="N138">
            <v>6.0901856763925721</v>
          </cell>
          <cell r="O138">
            <v>-1.3366894197952219</v>
          </cell>
          <cell r="P138">
            <v>-1.4059320406987905</v>
          </cell>
          <cell r="Q138">
            <v>-1.6592773954473268</v>
          </cell>
          <cell r="R138">
            <v>3.0450367647058805</v>
          </cell>
          <cell r="S138">
            <v>6.7714178825289961E-2</v>
          </cell>
          <cell r="T138">
            <v>1.2397364419665484</v>
          </cell>
          <cell r="U138">
            <v>5.9588555213998529E-2</v>
          </cell>
          <cell r="V138">
            <v>0.6214995483288166</v>
          </cell>
          <cell r="W138">
            <v>0.56782549420586226</v>
          </cell>
          <cell r="X138">
            <v>2.0042046250875969</v>
          </cell>
          <cell r="Y138">
            <v>1.0762615976465262</v>
          </cell>
          <cell r="Z138">
            <v>1.5601428252622185</v>
          </cell>
          <cell r="AA138">
            <v>1.2359021974620856</v>
          </cell>
          <cell r="AB138">
            <v>1.0081159420289856</v>
          </cell>
          <cell r="AC138">
            <v>0.86610683461628191</v>
          </cell>
          <cell r="AD138">
            <v>0.91204359673024493</v>
          </cell>
          <cell r="AE138">
            <v>1.0599721059972103</v>
          </cell>
          <cell r="AF138">
            <v>0.96647379640652287</v>
          </cell>
          <cell r="AG138">
            <v>0.58775981524249432</v>
          </cell>
          <cell r="AH138">
            <v>0.375</v>
          </cell>
          <cell r="AI138">
            <v>1.2801117254745482</v>
          </cell>
          <cell r="AJ138">
            <v>0.48104265402843605</v>
          </cell>
          <cell r="AK138">
            <v>0.67532485816052135</v>
          </cell>
          <cell r="AL138">
            <v>0.45454545454545459</v>
          </cell>
          <cell r="AM138">
            <v>0.36363636363636354</v>
          </cell>
          <cell r="AN138">
            <v>-0.17500000000000004</v>
          </cell>
          <cell r="AO138">
            <v>-5.7142857142857162E-2</v>
          </cell>
          <cell r="AP138">
            <v>7.5630252100840289E-2</v>
          </cell>
          <cell r="AQ138">
            <v>-6.25E-2</v>
          </cell>
          <cell r="AR138">
            <v>3.3333333333333437E-2</v>
          </cell>
          <cell r="AS138">
            <v>-0.21212121212121215</v>
          </cell>
          <cell r="AT138">
            <v>0.36363636363636354</v>
          </cell>
          <cell r="AU138">
            <v>3.125E-2</v>
          </cell>
          <cell r="AV138">
            <v>0.50333333333333341</v>
          </cell>
          <cell r="AW138">
            <v>0.47741935483870956</v>
          </cell>
          <cell r="AX138">
            <v>0.76923076923076916</v>
          </cell>
          <cell r="AY138">
            <v>-2.2222222222222254E-2</v>
          </cell>
          <cell r="AZ138">
            <v>0.37045454545454559</v>
          </cell>
          <cell r="BA138">
            <v>-2.4390243902439046E-2</v>
          </cell>
          <cell r="BB138">
            <v>-6.1135371179039222E-2</v>
          </cell>
          <cell r="BC138">
            <v>-6.5217391304347783E-2</v>
          </cell>
          <cell r="BD138">
            <v>-4.5454545454545414E-2</v>
          </cell>
          <cell r="BE138">
            <v>-4.9198452183526808E-2</v>
          </cell>
          <cell r="BF138">
            <v>-0.11363636363636365</v>
          </cell>
          <cell r="BG138">
            <v>0</v>
          </cell>
          <cell r="BH138">
            <v>9.3023255813953432E-2</v>
          </cell>
          <cell r="BI138">
            <v>2.3809523809523725E-2</v>
          </cell>
          <cell r="BJ138">
            <v>0</v>
          </cell>
          <cell r="BK138">
            <v>2.564102564102555E-2</v>
          </cell>
          <cell r="BL138">
            <v>2.3255813953488413E-2</v>
          </cell>
          <cell r="BM138">
            <v>-0.14893617021276595</v>
          </cell>
          <cell r="BN138">
            <v>0</v>
          </cell>
          <cell r="BO138">
            <v>-2.9069767441860517E-2</v>
          </cell>
          <cell r="BP138">
            <v>-9.9999999999999978E-2</v>
          </cell>
          <cell r="BQ138">
            <v>-4.5454545454545414E-2</v>
          </cell>
          <cell r="BR138">
            <v>-0.17500000000000004</v>
          </cell>
          <cell r="BS138">
            <v>-0.11627906976744184</v>
          </cell>
          <cell r="BT138">
            <v>-0.10778443113772451</v>
          </cell>
          <cell r="BU138">
            <v>-2.777777777777779E-2</v>
          </cell>
          <cell r="BV138">
            <v>-9.5238095238095233E-2</v>
          </cell>
          <cell r="BW138">
            <v>-3.0303030303030276E-2</v>
          </cell>
          <cell r="BX138">
            <v>-0.23684210526315785</v>
          </cell>
          <cell r="BY138">
            <v>-0.10067114093959728</v>
          </cell>
          <cell r="BZ138">
            <v>-0.11428571428571432</v>
          </cell>
          <cell r="CA138">
            <v>-0.15789473684210531</v>
          </cell>
          <cell r="CB138">
            <v>-9.375E-2</v>
          </cell>
          <cell r="CC138">
            <v>3.4482758620689724E-2</v>
          </cell>
          <cell r="CD138">
            <v>-8.9552238805970186E-2</v>
          </cell>
          <cell r="CE138">
            <v>-0.12903225806451613</v>
          </cell>
          <cell r="CF138">
            <v>-0.21875</v>
          </cell>
          <cell r="CG138">
            <v>-0.2068965517241379</v>
          </cell>
          <cell r="CH138">
            <v>-0.30000000000000004</v>
          </cell>
          <cell r="CI138">
            <v>-0.21311475409836067</v>
          </cell>
          <cell r="CN138">
            <v>-0.354592603728202</v>
          </cell>
          <cell r="CS138">
            <v>-0.56673266173644676</v>
          </cell>
        </row>
        <row r="139">
          <cell r="A139" t="str">
            <v>NET INCOME AND EPS</v>
          </cell>
          <cell r="B139">
            <v>-14.215999999999999</v>
          </cell>
          <cell r="G139">
            <v>-21.568999999999974</v>
          </cell>
          <cell r="H139">
            <v>6.7494049000000036</v>
          </cell>
          <cell r="I139">
            <v>10.612972400000013</v>
          </cell>
          <cell r="J139">
            <v>10.497902599999989</v>
          </cell>
          <cell r="K139">
            <v>13.628503899999991</v>
          </cell>
          <cell r="L139">
            <v>41.488783800000057</v>
          </cell>
          <cell r="M139">
            <v>22.290733199999998</v>
          </cell>
          <cell r="N139">
            <v>25.034422800000005</v>
          </cell>
          <cell r="O139">
            <v>20.488851999999994</v>
          </cell>
          <cell r="P139">
            <v>27.211978399999978</v>
          </cell>
          <cell r="Q139">
            <v>95.02598640000005</v>
          </cell>
          <cell r="R139">
            <v>30.051999999999975</v>
          </cell>
          <cell r="S139">
            <v>46.089999999999989</v>
          </cell>
          <cell r="T139">
            <v>49.416999999999959</v>
          </cell>
          <cell r="U139">
            <v>30.519000000000027</v>
          </cell>
          <cell r="V139">
            <v>156.07800000000006</v>
          </cell>
          <cell r="W139">
            <v>25.763999999999932</v>
          </cell>
          <cell r="X139">
            <v>36.514000000000024</v>
          </cell>
          <cell r="Y139">
            <v>13.809999999999956</v>
          </cell>
          <cell r="Z139">
            <v>-0.76600000000004087</v>
          </cell>
          <cell r="AA139">
            <v>75.321999999999761</v>
          </cell>
          <cell r="AB139">
            <v>11.806000000000035</v>
          </cell>
          <cell r="AC139">
            <v>24.060000000000059</v>
          </cell>
          <cell r="AD139">
            <v>-3.6969999999999956</v>
          </cell>
          <cell r="AE139">
            <v>-42.146999999999927</v>
          </cell>
          <cell r="AF139">
            <v>-9.977999999999895</v>
          </cell>
          <cell r="AG139">
            <v>-46.600000000000023</v>
          </cell>
          <cell r="AH139">
            <v>25</v>
          </cell>
          <cell r="AI139">
            <v>-6</v>
          </cell>
          <cell r="AJ139">
            <v>29</v>
          </cell>
          <cell r="AK139">
            <v>1.4000000000000909</v>
          </cell>
          <cell r="AL139">
            <v>-45</v>
          </cell>
          <cell r="AM139">
            <v>43</v>
          </cell>
          <cell r="AN139">
            <v>46</v>
          </cell>
          <cell r="AO139">
            <v>-3</v>
          </cell>
          <cell r="AP139">
            <v>41</v>
          </cell>
          <cell r="AQ139">
            <v>-12.799999999999955</v>
          </cell>
          <cell r="AR139">
            <v>-10</v>
          </cell>
          <cell r="AS139">
            <v>-4</v>
          </cell>
          <cell r="AT139">
            <v>4</v>
          </cell>
          <cell r="AU139">
            <v>-22.800000000000182</v>
          </cell>
          <cell r="AV139">
            <v>30.4</v>
          </cell>
          <cell r="AW139">
            <v>32.200000000000003</v>
          </cell>
          <cell r="AX139">
            <v>21</v>
          </cell>
          <cell r="AY139">
            <v>20</v>
          </cell>
          <cell r="AZ139">
            <v>103.6</v>
          </cell>
          <cell r="BA139">
            <v>-2</v>
          </cell>
          <cell r="BB139">
            <v>51</v>
          </cell>
          <cell r="BC139">
            <v>96.799999999999955</v>
          </cell>
          <cell r="BD139">
            <v>15.100000000000023</v>
          </cell>
          <cell r="BE139">
            <v>160.89999999999964</v>
          </cell>
          <cell r="BF139">
            <v>6</v>
          </cell>
          <cell r="BG139">
            <v>43</v>
          </cell>
          <cell r="BH139">
            <v>61</v>
          </cell>
          <cell r="BI139">
            <v>40</v>
          </cell>
          <cell r="BJ139">
            <v>150</v>
          </cell>
          <cell r="BK139">
            <v>49</v>
          </cell>
          <cell r="BL139">
            <v>86</v>
          </cell>
          <cell r="BM139">
            <v>73</v>
          </cell>
          <cell r="BN139">
            <v>1</v>
          </cell>
          <cell r="BO139">
            <v>209</v>
          </cell>
          <cell r="BP139">
            <v>23</v>
          </cell>
          <cell r="BQ139">
            <v>60</v>
          </cell>
          <cell r="BR139">
            <v>119</v>
          </cell>
          <cell r="BS139">
            <v>77</v>
          </cell>
          <cell r="BT139">
            <v>279</v>
          </cell>
          <cell r="BU139">
            <v>6</v>
          </cell>
          <cell r="BV139">
            <v>103</v>
          </cell>
          <cell r="BW139">
            <v>132</v>
          </cell>
          <cell r="BX139">
            <v>140</v>
          </cell>
          <cell r="BY139">
            <v>381</v>
          </cell>
          <cell r="BZ139">
            <v>222</v>
          </cell>
          <cell r="CA139">
            <v>250</v>
          </cell>
          <cell r="CB139">
            <v>322</v>
          </cell>
          <cell r="CC139">
            <v>327.18303549291045</v>
          </cell>
          <cell r="CD139">
            <v>1083.491533734179</v>
          </cell>
          <cell r="CE139">
            <v>295.4290460661764</v>
          </cell>
          <cell r="CF139">
            <v>357.1206149675761</v>
          </cell>
          <cell r="CG139">
            <v>364.87074291127897</v>
          </cell>
          <cell r="CH139">
            <v>324.9325270515892</v>
          </cell>
          <cell r="CI139">
            <v>1325.3631146296266</v>
          </cell>
          <cell r="CN139">
            <v>1308.5863479258451</v>
          </cell>
        </row>
        <row r="140">
          <cell r="A140" t="str">
            <v>Pre-tax Income</v>
          </cell>
          <cell r="B140">
            <v>-14.215999999999999</v>
          </cell>
          <cell r="G140">
            <v>-21.568999999999974</v>
          </cell>
          <cell r="H140">
            <v>6.7494049000000036</v>
          </cell>
          <cell r="I140">
            <v>10.612972400000013</v>
          </cell>
          <cell r="J140">
            <v>10.497902599999989</v>
          </cell>
          <cell r="K140">
            <v>13.628503899999991</v>
          </cell>
          <cell r="L140">
            <v>41.488783800000057</v>
          </cell>
          <cell r="M140">
            <v>22.290733199999998</v>
          </cell>
          <cell r="N140">
            <v>25.034422800000005</v>
          </cell>
          <cell r="O140">
            <v>20.488851999999994</v>
          </cell>
          <cell r="P140">
            <v>27.211978399999978</v>
          </cell>
          <cell r="Q140">
            <v>95.02598640000005</v>
          </cell>
          <cell r="R140">
            <v>30.051999999999975</v>
          </cell>
          <cell r="S140">
            <v>46.089999999999989</v>
          </cell>
          <cell r="T140">
            <v>49.416999999999959</v>
          </cell>
          <cell r="U140">
            <v>30.519000000000027</v>
          </cell>
          <cell r="V140">
            <v>156.07800000000006</v>
          </cell>
          <cell r="W140">
            <v>25.763999999999932</v>
          </cell>
          <cell r="X140">
            <v>36.514000000000024</v>
          </cell>
          <cell r="Y140">
            <v>13.809999999999956</v>
          </cell>
          <cell r="Z140">
            <v>-0.76600000000004087</v>
          </cell>
          <cell r="AA140">
            <v>75.321999999999761</v>
          </cell>
          <cell r="AB140">
            <v>11.806000000000035</v>
          </cell>
          <cell r="AC140">
            <v>24.060000000000059</v>
          </cell>
          <cell r="AD140">
            <v>-3.6969999999999956</v>
          </cell>
          <cell r="AE140">
            <v>-42.146999999999927</v>
          </cell>
          <cell r="AF140">
            <v>-9.977999999999895</v>
          </cell>
          <cell r="AG140">
            <v>-46.600000000000023</v>
          </cell>
          <cell r="AH140">
            <v>25</v>
          </cell>
          <cell r="AI140">
            <v>-6</v>
          </cell>
          <cell r="AJ140">
            <v>29</v>
          </cell>
          <cell r="AK140">
            <v>1.4000000000000909</v>
          </cell>
          <cell r="AL140">
            <v>-45</v>
          </cell>
          <cell r="AM140">
            <v>43</v>
          </cell>
          <cell r="AN140">
            <v>46</v>
          </cell>
          <cell r="AO140">
            <v>-3</v>
          </cell>
          <cell r="AP140">
            <v>41</v>
          </cell>
          <cell r="AQ140">
            <v>-12.799999999999955</v>
          </cell>
          <cell r="AR140">
            <v>-10</v>
          </cell>
          <cell r="AS140">
            <v>-4</v>
          </cell>
          <cell r="AT140">
            <v>4</v>
          </cell>
          <cell r="AU140">
            <v>-22.800000000000182</v>
          </cell>
          <cell r="AV140">
            <v>30.4</v>
          </cell>
          <cell r="AW140">
            <v>32.200000000000003</v>
          </cell>
          <cell r="AX140">
            <v>21</v>
          </cell>
          <cell r="AY140">
            <v>20</v>
          </cell>
          <cell r="AZ140">
            <v>103.6</v>
          </cell>
          <cell r="BA140">
            <v>-2</v>
          </cell>
          <cell r="BB140">
            <v>51</v>
          </cell>
          <cell r="BC140">
            <v>96.799999999999955</v>
          </cell>
          <cell r="BD140">
            <v>15.100000000000023</v>
          </cell>
          <cell r="BE140">
            <v>160.89999999999964</v>
          </cell>
          <cell r="BF140">
            <v>6</v>
          </cell>
          <cell r="BG140">
            <v>43</v>
          </cell>
          <cell r="BH140">
            <v>61</v>
          </cell>
          <cell r="BI140">
            <v>40</v>
          </cell>
          <cell r="BJ140">
            <v>150</v>
          </cell>
          <cell r="BK140">
            <v>49</v>
          </cell>
          <cell r="BL140">
            <v>86</v>
          </cell>
          <cell r="BM140">
            <v>73</v>
          </cell>
          <cell r="BN140">
            <v>1</v>
          </cell>
          <cell r="BO140">
            <v>209</v>
          </cell>
          <cell r="BP140">
            <v>23</v>
          </cell>
          <cell r="BQ140">
            <v>60</v>
          </cell>
          <cell r="BR140">
            <v>119</v>
          </cell>
          <cell r="BS140">
            <v>77</v>
          </cell>
          <cell r="BT140">
            <v>279</v>
          </cell>
          <cell r="BU140">
            <v>6</v>
          </cell>
          <cell r="BV140">
            <v>103</v>
          </cell>
          <cell r="BW140">
            <v>132</v>
          </cell>
          <cell r="BX140">
            <v>140</v>
          </cell>
          <cell r="BY140">
            <v>381</v>
          </cell>
          <cell r="BZ140">
            <v>222</v>
          </cell>
          <cell r="CA140">
            <v>250</v>
          </cell>
          <cell r="CB140">
            <v>322</v>
          </cell>
          <cell r="CC140">
            <v>323.30645852410134</v>
          </cell>
          <cell r="CD140">
            <v>1117.3064585241018</v>
          </cell>
          <cell r="CE140">
            <v>324.457031862745</v>
          </cell>
          <cell r="CF140">
            <v>385.76516593853989</v>
          </cell>
          <cell r="CG140">
            <v>430.22485780878719</v>
          </cell>
          <cell r="CH140">
            <v>385.84254896067341</v>
          </cell>
          <cell r="CI140">
            <v>1526.2896045707448</v>
          </cell>
          <cell r="CN140">
            <v>1467.6564271962402</v>
          </cell>
          <cell r="CS140">
            <v>1436.2115016508199</v>
          </cell>
        </row>
        <row r="141">
          <cell r="A141" t="str">
            <v>Pre-tax Income Margin</v>
          </cell>
          <cell r="G141">
            <v>-0.20616911047812014</v>
          </cell>
          <cell r="H141">
            <v>0.10570720281910734</v>
          </cell>
          <cell r="I141">
            <v>0.13537299931120705</v>
          </cell>
          <cell r="J141">
            <v>0.12708094373426287</v>
          </cell>
          <cell r="K141">
            <v>0.14262022959877763</v>
          </cell>
          <cell r="L141">
            <v>0.12948492824907792</v>
          </cell>
          <cell r="M141">
            <v>0.16713579017612787</v>
          </cell>
          <cell r="N141">
            <v>0.16767528314903254</v>
          </cell>
          <cell r="O141">
            <v>0.1239787487671017</v>
          </cell>
          <cell r="P141">
            <v>0.14531810870563597</v>
          </cell>
          <cell r="Q141">
            <v>0.14960222421287461</v>
          </cell>
          <cell r="R141">
            <v>0.13840556348731164</v>
          </cell>
          <cell r="S141">
            <v>0.18835231568322153</v>
          </cell>
          <cell r="T141">
            <v>0.18063353510541846</v>
          </cell>
          <cell r="U141">
            <v>0.11606653888280404</v>
          </cell>
          <cell r="V141">
            <v>0.15633579773045758</v>
          </cell>
          <cell r="W141">
            <v>8.9147863516987488E-2</v>
          </cell>
          <cell r="X141">
            <v>0.11420689482606554</v>
          </cell>
          <cell r="Y141">
            <v>4.2726977398944842E-2</v>
          </cell>
          <cell r="Z141">
            <v>-2.3174480238159862E-3</v>
          </cell>
          <cell r="AA141">
            <v>5.9662313302789906E-2</v>
          </cell>
          <cell r="AB141">
            <v>3.1548118496507509E-2</v>
          </cell>
          <cell r="AC141">
            <v>5.6083916083916219E-2</v>
          </cell>
          <cell r="AD141">
            <v>-8.1626795314794064E-3</v>
          </cell>
          <cell r="AE141">
            <v>-9.4501695097669744E-2</v>
          </cell>
          <cell r="AF141">
            <v>-5.8620703836195108E-3</v>
          </cell>
          <cell r="AG141">
            <v>-9.5024469820554694E-2</v>
          </cell>
          <cell r="AH141">
            <v>4.084967320261438E-2</v>
          </cell>
          <cell r="AI141">
            <v>-9.5541401273885346E-3</v>
          </cell>
          <cell r="AJ141">
            <v>4.5813586097946286E-2</v>
          </cell>
          <cell r="AK141">
            <v>5.9236692900063086E-4</v>
          </cell>
          <cell r="AL141">
            <v>-7.4013157894736836E-2</v>
          </cell>
          <cell r="AM141">
            <v>5.8904109589041097E-2</v>
          </cell>
          <cell r="AN141">
            <v>6.0130718954248367E-2</v>
          </cell>
          <cell r="AO141">
            <v>-4.0595399188092015E-3</v>
          </cell>
          <cell r="AP141">
            <v>1.4426460239268121E-2</v>
          </cell>
          <cell r="AQ141">
            <v>-1.5686274509803866E-2</v>
          </cell>
          <cell r="AR141">
            <v>-1.1641443538998836E-2</v>
          </cell>
          <cell r="AS141">
            <v>-4.434589800443459E-3</v>
          </cell>
          <cell r="AT141">
            <v>4.9321824907521579E-3</v>
          </cell>
          <cell r="AU141">
            <v>-6.729634002361329E-3</v>
          </cell>
          <cell r="AV141">
            <v>3.8238993710691824E-2</v>
          </cell>
          <cell r="AW141">
            <v>3.9802224969097653E-2</v>
          </cell>
          <cell r="AX141">
            <v>2.456140350877193E-2</v>
          </cell>
          <cell r="AY141">
            <v>2.403846153846154E-2</v>
          </cell>
          <cell r="AZ141">
            <v>3.1479793375873595E-2</v>
          </cell>
          <cell r="BA141">
            <v>-2.2988505747126436E-3</v>
          </cell>
          <cell r="BB141">
            <v>5.4313099041533544E-2</v>
          </cell>
          <cell r="BC141">
            <v>9.39805825242718E-2</v>
          </cell>
          <cell r="BD141">
            <v>1.6063829787234068E-2</v>
          </cell>
          <cell r="BE141">
            <v>4.2577401428949363E-2</v>
          </cell>
          <cell r="BF141">
            <v>5.9288537549407111E-3</v>
          </cell>
          <cell r="BG141">
            <v>3.7358818418766288E-2</v>
          </cell>
          <cell r="BH141">
            <v>5.1046025104602509E-2</v>
          </cell>
          <cell r="BI141">
            <v>3.4904013961605584E-2</v>
          </cell>
          <cell r="BJ141">
            <v>3.330373001776199E-2</v>
          </cell>
          <cell r="BK141">
            <v>4.0731504571903575E-2</v>
          </cell>
          <cell r="BL141">
            <v>6.7345340642129992E-2</v>
          </cell>
          <cell r="BM141">
            <v>5.581039755351682E-2</v>
          </cell>
          <cell r="BN141">
            <v>8.375209380234506E-4</v>
          </cell>
          <cell r="BO141">
            <v>4.1951023685266958E-2</v>
          </cell>
          <cell r="BP141">
            <v>1.7705927636643571E-2</v>
          </cell>
          <cell r="BQ141">
            <v>4.49438202247191E-2</v>
          </cell>
          <cell r="BR141">
            <v>8.2524271844660199E-2</v>
          </cell>
          <cell r="BS141">
            <v>5.6410256410256411E-2</v>
          </cell>
          <cell r="BT141">
            <v>5.1277338724499175E-2</v>
          </cell>
          <cell r="BU141">
            <v>4.447739065974796E-3</v>
          </cell>
          <cell r="BV141">
            <v>6.8988613529805759E-2</v>
          </cell>
          <cell r="BW141">
            <v>8.6330935251798566E-2</v>
          </cell>
          <cell r="BX141">
            <v>9.6818810511756573E-2</v>
          </cell>
          <cell r="BY141">
            <v>6.5497679216090773E-2</v>
          </cell>
          <cell r="BZ141">
            <v>0.14576493762311227</v>
          </cell>
          <cell r="CA141">
            <v>0.15508684863523572</v>
          </cell>
          <cell r="CB141">
            <v>0.1908713692946058</v>
          </cell>
          <cell r="CC141">
            <v>0.2039677507191954</v>
          </cell>
          <cell r="CD141">
            <v>0.17438605175841312</v>
          </cell>
          <cell r="CE141">
            <v>0.19875862133223099</v>
          </cell>
          <cell r="CF141">
            <v>0.22300008205071076</v>
          </cell>
          <cell r="CG141">
            <v>0.24112093898837458</v>
          </cell>
          <cell r="CH141">
            <v>0.22723709843038867</v>
          </cell>
          <cell r="CI141">
            <v>0.22299345783673372</v>
          </cell>
          <cell r="CN141">
            <v>0.19845971181641325</v>
          </cell>
          <cell r="CS141">
            <v>0.17989824003264468</v>
          </cell>
          <cell r="CU141" t="str">
            <v>7/28: annual effective tax rate 39%</v>
          </cell>
        </row>
        <row r="142">
          <cell r="A142" t="str">
            <v>Effective Tax Rate</v>
          </cell>
          <cell r="B142">
            <v>0.23300000000000001</v>
          </cell>
          <cell r="G142">
            <v>1.1080717696694343E-2</v>
          </cell>
          <cell r="H142">
            <v>0</v>
          </cell>
          <cell r="I142">
            <v>0</v>
          </cell>
          <cell r="J142">
            <v>0</v>
          </cell>
          <cell r="K142">
            <v>0.24786286336242691</v>
          </cell>
          <cell r="L142">
            <v>8.1419595625745855E-2</v>
          </cell>
          <cell r="M142">
            <v>0.41658566888234977</v>
          </cell>
          <cell r="N142">
            <v>0.41734535217644397</v>
          </cell>
          <cell r="O142">
            <v>0.40700000000000003</v>
          </cell>
          <cell r="P142">
            <v>0.44278294738026136</v>
          </cell>
          <cell r="Q142">
            <v>0.4222209553827897</v>
          </cell>
          <cell r="R142">
            <v>0.42240117130307503</v>
          </cell>
          <cell r="S142">
            <v>0.42</v>
          </cell>
          <cell r="T142">
            <v>0.41228726956310613</v>
          </cell>
          <cell r="U142">
            <v>0.35974311084897898</v>
          </cell>
          <cell r="V142">
            <v>0.40623790668768162</v>
          </cell>
          <cell r="W142">
            <v>0.41030119546654353</v>
          </cell>
          <cell r="X142">
            <v>0.41233499479651609</v>
          </cell>
          <cell r="Y142">
            <v>0.39007965242577963</v>
          </cell>
          <cell r="Z142">
            <v>2.1657963446474042</v>
          </cell>
          <cell r="AA142">
            <v>0.38972677305435455</v>
          </cell>
          <cell r="AB142">
            <v>0.40987633406742219</v>
          </cell>
          <cell r="AC142">
            <v>0.45719035743973285</v>
          </cell>
          <cell r="AD142">
            <v>1.7265350284014074</v>
          </cell>
          <cell r="AE142">
            <v>0.24075260398130213</v>
          </cell>
          <cell r="AF142">
            <v>6.9252355181391695E-2</v>
          </cell>
          <cell r="AG142">
            <v>0.32188841201716722</v>
          </cell>
          <cell r="AH142">
            <v>0.44</v>
          </cell>
          <cell r="AI142">
            <v>0.2</v>
          </cell>
          <cell r="AJ142">
            <v>0.44827586206896552</v>
          </cell>
          <cell r="AK142">
            <v>0</v>
          </cell>
          <cell r="AL142">
            <v>0.51111111111111107</v>
          </cell>
          <cell r="AM142">
            <v>0.51162790697674421</v>
          </cell>
          <cell r="AN142">
            <v>0.5</v>
          </cell>
          <cell r="AO142">
            <v>-0.33333333333333331</v>
          </cell>
          <cell r="AP142">
            <v>0.56097560975609762</v>
          </cell>
          <cell r="AQ142">
            <v>0.39062500000000139</v>
          </cell>
          <cell r="AR142">
            <v>0.3</v>
          </cell>
          <cell r="AS142">
            <v>0</v>
          </cell>
          <cell r="AT142">
            <v>2</v>
          </cell>
          <cell r="AU142">
            <v>0</v>
          </cell>
          <cell r="AV142">
            <v>0.25328947368421056</v>
          </cell>
          <cell r="AW142">
            <v>0.48136645962732916</v>
          </cell>
          <cell r="AX142">
            <v>0.37857142857142856</v>
          </cell>
          <cell r="AY142">
            <v>0.45</v>
          </cell>
          <cell r="AZ142">
            <v>0.38754826254826258</v>
          </cell>
          <cell r="BA142">
            <v>0.25</v>
          </cell>
          <cell r="BB142">
            <v>0.41176470588235292</v>
          </cell>
          <cell r="BC142">
            <v>0.39256198347107457</v>
          </cell>
          <cell r="BD142">
            <v>0.39735099337748286</v>
          </cell>
          <cell r="BE142">
            <v>0.40087010565568765</v>
          </cell>
          <cell r="BF142">
            <v>0.5</v>
          </cell>
          <cell r="BG142">
            <v>0.41860465116279072</v>
          </cell>
          <cell r="BH142">
            <v>0.38524590163934425</v>
          </cell>
          <cell r="BI142">
            <v>0.42499999999999999</v>
          </cell>
          <cell r="BJ142">
            <v>0.41</v>
          </cell>
          <cell r="BK142">
            <v>0.38775510204081631</v>
          </cell>
          <cell r="BL142">
            <v>0.39534883720930231</v>
          </cell>
          <cell r="BM142">
            <v>0.38356164383561642</v>
          </cell>
          <cell r="BN142">
            <v>0</v>
          </cell>
          <cell r="BO142">
            <v>0.38755980861244022</v>
          </cell>
          <cell r="BP142">
            <v>0.39130434782608697</v>
          </cell>
          <cell r="BQ142">
            <v>0.4</v>
          </cell>
          <cell r="BR142">
            <v>0.40336134453781514</v>
          </cell>
          <cell r="BS142">
            <v>0.38961038961038963</v>
          </cell>
          <cell r="BT142">
            <v>0.39784946236559138</v>
          </cell>
          <cell r="BU142">
            <v>0.33333333333333331</v>
          </cell>
          <cell r="BV142">
            <v>0.40776699029126212</v>
          </cell>
          <cell r="BW142">
            <v>0.40151515151515149</v>
          </cell>
          <cell r="BX142">
            <v>0.37857142857142856</v>
          </cell>
          <cell r="BY142">
            <v>0.39370078740157483</v>
          </cell>
          <cell r="BZ142">
            <v>0.38288288288288286</v>
          </cell>
          <cell r="CA142">
            <v>0.39200000000000002</v>
          </cell>
          <cell r="CB142">
            <v>0.38509316770186336</v>
          </cell>
          <cell r="CC142">
            <v>0.39</v>
          </cell>
          <cell r="CD142">
            <v>0.38761927447952471</v>
          </cell>
          <cell r="CE142">
            <v>0.39</v>
          </cell>
          <cell r="CF142">
            <v>0.39</v>
          </cell>
          <cell r="CG142">
            <v>0.39</v>
          </cell>
          <cell r="CH142">
            <v>0.39</v>
          </cell>
          <cell r="CI142">
            <v>0.39000000000000024</v>
          </cell>
          <cell r="CN142">
            <v>0.39000000000000024</v>
          </cell>
          <cell r="CS142">
            <v>0.39000000000000024</v>
          </cell>
          <cell r="CZ142" t="str">
            <v>7/28: annual effective tax rate 39%</v>
          </cell>
          <cell r="DE142" t="str">
            <v>mstag:taxExpenseIncome</v>
          </cell>
          <cell r="DF142">
            <v>6</v>
          </cell>
          <cell r="DG142" t="str">
            <v>ISO4217:USD</v>
          </cell>
          <cell r="DH142" t="b">
            <v>0</v>
          </cell>
          <cell r="DI142" t="b">
            <v>0</v>
          </cell>
        </row>
        <row r="143">
          <cell r="A143" t="str">
            <v>Provision for Taxes (benefit)</v>
          </cell>
          <cell r="B143">
            <v>0.23300000000000001</v>
          </cell>
          <cell r="G143">
            <v>-0.23899999999999999</v>
          </cell>
          <cell r="H143">
            <v>0</v>
          </cell>
          <cell r="I143">
            <v>0</v>
          </cell>
          <cell r="J143">
            <v>0</v>
          </cell>
          <cell r="K143">
            <v>3.3780000000000001</v>
          </cell>
          <cell r="L143">
            <v>3.3780000000000001</v>
          </cell>
          <cell r="M143">
            <v>9.2859999999999996</v>
          </cell>
          <cell r="N143">
            <v>10.448</v>
          </cell>
          <cell r="O143">
            <v>8.3389627639999979</v>
          </cell>
          <cell r="P143">
            <v>12.048999999999999</v>
          </cell>
          <cell r="Q143">
            <v>40.121962764000003</v>
          </cell>
          <cell r="R143">
            <v>12.694000000000001</v>
          </cell>
          <cell r="S143">
            <v>19.357799999999994</v>
          </cell>
          <cell r="T143">
            <v>20.373999999999999</v>
          </cell>
          <cell r="U143">
            <v>10.978999999999999</v>
          </cell>
          <cell r="V143">
            <v>63.404799999999994</v>
          </cell>
          <cell r="W143">
            <v>10.571</v>
          </cell>
          <cell r="X143">
            <v>15.055999999999999</v>
          </cell>
          <cell r="Y143">
            <v>5.3869999999999996</v>
          </cell>
          <cell r="Z143">
            <v>-1.659</v>
          </cell>
          <cell r="AA143">
            <v>29.355</v>
          </cell>
          <cell r="AB143">
            <v>4.8390000000000004</v>
          </cell>
          <cell r="AC143">
            <v>11</v>
          </cell>
          <cell r="AD143">
            <v>-6.3829999999999956</v>
          </cell>
          <cell r="AE143">
            <v>-10.146999999999924</v>
          </cell>
          <cell r="AF143">
            <v>-0.69099999999991901</v>
          </cell>
          <cell r="AG143">
            <v>-15</v>
          </cell>
          <cell r="AH143">
            <v>11</v>
          </cell>
          <cell r="AI143">
            <v>-1.2000000000000002</v>
          </cell>
          <cell r="AJ143">
            <v>13</v>
          </cell>
          <cell r="AK143">
            <v>7.8</v>
          </cell>
          <cell r="AL143">
            <v>-23</v>
          </cell>
          <cell r="AM143">
            <v>22</v>
          </cell>
          <cell r="AN143">
            <v>23</v>
          </cell>
          <cell r="AO143">
            <v>1</v>
          </cell>
          <cell r="AP143">
            <v>23</v>
          </cell>
          <cell r="AQ143">
            <v>-5</v>
          </cell>
          <cell r="AR143">
            <v>-3</v>
          </cell>
          <cell r="AS143">
            <v>0</v>
          </cell>
          <cell r="AT143">
            <v>8</v>
          </cell>
          <cell r="AU143">
            <v>0</v>
          </cell>
          <cell r="AV143">
            <v>7.7</v>
          </cell>
          <cell r="AW143">
            <v>15.5</v>
          </cell>
          <cell r="AX143">
            <v>7.95</v>
          </cell>
          <cell r="AY143">
            <v>9</v>
          </cell>
          <cell r="AZ143">
            <v>40.15</v>
          </cell>
          <cell r="BA143">
            <v>-0.5</v>
          </cell>
          <cell r="BB143">
            <v>21</v>
          </cell>
          <cell r="BC143">
            <v>38</v>
          </cell>
          <cell r="BD143">
            <v>6</v>
          </cell>
          <cell r="BE143">
            <v>64.5</v>
          </cell>
          <cell r="BF143">
            <v>3</v>
          </cell>
          <cell r="BG143">
            <v>18</v>
          </cell>
          <cell r="BH143">
            <v>23.5</v>
          </cell>
          <cell r="BI143">
            <v>17</v>
          </cell>
          <cell r="BJ143">
            <v>61.5</v>
          </cell>
          <cell r="BK143">
            <v>19</v>
          </cell>
          <cell r="BL143">
            <v>34</v>
          </cell>
          <cell r="BM143">
            <v>28</v>
          </cell>
          <cell r="BN143">
            <v>0</v>
          </cell>
          <cell r="BO143">
            <v>81</v>
          </cell>
          <cell r="BP143">
            <v>9</v>
          </cell>
          <cell r="BQ143">
            <v>24</v>
          </cell>
          <cell r="BR143">
            <v>48</v>
          </cell>
          <cell r="BS143">
            <v>30</v>
          </cell>
          <cell r="BT143">
            <v>111</v>
          </cell>
          <cell r="BU143">
            <v>2</v>
          </cell>
          <cell r="BV143">
            <v>42</v>
          </cell>
          <cell r="BW143">
            <v>53</v>
          </cell>
          <cell r="BX143">
            <v>53</v>
          </cell>
          <cell r="BY143">
            <v>150</v>
          </cell>
          <cell r="BZ143">
            <v>85</v>
          </cell>
          <cell r="CA143">
            <v>98</v>
          </cell>
          <cell r="CB143">
            <v>124</v>
          </cell>
          <cell r="CC143">
            <v>126.08951882439953</v>
          </cell>
          <cell r="CD143">
            <v>433.08951882439953</v>
          </cell>
          <cell r="CE143">
            <v>126.53824242647056</v>
          </cell>
          <cell r="CF143">
            <v>150.44841471603056</v>
          </cell>
          <cell r="CG143">
            <v>167.787694545427</v>
          </cell>
          <cell r="CH143">
            <v>150.47859409466264</v>
          </cell>
          <cell r="CI143">
            <v>595.25294578259081</v>
          </cell>
          <cell r="CN143">
            <v>572.38600660653401</v>
          </cell>
          <cell r="CS143">
            <v>560.12248564382003</v>
          </cell>
          <cell r="DJ143" t="str">
            <v>mstag:taxExpenseIncome</v>
          </cell>
          <cell r="DK143">
            <v>6</v>
          </cell>
          <cell r="DL143" t="str">
            <v>ISO4217:USD</v>
          </cell>
          <cell r="DM143" t="b">
            <v>0</v>
          </cell>
          <cell r="DN143" t="b">
            <v>0</v>
          </cell>
        </row>
        <row r="144">
          <cell r="A144" t="str">
            <v>Net Income Before Extraordinary Items</v>
          </cell>
          <cell r="B144">
            <v>-14.449</v>
          </cell>
          <cell r="G144">
            <v>-21.329999999999973</v>
          </cell>
          <cell r="H144">
            <v>6.7494049000000036</v>
          </cell>
          <cell r="I144">
            <v>10.612972400000013</v>
          </cell>
          <cell r="J144">
            <v>10.497902599999989</v>
          </cell>
          <cell r="K144">
            <v>10.250503899999991</v>
          </cell>
          <cell r="L144">
            <v>38.110783800000057</v>
          </cell>
          <cell r="M144">
            <v>13.004733199999999</v>
          </cell>
          <cell r="N144">
            <v>14.586422800000005</v>
          </cell>
          <cell r="O144">
            <v>12.149889235999996</v>
          </cell>
          <cell r="P144">
            <v>15.162978399999979</v>
          </cell>
          <cell r="Q144">
            <v>54.904023636000048</v>
          </cell>
          <cell r="R144">
            <v>17.357999999999976</v>
          </cell>
          <cell r="S144">
            <v>26.732199999999995</v>
          </cell>
          <cell r="T144">
            <v>29.04299999999996</v>
          </cell>
          <cell r="U144">
            <v>19.540000000000028</v>
          </cell>
          <cell r="V144">
            <v>92.673200000000065</v>
          </cell>
          <cell r="W144">
            <v>15.192999999999932</v>
          </cell>
          <cell r="X144">
            <v>21.458000000000027</v>
          </cell>
          <cell r="Y144">
            <v>8.4229999999999556</v>
          </cell>
          <cell r="Z144">
            <v>0.89299999999995916</v>
          </cell>
          <cell r="AA144">
            <v>45.966999999999757</v>
          </cell>
          <cell r="AB144">
            <v>6.9670000000000343</v>
          </cell>
          <cell r="AC144">
            <v>13.060000000000059</v>
          </cell>
          <cell r="AD144">
            <v>2.6859999999999999</v>
          </cell>
          <cell r="AE144">
            <v>-32</v>
          </cell>
          <cell r="AF144">
            <v>-9.2869999999999759</v>
          </cell>
          <cell r="AG144">
            <v>-31.600000000000023</v>
          </cell>
          <cell r="AH144">
            <v>14</v>
          </cell>
          <cell r="AI144">
            <v>-4.8</v>
          </cell>
          <cell r="AJ144">
            <v>16</v>
          </cell>
          <cell r="AK144">
            <v>-6.3999999999999089</v>
          </cell>
          <cell r="AL144">
            <v>-22</v>
          </cell>
          <cell r="AM144">
            <v>21</v>
          </cell>
          <cell r="AN144">
            <v>23</v>
          </cell>
          <cell r="AO144">
            <v>-4</v>
          </cell>
          <cell r="AP144">
            <v>18</v>
          </cell>
          <cell r="AQ144">
            <v>-7.7999999999999545</v>
          </cell>
          <cell r="AR144">
            <v>-7</v>
          </cell>
          <cell r="AS144">
            <v>-4</v>
          </cell>
          <cell r="AT144">
            <v>-4</v>
          </cell>
          <cell r="AU144">
            <v>-22.800000000000182</v>
          </cell>
          <cell r="AV144">
            <v>22.7</v>
          </cell>
          <cell r="AW144">
            <v>16.700000000000003</v>
          </cell>
          <cell r="AX144">
            <v>13.05</v>
          </cell>
          <cell r="AY144">
            <v>11</v>
          </cell>
          <cell r="AZ144">
            <v>63.449999999999996</v>
          </cell>
          <cell r="BA144">
            <v>-1.5</v>
          </cell>
          <cell r="BB144">
            <v>30</v>
          </cell>
          <cell r="BC144">
            <v>58.799999999999955</v>
          </cell>
          <cell r="BD144">
            <v>9.1000000000000227</v>
          </cell>
          <cell r="BE144">
            <v>96.399999999999636</v>
          </cell>
          <cell r="BF144">
            <v>3</v>
          </cell>
          <cell r="BG144">
            <v>25</v>
          </cell>
          <cell r="BH144">
            <v>37.5</v>
          </cell>
          <cell r="BI144">
            <v>23</v>
          </cell>
          <cell r="BJ144">
            <v>88.5</v>
          </cell>
          <cell r="BK144">
            <v>30</v>
          </cell>
          <cell r="BL144">
            <v>52</v>
          </cell>
          <cell r="BM144">
            <v>45</v>
          </cell>
          <cell r="BN144">
            <v>1</v>
          </cell>
          <cell r="BO144">
            <v>128</v>
          </cell>
          <cell r="BP144">
            <v>14</v>
          </cell>
          <cell r="BQ144">
            <v>36</v>
          </cell>
          <cell r="BR144">
            <v>71</v>
          </cell>
          <cell r="BS144">
            <v>47</v>
          </cell>
          <cell r="BT144">
            <v>168</v>
          </cell>
          <cell r="BU144">
            <v>4</v>
          </cell>
          <cell r="BV144">
            <v>61</v>
          </cell>
          <cell r="BW144">
            <v>79</v>
          </cell>
          <cell r="BX144">
            <v>87</v>
          </cell>
          <cell r="BY144">
            <v>231</v>
          </cell>
          <cell r="BZ144">
            <v>137</v>
          </cell>
          <cell r="CA144">
            <v>152</v>
          </cell>
          <cell r="CB144">
            <v>198</v>
          </cell>
          <cell r="CC144">
            <v>197.21693969970181</v>
          </cell>
          <cell r="CD144">
            <v>684.21693969970227</v>
          </cell>
          <cell r="CE144">
            <v>197.91878943627444</v>
          </cell>
          <cell r="CF144">
            <v>235.31675122250934</v>
          </cell>
          <cell r="CG144">
            <v>262.43716326336016</v>
          </cell>
          <cell r="CH144">
            <v>235.36395486601077</v>
          </cell>
          <cell r="CI144">
            <v>931.036658788154</v>
          </cell>
          <cell r="CN144">
            <v>895.27042058970619</v>
          </cell>
          <cell r="CS144">
            <v>876.08901600699983</v>
          </cell>
        </row>
        <row r="145">
          <cell r="A145" t="str">
            <v>YoY % Chg.</v>
          </cell>
          <cell r="G145">
            <v>0.47622672849331948</v>
          </cell>
          <cell r="L145">
            <v>-2.7867221659634369</v>
          </cell>
          <cell r="M145">
            <v>0.92679701287442273</v>
          </cell>
          <cell r="N145">
            <v>0.37439562172045093</v>
          </cell>
          <cell r="O145">
            <v>0.15736349430409158</v>
          </cell>
          <cell r="P145">
            <v>0.47924224486173728</v>
          </cell>
          <cell r="Q145">
            <v>0.4406427305229017</v>
          </cell>
          <cell r="R145">
            <v>0.33474479891674958</v>
          </cell>
          <cell r="S145">
            <v>0.83267689182847393</v>
          </cell>
          <cell r="T145">
            <v>1.3903921620903219</v>
          </cell>
          <cell r="U145">
            <v>0.28866502902886504</v>
          </cell>
          <cell r="V145">
            <v>0.68791272228790046</v>
          </cell>
          <cell r="W145">
            <v>-0.12472635096209506</v>
          </cell>
          <cell r="X145">
            <v>-0.19729764104712555</v>
          </cell>
          <cell r="Y145">
            <v>-0.70998175119650286</v>
          </cell>
          <cell r="Z145">
            <v>-0.95429887410440339</v>
          </cell>
          <cell r="AA145">
            <v>-0.50398820802562416</v>
          </cell>
          <cell r="AB145">
            <v>-0.54143355492660661</v>
          </cell>
          <cell r="AC145">
            <v>-0.39136918631745532</v>
          </cell>
          <cell r="AD145">
            <v>-0.68111124302504877</v>
          </cell>
          <cell r="AE145">
            <v>-36.834266517358863</v>
          </cell>
          <cell r="AF145">
            <v>-1.2020362433919991</v>
          </cell>
          <cell r="AG145">
            <v>-5.5356681498492701</v>
          </cell>
          <cell r="AH145">
            <v>7.1975497702904789E-2</v>
          </cell>
          <cell r="AI145">
            <v>-2.7870439314966493</v>
          </cell>
          <cell r="AJ145">
            <v>-1.5</v>
          </cell>
          <cell r="AK145">
            <v>-0.31086464951007586</v>
          </cell>
          <cell r="AL145">
            <v>-0.30379746835443089</v>
          </cell>
          <cell r="AM145">
            <v>0.5</v>
          </cell>
          <cell r="AN145">
            <v>-5.791666666666667</v>
          </cell>
          <cell r="AO145">
            <v>-1.25</v>
          </cell>
          <cell r="AP145">
            <v>-3.81250000000004</v>
          </cell>
          <cell r="AQ145">
            <v>-0.6454545454545475</v>
          </cell>
          <cell r="AR145">
            <v>-1.3333333333333333</v>
          </cell>
          <cell r="AS145">
            <v>-1.1739130434782608</v>
          </cell>
          <cell r="AT145">
            <v>0</v>
          </cell>
          <cell r="AU145">
            <v>-2.2666666666666768</v>
          </cell>
          <cell r="AV145">
            <v>-3.910256410256427</v>
          </cell>
          <cell r="AW145">
            <v>-3.3857142857142861</v>
          </cell>
          <cell r="AX145">
            <v>-4.2625000000000002</v>
          </cell>
          <cell r="AY145">
            <v>-3.75</v>
          </cell>
          <cell r="AZ145">
            <v>-3.7828947368420827</v>
          </cell>
          <cell r="BA145">
            <v>-1.0660792951541851</v>
          </cell>
          <cell r="BB145">
            <v>0.79640718562874224</v>
          </cell>
          <cell r="BC145">
            <v>3.5057471264367779</v>
          </cell>
          <cell r="BD145">
            <v>-0.17272727272727062</v>
          </cell>
          <cell r="BE145">
            <v>0.51930654058313075</v>
          </cell>
          <cell r="BF145">
            <v>-3</v>
          </cell>
          <cell r="BG145">
            <v>-0.16666666666666663</v>
          </cell>
          <cell r="BH145">
            <v>-0.36224489795918313</v>
          </cell>
          <cell r="BI145">
            <v>1.5274725274725212</v>
          </cell>
          <cell r="BJ145">
            <v>-8.1950207468876157E-2</v>
          </cell>
          <cell r="BK145">
            <v>9</v>
          </cell>
          <cell r="BL145">
            <v>1.08</v>
          </cell>
          <cell r="BM145">
            <v>0.19999999999999996</v>
          </cell>
          <cell r="BN145">
            <v>-0.95652173913043481</v>
          </cell>
          <cell r="BO145">
            <v>0.4463276836158192</v>
          </cell>
          <cell r="BP145">
            <v>-0.53333333333333333</v>
          </cell>
          <cell r="BQ145">
            <v>-0.30769230769230771</v>
          </cell>
          <cell r="BR145">
            <v>0.57777777777777772</v>
          </cell>
          <cell r="BS145">
            <v>46</v>
          </cell>
          <cell r="BT145">
            <v>0.3125</v>
          </cell>
          <cell r="BU145">
            <v>-0.7142857142857143</v>
          </cell>
          <cell r="BV145">
            <v>0.69444444444444442</v>
          </cell>
          <cell r="BW145">
            <v>0.11267605633802824</v>
          </cell>
          <cell r="BX145">
            <v>0.85106382978723394</v>
          </cell>
          <cell r="BY145">
            <v>0.375</v>
          </cell>
          <cell r="BZ145">
            <v>33.25</v>
          </cell>
          <cell r="CA145">
            <v>1.4918032786885247</v>
          </cell>
          <cell r="CB145">
            <v>1.5063291139240507</v>
          </cell>
          <cell r="CC145">
            <v>1.2668613758586416</v>
          </cell>
          <cell r="CD145">
            <v>1.9619780939381051</v>
          </cell>
          <cell r="CE145">
            <v>0.44466269661514191</v>
          </cell>
          <cell r="CF145">
            <v>0.54813652120071943</v>
          </cell>
          <cell r="CG145">
            <v>0.32544021850181903</v>
          </cell>
          <cell r="CH145">
            <v>0.19342666621028926</v>
          </cell>
          <cell r="CI145">
            <v>0.36073313121534101</v>
          </cell>
          <cell r="CN145">
            <v>-3.8415499390755947E-2</v>
          </cell>
          <cell r="CS145">
            <v>-2.1425263408202166E-2</v>
          </cell>
        </row>
        <row r="146">
          <cell r="A146" t="str">
            <v>Basic Earnings Per Share</v>
          </cell>
          <cell r="M146">
            <v>0.84148931879349309</v>
          </cell>
          <cell r="N146">
            <v>0.12791236687142932</v>
          </cell>
          <cell r="O146">
            <v>8.8701914033190485E-2</v>
          </cell>
          <cell r="P146">
            <v>0.10834916735443427</v>
          </cell>
          <cell r="Q146">
            <v>0.5403822328128125</v>
          </cell>
          <cell r="R146">
            <v>0.1231843560551624</v>
          </cell>
          <cell r="S146">
            <v>0.18863186120152062</v>
          </cell>
          <cell r="T146">
            <v>0.19574777835067159</v>
          </cell>
          <cell r="U146">
            <v>0.12813450844612334</v>
          </cell>
          <cell r="V146">
            <v>0.63530002527881724</v>
          </cell>
          <cell r="W146">
            <v>9.9051083707390408E-2</v>
          </cell>
          <cell r="X146">
            <v>0.1388921252605281</v>
          </cell>
          <cell r="Y146">
            <v>5.4259670821657197E-2</v>
          </cell>
          <cell r="Z146">
            <v>5.7260657824284751E-3</v>
          </cell>
          <cell r="AA146">
            <v>0.29700776005220597</v>
          </cell>
          <cell r="AB146">
            <v>4.4521270137455729E-2</v>
          </cell>
          <cell r="AC146">
            <v>8.2972262105945674E-2</v>
          </cell>
          <cell r="AD146">
            <v>1.6995535982637471E-2</v>
          </cell>
          <cell r="AE146">
            <v>-0.19100828498436118</v>
          </cell>
          <cell r="AF146">
            <v>-5.8092538655511304E-2</v>
          </cell>
          <cell r="AG146">
            <v>-0.18239959364141176</v>
          </cell>
          <cell r="AH146">
            <v>8.0104822882514845E-2</v>
          </cell>
          <cell r="AI146">
            <v>-2.7339678417032619E-2</v>
          </cell>
          <cell r="AJ146">
            <v>9.0486477926954786E-2</v>
          </cell>
          <cell r="AK146">
            <v>-3.6571428571428054E-2</v>
          </cell>
          <cell r="AL146">
            <v>-0.12345401898947274</v>
          </cell>
          <cell r="AM146">
            <v>0.11698251946923359</v>
          </cell>
          <cell r="AN146">
            <v>0.12766855024034993</v>
          </cell>
          <cell r="AO146">
            <v>-2.208041687827066E-2</v>
          </cell>
          <cell r="AP146">
            <v>0.1002227171492205</v>
          </cell>
          <cell r="AQ146">
            <v>-3.6377882247593252E-2</v>
          </cell>
          <cell r="AR146">
            <v>-3.107202940301754E-2</v>
          </cell>
          <cell r="AS146">
            <v>-1.7704833862265245E-2</v>
          </cell>
          <cell r="AT146">
            <v>-1.614543810646302E-2</v>
          </cell>
          <cell r="AU146">
            <v>-0.1007681360546631</v>
          </cell>
          <cell r="AV146">
            <v>9.2882803996824789E-2</v>
          </cell>
          <cell r="AW146">
            <v>6.633038090320531E-2</v>
          </cell>
          <cell r="AX146">
            <v>4.7907488986784146E-2</v>
          </cell>
          <cell r="AY146">
            <v>4.0275336848271823E-2</v>
          </cell>
          <cell r="AZ146">
            <v>0.24358314842256398</v>
          </cell>
          <cell r="BA146">
            <v>-5.4733938325798297E-3</v>
          </cell>
          <cell r="BB146">
            <v>0.10900014170018421</v>
          </cell>
          <cell r="BC146">
            <v>0.21325132103390607</v>
          </cell>
          <cell r="BD146">
            <v>3.2921512942495963E-2</v>
          </cell>
          <cell r="BE146">
            <v>0.35016345804576693</v>
          </cell>
          <cell r="BF146">
            <v>1.0820129769423033E-2</v>
          </cell>
          <cell r="BG146">
            <v>8.9779823959721172E-2</v>
          </cell>
          <cell r="BH146">
            <v>0.13436092569303365</v>
          </cell>
          <cell r="BI146">
            <v>8.2171030067451703E-2</v>
          </cell>
          <cell r="BJ146">
            <v>0.31756768273373748</v>
          </cell>
          <cell r="BK146">
            <v>0.10668335668513473</v>
          </cell>
          <cell r="BL146">
            <v>0.18407470601145509</v>
          </cell>
          <cell r="BM146">
            <v>0.15907805429864252</v>
          </cell>
          <cell r="BN146">
            <v>3.537606526176519E-3</v>
          </cell>
          <cell r="BO146">
            <v>0.45309734513274336</v>
          </cell>
          <cell r="BP146">
            <v>5.0041462926424758E-2</v>
          </cell>
          <cell r="BQ146">
            <v>0.12828690653942507</v>
          </cell>
          <cell r="BR146">
            <v>0.25272749924359728</v>
          </cell>
          <cell r="BS146">
            <v>0.16228889495074358</v>
          </cell>
          <cell r="BT146">
            <v>0.59415394953228062</v>
          </cell>
          <cell r="BU146">
            <v>1.3567324455780697E-2</v>
          </cell>
          <cell r="BV146">
            <v>0.20782866740939862</v>
          </cell>
          <cell r="BW146">
            <v>0.27190093169091401</v>
          </cell>
          <cell r="BX146">
            <v>0.28996617061342839</v>
          </cell>
          <cell r="BY146">
            <v>0.77568838146406982</v>
          </cell>
          <cell r="BZ146">
            <v>0.44170892993593608</v>
          </cell>
          <cell r="CA146">
            <v>0.47957847576077872</v>
          </cell>
          <cell r="CB146">
            <v>0.63101133908254781</v>
          </cell>
          <cell r="CC146">
            <v>0.62851578388722684</v>
          </cell>
          <cell r="CD146">
            <v>2.167301044344955</v>
          </cell>
          <cell r="CE146">
            <v>0.61626802291799476</v>
          </cell>
          <cell r="CF146">
            <v>0.71626736884842068</v>
          </cell>
          <cell r="CG146">
            <v>0.78127923283337408</v>
          </cell>
          <cell r="CH146">
            <v>0.6856285935936367</v>
          </cell>
          <cell r="CI146">
            <v>2.8174811886462523</v>
          </cell>
          <cell r="CN146">
            <v>2.5934832577917328</v>
          </cell>
          <cell r="CS146">
            <v>2.5379171958487827</v>
          </cell>
        </row>
        <row r="147">
          <cell r="A147" t="str">
            <v>YoY % Chg.</v>
          </cell>
          <cell r="R147">
            <v>-0.85361150367091865</v>
          </cell>
          <cell r="S147">
            <v>0.47469604241725349</v>
          </cell>
          <cell r="T147">
            <v>1.2068044470542842</v>
          </cell>
          <cell r="U147">
            <v>0.18260722786144545</v>
          </cell>
          <cell r="V147">
            <v>0.17564935836608853</v>
          </cell>
          <cell r="W147">
            <v>-0.19591182777271676</v>
          </cell>
          <cell r="X147">
            <v>-0.26368682164384827</v>
          </cell>
          <cell r="Y147">
            <v>-0.72280824191805682</v>
          </cell>
          <cell r="Z147">
            <v>-0.95531207126114581</v>
          </cell>
          <cell r="AA147">
            <v>-0.53249213248203997</v>
          </cell>
          <cell r="AB147">
            <v>-0.55052212988423976</v>
          </cell>
          <cell r="AC147">
            <v>-0.40261363306011955</v>
          </cell>
          <cell r="AD147">
            <v>-0.68677406764042004</v>
          </cell>
          <cell r="AE147">
            <v>-34.357682611769242</v>
          </cell>
          <cell r="AF147">
            <v>-1.1955926627819429</v>
          </cell>
          <cell r="AG147">
            <v>-5.0969090297349586</v>
          </cell>
          <cell r="AH147">
            <v>-3.4559009850417821E-2</v>
          </cell>
          <cell r="AI147">
            <v>-2.6086387887362106</v>
          </cell>
          <cell r="AJ147">
            <v>-1.473730644376831</v>
          </cell>
          <cell r="AK147">
            <v>-0.37046255133905248</v>
          </cell>
          <cell r="AL147">
            <v>-0.323167247662969</v>
          </cell>
          <cell r="AM147">
            <v>0.460367993582673</v>
          </cell>
          <cell r="AN147">
            <v>-5.6697166035724988</v>
          </cell>
          <cell r="AO147">
            <v>-1.2440189670780983</v>
          </cell>
          <cell r="AP147">
            <v>-3.7404649220490369</v>
          </cell>
          <cell r="AQ147">
            <v>-0.70533253963408593</v>
          </cell>
          <cell r="AR147">
            <v>-1.2656125850596807</v>
          </cell>
          <cell r="AS147">
            <v>-1.1386781147661971</v>
          </cell>
          <cell r="AT147">
            <v>-0.26878925359639616</v>
          </cell>
          <cell r="AU147">
            <v>-2.0054420686343049</v>
          </cell>
          <cell r="AV147">
            <v>-3.5532768335619616</v>
          </cell>
          <cell r="AW147">
            <v>-3.1347296001452571</v>
          </cell>
          <cell r="AX147">
            <v>-3.7058988160792956</v>
          </cell>
          <cell r="AY147">
            <v>-3.4945335383714116</v>
          </cell>
          <cell r="AZ147">
            <v>-3.417263610894111</v>
          </cell>
          <cell r="BA147">
            <v>-1.0589279564898464</v>
          </cell>
          <cell r="BB147">
            <v>0.64329135783565139</v>
          </cell>
          <cell r="BC147">
            <v>3.4513149310065909</v>
          </cell>
          <cell r="BD147">
            <v>-0.18258876228595478</v>
          </cell>
          <cell r="BE147">
            <v>0.43755206513017564</v>
          </cell>
          <cell r="BF147">
            <v>-2.976859349133127</v>
          </cell>
          <cell r="BG147">
            <v>-0.17633296104633001</v>
          </cell>
          <cell r="BH147">
            <v>-0.3699409455396957</v>
          </cell>
          <cell r="BI147">
            <v>1.4959676127576493</v>
          </cell>
          <cell r="BJ147">
            <v>-9.3087312690889434E-2</v>
          </cell>
          <cell r="BK147">
            <v>8.8597113859590486</v>
          </cell>
          <cell r="BL147">
            <v>1.0502903424497512</v>
          </cell>
          <cell r="BM147">
            <v>0.18396069004524884</v>
          </cell>
          <cell r="BN147">
            <v>-0.95694825143030815</v>
          </cell>
          <cell r="BO147">
            <v>0.42677410129493509</v>
          </cell>
          <cell r="BP147">
            <v>-0.53093467921039328</v>
          </cell>
          <cell r="BQ147">
            <v>-0.30307151200099325</v>
          </cell>
          <cell r="BR147">
            <v>0.58870122191175112</v>
          </cell>
          <cell r="BS147">
            <v>44.875337957991349</v>
          </cell>
          <cell r="BT147">
            <v>0.3113163339286662</v>
          </cell>
          <cell r="BU147">
            <v>-0.72887834083251046</v>
          </cell>
          <cell r="BV147">
            <v>0.62003023547480129</v>
          </cell>
          <cell r="BW147">
            <v>7.5866031613900375E-2</v>
          </cell>
          <cell r="BX147">
            <v>0.78672835686900333</v>
          </cell>
          <cell r="BY147">
            <v>0.30553433512424433</v>
          </cell>
          <cell r="BZ147">
            <v>31.556819244323073</v>
          </cell>
          <cell r="CA147">
            <v>1.3075665245741299</v>
          </cell>
          <cell r="CB147">
            <v>1.3207398928660385</v>
          </cell>
          <cell r="CC147">
            <v>1.1675486576851051</v>
          </cell>
          <cell r="CD147">
            <v>1.7940357186403793</v>
          </cell>
          <cell r="CE147">
            <v>0.39519031912571045</v>
          </cell>
          <cell r="CF147">
            <v>0.49353527118199136</v>
          </cell>
          <cell r="CG147">
            <v>0.23813818301475642</v>
          </cell>
          <cell r="CH147">
            <v>9.0869332434549532E-2</v>
          </cell>
          <cell r="CI147">
            <v>0.299995307988147</v>
          </cell>
          <cell r="CN147">
            <v>-7.9502902009488285E-2</v>
          </cell>
          <cell r="CS147">
            <v>-2.1425263408202166E-2</v>
          </cell>
          <cell r="DE147" t="str">
            <v>mstag:adjustmentToNetIncomeForDilutiveItems</v>
          </cell>
          <cell r="DF147">
            <v>6</v>
          </cell>
          <cell r="DG147" t="str">
            <v>ISO4217:USD</v>
          </cell>
          <cell r="DH147" t="b">
            <v>0</v>
          </cell>
        </row>
        <row r="148">
          <cell r="A148" t="str">
            <v>Interest Add-back on Convertible Debt</v>
          </cell>
          <cell r="M148">
            <v>0.10060716139638333</v>
          </cell>
          <cell r="N148">
            <v>9.7480671505139241E-2</v>
          </cell>
          <cell r="O148">
            <v>7.9313648263610925E-2</v>
          </cell>
          <cell r="P148">
            <v>9.882684681425849E-2</v>
          </cell>
          <cell r="Q148">
            <v>0.37508248762401797</v>
          </cell>
          <cell r="R148">
            <v>0.1125850687603674</v>
          </cell>
          <cell r="S148">
            <v>0.17089522421359821</v>
          </cell>
          <cell r="T148">
            <v>0.17475123536180848</v>
          </cell>
          <cell r="U148">
            <v>0.11622546789078153</v>
          </cell>
          <cell r="V148">
            <v>0.57478970227268888</v>
          </cell>
          <cell r="W148">
            <v>9.1884160520593838E-2</v>
          </cell>
          <cell r="X148">
            <v>0.12834845127119293</v>
          </cell>
          <cell r="Y148">
            <v>5.0672129125795717E-2</v>
          </cell>
          <cell r="Z148">
            <v>5.376052785252633E-3</v>
          </cell>
          <cell r="AA148">
            <v>0.27648741229507806</v>
          </cell>
          <cell r="AB148">
            <v>4.2213497170417433E-2</v>
          </cell>
          <cell r="AC148">
            <v>7.2194183558963509E-2</v>
          </cell>
          <cell r="AD148">
            <v>1.6157460042468978E-2</v>
          </cell>
          <cell r="AE148">
            <v>-0.19100828498436118</v>
          </cell>
          <cell r="AF148">
            <v>-5.4396679305403012E-2</v>
          </cell>
          <cell r="AG148">
            <v>-0.18239959364141176</v>
          </cell>
          <cell r="AH148">
            <v>7.74160726826328E-2</v>
          </cell>
          <cell r="AI148">
            <v>-2.7339678417032619E-2</v>
          </cell>
          <cell r="AJ148">
            <v>8.1134256911624514E-2</v>
          </cell>
          <cell r="AK148">
            <v>-3.6249943359462987E-2</v>
          </cell>
          <cell r="AL148">
            <v>-0.12345401898947274</v>
          </cell>
          <cell r="AM148">
            <v>0.10574816829065639</v>
          </cell>
          <cell r="AN148">
            <v>0.1157081337787258</v>
          </cell>
          <cell r="AO148">
            <v>-2.208041687827066E-2</v>
          </cell>
          <cell r="AP148">
            <v>9.514735285527956E-2</v>
          </cell>
          <cell r="AQ148">
            <v>-3.6377882247593252E-2</v>
          </cell>
          <cell r="AR148">
            <v>-3.107202940301754E-2</v>
          </cell>
          <cell r="AS148">
            <v>-1.7704833862265245E-2</v>
          </cell>
          <cell r="AT148">
            <v>-1.614543810646302E-2</v>
          </cell>
          <cell r="AU148">
            <v>-0.1007681360546631</v>
          </cell>
          <cell r="AV148">
            <v>8.2679545735993648E-2</v>
          </cell>
          <cell r="AW148">
            <v>5.1660881885281916E-2</v>
          </cell>
          <cell r="AX148">
            <v>3.7917418477550278E-2</v>
          </cell>
          <cell r="AY148">
            <v>3.6240001054254581E-2</v>
          </cell>
          <cell r="AZ148">
            <v>0.19107819901645171</v>
          </cell>
          <cell r="BA148">
            <v>-5.4733938325798297E-3</v>
          </cell>
          <cell r="BB148">
            <v>3</v>
          </cell>
          <cell r="BC148">
            <v>3</v>
          </cell>
          <cell r="BD148">
            <v>0</v>
          </cell>
          <cell r="BE148">
            <v>12</v>
          </cell>
          <cell r="BF148">
            <v>0</v>
          </cell>
          <cell r="BG148">
            <v>2.908719999999998</v>
          </cell>
          <cell r="BH148">
            <v>3</v>
          </cell>
          <cell r="BI148">
            <v>3</v>
          </cell>
          <cell r="BJ148">
            <v>8.9087199999999989</v>
          </cell>
          <cell r="BK148">
            <v>0</v>
          </cell>
          <cell r="BL148">
            <v>3</v>
          </cell>
          <cell r="BM148">
            <v>3</v>
          </cell>
          <cell r="BN148">
            <v>0</v>
          </cell>
          <cell r="BO148">
            <v>6</v>
          </cell>
          <cell r="BP148">
            <v>1</v>
          </cell>
          <cell r="BQ148">
            <v>3</v>
          </cell>
          <cell r="BR148">
            <v>2.6</v>
          </cell>
          <cell r="BS148">
            <v>2.6</v>
          </cell>
          <cell r="BT148">
            <v>9.1999999999999993</v>
          </cell>
          <cell r="BU148">
            <v>0</v>
          </cell>
          <cell r="BV148">
            <v>3</v>
          </cell>
          <cell r="BW148">
            <v>2</v>
          </cell>
          <cell r="BX148">
            <v>2</v>
          </cell>
          <cell r="BY148">
            <v>7</v>
          </cell>
          <cell r="BZ148">
            <v>1</v>
          </cell>
          <cell r="CA148">
            <v>1</v>
          </cell>
          <cell r="CB148">
            <v>1</v>
          </cell>
          <cell r="CC148">
            <v>1</v>
          </cell>
          <cell r="CD148">
            <v>4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1</v>
          </cell>
          <cell r="CN148">
            <v>5</v>
          </cell>
          <cell r="CS148">
            <v>5</v>
          </cell>
          <cell r="DE148" t="str">
            <v>mstag:adjEpsForConsensus</v>
          </cell>
          <cell r="DF148">
            <v>0</v>
          </cell>
          <cell r="DG148" t="str">
            <v>ISO4217:USD</v>
          </cell>
          <cell r="DH148" t="b">
            <v>0</v>
          </cell>
          <cell r="DI148" t="b">
            <v>0</v>
          </cell>
          <cell r="DJ148" t="str">
            <v>mstag:adjustmentToNetIncomeForDilutiveItems</v>
          </cell>
          <cell r="DK148">
            <v>6</v>
          </cell>
          <cell r="DL148" t="str">
            <v>ISO4217:USD</v>
          </cell>
          <cell r="DM148" t="b">
            <v>0</v>
          </cell>
        </row>
        <row r="149">
          <cell r="A149" t="str">
            <v>Diluted Earnings Per Share</v>
          </cell>
          <cell r="M149">
            <v>0.10060716139638333</v>
          </cell>
          <cell r="N149">
            <v>9.7480671505139241E-2</v>
          </cell>
          <cell r="O149">
            <v>7.9313648263610925E-2</v>
          </cell>
          <cell r="P149">
            <v>9.882684681425849E-2</v>
          </cell>
          <cell r="Q149">
            <v>0.37508248762401797</v>
          </cell>
          <cell r="R149">
            <v>0.1125850687603674</v>
          </cell>
          <cell r="S149">
            <v>0.17089522421359821</v>
          </cell>
          <cell r="T149">
            <v>0.17475123536180848</v>
          </cell>
          <cell r="U149">
            <v>0.11622546789078153</v>
          </cell>
          <cell r="V149">
            <v>0.57478970227268888</v>
          </cell>
          <cell r="W149">
            <v>9.1884160520593838E-2</v>
          </cell>
          <cell r="X149">
            <v>0.12834845127119293</v>
          </cell>
          <cell r="Y149">
            <v>5.0672129125795717E-2</v>
          </cell>
          <cell r="Z149">
            <v>5.376052785252633E-3</v>
          </cell>
          <cell r="AA149">
            <v>0.27648741229507806</v>
          </cell>
          <cell r="AB149">
            <v>4.2213497170417433E-2</v>
          </cell>
          <cell r="AC149">
            <v>7.2194183558963509E-2</v>
          </cell>
          <cell r="AD149">
            <v>1.6157460042468978E-2</v>
          </cell>
          <cell r="AE149">
            <v>-0.19100828498436118</v>
          </cell>
          <cell r="AF149">
            <v>-5.4396679305403012E-2</v>
          </cell>
          <cell r="AG149">
            <v>-0.18239959364141176</v>
          </cell>
          <cell r="AH149">
            <v>7.74160726826328E-2</v>
          </cell>
          <cell r="AI149">
            <v>-2.7339678417032619E-2</v>
          </cell>
          <cell r="AJ149">
            <v>8.1134256911624514E-2</v>
          </cell>
          <cell r="AK149">
            <v>-3.6249943359462987E-2</v>
          </cell>
          <cell r="AL149">
            <v>-0.12345401898947274</v>
          </cell>
          <cell r="AM149">
            <v>0.10574816829065639</v>
          </cell>
          <cell r="AN149">
            <v>0.1157081337787258</v>
          </cell>
          <cell r="AO149">
            <v>-2.208041687827066E-2</v>
          </cell>
          <cell r="AP149">
            <v>9.514735285527956E-2</v>
          </cell>
          <cell r="AQ149">
            <v>-3.6377882247593252E-2</v>
          </cell>
          <cell r="AR149">
            <v>-3.107202940301754E-2</v>
          </cell>
          <cell r="AS149">
            <v>-1.7704833862265245E-2</v>
          </cell>
          <cell r="AT149">
            <v>-1.614543810646302E-2</v>
          </cell>
          <cell r="AU149">
            <v>-0.1007681360546631</v>
          </cell>
          <cell r="AV149">
            <v>8.2679545735993648E-2</v>
          </cell>
          <cell r="AW149">
            <v>5.1660881885281916E-2</v>
          </cell>
          <cell r="AX149">
            <v>3.7917418477550278E-2</v>
          </cell>
          <cell r="AY149">
            <v>3.6240001054254581E-2</v>
          </cell>
          <cell r="AZ149">
            <v>0.19107819901645171</v>
          </cell>
          <cell r="BA149">
            <v>-5.4733938325798297E-3</v>
          </cell>
          <cell r="BB149">
            <v>9.5255414404350577E-2</v>
          </cell>
          <cell r="BC149">
            <v>0.17813186369741782</v>
          </cell>
          <cell r="BD149">
            <v>2.9673300225321508E-2</v>
          </cell>
          <cell r="BE149">
            <v>0.31275245239469024</v>
          </cell>
          <cell r="BF149">
            <v>1.0739523594733338E-2</v>
          </cell>
          <cell r="BG149">
            <v>0.08</v>
          </cell>
          <cell r="BH149">
            <v>0.11696649559715007</v>
          </cell>
          <cell r="BI149">
            <v>7.5830489689969957E-2</v>
          </cell>
          <cell r="BJ149">
            <v>0.28104073860357759</v>
          </cell>
          <cell r="BK149">
            <v>8.750820389411508E-2</v>
          </cell>
          <cell r="BL149">
            <v>0.15998324539102815</v>
          </cell>
          <cell r="BM149">
            <v>0.13921436692266642</v>
          </cell>
          <cell r="BN149">
            <v>3.5146790570819023E-3</v>
          </cell>
          <cell r="BO149">
            <v>0.3893888628973437</v>
          </cell>
          <cell r="BP149">
            <v>4.8566007679904682E-2</v>
          </cell>
          <cell r="BQ149">
            <v>0.11370494441577525</v>
          </cell>
          <cell r="BR149">
            <v>0.21411220526844024</v>
          </cell>
          <cell r="BS149">
            <v>0.143799376676089</v>
          </cell>
          <cell r="BT149">
            <v>0.51597874353934625</v>
          </cell>
          <cell r="BU149">
            <v>1.3458361511777747E-2</v>
          </cell>
          <cell r="BV149">
            <v>0.1861190114754003</v>
          </cell>
          <cell r="BW149">
            <v>0.23746144915979689</v>
          </cell>
          <cell r="BX149">
            <v>0.25970918407544991</v>
          </cell>
          <cell r="BY149">
            <v>0.67403001982441235</v>
          </cell>
          <cell r="BZ149">
            <v>0.39856171208248492</v>
          </cell>
          <cell r="CA149">
            <v>0.44005855942660083</v>
          </cell>
          <cell r="CB149">
            <v>0.57929837942006113</v>
          </cell>
          <cell r="CC149">
            <v>0.57621203401076104</v>
          </cell>
          <cell r="CD149">
            <v>1.9959946125099979</v>
          </cell>
          <cell r="CE149">
            <v>0.57825229487289076</v>
          </cell>
          <cell r="CF149">
            <v>0.68696730006543416</v>
          </cell>
          <cell r="CG149">
            <v>0.76580570716093066</v>
          </cell>
          <cell r="CH149">
            <v>0.68710451995933364</v>
          </cell>
          <cell r="CI149">
            <v>2.710792524726771</v>
          </cell>
          <cell r="CN149">
            <v>2.6072123388059838</v>
          </cell>
          <cell r="CS149">
            <v>2.5516623689748039</v>
          </cell>
          <cell r="DJ149" t="str">
            <v>mstag:adjEpsForConsensus</v>
          </cell>
          <cell r="DK149">
            <v>0</v>
          </cell>
          <cell r="DL149" t="str">
            <v>ISO4217:USD</v>
          </cell>
          <cell r="DM149" t="b">
            <v>0</v>
          </cell>
          <cell r="DN149" t="b">
            <v>0</v>
          </cell>
        </row>
        <row r="150">
          <cell r="A150" t="str">
            <v>YoY % Chg.</v>
          </cell>
          <cell r="M150">
            <v>15.454424565538002</v>
          </cell>
          <cell r="N150">
            <v>114.03449999999999</v>
          </cell>
          <cell r="O150">
            <v>136.97437500000001</v>
          </cell>
          <cell r="P150">
            <v>139.94549999999998</v>
          </cell>
          <cell r="Q150">
            <v>101.6021998913845</v>
          </cell>
          <cell r="R150">
            <v>0.11905621029095714</v>
          </cell>
          <cell r="S150">
            <v>0.75311907042606396</v>
          </cell>
          <cell r="T150">
            <v>1.2032933699001749</v>
          </cell>
          <cell r="U150">
            <v>0.17605156531223876</v>
          </cell>
          <cell r="V150">
            <v>0.53243545416830296</v>
          </cell>
          <cell r="W150">
            <v>-0.18386903758823103</v>
          </cell>
          <cell r="X150">
            <v>-0.2489640839186178</v>
          </cell>
          <cell r="Y150">
            <v>-0.71003278448428064</v>
          </cell>
          <cell r="Z150">
            <v>-0.95374462342191146</v>
          </cell>
          <cell r="AA150">
            <v>-0.51897639919111094</v>
          </cell>
          <cell r="AB150">
            <v>-0.54057917130389199</v>
          </cell>
          <cell r="AC150">
            <v>-0.43751418233772588</v>
          </cell>
          <cell r="AD150">
            <v>-0.68113713946462773</v>
          </cell>
          <cell r="AE150">
            <v>-36.529466062596569</v>
          </cell>
          <cell r="AF150">
            <v>-1.1967419740879515</v>
          </cell>
          <cell r="AG150">
            <v>-5.3208832688051864</v>
          </cell>
          <cell r="AH150">
            <v>7.2331161130236854E-2</v>
          </cell>
          <cell r="AI150">
            <v>-2.6920777365484305</v>
          </cell>
          <cell r="AJ150">
            <v>-1.4247682602786962</v>
          </cell>
          <cell r="AK150">
            <v>-0.33360006856406732</v>
          </cell>
          <cell r="AL150">
            <v>-0.323167247662969</v>
          </cell>
          <cell r="AM150">
            <v>0.3659717501321853</v>
          </cell>
          <cell r="AN150">
            <v>-5.2322419457077309</v>
          </cell>
          <cell r="AO150">
            <v>-1.2721466581289054</v>
          </cell>
          <cell r="AP150">
            <v>-3.6247586627039929</v>
          </cell>
          <cell r="AQ150">
            <v>-0.70533253963408593</v>
          </cell>
          <cell r="AR150">
            <v>-1.2938304266189637</v>
          </cell>
          <cell r="AS150">
            <v>-1.1530128719915493</v>
          </cell>
          <cell r="AT150">
            <v>-0.26878925359639616</v>
          </cell>
          <cell r="AU150">
            <v>-2.0590745094919543</v>
          </cell>
          <cell r="AV150">
            <v>-3.2727971126319124</v>
          </cell>
          <cell r="AW150">
            <v>-2.662616921965995</v>
          </cell>
          <cell r="AX150">
            <v>-3.1416421510943753</v>
          </cell>
          <cell r="AY150">
            <v>-3.2445969452973658</v>
          </cell>
          <cell r="AZ150">
            <v>-2.8962164678008793</v>
          </cell>
          <cell r="BA150">
            <v>-1.0662000956083755</v>
          </cell>
          <cell r="BB150">
            <v>0.84385962701671691</v>
          </cell>
          <cell r="BC150">
            <v>3.6978900687261751</v>
          </cell>
          <cell r="BD150">
            <v>-0.18120034872797397</v>
          </cell>
          <cell r="BE150">
            <v>0.63677726713219895</v>
          </cell>
          <cell r="BF150">
            <v>-2.9621324398049702</v>
          </cell>
          <cell r="BG150">
            <v>-0.16015272727272734</v>
          </cell>
          <cell r="BH150">
            <v>-0.34337129152909884</v>
          </cell>
          <cell r="BI150">
            <v>1.5555125016145164</v>
          </cell>
          <cell r="BJ150">
            <v>-0.10139557195571658</v>
          </cell>
          <cell r="BK150">
            <v>7.1482388973966309</v>
          </cell>
          <cell r="BL150">
            <v>0.99979056738785177</v>
          </cell>
          <cell r="BM150">
            <v>0.19020721456972867</v>
          </cell>
          <cell r="BN150">
            <v>-0.95365084583455106</v>
          </cell>
          <cell r="BO150">
            <v>0.3855246212065957</v>
          </cell>
          <cell r="BP150">
            <v>-0.44501194723788928</v>
          </cell>
          <cell r="BQ150">
            <v>-0.28926967234687806</v>
          </cell>
          <cell r="BR150">
            <v>0.53800365581075105</v>
          </cell>
          <cell r="BS150">
            <v>39.913942451257519</v>
          </cell>
          <cell r="BT150">
            <v>0.32509887339889332</v>
          </cell>
          <cell r="BU150">
            <v>-0.72288515867968983</v>
          </cell>
          <cell r="BV150">
            <v>0.63685943853799931</v>
          </cell>
          <cell r="BW150">
            <v>0.10905143806296724</v>
          </cell>
          <cell r="BX150">
            <v>0.80605222413759203</v>
          </cell>
          <cell r="BY150">
            <v>0.30631354152482415</v>
          </cell>
          <cell r="BZ150">
            <v>28.6144305332929</v>
          </cell>
          <cell r="CA150">
            <v>1.3643933843091798</v>
          </cell>
          <cell r="CB150">
            <v>1.4395470568792375</v>
          </cell>
          <cell r="CC150">
            <v>1.1479979694203419</v>
          </cell>
          <cell r="CD150">
            <v>1.9482558815449518</v>
          </cell>
          <cell r="CE150">
            <v>0.46206537653574387</v>
          </cell>
          <cell r="CF150">
            <v>0.12544536896184977</v>
          </cell>
          <cell r="CG150">
            <v>-6.2969143528313065E-2</v>
          </cell>
          <cell r="CH150">
            <v>-8.9006707733020329E-3</v>
          </cell>
          <cell r="CI150">
            <v>9.5162569871204417E-2</v>
          </cell>
          <cell r="CN150">
            <v>-3.8210296426587465E-2</v>
          </cell>
          <cell r="CS150">
            <v>-2.1306269920700061E-2</v>
          </cell>
          <cell r="CU150" t="str">
            <v>convertible debt to be exchanged in 4Q15 (5.5% debentures) and 4Q16 (6.75% debentures)</v>
          </cell>
          <cell r="DE150" t="str">
            <v>mstag:averageBasicSharesOutstanding</v>
          </cell>
          <cell r="DF150">
            <v>6</v>
          </cell>
          <cell r="DG150" t="str">
            <v>ms_eqr_gcim_Decimal:ms_eqr_gcim_decimal</v>
          </cell>
          <cell r="DH150" t="b">
            <v>0</v>
          </cell>
          <cell r="DI150" t="b">
            <v>0</v>
          </cell>
        </row>
        <row r="151">
          <cell r="A151" t="str">
            <v>Basic Shares Outstanding</v>
          </cell>
          <cell r="M151">
            <v>15.454424565538002</v>
          </cell>
          <cell r="N151">
            <v>114.03449999999999</v>
          </cell>
          <cell r="O151">
            <v>136.97437500000001</v>
          </cell>
          <cell r="P151">
            <v>139.94549999999998</v>
          </cell>
          <cell r="Q151">
            <v>101.6021998913845</v>
          </cell>
          <cell r="R151">
            <v>140.91075000000001</v>
          </cell>
          <cell r="S151">
            <v>141.71625</v>
          </cell>
          <cell r="T151">
            <v>148.36949999999996</v>
          </cell>
          <cell r="U151">
            <v>152.49600000000001</v>
          </cell>
          <cell r="V151">
            <v>145.87312499999999</v>
          </cell>
          <cell r="W151">
            <v>153.38550000000001</v>
          </cell>
          <cell r="X151">
            <v>154.494</v>
          </cell>
          <cell r="Y151">
            <v>155.23500000000001</v>
          </cell>
          <cell r="Z151">
            <v>155.95349999999999</v>
          </cell>
          <cell r="AA151">
            <v>154.767</v>
          </cell>
          <cell r="AB151">
            <v>156.48699999999999</v>
          </cell>
          <cell r="AC151">
            <v>157.40199999999999</v>
          </cell>
          <cell r="AD151">
            <v>158.04150000000001</v>
          </cell>
          <cell r="AE151">
            <v>167.53200000000001</v>
          </cell>
          <cell r="AF151">
            <v>159.86562500000002</v>
          </cell>
          <cell r="AG151">
            <v>173.24600000000001</v>
          </cell>
          <cell r="AH151">
            <v>174.77099999999999</v>
          </cell>
          <cell r="AI151">
            <v>175.56899999999999</v>
          </cell>
          <cell r="AJ151">
            <v>176.822</v>
          </cell>
          <cell r="AK151">
            <v>175</v>
          </cell>
          <cell r="AL151">
            <v>178.20400000000001</v>
          </cell>
          <cell r="AM151">
            <v>179.51400000000001</v>
          </cell>
          <cell r="AN151">
            <v>180.154</v>
          </cell>
          <cell r="AO151">
            <v>181.15600000000001</v>
          </cell>
          <cell r="AP151">
            <v>179.6</v>
          </cell>
          <cell r="AQ151">
            <v>214.416</v>
          </cell>
          <cell r="AR151">
            <v>225.28299999999999</v>
          </cell>
          <cell r="AS151">
            <v>225.92699999999999</v>
          </cell>
          <cell r="AT151">
            <v>247.74799999999999</v>
          </cell>
          <cell r="AU151">
            <v>226.262</v>
          </cell>
          <cell r="AV151">
            <v>244.39400000000001</v>
          </cell>
          <cell r="AW151">
            <v>251.77</v>
          </cell>
          <cell r="AX151">
            <v>272.39999999999998</v>
          </cell>
          <cell r="AY151">
            <v>273.12</v>
          </cell>
          <cell r="AZ151">
            <v>260.48599999999999</v>
          </cell>
          <cell r="BA151">
            <v>274.053</v>
          </cell>
          <cell r="BB151">
            <v>275.22899999999998</v>
          </cell>
          <cell r="BC151">
            <v>275.73099999999999</v>
          </cell>
          <cell r="BD151">
            <v>276.41500000000002</v>
          </cell>
          <cell r="BE151">
            <v>275.3</v>
          </cell>
          <cell r="BF151">
            <v>277.26100000000002</v>
          </cell>
          <cell r="BG151">
            <v>278.459</v>
          </cell>
          <cell r="BH151">
            <v>279.09899999999999</v>
          </cell>
          <cell r="BI151">
            <v>279.904</v>
          </cell>
          <cell r="BJ151">
            <v>278.68074999999999</v>
          </cell>
          <cell r="BK151">
            <v>281.20600000000002</v>
          </cell>
          <cell r="BL151">
            <v>282.49400000000003</v>
          </cell>
          <cell r="BM151">
            <v>282.88</v>
          </cell>
          <cell r="BN151">
            <v>282.67700000000002</v>
          </cell>
          <cell r="BO151">
            <v>282.5</v>
          </cell>
          <cell r="BP151">
            <v>279.76799999999997</v>
          </cell>
          <cell r="BQ151">
            <v>280.62099999999998</v>
          </cell>
          <cell r="BR151">
            <v>280.935</v>
          </cell>
          <cell r="BS151">
            <v>289.60700000000003</v>
          </cell>
          <cell r="BT151">
            <v>282.755</v>
          </cell>
          <cell r="BU151">
            <v>294.82600000000002</v>
          </cell>
          <cell r="BV151">
            <v>293.51100000000002</v>
          </cell>
          <cell r="BW151">
            <v>290.54700000000003</v>
          </cell>
          <cell r="BX151">
            <v>300.03500000000003</v>
          </cell>
          <cell r="BY151">
            <v>297.8</v>
          </cell>
          <cell r="BZ151">
            <v>310.15899999999999</v>
          </cell>
          <cell r="CA151">
            <v>316.94499999999999</v>
          </cell>
          <cell r="CB151">
            <v>313.78199999999998</v>
          </cell>
          <cell r="CC151">
            <v>313.78199999999998</v>
          </cell>
          <cell r="CD151">
            <v>315.7</v>
          </cell>
          <cell r="CE151">
            <v>321.15699999999998</v>
          </cell>
          <cell r="CF151">
            <v>328.53199999999998</v>
          </cell>
          <cell r="CG151">
            <v>335.90699999999998</v>
          </cell>
          <cell r="CH151">
            <v>343.28199999999998</v>
          </cell>
          <cell r="CI151">
            <v>330.45</v>
          </cell>
          <cell r="CN151">
            <v>345.2</v>
          </cell>
          <cell r="CS151">
            <v>345.2</v>
          </cell>
          <cell r="CU151" t="str">
            <v>Assume ~8M shares repurchased under $150M ASR in 3Q, balance carries forward</v>
          </cell>
          <cell r="DE151" t="str">
            <v>mstag:averageDilutedSharesOutstanding</v>
          </cell>
          <cell r="DF151">
            <v>6</v>
          </cell>
          <cell r="DG151" t="str">
            <v>ms_eqr_gcim_Decimal:ms_eqr_gcim_decimal</v>
          </cell>
          <cell r="DH151" t="b">
            <v>0</v>
          </cell>
          <cell r="DI151" t="b">
            <v>0</v>
          </cell>
          <cell r="DJ151" t="str">
            <v>mstag:averageBasicSharesOutstanding</v>
          </cell>
          <cell r="DK151">
            <v>6</v>
          </cell>
          <cell r="DL151" t="str">
            <v>ms_eqr_gcim_Decimal:ms_eqr_gcim_decimal</v>
          </cell>
          <cell r="DM151" t="b">
            <v>0</v>
          </cell>
          <cell r="DN151" t="b">
            <v>0</v>
          </cell>
        </row>
        <row r="152">
          <cell r="A152" t="str">
            <v>Diluted Shares Outstanding</v>
          </cell>
          <cell r="M152">
            <v>129.26249999999999</v>
          </cell>
          <cell r="N152">
            <v>149.63399999999999</v>
          </cell>
          <cell r="O152">
            <v>153.18787499999999</v>
          </cell>
          <cell r="P152">
            <v>153.42975000000001</v>
          </cell>
          <cell r="Q152">
            <v>146.37853124999998</v>
          </cell>
          <cell r="R152">
            <v>154.17675</v>
          </cell>
          <cell r="S152">
            <v>156.42450000000002</v>
          </cell>
          <cell r="T152">
            <v>166.19624999999999</v>
          </cell>
          <cell r="U152">
            <v>168.1215</v>
          </cell>
          <cell r="V152">
            <v>161.22975</v>
          </cell>
          <cell r="W152">
            <v>165.34950000000001</v>
          </cell>
          <cell r="X152">
            <v>167.18549999999999</v>
          </cell>
          <cell r="Y152">
            <v>166.22549999999998</v>
          </cell>
          <cell r="Z152">
            <v>166.107</v>
          </cell>
          <cell r="AA152">
            <v>166.2535</v>
          </cell>
          <cell r="AB152">
            <v>165.042</v>
          </cell>
          <cell r="AC152">
            <v>180.90100000000001</v>
          </cell>
          <cell r="AD152">
            <v>166.23899999999998</v>
          </cell>
          <cell r="AE152">
            <v>167.53200000000001</v>
          </cell>
          <cell r="AF152">
            <v>170.72733333333335</v>
          </cell>
          <cell r="AG152">
            <v>173.24600000000001</v>
          </cell>
          <cell r="AH152">
            <v>180.84100000000001</v>
          </cell>
          <cell r="AI152">
            <v>175.56899999999999</v>
          </cell>
          <cell r="AJ152">
            <v>197.20400000000001</v>
          </cell>
          <cell r="AK152">
            <v>176.55199999999999</v>
          </cell>
          <cell r="AL152">
            <v>178.20400000000001</v>
          </cell>
          <cell r="AM152">
            <v>198.58500000000001</v>
          </cell>
          <cell r="AN152">
            <v>198.77600000000001</v>
          </cell>
          <cell r="AO152">
            <v>181.15600000000001</v>
          </cell>
          <cell r="AP152">
            <v>189.18025</v>
          </cell>
          <cell r="AQ152">
            <v>214.416</v>
          </cell>
          <cell r="AR152">
            <v>225.28299999999999</v>
          </cell>
          <cell r="AS152">
            <v>225.92699999999999</v>
          </cell>
          <cell r="AT152">
            <v>247.74799999999999</v>
          </cell>
          <cell r="AU152">
            <v>226.262</v>
          </cell>
          <cell r="AV152">
            <v>274.55399999999997</v>
          </cell>
          <cell r="AW152">
            <v>323.262</v>
          </cell>
          <cell r="AX152">
            <v>344.16899999999998</v>
          </cell>
          <cell r="AY152">
            <v>303.53199999999998</v>
          </cell>
          <cell r="AZ152">
            <v>332.06299999999999</v>
          </cell>
          <cell r="BA152">
            <v>274.053</v>
          </cell>
          <cell r="BB152">
            <v>346.43700000000001</v>
          </cell>
          <cell r="BC152">
            <v>346.93400000000003</v>
          </cell>
          <cell r="BD152">
            <v>306.673</v>
          </cell>
          <cell r="BE152">
            <v>346.6</v>
          </cell>
          <cell r="BF152">
            <v>279.34199999999998</v>
          </cell>
          <cell r="BG152">
            <v>348.85899999999998</v>
          </cell>
          <cell r="BH152">
            <v>346.25299999999999</v>
          </cell>
          <cell r="BI152">
            <v>342.87</v>
          </cell>
          <cell r="BJ152">
            <v>346.6</v>
          </cell>
          <cell r="BK152">
            <v>342.82499999999999</v>
          </cell>
          <cell r="BL152">
            <v>343.786</v>
          </cell>
          <cell r="BM152">
            <v>344.79199999999997</v>
          </cell>
          <cell r="BN152">
            <v>284.52100000000002</v>
          </cell>
          <cell r="BO152">
            <v>344.12900000000002</v>
          </cell>
          <cell r="BP152">
            <v>308.858</v>
          </cell>
          <cell r="BQ152">
            <v>342.99299999999999</v>
          </cell>
          <cell r="BR152">
            <v>343.745</v>
          </cell>
          <cell r="BS152">
            <v>344.92500000000001</v>
          </cell>
          <cell r="BT152">
            <v>343.42500000000001</v>
          </cell>
          <cell r="BU152">
            <v>297.21300000000002</v>
          </cell>
          <cell r="BV152">
            <v>343.86599999999999</v>
          </cell>
          <cell r="BW152">
            <v>341.108</v>
          </cell>
          <cell r="BX152">
            <v>342.69099999999997</v>
          </cell>
          <cell r="BY152">
            <v>353.1</v>
          </cell>
          <cell r="BZ152">
            <v>346.245</v>
          </cell>
          <cell r="CA152">
            <v>347.68099999999998</v>
          </cell>
          <cell r="CB152">
            <v>343.51900000000001</v>
          </cell>
          <cell r="CC152">
            <v>344</v>
          </cell>
          <cell r="CD152">
            <v>345.3</v>
          </cell>
          <cell r="CE152">
            <v>344</v>
          </cell>
          <cell r="CF152">
            <v>344</v>
          </cell>
          <cell r="CG152">
            <v>344</v>
          </cell>
          <cell r="CH152">
            <v>344</v>
          </cell>
          <cell r="CI152">
            <v>345.3</v>
          </cell>
          <cell r="CN152">
            <v>345.3</v>
          </cell>
          <cell r="CS152">
            <v>345.3</v>
          </cell>
          <cell r="CU152" t="str">
            <v>convertible debt to be exchanged in 4Q15 (5.5% debentures) and 4Q16 (6.75% debentures)</v>
          </cell>
          <cell r="DE152" t="str">
            <v>mstag:periodEndBasicSharesOutstanding</v>
          </cell>
          <cell r="DF152">
            <v>6</v>
          </cell>
          <cell r="DG152" t="str">
            <v>ms_eqr_gcim_Decimal:ms_eqr_gcim_decimal</v>
          </cell>
          <cell r="DH152" t="b">
            <v>0</v>
          </cell>
          <cell r="DI152" t="b">
            <v>0</v>
          </cell>
          <cell r="DJ152" t="str">
            <v>mstag:averageDilutedSharesOutstanding</v>
          </cell>
          <cell r="DK152">
            <v>6</v>
          </cell>
          <cell r="DL152" t="str">
            <v>ms_eqr_gcim_Decimal:ms_eqr_gcim_decimal</v>
          </cell>
          <cell r="DM152" t="b">
            <v>0</v>
          </cell>
          <cell r="DN152" t="b">
            <v>0</v>
          </cell>
        </row>
        <row r="153">
          <cell r="A153" t="str">
            <v>Period Ending Basic Shares</v>
          </cell>
          <cell r="Q153">
            <v>139.94549999999998</v>
          </cell>
          <cell r="V153">
            <v>152.49600000000001</v>
          </cell>
          <cell r="AA153">
            <v>155.95349999999999</v>
          </cell>
          <cell r="AF153">
            <v>167.53200000000001</v>
          </cell>
          <cell r="AK153">
            <v>176.822</v>
          </cell>
          <cell r="AP153">
            <v>181.15600000000001</v>
          </cell>
          <cell r="AU153">
            <v>247.74799999999999</v>
          </cell>
          <cell r="AZ153">
            <v>273.12</v>
          </cell>
          <cell r="BE153">
            <v>276.41500000000002</v>
          </cell>
          <cell r="BJ153">
            <v>279.80944246730843</v>
          </cell>
          <cell r="BO153">
            <v>283.64416091536509</v>
          </cell>
          <cell r="BT153">
            <v>283.90019369778429</v>
          </cell>
          <cell r="BY153">
            <v>299.0061278605159</v>
          </cell>
          <cell r="CD153">
            <v>316.9786251362151</v>
          </cell>
          <cell r="CI153">
            <v>331.78836451144213</v>
          </cell>
          <cell r="CN153">
            <v>346.59810388666915</v>
          </cell>
          <cell r="CS153">
            <v>346.59810388666915</v>
          </cell>
          <cell r="CU153" t="str">
            <v>Assume ~8M shares repurchased under $150M ASR in 3Q, balance carries forward</v>
          </cell>
          <cell r="CZ153" t="str">
            <v>convertible debt to be exchanged in 4Q15 (5.5% debentures) and 4Q16 (6.75% debentures)</v>
          </cell>
          <cell r="DJ153" t="str">
            <v>mstag:periodEndBasicSharesOutstanding</v>
          </cell>
          <cell r="DK153">
            <v>6</v>
          </cell>
          <cell r="DL153" t="str">
            <v>ms_eqr_gcim_Decimal:ms_eqr_gcim_decimal</v>
          </cell>
          <cell r="DM153" t="b">
            <v>0</v>
          </cell>
          <cell r="DN153" t="b">
            <v>0</v>
          </cell>
        </row>
        <row r="154">
          <cell r="A154" t="str">
            <v>Modelware Requirements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N154">
            <v>-13.737</v>
          </cell>
          <cell r="CS154">
            <v>-13.187519999999999</v>
          </cell>
          <cell r="CZ154" t="str">
            <v>Assume ~8M shares repurchased under $150M ASR in 3Q, balance carries forward</v>
          </cell>
        </row>
        <row r="155">
          <cell r="A155" t="str">
            <v>Modelware Requirements</v>
          </cell>
          <cell r="Q155">
            <v>0.4</v>
          </cell>
          <cell r="R155">
            <v>0.4</v>
          </cell>
          <cell r="S155">
            <v>0.4</v>
          </cell>
          <cell r="T155">
            <v>0.4</v>
          </cell>
          <cell r="U155">
            <v>0.4</v>
          </cell>
          <cell r="V155">
            <v>0.41</v>
          </cell>
          <cell r="W155">
            <v>0.41</v>
          </cell>
          <cell r="X155">
            <v>0.41</v>
          </cell>
          <cell r="Y155">
            <v>0.41</v>
          </cell>
          <cell r="Z155">
            <v>0.41</v>
          </cell>
          <cell r="AA155">
            <v>0.41</v>
          </cell>
          <cell r="AB155">
            <v>0.41</v>
          </cell>
          <cell r="AC155">
            <v>0.41</v>
          </cell>
          <cell r="AD155">
            <v>0.41</v>
          </cell>
          <cell r="AE155">
            <v>0.41</v>
          </cell>
          <cell r="AF155">
            <v>0.41</v>
          </cell>
          <cell r="AG155">
            <v>0.41</v>
          </cell>
          <cell r="AH155">
            <v>0.41</v>
          </cell>
          <cell r="AI155">
            <v>0.41</v>
          </cell>
          <cell r="AJ155">
            <v>0.41</v>
          </cell>
          <cell r="AK155">
            <v>0.41</v>
          </cell>
          <cell r="AL155">
            <v>0.41</v>
          </cell>
          <cell r="AM155">
            <v>0.41</v>
          </cell>
          <cell r="AN155">
            <v>0.41</v>
          </cell>
          <cell r="AO155">
            <v>0.41</v>
          </cell>
          <cell r="AP155">
            <v>0.41</v>
          </cell>
          <cell r="AQ155">
            <v>0.41</v>
          </cell>
          <cell r="AR155">
            <v>0.41</v>
          </cell>
          <cell r="AS155">
            <v>0.41</v>
          </cell>
          <cell r="AT155">
            <v>0.41</v>
          </cell>
          <cell r="AU155">
            <v>0.19601279731895893</v>
          </cell>
          <cell r="AV155">
            <v>0.28047347212894547</v>
          </cell>
          <cell r="AW155">
            <v>0.43491519555403646</v>
          </cell>
          <cell r="AX155">
            <v>0.52336374138549169</v>
          </cell>
          <cell r="AY155">
            <v>0.22516427983273313</v>
          </cell>
          <cell r="AZ155">
            <v>0.46760392818944396</v>
          </cell>
          <cell r="BA155">
            <v>-1.8247776393713888E-3</v>
          </cell>
          <cell r="BB155">
            <v>7.1691074113257924E-2</v>
          </cell>
          <cell r="BC155">
            <v>8.0338438383469324E-3</v>
          </cell>
          <cell r="BD155">
            <v>1.0348167573764888E-2</v>
          </cell>
          <cell r="BE155">
            <v>4.3777837338095482E-2</v>
          </cell>
          <cell r="BF155">
            <v>1.929918665367647E-2</v>
          </cell>
          <cell r="BG155">
            <v>6.9911701117373326E-3</v>
          </cell>
          <cell r="BH155">
            <v>-1.9629093718114277E-3</v>
          </cell>
          <cell r="BI155">
            <v>0.1180312580501055</v>
          </cell>
          <cell r="BJ155">
            <v>0</v>
          </cell>
          <cell r="BK155">
            <v>0.22725905878815222</v>
          </cell>
          <cell r="BL155">
            <v>-1.4541691628996212E-2</v>
          </cell>
          <cell r="BM155">
            <v>-4.2194580263564818E-3</v>
          </cell>
          <cell r="BN155">
            <v>-0.17017820165077135</v>
          </cell>
          <cell r="BO155">
            <v>-7.1292556260819095E-3</v>
          </cell>
          <cell r="BP155">
            <v>-9.9079705389046868E-2</v>
          </cell>
          <cell r="BQ155">
            <v>-2.3066675199107101E-3</v>
          </cell>
          <cell r="BR155">
            <v>-3.0366133785005855E-3</v>
          </cell>
          <cell r="BS155">
            <v>0.21230067376397521</v>
          </cell>
          <cell r="BT155">
            <v>-2.045744473729405E-3</v>
          </cell>
          <cell r="BU155">
            <v>-3.7703410628832645E-2</v>
          </cell>
          <cell r="BV155">
            <v>2.5452414480762187E-3</v>
          </cell>
          <cell r="BW155">
            <v>-7.6713843110445268E-3</v>
          </cell>
          <cell r="BX155">
            <v>-6.4767703123868037E-3</v>
          </cell>
          <cell r="BY155">
            <v>2.8172089975977421E-2</v>
          </cell>
          <cell r="BZ155">
            <v>0.16497259541137166</v>
          </cell>
          <cell r="CA155">
            <v>1.1094437949666469E-2</v>
          </cell>
          <cell r="CB155">
            <v>7.0681426410403869E-3</v>
          </cell>
          <cell r="CC155">
            <v>-8.9876886174422577E-4</v>
          </cell>
          <cell r="CD155">
            <v>-2.9478901161144266E-2</v>
          </cell>
          <cell r="CE155">
            <v>-1.3704169013270984E-2</v>
          </cell>
          <cell r="CF155">
            <v>0</v>
          </cell>
          <cell r="CG155">
            <v>0</v>
          </cell>
          <cell r="CH155">
            <v>0</v>
          </cell>
          <cell r="CI155">
            <v>1.9959672124452155E-3</v>
          </cell>
          <cell r="CN155">
            <v>0.41</v>
          </cell>
          <cell r="CS155">
            <v>-0.04</v>
          </cell>
          <cell r="DE155" t="str">
            <v>mstag:statutoryTaxRate</v>
          </cell>
          <cell r="DF155">
            <v>0</v>
          </cell>
          <cell r="DG155" t="str">
            <v>ms_eqr_gcim_Decimal:ms_eqr_gcim_decimal</v>
          </cell>
          <cell r="DH155" t="b">
            <v>0</v>
          </cell>
          <cell r="DI155" t="b">
            <v>0</v>
          </cell>
        </row>
        <row r="156">
          <cell r="A156" t="str">
            <v>Statutory Tax Rate</v>
          </cell>
          <cell r="Q156">
            <v>0.4</v>
          </cell>
          <cell r="R156">
            <v>0.4</v>
          </cell>
          <cell r="S156">
            <v>0.4</v>
          </cell>
          <cell r="T156">
            <v>0.4</v>
          </cell>
          <cell r="U156">
            <v>0.4</v>
          </cell>
          <cell r="V156">
            <v>0.41</v>
          </cell>
          <cell r="W156">
            <v>0.41</v>
          </cell>
          <cell r="X156">
            <v>0.41</v>
          </cell>
          <cell r="Y156">
            <v>0.41</v>
          </cell>
          <cell r="Z156">
            <v>0.41</v>
          </cell>
          <cell r="AA156">
            <v>0.41</v>
          </cell>
          <cell r="AB156">
            <v>0.41</v>
          </cell>
          <cell r="AC156">
            <v>0.41</v>
          </cell>
          <cell r="AD156">
            <v>0.41</v>
          </cell>
          <cell r="AE156">
            <v>0.41</v>
          </cell>
          <cell r="AF156">
            <v>0.41</v>
          </cell>
          <cell r="AG156">
            <v>0.41</v>
          </cell>
          <cell r="AH156">
            <v>0.41</v>
          </cell>
          <cell r="AI156">
            <v>0.41</v>
          </cell>
          <cell r="AJ156">
            <v>0.41</v>
          </cell>
          <cell r="AK156">
            <v>0.41</v>
          </cell>
          <cell r="AL156">
            <v>0.41</v>
          </cell>
          <cell r="AM156">
            <v>0.41</v>
          </cell>
          <cell r="AN156">
            <v>0.41</v>
          </cell>
          <cell r="AO156">
            <v>0.41</v>
          </cell>
          <cell r="AP156">
            <v>0.41</v>
          </cell>
          <cell r="AQ156">
            <v>0.41</v>
          </cell>
          <cell r="AR156">
            <v>0.41</v>
          </cell>
          <cell r="AS156">
            <v>0.41</v>
          </cell>
          <cell r="AT156">
            <v>0.41</v>
          </cell>
          <cell r="AU156">
            <v>0.41</v>
          </cell>
          <cell r="AV156">
            <v>0.41</v>
          </cell>
          <cell r="AW156">
            <v>0.41</v>
          </cell>
          <cell r="AX156">
            <v>0.41</v>
          </cell>
          <cell r="AY156">
            <v>0.41</v>
          </cell>
          <cell r="AZ156">
            <v>0.41</v>
          </cell>
          <cell r="BA156">
            <v>0.41</v>
          </cell>
          <cell r="BB156">
            <v>0.41</v>
          </cell>
          <cell r="BC156">
            <v>0.41</v>
          </cell>
          <cell r="BD156">
            <v>0.41</v>
          </cell>
          <cell r="BE156">
            <v>0.41</v>
          </cell>
          <cell r="BF156">
            <v>0.41</v>
          </cell>
          <cell r="BG156">
            <v>0.41</v>
          </cell>
          <cell r="BH156">
            <v>0.41</v>
          </cell>
          <cell r="BI156">
            <v>0.41</v>
          </cell>
          <cell r="BJ156">
            <v>0.41</v>
          </cell>
          <cell r="BK156">
            <v>0.41</v>
          </cell>
          <cell r="BL156">
            <v>0.41</v>
          </cell>
          <cell r="BM156">
            <v>0.41</v>
          </cell>
          <cell r="BN156">
            <v>0.41</v>
          </cell>
          <cell r="BO156">
            <v>0.41</v>
          </cell>
          <cell r="BP156">
            <v>0.41</v>
          </cell>
          <cell r="BQ156">
            <v>0.41</v>
          </cell>
          <cell r="BR156">
            <v>0.41</v>
          </cell>
          <cell r="BS156">
            <v>0.41</v>
          </cell>
          <cell r="BT156">
            <v>0.41</v>
          </cell>
          <cell r="BU156">
            <v>0.41</v>
          </cell>
          <cell r="BV156">
            <v>0.41</v>
          </cell>
          <cell r="BW156">
            <v>0.41</v>
          </cell>
          <cell r="BX156">
            <v>0.41</v>
          </cell>
          <cell r="BY156">
            <v>0.41</v>
          </cell>
          <cell r="BZ156">
            <v>0.41</v>
          </cell>
          <cell r="CA156">
            <v>0.41</v>
          </cell>
          <cell r="CB156">
            <v>0.41</v>
          </cell>
          <cell r="CC156">
            <v>0.41</v>
          </cell>
          <cell r="CD156">
            <v>0.41</v>
          </cell>
          <cell r="CE156">
            <v>0.41</v>
          </cell>
          <cell r="CF156">
            <v>0.41</v>
          </cell>
          <cell r="CG156">
            <v>0.41</v>
          </cell>
          <cell r="CH156">
            <v>0.41</v>
          </cell>
          <cell r="CI156">
            <v>0.41</v>
          </cell>
          <cell r="CN156">
            <v>0.41</v>
          </cell>
          <cell r="CS156">
            <v>0.41</v>
          </cell>
          <cell r="DJ156" t="str">
            <v>mstag:statutoryTaxRate</v>
          </cell>
          <cell r="DK156">
            <v>0</v>
          </cell>
          <cell r="DL156" t="str">
            <v>ms_eqr_gcim_Decimal:ms_eqr_gcim_decimal</v>
          </cell>
          <cell r="DM156" t="b">
            <v>0</v>
          </cell>
          <cell r="DN156" t="b">
            <v>0</v>
          </cell>
        </row>
        <row r="157">
          <cell r="A157" t="str">
            <v>Extraordinary Gains/Charges (prior to 2002)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-53</v>
          </cell>
          <cell r="AU157">
            <v>-53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BR157">
            <v>0</v>
          </cell>
          <cell r="BS157">
            <v>0</v>
          </cell>
          <cell r="BT157">
            <v>0</v>
          </cell>
          <cell r="BU157">
            <v>0</v>
          </cell>
          <cell r="BV157">
            <v>0</v>
          </cell>
          <cell r="BW157">
            <v>0</v>
          </cell>
          <cell r="BX157">
            <v>0</v>
          </cell>
          <cell r="BY157">
            <v>0</v>
          </cell>
          <cell r="BZ157">
            <v>0</v>
          </cell>
          <cell r="CA157">
            <v>0</v>
          </cell>
          <cell r="CB157">
            <v>0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N157">
            <v>0</v>
          </cell>
          <cell r="DE157" t="str">
            <v>mstag:assetImpairmentNonGoodwillOneTimeIncomeStatement</v>
          </cell>
          <cell r="DF157">
            <v>6</v>
          </cell>
          <cell r="DG157" t="str">
            <v>ISO4217:USD</v>
          </cell>
          <cell r="DH157" t="b">
            <v>0</v>
          </cell>
          <cell r="DI157" t="b">
            <v>0</v>
          </cell>
        </row>
        <row r="158">
          <cell r="A158" t="str">
            <v>After Tax Asset Impairment Charge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10.719999</v>
          </cell>
          <cell r="AH158">
            <v>11.429998999999999</v>
          </cell>
          <cell r="AI158">
            <v>10.689999499999999</v>
          </cell>
          <cell r="AJ158">
            <v>11.719999999999999</v>
          </cell>
          <cell r="AK158">
            <v>14.2</v>
          </cell>
          <cell r="AL158">
            <v>12.855</v>
          </cell>
          <cell r="AM158">
            <v>11.629999999999999</v>
          </cell>
          <cell r="AN158">
            <v>10.484999699999999</v>
          </cell>
          <cell r="AO158">
            <v>7.5599995500000006</v>
          </cell>
          <cell r="AP158">
            <v>10.049999849999999</v>
          </cell>
          <cell r="AQ158">
            <v>5.8499995</v>
          </cell>
          <cell r="AR158">
            <v>4.7649994499999995</v>
          </cell>
          <cell r="AS158">
            <v>4.3399997500000005</v>
          </cell>
          <cell r="AT158">
            <v>6.0249997000000004</v>
          </cell>
          <cell r="AU158">
            <v>6.4999996000000007</v>
          </cell>
          <cell r="AV158">
            <v>5.3749995999999998</v>
          </cell>
          <cell r="AW158">
            <v>3.9599996500000003</v>
          </cell>
          <cell r="AX158">
            <v>5.1249996000000007</v>
          </cell>
          <cell r="AY158">
            <v>5.7149997500000005</v>
          </cell>
          <cell r="AZ158">
            <v>6.2749997000000004</v>
          </cell>
          <cell r="BA158">
            <v>5.51499995</v>
          </cell>
          <cell r="BB158">
            <v>5.5349998999999999</v>
          </cell>
          <cell r="BC158">
            <v>6.0899996999999999</v>
          </cell>
          <cell r="BD158">
            <v>6.6499996499999998</v>
          </cell>
          <cell r="BE158">
            <v>6.0299998000000006</v>
          </cell>
          <cell r="BF158">
            <v>6.4399996500000007</v>
          </cell>
          <cell r="BG158">
            <v>6.1849995500000006</v>
          </cell>
          <cell r="BH158">
            <v>5.0949993500000001</v>
          </cell>
          <cell r="BI158">
            <v>4.6449995499999996</v>
          </cell>
          <cell r="BJ158">
            <v>5.9049998000000006</v>
          </cell>
          <cell r="BK158">
            <v>5.0449996499999994</v>
          </cell>
          <cell r="BL158">
            <v>5.0949993500000001</v>
          </cell>
          <cell r="BM158">
            <v>5.0474992499999995</v>
          </cell>
          <cell r="BN158">
            <v>5.2574993000000001</v>
          </cell>
          <cell r="BO158">
            <v>5.4599996500000003</v>
          </cell>
          <cell r="BP158">
            <v>6.3099995500000006</v>
          </cell>
          <cell r="BQ158">
            <v>6.5949998500000007</v>
          </cell>
          <cell r="BR158">
            <v>6.4775</v>
          </cell>
          <cell r="BS158">
            <v>7.6024999999999991</v>
          </cell>
          <cell r="BT158">
            <v>7.1299996999999991</v>
          </cell>
          <cell r="BU158">
            <v>8.6149997999999997</v>
          </cell>
          <cell r="BV158">
            <v>9.7699998000000008</v>
          </cell>
          <cell r="BW158">
            <v>10.734999999999999</v>
          </cell>
          <cell r="BX158">
            <v>13.239999999999998</v>
          </cell>
          <cell r="BY158">
            <v>12.2</v>
          </cell>
          <cell r="BZ158">
            <v>17.555</v>
          </cell>
          <cell r="CA158">
            <v>20.004997500000002</v>
          </cell>
          <cell r="CB158">
            <v>23.265000000000001</v>
          </cell>
          <cell r="CC158">
            <v>24.209999500000002</v>
          </cell>
          <cell r="CD158">
            <v>19.254996999999999</v>
          </cell>
          <cell r="CE158">
            <v>22.649994</v>
          </cell>
          <cell r="CF158">
            <v>21.648</v>
          </cell>
          <cell r="CG158">
            <v>21.918599999999998</v>
          </cell>
          <cell r="CH158">
            <v>22.466564999999996</v>
          </cell>
          <cell r="CI158">
            <v>22.696961999999999</v>
          </cell>
          <cell r="CN158">
            <v>0</v>
          </cell>
          <cell r="CS158">
            <v>0</v>
          </cell>
          <cell r="DE158" t="str">
            <v>mstag:gainsLossesFromSaleOfOperatingAssetsOneTimeIncomeStatement</v>
          </cell>
          <cell r="DF158">
            <v>6</v>
          </cell>
          <cell r="DG158" t="str">
            <v>ISO4217:USD</v>
          </cell>
          <cell r="DH158" t="b">
            <v>0</v>
          </cell>
          <cell r="DI158" t="b">
            <v>0</v>
          </cell>
          <cell r="DJ158" t="str">
            <v>mstag:assetImpairmentNonGoodwillOneTimeIncomeStatement</v>
          </cell>
          <cell r="DK158">
            <v>6</v>
          </cell>
          <cell r="DL158" t="str">
            <v>ISO4217:USD</v>
          </cell>
          <cell r="DM158" t="b">
            <v>0</v>
          </cell>
          <cell r="DN158" t="b">
            <v>0</v>
          </cell>
        </row>
        <row r="159">
          <cell r="A159" t="str">
            <v>After Tax Gains (Losses) from Sale of Operating Assets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6.6231349461879585E-2</v>
          </cell>
          <cell r="AI159">
            <v>-6.4741869181265899E-2</v>
          </cell>
          <cell r="AJ159">
            <v>9.635178186865212E-2</v>
          </cell>
          <cell r="AK159">
            <v>5.6000000000000005</v>
          </cell>
          <cell r="AL159">
            <v>9.6843003412969475E-2</v>
          </cell>
          <cell r="AM159">
            <v>-9.5293660054453611E-2</v>
          </cell>
          <cell r="AN159">
            <v>-9.8452304385210576E-2</v>
          </cell>
          <cell r="AO159">
            <v>-0.27896997936967027</v>
          </cell>
          <cell r="AP159">
            <v>-0.2922535316901409</v>
          </cell>
          <cell r="AQ159">
            <v>-0.22619049626795285</v>
          </cell>
          <cell r="AR159">
            <v>-0.18547010986924028</v>
          </cell>
          <cell r="AS159">
            <v>-8.9191972519534923E-2</v>
          </cell>
          <cell r="AT159">
            <v>0.38824885877009541</v>
          </cell>
          <cell r="AU159">
            <v>-0.35323386099354004</v>
          </cell>
          <cell r="AV159">
            <v>-0.10788383939670576</v>
          </cell>
          <cell r="AW159">
            <v>-0.26325582424229377</v>
          </cell>
          <cell r="AX159">
            <v>0.29419193256746889</v>
          </cell>
          <cell r="AY159">
            <v>0.11512198947293562</v>
          </cell>
          <cell r="AZ159">
            <v>-3.4615371360945946E-2</v>
          </cell>
          <cell r="BA159">
            <v>-3.4995592082046945E-2</v>
          </cell>
          <cell r="BB159">
            <v>3.6264642214547393E-3</v>
          </cell>
          <cell r="BC159">
            <v>0.10027096838791283</v>
          </cell>
          <cell r="BD159">
            <v>9.1954019308079671E-2</v>
          </cell>
          <cell r="BE159">
            <v>-3.9043810631576581E-2</v>
          </cell>
          <cell r="BF159">
            <v>-3.1578949030470871E-2</v>
          </cell>
          <cell r="BG159">
            <v>-3.9596290971848136E-2</v>
          </cell>
          <cell r="BH159">
            <v>-0.17623286650037029</v>
          </cell>
          <cell r="BI159">
            <v>-8.8321856213779637E-2</v>
          </cell>
          <cell r="BJ159">
            <v>-2.0729685596341141E-2</v>
          </cell>
          <cell r="BK159">
            <v>8.6114131055190279E-2</v>
          </cell>
          <cell r="BL159">
            <v>9.9107439977723644E-3</v>
          </cell>
          <cell r="BM159">
            <v>-9.3228863709277077E-3</v>
          </cell>
          <cell r="BN159">
            <v>4.1604770917004208E-2</v>
          </cell>
          <cell r="BO159">
            <v>-7.5359892476203005E-2</v>
          </cell>
          <cell r="BP159">
            <v>0.20019027867488259</v>
          </cell>
          <cell r="BQ159">
            <v>4.5166453300301779E-2</v>
          </cell>
          <cell r="BR159">
            <v>-1.7816505333203447E-2</v>
          </cell>
          <cell r="BS159">
            <v>0.17367811655731358</v>
          </cell>
          <cell r="BT159">
            <v>0.30586083462477842</v>
          </cell>
          <cell r="BU159">
            <v>0.13317984873396926</v>
          </cell>
          <cell r="BV159">
            <v>0.13406848831267548</v>
          </cell>
          <cell r="BW159">
            <v>9.8771772748654341E-2</v>
          </cell>
          <cell r="BX159">
            <v>0.23334885887284584</v>
          </cell>
          <cell r="BY159">
            <v>0.71108001589396985</v>
          </cell>
          <cell r="BZ159">
            <v>0.32590634441087629</v>
          </cell>
          <cell r="CA159">
            <v>0.1395612361150671</v>
          </cell>
          <cell r="CB159">
            <v>0.16295940551854593</v>
          </cell>
          <cell r="CC159">
            <v>4.0618934021061648E-2</v>
          </cell>
          <cell r="CD159">
            <v>0.57827844262295081</v>
          </cell>
          <cell r="CE159">
            <v>-6.4436411904923885E-2</v>
          </cell>
          <cell r="CF159">
            <v>-4.4238157414081436E-2</v>
          </cell>
          <cell r="CG159">
            <v>1.2499999999999956E-2</v>
          </cell>
          <cell r="CH159">
            <v>2.4999999999999911E-2</v>
          </cell>
          <cell r="CI159">
            <v>0.1787569740987236</v>
          </cell>
          <cell r="CN159">
            <v>0</v>
          </cell>
          <cell r="CS159">
            <v>0</v>
          </cell>
          <cell r="DE159" t="str">
            <v>mstag:restructuringCostsOneTime</v>
          </cell>
          <cell r="DF159">
            <v>6</v>
          </cell>
          <cell r="DG159" t="str">
            <v>ISO4217:USD</v>
          </cell>
          <cell r="DH159" t="b">
            <v>1</v>
          </cell>
          <cell r="DI159" t="b">
            <v>0</v>
          </cell>
          <cell r="DJ159" t="str">
            <v>mstag:gainsLossesFromSaleOfOperatingAssetsOneTimeIncomeStatement</v>
          </cell>
          <cell r="DK159">
            <v>6</v>
          </cell>
          <cell r="DL159" t="str">
            <v>ISO4217:USD</v>
          </cell>
          <cell r="DM159" t="b">
            <v>0</v>
          </cell>
          <cell r="DN159" t="b">
            <v>0</v>
          </cell>
        </row>
        <row r="160">
          <cell r="A160" t="str">
            <v xml:space="preserve">After Tax Restructuring Costs </v>
          </cell>
          <cell r="S160">
            <v>11.3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-10.4</v>
          </cell>
          <cell r="AF160">
            <v>-10.4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0.19916055962318668</v>
          </cell>
          <cell r="AM160">
            <v>1.7497901793342319E-2</v>
          </cell>
          <cell r="AN160">
            <v>-1.917678293623859E-2</v>
          </cell>
          <cell r="AO160">
            <v>-0.35494884385665515</v>
          </cell>
          <cell r="AP160">
            <v>-0.2922535316901409</v>
          </cell>
          <cell r="AQ160">
            <v>-0.54492419292104244</v>
          </cell>
          <cell r="AR160">
            <v>-0.59028379621668103</v>
          </cell>
          <cell r="AS160">
            <v>-0.58607535773224662</v>
          </cell>
          <cell r="AT160">
            <v>-0.2030423202869106</v>
          </cell>
          <cell r="AU160">
            <v>-0.35323386099354004</v>
          </cell>
          <cell r="AV160">
            <v>-8.1196571042442045E-2</v>
          </cell>
          <cell r="AW160">
            <v>-0.16894016640442622</v>
          </cell>
          <cell r="AX160">
            <v>0.18087555189375304</v>
          </cell>
          <cell r="AY160">
            <v>-5.1452276420860255E-2</v>
          </cell>
          <cell r="AZ160">
            <v>-3.4615371360945946E-2</v>
          </cell>
          <cell r="BA160">
            <v>2.6046578682536126E-2</v>
          </cell>
          <cell r="BB160">
            <v>0.39772737101125744</v>
          </cell>
          <cell r="BC160">
            <v>0.18829271713504125</v>
          </cell>
          <cell r="BD160">
            <v>0.16360453909031225</v>
          </cell>
          <cell r="BE160">
            <v>-3.9043810631576581E-2</v>
          </cell>
          <cell r="BF160">
            <v>0.16772433515615903</v>
          </cell>
          <cell r="BG160">
            <v>0.11743444656611479</v>
          </cell>
          <cell r="BH160">
            <v>-0.16338265993674839</v>
          </cell>
          <cell r="BI160">
            <v>-0.30150379030471075</v>
          </cell>
          <cell r="BJ160">
            <v>-2.0729685596341141E-2</v>
          </cell>
          <cell r="BK160">
            <v>-0.21661491860484827</v>
          </cell>
          <cell r="BL160">
            <v>-0.17623286650037029</v>
          </cell>
          <cell r="BM160">
            <v>-9.3228863709277077E-3</v>
          </cell>
          <cell r="BN160">
            <v>0.13186217639138431</v>
          </cell>
          <cell r="BO160">
            <v>-7.5359892476203005E-2</v>
          </cell>
          <cell r="BP160">
            <v>0.25074330778199383</v>
          </cell>
          <cell r="BQ160">
            <v>0.29440641636195708</v>
          </cell>
          <cell r="BR160">
            <v>0.28330875928312427</v>
          </cell>
          <cell r="BS160">
            <v>0.4460296742217349</v>
          </cell>
          <cell r="BT160">
            <v>0.30586083462477842</v>
          </cell>
          <cell r="BU160">
            <v>0.3652932510906437</v>
          </cell>
          <cell r="BV160">
            <v>0.48142532558207707</v>
          </cell>
          <cell r="BW160">
            <v>0.6572751833269006</v>
          </cell>
          <cell r="BX160">
            <v>0.74153239066096677</v>
          </cell>
          <cell r="BY160">
            <v>0.71108001589396985</v>
          </cell>
          <cell r="BZ160">
            <v>1.0377249457394067</v>
          </cell>
          <cell r="CA160">
            <v>1.0475944636150349</v>
          </cell>
          <cell r="CB160">
            <v>1.1672100605496043</v>
          </cell>
          <cell r="CC160">
            <v>0.82854981117824811</v>
          </cell>
          <cell r="CD160">
            <v>0.57827844262295081</v>
          </cell>
          <cell r="CE160">
            <v>0.29023036172030769</v>
          </cell>
          <cell r="CF160">
            <v>8.2129602865483875E-2</v>
          </cell>
          <cell r="CG160">
            <v>-5.7872340425532021E-2</v>
          </cell>
          <cell r="CH160">
            <v>-7.2012991987050912E-2</v>
          </cell>
          <cell r="CI160">
            <v>0.1787569740987236</v>
          </cell>
          <cell r="CN160">
            <v>0</v>
          </cell>
          <cell r="CS160">
            <v>0</v>
          </cell>
          <cell r="DE160" t="str">
            <v>mstag:incomeLossFromExtraordinaryItemsNetOfTax</v>
          </cell>
          <cell r="DF160">
            <v>6</v>
          </cell>
          <cell r="DG160" t="str">
            <v>ISO4217:USD</v>
          </cell>
          <cell r="DH160" t="b">
            <v>0</v>
          </cell>
          <cell r="DI160" t="b">
            <v>0</v>
          </cell>
          <cell r="DJ160" t="str">
            <v>mstag:restructuringCostsOneTime</v>
          </cell>
          <cell r="DK160">
            <v>6</v>
          </cell>
          <cell r="DL160" t="str">
            <v>ISO4217:USD</v>
          </cell>
          <cell r="DM160" t="b">
            <v>1</v>
          </cell>
          <cell r="DN160" t="b">
            <v>0</v>
          </cell>
        </row>
        <row r="161">
          <cell r="A161" t="str">
            <v>After Tax Other Disc. Ops./Extrordinary Item</v>
          </cell>
          <cell r="R161">
            <v>0</v>
          </cell>
          <cell r="S161">
            <v>11.3</v>
          </cell>
          <cell r="T161">
            <v>0</v>
          </cell>
          <cell r="U161">
            <v>0</v>
          </cell>
          <cell r="V161">
            <v>11.3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10.719999</v>
          </cell>
          <cell r="AH161">
            <v>12.139999</v>
          </cell>
          <cell r="AI161">
            <v>9.24</v>
          </cell>
          <cell r="AJ161">
            <v>14.2</v>
          </cell>
          <cell r="AK161">
            <v>14.2</v>
          </cell>
          <cell r="AL161">
            <v>11.51</v>
          </cell>
          <cell r="AM161">
            <v>11.75</v>
          </cell>
          <cell r="AN161">
            <v>9.2199994000000007</v>
          </cell>
          <cell r="AO161">
            <v>5.8999997000000004</v>
          </cell>
          <cell r="AP161">
            <v>5.8999997000000004</v>
          </cell>
          <cell r="AQ161">
            <v>5.7999992999999996</v>
          </cell>
          <cell r="AR161">
            <v>3.7299996000000002</v>
          </cell>
          <cell r="AS161">
            <v>4.9499998999999999</v>
          </cell>
          <cell r="AT161">
            <v>7.0999995</v>
          </cell>
          <cell r="AU161">
            <v>7.0999995</v>
          </cell>
          <cell r="AV161">
            <v>3.6499997</v>
          </cell>
          <cell r="AW161">
            <v>4.2699996000000002</v>
          </cell>
          <cell r="AX161">
            <v>5.9799996000000002</v>
          </cell>
          <cell r="AY161">
            <v>5.4499998999999999</v>
          </cell>
          <cell r="AZ161">
            <v>5.4499998999999999</v>
          </cell>
          <cell r="BA161">
            <v>5.58</v>
          </cell>
          <cell r="BB161">
            <v>5.4899997999999997</v>
          </cell>
          <cell r="BC161">
            <v>6.6899996000000002</v>
          </cell>
          <cell r="BD161">
            <v>6.6099997000000004</v>
          </cell>
          <cell r="BE161">
            <v>6.6099997000000004</v>
          </cell>
          <cell r="BF161">
            <v>6.2699996000000002</v>
          </cell>
          <cell r="BG161">
            <v>6.0999995</v>
          </cell>
          <cell r="BH161">
            <v>4.0899992000000003</v>
          </cell>
          <cell r="BI161">
            <v>5.1999998999999999</v>
          </cell>
          <cell r="BJ161">
            <v>5.1999998999999999</v>
          </cell>
          <cell r="BK161">
            <v>4.8899993999999998</v>
          </cell>
          <cell r="BL161">
            <v>5.2999992999999996</v>
          </cell>
          <cell r="BM161">
            <v>4.7949992000000004</v>
          </cell>
          <cell r="BN161">
            <v>5.7199993999999998</v>
          </cell>
          <cell r="BO161">
            <v>5.7199993999999998</v>
          </cell>
          <cell r="BP161">
            <v>6.8999997000000004</v>
          </cell>
          <cell r="BQ161">
            <v>6.29</v>
          </cell>
          <cell r="BR161">
            <v>6.665</v>
          </cell>
          <cell r="BS161">
            <v>8.5399999999999991</v>
          </cell>
          <cell r="BT161">
            <v>8.5399999999999991</v>
          </cell>
          <cell r="BU161">
            <v>8.6899996000000002</v>
          </cell>
          <cell r="BV161">
            <v>10.85</v>
          </cell>
          <cell r="BW161">
            <v>10.62</v>
          </cell>
          <cell r="BX161">
            <v>15.86</v>
          </cell>
          <cell r="BY161">
            <v>15.86</v>
          </cell>
          <cell r="BZ161">
            <v>19.25</v>
          </cell>
          <cell r="CA161">
            <v>20.759995</v>
          </cell>
          <cell r="CB161">
            <v>25.770005000000001</v>
          </cell>
          <cell r="CC161">
            <v>22.649994</v>
          </cell>
          <cell r="CD161">
            <v>22.649994</v>
          </cell>
          <cell r="CE161" t="str">
            <v xml:space="preserve">   $ 21.12   </v>
          </cell>
          <cell r="CF161">
            <v>21.648</v>
          </cell>
          <cell r="CG161">
            <v>22.189199999999996</v>
          </cell>
          <cell r="CH161">
            <v>22.743929999999995</v>
          </cell>
          <cell r="CI161">
            <v>22.743929999999995</v>
          </cell>
          <cell r="CN161">
            <v>0</v>
          </cell>
          <cell r="CS161">
            <v>0</v>
          </cell>
          <cell r="DJ161" t="str">
            <v>mstag:incomeLossFromExtraordinaryItemsNetOfTax</v>
          </cell>
          <cell r="DK161">
            <v>6</v>
          </cell>
          <cell r="DL161" t="str">
            <v>ISO4217:USD</v>
          </cell>
          <cell r="DM161" t="b">
            <v>0</v>
          </cell>
          <cell r="DN161" t="b">
            <v>0</v>
          </cell>
        </row>
        <row r="162">
          <cell r="A162" t="str">
            <v>Total Extraordinary Items (A/T)</v>
          </cell>
          <cell r="R162">
            <v>0</v>
          </cell>
          <cell r="S162">
            <v>11.3</v>
          </cell>
          <cell r="T162">
            <v>0</v>
          </cell>
          <cell r="U162">
            <v>0</v>
          </cell>
          <cell r="V162">
            <v>11.3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-10.4</v>
          </cell>
          <cell r="AF162">
            <v>-10.4</v>
          </cell>
          <cell r="AG162">
            <v>10.719999</v>
          </cell>
          <cell r="AH162">
            <v>1.42</v>
          </cell>
          <cell r="AI162">
            <v>-2.8999989999999993</v>
          </cell>
          <cell r="AJ162">
            <v>4.9599999999999991</v>
          </cell>
          <cell r="AK162">
            <v>14.2</v>
          </cell>
          <cell r="AL162">
            <v>-2.6899999999999995</v>
          </cell>
          <cell r="AM162">
            <v>0.24000000000000021</v>
          </cell>
          <cell r="AN162">
            <v>-2.5300005999999993</v>
          </cell>
          <cell r="AO162">
            <v>-3.3199997000000003</v>
          </cell>
          <cell r="AP162">
            <v>-8.3000002999999989</v>
          </cell>
          <cell r="AQ162">
            <v>-0.10000040000000077</v>
          </cell>
          <cell r="AR162">
            <v>-2.0699996999999994</v>
          </cell>
          <cell r="AS162">
            <v>1.2200002999999997</v>
          </cell>
          <cell r="AT162">
            <v>2.1499996000000001</v>
          </cell>
          <cell r="AU162">
            <v>1.1999997999999996</v>
          </cell>
          <cell r="AV162">
            <v>-3.4499998000000001</v>
          </cell>
          <cell r="AW162">
            <v>0.61999990000000027</v>
          </cell>
          <cell r="AX162">
            <v>1.71</v>
          </cell>
          <cell r="AY162">
            <v>-0.5299997000000003</v>
          </cell>
          <cell r="AZ162">
            <v>-1.6499996000000001</v>
          </cell>
          <cell r="BA162">
            <v>0.13000010000000017</v>
          </cell>
          <cell r="BB162">
            <v>-9.0000200000000419E-2</v>
          </cell>
          <cell r="BC162">
            <v>1.1999998000000005</v>
          </cell>
          <cell r="BD162">
            <v>-7.9999899999999791E-2</v>
          </cell>
          <cell r="BE162">
            <v>1.1599998000000005</v>
          </cell>
          <cell r="BF162">
            <v>-0.34000010000000014</v>
          </cell>
          <cell r="BG162">
            <v>-0.17000010000000021</v>
          </cell>
          <cell r="BH162">
            <v>-2.0100002999999997</v>
          </cell>
          <cell r="BI162">
            <v>1.1100006999999996</v>
          </cell>
          <cell r="BJ162">
            <v>-1.4099998000000005</v>
          </cell>
          <cell r="BK162">
            <v>-0.31000050000000012</v>
          </cell>
          <cell r="BL162">
            <v>0.40999989999999986</v>
          </cell>
          <cell r="BM162">
            <v>-0.50500009999999929</v>
          </cell>
          <cell r="BN162">
            <v>0.9250001999999995</v>
          </cell>
          <cell r="BO162">
            <v>0.51999949999999995</v>
          </cell>
          <cell r="BP162">
            <v>1.1800003000000006</v>
          </cell>
          <cell r="BQ162">
            <v>-0.60999970000000037</v>
          </cell>
          <cell r="BR162">
            <v>0.375</v>
          </cell>
          <cell r="BS162">
            <v>1.8749999999999991</v>
          </cell>
          <cell r="BT162">
            <v>2.8200005999999993</v>
          </cell>
          <cell r="BU162">
            <v>0.14999960000000101</v>
          </cell>
          <cell r="BV162">
            <v>2.1600003999999995</v>
          </cell>
          <cell r="BW162">
            <v>-0.23000000000000043</v>
          </cell>
          <cell r="BX162">
            <v>5.24</v>
          </cell>
          <cell r="BY162">
            <v>7.32</v>
          </cell>
          <cell r="BZ162">
            <v>3.3900000000000006</v>
          </cell>
          <cell r="CA162">
            <v>1.509995</v>
          </cell>
          <cell r="CB162">
            <v>5.0100100000000012</v>
          </cell>
          <cell r="CC162">
            <v>-3.1200110000000016</v>
          </cell>
          <cell r="CD162">
            <v>6.7899940000000001</v>
          </cell>
          <cell r="CE162">
            <v>-1.5299939999999985</v>
          </cell>
          <cell r="CF162">
            <v>0.52799999999999869</v>
          </cell>
          <cell r="CG162">
            <v>0.54119999999999635</v>
          </cell>
          <cell r="CH162">
            <v>0.55472999999999928</v>
          </cell>
          <cell r="CI162">
            <v>9.3935999999995801E-2</v>
          </cell>
          <cell r="CN162">
            <v>0</v>
          </cell>
          <cell r="CS162">
            <v>0</v>
          </cell>
        </row>
        <row r="163">
          <cell r="A163" t="str">
            <v>Tax Rate to Adjust One-time items</v>
          </cell>
          <cell r="M163">
            <v>13.004733199999999</v>
          </cell>
          <cell r="N163">
            <v>14.586422800000005</v>
          </cell>
          <cell r="O163">
            <v>12.149889235999996</v>
          </cell>
          <cell r="P163">
            <v>15.162978399999979</v>
          </cell>
          <cell r="Q163">
            <v>54.904023636000048</v>
          </cell>
          <cell r="R163">
            <v>17.357999999999976</v>
          </cell>
          <cell r="S163">
            <v>38.032199999999996</v>
          </cell>
          <cell r="T163">
            <v>29.04299999999996</v>
          </cell>
          <cell r="U163">
            <v>19.540000000000028</v>
          </cell>
          <cell r="V163">
            <v>103.97320000000006</v>
          </cell>
          <cell r="W163">
            <v>15.192999999999932</v>
          </cell>
          <cell r="X163">
            <v>21.458000000000027</v>
          </cell>
          <cell r="Y163">
            <v>8.4229999999999556</v>
          </cell>
          <cell r="Z163">
            <v>0.89299999999995916</v>
          </cell>
          <cell r="AA163">
            <v>45.966999999999757</v>
          </cell>
          <cell r="AB163">
            <v>6.9670000000000343</v>
          </cell>
          <cell r="AC163">
            <v>13.060000000000059</v>
          </cell>
          <cell r="AD163">
            <v>2.6859999999999999</v>
          </cell>
          <cell r="AE163">
            <v>-42.4</v>
          </cell>
          <cell r="AF163">
            <v>-19.686999999999976</v>
          </cell>
          <cell r="AG163">
            <v>-31.600000000000023</v>
          </cell>
          <cell r="AH163">
            <v>0.13246269892375917</v>
          </cell>
          <cell r="AI163">
            <v>-0.23887967371331742</v>
          </cell>
          <cell r="AJ163">
            <v>0.53679653679653661</v>
          </cell>
          <cell r="AK163">
            <v>0.20000000000009166</v>
          </cell>
          <cell r="AL163">
            <v>-0.18943661971830983</v>
          </cell>
          <cell r="AM163">
            <v>2.0851433536055675E-2</v>
          </cell>
          <cell r="AN163">
            <v>-0.21531919999999993</v>
          </cell>
          <cell r="AO163">
            <v>-0.36008675879089536</v>
          </cell>
          <cell r="AP163">
            <v>-0.58450706338028158</v>
          </cell>
          <cell r="AQ163">
            <v>-1.6949221200807996E-2</v>
          </cell>
          <cell r="AR163">
            <v>-0.35689654307372065</v>
          </cell>
          <cell r="AS163">
            <v>0.32707786349360446</v>
          </cell>
          <cell r="AT163">
            <v>0.43434336230996684</v>
          </cell>
          <cell r="AU163">
            <v>0.20338980695202391</v>
          </cell>
          <cell r="AV163">
            <v>-0.48591549900813369</v>
          </cell>
          <cell r="AW163">
            <v>0.16986300026271239</v>
          </cell>
          <cell r="AX163">
            <v>0.40046842158954776</v>
          </cell>
          <cell r="AY163">
            <v>-8.8628718302924403E-2</v>
          </cell>
          <cell r="AZ163">
            <v>-0.2323943262249526</v>
          </cell>
          <cell r="BA163">
            <v>2.3853229795472108E-2</v>
          </cell>
          <cell r="BB163">
            <v>-1.6129068100358523E-2</v>
          </cell>
          <cell r="BC163">
            <v>0.2185792065056178</v>
          </cell>
          <cell r="BD163">
            <v>-1.1958132254596854E-2</v>
          </cell>
          <cell r="BE163">
            <v>0.21284400390539471</v>
          </cell>
          <cell r="BF163">
            <v>-5.1437233801992499E-2</v>
          </cell>
          <cell r="BG163">
            <v>-2.7113255318230056E-2</v>
          </cell>
          <cell r="BH163">
            <v>-0.3295082729105141</v>
          </cell>
          <cell r="BI163">
            <v>0.27139386726530401</v>
          </cell>
          <cell r="BJ163">
            <v>-0.21331314130014267</v>
          </cell>
          <cell r="BK163">
            <v>-5.9615481915682333E-2</v>
          </cell>
          <cell r="BL163">
            <v>8.3844570614875824E-2</v>
          </cell>
          <cell r="BM163">
            <v>-9.528305032040274E-2</v>
          </cell>
          <cell r="BN163">
            <v>0.19290935439572121</v>
          </cell>
          <cell r="BO163">
            <v>9.9999905769228903E-2</v>
          </cell>
          <cell r="BP163">
            <v>0.20629378038046653</v>
          </cell>
          <cell r="BQ163">
            <v>-8.8405757466917034E-2</v>
          </cell>
          <cell r="BR163">
            <v>5.9618441971383218E-2</v>
          </cell>
          <cell r="BS163">
            <v>0.28132033008252044</v>
          </cell>
          <cell r="BT163">
            <v>0.49300714961613457</v>
          </cell>
          <cell r="BU163">
            <v>1.7564355971896983E-2</v>
          </cell>
          <cell r="BV163">
            <v>0.24856162248845215</v>
          </cell>
          <cell r="BW163">
            <v>-2.1198156682027736E-2</v>
          </cell>
          <cell r="BX163">
            <v>0.49340866290018837</v>
          </cell>
          <cell r="BY163">
            <v>0.85714285714285721</v>
          </cell>
          <cell r="BZ163">
            <v>0.21374527112232045</v>
          </cell>
          <cell r="CA163">
            <v>7.8441298701298789E-2</v>
          </cell>
          <cell r="CB163">
            <v>0.24133001958815514</v>
          </cell>
          <cell r="CC163">
            <v>-0.12107141616775008</v>
          </cell>
          <cell r="CD163">
            <v>0.42812068095838596</v>
          </cell>
          <cell r="CE163">
            <v>-6.7549421867396431E-2</v>
          </cell>
          <cell r="CF163">
            <v>2.5000000000000001E-2</v>
          </cell>
          <cell r="CG163">
            <v>2.5000000000000001E-2</v>
          </cell>
          <cell r="CH163">
            <v>2.5000000000000001E-2</v>
          </cell>
          <cell r="CI163">
            <v>4.1472858668305523E-3</v>
          </cell>
          <cell r="CN163">
            <v>798.23767223476545</v>
          </cell>
          <cell r="CS163">
            <v>0.1</v>
          </cell>
          <cell r="CZ163" t="str">
            <v>Assume ~8M shares repurchased under $150M ASR in 3Q, balance carries forward</v>
          </cell>
          <cell r="DE163" t="str">
            <v>mstag:netIncomeAsReported</v>
          </cell>
          <cell r="DF163">
            <v>6</v>
          </cell>
          <cell r="DG163" t="str">
            <v>ISO4217:USD</v>
          </cell>
          <cell r="DH163" t="b">
            <v>0</v>
          </cell>
        </row>
        <row r="164">
          <cell r="A164" t="str">
            <v>GAAP Net Income</v>
          </cell>
          <cell r="M164">
            <v>13.004733199999999</v>
          </cell>
          <cell r="N164">
            <v>14.586422800000005</v>
          </cell>
          <cell r="O164">
            <v>12.149889235999996</v>
          </cell>
          <cell r="P164">
            <v>15.162978399999979</v>
          </cell>
          <cell r="Q164">
            <v>54.904023636000048</v>
          </cell>
          <cell r="R164">
            <v>17.357999999999976</v>
          </cell>
          <cell r="S164">
            <v>38.032199999999996</v>
          </cell>
          <cell r="T164">
            <v>29.04299999999996</v>
          </cell>
          <cell r="U164">
            <v>19.540000000000028</v>
          </cell>
          <cell r="V164">
            <v>103.97320000000006</v>
          </cell>
          <cell r="W164">
            <v>15.192999999999932</v>
          </cell>
          <cell r="X164">
            <v>21.458000000000027</v>
          </cell>
          <cell r="Y164">
            <v>8.4229999999999556</v>
          </cell>
          <cell r="Z164">
            <v>0.89299999999995916</v>
          </cell>
          <cell r="AA164">
            <v>45.966999999999757</v>
          </cell>
          <cell r="AB164">
            <v>6.9670000000000343</v>
          </cell>
          <cell r="AC164">
            <v>13.060000000000059</v>
          </cell>
          <cell r="AD164">
            <v>2.6859999999999999</v>
          </cell>
          <cell r="AE164">
            <v>-42.4</v>
          </cell>
          <cell r="AF164">
            <v>-19.686999999999976</v>
          </cell>
          <cell r="AG164">
            <v>-31.600000000000023</v>
          </cell>
          <cell r="AH164">
            <v>14</v>
          </cell>
          <cell r="AI164">
            <v>0.80000000000000071</v>
          </cell>
          <cell r="AJ164">
            <v>17</v>
          </cell>
          <cell r="AK164">
            <v>0.20000000000009166</v>
          </cell>
          <cell r="AL164">
            <v>-22</v>
          </cell>
          <cell r="AM164">
            <v>21</v>
          </cell>
          <cell r="AN164">
            <v>23</v>
          </cell>
          <cell r="AO164">
            <v>-4</v>
          </cell>
          <cell r="AP164">
            <v>18</v>
          </cell>
          <cell r="AQ164">
            <v>-7.7999999999999545</v>
          </cell>
          <cell r="AR164">
            <v>-7</v>
          </cell>
          <cell r="AS164">
            <v>-4</v>
          </cell>
          <cell r="AT164">
            <v>-57</v>
          </cell>
          <cell r="AU164">
            <v>-75.800000000000182</v>
          </cell>
          <cell r="AV164">
            <v>14.7</v>
          </cell>
          <cell r="AW164">
            <v>21.700000000000003</v>
          </cell>
          <cell r="AX164">
            <v>16.05</v>
          </cell>
          <cell r="AY164">
            <v>11</v>
          </cell>
          <cell r="AZ164">
            <v>63.449999999999996</v>
          </cell>
          <cell r="BA164">
            <v>-1.5</v>
          </cell>
          <cell r="BB164">
            <v>30</v>
          </cell>
          <cell r="BC164">
            <v>58.799999999999955</v>
          </cell>
          <cell r="BD164">
            <v>9.1000000000000227</v>
          </cell>
          <cell r="BE164">
            <v>96.399999999999636</v>
          </cell>
          <cell r="BF164">
            <v>3</v>
          </cell>
          <cell r="BG164">
            <v>25</v>
          </cell>
          <cell r="BH164">
            <v>34.5</v>
          </cell>
          <cell r="BI164">
            <v>23</v>
          </cell>
          <cell r="BJ164">
            <v>85.5</v>
          </cell>
          <cell r="BK164">
            <v>30</v>
          </cell>
          <cell r="BL164">
            <v>52</v>
          </cell>
          <cell r="BM164">
            <v>45</v>
          </cell>
          <cell r="BN164">
            <v>1</v>
          </cell>
          <cell r="BO164">
            <v>128</v>
          </cell>
          <cell r="BP164">
            <v>14</v>
          </cell>
          <cell r="BQ164">
            <v>36</v>
          </cell>
          <cell r="BR164">
            <v>71</v>
          </cell>
          <cell r="BS164">
            <v>47</v>
          </cell>
          <cell r="BT164">
            <v>168</v>
          </cell>
          <cell r="BU164">
            <v>4</v>
          </cell>
          <cell r="BV164">
            <v>61</v>
          </cell>
          <cell r="BW164">
            <v>79</v>
          </cell>
          <cell r="BX164">
            <v>88</v>
          </cell>
          <cell r="BY164">
            <v>232</v>
          </cell>
          <cell r="BZ164">
            <v>137</v>
          </cell>
          <cell r="CA164">
            <v>152</v>
          </cell>
          <cell r="CB164">
            <v>198</v>
          </cell>
          <cell r="CC164">
            <v>197.21693969970181</v>
          </cell>
          <cell r="CD164">
            <v>684.21693969970227</v>
          </cell>
          <cell r="CE164">
            <v>197.91878943627444</v>
          </cell>
          <cell r="CF164">
            <v>235.31675122250934</v>
          </cell>
          <cell r="CG164">
            <v>262.43716326336016</v>
          </cell>
          <cell r="CH164">
            <v>235.36395486601077</v>
          </cell>
          <cell r="CI164">
            <v>931.036658788154</v>
          </cell>
          <cell r="CN164">
            <v>895.27042058970619</v>
          </cell>
          <cell r="CS164">
            <v>876.08901600699983</v>
          </cell>
          <cell r="DJ164" t="str">
            <v>mstag:netIncomeAsReported</v>
          </cell>
          <cell r="DK164">
            <v>6</v>
          </cell>
          <cell r="DL164" t="str">
            <v>ISO4217:USD</v>
          </cell>
          <cell r="DM164" t="b">
            <v>0</v>
          </cell>
        </row>
        <row r="165">
          <cell r="A165" t="str">
            <v>Reported GAAP Diluted Earnings Per Share</v>
          </cell>
          <cell r="M165">
            <v>0.10060716139638333</v>
          </cell>
          <cell r="N165">
            <v>9.7480671505139241E-2</v>
          </cell>
          <cell r="O165">
            <v>7.9313648263610925E-2</v>
          </cell>
          <cell r="P165">
            <v>9.882684681425849E-2</v>
          </cell>
          <cell r="Q165">
            <v>0.4</v>
          </cell>
          <cell r="R165">
            <v>0.4</v>
          </cell>
          <cell r="S165">
            <v>0.4</v>
          </cell>
          <cell r="T165">
            <v>0.4</v>
          </cell>
          <cell r="U165">
            <v>0.4</v>
          </cell>
          <cell r="V165">
            <v>0.41</v>
          </cell>
          <cell r="W165">
            <v>0.41</v>
          </cell>
          <cell r="X165">
            <v>0.41</v>
          </cell>
          <cell r="Y165">
            <v>0.41</v>
          </cell>
          <cell r="Z165">
            <v>0.41</v>
          </cell>
          <cell r="AA165">
            <v>0.41</v>
          </cell>
          <cell r="AB165">
            <v>0.41</v>
          </cell>
          <cell r="AC165">
            <v>0.41</v>
          </cell>
          <cell r="AD165">
            <v>0.41</v>
          </cell>
          <cell r="AE165">
            <v>0.41</v>
          </cell>
          <cell r="AF165">
            <v>0.41</v>
          </cell>
          <cell r="AG165">
            <v>0.41</v>
          </cell>
          <cell r="AH165">
            <v>0.41</v>
          </cell>
          <cell r="AI165">
            <v>0.41</v>
          </cell>
          <cell r="AJ165">
            <v>0.41</v>
          </cell>
          <cell r="AK165">
            <v>0.41</v>
          </cell>
          <cell r="AL165">
            <v>0.41</v>
          </cell>
          <cell r="AM165">
            <v>0.41</v>
          </cell>
          <cell r="AN165">
            <v>0.41</v>
          </cell>
          <cell r="AO165">
            <v>0.41</v>
          </cell>
          <cell r="AP165">
            <v>0.41</v>
          </cell>
          <cell r="AQ165">
            <v>0.41</v>
          </cell>
          <cell r="AR165">
            <v>0.41</v>
          </cell>
          <cell r="AS165">
            <v>0.41</v>
          </cell>
          <cell r="AT165">
            <v>0.41</v>
          </cell>
          <cell r="AU165">
            <v>0.41</v>
          </cell>
          <cell r="AV165">
            <v>0.41</v>
          </cell>
          <cell r="AW165">
            <v>0.41</v>
          </cell>
          <cell r="AX165">
            <v>0.41</v>
          </cell>
          <cell r="AY165">
            <v>0.41</v>
          </cell>
          <cell r="AZ165">
            <v>0.41</v>
          </cell>
          <cell r="BA165">
            <v>0.41</v>
          </cell>
          <cell r="BB165">
            <v>0.41</v>
          </cell>
          <cell r="BC165">
            <v>0.41</v>
          </cell>
          <cell r="BD165">
            <v>0.41</v>
          </cell>
          <cell r="BE165">
            <v>0.41</v>
          </cell>
          <cell r="BF165">
            <v>0.41</v>
          </cell>
          <cell r="BG165">
            <v>0.41</v>
          </cell>
          <cell r="BH165">
            <v>0.41</v>
          </cell>
          <cell r="BI165">
            <v>0.41</v>
          </cell>
          <cell r="BJ165">
            <v>0.41</v>
          </cell>
          <cell r="BK165">
            <v>0.41</v>
          </cell>
          <cell r="BL165">
            <v>0.41</v>
          </cell>
          <cell r="BM165">
            <v>0.41</v>
          </cell>
          <cell r="BN165">
            <v>0.41</v>
          </cell>
          <cell r="BO165">
            <v>0.41</v>
          </cell>
          <cell r="BP165">
            <v>0.41</v>
          </cell>
          <cell r="BQ165">
            <v>0.41</v>
          </cell>
          <cell r="BR165">
            <v>0.41</v>
          </cell>
          <cell r="BS165">
            <v>0.41</v>
          </cell>
          <cell r="BT165">
            <v>0.41</v>
          </cell>
          <cell r="BU165">
            <v>0.41</v>
          </cell>
          <cell r="BV165">
            <v>0.41</v>
          </cell>
          <cell r="BW165">
            <v>0.41</v>
          </cell>
          <cell r="BX165">
            <v>0.41</v>
          </cell>
          <cell r="BY165">
            <v>0.41</v>
          </cell>
          <cell r="BZ165">
            <v>0.41</v>
          </cell>
          <cell r="CA165">
            <v>0.41</v>
          </cell>
          <cell r="CB165">
            <v>0.41</v>
          </cell>
          <cell r="CC165">
            <v>0.41</v>
          </cell>
          <cell r="CD165">
            <v>0.41</v>
          </cell>
          <cell r="CE165">
            <v>0.41</v>
          </cell>
          <cell r="CF165">
            <v>0.41</v>
          </cell>
          <cell r="CG165">
            <v>0.41</v>
          </cell>
          <cell r="CH165">
            <v>0.41</v>
          </cell>
          <cell r="CI165">
            <v>0.41</v>
          </cell>
          <cell r="CN165">
            <v>2.5927321766281675</v>
          </cell>
          <cell r="CS165">
            <v>2.5371822067969876</v>
          </cell>
          <cell r="DJ165" t="str">
            <v>mstag:statutoryTaxRate</v>
          </cell>
          <cell r="DK165">
            <v>0</v>
          </cell>
          <cell r="DL165" t="str">
            <v>ms_eqr_gcim_Decimal:ms_eqr_gcim_decimal</v>
          </cell>
          <cell r="DM165" t="b">
            <v>0</v>
          </cell>
          <cell r="DN165" t="b">
            <v>0</v>
          </cell>
        </row>
        <row r="166">
          <cell r="A166" t="str">
            <v>INCOME STATEMENT VIEWS</v>
          </cell>
        </row>
        <row r="167">
          <cell r="A167" t="str">
            <v>LAST TWELVE-MONTH VIEW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-53</v>
          </cell>
          <cell r="AU167">
            <v>-53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BR167">
            <v>0</v>
          </cell>
          <cell r="BS167">
            <v>0</v>
          </cell>
          <cell r="BT167">
            <v>0</v>
          </cell>
          <cell r="BU167">
            <v>0</v>
          </cell>
          <cell r="BV167">
            <v>0</v>
          </cell>
          <cell r="BW167">
            <v>0</v>
          </cell>
          <cell r="BX167">
            <v>0</v>
          </cell>
          <cell r="BY167">
            <v>0</v>
          </cell>
          <cell r="BZ167">
            <v>0</v>
          </cell>
          <cell r="CA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N167">
            <v>0</v>
          </cell>
          <cell r="CS167">
            <v>0</v>
          </cell>
          <cell r="DJ167" t="str">
            <v>mstag:assetImpairmentNonGoodwillOneTimeIncomeStatement</v>
          </cell>
          <cell r="DK167">
            <v>6</v>
          </cell>
          <cell r="DL167" t="str">
            <v>ISO4217:USD</v>
          </cell>
          <cell r="DM167" t="b">
            <v>0</v>
          </cell>
          <cell r="DN167" t="b">
            <v>0</v>
          </cell>
        </row>
        <row r="168">
          <cell r="A168" t="str">
            <v>LTM Metrics</v>
          </cell>
          <cell r="L168">
            <v>320.41400000000004</v>
          </cell>
          <cell r="M168">
            <v>389.93299999999999</v>
          </cell>
          <cell r="N168">
            <v>460.83800000000002</v>
          </cell>
          <cell r="O168">
            <v>543.49099999999999</v>
          </cell>
          <cell r="P168">
            <v>635.19099999999992</v>
          </cell>
          <cell r="Q168">
            <v>635.19100000000003</v>
          </cell>
          <cell r="R168">
            <v>718.952</v>
          </cell>
          <cell r="S168">
            <v>814.34999999999991</v>
          </cell>
          <cell r="T168">
            <v>922.66499999999996</v>
          </cell>
          <cell r="U168">
            <v>998.35099999999989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5.6000000000000005</v>
          </cell>
          <cell r="AJ168">
            <v>0</v>
          </cell>
          <cell r="AK168">
            <v>5.6000000000000005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BR168">
            <v>0</v>
          </cell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  <cell r="BZ168">
            <v>0</v>
          </cell>
          <cell r="CA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N168">
            <v>7507.6526671387492</v>
          </cell>
          <cell r="CS168">
            <v>0</v>
          </cell>
          <cell r="DJ168" t="str">
            <v>mstag:gainsLossesFromSaleOfOperatingAssetsOneTimeIncomeStatement</v>
          </cell>
          <cell r="DK168">
            <v>6</v>
          </cell>
          <cell r="DL168" t="str">
            <v>ISO4217:USD</v>
          </cell>
          <cell r="DM168" t="b">
            <v>0</v>
          </cell>
          <cell r="DN168" t="b">
            <v>0</v>
          </cell>
        </row>
        <row r="169">
          <cell r="A169" t="str">
            <v>LTM Operating Revenue</v>
          </cell>
          <cell r="L169">
            <v>320.41400000000004</v>
          </cell>
          <cell r="M169">
            <v>389.93299999999999</v>
          </cell>
          <cell r="N169">
            <v>460.83800000000002</v>
          </cell>
          <cell r="O169">
            <v>543.49099999999999</v>
          </cell>
          <cell r="P169">
            <v>635.19099999999992</v>
          </cell>
          <cell r="Q169">
            <v>635.19100000000003</v>
          </cell>
          <cell r="R169">
            <v>718.952</v>
          </cell>
          <cell r="S169">
            <v>814.34999999999991</v>
          </cell>
          <cell r="T169">
            <v>922.66499999999996</v>
          </cell>
          <cell r="U169">
            <v>998.35099999999989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-10.4</v>
          </cell>
          <cell r="AF169">
            <v>-10.4</v>
          </cell>
          <cell r="AG169">
            <v>0</v>
          </cell>
          <cell r="AH169">
            <v>0</v>
          </cell>
          <cell r="AI169">
            <v>0</v>
          </cell>
          <cell r="AJ169">
            <v>2363.4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BR169">
            <v>0</v>
          </cell>
          <cell r="BS169">
            <v>0</v>
          </cell>
          <cell r="BT169">
            <v>0</v>
          </cell>
          <cell r="BU169">
            <v>0</v>
          </cell>
          <cell r="BV169">
            <v>0</v>
          </cell>
          <cell r="BW169">
            <v>0</v>
          </cell>
          <cell r="BX169">
            <v>0</v>
          </cell>
          <cell r="BY169">
            <v>0</v>
          </cell>
          <cell r="BZ169">
            <v>0</v>
          </cell>
          <cell r="CA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N169">
            <v>7395.2361099561986</v>
          </cell>
          <cell r="CS169">
            <v>7983.4661050058194</v>
          </cell>
          <cell r="DJ169" t="str">
            <v>mstag:restructuringCostsOneTime</v>
          </cell>
          <cell r="DK169">
            <v>6</v>
          </cell>
          <cell r="DL169" t="str">
            <v>ISO4217:USD</v>
          </cell>
          <cell r="DM169" t="b">
            <v>1</v>
          </cell>
          <cell r="DN169" t="b">
            <v>0</v>
          </cell>
        </row>
        <row r="170">
          <cell r="A170" t="str">
            <v>LTM Passenger Revenue</v>
          </cell>
          <cell r="L170">
            <v>310.49800000000005</v>
          </cell>
          <cell r="M170">
            <v>377.62799999999999</v>
          </cell>
          <cell r="N170">
            <v>445.76699999999994</v>
          </cell>
          <cell r="O170">
            <v>525.73199999999997</v>
          </cell>
          <cell r="P170">
            <v>615.17100000000005</v>
          </cell>
          <cell r="Q170">
            <v>615.17100000000005</v>
          </cell>
          <cell r="R170">
            <v>695.98299999999995</v>
          </cell>
          <cell r="S170">
            <v>11.3</v>
          </cell>
          <cell r="T170">
            <v>892.91699999999992</v>
          </cell>
          <cell r="U170">
            <v>965.09099999999989</v>
          </cell>
          <cell r="V170">
            <v>11.3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-8</v>
          </cell>
          <cell r="AW170">
            <v>5</v>
          </cell>
          <cell r="AX170">
            <v>3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-3</v>
          </cell>
          <cell r="BI170">
            <v>0</v>
          </cell>
          <cell r="BJ170">
            <v>-3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BR170">
            <v>0</v>
          </cell>
          <cell r="BS170">
            <v>0</v>
          </cell>
          <cell r="BT170">
            <v>0</v>
          </cell>
          <cell r="BU170">
            <v>0</v>
          </cell>
          <cell r="BV170">
            <v>0</v>
          </cell>
          <cell r="BW170">
            <v>0</v>
          </cell>
          <cell r="BX170">
            <v>1</v>
          </cell>
          <cell r="BY170">
            <v>1</v>
          </cell>
          <cell r="BZ170">
            <v>0</v>
          </cell>
          <cell r="CA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N170">
            <v>6717.4573605811984</v>
          </cell>
          <cell r="CS170">
            <v>7254.8539494276947</v>
          </cell>
          <cell r="DJ170" t="str">
            <v>mstag:incomeLossFromExtraordinaryItemsNetOfTax</v>
          </cell>
          <cell r="DK170">
            <v>6</v>
          </cell>
          <cell r="DL170" t="str">
            <v>ISO4217:USD</v>
          </cell>
          <cell r="DM170" t="b">
            <v>0</v>
          </cell>
          <cell r="DN170" t="b">
            <v>0</v>
          </cell>
        </row>
        <row r="171">
          <cell r="A171" t="str">
            <v>LTM Operating Expense</v>
          </cell>
          <cell r="L171">
            <v>294.03721619999999</v>
          </cell>
          <cell r="M171">
            <v>347.71588789999998</v>
          </cell>
          <cell r="N171">
            <v>401.9034375</v>
          </cell>
          <cell r="O171">
            <v>466.73248810000001</v>
          </cell>
          <cell r="P171">
            <v>530.2020136000001</v>
          </cell>
          <cell r="Q171">
            <v>530.20201359999999</v>
          </cell>
          <cell r="R171">
            <v>0</v>
          </cell>
          <cell r="S171">
            <v>11.3</v>
          </cell>
          <cell r="T171">
            <v>0</v>
          </cell>
          <cell r="U171">
            <v>0</v>
          </cell>
          <cell r="V171">
            <v>11.3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-10.4</v>
          </cell>
          <cell r="AF171">
            <v>-10.4</v>
          </cell>
          <cell r="AG171">
            <v>0</v>
          </cell>
          <cell r="AH171">
            <v>0</v>
          </cell>
          <cell r="AI171">
            <v>5.6000000000000005</v>
          </cell>
          <cell r="AJ171">
            <v>1</v>
          </cell>
          <cell r="AK171">
            <v>6.6000000000000005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-53</v>
          </cell>
          <cell r="AU171">
            <v>-53</v>
          </cell>
          <cell r="AV171">
            <v>-8</v>
          </cell>
          <cell r="AW171">
            <v>5</v>
          </cell>
          <cell r="AX171">
            <v>3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-3</v>
          </cell>
          <cell r="BI171">
            <v>0</v>
          </cell>
          <cell r="BJ171">
            <v>-3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BR171">
            <v>0</v>
          </cell>
          <cell r="BS171">
            <v>0</v>
          </cell>
          <cell r="BT171">
            <v>0</v>
          </cell>
          <cell r="BU171">
            <v>0</v>
          </cell>
          <cell r="BV171">
            <v>0</v>
          </cell>
          <cell r="BW171">
            <v>0</v>
          </cell>
          <cell r="BX171">
            <v>1</v>
          </cell>
          <cell r="BY171">
            <v>1</v>
          </cell>
          <cell r="BZ171">
            <v>0</v>
          </cell>
          <cell r="CA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N171">
            <v>5865.6205727178658</v>
          </cell>
          <cell r="CS171">
            <v>6520.4097446658834</v>
          </cell>
        </row>
        <row r="172">
          <cell r="A172" t="str">
            <v>LTM Fuel Expense</v>
          </cell>
          <cell r="L172">
            <v>41.659216200000003</v>
          </cell>
          <cell r="M172">
            <v>46.110887900000002</v>
          </cell>
          <cell r="N172">
            <v>52.564437499999997</v>
          </cell>
          <cell r="O172">
            <v>61.837488100000002</v>
          </cell>
          <cell r="P172">
            <v>76.269013599999994</v>
          </cell>
          <cell r="Q172">
            <v>76.269013599999994</v>
          </cell>
          <cell r="R172">
            <v>99.251746799999992</v>
          </cell>
          <cell r="S172">
            <v>114.72616959999999</v>
          </cell>
          <cell r="T172">
            <v>131.85302160000001</v>
          </cell>
          <cell r="U172">
            <v>147.316</v>
          </cell>
          <cell r="V172">
            <v>147.316</v>
          </cell>
          <cell r="W172">
            <v>160.595</v>
          </cell>
          <cell r="X172">
            <v>185.56799999999998</v>
          </cell>
          <cell r="Y172">
            <v>215.77100000000002</v>
          </cell>
          <cell r="Z172">
            <v>255.36599999999999</v>
          </cell>
          <cell r="AA172">
            <v>255.36599999999999</v>
          </cell>
          <cell r="AB172">
            <v>292.74099999999999</v>
          </cell>
          <cell r="AC172">
            <v>346.61800000000005</v>
          </cell>
          <cell r="AD172">
            <v>416.14500000000004</v>
          </cell>
          <cell r="AE172">
            <v>487.935</v>
          </cell>
          <cell r="AF172">
            <v>487.93500000000006</v>
          </cell>
          <cell r="AG172">
            <v>561.31499999999994</v>
          </cell>
          <cell r="AH172">
            <v>642.00800000000004</v>
          </cell>
          <cell r="AI172">
            <v>715.98199999999997</v>
          </cell>
          <cell r="AJ172">
            <v>752</v>
          </cell>
          <cell r="AK172">
            <v>752</v>
          </cell>
          <cell r="AL172">
            <v>782</v>
          </cell>
          <cell r="AM172">
            <v>816</v>
          </cell>
          <cell r="AN172">
            <v>853</v>
          </cell>
          <cell r="AO172">
            <v>929</v>
          </cell>
          <cell r="AP172">
            <v>929</v>
          </cell>
          <cell r="AQ172">
            <v>1047</v>
          </cell>
          <cell r="AR172">
            <v>1191</v>
          </cell>
          <cell r="AS172">
            <v>1336</v>
          </cell>
          <cell r="AT172">
            <v>1360.4</v>
          </cell>
          <cell r="AU172">
            <v>1360.4</v>
          </cell>
          <cell r="AV172">
            <v>1275.5</v>
          </cell>
          <cell r="AW172">
            <v>1140.5999999999999</v>
          </cell>
          <cell r="AX172">
            <v>1000.9</v>
          </cell>
          <cell r="AY172">
            <v>944.5</v>
          </cell>
          <cell r="AZ172">
            <v>944.5</v>
          </cell>
          <cell r="BA172">
            <v>975.4</v>
          </cell>
          <cell r="BB172">
            <v>1019.3</v>
          </cell>
          <cell r="BC172">
            <v>1057.2</v>
          </cell>
          <cell r="BD172">
            <v>1114.7</v>
          </cell>
          <cell r="BE172">
            <v>1114.7</v>
          </cell>
          <cell r="BF172">
            <v>1213.7</v>
          </cell>
          <cell r="BG172">
            <v>1373.7</v>
          </cell>
          <cell r="BH172">
            <v>1535.5</v>
          </cell>
          <cell r="BI172">
            <v>1664</v>
          </cell>
          <cell r="BJ172">
            <v>1664</v>
          </cell>
          <cell r="BK172">
            <v>1744</v>
          </cell>
          <cell r="BL172">
            <v>1755</v>
          </cell>
          <cell r="BM172">
            <v>1782</v>
          </cell>
          <cell r="BN172">
            <v>1806</v>
          </cell>
          <cell r="BO172">
            <v>1806</v>
          </cell>
          <cell r="BP172">
            <v>1840</v>
          </cell>
          <cell r="BQ172">
            <v>1855</v>
          </cell>
          <cell r="BR172">
            <v>1875</v>
          </cell>
          <cell r="BS172">
            <v>1899</v>
          </cell>
          <cell r="BT172">
            <v>1899</v>
          </cell>
          <cell r="BU172">
            <v>1896</v>
          </cell>
          <cell r="BV172">
            <v>1928</v>
          </cell>
          <cell r="BW172">
            <v>1942</v>
          </cell>
          <cell r="BX172">
            <v>1912</v>
          </cell>
          <cell r="BY172">
            <v>1912</v>
          </cell>
          <cell r="BZ172">
            <v>1783</v>
          </cell>
          <cell r="CA172">
            <v>1657</v>
          </cell>
          <cell r="CB172">
            <v>1484</v>
          </cell>
          <cell r="CC172">
            <v>1344.7573009324592</v>
          </cell>
          <cell r="CD172">
            <v>1344.7573009324592</v>
          </cell>
          <cell r="CE172">
            <v>1235.6753009324593</v>
          </cell>
          <cell r="CF172">
            <v>1111.0071009324593</v>
          </cell>
          <cell r="CG172">
            <v>1042.3168509324591</v>
          </cell>
          <cell r="CH172">
            <v>1017.7495920970282</v>
          </cell>
          <cell r="CI172">
            <v>1017.7495920970282</v>
          </cell>
          <cell r="CN172">
            <v>1214.0168638116895</v>
          </cell>
          <cell r="CS172">
            <v>1391.5546899755111</v>
          </cell>
        </row>
        <row r="173">
          <cell r="A173" t="str">
            <v>LTM Ex-Fuel Operating Expense</v>
          </cell>
          <cell r="L173">
            <v>252.37799999999999</v>
          </cell>
          <cell r="M173">
            <v>13.004733199999999</v>
          </cell>
          <cell r="N173">
            <v>14.586422800000005</v>
          </cell>
          <cell r="O173">
            <v>12.149889235999996</v>
          </cell>
          <cell r="P173">
            <v>15.162978399999979</v>
          </cell>
          <cell r="Q173">
            <v>54.904023636000048</v>
          </cell>
          <cell r="R173">
            <v>17.357999999999976</v>
          </cell>
          <cell r="S173">
            <v>38.032199999999996</v>
          </cell>
          <cell r="T173">
            <v>29.04299999999996</v>
          </cell>
          <cell r="U173">
            <v>19.540000000000028</v>
          </cell>
          <cell r="V173">
            <v>103.97320000000006</v>
          </cell>
          <cell r="W173">
            <v>15.192999999999932</v>
          </cell>
          <cell r="X173">
            <v>21.458000000000027</v>
          </cell>
          <cell r="Y173">
            <v>8.4229999999999556</v>
          </cell>
          <cell r="Z173">
            <v>0.89299999999995916</v>
          </cell>
          <cell r="AA173">
            <v>45.966999999999757</v>
          </cell>
          <cell r="AB173">
            <v>6.9670000000000343</v>
          </cell>
          <cell r="AC173">
            <v>13.060000000000059</v>
          </cell>
          <cell r="AD173">
            <v>2.6859999999999999</v>
          </cell>
          <cell r="AE173">
            <v>-42.4</v>
          </cell>
          <cell r="AF173">
            <v>-19.686999999999976</v>
          </cell>
          <cell r="AG173">
            <v>-31.600000000000023</v>
          </cell>
          <cell r="AH173">
            <v>14</v>
          </cell>
          <cell r="AI173">
            <v>0.80000000000000071</v>
          </cell>
          <cell r="AJ173">
            <v>17</v>
          </cell>
          <cell r="AK173">
            <v>0.20000000000009166</v>
          </cell>
          <cell r="AL173">
            <v>-22</v>
          </cell>
          <cell r="AM173">
            <v>21</v>
          </cell>
          <cell r="AN173">
            <v>23</v>
          </cell>
          <cell r="AO173">
            <v>-4</v>
          </cell>
          <cell r="AP173">
            <v>18</v>
          </cell>
          <cell r="AQ173">
            <v>-7.7999999999999545</v>
          </cell>
          <cell r="AR173">
            <v>-7</v>
          </cell>
          <cell r="AS173">
            <v>-4</v>
          </cell>
          <cell r="AT173">
            <v>-57</v>
          </cell>
          <cell r="AU173">
            <v>-75.800000000000182</v>
          </cell>
          <cell r="AV173">
            <v>14.7</v>
          </cell>
          <cell r="AW173">
            <v>21.700000000000003</v>
          </cell>
          <cell r="AX173">
            <v>16.05</v>
          </cell>
          <cell r="AY173">
            <v>11</v>
          </cell>
          <cell r="AZ173">
            <v>63.449999999999996</v>
          </cell>
          <cell r="BA173">
            <v>-1.5</v>
          </cell>
          <cell r="BB173">
            <v>30</v>
          </cell>
          <cell r="BC173">
            <v>58.799999999999955</v>
          </cell>
          <cell r="BD173">
            <v>9.1000000000000227</v>
          </cell>
          <cell r="BE173">
            <v>96.399999999999636</v>
          </cell>
          <cell r="BF173">
            <v>3</v>
          </cell>
          <cell r="BG173">
            <v>25</v>
          </cell>
          <cell r="BH173">
            <v>34.5</v>
          </cell>
          <cell r="BI173">
            <v>23</v>
          </cell>
          <cell r="BJ173">
            <v>85.5</v>
          </cell>
          <cell r="BK173">
            <v>30</v>
          </cell>
          <cell r="BL173">
            <v>52</v>
          </cell>
          <cell r="BM173">
            <v>45</v>
          </cell>
          <cell r="BN173">
            <v>1</v>
          </cell>
          <cell r="BO173">
            <v>128</v>
          </cell>
          <cell r="BP173">
            <v>14</v>
          </cell>
          <cell r="BQ173">
            <v>36</v>
          </cell>
          <cell r="BR173">
            <v>71</v>
          </cell>
          <cell r="BS173">
            <v>47</v>
          </cell>
          <cell r="BT173">
            <v>168</v>
          </cell>
          <cell r="BU173">
            <v>4</v>
          </cell>
          <cell r="BV173">
            <v>61</v>
          </cell>
          <cell r="BW173">
            <v>79</v>
          </cell>
          <cell r="BX173">
            <v>88</v>
          </cell>
          <cell r="BY173">
            <v>232</v>
          </cell>
          <cell r="BZ173">
            <v>137</v>
          </cell>
          <cell r="CA173">
            <v>152</v>
          </cell>
          <cell r="CB173">
            <v>198</v>
          </cell>
          <cell r="CC173">
            <v>190</v>
          </cell>
          <cell r="CD173">
            <v>677</v>
          </cell>
          <cell r="CE173">
            <v>199</v>
          </cell>
          <cell r="CF173">
            <v>170.37008251586965</v>
          </cell>
          <cell r="CG173">
            <v>186.73023707750022</v>
          </cell>
          <cell r="CH173">
            <v>190.19399423309852</v>
          </cell>
          <cell r="CI173">
            <v>746.29431382646885</v>
          </cell>
          <cell r="CN173">
            <v>4651.6037089061765</v>
          </cell>
          <cell r="CS173">
            <v>5128.8550546903725</v>
          </cell>
          <cell r="DJ173" t="str">
            <v>mstag:netIncomeAsReported</v>
          </cell>
          <cell r="DK173">
            <v>6</v>
          </cell>
          <cell r="DL173" t="str">
            <v>ISO4217:USD</v>
          </cell>
          <cell r="DM173" t="b">
            <v>0</v>
          </cell>
        </row>
        <row r="174">
          <cell r="A174" t="str">
            <v>LTM Mainline Aircraft Rent</v>
          </cell>
          <cell r="L174">
            <v>32.927000000000007</v>
          </cell>
          <cell r="M174">
            <v>0.10060716139638333</v>
          </cell>
          <cell r="N174">
            <v>9.7480671505139241E-2</v>
          </cell>
          <cell r="O174">
            <v>7.9313648263610925E-2</v>
          </cell>
          <cell r="P174">
            <v>9.882684681425849E-2</v>
          </cell>
          <cell r="Q174">
            <v>0.37508248762401797</v>
          </cell>
          <cell r="R174">
            <v>0.1125850687603674</v>
          </cell>
          <cell r="S174">
            <v>0.24313454733753337</v>
          </cell>
          <cell r="T174">
            <v>0.17475123536180848</v>
          </cell>
          <cell r="U174">
            <v>0.11622546789078153</v>
          </cell>
          <cell r="V174">
            <v>0.64487602319050963</v>
          </cell>
          <cell r="W174">
            <v>9.1884160520593838E-2</v>
          </cell>
          <cell r="X174">
            <v>0.12834845127119293</v>
          </cell>
          <cell r="Y174">
            <v>5.0672129125795717E-2</v>
          </cell>
          <cell r="Z174">
            <v>5.376052785252633E-3</v>
          </cell>
          <cell r="AA174">
            <v>0.27648741229507806</v>
          </cell>
          <cell r="AB174">
            <v>4.2213497170417433E-2</v>
          </cell>
          <cell r="AC174">
            <v>7.2194183558963509E-2</v>
          </cell>
          <cell r="AD174">
            <v>1.6157460042468978E-2</v>
          </cell>
          <cell r="AE174">
            <v>-0.25308597760427853</v>
          </cell>
          <cell r="AF174">
            <v>-0.11531252562565636</v>
          </cell>
          <cell r="AG174">
            <v>-0.18239959364141176</v>
          </cell>
          <cell r="AH174">
            <v>7.74160726826328E-2</v>
          </cell>
          <cell r="AI174">
            <v>4.5566130695054406E-3</v>
          </cell>
          <cell r="AJ174">
            <v>8.6205147968601042E-2</v>
          </cell>
          <cell r="AK174">
            <v>1.1328107299837537E-3</v>
          </cell>
          <cell r="AL174">
            <v>-0.12345401898947274</v>
          </cell>
          <cell r="AM174">
            <v>0.10574816829065639</v>
          </cell>
          <cell r="AN174">
            <v>0.1157081337787258</v>
          </cell>
          <cell r="AO174">
            <v>-2.208041687827066E-2</v>
          </cell>
          <cell r="AP174">
            <v>9.514735285527956E-2</v>
          </cell>
          <cell r="AQ174">
            <v>-3.6377882247593252E-2</v>
          </cell>
          <cell r="AR174">
            <v>-3.107202940301754E-2</v>
          </cell>
          <cell r="AS174">
            <v>-1.7704833862265245E-2</v>
          </cell>
          <cell r="AT174">
            <v>-0.23007249301709803</v>
          </cell>
          <cell r="AU174">
            <v>-0.33500985583085174</v>
          </cell>
          <cell r="AV174">
            <v>5.3541379837846112E-2</v>
          </cell>
          <cell r="AW174">
            <v>6.7128211791054937E-2</v>
          </cell>
          <cell r="AX174">
            <v>4.66340664034239E-2</v>
          </cell>
          <cell r="AY174">
            <v>3.6240001054254581E-2</v>
          </cell>
          <cell r="AZ174">
            <v>0.19107819901645171</v>
          </cell>
          <cell r="BA174">
            <v>-5.4733938325798297E-3</v>
          </cell>
          <cell r="BB174">
            <v>8.6595831276682342E-2</v>
          </cell>
          <cell r="BC174">
            <v>0.16948468584802859</v>
          </cell>
          <cell r="BD174">
            <v>2.9673300225321508E-2</v>
          </cell>
          <cell r="BE174">
            <v>0.27813040969417091</v>
          </cell>
          <cell r="BF174">
            <v>1.0739523594733338E-2</v>
          </cell>
          <cell r="BG174">
            <v>7.1662190168520809E-2</v>
          </cell>
          <cell r="BH174">
            <v>0.10830231073810191</v>
          </cell>
          <cell r="BI174">
            <v>6.7080817802665726E-2</v>
          </cell>
          <cell r="BJ174">
            <v>0.24668205424120021</v>
          </cell>
          <cell r="BK174">
            <v>8.750820389411508E-2</v>
          </cell>
          <cell r="BL174">
            <v>0.15125688655151751</v>
          </cell>
          <cell r="BM174">
            <v>0.13051346898999977</v>
          </cell>
          <cell r="BN174">
            <v>3.5146790570819023E-3</v>
          </cell>
          <cell r="BO174">
            <v>0.37195354067805964</v>
          </cell>
          <cell r="BP174">
            <v>4.5328273834577701E-2</v>
          </cell>
          <cell r="BQ174">
            <v>0.10495841022994638</v>
          </cell>
          <cell r="BR174">
            <v>0.20654845888667472</v>
          </cell>
          <cell r="BS174">
            <v>0.13626150612451982</v>
          </cell>
          <cell r="BT174">
            <v>0.48918977942782266</v>
          </cell>
          <cell r="BU174">
            <v>1.3458361511777747E-2</v>
          </cell>
          <cell r="BV174">
            <v>0.17739468281249091</v>
          </cell>
          <cell r="BW174">
            <v>0.23159820350153029</v>
          </cell>
          <cell r="BX174">
            <v>0.25679110335550104</v>
          </cell>
          <cell r="BY174">
            <v>0.65703766638346073</v>
          </cell>
          <cell r="BZ174">
            <v>0.39567358373406114</v>
          </cell>
          <cell r="CA174">
            <v>0.43718235969178648</v>
          </cell>
          <cell r="CB174">
            <v>0.57638733228729711</v>
          </cell>
          <cell r="CC174">
            <v>0.55493409427454055</v>
          </cell>
          <cell r="CD174">
            <v>1.9755406474053887</v>
          </cell>
          <cell r="CE174">
            <v>0.58272327964860904</v>
          </cell>
          <cell r="CF174">
            <v>0.49526186777869086</v>
          </cell>
          <cell r="CG174">
            <v>0.54282045662064016</v>
          </cell>
          <cell r="CH174">
            <v>0.5528895181194724</v>
          </cell>
          <cell r="CI174">
            <v>2.1734089954902625</v>
          </cell>
          <cell r="CN174">
            <v>104.10290175525731</v>
          </cell>
          <cell r="CS174">
            <v>101.47317193265711</v>
          </cell>
        </row>
        <row r="175">
          <cell r="A175" t="str">
            <v>LTM Regional Rent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BR175">
            <v>0</v>
          </cell>
          <cell r="BS175">
            <v>0</v>
          </cell>
          <cell r="BT175">
            <v>0</v>
          </cell>
          <cell r="BU175">
            <v>0</v>
          </cell>
          <cell r="BV175">
            <v>0</v>
          </cell>
          <cell r="BW175">
            <v>0</v>
          </cell>
          <cell r="BX175">
            <v>0</v>
          </cell>
          <cell r="BY175">
            <v>0</v>
          </cell>
          <cell r="BZ175">
            <v>0</v>
          </cell>
          <cell r="CA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N175">
            <v>0</v>
          </cell>
          <cell r="CS175">
            <v>0</v>
          </cell>
        </row>
        <row r="176">
          <cell r="A176" t="str">
            <v>LTM D&amp;A</v>
          </cell>
          <cell r="L176">
            <v>10.417</v>
          </cell>
          <cell r="M176">
            <v>12.999000000000001</v>
          </cell>
          <cell r="N176">
            <v>16.413</v>
          </cell>
          <cell r="O176">
            <v>20.613999999999997</v>
          </cell>
          <cell r="P176">
            <v>26.922000000000004</v>
          </cell>
          <cell r="Q176">
            <v>26.921999999999997</v>
          </cell>
          <cell r="R176">
            <v>32.532000000000004</v>
          </cell>
          <cell r="S176">
            <v>38.308</v>
          </cell>
          <cell r="T176">
            <v>45.081999999999994</v>
          </cell>
          <cell r="U176">
            <v>50.397000000000006</v>
          </cell>
          <cell r="V176">
            <v>50.396999999999991</v>
          </cell>
          <cell r="W176">
            <v>56.391000000000005</v>
          </cell>
          <cell r="X176">
            <v>62.361000000000004</v>
          </cell>
          <cell r="Y176">
            <v>68.210999999999999</v>
          </cell>
          <cell r="Z176">
            <v>76.539999999999992</v>
          </cell>
          <cell r="AA176">
            <v>76.540000000000006</v>
          </cell>
          <cell r="AB176">
            <v>84.546999999999997</v>
          </cell>
          <cell r="AC176">
            <v>94.105999999999995</v>
          </cell>
          <cell r="AD176">
            <v>104.06700000000001</v>
          </cell>
          <cell r="AE176">
            <v>114.94199999999999</v>
          </cell>
          <cell r="AF176">
            <v>114.94200000000001</v>
          </cell>
          <cell r="AG176">
            <v>124.619</v>
          </cell>
          <cell r="AH176">
            <v>134.619</v>
          </cell>
          <cell r="AI176">
            <v>144.108</v>
          </cell>
          <cell r="AJ176">
            <v>151</v>
          </cell>
          <cell r="AK176">
            <v>151</v>
          </cell>
          <cell r="AL176">
            <v>159</v>
          </cell>
          <cell r="AM176">
            <v>165</v>
          </cell>
          <cell r="AN176">
            <v>170</v>
          </cell>
          <cell r="AO176">
            <v>176</v>
          </cell>
          <cell r="AP176">
            <v>176</v>
          </cell>
          <cell r="AQ176">
            <v>179</v>
          </cell>
          <cell r="AR176">
            <v>182</v>
          </cell>
          <cell r="AS176">
            <v>192</v>
          </cell>
          <cell r="AT176">
            <v>205</v>
          </cell>
          <cell r="AU176">
            <v>205</v>
          </cell>
          <cell r="AV176">
            <v>215</v>
          </cell>
          <cell r="AW176">
            <v>225</v>
          </cell>
          <cell r="AX176">
            <v>230</v>
          </cell>
          <cell r="AY176">
            <v>228</v>
          </cell>
          <cell r="AZ176">
            <v>228</v>
          </cell>
          <cell r="BA176">
            <v>230</v>
          </cell>
          <cell r="BB176">
            <v>228</v>
          </cell>
          <cell r="BC176">
            <v>223</v>
          </cell>
          <cell r="BD176">
            <v>220</v>
          </cell>
          <cell r="BE176">
            <v>220</v>
          </cell>
          <cell r="BF176">
            <v>219</v>
          </cell>
          <cell r="BG176">
            <v>223</v>
          </cell>
          <cell r="BH176">
            <v>226</v>
          </cell>
          <cell r="BI176">
            <v>233</v>
          </cell>
          <cell r="BJ176">
            <v>233</v>
          </cell>
          <cell r="BK176">
            <v>238</v>
          </cell>
          <cell r="BL176">
            <v>243</v>
          </cell>
          <cell r="BM176">
            <v>252</v>
          </cell>
          <cell r="BN176">
            <v>258</v>
          </cell>
          <cell r="BO176">
            <v>258</v>
          </cell>
          <cell r="BP176">
            <v>265</v>
          </cell>
          <cell r="BQ176">
            <v>273</v>
          </cell>
          <cell r="BR176">
            <v>280</v>
          </cell>
          <cell r="BS176">
            <v>290</v>
          </cell>
          <cell r="BT176">
            <v>290</v>
          </cell>
          <cell r="BU176">
            <v>300</v>
          </cell>
          <cell r="BV176">
            <v>306</v>
          </cell>
          <cell r="BW176">
            <v>312</v>
          </cell>
          <cell r="BX176">
            <v>320</v>
          </cell>
          <cell r="BY176">
            <v>320</v>
          </cell>
          <cell r="BZ176">
            <v>329</v>
          </cell>
          <cell r="CA176">
            <v>333</v>
          </cell>
          <cell r="CB176">
            <v>338</v>
          </cell>
          <cell r="CC176">
            <v>341.87</v>
          </cell>
          <cell r="CD176">
            <v>341.87</v>
          </cell>
          <cell r="CE176">
            <v>348.83</v>
          </cell>
          <cell r="CF176">
            <v>365.03000000000003</v>
          </cell>
          <cell r="CG176">
            <v>380.99</v>
          </cell>
          <cell r="CH176">
            <v>394.47049999999996</v>
          </cell>
          <cell r="CI176">
            <v>394.47050000000002</v>
          </cell>
          <cell r="CN176">
            <v>426.02814000000006</v>
          </cell>
          <cell r="CS176">
            <v>457.98025050000007</v>
          </cell>
        </row>
        <row r="177">
          <cell r="A177" t="str">
            <v>LTM EBIT</v>
          </cell>
          <cell r="L177">
            <v>26.376783800000055</v>
          </cell>
          <cell r="M177">
            <v>42.217112099999994</v>
          </cell>
          <cell r="N177">
            <v>58.934562499999984</v>
          </cell>
          <cell r="O177">
            <v>76.758511899999988</v>
          </cell>
          <cell r="P177">
            <v>104.98898639999997</v>
          </cell>
          <cell r="Q177">
            <v>104.98898640000004</v>
          </cell>
          <cell r="R177">
            <v>116.06325319999995</v>
          </cell>
          <cell r="S177">
            <v>137.29983039999993</v>
          </cell>
          <cell r="T177">
            <v>168.6739783999999</v>
          </cell>
          <cell r="U177">
            <v>172.23299999999995</v>
          </cell>
          <cell r="V177">
            <v>172.23300000000006</v>
          </cell>
          <cell r="W177">
            <v>170.4439999999999</v>
          </cell>
          <cell r="X177">
            <v>166.58799999999994</v>
          </cell>
          <cell r="Y177">
            <v>135.73699999999994</v>
          </cell>
          <cell r="Z177">
            <v>111.44299999999987</v>
          </cell>
          <cell r="AA177">
            <v>111.44299999999976</v>
          </cell>
          <cell r="AB177">
            <v>104.44099999999997</v>
          </cell>
          <cell r="AC177">
            <v>99.413000000000011</v>
          </cell>
          <cell r="AD177">
            <v>90.274000000000058</v>
          </cell>
          <cell r="AE177">
            <v>61.053000000000168</v>
          </cell>
          <cell r="AF177">
            <v>61.053000000000111</v>
          </cell>
          <cell r="AG177">
            <v>10.791000000000111</v>
          </cell>
          <cell r="AH177">
            <v>17.731000000000051</v>
          </cell>
          <cell r="AI177">
            <v>37.885000000000048</v>
          </cell>
          <cell r="AJ177">
            <v>120.39999999999998</v>
          </cell>
          <cell r="AK177">
            <v>120.40000000000009</v>
          </cell>
          <cell r="AL177">
            <v>132</v>
          </cell>
          <cell r="AM177">
            <v>158</v>
          </cell>
          <cell r="AN177">
            <v>203</v>
          </cell>
          <cell r="AO177">
            <v>169</v>
          </cell>
          <cell r="AP177">
            <v>169</v>
          </cell>
          <cell r="AQ177">
            <v>199.20000000000005</v>
          </cell>
          <cell r="AR177">
            <v>147.20000000000005</v>
          </cell>
          <cell r="AS177">
            <v>90.200000000000045</v>
          </cell>
          <cell r="AT177">
            <v>109.20000000000005</v>
          </cell>
          <cell r="AU177">
            <v>109.19999999999982</v>
          </cell>
          <cell r="AV177">
            <v>167.5</v>
          </cell>
          <cell r="AW177">
            <v>224.5</v>
          </cell>
          <cell r="AX177">
            <v>269.5</v>
          </cell>
          <cell r="AY177">
            <v>284.5</v>
          </cell>
          <cell r="AZ177">
            <v>284.5</v>
          </cell>
          <cell r="BA177">
            <v>251</v>
          </cell>
          <cell r="BB177">
            <v>267</v>
          </cell>
          <cell r="BC177">
            <v>339.79999999999995</v>
          </cell>
          <cell r="BD177">
            <v>332.9</v>
          </cell>
          <cell r="BE177">
            <v>332.89999999999964</v>
          </cell>
          <cell r="BF177">
            <v>335.9</v>
          </cell>
          <cell r="BG177">
            <v>327.9</v>
          </cell>
          <cell r="BH177">
            <v>296.10000000000002</v>
          </cell>
          <cell r="BI177">
            <v>322</v>
          </cell>
          <cell r="BJ177">
            <v>322</v>
          </cell>
          <cell r="BK177">
            <v>366</v>
          </cell>
          <cell r="BL177">
            <v>410</v>
          </cell>
          <cell r="BM177">
            <v>415</v>
          </cell>
          <cell r="BN177">
            <v>376</v>
          </cell>
          <cell r="BO177">
            <v>376</v>
          </cell>
          <cell r="BP177">
            <v>346</v>
          </cell>
          <cell r="BQ177">
            <v>318</v>
          </cell>
          <cell r="BR177">
            <v>357</v>
          </cell>
          <cell r="BS177">
            <v>428</v>
          </cell>
          <cell r="BT177">
            <v>428</v>
          </cell>
          <cell r="BU177">
            <v>410</v>
          </cell>
          <cell r="BV177">
            <v>449</v>
          </cell>
          <cell r="BW177">
            <v>461</v>
          </cell>
          <cell r="BX177">
            <v>515</v>
          </cell>
          <cell r="BY177">
            <v>515</v>
          </cell>
          <cell r="BZ177">
            <v>727</v>
          </cell>
          <cell r="CA177">
            <v>868</v>
          </cell>
          <cell r="CB177">
            <v>1055</v>
          </cell>
          <cell r="CC177">
            <v>1239.3064585241013</v>
          </cell>
          <cell r="CD177">
            <v>1239.3064585241018</v>
          </cell>
          <cell r="CE177">
            <v>1337.7634903868463</v>
          </cell>
          <cell r="CF177">
            <v>1466.5286563253862</v>
          </cell>
          <cell r="CG177">
            <v>1568.7535141341734</v>
          </cell>
          <cell r="CH177">
            <v>1622.2896045707455</v>
          </cell>
          <cell r="CI177">
            <v>1622.2896045707448</v>
          </cell>
          <cell r="CN177">
            <v>1529.6155372383328</v>
          </cell>
          <cell r="CS177">
            <v>1463.056360339936</v>
          </cell>
        </row>
        <row r="178">
          <cell r="A178" t="str">
            <v>LTM EBITDA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 t="e">
            <v>#REF!</v>
          </cell>
          <cell r="R178" t="e">
            <v>#REF!</v>
          </cell>
          <cell r="S178" t="e">
            <v>#REF!</v>
          </cell>
          <cell r="T178" t="e">
            <v>#REF!</v>
          </cell>
          <cell r="U178" t="e">
            <v>#REF!</v>
          </cell>
          <cell r="V178" t="e">
            <v>#REF!</v>
          </cell>
          <cell r="W178" t="e">
            <v>#REF!</v>
          </cell>
          <cell r="X178" t="e">
            <v>#REF!</v>
          </cell>
          <cell r="Y178" t="e">
            <v>#REF!</v>
          </cell>
          <cell r="Z178" t="e">
            <v>#REF!</v>
          </cell>
          <cell r="AA178" t="e">
            <v>#REF!</v>
          </cell>
          <cell r="AB178" t="e">
            <v>#REF!</v>
          </cell>
          <cell r="AC178" t="e">
            <v>#REF!</v>
          </cell>
          <cell r="AD178" t="e">
            <v>#REF!</v>
          </cell>
          <cell r="AE178" t="e">
            <v>#REF!</v>
          </cell>
          <cell r="AF178" t="e">
            <v>#REF!</v>
          </cell>
          <cell r="AG178" t="e">
            <v>#REF!</v>
          </cell>
          <cell r="AH178" t="e">
            <v>#REF!</v>
          </cell>
          <cell r="AI178" t="e">
            <v>#REF!</v>
          </cell>
          <cell r="AJ178" t="e">
            <v>#REF!</v>
          </cell>
          <cell r="AK178" t="e">
            <v>#REF!</v>
          </cell>
          <cell r="AL178" t="e">
            <v>#REF!</v>
          </cell>
          <cell r="AM178" t="e">
            <v>#REF!</v>
          </cell>
          <cell r="AN178" t="e">
            <v>#REF!</v>
          </cell>
          <cell r="AO178" t="e">
            <v>#REF!</v>
          </cell>
          <cell r="AP178" t="e">
            <v>#REF!</v>
          </cell>
          <cell r="AQ178" t="e">
            <v>#REF!</v>
          </cell>
          <cell r="AR178" t="e">
            <v>#REF!</v>
          </cell>
          <cell r="AS178" t="e">
            <v>#REF!</v>
          </cell>
          <cell r="AT178" t="e">
            <v>#REF!</v>
          </cell>
          <cell r="AU178" t="e">
            <v>#REF!</v>
          </cell>
          <cell r="AV178" t="e">
            <v>#REF!</v>
          </cell>
          <cell r="AW178" t="e">
            <v>#REF!</v>
          </cell>
          <cell r="AX178" t="e">
            <v>#REF!</v>
          </cell>
          <cell r="AY178" t="e">
            <v>#REF!</v>
          </cell>
          <cell r="AZ178" t="e">
            <v>#REF!</v>
          </cell>
          <cell r="BA178" t="e">
            <v>#REF!</v>
          </cell>
          <cell r="BB178" t="e">
            <v>#REF!</v>
          </cell>
          <cell r="BC178" t="e">
            <v>#REF!</v>
          </cell>
          <cell r="BD178" t="e">
            <v>#REF!</v>
          </cell>
          <cell r="BE178" t="e">
            <v>#REF!</v>
          </cell>
          <cell r="BF178" t="e">
            <v>#REF!</v>
          </cell>
          <cell r="BG178" t="e">
            <v>#REF!</v>
          </cell>
          <cell r="BH178" t="e">
            <v>#REF!</v>
          </cell>
          <cell r="BI178" t="e">
            <v>#REF!</v>
          </cell>
          <cell r="BJ178" t="e">
            <v>#REF!</v>
          </cell>
          <cell r="BK178" t="e">
            <v>#REF!</v>
          </cell>
          <cell r="BL178" t="e">
            <v>#REF!</v>
          </cell>
          <cell r="BM178" t="e">
            <v>#REF!</v>
          </cell>
          <cell r="BN178" t="e">
            <v>#REF!</v>
          </cell>
          <cell r="BO178" t="e">
            <v>#REF!</v>
          </cell>
          <cell r="BP178" t="e">
            <v>#REF!</v>
          </cell>
          <cell r="BQ178" t="e">
            <v>#REF!</v>
          </cell>
          <cell r="BR178" t="e">
            <v>#REF!</v>
          </cell>
          <cell r="BS178" t="e">
            <v>#REF!</v>
          </cell>
          <cell r="BT178" t="e">
            <v>#REF!</v>
          </cell>
          <cell r="BU178" t="e">
            <v>#REF!</v>
          </cell>
          <cell r="BV178" t="e">
            <v>#REF!</v>
          </cell>
          <cell r="BW178" t="e">
            <v>#REF!</v>
          </cell>
          <cell r="BX178" t="e">
            <v>#REF!</v>
          </cell>
          <cell r="BY178" t="e">
            <v>#REF!</v>
          </cell>
          <cell r="BZ178" t="e">
            <v>#REF!</v>
          </cell>
          <cell r="CA178" t="e">
            <v>#REF!</v>
          </cell>
          <cell r="CB178" t="e">
            <v>#REF!</v>
          </cell>
          <cell r="CC178" t="e">
            <v>#REF!</v>
          </cell>
          <cell r="CD178" t="e">
            <v>#REF!</v>
          </cell>
          <cell r="CE178" t="e">
            <v>#REF!</v>
          </cell>
          <cell r="CF178" t="e">
            <v>#REF!</v>
          </cell>
          <cell r="CG178" t="e">
            <v>#REF!</v>
          </cell>
          <cell r="CH178" t="e">
            <v>#REF!</v>
          </cell>
          <cell r="CI178" t="e">
            <v>#REF!</v>
          </cell>
          <cell r="CN178" t="e">
            <v>#REF!</v>
          </cell>
          <cell r="CS178" t="e">
            <v>#REF!</v>
          </cell>
        </row>
        <row r="179">
          <cell r="A179" t="str">
            <v>LTM EBITDAR</v>
          </cell>
          <cell r="L179">
            <v>69.720783800000063</v>
          </cell>
          <cell r="M179">
            <v>92.024112099999996</v>
          </cell>
          <cell r="N179">
            <v>114.32656249999999</v>
          </cell>
          <cell r="O179">
            <v>137.1025119</v>
          </cell>
          <cell r="P179">
            <v>172.75598639999998</v>
          </cell>
          <cell r="Q179">
            <v>172.75598640000004</v>
          </cell>
          <cell r="R179">
            <v>193.02825319999997</v>
          </cell>
          <cell r="S179">
            <v>224.64983039999993</v>
          </cell>
          <cell r="T179">
            <v>268.40997839999989</v>
          </cell>
          <cell r="U179">
            <v>282.59299999999996</v>
          </cell>
          <cell r="V179">
            <v>282.59300000000007</v>
          </cell>
          <cell r="W179">
            <v>290.97399999999993</v>
          </cell>
          <cell r="X179">
            <v>295.92099999999994</v>
          </cell>
          <cell r="Y179">
            <v>272.79999999999995</v>
          </cell>
          <cell r="Z179">
            <v>258.19899999999984</v>
          </cell>
          <cell r="AA179">
            <v>258.19899999999978</v>
          </cell>
          <cell r="AB179">
            <v>259.76199999999994</v>
          </cell>
          <cell r="AC179">
            <v>264.62900000000002</v>
          </cell>
          <cell r="AD179">
            <v>266.16300000000001</v>
          </cell>
          <cell r="AE179">
            <v>250.23100000000017</v>
          </cell>
          <cell r="AF179">
            <v>250.23100000000011</v>
          </cell>
          <cell r="AG179">
            <v>213.83300000000011</v>
          </cell>
          <cell r="AH179">
            <v>237.69700000000006</v>
          </cell>
          <cell r="AI179">
            <v>276.07500000000005</v>
          </cell>
          <cell r="AJ179">
            <v>374.4</v>
          </cell>
          <cell r="AK179">
            <v>374.40000000000009</v>
          </cell>
          <cell r="AL179">
            <v>402</v>
          </cell>
          <cell r="AM179">
            <v>439</v>
          </cell>
          <cell r="AN179">
            <v>494</v>
          </cell>
          <cell r="AO179">
            <v>469</v>
          </cell>
          <cell r="AP179">
            <v>469</v>
          </cell>
          <cell r="AQ179">
            <v>504.20000000000005</v>
          </cell>
          <cell r="AR179">
            <v>457.20000000000005</v>
          </cell>
          <cell r="AS179">
            <v>411.20000000000005</v>
          </cell>
          <cell r="AT179">
            <v>443.20000000000005</v>
          </cell>
          <cell r="AU179">
            <v>443.19999999999982</v>
          </cell>
          <cell r="AV179">
            <v>511.5</v>
          </cell>
          <cell r="AW179">
            <v>578.5</v>
          </cell>
          <cell r="AX179">
            <v>626.5</v>
          </cell>
          <cell r="AY179">
            <v>638.5</v>
          </cell>
          <cell r="AZ179">
            <v>638.5</v>
          </cell>
          <cell r="BA179">
            <v>606</v>
          </cell>
          <cell r="BB179">
            <v>619</v>
          </cell>
          <cell r="BC179">
            <v>686.8</v>
          </cell>
          <cell r="BD179">
            <v>678.9</v>
          </cell>
          <cell r="BE179">
            <v>678.89999999999964</v>
          </cell>
          <cell r="BF179">
            <v>683.9</v>
          </cell>
          <cell r="BG179">
            <v>684.9</v>
          </cell>
          <cell r="BH179">
            <v>657.1</v>
          </cell>
          <cell r="BI179">
            <v>690</v>
          </cell>
          <cell r="BJ179">
            <v>690</v>
          </cell>
          <cell r="BK179">
            <v>738</v>
          </cell>
          <cell r="BL179">
            <v>784</v>
          </cell>
          <cell r="BM179">
            <v>798</v>
          </cell>
          <cell r="BN179">
            <v>764</v>
          </cell>
          <cell r="BO179">
            <v>764</v>
          </cell>
          <cell r="BP179">
            <v>740</v>
          </cell>
          <cell r="BQ179">
            <v>720</v>
          </cell>
          <cell r="BR179">
            <v>766</v>
          </cell>
          <cell r="BS179">
            <v>846</v>
          </cell>
          <cell r="BT179">
            <v>846</v>
          </cell>
          <cell r="BU179">
            <v>837</v>
          </cell>
          <cell r="BV179">
            <v>880</v>
          </cell>
          <cell r="BW179">
            <v>897</v>
          </cell>
          <cell r="BX179">
            <v>959</v>
          </cell>
          <cell r="BY179">
            <v>959</v>
          </cell>
          <cell r="BZ179">
            <v>1180</v>
          </cell>
          <cell r="CA179">
            <v>1325</v>
          </cell>
          <cell r="CB179">
            <v>1516</v>
          </cell>
          <cell r="CC179">
            <v>1700.1140704643999</v>
          </cell>
          <cell r="CD179">
            <v>1700.1140704644001</v>
          </cell>
          <cell r="CE179">
            <v>1801.5087003663607</v>
          </cell>
          <cell r="CF179">
            <v>1942.5932503628715</v>
          </cell>
          <cell r="CG179">
            <v>2057.2595367430872</v>
          </cell>
          <cell r="CH179">
            <v>2122.6927520552813</v>
          </cell>
          <cell r="CI179">
            <v>2122.6927520552804</v>
          </cell>
          <cell r="CN179">
            <v>2059.74657899359</v>
          </cell>
          <cell r="CS179">
            <v>2022.5097827725931</v>
          </cell>
        </row>
        <row r="180">
          <cell r="A180" t="str">
            <v>LTM Regional Rent Adj EBITDAR</v>
          </cell>
          <cell r="L180">
            <v>69.720783800000063</v>
          </cell>
          <cell r="M180">
            <v>92.024112099999996</v>
          </cell>
          <cell r="N180">
            <v>114.32656249999999</v>
          </cell>
          <cell r="O180">
            <v>137.1025119</v>
          </cell>
          <cell r="P180">
            <v>172.75598639999998</v>
          </cell>
          <cell r="Q180">
            <v>172.75598640000004</v>
          </cell>
          <cell r="R180">
            <v>193.02825319999997</v>
          </cell>
          <cell r="S180">
            <v>224.64983039999993</v>
          </cell>
          <cell r="T180">
            <v>268.40997839999989</v>
          </cell>
          <cell r="U180">
            <v>282.59299999999996</v>
          </cell>
          <cell r="V180">
            <v>282.59300000000007</v>
          </cell>
          <cell r="W180">
            <v>290.97399999999993</v>
          </cell>
          <cell r="X180">
            <v>295.92099999999994</v>
          </cell>
          <cell r="Y180">
            <v>272.79999999999995</v>
          </cell>
          <cell r="Z180">
            <v>258.19899999999984</v>
          </cell>
          <cell r="AA180">
            <v>258.19899999999978</v>
          </cell>
          <cell r="AB180">
            <v>259.76199999999994</v>
          </cell>
          <cell r="AC180">
            <v>264.62900000000002</v>
          </cell>
          <cell r="AD180">
            <v>266.16300000000001</v>
          </cell>
          <cell r="AE180">
            <v>250.23100000000017</v>
          </cell>
          <cell r="AF180">
            <v>250.23100000000011</v>
          </cell>
          <cell r="AG180">
            <v>213.83300000000011</v>
          </cell>
          <cell r="AH180">
            <v>237.69700000000006</v>
          </cell>
          <cell r="AI180">
            <v>276.07500000000005</v>
          </cell>
          <cell r="AJ180">
            <v>374.4</v>
          </cell>
          <cell r="AK180">
            <v>374.40000000000009</v>
          </cell>
          <cell r="AL180">
            <v>402</v>
          </cell>
          <cell r="AM180">
            <v>439</v>
          </cell>
          <cell r="AN180">
            <v>494</v>
          </cell>
          <cell r="AO180">
            <v>469</v>
          </cell>
          <cell r="AP180">
            <v>469</v>
          </cell>
          <cell r="AQ180">
            <v>504.20000000000005</v>
          </cell>
          <cell r="AR180">
            <v>457.20000000000005</v>
          </cell>
          <cell r="AS180">
            <v>411.20000000000005</v>
          </cell>
          <cell r="AT180">
            <v>443.20000000000005</v>
          </cell>
          <cell r="AU180">
            <v>443.19999999999982</v>
          </cell>
          <cell r="AV180">
            <v>511.5</v>
          </cell>
          <cell r="AW180">
            <v>578.5</v>
          </cell>
          <cell r="AX180">
            <v>626.5</v>
          </cell>
          <cell r="AY180">
            <v>638.5</v>
          </cell>
          <cell r="AZ180">
            <v>638.5</v>
          </cell>
          <cell r="BA180">
            <v>606</v>
          </cell>
          <cell r="BB180">
            <v>619</v>
          </cell>
          <cell r="BC180">
            <v>686.8</v>
          </cell>
          <cell r="BD180">
            <v>678.9</v>
          </cell>
          <cell r="BE180">
            <v>678.89999999999964</v>
          </cell>
          <cell r="BF180">
            <v>683.9</v>
          </cell>
          <cell r="BG180">
            <v>684.9</v>
          </cell>
          <cell r="BH180">
            <v>657.1</v>
          </cell>
          <cell r="BI180">
            <v>690</v>
          </cell>
          <cell r="BJ180">
            <v>690</v>
          </cell>
          <cell r="BK180">
            <v>738</v>
          </cell>
          <cell r="BL180">
            <v>784</v>
          </cell>
          <cell r="BM180">
            <v>798</v>
          </cell>
          <cell r="BN180">
            <v>764</v>
          </cell>
          <cell r="BO180">
            <v>764</v>
          </cell>
          <cell r="BP180">
            <v>740</v>
          </cell>
          <cell r="BQ180">
            <v>720</v>
          </cell>
          <cell r="BR180">
            <v>766</v>
          </cell>
          <cell r="BS180">
            <v>846</v>
          </cell>
          <cell r="BT180">
            <v>846</v>
          </cell>
          <cell r="BU180">
            <v>837</v>
          </cell>
          <cell r="BV180">
            <v>880</v>
          </cell>
          <cell r="BW180">
            <v>897</v>
          </cell>
          <cell r="BX180">
            <v>959</v>
          </cell>
          <cell r="BY180">
            <v>959</v>
          </cell>
          <cell r="BZ180">
            <v>1180</v>
          </cell>
          <cell r="CA180">
            <v>1325</v>
          </cell>
          <cell r="CB180">
            <v>1516</v>
          </cell>
          <cell r="CC180">
            <v>1700.1140704643999</v>
          </cell>
          <cell r="CD180">
            <v>1700.1140704644001</v>
          </cell>
          <cell r="CE180">
            <v>1801.5087003663607</v>
          </cell>
          <cell r="CF180">
            <v>1942.5932503628715</v>
          </cell>
          <cell r="CG180">
            <v>2057.2595367430872</v>
          </cell>
          <cell r="CH180">
            <v>2122.6927520552813</v>
          </cell>
          <cell r="CI180">
            <v>2122.6927520552804</v>
          </cell>
          <cell r="CN180">
            <v>2059.74657899359</v>
          </cell>
          <cell r="CS180">
            <v>2022.5097827725931</v>
          </cell>
        </row>
        <row r="181">
          <cell r="A181" t="str">
            <v>LTM Interest Expense</v>
          </cell>
          <cell r="L181">
            <v>14.132</v>
          </cell>
          <cell r="M181">
            <v>14.691999999999998</v>
          </cell>
          <cell r="N181">
            <v>16.041</v>
          </cell>
          <cell r="O181">
            <v>18.614000000000001</v>
          </cell>
          <cell r="P181">
            <v>21.009</v>
          </cell>
          <cell r="Q181">
            <v>21.009</v>
          </cell>
          <cell r="R181">
            <v>23.015999999999998</v>
          </cell>
          <cell r="S181">
            <v>24.314</v>
          </cell>
          <cell r="T181">
            <v>26.433</v>
          </cell>
          <cell r="U181">
            <v>28.896999999999998</v>
          </cell>
          <cell r="V181">
            <v>28.896999999999998</v>
          </cell>
          <cell r="W181">
            <v>32.524000000000001</v>
          </cell>
          <cell r="X181">
            <v>39.020000000000003</v>
          </cell>
          <cell r="Y181">
            <v>45.335000000000001</v>
          </cell>
          <cell r="Z181">
            <v>53.477999999999994</v>
          </cell>
          <cell r="AA181">
            <v>53.478000000000002</v>
          </cell>
          <cell r="AB181">
            <v>64.315000000000012</v>
          </cell>
          <cell r="AC181">
            <v>76.796000000000006</v>
          </cell>
          <cell r="AD181">
            <v>90.985000000000014</v>
          </cell>
          <cell r="AE181">
            <v>106.145</v>
          </cell>
          <cell r="AF181">
            <v>106.14500000000001</v>
          </cell>
          <cell r="AG181">
            <v>122.48700000000001</v>
          </cell>
          <cell r="AH181">
            <v>139.48699999999999</v>
          </cell>
          <cell r="AI181">
            <v>156.126</v>
          </cell>
          <cell r="AJ181">
            <v>173</v>
          </cell>
          <cell r="AK181">
            <v>173</v>
          </cell>
          <cell r="AL181">
            <v>188</v>
          </cell>
          <cell r="AM181">
            <v>202</v>
          </cell>
          <cell r="AN181">
            <v>215</v>
          </cell>
          <cell r="AO181">
            <v>225</v>
          </cell>
          <cell r="AP181">
            <v>225</v>
          </cell>
          <cell r="AQ181">
            <v>229</v>
          </cell>
          <cell r="AR181">
            <v>226</v>
          </cell>
          <cell r="AS181">
            <v>232</v>
          </cell>
          <cell r="AT181">
            <v>232</v>
          </cell>
          <cell r="AU181">
            <v>232</v>
          </cell>
          <cell r="AV181">
            <v>225.1</v>
          </cell>
          <cell r="AW181">
            <v>221</v>
          </cell>
          <cell r="AX181">
            <v>207</v>
          </cell>
          <cell r="AY181">
            <v>197</v>
          </cell>
          <cell r="AZ181">
            <v>197</v>
          </cell>
          <cell r="BA181">
            <v>194.9</v>
          </cell>
          <cell r="BB181">
            <v>189</v>
          </cell>
          <cell r="BC181">
            <v>184</v>
          </cell>
          <cell r="BD181">
            <v>181</v>
          </cell>
          <cell r="BE181">
            <v>181</v>
          </cell>
          <cell r="BF181">
            <v>178</v>
          </cell>
          <cell r="BG181">
            <v>179</v>
          </cell>
          <cell r="BH181">
            <v>179</v>
          </cell>
          <cell r="BI181">
            <v>179</v>
          </cell>
          <cell r="BJ181">
            <v>179</v>
          </cell>
          <cell r="BK181">
            <v>180</v>
          </cell>
          <cell r="BL181">
            <v>180</v>
          </cell>
          <cell r="BM181">
            <v>179</v>
          </cell>
          <cell r="BN181">
            <v>176</v>
          </cell>
          <cell r="BO181">
            <v>176</v>
          </cell>
          <cell r="BP181">
            <v>172</v>
          </cell>
          <cell r="BQ181">
            <v>170</v>
          </cell>
          <cell r="BR181">
            <v>166</v>
          </cell>
          <cell r="BS181">
            <v>161</v>
          </cell>
          <cell r="BT181">
            <v>161</v>
          </cell>
          <cell r="BU181">
            <v>157</v>
          </cell>
          <cell r="BV181">
            <v>154</v>
          </cell>
          <cell r="BW181">
            <v>151</v>
          </cell>
          <cell r="BX181">
            <v>148</v>
          </cell>
          <cell r="BY181">
            <v>148</v>
          </cell>
          <cell r="BZ181">
            <v>145</v>
          </cell>
          <cell r="CA181">
            <v>138</v>
          </cell>
          <cell r="CB181">
            <v>133</v>
          </cell>
          <cell r="CC181">
            <v>128</v>
          </cell>
          <cell r="CD181">
            <v>128</v>
          </cell>
          <cell r="CE181">
            <v>122.5</v>
          </cell>
          <cell r="CF181">
            <v>117</v>
          </cell>
          <cell r="CG181">
            <v>109.5</v>
          </cell>
          <cell r="CH181">
            <v>102</v>
          </cell>
          <cell r="CI181">
            <v>102</v>
          </cell>
          <cell r="CN181">
            <v>67.959110042092604</v>
          </cell>
          <cell r="CS181">
            <v>32.844858689116059</v>
          </cell>
        </row>
        <row r="182">
          <cell r="A182" t="str">
            <v>LTM Net Interest Expense</v>
          </cell>
          <cell r="L182">
            <v>6.0889999999999986</v>
          </cell>
          <cell r="M182">
            <v>7.4150000000000009</v>
          </cell>
          <cell r="N182">
            <v>9.7489999999999988</v>
          </cell>
          <cell r="O182">
            <v>12.943999999999999</v>
          </cell>
          <cell r="P182">
            <v>15.684000000000001</v>
          </cell>
          <cell r="Q182">
            <v>15.684000000000001</v>
          </cell>
          <cell r="R182">
            <v>17.966999999999999</v>
          </cell>
          <cell r="S182">
            <v>19.478999999999999</v>
          </cell>
          <cell r="T182">
            <v>21.608000000000001</v>
          </cell>
          <cell r="U182">
            <v>23.693999999999996</v>
          </cell>
          <cell r="V182">
            <v>23.693999999999999</v>
          </cell>
          <cell r="W182">
            <v>26.765999999999998</v>
          </cell>
          <cell r="X182">
            <v>32.673000000000002</v>
          </cell>
          <cell r="Y182">
            <v>37.915999999999997</v>
          </cell>
          <cell r="Z182">
            <v>44.603999999999999</v>
          </cell>
          <cell r="AA182">
            <v>44.603999999999999</v>
          </cell>
          <cell r="AB182">
            <v>53.219000000000008</v>
          </cell>
          <cell r="AC182">
            <v>63.51</v>
          </cell>
          <cell r="AD182">
            <v>76.320999999999998</v>
          </cell>
          <cell r="AE182">
            <v>90.105999999999995</v>
          </cell>
          <cell r="AF182">
            <v>90.106000000000009</v>
          </cell>
          <cell r="AG182">
            <v>105.246</v>
          </cell>
          <cell r="AH182">
            <v>119.246</v>
          </cell>
          <cell r="AI182">
            <v>132.74</v>
          </cell>
          <cell r="AJ182">
            <v>146</v>
          </cell>
          <cell r="AK182">
            <v>146</v>
          </cell>
          <cell r="AL182">
            <v>158</v>
          </cell>
          <cell r="AM182">
            <v>168</v>
          </cell>
          <cell r="AN182">
            <v>177</v>
          </cell>
          <cell r="AO182">
            <v>182</v>
          </cell>
          <cell r="AP182">
            <v>182</v>
          </cell>
          <cell r="AQ182">
            <v>180</v>
          </cell>
          <cell r="AR182">
            <v>174</v>
          </cell>
          <cell r="AS182">
            <v>176</v>
          </cell>
          <cell r="AT182">
            <v>184</v>
          </cell>
          <cell r="AU182">
            <v>184</v>
          </cell>
          <cell r="AV182">
            <v>189.1</v>
          </cell>
          <cell r="AW182">
            <v>196.9</v>
          </cell>
          <cell r="AX182">
            <v>195.89999999999998</v>
          </cell>
          <cell r="AY182">
            <v>189.9</v>
          </cell>
          <cell r="AZ182">
            <v>189.9</v>
          </cell>
          <cell r="BA182">
            <v>188.8</v>
          </cell>
          <cell r="BB182">
            <v>184</v>
          </cell>
          <cell r="BC182">
            <v>180</v>
          </cell>
          <cell r="BD182">
            <v>177</v>
          </cell>
          <cell r="BE182">
            <v>177</v>
          </cell>
          <cell r="BF182">
            <v>174</v>
          </cell>
          <cell r="BG182">
            <v>175</v>
          </cell>
          <cell r="BH182">
            <v>175</v>
          </cell>
          <cell r="BI182">
            <v>174</v>
          </cell>
          <cell r="BJ182">
            <v>174</v>
          </cell>
          <cell r="BK182">
            <v>174</v>
          </cell>
          <cell r="BL182">
            <v>173</v>
          </cell>
          <cell r="BM182">
            <v>171</v>
          </cell>
          <cell r="BN182">
            <v>168</v>
          </cell>
          <cell r="BO182">
            <v>168</v>
          </cell>
          <cell r="BP182">
            <v>163</v>
          </cell>
          <cell r="BQ182">
            <v>159</v>
          </cell>
          <cell r="BR182">
            <v>153</v>
          </cell>
          <cell r="BS182">
            <v>148</v>
          </cell>
          <cell r="BT182">
            <v>148</v>
          </cell>
          <cell r="BU182">
            <v>144</v>
          </cell>
          <cell r="BV182">
            <v>141</v>
          </cell>
          <cell r="BW182">
            <v>138</v>
          </cell>
          <cell r="BX182">
            <v>134</v>
          </cell>
          <cell r="BY182">
            <v>134</v>
          </cell>
          <cell r="BZ182">
            <v>132</v>
          </cell>
          <cell r="CA182">
            <v>127</v>
          </cell>
          <cell r="CB182">
            <v>124</v>
          </cell>
          <cell r="CC182">
            <v>120</v>
          </cell>
          <cell r="CD182">
            <v>120</v>
          </cell>
          <cell r="CE182">
            <v>114.5</v>
          </cell>
          <cell r="CF182">
            <v>109</v>
          </cell>
          <cell r="CG182">
            <v>101.5</v>
          </cell>
          <cell r="CH182">
            <v>94</v>
          </cell>
          <cell r="CI182">
            <v>94</v>
          </cell>
          <cell r="CN182">
            <v>59.959110042092604</v>
          </cell>
          <cell r="CS182">
            <v>24.844858689116059</v>
          </cell>
        </row>
        <row r="183">
          <cell r="A183" t="str">
            <v>LTM Pre-Tax Income</v>
          </cell>
          <cell r="L183">
            <v>41.488783800000057</v>
          </cell>
          <cell r="M183">
            <v>57.03011209999999</v>
          </cell>
          <cell r="N183">
            <v>71.451562499999994</v>
          </cell>
          <cell r="O183">
            <v>81.4425119</v>
          </cell>
          <cell r="P183">
            <v>95.025986399999979</v>
          </cell>
          <cell r="Q183">
            <v>95.02598640000005</v>
          </cell>
          <cell r="R183">
            <v>102.78725319999995</v>
          </cell>
          <cell r="S183">
            <v>123.84283039999994</v>
          </cell>
          <cell r="T183">
            <v>152.7709783999999</v>
          </cell>
          <cell r="U183">
            <v>156.07799999999995</v>
          </cell>
          <cell r="V183">
            <v>156.07800000000006</v>
          </cell>
          <cell r="W183">
            <v>151.78999999999991</v>
          </cell>
          <cell r="X183">
            <v>142.21399999999994</v>
          </cell>
          <cell r="Y183">
            <v>106.60699999999994</v>
          </cell>
          <cell r="Z183">
            <v>75.321999999999875</v>
          </cell>
          <cell r="AA183">
            <v>75.321999999999761</v>
          </cell>
          <cell r="AB183">
            <v>61.363999999999976</v>
          </cell>
          <cell r="AC183">
            <v>48.910000000000011</v>
          </cell>
          <cell r="AD183">
            <v>31.403000000000056</v>
          </cell>
          <cell r="AE183">
            <v>-9.9779999999998292</v>
          </cell>
          <cell r="AF183">
            <v>-9.977999999999895</v>
          </cell>
          <cell r="AG183">
            <v>-68.383999999999901</v>
          </cell>
          <cell r="AH183">
            <v>-67.443999999999946</v>
          </cell>
          <cell r="AI183">
            <v>-69.746999999999957</v>
          </cell>
          <cell r="AJ183">
            <v>1.3999999999999773</v>
          </cell>
          <cell r="AK183">
            <v>1.4000000000000909</v>
          </cell>
          <cell r="AL183">
            <v>3</v>
          </cell>
          <cell r="AM183">
            <v>21</v>
          </cell>
          <cell r="AN183">
            <v>73</v>
          </cell>
          <cell r="AO183">
            <v>41</v>
          </cell>
          <cell r="AP183">
            <v>41</v>
          </cell>
          <cell r="AQ183">
            <v>73.200000000000045</v>
          </cell>
          <cell r="AR183">
            <v>20.200000000000045</v>
          </cell>
          <cell r="AS183">
            <v>-29.799999999999955</v>
          </cell>
          <cell r="AT183">
            <v>-22.799999999999955</v>
          </cell>
          <cell r="AU183">
            <v>-22.800000000000182</v>
          </cell>
          <cell r="AV183">
            <v>20.399999999999999</v>
          </cell>
          <cell r="AW183">
            <v>62.599999999999994</v>
          </cell>
          <cell r="AX183">
            <v>87.6</v>
          </cell>
          <cell r="AY183">
            <v>103.6</v>
          </cell>
          <cell r="AZ183">
            <v>103.6</v>
          </cell>
          <cell r="BA183">
            <v>71.2</v>
          </cell>
          <cell r="BB183">
            <v>90</v>
          </cell>
          <cell r="BC183">
            <v>165.79999999999995</v>
          </cell>
          <cell r="BD183">
            <v>160.89999999999998</v>
          </cell>
          <cell r="BE183">
            <v>160.89999999999964</v>
          </cell>
          <cell r="BF183">
            <v>168.89999999999998</v>
          </cell>
          <cell r="BG183">
            <v>160.89999999999998</v>
          </cell>
          <cell r="BH183">
            <v>125.10000000000002</v>
          </cell>
          <cell r="BI183">
            <v>150</v>
          </cell>
          <cell r="BJ183">
            <v>150</v>
          </cell>
          <cell r="BK183">
            <v>193</v>
          </cell>
          <cell r="BL183">
            <v>236</v>
          </cell>
          <cell r="BM183">
            <v>248</v>
          </cell>
          <cell r="BN183">
            <v>209</v>
          </cell>
          <cell r="BO183">
            <v>209</v>
          </cell>
          <cell r="BP183">
            <v>183</v>
          </cell>
          <cell r="BQ183">
            <v>157</v>
          </cell>
          <cell r="BR183">
            <v>203</v>
          </cell>
          <cell r="BS183">
            <v>279</v>
          </cell>
          <cell r="BT183">
            <v>279</v>
          </cell>
          <cell r="BU183">
            <v>262</v>
          </cell>
          <cell r="BV183">
            <v>305</v>
          </cell>
          <cell r="BW183">
            <v>318</v>
          </cell>
          <cell r="BX183">
            <v>381</v>
          </cell>
          <cell r="BY183">
            <v>381</v>
          </cell>
          <cell r="BZ183">
            <v>597</v>
          </cell>
          <cell r="CA183">
            <v>744</v>
          </cell>
          <cell r="CB183">
            <v>934</v>
          </cell>
          <cell r="CC183">
            <v>1117.3064585241013</v>
          </cell>
          <cell r="CD183">
            <v>1117.3064585241018</v>
          </cell>
          <cell r="CE183">
            <v>1219.7634903868463</v>
          </cell>
          <cell r="CF183">
            <v>1355.5286563253862</v>
          </cell>
          <cell r="CG183">
            <v>1463.7535141341734</v>
          </cell>
          <cell r="CH183">
            <v>1526.2896045707455</v>
          </cell>
          <cell r="CI183">
            <v>1526.2896045707448</v>
          </cell>
          <cell r="CN183">
            <v>1467.6564271962402</v>
          </cell>
          <cell r="CS183">
            <v>1436.2115016508199</v>
          </cell>
        </row>
        <row r="184">
          <cell r="A184" t="str">
            <v>LTM Net Income</v>
          </cell>
          <cell r="L184">
            <v>38.110783800000057</v>
          </cell>
          <cell r="M184">
            <v>44.366112099999988</v>
          </cell>
          <cell r="N184">
            <v>48.339562499999985</v>
          </cell>
          <cell r="O184">
            <v>49.991549135999996</v>
          </cell>
          <cell r="P184">
            <v>54.904023635999977</v>
          </cell>
          <cell r="Q184">
            <v>54.904023636000048</v>
          </cell>
          <cell r="R184">
            <v>59.257290435999963</v>
          </cell>
          <cell r="S184">
            <v>71.403067635999946</v>
          </cell>
          <cell r="T184">
            <v>88.296178399999917</v>
          </cell>
          <cell r="U184">
            <v>92.673199999999966</v>
          </cell>
          <cell r="V184">
            <v>92.673200000000065</v>
          </cell>
          <cell r="W184">
            <v>90.508199999999917</v>
          </cell>
          <cell r="X184">
            <v>85.233999999999952</v>
          </cell>
          <cell r="Y184">
            <v>64.613999999999947</v>
          </cell>
          <cell r="Z184">
            <v>45.966999999999871</v>
          </cell>
          <cell r="AA184">
            <v>45.966999999999757</v>
          </cell>
          <cell r="AB184">
            <v>37.740999999999971</v>
          </cell>
          <cell r="AC184">
            <v>29.343000000000007</v>
          </cell>
          <cell r="AD184">
            <v>23.606000000000051</v>
          </cell>
          <cell r="AE184">
            <v>-9.2869999999999067</v>
          </cell>
          <cell r="AF184">
            <v>-9.2869999999999759</v>
          </cell>
          <cell r="AG184">
            <v>-47.853999999999964</v>
          </cell>
          <cell r="AH184">
            <v>-46.914000000000023</v>
          </cell>
          <cell r="AI184">
            <v>-54.40000000000002</v>
          </cell>
          <cell r="AJ184">
            <v>-6.4000000000000226</v>
          </cell>
          <cell r="AK184">
            <v>-6.3999999999999089</v>
          </cell>
          <cell r="AL184">
            <v>3.1999999999999993</v>
          </cell>
          <cell r="AM184">
            <v>10.199999999999999</v>
          </cell>
          <cell r="AN184">
            <v>38</v>
          </cell>
          <cell r="AO184">
            <v>18</v>
          </cell>
          <cell r="AP184">
            <v>18</v>
          </cell>
          <cell r="AQ184">
            <v>32.200000000000045</v>
          </cell>
          <cell r="AR184">
            <v>4.2000000000000455</v>
          </cell>
          <cell r="AS184">
            <v>-22.799999999999955</v>
          </cell>
          <cell r="AT184">
            <v>-22.799999999999955</v>
          </cell>
          <cell r="AU184">
            <v>-22.800000000000182</v>
          </cell>
          <cell r="AV184">
            <v>7.6999999999999993</v>
          </cell>
          <cell r="AW184">
            <v>31.400000000000006</v>
          </cell>
          <cell r="AX184">
            <v>48.45</v>
          </cell>
          <cell r="AY184">
            <v>63.45</v>
          </cell>
          <cell r="AZ184">
            <v>63.449999999999996</v>
          </cell>
          <cell r="BA184">
            <v>39.25</v>
          </cell>
          <cell r="BB184">
            <v>52.55</v>
          </cell>
          <cell r="BC184">
            <v>98.299999999999955</v>
          </cell>
          <cell r="BD184">
            <v>96.399999999999977</v>
          </cell>
          <cell r="BE184">
            <v>96.399999999999636</v>
          </cell>
          <cell r="BF184">
            <v>100.89999999999998</v>
          </cell>
          <cell r="BG184">
            <v>95.899999999999977</v>
          </cell>
          <cell r="BH184">
            <v>74.600000000000023</v>
          </cell>
          <cell r="BI184">
            <v>88.5</v>
          </cell>
          <cell r="BJ184">
            <v>88.5</v>
          </cell>
          <cell r="BK184">
            <v>115.5</v>
          </cell>
          <cell r="BL184">
            <v>142.5</v>
          </cell>
          <cell r="BM184">
            <v>150</v>
          </cell>
          <cell r="BN184">
            <v>128</v>
          </cell>
          <cell r="BO184">
            <v>128</v>
          </cell>
          <cell r="BP184">
            <v>112</v>
          </cell>
          <cell r="BQ184">
            <v>96</v>
          </cell>
          <cell r="BR184">
            <v>122</v>
          </cell>
          <cell r="BS184">
            <v>168</v>
          </cell>
          <cell r="BT184">
            <v>168</v>
          </cell>
          <cell r="BU184">
            <v>158</v>
          </cell>
          <cell r="BV184">
            <v>183</v>
          </cell>
          <cell r="BW184">
            <v>191</v>
          </cell>
          <cell r="BX184">
            <v>231</v>
          </cell>
          <cell r="BY184">
            <v>231</v>
          </cell>
          <cell r="BZ184">
            <v>364</v>
          </cell>
          <cell r="CA184">
            <v>455</v>
          </cell>
          <cell r="CB184">
            <v>574</v>
          </cell>
          <cell r="CC184">
            <v>684.21693969970181</v>
          </cell>
          <cell r="CD184">
            <v>684.21693969970227</v>
          </cell>
          <cell r="CE184">
            <v>745.13572913597625</v>
          </cell>
          <cell r="CF184">
            <v>828.45248035848556</v>
          </cell>
          <cell r="CG184">
            <v>892.88964362184572</v>
          </cell>
          <cell r="CH184">
            <v>931.03665878815468</v>
          </cell>
          <cell r="CI184">
            <v>931.036658788154</v>
          </cell>
          <cell r="CN184">
            <v>895.27042058970619</v>
          </cell>
          <cell r="CS184">
            <v>876.08901600699983</v>
          </cell>
        </row>
        <row r="185">
          <cell r="A185" t="str">
            <v>LTM Common-Sized Statement (% of LTM Total Revenue)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1</v>
          </cell>
          <cell r="S185">
            <v>1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1</v>
          </cell>
          <cell r="Y185">
            <v>1</v>
          </cell>
          <cell r="Z185">
            <v>1</v>
          </cell>
          <cell r="AA185">
            <v>1</v>
          </cell>
          <cell r="AB185">
            <v>1</v>
          </cell>
          <cell r="AC185">
            <v>1</v>
          </cell>
          <cell r="AD185">
            <v>1</v>
          </cell>
          <cell r="AE185">
            <v>1</v>
          </cell>
          <cell r="AF185">
            <v>1</v>
          </cell>
          <cell r="AG185">
            <v>1</v>
          </cell>
          <cell r="AH185">
            <v>1</v>
          </cell>
          <cell r="AI185">
            <v>1</v>
          </cell>
          <cell r="AJ185">
            <v>1</v>
          </cell>
          <cell r="AK185">
            <v>1</v>
          </cell>
          <cell r="AL185">
            <v>1</v>
          </cell>
          <cell r="AM185">
            <v>1</v>
          </cell>
          <cell r="AN185">
            <v>1</v>
          </cell>
          <cell r="AO185">
            <v>1</v>
          </cell>
          <cell r="AP185">
            <v>1</v>
          </cell>
          <cell r="AQ185">
            <v>1</v>
          </cell>
          <cell r="AR185">
            <v>1</v>
          </cell>
          <cell r="AS185">
            <v>1</v>
          </cell>
          <cell r="AT185">
            <v>1</v>
          </cell>
          <cell r="AU185">
            <v>1</v>
          </cell>
          <cell r="AV185">
            <v>1</v>
          </cell>
          <cell r="AW185">
            <v>1</v>
          </cell>
          <cell r="AX185">
            <v>1</v>
          </cell>
          <cell r="AY185">
            <v>1</v>
          </cell>
          <cell r="AZ185">
            <v>1</v>
          </cell>
          <cell r="BA185">
            <v>1</v>
          </cell>
          <cell r="BB185">
            <v>1</v>
          </cell>
          <cell r="BC185">
            <v>1</v>
          </cell>
          <cell r="BD185">
            <v>1</v>
          </cell>
          <cell r="BE185">
            <v>1</v>
          </cell>
          <cell r="BF185">
            <v>1</v>
          </cell>
          <cell r="BG185">
            <v>1</v>
          </cell>
          <cell r="BH185">
            <v>1</v>
          </cell>
          <cell r="BI185">
            <v>1</v>
          </cell>
          <cell r="BJ185">
            <v>1</v>
          </cell>
          <cell r="BK185">
            <v>1</v>
          </cell>
          <cell r="BL185">
            <v>1</v>
          </cell>
          <cell r="BM185">
            <v>1</v>
          </cell>
          <cell r="BN185">
            <v>1</v>
          </cell>
          <cell r="BO185">
            <v>1</v>
          </cell>
          <cell r="BP185">
            <v>1</v>
          </cell>
          <cell r="BQ185">
            <v>1</v>
          </cell>
          <cell r="BR185">
            <v>1</v>
          </cell>
          <cell r="BS185">
            <v>1</v>
          </cell>
          <cell r="BT185">
            <v>1</v>
          </cell>
          <cell r="BU185">
            <v>1</v>
          </cell>
          <cell r="BV185">
            <v>1</v>
          </cell>
          <cell r="BW185">
            <v>1</v>
          </cell>
          <cell r="BX185">
            <v>1</v>
          </cell>
          <cell r="BY185">
            <v>1</v>
          </cell>
          <cell r="BZ185">
            <v>1</v>
          </cell>
          <cell r="CA185">
            <v>1</v>
          </cell>
          <cell r="CB185">
            <v>1</v>
          </cell>
          <cell r="CC185">
            <v>1</v>
          </cell>
          <cell r="CD185">
            <v>1</v>
          </cell>
          <cell r="CE185">
            <v>1</v>
          </cell>
          <cell r="CF185">
            <v>1</v>
          </cell>
          <cell r="CG185">
            <v>1</v>
          </cell>
          <cell r="CH185">
            <v>1</v>
          </cell>
          <cell r="CI185">
            <v>1</v>
          </cell>
          <cell r="CN185">
            <v>1</v>
          </cell>
          <cell r="CS185">
            <v>466.152669</v>
          </cell>
        </row>
        <row r="186">
          <cell r="A186" t="str">
            <v>LTM Operating Revenue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1</v>
          </cell>
          <cell r="S186">
            <v>1</v>
          </cell>
          <cell r="T186">
            <v>1</v>
          </cell>
          <cell r="U186">
            <v>1</v>
          </cell>
          <cell r="V186">
            <v>1</v>
          </cell>
          <cell r="W186">
            <v>1</v>
          </cell>
          <cell r="X186">
            <v>1</v>
          </cell>
          <cell r="Y186">
            <v>1</v>
          </cell>
          <cell r="Z186">
            <v>1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1</v>
          </cell>
          <cell r="AI186">
            <v>1</v>
          </cell>
          <cell r="AJ186">
            <v>1</v>
          </cell>
          <cell r="AK186">
            <v>1</v>
          </cell>
          <cell r="AL186">
            <v>1</v>
          </cell>
          <cell r="AM186">
            <v>1</v>
          </cell>
          <cell r="AN186">
            <v>1</v>
          </cell>
          <cell r="AO186">
            <v>1</v>
          </cell>
          <cell r="AP186">
            <v>1</v>
          </cell>
          <cell r="AQ186">
            <v>1</v>
          </cell>
          <cell r="AR186">
            <v>1</v>
          </cell>
          <cell r="AS186">
            <v>1</v>
          </cell>
          <cell r="AT186">
            <v>1</v>
          </cell>
          <cell r="AU186">
            <v>1</v>
          </cell>
          <cell r="AV186">
            <v>1</v>
          </cell>
          <cell r="AW186">
            <v>1</v>
          </cell>
          <cell r="AX186">
            <v>1</v>
          </cell>
          <cell r="AY186">
            <v>1</v>
          </cell>
          <cell r="AZ186">
            <v>1</v>
          </cell>
          <cell r="BA186">
            <v>1</v>
          </cell>
          <cell r="BB186">
            <v>1</v>
          </cell>
          <cell r="BC186">
            <v>1</v>
          </cell>
          <cell r="BD186">
            <v>1</v>
          </cell>
          <cell r="BE186">
            <v>1</v>
          </cell>
          <cell r="BF186">
            <v>1</v>
          </cell>
          <cell r="BG186">
            <v>1</v>
          </cell>
          <cell r="BH186">
            <v>1</v>
          </cell>
          <cell r="BI186">
            <v>1</v>
          </cell>
          <cell r="BJ186">
            <v>1</v>
          </cell>
          <cell r="BK186">
            <v>1</v>
          </cell>
          <cell r="BL186">
            <v>1</v>
          </cell>
          <cell r="BM186">
            <v>1</v>
          </cell>
          <cell r="BN186">
            <v>1</v>
          </cell>
          <cell r="BO186">
            <v>1</v>
          </cell>
          <cell r="BP186">
            <v>1</v>
          </cell>
          <cell r="BQ186">
            <v>1</v>
          </cell>
          <cell r="BR186">
            <v>1</v>
          </cell>
          <cell r="BS186">
            <v>1</v>
          </cell>
          <cell r="BT186">
            <v>1</v>
          </cell>
          <cell r="BU186">
            <v>1</v>
          </cell>
          <cell r="BV186">
            <v>1</v>
          </cell>
          <cell r="BW186">
            <v>1</v>
          </cell>
          <cell r="BX186">
            <v>1</v>
          </cell>
          <cell r="BY186">
            <v>1</v>
          </cell>
          <cell r="BZ186">
            <v>1</v>
          </cell>
          <cell r="CA186">
            <v>1</v>
          </cell>
          <cell r="CB186">
            <v>1</v>
          </cell>
          <cell r="CC186">
            <v>1</v>
          </cell>
          <cell r="CD186">
            <v>1</v>
          </cell>
          <cell r="CE186">
            <v>1</v>
          </cell>
          <cell r="CF186">
            <v>1</v>
          </cell>
          <cell r="CG186">
            <v>1</v>
          </cell>
          <cell r="CH186">
            <v>1</v>
          </cell>
          <cell r="CI186">
            <v>1</v>
          </cell>
          <cell r="CN186">
            <v>1</v>
          </cell>
          <cell r="CS186">
            <v>1</v>
          </cell>
        </row>
        <row r="187">
          <cell r="A187" t="str">
            <v>LTM Passenger Revenue</v>
          </cell>
          <cell r="L187">
            <v>0.96905253827860205</v>
          </cell>
          <cell r="M187">
            <v>0.96844329666891493</v>
          </cell>
          <cell r="N187">
            <v>0.96729653370598756</v>
          </cell>
          <cell r="O187">
            <v>0.96732420592061319</v>
          </cell>
          <cell r="P187">
            <v>0.96848192118591125</v>
          </cell>
          <cell r="Q187">
            <v>0.96848192118591103</v>
          </cell>
          <cell r="R187">
            <v>0.96805210918114137</v>
          </cell>
          <cell r="S187">
            <v>0.96853318597654581</v>
          </cell>
          <cell r="T187">
            <v>0.96775861228073023</v>
          </cell>
          <cell r="U187">
            <v>0.96668506366999185</v>
          </cell>
          <cell r="V187">
            <v>0.96668506366999185</v>
          </cell>
          <cell r="W187">
            <v>0.96690412474397902</v>
          </cell>
          <cell r="X187">
            <v>0.96655813055941942</v>
          </cell>
          <cell r="Y187">
            <v>0.96588192956614904</v>
          </cell>
          <cell r="Z187">
            <v>0.9641861364054013</v>
          </cell>
          <cell r="AA187">
            <v>0.96418613640540152</v>
          </cell>
          <cell r="AB187">
            <v>0.96129305604919824</v>
          </cell>
          <cell r="AC187">
            <v>0.95907817097502845</v>
          </cell>
          <cell r="AD187">
            <v>0.9562638300393338</v>
          </cell>
          <cell r="AE187">
            <v>0.95255471236316414</v>
          </cell>
          <cell r="AF187">
            <v>0.95255471236316402</v>
          </cell>
          <cell r="AG187">
            <v>0.94972246160851825</v>
          </cell>
          <cell r="AH187">
            <v>0.9468247500258582</v>
          </cell>
          <cell r="AI187">
            <v>0.94300934758076671</v>
          </cell>
          <cell r="AJ187">
            <v>0.94076330709994072</v>
          </cell>
          <cell r="AK187">
            <v>0.94076330709994072</v>
          </cell>
          <cell r="AL187">
            <v>0.93671906489318824</v>
          </cell>
          <cell r="AM187">
            <v>0.93420546363986146</v>
          </cell>
          <cell r="AN187">
            <v>0.93238304093567248</v>
          </cell>
          <cell r="AO187">
            <v>0.92751583391977477</v>
          </cell>
          <cell r="AP187">
            <v>0.92751583391977477</v>
          </cell>
          <cell r="AQ187">
            <v>0.92459016393442628</v>
          </cell>
          <cell r="AR187">
            <v>0.91726958162944328</v>
          </cell>
          <cell r="AS187">
            <v>0.90802171290711697</v>
          </cell>
          <cell r="AT187">
            <v>0.90200708382526562</v>
          </cell>
          <cell r="AU187">
            <v>0.90200708382526562</v>
          </cell>
          <cell r="AV187">
            <v>0.89575289575289574</v>
          </cell>
          <cell r="AW187">
            <v>0.89237262586674704</v>
          </cell>
          <cell r="AX187">
            <v>0.89235474006116211</v>
          </cell>
          <cell r="AY187">
            <v>0.89121847462777271</v>
          </cell>
          <cell r="AZ187">
            <v>0.89121847462777271</v>
          </cell>
          <cell r="BA187">
            <v>0.89423648247177656</v>
          </cell>
          <cell r="BB187">
            <v>0.89731121281464532</v>
          </cell>
          <cell r="BC187">
            <v>0.90002724053391447</v>
          </cell>
          <cell r="BD187">
            <v>0.90288436094204816</v>
          </cell>
          <cell r="BE187">
            <v>0.90288436094204816</v>
          </cell>
          <cell r="BF187">
            <v>0.9010456516194848</v>
          </cell>
          <cell r="BG187">
            <v>0.90225018146624725</v>
          </cell>
          <cell r="BH187">
            <v>0.90367612843182876</v>
          </cell>
          <cell r="BI187">
            <v>0.9058614564831261</v>
          </cell>
          <cell r="BJ187">
            <v>0.9058614564831261</v>
          </cell>
          <cell r="BK187">
            <v>0.90947816826411076</v>
          </cell>
          <cell r="BL187">
            <v>0.9116365899191039</v>
          </cell>
          <cell r="BM187">
            <v>0.9124442642886097</v>
          </cell>
          <cell r="BN187">
            <v>0.91328783621035725</v>
          </cell>
          <cell r="BO187">
            <v>0.91328783621035725</v>
          </cell>
          <cell r="BP187">
            <v>0.91374556912170146</v>
          </cell>
          <cell r="BQ187">
            <v>0.91335669781931461</v>
          </cell>
          <cell r="BR187">
            <v>0.91423149905123335</v>
          </cell>
          <cell r="BS187">
            <v>0.91361882006984008</v>
          </cell>
          <cell r="BT187">
            <v>0.91361882006984008</v>
          </cell>
          <cell r="BU187">
            <v>0.91331269349845201</v>
          </cell>
          <cell r="BV187">
            <v>0.91432111878208533</v>
          </cell>
          <cell r="BW187">
            <v>0.91666666666666663</v>
          </cell>
          <cell r="BX187">
            <v>0.91851469829809185</v>
          </cell>
          <cell r="BY187">
            <v>0.91851469829809185</v>
          </cell>
          <cell r="BZ187">
            <v>0.92154899015189451</v>
          </cell>
          <cell r="CA187">
            <v>0.9238952536824877</v>
          </cell>
          <cell r="CB187">
            <v>0.92246330567964263</v>
          </cell>
          <cell r="CC187">
            <v>0.91941032363301645</v>
          </cell>
          <cell r="CD187">
            <v>0.91941032363301645</v>
          </cell>
          <cell r="CE187">
            <v>0.91538100224804175</v>
          </cell>
          <cell r="CF187">
            <v>0.91050271984554032</v>
          </cell>
          <cell r="CG187">
            <v>0.90886648197721853</v>
          </cell>
          <cell r="CH187">
            <v>0.90873308188461177</v>
          </cell>
          <cell r="CI187">
            <v>0.90873308188461177</v>
          </cell>
          <cell r="CN187">
            <v>0.90834927522293607</v>
          </cell>
          <cell r="CS187">
            <v>0.90873485952157196</v>
          </cell>
        </row>
        <row r="188">
          <cell r="A188" t="str">
            <v>LTM Operating Expense</v>
          </cell>
          <cell r="L188">
            <v>0.91767905334972866</v>
          </cell>
          <cell r="M188">
            <v>0.89173239479602906</v>
          </cell>
          <cell r="N188">
            <v>0.87211436014391164</v>
          </cell>
          <cell r="O188">
            <v>0.85876764859031707</v>
          </cell>
          <cell r="P188">
            <v>0.83471272987180256</v>
          </cell>
          <cell r="Q188">
            <v>0.83471272987180223</v>
          </cell>
          <cell r="R188">
            <v>0.83856606115568222</v>
          </cell>
          <cell r="S188">
            <v>0.83139948376005424</v>
          </cell>
          <cell r="T188">
            <v>0.81718827700194541</v>
          </cell>
          <cell r="U188">
            <v>0.82748251867329237</v>
          </cell>
          <cell r="V188">
            <v>0.82748251867329214</v>
          </cell>
          <cell r="W188">
            <v>0.84073988249188958</v>
          </cell>
          <cell r="X188">
            <v>0.85453891364350387</v>
          </cell>
          <cell r="Y188">
            <v>0.88640114488484212</v>
          </cell>
          <cell r="Z188">
            <v>0.91172635907964694</v>
          </cell>
          <cell r="AA188">
            <v>0.91172635907964705</v>
          </cell>
          <cell r="AB188">
            <v>0.92250374900477927</v>
          </cell>
          <cell r="AC188">
            <v>0.93176743838080733</v>
          </cell>
          <cell r="AD188">
            <v>0.94310484895123292</v>
          </cell>
          <cell r="AE188">
            <v>0.96413139074652976</v>
          </cell>
          <cell r="AF188">
            <v>0.96413139074652976</v>
          </cell>
          <cell r="AG188">
            <v>0.9940653586000604</v>
          </cell>
          <cell r="AH188">
            <v>0.9911402898206022</v>
          </cell>
          <cell r="AI188">
            <v>0.98259274983550748</v>
          </cell>
          <cell r="AJ188">
            <v>0.94905644410594903</v>
          </cell>
          <cell r="AK188">
            <v>0.94905644410594903</v>
          </cell>
          <cell r="AL188">
            <v>0.94679564691656593</v>
          </cell>
          <cell r="AM188">
            <v>0.93920738745671417</v>
          </cell>
          <cell r="AN188">
            <v>0.92580409356725146</v>
          </cell>
          <cell r="AO188">
            <v>0.94053483462350462</v>
          </cell>
          <cell r="AP188">
            <v>0.94053483462350462</v>
          </cell>
          <cell r="AQ188">
            <v>0.93468852459016405</v>
          </cell>
          <cell r="AR188">
            <v>0.9536961308587607</v>
          </cell>
          <cell r="AS188">
            <v>0.97279855247285896</v>
          </cell>
          <cell r="AT188">
            <v>0.9677685950413224</v>
          </cell>
          <cell r="AU188">
            <v>0.9677685950413224</v>
          </cell>
          <cell r="AV188">
            <v>0.9502524502524502</v>
          </cell>
          <cell r="AW188">
            <v>0.93231835996382273</v>
          </cell>
          <cell r="AX188">
            <v>0.91758409785932726</v>
          </cell>
          <cell r="AY188">
            <v>0.91355211182011542</v>
          </cell>
          <cell r="AZ188">
            <v>0.91355211182011542</v>
          </cell>
          <cell r="BA188">
            <v>0.92543077837195487</v>
          </cell>
          <cell r="BB188">
            <v>0.9236270022883295</v>
          </cell>
          <cell r="BC188">
            <v>0.90743666575864879</v>
          </cell>
          <cell r="BD188">
            <v>0.91190791214607048</v>
          </cell>
          <cell r="BE188">
            <v>0.91190791214607048</v>
          </cell>
          <cell r="BF188">
            <v>0.91433307829635302</v>
          </cell>
          <cell r="BG188">
            <v>0.92066295669005571</v>
          </cell>
          <cell r="BH188">
            <v>0.93110749185667752</v>
          </cell>
          <cell r="BI188">
            <v>0.92850799289520425</v>
          </cell>
          <cell r="BJ188">
            <v>0.92850799289520425</v>
          </cell>
          <cell r="BK188">
            <v>0.9220447284345048</v>
          </cell>
          <cell r="BL188">
            <v>0.91495540344326898</v>
          </cell>
          <cell r="BM188">
            <v>0.91588974462910422</v>
          </cell>
          <cell r="BN188">
            <v>0.92452830188679247</v>
          </cell>
          <cell r="BO188">
            <v>0.92452830188679247</v>
          </cell>
          <cell r="BP188">
            <v>0.93186293816463173</v>
          </cell>
          <cell r="BQ188">
            <v>0.93808411214953269</v>
          </cell>
          <cell r="BR188">
            <v>0.93225806451612903</v>
          </cell>
          <cell r="BS188">
            <v>0.92133798934019484</v>
          </cell>
          <cell r="BT188">
            <v>0.92133798934019484</v>
          </cell>
          <cell r="BU188">
            <v>0.92533236204698599</v>
          </cell>
          <cell r="BV188">
            <v>0.92051690564701716</v>
          </cell>
          <cell r="BW188">
            <v>0.91963040446304045</v>
          </cell>
          <cell r="BX188">
            <v>0.9114663916107959</v>
          </cell>
          <cell r="BY188">
            <v>0.9114663916107959</v>
          </cell>
          <cell r="BZ188">
            <v>0.87865131029878152</v>
          </cell>
          <cell r="CA188">
            <v>0.85793780687397714</v>
          </cell>
          <cell r="CB188">
            <v>0.83168474792597324</v>
          </cell>
          <cell r="CC188">
            <v>0.8065725311333124</v>
          </cell>
          <cell r="CD188">
            <v>0.8065725311333124</v>
          </cell>
          <cell r="CE188">
            <v>0.79471146170669127</v>
          </cell>
          <cell r="CF188">
            <v>0.77895054229032545</v>
          </cell>
          <cell r="CG188">
            <v>0.76695894462142467</v>
          </cell>
          <cell r="CH188">
            <v>0.76298078198759689</v>
          </cell>
          <cell r="CI188">
            <v>0.762980781987597</v>
          </cell>
          <cell r="CN188">
            <v>0.79316204182054273</v>
          </cell>
          <cell r="CS188">
            <v>0.81673920311096881</v>
          </cell>
        </row>
        <row r="189">
          <cell r="A189" t="str">
            <v>LTM Fuel Expense</v>
          </cell>
          <cell r="L189">
            <v>0.13001684133652086</v>
          </cell>
          <cell r="M189">
            <v>0.11825336121846575</v>
          </cell>
          <cell r="N189">
            <v>0.11406272377711907</v>
          </cell>
          <cell r="O189">
            <v>0.11377831114038688</v>
          </cell>
          <cell r="P189">
            <v>0.12007256651936189</v>
          </cell>
          <cell r="Q189">
            <v>0.12007256651936188</v>
          </cell>
          <cell r="R189">
            <v>0.13805058863456809</v>
          </cell>
          <cell r="S189">
            <v>0.14088066507030148</v>
          </cell>
          <cell r="T189">
            <v>0.1429045445530068</v>
          </cell>
          <cell r="U189">
            <v>0.14755932532746502</v>
          </cell>
          <cell r="V189">
            <v>0.14755932532746499</v>
          </cell>
          <cell r="W189">
            <v>0.15005737116715753</v>
          </cell>
          <cell r="X189">
            <v>0.16203401729417649</v>
          </cell>
          <cell r="Y189">
            <v>0.18057963979646494</v>
          </cell>
          <cell r="Z189">
            <v>0.20227458509970914</v>
          </cell>
          <cell r="AA189">
            <v>0.20227458509970916</v>
          </cell>
          <cell r="AB189">
            <v>0.21721670620342495</v>
          </cell>
          <cell r="AC189">
            <v>0.23790283004558085</v>
          </cell>
          <cell r="AD189">
            <v>0.26227521360734063</v>
          </cell>
          <cell r="AE189">
            <v>0.28666158675400044</v>
          </cell>
          <cell r="AF189">
            <v>0.28666158675400044</v>
          </cell>
          <cell r="AG189">
            <v>0.30870199586758446</v>
          </cell>
          <cell r="AH189">
            <v>0.32079436088516156</v>
          </cell>
          <cell r="AI189">
            <v>0.32897658142466979</v>
          </cell>
          <cell r="AJ189">
            <v>0.31818566472031817</v>
          </cell>
          <cell r="AK189">
            <v>0.31818566472031817</v>
          </cell>
          <cell r="AL189">
            <v>0.31519548569125355</v>
          </cell>
          <cell r="AM189">
            <v>0.31396691035013469</v>
          </cell>
          <cell r="AN189">
            <v>0.3117690058479532</v>
          </cell>
          <cell r="AO189">
            <v>0.32688247712878254</v>
          </cell>
          <cell r="AP189">
            <v>0.32688247712878254</v>
          </cell>
          <cell r="AQ189">
            <v>0.34327868852459015</v>
          </cell>
          <cell r="AR189">
            <v>0.37464611513054419</v>
          </cell>
          <cell r="AS189">
            <v>0.40289505428226779</v>
          </cell>
          <cell r="AT189">
            <v>0.40153482880755609</v>
          </cell>
          <cell r="AU189">
            <v>0.40153482880755609</v>
          </cell>
          <cell r="AV189">
            <v>0.3788238788238788</v>
          </cell>
          <cell r="AW189">
            <v>0.34386493819716607</v>
          </cell>
          <cell r="AX189">
            <v>0.30608562691131497</v>
          </cell>
          <cell r="AY189">
            <v>0.28699483439683987</v>
          </cell>
          <cell r="AZ189">
            <v>0.28699483439683987</v>
          </cell>
          <cell r="BA189">
            <v>0.28978015448603683</v>
          </cell>
          <cell r="BB189">
            <v>0.29156178489702517</v>
          </cell>
          <cell r="BC189">
            <v>0.28798692454372105</v>
          </cell>
          <cell r="BD189">
            <v>0.2949722148716592</v>
          </cell>
          <cell r="BE189">
            <v>0.2949722148716592</v>
          </cell>
          <cell r="BF189">
            <v>0.30953838306554454</v>
          </cell>
          <cell r="BG189">
            <v>0.33237357851439631</v>
          </cell>
          <cell r="BH189">
            <v>0.35725919032107956</v>
          </cell>
          <cell r="BI189">
            <v>0.369449378330373</v>
          </cell>
          <cell r="BJ189">
            <v>0.369449378330373</v>
          </cell>
          <cell r="BK189">
            <v>0.37145899893503725</v>
          </cell>
          <cell r="BL189">
            <v>0.3640323584318606</v>
          </cell>
          <cell r="BM189">
            <v>0.3611674098094852</v>
          </cell>
          <cell r="BN189">
            <v>0.3625050180650341</v>
          </cell>
          <cell r="BO189">
            <v>0.3625050180650341</v>
          </cell>
          <cell r="BP189">
            <v>0.36234738085860574</v>
          </cell>
          <cell r="BQ189">
            <v>0.36117601246105918</v>
          </cell>
          <cell r="BR189">
            <v>0.3557874762808349</v>
          </cell>
          <cell r="BS189">
            <v>0.34901672486675245</v>
          </cell>
          <cell r="BT189">
            <v>0.34901672486675245</v>
          </cell>
          <cell r="BU189">
            <v>0.34529229648515752</v>
          </cell>
          <cell r="BV189">
            <v>0.34129934501681713</v>
          </cell>
          <cell r="BW189">
            <v>0.33856345885634587</v>
          </cell>
          <cell r="BX189">
            <v>0.32869176551487023</v>
          </cell>
          <cell r="BY189">
            <v>0.32869176551487023</v>
          </cell>
          <cell r="BZ189">
            <v>0.29761308629611083</v>
          </cell>
          <cell r="CA189">
            <v>0.2711947626841244</v>
          </cell>
          <cell r="CB189">
            <v>0.23675813656668793</v>
          </cell>
          <cell r="CC189">
            <v>0.20988593997092081</v>
          </cell>
          <cell r="CD189">
            <v>0.20988593997092081</v>
          </cell>
          <cell r="CE189">
            <v>0.18962243935975134</v>
          </cell>
          <cell r="CF189">
            <v>0.16746179224896637</v>
          </cell>
          <cell r="CG189">
            <v>0.15483797600557814</v>
          </cell>
          <cell r="CH189">
            <v>0.14869491351706454</v>
          </cell>
          <cell r="CI189">
            <v>0.14869491351706457</v>
          </cell>
          <cell r="CN189">
            <v>0.16416201535164779</v>
          </cell>
          <cell r="CS189">
            <v>0.17430457794553345</v>
          </cell>
        </row>
        <row r="190">
          <cell r="A190" t="str">
            <v>LTM Ex-Fuel Operating Expense</v>
          </cell>
          <cell r="L190">
            <v>0.78766221201320774</v>
          </cell>
          <cell r="M190">
            <v>0.7734790335775632</v>
          </cell>
          <cell r="N190">
            <v>0.75805163636679262</v>
          </cell>
          <cell r="O190">
            <v>0.74498933744993012</v>
          </cell>
          <cell r="P190">
            <v>0.71464016335244074</v>
          </cell>
          <cell r="Q190">
            <v>0.71464016335244041</v>
          </cell>
          <cell r="R190">
            <v>0.70051547252111412</v>
          </cell>
          <cell r="S190">
            <v>0.69051881868975273</v>
          </cell>
          <cell r="T190">
            <v>0.67428373244893858</v>
          </cell>
          <cell r="U190">
            <v>0.6799231933458274</v>
          </cell>
          <cell r="V190">
            <v>0.67992319334582718</v>
          </cell>
          <cell r="W190">
            <v>0.69068251132473202</v>
          </cell>
          <cell r="X190">
            <v>0.69250489634932744</v>
          </cell>
          <cell r="Y190">
            <v>0.70582150508837715</v>
          </cell>
          <cell r="Z190">
            <v>0.70945177397993775</v>
          </cell>
          <cell r="AA190">
            <v>0.70945177397993797</v>
          </cell>
          <cell r="AB190">
            <v>0.70528704280135435</v>
          </cell>
          <cell r="AC190">
            <v>0.69386460833522645</v>
          </cell>
          <cell r="AD190">
            <v>0.6808296353438924</v>
          </cell>
          <cell r="AE190">
            <v>0.67746980399252932</v>
          </cell>
          <cell r="AF190">
            <v>0.67746980399252932</v>
          </cell>
          <cell r="AG190">
            <v>0.68536336273247589</v>
          </cell>
          <cell r="AH190">
            <v>0.67034592893544065</v>
          </cell>
          <cell r="AI190">
            <v>0.65361616841083769</v>
          </cell>
          <cell r="AJ190">
            <v>0.63087077938563085</v>
          </cell>
          <cell r="AK190">
            <v>0.63087077938563085</v>
          </cell>
          <cell r="AL190">
            <v>0.63160016122531237</v>
          </cell>
          <cell r="AM190">
            <v>0.62524047710657948</v>
          </cell>
          <cell r="AN190">
            <v>0.61403508771929827</v>
          </cell>
          <cell r="AO190">
            <v>0.61365235749472202</v>
          </cell>
          <cell r="AP190">
            <v>0.61365235749472202</v>
          </cell>
          <cell r="AQ190">
            <v>0.59140983606557385</v>
          </cell>
          <cell r="AR190">
            <v>0.57905001572821646</v>
          </cell>
          <cell r="AS190">
            <v>0.56990349819059116</v>
          </cell>
          <cell r="AT190">
            <v>0.56623376623376631</v>
          </cell>
          <cell r="AU190">
            <v>0.56623376623376631</v>
          </cell>
          <cell r="AV190">
            <v>0.5714285714285714</v>
          </cell>
          <cell r="AW190">
            <v>0.5884534217666566</v>
          </cell>
          <cell r="AX190">
            <v>0.61149847094801224</v>
          </cell>
          <cell r="AY190">
            <v>0.6265572774232756</v>
          </cell>
          <cell r="AZ190">
            <v>0.6265572774232756</v>
          </cell>
          <cell r="BA190">
            <v>0.63565062388591798</v>
          </cell>
          <cell r="BB190">
            <v>0.63206521739130428</v>
          </cell>
          <cell r="BC190">
            <v>0.6194497412149278</v>
          </cell>
          <cell r="BD190">
            <v>0.61693569727441133</v>
          </cell>
          <cell r="BE190">
            <v>0.61693569727441133</v>
          </cell>
          <cell r="BF190">
            <v>0.60479469523080864</v>
          </cell>
          <cell r="BG190">
            <v>0.58828937817565941</v>
          </cell>
          <cell r="BH190">
            <v>0.57384830153559796</v>
          </cell>
          <cell r="BI190">
            <v>0.5590586145648313</v>
          </cell>
          <cell r="BJ190">
            <v>0.5590586145648313</v>
          </cell>
          <cell r="BK190">
            <v>0.55058572949946749</v>
          </cell>
          <cell r="BL190">
            <v>0.55092304501140843</v>
          </cell>
          <cell r="BM190">
            <v>0.55472233481961897</v>
          </cell>
          <cell r="BN190">
            <v>0.56202328382175837</v>
          </cell>
          <cell r="BO190">
            <v>0.56202328382175837</v>
          </cell>
          <cell r="BP190">
            <v>0.56951555730602599</v>
          </cell>
          <cell r="BQ190">
            <v>0.57690809968847356</v>
          </cell>
          <cell r="BR190">
            <v>0.57647058823529407</v>
          </cell>
          <cell r="BS190">
            <v>0.57232126447344234</v>
          </cell>
          <cell r="BT190">
            <v>0.57232126447344234</v>
          </cell>
          <cell r="BU190">
            <v>0.58004006556182841</v>
          </cell>
          <cell r="BV190">
            <v>0.57921756063020002</v>
          </cell>
          <cell r="BW190">
            <v>0.58106694560669458</v>
          </cell>
          <cell r="BX190">
            <v>0.58277462609592579</v>
          </cell>
          <cell r="BY190">
            <v>0.58277462609592579</v>
          </cell>
          <cell r="BZ190">
            <v>0.58103822400267069</v>
          </cell>
          <cell r="CA190">
            <v>0.58674304418985268</v>
          </cell>
          <cell r="CB190">
            <v>0.59492661135928526</v>
          </cell>
          <cell r="CC190">
            <v>0.59668659116239164</v>
          </cell>
          <cell r="CD190">
            <v>0.59668659116239164</v>
          </cell>
          <cell r="CE190">
            <v>0.60508902234693995</v>
          </cell>
          <cell r="CF190">
            <v>0.61148875004135916</v>
          </cell>
          <cell r="CG190">
            <v>0.61212096861584653</v>
          </cell>
          <cell r="CH190">
            <v>0.61428586847053235</v>
          </cell>
          <cell r="CI190">
            <v>0.61428586847053246</v>
          </cell>
          <cell r="CN190">
            <v>0.62900002646889497</v>
          </cell>
          <cell r="CS190">
            <v>0.64243462516543548</v>
          </cell>
        </row>
        <row r="191">
          <cell r="A191" t="str">
            <v>LTM Mainline Aircraft Rent</v>
          </cell>
          <cell r="L191">
            <v>0.10276392417310105</v>
          </cell>
          <cell r="M191">
            <v>9.4395703877332787E-2</v>
          </cell>
          <cell r="N191">
            <v>8.458286860024565E-2</v>
          </cell>
          <cell r="O191">
            <v>7.3101486501156429E-2</v>
          </cell>
          <cell r="P191">
            <v>6.4303492965108136E-2</v>
          </cell>
          <cell r="Q191">
            <v>6.4303492965108122E-2</v>
          </cell>
          <cell r="R191">
            <v>6.1802456909501605E-2</v>
          </cell>
          <cell r="S191">
            <v>6.0222263154663239E-2</v>
          </cell>
          <cell r="T191">
            <v>5.923493358911415E-2</v>
          </cell>
          <cell r="U191">
            <v>6.0062042307765511E-2</v>
          </cell>
          <cell r="V191">
            <v>6.0062042307765497E-2</v>
          </cell>
          <cell r="W191">
            <v>5.9930444467700218E-2</v>
          </cell>
          <cell r="X191">
            <v>5.8478521114769727E-2</v>
          </cell>
          <cell r="Y191">
            <v>5.7622522763792192E-2</v>
          </cell>
          <cell r="Z191">
            <v>5.5617867168539177E-2</v>
          </cell>
          <cell r="AA191">
            <v>5.5617867168539198E-2</v>
          </cell>
          <cell r="AB191">
            <v>5.2515005294240288E-2</v>
          </cell>
          <cell r="AC191">
            <v>4.8806669718656423E-2</v>
          </cell>
          <cell r="AD191">
            <v>4.5265785703796559E-2</v>
          </cell>
          <cell r="AE191">
            <v>4.3613615654277675E-2</v>
          </cell>
          <cell r="AF191">
            <v>4.3613615654277661E-2</v>
          </cell>
          <cell r="AG191">
            <v>4.3129680521496093E-2</v>
          </cell>
          <cell r="AH191">
            <v>4.2645631080089161E-2</v>
          </cell>
          <cell r="AI191">
            <v>4.3228425761535599E-2</v>
          </cell>
          <cell r="AJ191">
            <v>4.3581281205043579E-2</v>
          </cell>
          <cell r="AK191">
            <v>4.3581281205043579E-2</v>
          </cell>
          <cell r="AL191">
            <v>4.4740024183796856E-2</v>
          </cell>
          <cell r="AM191">
            <v>4.4632550981146595E-2</v>
          </cell>
          <cell r="AN191">
            <v>4.422514619883041E-2</v>
          </cell>
          <cell r="AO191">
            <v>4.3631245601688955E-2</v>
          </cell>
          <cell r="AP191">
            <v>4.3631245601688955E-2</v>
          </cell>
          <cell r="AQ191">
            <v>4.1311475409836068E-2</v>
          </cell>
          <cell r="AR191">
            <v>4.0264234035860332E-2</v>
          </cell>
          <cell r="AS191">
            <v>3.890229191797346E-2</v>
          </cell>
          <cell r="AT191">
            <v>3.807556080283353E-2</v>
          </cell>
          <cell r="AU191">
            <v>3.807556080283353E-2</v>
          </cell>
          <cell r="AV191">
            <v>3.8313038313038311E-2</v>
          </cell>
          <cell r="AW191">
            <v>3.8890563762435937E-2</v>
          </cell>
          <cell r="AX191">
            <v>3.8837920489296636E-2</v>
          </cell>
          <cell r="AY191">
            <v>3.8286235186873289E-2</v>
          </cell>
          <cell r="AZ191">
            <v>3.8286235186873289E-2</v>
          </cell>
          <cell r="BA191">
            <v>3.7136066547831255E-2</v>
          </cell>
          <cell r="BB191">
            <v>3.5469107551487411E-2</v>
          </cell>
          <cell r="BC191">
            <v>3.3778262053936255E-2</v>
          </cell>
          <cell r="BD191">
            <v>3.3342154008997087E-2</v>
          </cell>
          <cell r="BE191">
            <v>3.3342154008997087E-2</v>
          </cell>
          <cell r="BF191">
            <v>3.2899770466717673E-2</v>
          </cell>
          <cell r="BG191">
            <v>3.2421969513670455E-2</v>
          </cell>
          <cell r="BH191">
            <v>3.1409958120055842E-2</v>
          </cell>
          <cell r="BI191">
            <v>2.9973357015985792E-2</v>
          </cell>
          <cell r="BJ191">
            <v>2.9973357015985792E-2</v>
          </cell>
          <cell r="BK191">
            <v>2.8541001064962726E-2</v>
          </cell>
          <cell r="BL191">
            <v>2.7172785729101846E-2</v>
          </cell>
          <cell r="BM191">
            <v>2.6550466153222537E-2</v>
          </cell>
          <cell r="BN191">
            <v>2.6093938177438779E-2</v>
          </cell>
          <cell r="BO191">
            <v>2.6093938177438779E-2</v>
          </cell>
          <cell r="BP191">
            <v>2.5403702244978336E-2</v>
          </cell>
          <cell r="BQ191">
            <v>2.5116822429906541E-2</v>
          </cell>
          <cell r="BR191">
            <v>2.4478178368121443E-2</v>
          </cell>
          <cell r="BS191">
            <v>2.3525087300128651E-2</v>
          </cell>
          <cell r="BT191">
            <v>2.3525087300128651E-2</v>
          </cell>
          <cell r="BU191">
            <v>2.3128756146421417E-2</v>
          </cell>
          <cell r="BV191">
            <v>2.2127810231899452E-2</v>
          </cell>
          <cell r="BW191">
            <v>2.1617852161785217E-2</v>
          </cell>
          <cell r="BX191">
            <v>2.131682998108991E-2</v>
          </cell>
          <cell r="BY191">
            <v>2.131682998108991E-2</v>
          </cell>
          <cell r="BZ191">
            <v>2.0697713236521448E-2</v>
          </cell>
          <cell r="CA191">
            <v>2.0294599018003272E-2</v>
          </cell>
          <cell r="CB191">
            <v>1.9623484365028716E-2</v>
          </cell>
          <cell r="CC191">
            <v>1.8563448187027137E-2</v>
          </cell>
          <cell r="CD191">
            <v>1.8563448187027137E-2</v>
          </cell>
          <cell r="CE191">
            <v>1.7634488946578507E-2</v>
          </cell>
          <cell r="CF191">
            <v>1.6736213570145351E-2</v>
          </cell>
          <cell r="CG191">
            <v>1.5971691634881695E-2</v>
          </cell>
          <cell r="CH191">
            <v>1.5476936545748101E-2</v>
          </cell>
          <cell r="CI191">
            <v>1.5476936545748101E-2</v>
          </cell>
          <cell r="CN191">
            <v>1.4077022046003871E-2</v>
          </cell>
          <cell r="CS191">
            <v>1.2710415576140678E-2</v>
          </cell>
        </row>
        <row r="192">
          <cell r="A192" t="str">
            <v>LTM Regional Rent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BR192">
            <v>0</v>
          </cell>
          <cell r="BS192">
            <v>0</v>
          </cell>
          <cell r="BT192">
            <v>0</v>
          </cell>
          <cell r="BU192">
            <v>0</v>
          </cell>
          <cell r="BV192">
            <v>0</v>
          </cell>
          <cell r="BW192">
            <v>0</v>
          </cell>
          <cell r="BX192">
            <v>0</v>
          </cell>
          <cell r="BY192">
            <v>0</v>
          </cell>
          <cell r="BZ192">
            <v>0</v>
          </cell>
          <cell r="CA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N192">
            <v>0</v>
          </cell>
          <cell r="CS192">
            <v>0</v>
          </cell>
        </row>
        <row r="193">
          <cell r="A193" t="str">
            <v>LTM D&amp;A</v>
          </cell>
          <cell r="L193">
            <v>3.2511063811194264E-2</v>
          </cell>
          <cell r="M193">
            <v>3.3336496269872007E-2</v>
          </cell>
          <cell r="N193">
            <v>3.5615552536900165E-2</v>
          </cell>
          <cell r="O193">
            <v>3.7928870947264992E-2</v>
          </cell>
          <cell r="P193">
            <v>4.2384101789855348E-2</v>
          </cell>
          <cell r="Q193">
            <v>4.2384101789855327E-2</v>
          </cell>
          <cell r="R193">
            <v>4.5249196052031294E-2</v>
          </cell>
          <cell r="S193">
            <v>4.7041198501872661E-2</v>
          </cell>
          <cell r="T193">
            <v>4.886063739276985E-2</v>
          </cell>
          <cell r="U193">
            <v>5.0480241918924321E-2</v>
          </cell>
          <cell r="V193">
            <v>5.04802419189243E-2</v>
          </cell>
          <cell r="W193">
            <v>5.2690838553424338E-2</v>
          </cell>
          <cell r="X193">
            <v>5.4452294320584058E-2</v>
          </cell>
          <cell r="Y193">
            <v>5.7086067220139265E-2</v>
          </cell>
          <cell r="Z193">
            <v>6.0627087175002689E-2</v>
          </cell>
          <cell r="AA193">
            <v>6.062708717500271E-2</v>
          </cell>
          <cell r="AB193">
            <v>6.2734706991439432E-2</v>
          </cell>
          <cell r="AC193">
            <v>6.4590078196370138E-2</v>
          </cell>
          <cell r="AD193">
            <v>6.5588183576578155E-2</v>
          </cell>
          <cell r="AE193">
            <v>6.7528371821407196E-2</v>
          </cell>
          <cell r="AF193">
            <v>6.7528371821407196E-2</v>
          </cell>
          <cell r="AG193">
            <v>6.8535731314898971E-2</v>
          </cell>
          <cell r="AH193">
            <v>6.7265541968323697E-2</v>
          </cell>
          <cell r="AI193">
            <v>6.6214174652360416E-2</v>
          </cell>
          <cell r="AJ193">
            <v>6.3891004485063893E-2</v>
          </cell>
          <cell r="AK193">
            <v>6.3891004485063893E-2</v>
          </cell>
          <cell r="AL193">
            <v>6.4087061668681986E-2</v>
          </cell>
          <cell r="AM193">
            <v>6.348595613697576E-2</v>
          </cell>
          <cell r="AN193">
            <v>6.2134502923976605E-2</v>
          </cell>
          <cell r="AO193">
            <v>6.1928219563687541E-2</v>
          </cell>
          <cell r="AP193">
            <v>6.1928219563687541E-2</v>
          </cell>
          <cell r="AQ193">
            <v>5.8688524590163937E-2</v>
          </cell>
          <cell r="AR193">
            <v>5.7250707769738909E-2</v>
          </cell>
          <cell r="AS193">
            <v>5.790108564535585E-2</v>
          </cell>
          <cell r="AT193">
            <v>6.0507674144037779E-2</v>
          </cell>
          <cell r="AU193">
            <v>6.0507674144037779E-2</v>
          </cell>
          <cell r="AV193">
            <v>6.3855063855063857E-2</v>
          </cell>
          <cell r="AW193">
            <v>6.7832378655411515E-2</v>
          </cell>
          <cell r="AX193">
            <v>7.0336391437308868E-2</v>
          </cell>
          <cell r="AY193">
            <v>6.9279854147675485E-2</v>
          </cell>
          <cell r="AZ193">
            <v>6.9279854147675485E-2</v>
          </cell>
          <cell r="BA193">
            <v>6.833036244800951E-2</v>
          </cell>
          <cell r="BB193">
            <v>6.5217391304347824E-2</v>
          </cell>
          <cell r="BC193">
            <v>6.0746390629256332E-2</v>
          </cell>
          <cell r="BD193">
            <v>5.8216459380788566E-2</v>
          </cell>
          <cell r="BE193">
            <v>5.8216459380788566E-2</v>
          </cell>
          <cell r="BF193">
            <v>5.5853098699311397E-2</v>
          </cell>
          <cell r="BG193">
            <v>5.3955964190660538E-2</v>
          </cell>
          <cell r="BH193">
            <v>5.2582596556537922E-2</v>
          </cell>
          <cell r="BI193">
            <v>5.1731793960923624E-2</v>
          </cell>
          <cell r="BJ193">
            <v>5.1731793960923624E-2</v>
          </cell>
          <cell r="BK193">
            <v>5.0692225772097976E-2</v>
          </cell>
          <cell r="BL193">
            <v>5.0404480398257623E-2</v>
          </cell>
          <cell r="BM193">
            <v>5.1074179164977702E-2</v>
          </cell>
          <cell r="BN193">
            <v>5.1786431152147733E-2</v>
          </cell>
          <cell r="BO193">
            <v>5.1786431152147733E-2</v>
          </cell>
          <cell r="BP193">
            <v>5.2185899960614415E-2</v>
          </cell>
          <cell r="BQ193">
            <v>5.3154205607476634E-2</v>
          </cell>
          <cell r="BR193">
            <v>5.3130929791271347E-2</v>
          </cell>
          <cell r="BS193">
            <v>5.3299025914353981E-2</v>
          </cell>
          <cell r="BT193">
            <v>5.3299025914353981E-2</v>
          </cell>
          <cell r="BU193">
            <v>5.463485703879075E-2</v>
          </cell>
          <cell r="BV193">
            <v>5.4168879447689854E-2</v>
          </cell>
          <cell r="BW193">
            <v>5.4393305439330547E-2</v>
          </cell>
          <cell r="BX193">
            <v>5.5011174144748154E-2</v>
          </cell>
          <cell r="BY193">
            <v>5.5011174144748154E-2</v>
          </cell>
          <cell r="BZ193">
            <v>5.4915706893673845E-2</v>
          </cell>
          <cell r="CA193">
            <v>5.4500818330605563E-2</v>
          </cell>
          <cell r="CB193">
            <v>5.3924696873005745E-2</v>
          </cell>
          <cell r="CC193">
            <v>5.3358108744309803E-2</v>
          </cell>
          <cell r="CD193">
            <v>5.3358108744309803E-2</v>
          </cell>
          <cell r="CE193">
            <v>5.3530240081635753E-2</v>
          </cell>
          <cell r="CF193">
            <v>5.5020870679706263E-2</v>
          </cell>
          <cell r="CG193">
            <v>5.6596725290962227E-2</v>
          </cell>
          <cell r="CH193">
            <v>5.7632798222670471E-2</v>
          </cell>
          <cell r="CI193">
            <v>5.7632798222670492E-2</v>
          </cell>
          <cell r="CN193">
            <v>5.7608456804568935E-2</v>
          </cell>
          <cell r="CS193">
            <v>5.7366091930024704E-2</v>
          </cell>
        </row>
        <row r="194">
          <cell r="A194" t="str">
            <v>LTM EBIT</v>
          </cell>
          <cell r="L194">
            <v>8.232094665027137E-2</v>
          </cell>
          <cell r="M194">
            <v>0.10826760520397093</v>
          </cell>
          <cell r="N194">
            <v>0.12788563985608822</v>
          </cell>
          <cell r="O194">
            <v>0.14123235140968293</v>
          </cell>
          <cell r="P194">
            <v>0.16528727012819763</v>
          </cell>
          <cell r="Q194">
            <v>0.16528727012819772</v>
          </cell>
          <cell r="R194">
            <v>0.16143393884431778</v>
          </cell>
          <cell r="S194">
            <v>0.1686005162399459</v>
          </cell>
          <cell r="T194">
            <v>0.18281172299805445</v>
          </cell>
          <cell r="U194">
            <v>0.17251748132670772</v>
          </cell>
          <cell r="V194">
            <v>0.1725174813267078</v>
          </cell>
          <cell r="W194">
            <v>0.15926011750811037</v>
          </cell>
          <cell r="X194">
            <v>0.1454610863564961</v>
          </cell>
          <cell r="Y194">
            <v>0.11359885511515797</v>
          </cell>
          <cell r="Z194">
            <v>8.8273640920352989E-2</v>
          </cell>
          <cell r="AA194">
            <v>8.8273640920352905E-2</v>
          </cell>
          <cell r="AB194">
            <v>7.74962509952207E-2</v>
          </cell>
          <cell r="AC194">
            <v>6.823256161919268E-2</v>
          </cell>
          <cell r="AD194">
            <v>5.689515104876685E-2</v>
          </cell>
          <cell r="AE194">
            <v>3.5868609253470317E-2</v>
          </cell>
          <cell r="AF194">
            <v>3.5868609253470275E-2</v>
          </cell>
          <cell r="AG194">
            <v>5.9346413999396752E-3</v>
          </cell>
          <cell r="AH194">
            <v>8.8597101793977898E-3</v>
          </cell>
          <cell r="AI194">
            <v>1.7407250164492447E-2</v>
          </cell>
          <cell r="AJ194">
            <v>5.0943555894050932E-2</v>
          </cell>
          <cell r="AK194">
            <v>5.0943555894050981E-2</v>
          </cell>
          <cell r="AL194">
            <v>5.3204353083434096E-2</v>
          </cell>
          <cell r="AM194">
            <v>6.0792612543285877E-2</v>
          </cell>
          <cell r="AN194">
            <v>7.4195906432748537E-2</v>
          </cell>
          <cell r="AO194">
            <v>5.9465165376495425E-2</v>
          </cell>
          <cell r="AP194">
            <v>5.9465165376495425E-2</v>
          </cell>
          <cell r="AQ194">
            <v>6.5311475409836076E-2</v>
          </cell>
          <cell r="AR194">
            <v>4.63038691412394E-2</v>
          </cell>
          <cell r="AS194">
            <v>2.7201447527141147E-2</v>
          </cell>
          <cell r="AT194">
            <v>3.2231404958677698E-2</v>
          </cell>
          <cell r="AU194">
            <v>3.2231404958677635E-2</v>
          </cell>
          <cell r="AV194">
            <v>4.9747549747549746E-2</v>
          </cell>
          <cell r="AW194">
            <v>6.7681640036177271E-2</v>
          </cell>
          <cell r="AX194">
            <v>8.2415902140672778E-2</v>
          </cell>
          <cell r="AY194">
            <v>8.6447888179884538E-2</v>
          </cell>
          <cell r="AZ194">
            <v>8.6447888179884538E-2</v>
          </cell>
          <cell r="BA194">
            <v>7.4569221628045163E-2</v>
          </cell>
          <cell r="BB194">
            <v>7.6372997711670484E-2</v>
          </cell>
          <cell r="BC194">
            <v>9.2563334241351117E-2</v>
          </cell>
          <cell r="BD194">
            <v>8.8092087853929607E-2</v>
          </cell>
          <cell r="BE194">
            <v>8.809208785392951E-2</v>
          </cell>
          <cell r="BF194">
            <v>8.5666921703647023E-2</v>
          </cell>
          <cell r="BG194">
            <v>7.9337043309944344E-2</v>
          </cell>
          <cell r="BH194">
            <v>6.8892508143322484E-2</v>
          </cell>
          <cell r="BI194">
            <v>7.1492007104795738E-2</v>
          </cell>
          <cell r="BJ194">
            <v>7.1492007104795738E-2</v>
          </cell>
          <cell r="BK194">
            <v>7.7955271565495213E-2</v>
          </cell>
          <cell r="BL194">
            <v>8.5044596556730967E-2</v>
          </cell>
          <cell r="BM194">
            <v>8.4110255370895823E-2</v>
          </cell>
          <cell r="BN194">
            <v>7.5471698113207544E-2</v>
          </cell>
          <cell r="BO194">
            <v>7.5471698113207544E-2</v>
          </cell>
          <cell r="BP194">
            <v>6.8137061835368259E-2</v>
          </cell>
          <cell r="BQ194">
            <v>6.191588785046729E-2</v>
          </cell>
          <cell r="BR194">
            <v>6.7741935483870974E-2</v>
          </cell>
          <cell r="BS194">
            <v>7.8662010659805187E-2</v>
          </cell>
          <cell r="BT194">
            <v>7.8662010659805187E-2</v>
          </cell>
          <cell r="BU194">
            <v>7.4667637953014024E-2</v>
          </cell>
          <cell r="BV194">
            <v>7.9483094352982828E-2</v>
          </cell>
          <cell r="BW194">
            <v>8.0369595536959548E-2</v>
          </cell>
          <cell r="BX194">
            <v>8.8533608389204058E-2</v>
          </cell>
          <cell r="BY194">
            <v>8.8533608389204058E-2</v>
          </cell>
          <cell r="BZ194">
            <v>0.1213486897012185</v>
          </cell>
          <cell r="CA194">
            <v>0.14206219312602292</v>
          </cell>
          <cell r="CB194">
            <v>0.16831525207402681</v>
          </cell>
          <cell r="CC194">
            <v>0.19342746886668752</v>
          </cell>
          <cell r="CD194">
            <v>0.1934274688666876</v>
          </cell>
          <cell r="CE194">
            <v>0.20528853829330881</v>
          </cell>
          <cell r="CF194">
            <v>0.22104945770967444</v>
          </cell>
          <cell r="CG194">
            <v>0.23304105537857539</v>
          </cell>
          <cell r="CH194">
            <v>0.23701921801240311</v>
          </cell>
          <cell r="CI194">
            <v>0.23701921801240303</v>
          </cell>
          <cell r="CN194">
            <v>0.2068379581794573</v>
          </cell>
          <cell r="CS194">
            <v>0.18326079688903113</v>
          </cell>
        </row>
        <row r="195">
          <cell r="A195" t="str">
            <v>LTM EBITDA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 t="e">
            <v>#REF!</v>
          </cell>
          <cell r="R195" t="e">
            <v>#REF!</v>
          </cell>
          <cell r="S195" t="e">
            <v>#REF!</v>
          </cell>
          <cell r="T195" t="e">
            <v>#REF!</v>
          </cell>
          <cell r="U195" t="e">
            <v>#REF!</v>
          </cell>
          <cell r="V195" t="e">
            <v>#REF!</v>
          </cell>
          <cell r="W195" t="e">
            <v>#REF!</v>
          </cell>
          <cell r="X195" t="e">
            <v>#REF!</v>
          </cell>
          <cell r="Y195" t="e">
            <v>#REF!</v>
          </cell>
          <cell r="Z195" t="e">
            <v>#REF!</v>
          </cell>
          <cell r="AA195" t="e">
            <v>#REF!</v>
          </cell>
          <cell r="AB195" t="e">
            <v>#REF!</v>
          </cell>
          <cell r="AC195" t="e">
            <v>#REF!</v>
          </cell>
          <cell r="AD195" t="e">
            <v>#REF!</v>
          </cell>
          <cell r="AE195" t="e">
            <v>#REF!</v>
          </cell>
          <cell r="AF195" t="e">
            <v>#REF!</v>
          </cell>
          <cell r="AG195" t="e">
            <v>#REF!</v>
          </cell>
          <cell r="AH195" t="e">
            <v>#REF!</v>
          </cell>
          <cell r="AI195" t="e">
            <v>#REF!</v>
          </cell>
          <cell r="AJ195" t="e">
            <v>#REF!</v>
          </cell>
          <cell r="AK195" t="e">
            <v>#REF!</v>
          </cell>
          <cell r="AL195" t="e">
            <v>#REF!</v>
          </cell>
          <cell r="AM195" t="e">
            <v>#REF!</v>
          </cell>
          <cell r="AN195" t="e">
            <v>#REF!</v>
          </cell>
          <cell r="AO195" t="e">
            <v>#REF!</v>
          </cell>
          <cell r="AP195" t="e">
            <v>#REF!</v>
          </cell>
          <cell r="AQ195" t="e">
            <v>#REF!</v>
          </cell>
          <cell r="AR195" t="e">
            <v>#REF!</v>
          </cell>
          <cell r="AS195" t="e">
            <v>#REF!</v>
          </cell>
          <cell r="AT195" t="e">
            <v>#REF!</v>
          </cell>
          <cell r="AU195" t="e">
            <v>#REF!</v>
          </cell>
          <cell r="AV195" t="e">
            <v>#REF!</v>
          </cell>
          <cell r="AW195" t="e">
            <v>#REF!</v>
          </cell>
          <cell r="AX195" t="e">
            <v>#REF!</v>
          </cell>
          <cell r="AY195" t="e">
            <v>#REF!</v>
          </cell>
          <cell r="AZ195" t="e">
            <v>#REF!</v>
          </cell>
          <cell r="BA195" t="e">
            <v>#REF!</v>
          </cell>
          <cell r="BB195" t="e">
            <v>#REF!</v>
          </cell>
          <cell r="BC195" t="e">
            <v>#REF!</v>
          </cell>
          <cell r="BD195" t="e">
            <v>#REF!</v>
          </cell>
          <cell r="BE195" t="e">
            <v>#REF!</v>
          </cell>
          <cell r="BF195" t="e">
            <v>#REF!</v>
          </cell>
          <cell r="BG195" t="e">
            <v>#REF!</v>
          </cell>
          <cell r="BH195" t="e">
            <v>#REF!</v>
          </cell>
          <cell r="BI195" t="e">
            <v>#REF!</v>
          </cell>
          <cell r="BJ195" t="e">
            <v>#REF!</v>
          </cell>
          <cell r="BK195" t="e">
            <v>#REF!</v>
          </cell>
          <cell r="BL195" t="e">
            <v>#REF!</v>
          </cell>
          <cell r="BM195" t="e">
            <v>#REF!</v>
          </cell>
          <cell r="BN195" t="e">
            <v>#REF!</v>
          </cell>
          <cell r="BO195" t="e">
            <v>#REF!</v>
          </cell>
          <cell r="BP195" t="e">
            <v>#REF!</v>
          </cell>
          <cell r="BQ195" t="e">
            <v>#REF!</v>
          </cell>
          <cell r="BR195" t="e">
            <v>#REF!</v>
          </cell>
          <cell r="BS195" t="e">
            <v>#REF!</v>
          </cell>
          <cell r="BT195" t="e">
            <v>#REF!</v>
          </cell>
          <cell r="BU195" t="e">
            <v>#REF!</v>
          </cell>
          <cell r="BV195" t="e">
            <v>#REF!</v>
          </cell>
          <cell r="BW195" t="e">
            <v>#REF!</v>
          </cell>
          <cell r="BX195" t="e">
            <v>#REF!</v>
          </cell>
          <cell r="BY195" t="e">
            <v>#REF!</v>
          </cell>
          <cell r="BZ195" t="e">
            <v>#REF!</v>
          </cell>
          <cell r="CA195" t="e">
            <v>#REF!</v>
          </cell>
          <cell r="CB195" t="e">
            <v>#REF!</v>
          </cell>
          <cell r="CC195" t="e">
            <v>#REF!</v>
          </cell>
          <cell r="CD195" t="e">
            <v>#REF!</v>
          </cell>
          <cell r="CE195" t="e">
            <v>#REF!</v>
          </cell>
          <cell r="CF195" t="e">
            <v>#REF!</v>
          </cell>
          <cell r="CG195" t="e">
            <v>#REF!</v>
          </cell>
          <cell r="CH195" t="e">
            <v>#REF!</v>
          </cell>
          <cell r="CI195" t="e">
            <v>#REF!</v>
          </cell>
          <cell r="CN195" t="e">
            <v>#REF!</v>
          </cell>
          <cell r="CS195" t="e">
            <v>#REF!</v>
          </cell>
        </row>
        <row r="196">
          <cell r="A196" t="str">
            <v>LTM EBITDAR</v>
          </cell>
          <cell r="L196">
            <v>0.2175959346345667</v>
          </cell>
          <cell r="M196">
            <v>0.23599980535117571</v>
          </cell>
          <cell r="N196">
            <v>0.24808406099323405</v>
          </cell>
          <cell r="O196">
            <v>0.25226270885810437</v>
          </cell>
          <cell r="P196">
            <v>0.27197486488316114</v>
          </cell>
          <cell r="Q196">
            <v>0.27197486488316119</v>
          </cell>
          <cell r="R196">
            <v>0.26848559180585069</v>
          </cell>
          <cell r="S196">
            <v>0.27586397789648182</v>
          </cell>
          <cell r="T196">
            <v>0.29090729397993842</v>
          </cell>
          <cell r="U196">
            <v>0.28305976555339757</v>
          </cell>
          <cell r="V196">
            <v>0.28305976555339762</v>
          </cell>
          <cell r="W196">
            <v>0.27188140052923493</v>
          </cell>
          <cell r="X196">
            <v>0.2583919017918499</v>
          </cell>
          <cell r="Y196">
            <v>0.22830744509908943</v>
          </cell>
          <cell r="Z196">
            <v>0.20451859526389485</v>
          </cell>
          <cell r="AA196">
            <v>0.20451859526389482</v>
          </cell>
          <cell r="AB196">
            <v>0.19274596328090041</v>
          </cell>
          <cell r="AC196">
            <v>0.18162930953421924</v>
          </cell>
          <cell r="AD196">
            <v>0.16774912032914152</v>
          </cell>
          <cell r="AE196">
            <v>0.14701059672915517</v>
          </cell>
          <cell r="AF196">
            <v>0.14701059672915512</v>
          </cell>
          <cell r="AG196">
            <v>0.11760005323633474</v>
          </cell>
          <cell r="AH196">
            <v>0.11877088322781065</v>
          </cell>
          <cell r="AI196">
            <v>0.12684985057838846</v>
          </cell>
          <cell r="AJ196">
            <v>0.15841584158415839</v>
          </cell>
          <cell r="AK196">
            <v>0.15841584158415845</v>
          </cell>
          <cell r="AL196">
            <v>0.16203143893591293</v>
          </cell>
          <cell r="AM196">
            <v>0.16891111966140823</v>
          </cell>
          <cell r="AN196">
            <v>0.18055555555555555</v>
          </cell>
          <cell r="AO196">
            <v>0.16502463054187191</v>
          </cell>
          <cell r="AP196">
            <v>0.16502463054187191</v>
          </cell>
          <cell r="AQ196">
            <v>0.16531147540983607</v>
          </cell>
          <cell r="AR196">
            <v>0.14381881094683865</v>
          </cell>
          <cell r="AS196">
            <v>0.12400482509047046</v>
          </cell>
          <cell r="AT196">
            <v>0.13081463990554901</v>
          </cell>
          <cell r="AU196">
            <v>0.13081463990554895</v>
          </cell>
          <cell r="AV196">
            <v>0.15191565191565193</v>
          </cell>
          <cell r="AW196">
            <v>0.17440458245402471</v>
          </cell>
          <cell r="AX196">
            <v>0.19159021406727827</v>
          </cell>
          <cell r="AY196">
            <v>0.19401397751443331</v>
          </cell>
          <cell r="AZ196">
            <v>0.19401397751443331</v>
          </cell>
          <cell r="BA196">
            <v>0.18003565062388591</v>
          </cell>
          <cell r="BB196">
            <v>0.17705949656750572</v>
          </cell>
          <cell r="BC196">
            <v>0.1870879869245437</v>
          </cell>
          <cell r="BD196">
            <v>0.17965070124371527</v>
          </cell>
          <cell r="BE196">
            <v>0.17965070124371518</v>
          </cell>
          <cell r="BF196">
            <v>0.1744197908696761</v>
          </cell>
          <cell r="BG196">
            <v>0.16571497701427534</v>
          </cell>
          <cell r="BH196">
            <v>0.15288506281991623</v>
          </cell>
          <cell r="BI196">
            <v>0.15319715808170514</v>
          </cell>
          <cell r="BJ196">
            <v>0.15319715808170514</v>
          </cell>
          <cell r="BK196">
            <v>0.15718849840255592</v>
          </cell>
          <cell r="BL196">
            <v>0.16262186268409043</v>
          </cell>
          <cell r="BM196">
            <v>0.16173490068909607</v>
          </cell>
          <cell r="BN196">
            <v>0.15335206744279406</v>
          </cell>
          <cell r="BO196">
            <v>0.15335206744279406</v>
          </cell>
          <cell r="BP196">
            <v>0.14572666404096102</v>
          </cell>
          <cell r="BQ196">
            <v>0.14018691588785046</v>
          </cell>
          <cell r="BR196">
            <v>0.14535104364326376</v>
          </cell>
          <cell r="BS196">
            <v>0.15548612387428781</v>
          </cell>
          <cell r="BT196">
            <v>0.15548612387428781</v>
          </cell>
          <cell r="BU196">
            <v>0.1524312511382262</v>
          </cell>
          <cell r="BV196">
            <v>0.15577978403257214</v>
          </cell>
          <cell r="BW196">
            <v>0.15638075313807531</v>
          </cell>
          <cell r="BX196">
            <v>0.16486161251504211</v>
          </cell>
          <cell r="BY196">
            <v>0.16486161251504211</v>
          </cell>
          <cell r="BZ196">
            <v>0.1969621098314138</v>
          </cell>
          <cell r="CA196">
            <v>0.21685761047463176</v>
          </cell>
          <cell r="CB196">
            <v>0.24186343331206125</v>
          </cell>
          <cell r="CC196">
            <v>0.2653490257980245</v>
          </cell>
          <cell r="CD196">
            <v>0.2653490257980245</v>
          </cell>
          <cell r="CE196">
            <v>0.27645326732152309</v>
          </cell>
          <cell r="CF196">
            <v>0.29280654195952605</v>
          </cell>
          <cell r="CG196">
            <v>0.30560947230441932</v>
          </cell>
          <cell r="CH196">
            <v>0.3101289527808217</v>
          </cell>
          <cell r="CI196">
            <v>0.31012895278082159</v>
          </cell>
          <cell r="CN196">
            <v>0.27852343703003007</v>
          </cell>
          <cell r="CS196">
            <v>0.25333730439519653</v>
          </cell>
        </row>
        <row r="197">
          <cell r="A197" t="str">
            <v>LTM Regional Rent Adj EBITDAR</v>
          </cell>
          <cell r="L197">
            <v>0.2175959346345667</v>
          </cell>
          <cell r="M197">
            <v>0.23599980535117571</v>
          </cell>
          <cell r="N197">
            <v>0.24808406099323405</v>
          </cell>
          <cell r="O197">
            <v>0.25226270885810437</v>
          </cell>
          <cell r="P197">
            <v>0.27197486488316114</v>
          </cell>
          <cell r="Q197">
            <v>0.27197486488316119</v>
          </cell>
          <cell r="R197">
            <v>0.26848559180585069</v>
          </cell>
          <cell r="S197">
            <v>0.27586397789648182</v>
          </cell>
          <cell r="T197">
            <v>0.29090729397993842</v>
          </cell>
          <cell r="U197">
            <v>0.28305976555339757</v>
          </cell>
          <cell r="V197">
            <v>0.28305976555339762</v>
          </cell>
          <cell r="W197">
            <v>0.27188140052923493</v>
          </cell>
          <cell r="X197">
            <v>0.2583919017918499</v>
          </cell>
          <cell r="Y197">
            <v>0.22830744509908943</v>
          </cell>
          <cell r="Z197">
            <v>0.20451859526389485</v>
          </cell>
          <cell r="AA197">
            <v>0.20451859526389482</v>
          </cell>
          <cell r="AB197">
            <v>0.19274596328090041</v>
          </cell>
          <cell r="AC197">
            <v>0.18162930953421924</v>
          </cell>
          <cell r="AD197">
            <v>0.16774912032914152</v>
          </cell>
          <cell r="AE197">
            <v>0.14701059672915517</v>
          </cell>
          <cell r="AF197">
            <v>0.14701059672915512</v>
          </cell>
          <cell r="AG197">
            <v>0.11760005323633474</v>
          </cell>
          <cell r="AH197">
            <v>0.11877088322781065</v>
          </cell>
          <cell r="AI197">
            <v>0.12684985057838846</v>
          </cell>
          <cell r="AJ197">
            <v>0.15841584158415839</v>
          </cell>
          <cell r="AK197">
            <v>0.15841584158415845</v>
          </cell>
          <cell r="AL197">
            <v>0.16203143893591293</v>
          </cell>
          <cell r="AM197">
            <v>0.16891111966140823</v>
          </cell>
          <cell r="AN197">
            <v>0.18055555555555555</v>
          </cell>
          <cell r="AO197">
            <v>0.16502463054187191</v>
          </cell>
          <cell r="AP197">
            <v>0.16502463054187191</v>
          </cell>
          <cell r="AQ197">
            <v>0.16531147540983607</v>
          </cell>
          <cell r="AR197">
            <v>0.14381881094683865</v>
          </cell>
          <cell r="AS197">
            <v>0.12400482509047046</v>
          </cell>
          <cell r="AT197">
            <v>0.13081463990554901</v>
          </cell>
          <cell r="AU197">
            <v>0.13081463990554895</v>
          </cell>
          <cell r="AV197">
            <v>0.15191565191565193</v>
          </cell>
          <cell r="AW197">
            <v>0.17440458245402471</v>
          </cell>
          <cell r="AX197">
            <v>0.19159021406727827</v>
          </cell>
          <cell r="AY197">
            <v>0.19401397751443331</v>
          </cell>
          <cell r="AZ197">
            <v>0.19401397751443331</v>
          </cell>
          <cell r="BA197">
            <v>0.18003565062388591</v>
          </cell>
          <cell r="BB197">
            <v>0.17705949656750572</v>
          </cell>
          <cell r="BC197">
            <v>0.1870879869245437</v>
          </cell>
          <cell r="BD197">
            <v>0.17965070124371527</v>
          </cell>
          <cell r="BE197">
            <v>0.17965070124371518</v>
          </cell>
          <cell r="BF197">
            <v>0.1744197908696761</v>
          </cell>
          <cell r="BG197">
            <v>0.16571497701427534</v>
          </cell>
          <cell r="BH197">
            <v>0.15288506281991623</v>
          </cell>
          <cell r="BI197">
            <v>0.15319715808170514</v>
          </cell>
          <cell r="BJ197">
            <v>0.15319715808170514</v>
          </cell>
          <cell r="BK197">
            <v>0.15718849840255592</v>
          </cell>
          <cell r="BL197">
            <v>0.16262186268409043</v>
          </cell>
          <cell r="BM197">
            <v>0.16173490068909607</v>
          </cell>
          <cell r="BN197">
            <v>0.15335206744279406</v>
          </cell>
          <cell r="BO197">
            <v>0.15335206744279406</v>
          </cell>
          <cell r="BP197">
            <v>0.14572666404096102</v>
          </cell>
          <cell r="BQ197">
            <v>0.14018691588785046</v>
          </cell>
          <cell r="BR197">
            <v>0.14535104364326376</v>
          </cell>
          <cell r="BS197">
            <v>0.15548612387428781</v>
          </cell>
          <cell r="BT197">
            <v>0.15548612387428781</v>
          </cell>
          <cell r="BU197">
            <v>0.1524312511382262</v>
          </cell>
          <cell r="BV197">
            <v>0.15577978403257214</v>
          </cell>
          <cell r="BW197">
            <v>0.15638075313807531</v>
          </cell>
          <cell r="BX197">
            <v>0.16486161251504211</v>
          </cell>
          <cell r="BY197">
            <v>0.16486161251504211</v>
          </cell>
          <cell r="BZ197">
            <v>0.1969621098314138</v>
          </cell>
          <cell r="CA197">
            <v>0.21685761047463176</v>
          </cell>
          <cell r="CB197">
            <v>0.24186343331206125</v>
          </cell>
          <cell r="CC197">
            <v>0.2653490257980245</v>
          </cell>
          <cell r="CD197">
            <v>0.2653490257980245</v>
          </cell>
          <cell r="CE197">
            <v>0.27645326732152309</v>
          </cell>
          <cell r="CF197">
            <v>0.29280654195952605</v>
          </cell>
          <cell r="CG197">
            <v>0.30560947230441932</v>
          </cell>
          <cell r="CH197">
            <v>0.3101289527808217</v>
          </cell>
          <cell r="CI197">
            <v>0.31012895278082159</v>
          </cell>
          <cell r="CN197">
            <v>0.27852343703003007</v>
          </cell>
          <cell r="CS197">
            <v>0.25333730439519653</v>
          </cell>
        </row>
        <row r="198">
          <cell r="A198" t="str">
            <v>LTM Interest Expense</v>
          </cell>
          <cell r="L198">
            <v>4.41054385888257E-2</v>
          </cell>
          <cell r="M198">
            <v>3.7678267804981881E-2</v>
          </cell>
          <cell r="N198">
            <v>3.4808327438275485E-2</v>
          </cell>
          <cell r="O198">
            <v>3.4248957204443133E-2</v>
          </cell>
          <cell r="P198">
            <v>3.3075090799460326E-2</v>
          </cell>
          <cell r="Q198">
            <v>3.3075090799460319E-2</v>
          </cell>
          <cell r="R198">
            <v>3.2013263750570273E-2</v>
          </cell>
          <cell r="S198">
            <v>2.9856941118683616E-2</v>
          </cell>
          <cell r="T198">
            <v>2.8648534408479785E-2</v>
          </cell>
          <cell r="U198">
            <v>2.894472985953838E-2</v>
          </cell>
          <cell r="V198">
            <v>2.8944729859538377E-2</v>
          </cell>
          <cell r="W198">
            <v>3.0389899684552021E-2</v>
          </cell>
          <cell r="X198">
            <v>3.4071431253334457E-2</v>
          </cell>
          <cell r="Y198">
            <v>3.794104847348688E-2</v>
          </cell>
          <cell r="Z198">
            <v>4.2359751344980323E-2</v>
          </cell>
          <cell r="AA198">
            <v>4.2359751344980337E-2</v>
          </cell>
          <cell r="AB198">
            <v>4.7722363657544654E-2</v>
          </cell>
          <cell r="AC198">
            <v>5.2709281503500759E-2</v>
          </cell>
          <cell r="AD198">
            <v>5.7343258503800093E-2</v>
          </cell>
          <cell r="AE198">
            <v>6.2360138391391019E-2</v>
          </cell>
          <cell r="AF198">
            <v>6.2360138391391019E-2</v>
          </cell>
          <cell r="AG198">
            <v>6.7363212042850854E-2</v>
          </cell>
          <cell r="AH198">
            <v>6.9697952388114368E-2</v>
          </cell>
          <cell r="AI198">
            <v>7.1736157824509553E-2</v>
          </cell>
          <cell r="AJ198">
            <v>7.3199627655073193E-2</v>
          </cell>
          <cell r="AK198">
            <v>7.3199627655073193E-2</v>
          </cell>
          <cell r="AL198">
            <v>7.5775896815800076E-2</v>
          </cell>
          <cell r="AM198">
            <v>7.772220084647942E-2</v>
          </cell>
          <cell r="AN198">
            <v>7.8581871345029239E-2</v>
          </cell>
          <cell r="AO198">
            <v>7.9169598874032368E-2</v>
          </cell>
          <cell r="AP198">
            <v>7.9169598874032368E-2</v>
          </cell>
          <cell r="AQ198">
            <v>7.5081967213114748E-2</v>
          </cell>
          <cell r="AR198">
            <v>7.1091538219565903E-2</v>
          </cell>
          <cell r="AS198">
            <v>6.9963811821471655E-2</v>
          </cell>
          <cell r="AT198">
            <v>6.8476977567886663E-2</v>
          </cell>
          <cell r="AU198">
            <v>6.8476977567886663E-2</v>
          </cell>
          <cell r="AV198">
            <v>6.6854766854766851E-2</v>
          </cell>
          <cell r="AW198">
            <v>6.662646970153753E-2</v>
          </cell>
          <cell r="AX198">
            <v>6.3302752293577985E-2</v>
          </cell>
          <cell r="AY198">
            <v>5.9860224855666971E-2</v>
          </cell>
          <cell r="AZ198">
            <v>5.9860224855666971E-2</v>
          </cell>
          <cell r="BA198">
            <v>5.7902554961378493E-2</v>
          </cell>
          <cell r="BB198">
            <v>5.4061784897025171E-2</v>
          </cell>
          <cell r="BC198">
            <v>5.0122582402615093E-2</v>
          </cell>
          <cell r="BD198">
            <v>4.7896268854194228E-2</v>
          </cell>
          <cell r="BE198">
            <v>4.7896268854194228E-2</v>
          </cell>
          <cell r="BF198">
            <v>4.539658250446315E-2</v>
          </cell>
          <cell r="BG198">
            <v>4.3309944350350835E-2</v>
          </cell>
          <cell r="BH198">
            <v>4.1647277803629597E-2</v>
          </cell>
          <cell r="BI198">
            <v>3.9742451154529304E-2</v>
          </cell>
          <cell r="BJ198">
            <v>3.9742451154529304E-2</v>
          </cell>
          <cell r="BK198">
            <v>3.8338658146964855E-2</v>
          </cell>
          <cell r="BL198">
            <v>3.7336652146857496E-2</v>
          </cell>
          <cell r="BM198">
            <v>3.6278881232265907E-2</v>
          </cell>
          <cell r="BN198">
            <v>3.5327177840224808E-2</v>
          </cell>
          <cell r="BO198">
            <v>3.5327177840224808E-2</v>
          </cell>
          <cell r="BP198">
            <v>3.3871602993304453E-2</v>
          </cell>
          <cell r="BQ198">
            <v>3.3099688473520246E-2</v>
          </cell>
          <cell r="BR198">
            <v>3.1499051233396587E-2</v>
          </cell>
          <cell r="BS198">
            <v>2.9590148869693071E-2</v>
          </cell>
          <cell r="BT198">
            <v>2.9590148869693071E-2</v>
          </cell>
          <cell r="BU198">
            <v>2.8592241850300491E-2</v>
          </cell>
          <cell r="BV198">
            <v>2.7261462205700124E-2</v>
          </cell>
          <cell r="BW198">
            <v>2.6324965132496513E-2</v>
          </cell>
          <cell r="BX198">
            <v>2.5442668041946021E-2</v>
          </cell>
          <cell r="BY198">
            <v>2.5442668041946021E-2</v>
          </cell>
          <cell r="BZ198">
            <v>2.4202971123351694E-2</v>
          </cell>
          <cell r="CA198">
            <v>2.2585924713584289E-2</v>
          </cell>
          <cell r="CB198">
            <v>2.1218889597957882E-2</v>
          </cell>
          <cell r="CC198">
            <v>1.9977880244746993E-2</v>
          </cell>
          <cell r="CD198">
            <v>1.9977880244746993E-2</v>
          </cell>
          <cell r="CE198">
            <v>1.8798424476106929E-2</v>
          </cell>
          <cell r="CF198">
            <v>1.7635377556709398E-2</v>
          </cell>
          <cell r="CG198">
            <v>1.6266414917347868E-2</v>
          </cell>
          <cell r="CH198">
            <v>1.4902370186648656E-2</v>
          </cell>
          <cell r="CI198">
            <v>1.4902370186648658E-2</v>
          </cell>
          <cell r="CN198">
            <v>9.1895794849064152E-3</v>
          </cell>
          <cell r="CS198">
            <v>4.1141101192277334E-3</v>
          </cell>
        </row>
        <row r="199">
          <cell r="A199" t="str">
            <v>LTM Net Interest Expense</v>
          </cell>
          <cell r="L199">
            <v>1.9003539171197258E-2</v>
          </cell>
          <cell r="M199">
            <v>1.9016087379113849E-2</v>
          </cell>
          <cell r="N199">
            <v>2.1154939479817197E-2</v>
          </cell>
          <cell r="O199">
            <v>2.3816401743543131E-2</v>
          </cell>
          <cell r="P199">
            <v>2.4691785620388203E-2</v>
          </cell>
          <cell r="Q199">
            <v>2.46917856203882E-2</v>
          </cell>
          <cell r="R199">
            <v>2.499054178860341E-2</v>
          </cell>
          <cell r="S199">
            <v>2.3919690550745994E-2</v>
          </cell>
          <cell r="T199">
            <v>2.3419117447827761E-2</v>
          </cell>
          <cell r="U199">
            <v>2.3733135941166984E-2</v>
          </cell>
          <cell r="V199">
            <v>2.3733135941166984E-2</v>
          </cell>
          <cell r="W199">
            <v>2.5009717591831241E-2</v>
          </cell>
          <cell r="X199">
            <v>2.8529366308052195E-2</v>
          </cell>
          <cell r="Y199">
            <v>3.1732056775575793E-2</v>
          </cell>
          <cell r="Z199">
            <v>3.5330684561717014E-2</v>
          </cell>
          <cell r="AA199">
            <v>3.5330684561717021E-2</v>
          </cell>
          <cell r="AB199">
            <v>3.9489022335238572E-2</v>
          </cell>
          <cell r="AC199">
            <v>4.35903753878761E-2</v>
          </cell>
          <cell r="AD199">
            <v>4.810127858733336E-2</v>
          </cell>
          <cell r="AE199">
            <v>5.2937233311928768E-2</v>
          </cell>
          <cell r="AF199">
            <v>5.2937233311928768E-2</v>
          </cell>
          <cell r="AG199">
            <v>5.7881314871471093E-2</v>
          </cell>
          <cell r="AH199">
            <v>5.9584061815603502E-2</v>
          </cell>
          <cell r="AI199">
            <v>6.0990850912887015E-2</v>
          </cell>
          <cell r="AJ199">
            <v>6.1775408310061772E-2</v>
          </cell>
          <cell r="AK199">
            <v>6.1775408310061772E-2</v>
          </cell>
          <cell r="AL199">
            <v>6.3683998387746882E-2</v>
          </cell>
          <cell r="AM199">
            <v>6.4640246248557132E-2</v>
          </cell>
          <cell r="AN199">
            <v>6.4692982456140358E-2</v>
          </cell>
          <cell r="AO199">
            <v>6.4039408866995079E-2</v>
          </cell>
          <cell r="AP199">
            <v>6.4039408866995079E-2</v>
          </cell>
          <cell r="AQ199">
            <v>5.9016393442622953E-2</v>
          </cell>
          <cell r="AR199">
            <v>5.4734193142497639E-2</v>
          </cell>
          <cell r="AS199">
            <v>5.3075995174909532E-2</v>
          </cell>
          <cell r="AT199">
            <v>5.4309327036599762E-2</v>
          </cell>
          <cell r="AU199">
            <v>5.4309327036599762E-2</v>
          </cell>
          <cell r="AV199">
            <v>5.6162756162756164E-2</v>
          </cell>
          <cell r="AW199">
            <v>5.9360868254446794E-2</v>
          </cell>
          <cell r="AX199">
            <v>5.9908256880733937E-2</v>
          </cell>
          <cell r="AY199">
            <v>5.7702825888787605E-2</v>
          </cell>
          <cell r="AZ199">
            <v>5.7702825888787605E-2</v>
          </cell>
          <cell r="BA199">
            <v>5.6090314913844329E-2</v>
          </cell>
          <cell r="BB199">
            <v>5.2631578947368418E-2</v>
          </cell>
          <cell r="BC199">
            <v>4.9032961046036501E-2</v>
          </cell>
          <cell r="BD199">
            <v>4.6837787774543532E-2</v>
          </cell>
          <cell r="BE199">
            <v>4.6837787774543532E-2</v>
          </cell>
          <cell r="BF199">
            <v>4.4376434583014539E-2</v>
          </cell>
          <cell r="BG199">
            <v>4.2342124364868138E-2</v>
          </cell>
          <cell r="BH199">
            <v>4.071661237785016E-2</v>
          </cell>
          <cell r="BI199">
            <v>3.8632326820603906E-2</v>
          </cell>
          <cell r="BJ199">
            <v>3.8632326820603906E-2</v>
          </cell>
          <cell r="BK199">
            <v>3.7060702875399358E-2</v>
          </cell>
          <cell r="BL199">
            <v>3.5884671230035262E-2</v>
          </cell>
          <cell r="BM199">
            <v>3.4657478719092014E-2</v>
          </cell>
          <cell r="BN199">
            <v>3.3721397029305503E-2</v>
          </cell>
          <cell r="BO199">
            <v>3.3721397029305503E-2</v>
          </cell>
          <cell r="BP199">
            <v>3.2099251673887358E-2</v>
          </cell>
          <cell r="BQ199">
            <v>3.0957943925233645E-2</v>
          </cell>
          <cell r="BR199">
            <v>2.903225806451613E-2</v>
          </cell>
          <cell r="BS199">
            <v>2.7200882190773754E-2</v>
          </cell>
          <cell r="BT199">
            <v>2.7200882190773754E-2</v>
          </cell>
          <cell r="BU199">
            <v>2.622473137861956E-2</v>
          </cell>
          <cell r="BV199">
            <v>2.496016994158258E-2</v>
          </cell>
          <cell r="BW199">
            <v>2.4058577405857741E-2</v>
          </cell>
          <cell r="BX199">
            <v>2.3035929173113288E-2</v>
          </cell>
          <cell r="BY199">
            <v>2.3035929173113288E-2</v>
          </cell>
          <cell r="BZ199">
            <v>2.2033049574361543E-2</v>
          </cell>
          <cell r="CA199">
            <v>2.0785597381342062E-2</v>
          </cell>
          <cell r="CB199">
            <v>1.9783024888321635E-2</v>
          </cell>
          <cell r="CC199">
            <v>1.8729262729450306E-2</v>
          </cell>
          <cell r="CD199">
            <v>1.8729262729450306E-2</v>
          </cell>
          <cell r="CE199">
            <v>1.7570772265422394E-2</v>
          </cell>
          <cell r="CF199">
            <v>1.6429539775054056E-2</v>
          </cell>
          <cell r="CG199">
            <v>1.5078001042107839E-2</v>
          </cell>
          <cell r="CH199">
            <v>1.3733556838676213E-2</v>
          </cell>
          <cell r="CI199">
            <v>1.3733556838676214E-2</v>
          </cell>
          <cell r="CN199">
            <v>8.107801989089938E-3</v>
          </cell>
          <cell r="CS199">
            <v>3.1120391021060081E-3</v>
          </cell>
        </row>
        <row r="200">
          <cell r="A200" t="str">
            <v>LTM Pre-Tax Income</v>
          </cell>
          <cell r="L200">
            <v>0.12948492824907792</v>
          </cell>
          <cell r="M200">
            <v>0.14625618272882776</v>
          </cell>
          <cell r="N200">
            <v>0.15504702845685467</v>
          </cell>
          <cell r="O200">
            <v>0.14985070939537179</v>
          </cell>
          <cell r="P200">
            <v>0.14960222421287453</v>
          </cell>
          <cell r="Q200">
            <v>0.14960222421287461</v>
          </cell>
          <cell r="R200">
            <v>0.14296817200591966</v>
          </cell>
          <cell r="S200">
            <v>0.15207568048136544</v>
          </cell>
          <cell r="T200">
            <v>0.1655757814591427</v>
          </cell>
          <cell r="U200">
            <v>0.1563357977304575</v>
          </cell>
          <cell r="V200">
            <v>0.15633579773045758</v>
          </cell>
          <cell r="W200">
            <v>0.14183012154464852</v>
          </cell>
          <cell r="X200">
            <v>0.12417822973505135</v>
          </cell>
          <cell r="Y200">
            <v>8.921983797536151E-2</v>
          </cell>
          <cell r="Z200">
            <v>5.9662313302789982E-2</v>
          </cell>
          <cell r="AA200">
            <v>5.9662313302789906E-2</v>
          </cell>
          <cell r="AB200">
            <v>4.5532692583092102E-2</v>
          </cell>
          <cell r="AC200">
            <v>3.3569599436640223E-2</v>
          </cell>
          <cell r="AD200">
            <v>1.9791727722095261E-2</v>
          </cell>
          <cell r="AE200">
            <v>-5.8620703836194726E-3</v>
          </cell>
          <cell r="AF200">
            <v>-5.8620703836195108E-3</v>
          </cell>
          <cell r="AG200">
            <v>-3.7608610647156891E-2</v>
          </cell>
          <cell r="AH200">
            <v>-3.3699977064988E-2</v>
          </cell>
          <cell r="AI200">
            <v>-3.2047076078206477E-2</v>
          </cell>
          <cell r="AJ200">
            <v>5.9236692900058272E-4</v>
          </cell>
          <cell r="AK200">
            <v>5.9236692900063086E-4</v>
          </cell>
          <cell r="AL200">
            <v>1.2091898428053204E-3</v>
          </cell>
          <cell r="AM200">
            <v>8.0800307810696415E-3</v>
          </cell>
          <cell r="AN200">
            <v>2.6681286549707601E-2</v>
          </cell>
          <cell r="AO200">
            <v>1.4426460239268121E-2</v>
          </cell>
          <cell r="AP200">
            <v>1.4426460239268121E-2</v>
          </cell>
          <cell r="AQ200">
            <v>2.4000000000000014E-2</v>
          </cell>
          <cell r="AR200">
            <v>6.3541994337842234E-3</v>
          </cell>
          <cell r="AS200">
            <v>-8.9867310012062586E-3</v>
          </cell>
          <cell r="AT200">
            <v>-6.7296340023612613E-3</v>
          </cell>
          <cell r="AU200">
            <v>-6.729634002361329E-3</v>
          </cell>
          <cell r="AV200">
            <v>6.058806058806058E-3</v>
          </cell>
          <cell r="AW200">
            <v>1.8872475128127824E-2</v>
          </cell>
          <cell r="AX200">
            <v>2.6788990825688072E-2</v>
          </cell>
          <cell r="AY200">
            <v>3.1479793375873595E-2</v>
          </cell>
          <cell r="AZ200">
            <v>3.1479793375873595E-2</v>
          </cell>
          <cell r="BA200">
            <v>2.1152703505644684E-2</v>
          </cell>
          <cell r="BB200">
            <v>2.5743707093821511E-2</v>
          </cell>
          <cell r="BC200">
            <v>4.51648052301825E-2</v>
          </cell>
          <cell r="BD200">
            <v>4.2577401428949453E-2</v>
          </cell>
          <cell r="BE200">
            <v>4.2577401428949363E-2</v>
          </cell>
          <cell r="BF200">
            <v>4.3075745983167553E-2</v>
          </cell>
          <cell r="BG200">
            <v>3.8930558916041608E-2</v>
          </cell>
          <cell r="BH200">
            <v>2.910656119125175E-2</v>
          </cell>
          <cell r="BI200">
            <v>3.330373001776199E-2</v>
          </cell>
          <cell r="BJ200">
            <v>3.330373001776199E-2</v>
          </cell>
          <cell r="BK200">
            <v>4.1107561235356763E-2</v>
          </cell>
          <cell r="BL200">
            <v>4.8952499481435388E-2</v>
          </cell>
          <cell r="BM200">
            <v>5.0263477908390759E-2</v>
          </cell>
          <cell r="BN200">
            <v>4.1951023685266958E-2</v>
          </cell>
          <cell r="BO200">
            <v>4.1951023685266958E-2</v>
          </cell>
          <cell r="BP200">
            <v>3.6037810161480895E-2</v>
          </cell>
          <cell r="BQ200">
            <v>3.0568535825545171E-2</v>
          </cell>
          <cell r="BR200">
            <v>3.8519924098671728E-2</v>
          </cell>
          <cell r="BS200">
            <v>5.1277338724499175E-2</v>
          </cell>
          <cell r="BT200">
            <v>5.1277338724499175E-2</v>
          </cell>
          <cell r="BU200">
            <v>4.7714441813877254E-2</v>
          </cell>
          <cell r="BV200">
            <v>5.399185696583466E-2</v>
          </cell>
          <cell r="BW200">
            <v>5.5439330543933053E-2</v>
          </cell>
          <cell r="BX200">
            <v>6.5497679216090773E-2</v>
          </cell>
          <cell r="BY200">
            <v>6.5497679216090773E-2</v>
          </cell>
          <cell r="BZ200">
            <v>9.964947421131698E-2</v>
          </cell>
          <cell r="CA200">
            <v>0.12176759410801964</v>
          </cell>
          <cell r="CB200">
            <v>0.14901084875558393</v>
          </cell>
          <cell r="CC200">
            <v>0.17438605175841304</v>
          </cell>
          <cell r="CD200">
            <v>0.17438605175841312</v>
          </cell>
          <cell r="CE200">
            <v>0.18718066818571194</v>
          </cell>
          <cell r="CF200">
            <v>0.20431845848920654</v>
          </cell>
          <cell r="CG200">
            <v>0.21744312326605003</v>
          </cell>
          <cell r="CH200">
            <v>0.22299345783673377</v>
          </cell>
          <cell r="CI200">
            <v>0.22299345783673372</v>
          </cell>
          <cell r="CN200">
            <v>0.19845971181641325</v>
          </cell>
          <cell r="CS200">
            <v>0.17989824003264468</v>
          </cell>
        </row>
        <row r="201">
          <cell r="A201" t="str">
            <v>LTM Net Income</v>
          </cell>
          <cell r="L201">
            <v>0.11894231775140927</v>
          </cell>
          <cell r="M201">
            <v>0.11377880841067566</v>
          </cell>
          <cell r="N201">
            <v>0.10489491426488264</v>
          </cell>
          <cell r="O201">
            <v>9.1982294345260548E-2</v>
          </cell>
          <cell r="P201">
            <v>8.6437030178324284E-2</v>
          </cell>
          <cell r="Q201">
            <v>8.6437030178324381E-2</v>
          </cell>
          <cell r="R201">
            <v>8.242176172540025E-2</v>
          </cell>
          <cell r="S201">
            <v>8.7681055609995645E-2</v>
          </cell>
          <cell r="T201">
            <v>9.5696898007402387E-2</v>
          </cell>
          <cell r="U201">
            <v>9.28262705200876E-2</v>
          </cell>
          <cell r="V201">
            <v>9.2826270520087684E-2</v>
          </cell>
          <cell r="W201">
            <v>8.4569398555816286E-2</v>
          </cell>
          <cell r="X201">
            <v>7.4424509775671624E-2</v>
          </cell>
          <cell r="Y201">
            <v>5.4075723085163327E-2</v>
          </cell>
          <cell r="Z201">
            <v>3.6410312466335783E-2</v>
          </cell>
          <cell r="AA201">
            <v>3.6410312466335699E-2</v>
          </cell>
          <cell r="AB201">
            <v>2.8004193839685783E-2</v>
          </cell>
          <cell r="AC201">
            <v>2.0139700598432508E-2</v>
          </cell>
          <cell r="AD201">
            <v>1.4877671706772629E-2</v>
          </cell>
          <cell r="AE201">
            <v>-5.4561082033147352E-3</v>
          </cell>
          <cell r="AF201">
            <v>-5.4561082033147751E-3</v>
          </cell>
          <cell r="AG201">
            <v>-2.6317888013410257E-2</v>
          </cell>
          <cell r="AH201">
            <v>-2.3441680861556985E-2</v>
          </cell>
          <cell r="AI201">
            <v>-2.4995497134707355E-2</v>
          </cell>
          <cell r="AJ201">
            <v>-2.7079631040027173E-3</v>
          </cell>
          <cell r="AK201">
            <v>-2.7079631040026692E-3</v>
          </cell>
          <cell r="AL201">
            <v>1.2898024989923414E-3</v>
          </cell>
          <cell r="AM201">
            <v>3.9245863793766827E-3</v>
          </cell>
          <cell r="AN201">
            <v>1.3888888888888888E-2</v>
          </cell>
          <cell r="AO201">
            <v>6.3335679099225895E-3</v>
          </cell>
          <cell r="AP201">
            <v>6.3335679099225895E-3</v>
          </cell>
          <cell r="AQ201">
            <v>1.0557377049180344E-2</v>
          </cell>
          <cell r="AR201">
            <v>1.3211701793016816E-3</v>
          </cell>
          <cell r="AS201">
            <v>-6.8757539203859932E-3</v>
          </cell>
          <cell r="AT201">
            <v>-6.7296340023612613E-3</v>
          </cell>
          <cell r="AU201">
            <v>-6.729634002361329E-3</v>
          </cell>
          <cell r="AV201">
            <v>2.2869022869022866E-3</v>
          </cell>
          <cell r="AW201">
            <v>9.4663852879107637E-3</v>
          </cell>
          <cell r="AX201">
            <v>1.481651376146789E-2</v>
          </cell>
          <cell r="AY201">
            <v>1.9279854147675479E-2</v>
          </cell>
          <cell r="AZ201">
            <v>1.9279854147675479E-2</v>
          </cell>
          <cell r="BA201">
            <v>1.1660724896019013E-2</v>
          </cell>
          <cell r="BB201">
            <v>1.5031464530892448E-2</v>
          </cell>
          <cell r="BC201">
            <v>2.6777444837918812E-2</v>
          </cell>
          <cell r="BD201">
            <v>2.5509394019581893E-2</v>
          </cell>
          <cell r="BE201">
            <v>2.5509394019581803E-2</v>
          </cell>
          <cell r="BF201">
            <v>2.5733231318541182E-2</v>
          </cell>
          <cell r="BG201">
            <v>2.3203484151947732E-2</v>
          </cell>
          <cell r="BH201">
            <v>1.7356910190786418E-2</v>
          </cell>
          <cell r="BI201">
            <v>1.9649200710479573E-2</v>
          </cell>
          <cell r="BJ201">
            <v>1.9649200710479573E-2</v>
          </cell>
          <cell r="BK201">
            <v>2.4600638977635782E-2</v>
          </cell>
          <cell r="BL201">
            <v>2.9558182949595519E-2</v>
          </cell>
          <cell r="BM201">
            <v>3.0401297122010538E-2</v>
          </cell>
          <cell r="BN201">
            <v>2.5692492974708953E-2</v>
          </cell>
          <cell r="BO201">
            <v>2.5692492974708953E-2</v>
          </cell>
          <cell r="BP201">
            <v>2.2055927530523829E-2</v>
          </cell>
          <cell r="BQ201">
            <v>1.8691588785046728E-2</v>
          </cell>
          <cell r="BR201">
            <v>2.314990512333966E-2</v>
          </cell>
          <cell r="BS201">
            <v>3.0876677081418856E-2</v>
          </cell>
          <cell r="BT201">
            <v>3.0876677081418856E-2</v>
          </cell>
          <cell r="BU201">
            <v>2.8774358040429795E-2</v>
          </cell>
          <cell r="BV201">
            <v>3.2395114179500799E-2</v>
          </cell>
          <cell r="BW201">
            <v>3.329846582984658E-2</v>
          </cell>
          <cell r="BX201">
            <v>3.9711191335740074E-2</v>
          </cell>
          <cell r="BY201">
            <v>3.9711191335740074E-2</v>
          </cell>
          <cell r="BZ201">
            <v>6.0757803371724255E-2</v>
          </cell>
          <cell r="CA201">
            <v>7.4468085106382975E-2</v>
          </cell>
          <cell r="CB201">
            <v>9.1576260370134013E-2</v>
          </cell>
          <cell r="CC201">
            <v>0.10679065689646811</v>
          </cell>
          <cell r="CD201">
            <v>0.10679065689646818</v>
          </cell>
          <cell r="CE201">
            <v>0.11434594064172669</v>
          </cell>
          <cell r="CF201">
            <v>0.12487241264029292</v>
          </cell>
          <cell r="CG201">
            <v>0.1326403051922905</v>
          </cell>
          <cell r="CH201">
            <v>0.13602600928040759</v>
          </cell>
          <cell r="CI201">
            <v>0.13602600928040751</v>
          </cell>
          <cell r="CN201">
            <v>0.12106042420801204</v>
          </cell>
          <cell r="CS201">
            <v>0.10973792641991323</v>
          </cell>
        </row>
        <row r="202">
          <cell r="A202" t="str">
            <v>CASH FLOW STATEMENT</v>
          </cell>
          <cell r="L202">
            <v>3.2511063811194264E-2</v>
          </cell>
          <cell r="M202">
            <v>3.3336496269872007E-2</v>
          </cell>
          <cell r="N202">
            <v>3.5615552536900165E-2</v>
          </cell>
          <cell r="O202">
            <v>3.7928870947264992E-2</v>
          </cell>
          <cell r="P202">
            <v>4.2384101789855348E-2</v>
          </cell>
          <cell r="Q202">
            <v>4.2384101789855327E-2</v>
          </cell>
          <cell r="R202">
            <v>4.5249196052031294E-2</v>
          </cell>
          <cell r="S202">
            <v>4.7041198501872661E-2</v>
          </cell>
          <cell r="T202">
            <v>4.886063739276985E-2</v>
          </cell>
          <cell r="U202">
            <v>5.0480241918924321E-2</v>
          </cell>
          <cell r="V202">
            <v>5.04802419189243E-2</v>
          </cell>
          <cell r="W202">
            <v>5.2690838553424338E-2</v>
          </cell>
          <cell r="X202">
            <v>5.4452294320584058E-2</v>
          </cell>
          <cell r="Y202">
            <v>5.7086067220139265E-2</v>
          </cell>
          <cell r="Z202">
            <v>6.0627087175002689E-2</v>
          </cell>
          <cell r="AA202">
            <v>6.062708717500271E-2</v>
          </cell>
          <cell r="AB202">
            <v>6.2734706991439432E-2</v>
          </cell>
          <cell r="AC202">
            <v>6.4590078196370138E-2</v>
          </cell>
          <cell r="AD202">
            <v>6.5588183576578155E-2</v>
          </cell>
          <cell r="AE202">
            <v>6.7528371821407196E-2</v>
          </cell>
          <cell r="AF202">
            <v>6.7528371821407196E-2</v>
          </cell>
          <cell r="AG202">
            <v>6.8535731314898971E-2</v>
          </cell>
          <cell r="AH202">
            <v>6.7265541968323697E-2</v>
          </cell>
          <cell r="AI202">
            <v>6.6214174652360416E-2</v>
          </cell>
          <cell r="AJ202">
            <v>6.3891004485063893E-2</v>
          </cell>
          <cell r="AK202">
            <v>6.3891004485063893E-2</v>
          </cell>
          <cell r="AL202">
            <v>6.4087061668681986E-2</v>
          </cell>
          <cell r="AM202">
            <v>6.348595613697576E-2</v>
          </cell>
          <cell r="AN202">
            <v>6.2134502923976605E-2</v>
          </cell>
          <cell r="AO202">
            <v>6.1928219563687541E-2</v>
          </cell>
          <cell r="AP202">
            <v>6.1928219563687541E-2</v>
          </cell>
          <cell r="AQ202">
            <v>5.8688524590163937E-2</v>
          </cell>
          <cell r="AR202">
            <v>5.7250707769738909E-2</v>
          </cell>
          <cell r="AS202">
            <v>5.790108564535585E-2</v>
          </cell>
          <cell r="AT202">
            <v>6.0507674144037779E-2</v>
          </cell>
          <cell r="AU202">
            <v>6.0507674144037779E-2</v>
          </cell>
          <cell r="AV202">
            <v>6.3855063855063857E-2</v>
          </cell>
          <cell r="AW202">
            <v>6.7832378655411515E-2</v>
          </cell>
          <cell r="AX202">
            <v>7.0336391437308868E-2</v>
          </cell>
          <cell r="AY202">
            <v>6.9279854147675485E-2</v>
          </cell>
          <cell r="AZ202">
            <v>6.9279854147675485E-2</v>
          </cell>
          <cell r="BA202">
            <v>6.833036244800951E-2</v>
          </cell>
          <cell r="BB202">
            <v>6.5217391304347824E-2</v>
          </cell>
          <cell r="BC202">
            <v>6.0746390629256332E-2</v>
          </cell>
          <cell r="BD202">
            <v>5.8216459380788566E-2</v>
          </cell>
          <cell r="BE202">
            <v>5.8216459380788566E-2</v>
          </cell>
          <cell r="BF202">
            <v>5.5853098699311397E-2</v>
          </cell>
          <cell r="BG202">
            <v>5.3955964190660538E-2</v>
          </cell>
          <cell r="BH202">
            <v>5.2582596556537922E-2</v>
          </cell>
          <cell r="BI202">
            <v>5.1731793960923624E-2</v>
          </cell>
          <cell r="BJ202">
            <v>5.1731793960923624E-2</v>
          </cell>
          <cell r="BK202">
            <v>5.0692225772097976E-2</v>
          </cell>
          <cell r="BL202">
            <v>5.0404480398257623E-2</v>
          </cell>
          <cell r="BM202">
            <v>5.1074179164977702E-2</v>
          </cell>
          <cell r="BN202">
            <v>5.1786431152147733E-2</v>
          </cell>
          <cell r="BO202">
            <v>5.1786431152147733E-2</v>
          </cell>
          <cell r="BP202">
            <v>5.2185899960614415E-2</v>
          </cell>
          <cell r="BQ202">
            <v>5.3154205607476634E-2</v>
          </cell>
          <cell r="BR202">
            <v>5.3130929791271347E-2</v>
          </cell>
          <cell r="BS202">
            <v>5.3299025914353981E-2</v>
          </cell>
          <cell r="BT202">
            <v>5.3299025914353981E-2</v>
          </cell>
          <cell r="BU202">
            <v>5.463485703879075E-2</v>
          </cell>
          <cell r="BV202">
            <v>5.4168879447689854E-2</v>
          </cell>
          <cell r="BW202">
            <v>5.4393305439330547E-2</v>
          </cell>
          <cell r="BX202">
            <v>5.5011174144748154E-2</v>
          </cell>
          <cell r="BY202">
            <v>5.5011174144748154E-2</v>
          </cell>
          <cell r="BZ202">
            <v>5.4915706893673845E-2</v>
          </cell>
          <cell r="CA202">
            <v>5.4500818330605563E-2</v>
          </cell>
          <cell r="CB202">
            <v>5.3924696873005745E-2</v>
          </cell>
          <cell r="CC202">
            <v>5.3771820448877808E-2</v>
          </cell>
          <cell r="CD202">
            <v>5.3771820448877808E-2</v>
          </cell>
          <cell r="CE202">
            <v>5.451722831748182E-2</v>
          </cell>
          <cell r="CF202">
            <v>5.6235227242803061E-2</v>
          </cell>
          <cell r="CG202">
            <v>5.7658553894169379E-2</v>
          </cell>
          <cell r="CH202">
            <v>5.8491414807037859E-2</v>
          </cell>
          <cell r="CI202">
            <v>5.8491414807037866E-2</v>
          </cell>
          <cell r="CN202">
            <v>5.9741282995111937E-2</v>
          </cell>
          <cell r="CS202">
            <v>5.9135387763899046E-2</v>
          </cell>
        </row>
        <row r="203">
          <cell r="A203" t="str">
            <v>CASH FLOW FROM OPERATIONS</v>
          </cell>
          <cell r="B203">
            <v>-14.449</v>
          </cell>
          <cell r="G203">
            <v>-21.329999999999973</v>
          </cell>
          <cell r="L203">
            <v>38.110783800000057</v>
          </cell>
          <cell r="M203">
            <v>0.10826760520397093</v>
          </cell>
          <cell r="N203">
            <v>0.12788563985608822</v>
          </cell>
          <cell r="O203">
            <v>0.14123235140968293</v>
          </cell>
          <cell r="P203">
            <v>0.16528727012819763</v>
          </cell>
          <cell r="Q203">
            <v>54.904023636000048</v>
          </cell>
          <cell r="R203">
            <v>0.16143393884431778</v>
          </cell>
          <cell r="S203">
            <v>0.1686005162399459</v>
          </cell>
          <cell r="T203">
            <v>0.18281172299805445</v>
          </cell>
          <cell r="U203">
            <v>0.17251748132670772</v>
          </cell>
          <cell r="V203">
            <v>103.97320000000006</v>
          </cell>
          <cell r="W203">
            <v>0.15926011750811037</v>
          </cell>
          <cell r="X203">
            <v>0.1454610863564961</v>
          </cell>
          <cell r="Y203">
            <v>0.11359885511515797</v>
          </cell>
          <cell r="Z203">
            <v>8.8273640920352989E-2</v>
          </cell>
          <cell r="AA203">
            <v>45.966999999999757</v>
          </cell>
          <cell r="AB203">
            <v>7.74962509952207E-2</v>
          </cell>
          <cell r="AC203">
            <v>6.823256161919268E-2</v>
          </cell>
          <cell r="AD203">
            <v>5.689515104876685E-2</v>
          </cell>
          <cell r="AE203">
            <v>3.5868609253470317E-2</v>
          </cell>
          <cell r="AF203">
            <v>-19.686999999999976</v>
          </cell>
          <cell r="AG203">
            <v>-31.600000000000023</v>
          </cell>
          <cell r="AH203">
            <v>14</v>
          </cell>
          <cell r="AI203">
            <v>0.80000000000000071</v>
          </cell>
          <cell r="AJ203">
            <v>17</v>
          </cell>
          <cell r="AK203">
            <v>0.20000000000009166</v>
          </cell>
          <cell r="AL203">
            <v>-22</v>
          </cell>
          <cell r="AM203">
            <v>21</v>
          </cell>
          <cell r="AN203">
            <v>23</v>
          </cell>
          <cell r="AO203">
            <v>-4</v>
          </cell>
          <cell r="AP203">
            <v>18</v>
          </cell>
          <cell r="AQ203">
            <v>-7.7999999999999545</v>
          </cell>
          <cell r="AR203">
            <v>-7</v>
          </cell>
          <cell r="AS203">
            <v>-4</v>
          </cell>
          <cell r="AT203">
            <v>-57</v>
          </cell>
          <cell r="AU203">
            <v>-75.800000000000182</v>
          </cell>
          <cell r="AV203">
            <v>14.7</v>
          </cell>
          <cell r="AW203">
            <v>21.700000000000003</v>
          </cell>
          <cell r="AX203">
            <v>16.05</v>
          </cell>
          <cell r="AY203">
            <v>11</v>
          </cell>
          <cell r="AZ203">
            <v>63.449999999999996</v>
          </cell>
          <cell r="BA203">
            <v>-1.5</v>
          </cell>
          <cell r="BB203">
            <v>30</v>
          </cell>
          <cell r="BC203">
            <v>58.799999999999955</v>
          </cell>
          <cell r="BD203">
            <v>9.1000000000000227</v>
          </cell>
          <cell r="BE203">
            <v>96.399999999999636</v>
          </cell>
          <cell r="BF203">
            <v>3</v>
          </cell>
          <cell r="BG203">
            <v>25</v>
          </cell>
          <cell r="BH203">
            <v>34.5</v>
          </cell>
          <cell r="BI203">
            <v>23</v>
          </cell>
          <cell r="BJ203">
            <v>85.5</v>
          </cell>
          <cell r="BK203">
            <v>30</v>
          </cell>
          <cell r="BL203">
            <v>52</v>
          </cell>
          <cell r="BM203">
            <v>45</v>
          </cell>
          <cell r="BN203">
            <v>1</v>
          </cell>
          <cell r="BO203">
            <v>128</v>
          </cell>
          <cell r="BP203">
            <v>14</v>
          </cell>
          <cell r="BQ203">
            <v>36</v>
          </cell>
          <cell r="BR203">
            <v>71</v>
          </cell>
          <cell r="BS203">
            <v>47</v>
          </cell>
          <cell r="BT203">
            <v>168</v>
          </cell>
          <cell r="BU203">
            <v>4</v>
          </cell>
          <cell r="BV203">
            <v>61</v>
          </cell>
          <cell r="BW203">
            <v>79</v>
          </cell>
          <cell r="BX203">
            <v>88</v>
          </cell>
          <cell r="BY203">
            <v>232</v>
          </cell>
          <cell r="BZ203">
            <v>137</v>
          </cell>
          <cell r="CA203">
            <v>152</v>
          </cell>
          <cell r="CB203">
            <v>195.39020630277793</v>
          </cell>
          <cell r="CC203">
            <v>177.61962927507199</v>
          </cell>
          <cell r="CD203">
            <v>662.00983557784878</v>
          </cell>
          <cell r="CE203">
            <v>180.21171810036759</v>
          </cell>
          <cell r="CF203">
            <v>217.84357513022141</v>
          </cell>
          <cell r="CG203">
            <v>222.57115317588017</v>
          </cell>
          <cell r="CH203">
            <v>198.20884150146941</v>
          </cell>
          <cell r="CI203">
            <v>808.47149992407219</v>
          </cell>
          <cell r="CN203">
            <v>798.23767223476545</v>
          </cell>
          <cell r="CS203">
            <v>0.15614076140242669</v>
          </cell>
          <cell r="DE203" t="str">
            <v>mstag:netIncomeReported</v>
          </cell>
          <cell r="DF203">
            <v>6</v>
          </cell>
          <cell r="DG203" t="str">
            <v>ISO4217:USD</v>
          </cell>
          <cell r="DH203" t="b">
            <v>0</v>
          </cell>
          <cell r="DI203" t="b">
            <v>0</v>
          </cell>
        </row>
        <row r="204">
          <cell r="A204" t="str">
            <v>Net Earnings</v>
          </cell>
          <cell r="B204">
            <v>-14.449</v>
          </cell>
          <cell r="G204">
            <v>-21.329999999999973</v>
          </cell>
          <cell r="L204">
            <v>38.110783800000057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54.904023636000048</v>
          </cell>
          <cell r="R204" t="e">
            <v>#REF!</v>
          </cell>
          <cell r="S204" t="e">
            <v>#REF!</v>
          </cell>
          <cell r="T204" t="e">
            <v>#REF!</v>
          </cell>
          <cell r="U204" t="e">
            <v>#REF!</v>
          </cell>
          <cell r="V204">
            <v>103.97320000000006</v>
          </cell>
          <cell r="W204" t="e">
            <v>#REF!</v>
          </cell>
          <cell r="X204" t="e">
            <v>#REF!</v>
          </cell>
          <cell r="Y204" t="e">
            <v>#REF!</v>
          </cell>
          <cell r="Z204" t="e">
            <v>#REF!</v>
          </cell>
          <cell r="AA204">
            <v>45.966999999999757</v>
          </cell>
          <cell r="AB204" t="e">
            <v>#REF!</v>
          </cell>
          <cell r="AC204" t="e">
            <v>#REF!</v>
          </cell>
          <cell r="AD204" t="e">
            <v>#REF!</v>
          </cell>
          <cell r="AE204" t="e">
            <v>#REF!</v>
          </cell>
          <cell r="AF204">
            <v>-19.686999999999976</v>
          </cell>
          <cell r="AG204">
            <v>-31.600000000000023</v>
          </cell>
          <cell r="AH204">
            <v>14</v>
          </cell>
          <cell r="AI204">
            <v>0.80000000000000071</v>
          </cell>
          <cell r="AJ204">
            <v>17</v>
          </cell>
          <cell r="AK204">
            <v>0.20000000000009166</v>
          </cell>
          <cell r="AL204">
            <v>-22</v>
          </cell>
          <cell r="AM204">
            <v>21</v>
          </cell>
          <cell r="AN204">
            <v>23</v>
          </cell>
          <cell r="AO204">
            <v>-4</v>
          </cell>
          <cell r="AP204">
            <v>18</v>
          </cell>
          <cell r="AQ204">
            <v>-7.7999999999999545</v>
          </cell>
          <cell r="AR204">
            <v>-7</v>
          </cell>
          <cell r="AS204">
            <v>-4</v>
          </cell>
          <cell r="AT204">
            <v>-57</v>
          </cell>
          <cell r="AU204">
            <v>-75.800000000000182</v>
          </cell>
          <cell r="AV204">
            <v>14.7</v>
          </cell>
          <cell r="AW204">
            <v>21.700000000000003</v>
          </cell>
          <cell r="AX204">
            <v>16.05</v>
          </cell>
          <cell r="AY204">
            <v>11</v>
          </cell>
          <cell r="AZ204">
            <v>63.449999999999996</v>
          </cell>
          <cell r="BA204">
            <v>-1.5</v>
          </cell>
          <cell r="BB204">
            <v>30</v>
          </cell>
          <cell r="BC204">
            <v>58.799999999999955</v>
          </cell>
          <cell r="BD204">
            <v>9.1000000000000227</v>
          </cell>
          <cell r="BE204">
            <v>96.399999999999636</v>
          </cell>
          <cell r="BF204">
            <v>3</v>
          </cell>
          <cell r="BG204">
            <v>25</v>
          </cell>
          <cell r="BH204">
            <v>34.5</v>
          </cell>
          <cell r="BI204">
            <v>23</v>
          </cell>
          <cell r="BJ204">
            <v>85.5</v>
          </cell>
          <cell r="BK204">
            <v>30</v>
          </cell>
          <cell r="BL204">
            <v>52</v>
          </cell>
          <cell r="BM204">
            <v>45</v>
          </cell>
          <cell r="BN204">
            <v>1</v>
          </cell>
          <cell r="BO204">
            <v>128</v>
          </cell>
          <cell r="BP204">
            <v>14</v>
          </cell>
          <cell r="BQ204">
            <v>36</v>
          </cell>
          <cell r="BR204">
            <v>71</v>
          </cell>
          <cell r="BS204">
            <v>47</v>
          </cell>
          <cell r="BT204">
            <v>168</v>
          </cell>
          <cell r="BU204">
            <v>4</v>
          </cell>
          <cell r="BV204">
            <v>61</v>
          </cell>
          <cell r="BW204">
            <v>79</v>
          </cell>
          <cell r="BX204">
            <v>88</v>
          </cell>
          <cell r="BY204">
            <v>232</v>
          </cell>
          <cell r="BZ204">
            <v>137</v>
          </cell>
          <cell r="CA204">
            <v>152</v>
          </cell>
          <cell r="CB204">
            <v>198</v>
          </cell>
          <cell r="CC204">
            <v>197.21693969970181</v>
          </cell>
          <cell r="CD204">
            <v>684.21693969970227</v>
          </cell>
          <cell r="CE204">
            <v>197.91878943627444</v>
          </cell>
          <cell r="CF204">
            <v>235.31675122250934</v>
          </cell>
          <cell r="CG204">
            <v>262.43716326336016</v>
          </cell>
          <cell r="CH204">
            <v>235.36395486601077</v>
          </cell>
          <cell r="CI204">
            <v>931.036658788154</v>
          </cell>
          <cell r="CN204">
            <v>895.27042058970619</v>
          </cell>
          <cell r="CS204">
            <v>876.08901600699983</v>
          </cell>
          <cell r="DE204" t="str">
            <v>mstag:depreciation</v>
          </cell>
          <cell r="DF204">
            <v>6</v>
          </cell>
          <cell r="DG204" t="str">
            <v>ISO4217:USD</v>
          </cell>
          <cell r="DH204" t="b">
            <v>0</v>
          </cell>
          <cell r="DI204" t="b">
            <v>0</v>
          </cell>
          <cell r="DJ204" t="str">
            <v>mstag:netIncomeReported</v>
          </cell>
          <cell r="DK204">
            <v>6</v>
          </cell>
          <cell r="DL204" t="str">
            <v>ISO4217:USD</v>
          </cell>
          <cell r="DM204" t="b">
            <v>0</v>
          </cell>
          <cell r="DN204" t="b">
            <v>0</v>
          </cell>
        </row>
        <row r="205">
          <cell r="A205" t="str">
            <v>Depreciation</v>
          </cell>
          <cell r="B205">
            <v>0.111</v>
          </cell>
          <cell r="G205">
            <v>3.8889999999999998</v>
          </cell>
          <cell r="L205">
            <v>9.9719999999999995</v>
          </cell>
          <cell r="M205">
            <v>0.23599980535117571</v>
          </cell>
          <cell r="N205">
            <v>0.24808406099323405</v>
          </cell>
          <cell r="O205">
            <v>0.25226270885810437</v>
          </cell>
          <cell r="P205">
            <v>0.27197486488316114</v>
          </cell>
          <cell r="Q205">
            <v>24.73</v>
          </cell>
          <cell r="R205">
            <v>0.26848559180585069</v>
          </cell>
          <cell r="S205">
            <v>0.27586397789648182</v>
          </cell>
          <cell r="T205">
            <v>0.29090729397993842</v>
          </cell>
          <cell r="U205">
            <v>0.28305976555339757</v>
          </cell>
          <cell r="V205">
            <v>44.133000000000003</v>
          </cell>
          <cell r="W205">
            <v>0.27188140052923493</v>
          </cell>
          <cell r="X205">
            <v>0.2583919017918499</v>
          </cell>
          <cell r="Y205">
            <v>0.22830744509908943</v>
          </cell>
          <cell r="Z205">
            <v>0.20451859526389485</v>
          </cell>
          <cell r="AA205">
            <v>66.492999999999995</v>
          </cell>
          <cell r="AB205">
            <v>0.19274596328090041</v>
          </cell>
          <cell r="AC205">
            <v>0.18162930953421924</v>
          </cell>
          <cell r="AD205">
            <v>0.16774912032914152</v>
          </cell>
          <cell r="AE205">
            <v>0.14701059672915517</v>
          </cell>
          <cell r="AF205">
            <v>101</v>
          </cell>
          <cell r="AG205">
            <v>30</v>
          </cell>
          <cell r="AH205">
            <v>33</v>
          </cell>
          <cell r="AI205">
            <v>36</v>
          </cell>
          <cell r="AJ205">
            <v>37</v>
          </cell>
          <cell r="AK205">
            <v>136</v>
          </cell>
          <cell r="AL205">
            <v>39</v>
          </cell>
          <cell r="AM205">
            <v>38</v>
          </cell>
          <cell r="AN205">
            <v>41</v>
          </cell>
          <cell r="AO205">
            <v>43</v>
          </cell>
          <cell r="AP205">
            <v>161</v>
          </cell>
          <cell r="AQ205">
            <v>41</v>
          </cell>
          <cell r="AR205">
            <v>43</v>
          </cell>
          <cell r="AS205">
            <v>50</v>
          </cell>
          <cell r="AT205">
            <v>55</v>
          </cell>
          <cell r="AU205">
            <v>189</v>
          </cell>
          <cell r="AV205">
            <v>44</v>
          </cell>
          <cell r="AW205">
            <v>46</v>
          </cell>
          <cell r="AX205">
            <v>49</v>
          </cell>
          <cell r="AY205">
            <v>51</v>
          </cell>
          <cell r="AZ205">
            <v>190</v>
          </cell>
          <cell r="BA205">
            <v>48</v>
          </cell>
          <cell r="BB205">
            <v>48</v>
          </cell>
          <cell r="BC205">
            <v>49</v>
          </cell>
          <cell r="BD205">
            <v>49</v>
          </cell>
          <cell r="BE205">
            <v>194</v>
          </cell>
          <cell r="BF205">
            <v>51</v>
          </cell>
          <cell r="BG205">
            <v>54</v>
          </cell>
          <cell r="BH205">
            <v>51</v>
          </cell>
          <cell r="BI205">
            <v>57</v>
          </cell>
          <cell r="BJ205">
            <v>213</v>
          </cell>
          <cell r="BK205">
            <v>55</v>
          </cell>
          <cell r="BL205">
            <v>57</v>
          </cell>
          <cell r="BM205">
            <v>58</v>
          </cell>
          <cell r="BN205">
            <v>60</v>
          </cell>
          <cell r="BO205">
            <v>230</v>
          </cell>
          <cell r="BP205">
            <v>61</v>
          </cell>
          <cell r="BQ205">
            <v>62</v>
          </cell>
          <cell r="BR205">
            <v>65</v>
          </cell>
          <cell r="BS205">
            <v>70</v>
          </cell>
          <cell r="BT205">
            <v>258</v>
          </cell>
          <cell r="BU205">
            <v>68</v>
          </cell>
          <cell r="BV205">
            <v>65</v>
          </cell>
          <cell r="BW205">
            <v>64</v>
          </cell>
          <cell r="BX205">
            <v>66</v>
          </cell>
          <cell r="BY205">
            <v>263</v>
          </cell>
          <cell r="BZ205">
            <v>67</v>
          </cell>
          <cell r="CA205">
            <v>71</v>
          </cell>
          <cell r="CB205">
            <v>72</v>
          </cell>
          <cell r="CC205">
            <v>77.031428571428563</v>
          </cell>
          <cell r="CD205">
            <v>287.03142857142859</v>
          </cell>
          <cell r="CE205">
            <v>80.537142857142854</v>
          </cell>
          <cell r="CF205">
            <v>83.314285714285703</v>
          </cell>
          <cell r="CG205">
            <v>85.679999999999978</v>
          </cell>
          <cell r="CH205">
            <v>88.586142857142832</v>
          </cell>
          <cell r="CI205">
            <v>338.11757142857135</v>
          </cell>
          <cell r="CN205">
            <v>369.67521142857146</v>
          </cell>
          <cell r="CS205">
            <v>401.62732192857146</v>
          </cell>
          <cell r="DE205" t="str">
            <v>mstag:amortizationOfOtherIntangibles</v>
          </cell>
          <cell r="DF205">
            <v>6</v>
          </cell>
          <cell r="DG205" t="str">
            <v>ISO4217:USD</v>
          </cell>
          <cell r="DH205" t="b">
            <v>0</v>
          </cell>
          <cell r="DI205" t="b">
            <v>0</v>
          </cell>
          <cell r="DJ205" t="str">
            <v>mstag:depreciation</v>
          </cell>
          <cell r="DK205">
            <v>6</v>
          </cell>
          <cell r="DL205" t="str">
            <v>ISO4217:USD</v>
          </cell>
          <cell r="DM205" t="b">
            <v>0</v>
          </cell>
          <cell r="DN205" t="b">
            <v>0</v>
          </cell>
        </row>
        <row r="206">
          <cell r="A206" t="str">
            <v>Other Amortization</v>
          </cell>
          <cell r="B206">
            <v>0</v>
          </cell>
          <cell r="G206">
            <v>0.106</v>
          </cell>
          <cell r="L206">
            <v>0.44500000000000001</v>
          </cell>
          <cell r="M206">
            <v>0.23599980535117571</v>
          </cell>
          <cell r="N206">
            <v>0.24808406099323405</v>
          </cell>
          <cell r="O206">
            <v>0.25226270885810437</v>
          </cell>
          <cell r="P206">
            <v>0.27197486488316114</v>
          </cell>
          <cell r="Q206">
            <v>2.1919999999999966</v>
          </cell>
          <cell r="R206">
            <v>0.26848559180585069</v>
          </cell>
          <cell r="S206">
            <v>0.27586397789648182</v>
          </cell>
          <cell r="T206">
            <v>0.29090729397993842</v>
          </cell>
          <cell r="U206">
            <v>0.28305976555339757</v>
          </cell>
          <cell r="V206">
            <v>6.2639999999999887</v>
          </cell>
          <cell r="W206">
            <v>0.27188140052923493</v>
          </cell>
          <cell r="X206">
            <v>0.2583919017918499</v>
          </cell>
          <cell r="Y206">
            <v>0.22830744509908943</v>
          </cell>
          <cell r="Z206">
            <v>0.20451859526389485</v>
          </cell>
          <cell r="AA206">
            <v>10.047000000000011</v>
          </cell>
          <cell r="AB206">
            <v>0.19274596328090041</v>
          </cell>
          <cell r="AC206">
            <v>0.18162930953421924</v>
          </cell>
          <cell r="AD206">
            <v>0.16774912032914152</v>
          </cell>
          <cell r="AE206">
            <v>0.14701059672915517</v>
          </cell>
          <cell r="AF206">
            <v>13.942000000000007</v>
          </cell>
          <cell r="AG206">
            <v>4</v>
          </cell>
          <cell r="AH206">
            <v>6</v>
          </cell>
          <cell r="AI206">
            <v>4</v>
          </cell>
          <cell r="AJ206">
            <v>4</v>
          </cell>
          <cell r="AK206">
            <v>18</v>
          </cell>
          <cell r="AL206">
            <v>5</v>
          </cell>
          <cell r="AM206">
            <v>5</v>
          </cell>
          <cell r="AN206">
            <v>5</v>
          </cell>
          <cell r="AO206">
            <v>4</v>
          </cell>
          <cell r="AP206">
            <v>19</v>
          </cell>
          <cell r="AQ206">
            <v>5</v>
          </cell>
          <cell r="AR206">
            <v>5</v>
          </cell>
          <cell r="AS206">
            <v>5</v>
          </cell>
          <cell r="AT206">
            <v>6</v>
          </cell>
          <cell r="AU206">
            <v>21</v>
          </cell>
          <cell r="AV206">
            <v>12</v>
          </cell>
          <cell r="AW206">
            <v>12</v>
          </cell>
          <cell r="AX206">
            <v>11</v>
          </cell>
          <cell r="AY206">
            <v>9</v>
          </cell>
          <cell r="AZ206">
            <v>44</v>
          </cell>
          <cell r="BA206">
            <v>11</v>
          </cell>
          <cell r="BB206">
            <v>9</v>
          </cell>
          <cell r="BC206">
            <v>8</v>
          </cell>
          <cell r="BD206">
            <v>8</v>
          </cell>
          <cell r="BE206">
            <v>36</v>
          </cell>
          <cell r="BF206">
            <v>8</v>
          </cell>
          <cell r="BG206">
            <v>8</v>
          </cell>
          <cell r="BH206">
            <v>9</v>
          </cell>
          <cell r="BI206">
            <v>9</v>
          </cell>
          <cell r="BJ206">
            <v>34</v>
          </cell>
          <cell r="BK206">
            <v>9</v>
          </cell>
          <cell r="BL206">
            <v>9</v>
          </cell>
          <cell r="BM206">
            <v>10</v>
          </cell>
          <cell r="BN206">
            <v>11</v>
          </cell>
          <cell r="BO206">
            <v>39</v>
          </cell>
          <cell r="BP206">
            <v>11</v>
          </cell>
          <cell r="BQ206">
            <v>12</v>
          </cell>
          <cell r="BR206">
            <v>12</v>
          </cell>
          <cell r="BS206">
            <v>13</v>
          </cell>
          <cell r="BT206">
            <v>48</v>
          </cell>
          <cell r="BU206">
            <v>14</v>
          </cell>
          <cell r="BV206">
            <v>14</v>
          </cell>
          <cell r="BW206">
            <v>15</v>
          </cell>
          <cell r="BX206">
            <v>19</v>
          </cell>
          <cell r="BY206">
            <v>62</v>
          </cell>
          <cell r="BZ206">
            <v>20</v>
          </cell>
          <cell r="CA206">
            <v>10</v>
          </cell>
          <cell r="CB206">
            <v>12</v>
          </cell>
          <cell r="CC206">
            <v>12.838571428571427</v>
          </cell>
          <cell r="CD206">
            <v>54.838571428571427</v>
          </cell>
          <cell r="CE206">
            <v>13.422857142857154</v>
          </cell>
          <cell r="CF206">
            <v>13.8857142857143</v>
          </cell>
          <cell r="CG206">
            <v>14.280000000000015</v>
          </cell>
          <cell r="CH206">
            <v>14.764357142857151</v>
          </cell>
          <cell r="CI206">
            <v>56.35292857142862</v>
          </cell>
          <cell r="CN206">
            <v>56.35292857142862</v>
          </cell>
          <cell r="CS206">
            <v>56.35292857142862</v>
          </cell>
          <cell r="DJ206" t="str">
            <v>mstag:amortizationOfOtherIntangibles</v>
          </cell>
          <cell r="DK206">
            <v>6</v>
          </cell>
          <cell r="DL206" t="str">
            <v>ISO4217:USD</v>
          </cell>
          <cell r="DM206" t="b">
            <v>0</v>
          </cell>
          <cell r="DN206" t="b">
            <v>0</v>
          </cell>
        </row>
        <row r="207">
          <cell r="A207" t="str">
            <v>Total D&amp;A</v>
          </cell>
          <cell r="B207">
            <v>0.111</v>
          </cell>
          <cell r="G207">
            <v>3.9949999999999997</v>
          </cell>
          <cell r="L207">
            <v>10.417</v>
          </cell>
          <cell r="M207">
            <v>3.7678267804981881E-2</v>
          </cell>
          <cell r="N207">
            <v>3.4808327438275485E-2</v>
          </cell>
          <cell r="O207">
            <v>3.4248957204443133E-2</v>
          </cell>
          <cell r="P207">
            <v>3.3075090799460326E-2</v>
          </cell>
          <cell r="Q207">
            <v>26.921999999999997</v>
          </cell>
          <cell r="R207">
            <v>3.2013263750570273E-2</v>
          </cell>
          <cell r="S207">
            <v>2.9856941118683616E-2</v>
          </cell>
          <cell r="T207">
            <v>2.8648534408479785E-2</v>
          </cell>
          <cell r="U207">
            <v>2.894472985953838E-2</v>
          </cell>
          <cell r="V207">
            <v>50.396999999999991</v>
          </cell>
          <cell r="W207">
            <v>3.0389899684552021E-2</v>
          </cell>
          <cell r="X207">
            <v>3.4071431253334457E-2</v>
          </cell>
          <cell r="Y207">
            <v>3.794104847348688E-2</v>
          </cell>
          <cell r="Z207">
            <v>4.2359751344980323E-2</v>
          </cell>
          <cell r="AA207">
            <v>76.540000000000006</v>
          </cell>
          <cell r="AB207">
            <v>4.7722363657544654E-2</v>
          </cell>
          <cell r="AC207">
            <v>5.2709281503500759E-2</v>
          </cell>
          <cell r="AD207">
            <v>5.7343258503800093E-2</v>
          </cell>
          <cell r="AE207">
            <v>6.2360138391391019E-2</v>
          </cell>
          <cell r="AF207">
            <v>114.94200000000001</v>
          </cell>
          <cell r="AG207">
            <v>34</v>
          </cell>
          <cell r="AH207">
            <v>39</v>
          </cell>
          <cell r="AI207">
            <v>40</v>
          </cell>
          <cell r="AJ207">
            <v>41</v>
          </cell>
          <cell r="AK207">
            <v>154</v>
          </cell>
          <cell r="AL207">
            <v>44</v>
          </cell>
          <cell r="AM207">
            <v>43</v>
          </cell>
          <cell r="AN207">
            <v>46</v>
          </cell>
          <cell r="AO207">
            <v>47</v>
          </cell>
          <cell r="AP207">
            <v>180</v>
          </cell>
          <cell r="AQ207">
            <v>46</v>
          </cell>
          <cell r="AR207">
            <v>48</v>
          </cell>
          <cell r="AS207">
            <v>55</v>
          </cell>
          <cell r="AT207">
            <v>61</v>
          </cell>
          <cell r="AU207">
            <v>210</v>
          </cell>
          <cell r="AV207">
            <v>56</v>
          </cell>
          <cell r="AW207">
            <v>58</v>
          </cell>
          <cell r="AX207">
            <v>60</v>
          </cell>
          <cell r="AY207">
            <v>60</v>
          </cell>
          <cell r="AZ207">
            <v>234</v>
          </cell>
          <cell r="BA207">
            <v>59</v>
          </cell>
          <cell r="BB207">
            <v>57</v>
          </cell>
          <cell r="BC207">
            <v>57</v>
          </cell>
          <cell r="BD207">
            <v>57</v>
          </cell>
          <cell r="BE207">
            <v>230</v>
          </cell>
          <cell r="BF207">
            <v>59</v>
          </cell>
          <cell r="BG207">
            <v>62</v>
          </cell>
          <cell r="BH207">
            <v>60</v>
          </cell>
          <cell r="BI207">
            <v>66</v>
          </cell>
          <cell r="BJ207">
            <v>247</v>
          </cell>
          <cell r="BK207">
            <v>64</v>
          </cell>
          <cell r="BL207">
            <v>66</v>
          </cell>
          <cell r="BM207">
            <v>68</v>
          </cell>
          <cell r="BN207">
            <v>71</v>
          </cell>
          <cell r="BO207">
            <v>269</v>
          </cell>
          <cell r="BP207">
            <v>72</v>
          </cell>
          <cell r="BQ207">
            <v>74</v>
          </cell>
          <cell r="BR207">
            <v>77</v>
          </cell>
          <cell r="BS207">
            <v>83</v>
          </cell>
          <cell r="BT207">
            <v>306</v>
          </cell>
          <cell r="BU207">
            <v>82</v>
          </cell>
          <cell r="BV207">
            <v>79</v>
          </cell>
          <cell r="BW207">
            <v>79</v>
          </cell>
          <cell r="BX207">
            <v>85</v>
          </cell>
          <cell r="BY207">
            <v>325</v>
          </cell>
          <cell r="BZ207">
            <v>87</v>
          </cell>
          <cell r="CA207">
            <v>81</v>
          </cell>
          <cell r="CB207">
            <v>84</v>
          </cell>
          <cell r="CC207">
            <v>89.86999999999999</v>
          </cell>
          <cell r="CD207">
            <v>341.87</v>
          </cell>
          <cell r="CE207">
            <v>93.960000000000008</v>
          </cell>
          <cell r="CF207">
            <v>97.2</v>
          </cell>
          <cell r="CG207">
            <v>99.96</v>
          </cell>
          <cell r="CH207">
            <v>103.35049999999998</v>
          </cell>
          <cell r="CI207">
            <v>394.47049999999996</v>
          </cell>
          <cell r="CN207">
            <v>426.02814000000006</v>
          </cell>
          <cell r="CS207">
            <v>457.98025050000007</v>
          </cell>
          <cell r="DE207" t="str">
            <v>mstag:deferredTax</v>
          </cell>
          <cell r="DF207">
            <v>6</v>
          </cell>
          <cell r="DG207" t="str">
            <v>ISO4217:USD</v>
          </cell>
          <cell r="DH207" t="b">
            <v>0</v>
          </cell>
          <cell r="DI207" t="b">
            <v>0</v>
          </cell>
        </row>
        <row r="208">
          <cell r="A208" t="str">
            <v>Deferred Taxes</v>
          </cell>
          <cell r="B208">
            <v>0</v>
          </cell>
          <cell r="G208">
            <v>0</v>
          </cell>
          <cell r="L208">
            <v>3.3730000000000002</v>
          </cell>
          <cell r="M208">
            <v>1.9016087379113849E-2</v>
          </cell>
          <cell r="N208">
            <v>2.1154939479817197E-2</v>
          </cell>
          <cell r="O208">
            <v>2.3816401743543131E-2</v>
          </cell>
          <cell r="P208">
            <v>2.4691785620388203E-2</v>
          </cell>
          <cell r="Q208">
            <v>39.658999999999999</v>
          </cell>
          <cell r="R208">
            <v>2.499054178860341E-2</v>
          </cell>
          <cell r="S208">
            <v>2.3919690550745994E-2</v>
          </cell>
          <cell r="T208">
            <v>2.3419117447827761E-2</v>
          </cell>
          <cell r="U208">
            <v>2.3733135941166984E-2</v>
          </cell>
          <cell r="V208">
            <v>69.753</v>
          </cell>
          <cell r="W208">
            <v>2.5009717591831241E-2</v>
          </cell>
          <cell r="X208">
            <v>2.8529366308052195E-2</v>
          </cell>
          <cell r="Y208">
            <v>3.1732056775575793E-2</v>
          </cell>
          <cell r="Z208">
            <v>3.5330684561717014E-2</v>
          </cell>
          <cell r="AA208">
            <v>29.736999999999998</v>
          </cell>
          <cell r="AB208">
            <v>3.9489022335238572E-2</v>
          </cell>
          <cell r="AC208">
            <v>4.35903753878761E-2</v>
          </cell>
          <cell r="AD208">
            <v>4.810127858733336E-2</v>
          </cell>
          <cell r="AE208">
            <v>5.2937233311928768E-2</v>
          </cell>
          <cell r="AF208">
            <v>-4</v>
          </cell>
          <cell r="AG208">
            <v>-15</v>
          </cell>
          <cell r="AH208">
            <v>11</v>
          </cell>
          <cell r="AI208">
            <v>1</v>
          </cell>
          <cell r="AJ208">
            <v>13</v>
          </cell>
          <cell r="AK208">
            <v>10</v>
          </cell>
          <cell r="AL208">
            <v>-23</v>
          </cell>
          <cell r="AM208">
            <v>22</v>
          </cell>
          <cell r="AN208">
            <v>23</v>
          </cell>
          <cell r="AO208">
            <v>1</v>
          </cell>
          <cell r="AP208">
            <v>23</v>
          </cell>
          <cell r="AQ208">
            <v>-5</v>
          </cell>
          <cell r="AR208">
            <v>-3</v>
          </cell>
          <cell r="AS208">
            <v>0</v>
          </cell>
          <cell r="AT208">
            <v>7</v>
          </cell>
          <cell r="AU208">
            <v>-1</v>
          </cell>
          <cell r="AV208">
            <v>8</v>
          </cell>
          <cell r="AW208">
            <v>16</v>
          </cell>
          <cell r="AX208">
            <v>8</v>
          </cell>
          <cell r="AY208">
            <v>8</v>
          </cell>
          <cell r="AZ208">
            <v>40</v>
          </cell>
          <cell r="BA208">
            <v>-1</v>
          </cell>
          <cell r="BB208">
            <v>20</v>
          </cell>
          <cell r="BC208">
            <v>39</v>
          </cell>
          <cell r="BD208">
            <v>4</v>
          </cell>
          <cell r="BE208">
            <v>62</v>
          </cell>
          <cell r="BF208">
            <v>2</v>
          </cell>
          <cell r="BG208">
            <v>19</v>
          </cell>
          <cell r="BH208">
            <v>21</v>
          </cell>
          <cell r="BI208">
            <v>16</v>
          </cell>
          <cell r="BJ208">
            <v>58</v>
          </cell>
          <cell r="BK208">
            <v>17</v>
          </cell>
          <cell r="BL208">
            <v>33</v>
          </cell>
          <cell r="BM208">
            <v>29</v>
          </cell>
          <cell r="BN208">
            <v>-3</v>
          </cell>
          <cell r="BO208">
            <v>76</v>
          </cell>
          <cell r="BP208">
            <v>9</v>
          </cell>
          <cell r="BQ208">
            <v>22</v>
          </cell>
          <cell r="BR208">
            <v>47</v>
          </cell>
          <cell r="BS208">
            <v>29</v>
          </cell>
          <cell r="BT208">
            <v>107</v>
          </cell>
          <cell r="BU208">
            <v>2</v>
          </cell>
          <cell r="BV208">
            <v>105</v>
          </cell>
          <cell r="BW208">
            <v>50</v>
          </cell>
          <cell r="BX208">
            <v>55</v>
          </cell>
          <cell r="BY208">
            <v>212</v>
          </cell>
          <cell r="BZ208">
            <v>62</v>
          </cell>
          <cell r="CA208">
            <v>69</v>
          </cell>
          <cell r="CB208">
            <v>70</v>
          </cell>
          <cell r="CC208">
            <v>63.044759412199767</v>
          </cell>
          <cell r="CD208">
            <v>264.04475941219977</v>
          </cell>
          <cell r="CE208">
            <v>31.63456060661764</v>
          </cell>
          <cell r="CF208">
            <v>37.612103679007639</v>
          </cell>
          <cell r="CG208">
            <v>41.94692363635675</v>
          </cell>
          <cell r="CH208">
            <v>37.61964852366566</v>
          </cell>
          <cell r="CI208">
            <v>148.8132364456477</v>
          </cell>
          <cell r="CN208">
            <v>57.238600660653404</v>
          </cell>
          <cell r="CS208">
            <v>56.012248564382006</v>
          </cell>
          <cell r="DJ208" t="str">
            <v>mstag:deferredTax</v>
          </cell>
          <cell r="DK208">
            <v>6</v>
          </cell>
          <cell r="DL208" t="str">
            <v>ISO4217:USD</v>
          </cell>
          <cell r="DM208" t="b">
            <v>0</v>
          </cell>
          <cell r="DN208" t="b">
            <v>0</v>
          </cell>
        </row>
        <row r="209">
          <cell r="A209" t="str">
            <v>% of Reported Taxes</v>
          </cell>
          <cell r="B209">
            <v>7.0969999999999995</v>
          </cell>
          <cell r="G209">
            <v>0</v>
          </cell>
          <cell r="L209">
            <v>0.99851983422143287</v>
          </cell>
          <cell r="M209">
            <v>0.14625618272882776</v>
          </cell>
          <cell r="N209">
            <v>0.15504702845685467</v>
          </cell>
          <cell r="O209">
            <v>0.14985070939537179</v>
          </cell>
          <cell r="P209">
            <v>0.14960222421287453</v>
          </cell>
          <cell r="Q209">
            <v>0.98846111376147816</v>
          </cell>
          <cell r="R209">
            <v>0.14296817200591966</v>
          </cell>
          <cell r="S209">
            <v>0.15207568048136544</v>
          </cell>
          <cell r="T209">
            <v>0.1655757814591427</v>
          </cell>
          <cell r="U209">
            <v>0.1563357977304575</v>
          </cell>
          <cell r="V209">
            <v>1.1001217573432926</v>
          </cell>
          <cell r="W209">
            <v>0.14183012154464852</v>
          </cell>
          <cell r="X209">
            <v>0.12417822973505135</v>
          </cell>
          <cell r="Y209">
            <v>8.921983797536151E-2</v>
          </cell>
          <cell r="Z209">
            <v>5.9662313302789982E-2</v>
          </cell>
          <cell r="AA209">
            <v>1.0130131153125532</v>
          </cell>
          <cell r="AB209">
            <v>4.5532692583092102E-2</v>
          </cell>
          <cell r="AC209">
            <v>3.3569599436640223E-2</v>
          </cell>
          <cell r="AD209">
            <v>1.9791727722095261E-2</v>
          </cell>
          <cell r="AE209">
            <v>-5.8620703836194726E-3</v>
          </cell>
          <cell r="AF209">
            <v>5.7887120115781023</v>
          </cell>
          <cell r="AG209">
            <v>1</v>
          </cell>
          <cell r="AH209">
            <v>1</v>
          </cell>
          <cell r="AI209">
            <v>-0.83333333333333326</v>
          </cell>
          <cell r="AJ209">
            <v>1</v>
          </cell>
          <cell r="AK209">
            <v>1.2820512820512822</v>
          </cell>
          <cell r="AL209">
            <v>1</v>
          </cell>
          <cell r="AM209">
            <v>1</v>
          </cell>
          <cell r="AN209">
            <v>1</v>
          </cell>
          <cell r="AO209">
            <v>1</v>
          </cell>
          <cell r="AP209">
            <v>1</v>
          </cell>
          <cell r="AQ209">
            <v>1</v>
          </cell>
          <cell r="AR209">
            <v>1</v>
          </cell>
          <cell r="AS209">
            <v>1</v>
          </cell>
          <cell r="AT209">
            <v>0.875</v>
          </cell>
          <cell r="AU209">
            <v>1</v>
          </cell>
          <cell r="AV209">
            <v>1.0389610389610389</v>
          </cell>
          <cell r="AW209">
            <v>1.032258064516129</v>
          </cell>
          <cell r="AX209">
            <v>1.0062893081761006</v>
          </cell>
          <cell r="AY209">
            <v>0.88888888888888884</v>
          </cell>
          <cell r="AZ209">
            <v>0.99626400996264008</v>
          </cell>
          <cell r="BA209">
            <v>2</v>
          </cell>
          <cell r="BB209">
            <v>0.95238095238095233</v>
          </cell>
          <cell r="BC209">
            <v>1.0263157894736843</v>
          </cell>
          <cell r="BD209">
            <v>0.66666666666666663</v>
          </cell>
          <cell r="BE209">
            <v>0.96124031007751942</v>
          </cell>
          <cell r="BF209">
            <v>0.66666666666666663</v>
          </cell>
          <cell r="BG209">
            <v>1.0555555555555556</v>
          </cell>
          <cell r="BH209">
            <v>0.8936170212765957</v>
          </cell>
          <cell r="BI209">
            <v>0.94117647058823528</v>
          </cell>
          <cell r="BJ209">
            <v>0.94308943089430897</v>
          </cell>
          <cell r="BK209">
            <v>0.89473684210526316</v>
          </cell>
          <cell r="BL209">
            <v>0.97058823529411764</v>
          </cell>
          <cell r="BM209">
            <v>1.0357142857142858</v>
          </cell>
          <cell r="BN209" t="str">
            <v>NA</v>
          </cell>
          <cell r="BO209">
            <v>0.93827160493827155</v>
          </cell>
          <cell r="BP209">
            <v>1</v>
          </cell>
          <cell r="BQ209">
            <v>0.91666666666666663</v>
          </cell>
          <cell r="BR209">
            <v>0.97916666666666663</v>
          </cell>
          <cell r="BS209">
            <v>0.96666666666666667</v>
          </cell>
          <cell r="BT209">
            <v>0.963963963963964</v>
          </cell>
          <cell r="BU209">
            <v>1</v>
          </cell>
          <cell r="BV209">
            <v>2.5</v>
          </cell>
          <cell r="BW209">
            <v>0.94339622641509435</v>
          </cell>
          <cell r="BX209">
            <v>1.0377358490566038</v>
          </cell>
          <cell r="BY209">
            <v>1.4133333333333333</v>
          </cell>
          <cell r="BZ209">
            <v>0.72941176470588232</v>
          </cell>
          <cell r="CA209">
            <v>0.70408163265306123</v>
          </cell>
          <cell r="CB209">
            <v>0.56451612903225812</v>
          </cell>
          <cell r="CC209">
            <v>0.5</v>
          </cell>
          <cell r="CD209">
            <v>0.60967709430820782</v>
          </cell>
          <cell r="CE209">
            <v>0.25</v>
          </cell>
          <cell r="CF209">
            <v>0.25</v>
          </cell>
          <cell r="CG209">
            <v>0.25</v>
          </cell>
          <cell r="CH209">
            <v>0.25</v>
          </cell>
          <cell r="CI209">
            <v>0.25</v>
          </cell>
          <cell r="CN209">
            <v>0.1</v>
          </cell>
          <cell r="CS209">
            <v>0.1</v>
          </cell>
          <cell r="DE209" t="str">
            <v>mstag:netDecreaseInOtherAssets</v>
          </cell>
          <cell r="DF209">
            <v>6</v>
          </cell>
          <cell r="DG209" t="str">
            <v>ISO4217:USD</v>
          </cell>
          <cell r="DH209" t="b">
            <v>0</v>
          </cell>
          <cell r="DI209" t="b">
            <v>0</v>
          </cell>
        </row>
        <row r="210">
          <cell r="A210" t="str">
            <v>Total Changes in Working Capital and Other</v>
          </cell>
          <cell r="B210">
            <v>7.0969999999999995</v>
          </cell>
          <cell r="G210">
            <v>20.158999999999999</v>
          </cell>
          <cell r="L210">
            <v>59.378216199999933</v>
          </cell>
          <cell r="M210">
            <v>0.11377880841067566</v>
          </cell>
          <cell r="N210">
            <v>0.10489491426488264</v>
          </cell>
          <cell r="O210">
            <v>9.1982294345260548E-2</v>
          </cell>
          <cell r="P210">
            <v>8.6437030178324284E-2</v>
          </cell>
          <cell r="Q210">
            <v>94.991976363999967</v>
          </cell>
          <cell r="R210">
            <v>8.242176172540025E-2</v>
          </cell>
          <cell r="S210">
            <v>8.7681055609995645E-2</v>
          </cell>
          <cell r="T210">
            <v>9.5696898007402387E-2</v>
          </cell>
          <cell r="U210">
            <v>9.28262705200876E-2</v>
          </cell>
          <cell r="V210">
            <v>62.213799999999949</v>
          </cell>
          <cell r="W210">
            <v>8.4569398555816286E-2</v>
          </cell>
          <cell r="X210">
            <v>7.4424509775671624E-2</v>
          </cell>
          <cell r="Y210">
            <v>5.4075723085163327E-2</v>
          </cell>
          <cell r="Z210">
            <v>3.6410312466335783E-2</v>
          </cell>
          <cell r="AA210">
            <v>46.176000000000229</v>
          </cell>
          <cell r="AB210">
            <v>2.8004193839685783E-2</v>
          </cell>
          <cell r="AC210">
            <v>2.0139700598432508E-2</v>
          </cell>
          <cell r="AD210">
            <v>1.4877671706772629E-2</v>
          </cell>
          <cell r="AE210">
            <v>-5.4561082033147352E-3</v>
          </cell>
          <cell r="AF210">
            <v>78.744999999999976</v>
          </cell>
          <cell r="AG210">
            <v>99.600000000000023</v>
          </cell>
          <cell r="AH210">
            <v>-22</v>
          </cell>
          <cell r="AI210">
            <v>38.200000000000003</v>
          </cell>
          <cell r="AJ210">
            <v>-6</v>
          </cell>
          <cell r="AK210">
            <v>109.79999999999991</v>
          </cell>
          <cell r="AL210">
            <v>148</v>
          </cell>
          <cell r="AM210">
            <v>-14</v>
          </cell>
          <cell r="AN210">
            <v>-24</v>
          </cell>
          <cell r="AO210">
            <v>27</v>
          </cell>
          <cell r="AP210">
            <v>137</v>
          </cell>
          <cell r="AQ210">
            <v>15.799999999999955</v>
          </cell>
          <cell r="AR210">
            <v>18</v>
          </cell>
          <cell r="AS210">
            <v>-47</v>
          </cell>
          <cell r="AT210">
            <v>-137</v>
          </cell>
          <cell r="AU210">
            <v>-150.19999999999982</v>
          </cell>
          <cell r="AV210">
            <v>45.3</v>
          </cell>
          <cell r="AW210">
            <v>5.2999999999999972</v>
          </cell>
          <cell r="AX210">
            <v>47.95</v>
          </cell>
          <cell r="AY210">
            <v>50</v>
          </cell>
          <cell r="AZ210">
            <v>148.55000000000001</v>
          </cell>
          <cell r="BA210">
            <v>172.5</v>
          </cell>
          <cell r="BB210">
            <v>20</v>
          </cell>
          <cell r="BC210">
            <v>-20.799999999999955</v>
          </cell>
          <cell r="BD210">
            <v>-37.100000000000023</v>
          </cell>
          <cell r="BE210">
            <v>134.60000000000002</v>
          </cell>
          <cell r="BF210">
            <v>167</v>
          </cell>
          <cell r="BG210">
            <v>69</v>
          </cell>
          <cell r="BH210">
            <v>-21.5</v>
          </cell>
          <cell r="BI210">
            <v>9</v>
          </cell>
          <cell r="BJ210">
            <v>223.5</v>
          </cell>
          <cell r="BK210">
            <v>181</v>
          </cell>
          <cell r="BL210">
            <v>47</v>
          </cell>
          <cell r="BM210">
            <v>-91</v>
          </cell>
          <cell r="BN210">
            <v>88</v>
          </cell>
          <cell r="BO210">
            <v>225</v>
          </cell>
          <cell r="BP210">
            <v>110</v>
          </cell>
          <cell r="BQ210">
            <v>65</v>
          </cell>
          <cell r="BR210">
            <v>-32</v>
          </cell>
          <cell r="BS210">
            <v>34</v>
          </cell>
          <cell r="BT210">
            <v>177</v>
          </cell>
          <cell r="BU210">
            <v>234</v>
          </cell>
          <cell r="BV210">
            <v>-26</v>
          </cell>
          <cell r="BW210">
            <v>-25</v>
          </cell>
          <cell r="BX210">
            <v>-40</v>
          </cell>
          <cell r="BY210">
            <v>143</v>
          </cell>
          <cell r="BZ210">
            <v>242</v>
          </cell>
          <cell r="CA210">
            <v>60</v>
          </cell>
          <cell r="CB210">
            <v>52</v>
          </cell>
          <cell r="CC210">
            <v>-202.06698516819938</v>
          </cell>
          <cell r="CD210">
            <v>151.93301483180062</v>
          </cell>
          <cell r="CE210">
            <v>237.49298017415146</v>
          </cell>
          <cell r="CF210">
            <v>-20.642641971907949</v>
          </cell>
          <cell r="CG210">
            <v>32.102419772300166</v>
          </cell>
          <cell r="CH210">
            <v>-225.97686194910301</v>
          </cell>
          <cell r="CI210">
            <v>22.975896025440647</v>
          </cell>
          <cell r="CN210">
            <v>55.712148552484209</v>
          </cell>
          <cell r="CS210">
            <v>64.336902999772505</v>
          </cell>
          <cell r="DJ210" t="str">
            <v>mstag:netDecreaseInOtherAssets</v>
          </cell>
          <cell r="DK210">
            <v>6</v>
          </cell>
          <cell r="DL210" t="str">
            <v>ISO4217:USD</v>
          </cell>
          <cell r="DM210" t="b">
            <v>0</v>
          </cell>
          <cell r="DN210" t="b">
            <v>0</v>
          </cell>
        </row>
        <row r="211">
          <cell r="A211" t="str">
            <v>Cash From Operations</v>
          </cell>
          <cell r="B211">
            <v>-7.2410000000000005</v>
          </cell>
          <cell r="G211">
            <v>2.8240000000000265</v>
          </cell>
          <cell r="L211">
            <v>111.279</v>
          </cell>
          <cell r="Q211">
            <v>216.477</v>
          </cell>
          <cell r="V211">
            <v>286.33699999999999</v>
          </cell>
          <cell r="AA211">
            <v>198.42</v>
          </cell>
          <cell r="AF211">
            <v>170</v>
          </cell>
          <cell r="AG211">
            <v>87</v>
          </cell>
          <cell r="AH211">
            <v>42</v>
          </cell>
          <cell r="AI211">
            <v>80</v>
          </cell>
          <cell r="AJ211">
            <v>65</v>
          </cell>
          <cell r="AK211">
            <v>274</v>
          </cell>
          <cell r="AL211">
            <v>147</v>
          </cell>
          <cell r="AM211">
            <v>72</v>
          </cell>
          <cell r="AN211">
            <v>68</v>
          </cell>
          <cell r="AO211">
            <v>71</v>
          </cell>
          <cell r="AP211">
            <v>358</v>
          </cell>
          <cell r="AQ211">
            <v>49</v>
          </cell>
          <cell r="AR211">
            <v>56</v>
          </cell>
          <cell r="AS211">
            <v>4</v>
          </cell>
          <cell r="AT211">
            <v>-126</v>
          </cell>
          <cell r="AU211">
            <v>-17</v>
          </cell>
          <cell r="AV211">
            <v>124</v>
          </cell>
          <cell r="AW211">
            <v>101</v>
          </cell>
          <cell r="AX211">
            <v>132</v>
          </cell>
          <cell r="AY211">
            <v>129</v>
          </cell>
          <cell r="AZ211">
            <v>486</v>
          </cell>
          <cell r="BA211">
            <v>229</v>
          </cell>
          <cell r="BB211">
            <v>127</v>
          </cell>
          <cell r="BC211">
            <v>134</v>
          </cell>
          <cell r="BD211">
            <v>33</v>
          </cell>
          <cell r="BE211">
            <v>522.99999999999966</v>
          </cell>
          <cell r="BF211">
            <v>231</v>
          </cell>
          <cell r="BG211">
            <v>175</v>
          </cell>
          <cell r="BH211">
            <v>94</v>
          </cell>
          <cell r="BI211">
            <v>114</v>
          </cell>
          <cell r="BJ211">
            <v>614</v>
          </cell>
          <cell r="BK211">
            <v>292</v>
          </cell>
          <cell r="BL211">
            <v>198</v>
          </cell>
          <cell r="BM211">
            <v>51</v>
          </cell>
          <cell r="BN211">
            <v>157</v>
          </cell>
          <cell r="BO211">
            <v>698</v>
          </cell>
          <cell r="BP211">
            <v>205</v>
          </cell>
          <cell r="BQ211">
            <v>197</v>
          </cell>
          <cell r="BR211">
            <v>163</v>
          </cell>
          <cell r="BS211">
            <v>193</v>
          </cell>
          <cell r="BT211">
            <v>758</v>
          </cell>
          <cell r="BU211">
            <v>322</v>
          </cell>
          <cell r="BV211">
            <v>219</v>
          </cell>
          <cell r="BW211">
            <v>183</v>
          </cell>
          <cell r="BX211">
            <v>188</v>
          </cell>
          <cell r="BY211">
            <v>912</v>
          </cell>
          <cell r="BZ211">
            <v>528</v>
          </cell>
          <cell r="CA211">
            <v>362</v>
          </cell>
          <cell r="CB211">
            <v>404</v>
          </cell>
          <cell r="CC211">
            <v>148.0647139437022</v>
          </cell>
          <cell r="CD211">
            <v>1442.0647139437028</v>
          </cell>
          <cell r="CE211">
            <v>561.00633021704357</v>
          </cell>
          <cell r="CF211">
            <v>349.486212929609</v>
          </cell>
          <cell r="CG211">
            <v>436.44650667201705</v>
          </cell>
          <cell r="CH211">
            <v>150.3572414405734</v>
          </cell>
          <cell r="CI211">
            <v>1497.2962912592423</v>
          </cell>
          <cell r="CN211">
            <v>1434.249309802844</v>
          </cell>
          <cell r="CS211">
            <v>1454.4184180711545</v>
          </cell>
        </row>
        <row r="212">
          <cell r="A212" t="str">
            <v>CASH FLOW FROM INVESTING</v>
          </cell>
          <cell r="B212">
            <v>-63.176000000000002</v>
          </cell>
          <cell r="G212">
            <v>-233.64</v>
          </cell>
          <cell r="L212">
            <v>-287.90300000000002</v>
          </cell>
          <cell r="Q212">
            <v>-654.0150000000001</v>
          </cell>
          <cell r="V212">
            <v>-732.95299999999997</v>
          </cell>
          <cell r="AA212">
            <v>-797.30500000000006</v>
          </cell>
          <cell r="AF212">
            <v>-1124</v>
          </cell>
          <cell r="AG212">
            <v>-321</v>
          </cell>
          <cell r="AH212">
            <v>-361</v>
          </cell>
          <cell r="AI212">
            <v>-286</v>
          </cell>
          <cell r="AJ212">
            <v>-264</v>
          </cell>
          <cell r="AK212">
            <v>-1232</v>
          </cell>
          <cell r="AL212">
            <v>-320</v>
          </cell>
          <cell r="AM212">
            <v>-262</v>
          </cell>
          <cell r="AN212">
            <v>-223</v>
          </cell>
          <cell r="AO212">
            <v>-170</v>
          </cell>
          <cell r="AP212">
            <v>-975</v>
          </cell>
          <cell r="AQ212">
            <v>-274</v>
          </cell>
          <cell r="AR212">
            <v>-218</v>
          </cell>
          <cell r="AS212">
            <v>-159</v>
          </cell>
          <cell r="AT212">
            <v>-194</v>
          </cell>
          <cell r="AU212">
            <v>-845</v>
          </cell>
          <cell r="AV212">
            <v>-229</v>
          </cell>
          <cell r="AW212">
            <v>-150</v>
          </cell>
          <cell r="AX212">
            <v>-50</v>
          </cell>
          <cell r="AY212">
            <v>-84</v>
          </cell>
          <cell r="AZ212">
            <v>-513</v>
          </cell>
          <cell r="BA212">
            <v>-45</v>
          </cell>
          <cell r="BB212">
            <v>-106</v>
          </cell>
          <cell r="BC212">
            <v>-82</v>
          </cell>
          <cell r="BD212">
            <v>-66</v>
          </cell>
          <cell r="BE212">
            <v>-299</v>
          </cell>
          <cell r="BF212">
            <v>-123</v>
          </cell>
          <cell r="BG212">
            <v>-105</v>
          </cell>
          <cell r="BH212">
            <v>-127</v>
          </cell>
          <cell r="BI212">
            <v>-170</v>
          </cell>
          <cell r="BJ212">
            <v>-525</v>
          </cell>
          <cell r="BK212">
            <v>-184</v>
          </cell>
          <cell r="BL212">
            <v>-162</v>
          </cell>
          <cell r="BM212">
            <v>-71</v>
          </cell>
          <cell r="BN212">
            <v>-409</v>
          </cell>
          <cell r="BO212">
            <v>-826</v>
          </cell>
          <cell r="BP212">
            <v>-83</v>
          </cell>
          <cell r="BQ212">
            <v>-194</v>
          </cell>
          <cell r="BR212">
            <v>-78</v>
          </cell>
          <cell r="BS212">
            <v>-282</v>
          </cell>
          <cell r="BT212">
            <v>-637</v>
          </cell>
          <cell r="BU212">
            <v>-190</v>
          </cell>
          <cell r="BV212">
            <v>-190</v>
          </cell>
          <cell r="BW212">
            <v>-217</v>
          </cell>
          <cell r="BX212">
            <v>-260</v>
          </cell>
          <cell r="BY212">
            <v>-857</v>
          </cell>
          <cell r="BZ212">
            <v>-148</v>
          </cell>
          <cell r="CA212">
            <v>-224</v>
          </cell>
          <cell r="CB212">
            <v>-170</v>
          </cell>
          <cell r="CC212">
            <v>-303</v>
          </cell>
          <cell r="CD212">
            <v>-845</v>
          </cell>
          <cell r="CE212">
            <v>-180</v>
          </cell>
          <cell r="CF212">
            <v>-180</v>
          </cell>
          <cell r="CG212">
            <v>-180</v>
          </cell>
          <cell r="CH212">
            <v>-180</v>
          </cell>
          <cell r="CI212">
            <v>-720</v>
          </cell>
          <cell r="CN212">
            <v>-770</v>
          </cell>
          <cell r="CU212" t="str">
            <v>10/8: Assuming 150-200M non-ac capex + ac commitments in each year</v>
          </cell>
          <cell r="DE212" t="str">
            <v>mstag:capitalExpenditures</v>
          </cell>
          <cell r="DF212">
            <v>6</v>
          </cell>
          <cell r="DG212" t="str">
            <v>ISO4217:USD</v>
          </cell>
          <cell r="DH212" t="b">
            <v>1</v>
          </cell>
          <cell r="DI212" t="b">
            <v>0</v>
          </cell>
        </row>
        <row r="213">
          <cell r="A213" t="str">
            <v>Capex</v>
          </cell>
          <cell r="B213">
            <v>-63.176000000000002</v>
          </cell>
          <cell r="G213">
            <v>-233.64</v>
          </cell>
          <cell r="L213">
            <v>-287.90300000000002</v>
          </cell>
          <cell r="Q213">
            <v>-654.0150000000001</v>
          </cell>
          <cell r="V213">
            <v>-732.95299999999997</v>
          </cell>
          <cell r="AA213">
            <v>-797.30500000000006</v>
          </cell>
          <cell r="AF213">
            <v>-1124</v>
          </cell>
          <cell r="AG213">
            <v>-321</v>
          </cell>
          <cell r="AH213">
            <v>-361</v>
          </cell>
          <cell r="AI213">
            <v>-286</v>
          </cell>
          <cell r="AJ213">
            <v>-264</v>
          </cell>
          <cell r="AK213">
            <v>-1232</v>
          </cell>
          <cell r="AL213">
            <v>-320</v>
          </cell>
          <cell r="AM213">
            <v>-262</v>
          </cell>
          <cell r="AN213">
            <v>-223</v>
          </cell>
          <cell r="AO213">
            <v>-170</v>
          </cell>
          <cell r="AP213">
            <v>-975</v>
          </cell>
          <cell r="AQ213">
            <v>-274</v>
          </cell>
          <cell r="AR213">
            <v>-218</v>
          </cell>
          <cell r="AS213">
            <v>-159</v>
          </cell>
          <cell r="AT213">
            <v>-194</v>
          </cell>
          <cell r="AU213">
            <v>-845</v>
          </cell>
          <cell r="AV213">
            <v>-229</v>
          </cell>
          <cell r="AW213">
            <v>-150</v>
          </cell>
          <cell r="AX213">
            <v>-50</v>
          </cell>
          <cell r="AY213">
            <v>-84</v>
          </cell>
          <cell r="AZ213">
            <v>-513</v>
          </cell>
          <cell r="BA213">
            <v>-45</v>
          </cell>
          <cell r="BB213">
            <v>-106</v>
          </cell>
          <cell r="BC213">
            <v>-82</v>
          </cell>
          <cell r="BD213">
            <v>-66</v>
          </cell>
          <cell r="BE213">
            <v>-299</v>
          </cell>
          <cell r="BF213">
            <v>-123</v>
          </cell>
          <cell r="BG213">
            <v>-105</v>
          </cell>
          <cell r="BH213">
            <v>-127</v>
          </cell>
          <cell r="BI213">
            <v>-170</v>
          </cell>
          <cell r="BJ213">
            <v>-525</v>
          </cell>
          <cell r="BK213">
            <v>-184</v>
          </cell>
          <cell r="BL213">
            <v>-162</v>
          </cell>
          <cell r="BM213">
            <v>-71</v>
          </cell>
          <cell r="BN213">
            <v>-409</v>
          </cell>
          <cell r="BO213">
            <v>-826</v>
          </cell>
          <cell r="BP213">
            <v>-83</v>
          </cell>
          <cell r="BQ213">
            <v>-194</v>
          </cell>
          <cell r="BR213">
            <v>-78</v>
          </cell>
          <cell r="BS213">
            <v>-282</v>
          </cell>
          <cell r="BT213">
            <v>-637</v>
          </cell>
          <cell r="BU213">
            <v>-190</v>
          </cell>
          <cell r="BV213">
            <v>-190</v>
          </cell>
          <cell r="BW213">
            <v>-217</v>
          </cell>
          <cell r="BX213">
            <v>-260</v>
          </cell>
          <cell r="BY213">
            <v>-857</v>
          </cell>
          <cell r="BZ213">
            <v>-148</v>
          </cell>
          <cell r="CA213">
            <v>-224</v>
          </cell>
          <cell r="CB213">
            <v>-121</v>
          </cell>
          <cell r="CC213">
            <v>-417</v>
          </cell>
          <cell r="CD213">
            <v>-910</v>
          </cell>
          <cell r="CE213">
            <v>-201.25</v>
          </cell>
          <cell r="CF213">
            <v>-201.25</v>
          </cell>
          <cell r="CG213">
            <v>-201.25</v>
          </cell>
          <cell r="CH213">
            <v>-201.25</v>
          </cell>
          <cell r="CI213">
            <v>-805</v>
          </cell>
          <cell r="CN213">
            <v>-820</v>
          </cell>
          <cell r="CS213">
            <v>-700</v>
          </cell>
          <cell r="CU213" t="str">
            <v>7/28: Capex 3Q15 125 ac 45 non ac; FY15 670 ac 150-200 non ac</v>
          </cell>
          <cell r="CV213" t="str">
            <v>** Currently assume no financing given low fuel environment</v>
          </cell>
          <cell r="CZ213" t="str">
            <v>10/8: Assuming 150-200M non-ac capex + ac commitments in each year</v>
          </cell>
          <cell r="DJ213" t="str">
            <v>mstag:capitalExpenditures</v>
          </cell>
          <cell r="DK213">
            <v>6</v>
          </cell>
          <cell r="DL213" t="str">
            <v>ISO4217:USD</v>
          </cell>
          <cell r="DM213" t="b">
            <v>1</v>
          </cell>
          <cell r="DN213" t="b">
            <v>0</v>
          </cell>
        </row>
        <row r="214">
          <cell r="A214" t="str">
            <v>Financed Capex</v>
          </cell>
          <cell r="B214">
            <v>0.111</v>
          </cell>
          <cell r="G214">
            <v>3.8889999999999998</v>
          </cell>
          <cell r="L214">
            <v>9.9719999999999995</v>
          </cell>
          <cell r="Q214">
            <v>24.73</v>
          </cell>
          <cell r="V214">
            <v>44.133000000000003</v>
          </cell>
          <cell r="AA214">
            <v>66.492999999999995</v>
          </cell>
          <cell r="AF214">
            <v>101</v>
          </cell>
          <cell r="AG214">
            <v>30</v>
          </cell>
          <cell r="AH214">
            <v>33</v>
          </cell>
          <cell r="AI214">
            <v>36</v>
          </cell>
          <cell r="AJ214">
            <v>37</v>
          </cell>
          <cell r="AK214">
            <v>136</v>
          </cell>
          <cell r="AL214">
            <v>39</v>
          </cell>
          <cell r="AM214">
            <v>38</v>
          </cell>
          <cell r="AN214">
            <v>41</v>
          </cell>
          <cell r="AO214">
            <v>43</v>
          </cell>
          <cell r="AP214">
            <v>161</v>
          </cell>
          <cell r="AQ214">
            <v>41</v>
          </cell>
          <cell r="AR214">
            <v>43</v>
          </cell>
          <cell r="AS214">
            <v>50</v>
          </cell>
          <cell r="AT214">
            <v>55</v>
          </cell>
          <cell r="AU214">
            <v>189</v>
          </cell>
          <cell r="AV214">
            <v>44</v>
          </cell>
          <cell r="AW214">
            <v>46</v>
          </cell>
          <cell r="AX214">
            <v>49</v>
          </cell>
          <cell r="AY214">
            <v>51</v>
          </cell>
          <cell r="AZ214">
            <v>190</v>
          </cell>
          <cell r="BA214">
            <v>48</v>
          </cell>
          <cell r="BB214">
            <v>48</v>
          </cell>
          <cell r="BC214">
            <v>49</v>
          </cell>
          <cell r="BD214">
            <v>49</v>
          </cell>
          <cell r="BE214">
            <v>194</v>
          </cell>
          <cell r="BF214">
            <v>51</v>
          </cell>
          <cell r="BG214">
            <v>54</v>
          </cell>
          <cell r="BH214">
            <v>51</v>
          </cell>
          <cell r="BI214">
            <v>57</v>
          </cell>
          <cell r="BJ214">
            <v>213</v>
          </cell>
          <cell r="BK214">
            <v>55</v>
          </cell>
          <cell r="BL214">
            <v>57</v>
          </cell>
          <cell r="BM214">
            <v>58</v>
          </cell>
          <cell r="BN214">
            <v>60</v>
          </cell>
          <cell r="BO214">
            <v>0</v>
          </cell>
          <cell r="BP214">
            <v>61</v>
          </cell>
          <cell r="BQ214">
            <v>62</v>
          </cell>
          <cell r="BR214">
            <v>65</v>
          </cell>
          <cell r="BS214">
            <v>70</v>
          </cell>
          <cell r="BT214">
            <v>0</v>
          </cell>
          <cell r="BU214">
            <v>68</v>
          </cell>
          <cell r="BV214">
            <v>65</v>
          </cell>
          <cell r="BW214">
            <v>64</v>
          </cell>
          <cell r="BX214">
            <v>66</v>
          </cell>
          <cell r="BY214">
            <v>0</v>
          </cell>
          <cell r="BZ214">
            <v>67</v>
          </cell>
          <cell r="CA214">
            <v>71</v>
          </cell>
          <cell r="CB214">
            <v>72</v>
          </cell>
          <cell r="CC214">
            <v>78</v>
          </cell>
          <cell r="CD214">
            <v>0</v>
          </cell>
          <cell r="CE214">
            <v>80.994193548387102</v>
          </cell>
          <cell r="CF214">
            <v>82.201935483870969</v>
          </cell>
          <cell r="CG214">
            <v>83.132903225806459</v>
          </cell>
          <cell r="CH214">
            <v>87.360000000000028</v>
          </cell>
          <cell r="CI214">
            <v>0</v>
          </cell>
          <cell r="CN214">
            <v>0</v>
          </cell>
          <cell r="CS214">
            <v>0</v>
          </cell>
          <cell r="CU214" t="str">
            <v>11/19/14 Investor Day: 2015 $675M AC and $150-200M non-AC. 2016 $650-700M</v>
          </cell>
          <cell r="CV214" t="str">
            <v>** Currently assume modest financing given low fuel environment</v>
          </cell>
          <cell r="CZ214" t="str">
            <v>10/27: Capex 4Q15 315 ac 30-50 non ac; FY15 780 ac 120-140 non ac</v>
          </cell>
          <cell r="DJ214" t="str">
            <v>mstag:depreciation</v>
          </cell>
          <cell r="DK214">
            <v>6</v>
          </cell>
          <cell r="DL214" t="str">
            <v>ISO4217:USD</v>
          </cell>
          <cell r="DM214" t="b">
            <v>0</v>
          </cell>
          <cell r="DN214" t="b">
            <v>0</v>
          </cell>
        </row>
        <row r="215">
          <cell r="A215" t="str">
            <v>% of Total Capex Financed</v>
          </cell>
          <cell r="B215">
            <v>0</v>
          </cell>
          <cell r="G215">
            <v>2.2332676977193215</v>
          </cell>
          <cell r="L215">
            <v>0.89853439612501318</v>
          </cell>
          <cell r="Q215">
            <v>1.0296351805992214</v>
          </cell>
          <cell r="V215">
            <v>0.73416363583549271</v>
          </cell>
          <cell r="AA215">
            <v>0.6315427193632811</v>
          </cell>
          <cell r="AF215">
            <v>0.66034947997478444</v>
          </cell>
          <cell r="AG215">
            <v>0.65456769983686791</v>
          </cell>
          <cell r="AH215">
            <v>0.58986928104575165</v>
          </cell>
          <cell r="AI215">
            <v>0.45541401273885351</v>
          </cell>
          <cell r="AJ215">
            <v>0.41706161137440756</v>
          </cell>
          <cell r="AK215">
            <v>0.52128289752052126</v>
          </cell>
          <cell r="AL215">
            <v>0.52631578947368418</v>
          </cell>
          <cell r="AM215">
            <v>0.35890410958904112</v>
          </cell>
          <cell r="AN215">
            <v>0.29150326797385623</v>
          </cell>
          <cell r="AO215">
            <v>0.23004059539918809</v>
          </cell>
          <cell r="AP215">
            <v>0.34306826178747363</v>
          </cell>
          <cell r="AQ215">
            <v>0.33578431372549017</v>
          </cell>
          <cell r="AR215">
            <v>0.25378346915017463</v>
          </cell>
          <cell r="AS215">
            <v>0.17627494456762749</v>
          </cell>
          <cell r="AT215">
            <v>0.23921085080147966</v>
          </cell>
          <cell r="AU215">
            <v>0.24940968122786306</v>
          </cell>
          <cell r="AV215">
            <v>0.2880503144654088</v>
          </cell>
          <cell r="AW215">
            <v>0.18541409147095178</v>
          </cell>
          <cell r="AX215">
            <v>5.8479532163742687E-2</v>
          </cell>
          <cell r="AY215">
            <v>0.10096153846153846</v>
          </cell>
          <cell r="AZ215">
            <v>0.15587967183226983</v>
          </cell>
          <cell r="BA215">
            <v>5.1724137931034482E-2</v>
          </cell>
          <cell r="BB215">
            <v>0.11288604898828541</v>
          </cell>
          <cell r="BC215">
            <v>7.9611650485436891E-2</v>
          </cell>
          <cell r="BD215">
            <v>7.0212765957446813E-2</v>
          </cell>
          <cell r="BE215">
            <v>7.9121460703889923E-2</v>
          </cell>
          <cell r="BF215">
            <v>0.12154150197628459</v>
          </cell>
          <cell r="BG215">
            <v>9.1225021720243271E-2</v>
          </cell>
          <cell r="BH215">
            <v>0.10627615062761506</v>
          </cell>
          <cell r="BI215">
            <v>0.14834205933682373</v>
          </cell>
          <cell r="BJ215">
            <v>0.11656305506216696</v>
          </cell>
          <cell r="BK215">
            <v>0.15295095594347466</v>
          </cell>
          <cell r="BL215">
            <v>0.12685982772122162</v>
          </cell>
          <cell r="BM215">
            <v>5.4281345565749234E-2</v>
          </cell>
          <cell r="BN215">
            <v>0.34254606365159129</v>
          </cell>
          <cell r="BO215">
            <v>0</v>
          </cell>
          <cell r="BP215">
            <v>6.3895304080061582E-2</v>
          </cell>
          <cell r="BQ215">
            <v>0.1453183520599251</v>
          </cell>
          <cell r="BR215">
            <v>5.4091539528432729E-2</v>
          </cell>
          <cell r="BS215">
            <v>0.20659340659340658</v>
          </cell>
          <cell r="BT215">
            <v>0</v>
          </cell>
          <cell r="BU215">
            <v>0.14084507042253522</v>
          </cell>
          <cell r="BV215">
            <v>0.12726054922973878</v>
          </cell>
          <cell r="BW215">
            <v>0.14192282537606279</v>
          </cell>
          <cell r="BX215">
            <v>0.17980636237897649</v>
          </cell>
          <cell r="BY215">
            <v>0</v>
          </cell>
          <cell r="BZ215">
            <v>9.717662508207485E-2</v>
          </cell>
          <cell r="CA215">
            <v>0.13895781637717122</v>
          </cell>
          <cell r="CB215">
            <v>0.101502839094117</v>
          </cell>
          <cell r="CC215">
            <v>0.18790750113721247</v>
          </cell>
          <cell r="CD215">
            <v>0</v>
          </cell>
          <cell r="CE215">
            <v>0.10690940010403473</v>
          </cell>
          <cell r="CF215">
            <v>0.10205831203716557</v>
          </cell>
          <cell r="CG215">
            <v>0.10088159303244464</v>
          </cell>
          <cell r="CH215">
            <v>0.10583287451597444</v>
          </cell>
          <cell r="CI215">
            <v>0</v>
          </cell>
          <cell r="CN215">
            <v>0</v>
          </cell>
          <cell r="CS215">
            <v>0</v>
          </cell>
          <cell r="CU215" t="str">
            <v>11/19/14 Investor Day: 2015 $675M AC and $150-200M non-AC. 2016 $650-700M</v>
          </cell>
          <cell r="CV215" t="str">
            <v xml:space="preserve">2017 will be higher  </v>
          </cell>
          <cell r="DA215" t="str">
            <v>** Currently assume no financing given low fuel environment</v>
          </cell>
          <cell r="DJ215" t="str">
            <v>mstag:amortizationOfOtherIntangibles</v>
          </cell>
          <cell r="DK215">
            <v>6</v>
          </cell>
          <cell r="DL215" t="str">
            <v>ISO4217:USD</v>
          </cell>
          <cell r="DM215" t="b">
            <v>0</v>
          </cell>
          <cell r="DN215" t="b">
            <v>0</v>
          </cell>
        </row>
        <row r="216">
          <cell r="A216" t="str">
            <v>% of Op.Revenue</v>
          </cell>
          <cell r="B216">
            <v>0.111</v>
          </cell>
          <cell r="G216">
            <v>2.2332676977193215</v>
          </cell>
          <cell r="L216">
            <v>0.89853439612501318</v>
          </cell>
          <cell r="Q216">
            <v>1.0296351805992214</v>
          </cell>
          <cell r="V216">
            <v>0.73416363583549271</v>
          </cell>
          <cell r="AA216">
            <v>0.6315427193632811</v>
          </cell>
          <cell r="AF216">
            <v>0.66034947997478444</v>
          </cell>
          <cell r="AG216">
            <v>0.65456769983686791</v>
          </cell>
          <cell r="AH216">
            <v>0.58986928104575165</v>
          </cell>
          <cell r="AI216">
            <v>0.45541401273885351</v>
          </cell>
          <cell r="AJ216">
            <v>0.41706161137440756</v>
          </cell>
          <cell r="AK216">
            <v>0.52128289752052126</v>
          </cell>
          <cell r="AL216">
            <v>0.52631578947368418</v>
          </cell>
          <cell r="AM216">
            <v>0.35890410958904112</v>
          </cell>
          <cell r="AN216">
            <v>0.29150326797385623</v>
          </cell>
          <cell r="AO216">
            <v>0.23004059539918809</v>
          </cell>
          <cell r="AP216">
            <v>0.34306826178747363</v>
          </cell>
          <cell r="AQ216">
            <v>0.33578431372549017</v>
          </cell>
          <cell r="AR216">
            <v>0.25378346915017463</v>
          </cell>
          <cell r="AS216">
            <v>0.17627494456762749</v>
          </cell>
          <cell r="AT216">
            <v>0.23921085080147966</v>
          </cell>
          <cell r="AU216">
            <v>0.24940968122786306</v>
          </cell>
          <cell r="AV216">
            <v>0.2880503144654088</v>
          </cell>
          <cell r="AW216">
            <v>0.18541409147095178</v>
          </cell>
          <cell r="AX216">
            <v>5.8479532163742687E-2</v>
          </cell>
          <cell r="AY216">
            <v>0.10096153846153846</v>
          </cell>
          <cell r="AZ216">
            <v>0.15587967183226983</v>
          </cell>
          <cell r="BA216">
            <v>5.1724137931034482E-2</v>
          </cell>
          <cell r="BB216">
            <v>0.11288604898828541</v>
          </cell>
          <cell r="BC216">
            <v>7.9611650485436891E-2</v>
          </cell>
          <cell r="BD216">
            <v>7.0212765957446813E-2</v>
          </cell>
          <cell r="BE216">
            <v>7.9121460703889923E-2</v>
          </cell>
          <cell r="BF216">
            <v>0.12154150197628459</v>
          </cell>
          <cell r="BG216">
            <v>9.1225021720243271E-2</v>
          </cell>
          <cell r="BH216">
            <v>0.10627615062761506</v>
          </cell>
          <cell r="BI216">
            <v>0.14834205933682373</v>
          </cell>
          <cell r="BJ216">
            <v>0.11656305506216696</v>
          </cell>
          <cell r="BK216">
            <v>0.15295095594347466</v>
          </cell>
          <cell r="BL216">
            <v>0.12685982772122162</v>
          </cell>
          <cell r="BM216">
            <v>5.4281345565749234E-2</v>
          </cell>
          <cell r="BN216">
            <v>0.34254606365159129</v>
          </cell>
          <cell r="BO216">
            <v>0.16579686872741869</v>
          </cell>
          <cell r="BP216">
            <v>6.3895304080061582E-2</v>
          </cell>
          <cell r="BQ216">
            <v>0.1453183520599251</v>
          </cell>
          <cell r="BR216">
            <v>5.4091539528432729E-2</v>
          </cell>
          <cell r="BS216">
            <v>0.20659340659340658</v>
          </cell>
          <cell r="BT216">
            <v>0.1170740672670465</v>
          </cell>
          <cell r="BU216">
            <v>0.14084507042253522</v>
          </cell>
          <cell r="BV216">
            <v>0.12726054922973878</v>
          </cell>
          <cell r="BW216">
            <v>0.14192282537606279</v>
          </cell>
          <cell r="BX216">
            <v>0.17980636237897649</v>
          </cell>
          <cell r="BY216">
            <v>0.14732680075640364</v>
          </cell>
          <cell r="BZ216">
            <v>9.717662508207485E-2</v>
          </cell>
          <cell r="CA216">
            <v>0.13895781637717122</v>
          </cell>
          <cell r="CB216">
            <v>7.1724955542382923E-2</v>
          </cell>
          <cell r="CC216">
            <v>0.26307718205871833</v>
          </cell>
          <cell r="CD216">
            <v>0.14203024236499814</v>
          </cell>
          <cell r="CE216">
            <v>0.12328342003705671</v>
          </cell>
          <cell r="CF216">
            <v>0.11633701141345568</v>
          </cell>
          <cell r="CG216">
            <v>0.11279122554321934</v>
          </cell>
          <cell r="CH216">
            <v>0.1185236469702486</v>
          </cell>
          <cell r="CI216">
            <v>0.11761184313972715</v>
          </cell>
          <cell r="CN216">
            <v>0.11088219332118887</v>
          </cell>
          <cell r="CS216">
            <v>8.7681213998150959E-2</v>
          </cell>
          <cell r="CV216" t="str">
            <v xml:space="preserve">2017 will be higher  </v>
          </cell>
          <cell r="CZ216" t="str">
            <v>11/19/14 Investor Day: 2015 $675M AC and $150-200M non-AC. 2016 $650-700M</v>
          </cell>
        </row>
        <row r="217">
          <cell r="A217" t="str">
            <v>Total Capex % of Depreciation</v>
          </cell>
          <cell r="B217">
            <v>-70.417000000000002</v>
          </cell>
          <cell r="G217">
            <v>-230.81599999999997</v>
          </cell>
          <cell r="L217">
            <v>28.871139189731252</v>
          </cell>
          <cell r="Q217">
            <v>26.446219167003644</v>
          </cell>
          <cell r="V217">
            <v>16.607821811342983</v>
          </cell>
          <cell r="AA217">
            <v>11.990811062818645</v>
          </cell>
          <cell r="AF217">
            <v>11.128712871287128</v>
          </cell>
          <cell r="AG217">
            <v>10.7</v>
          </cell>
          <cell r="AH217">
            <v>10.939393939393939</v>
          </cell>
          <cell r="AI217">
            <v>7.9444444444444446</v>
          </cell>
          <cell r="AJ217">
            <v>7.1351351351351351</v>
          </cell>
          <cell r="AK217">
            <v>9.0588235294117645</v>
          </cell>
          <cell r="AL217">
            <v>8.2051282051282044</v>
          </cell>
          <cell r="AM217">
            <v>6.8947368421052628</v>
          </cell>
          <cell r="AN217">
            <v>5.4390243902439028</v>
          </cell>
          <cell r="AO217">
            <v>3.9534883720930232</v>
          </cell>
          <cell r="AP217">
            <v>6.0559006211180124</v>
          </cell>
          <cell r="AQ217">
            <v>6.6829268292682924</v>
          </cell>
          <cell r="AR217">
            <v>5.0697674418604652</v>
          </cell>
          <cell r="AS217">
            <v>3.18</v>
          </cell>
          <cell r="AT217">
            <v>3.5272727272727273</v>
          </cell>
          <cell r="AU217">
            <v>4.4708994708994707</v>
          </cell>
          <cell r="AV217">
            <v>5.2045454545454541</v>
          </cell>
          <cell r="AW217">
            <v>3.2608695652173911</v>
          </cell>
          <cell r="AX217">
            <v>1.0204081632653061</v>
          </cell>
          <cell r="AY217">
            <v>1.6470588235294117</v>
          </cell>
          <cell r="AZ217">
            <v>2.7</v>
          </cell>
          <cell r="BA217">
            <v>0.9375</v>
          </cell>
          <cell r="BB217">
            <v>2.2083333333333335</v>
          </cell>
          <cell r="BC217">
            <v>1.6734693877551021</v>
          </cell>
          <cell r="BD217">
            <v>1.346938775510204</v>
          </cell>
          <cell r="BE217">
            <v>1.5412371134020619</v>
          </cell>
          <cell r="BF217">
            <v>2.4117647058823528</v>
          </cell>
          <cell r="BG217">
            <v>1.9444444444444444</v>
          </cell>
          <cell r="BH217">
            <v>2.4901960784313726</v>
          </cell>
          <cell r="BI217">
            <v>2.9824561403508771</v>
          </cell>
          <cell r="BJ217">
            <v>2.464788732394366</v>
          </cell>
          <cell r="BK217">
            <v>3.3454545454545452</v>
          </cell>
          <cell r="BL217">
            <v>2.8421052631578947</v>
          </cell>
          <cell r="BM217">
            <v>1.2241379310344827</v>
          </cell>
          <cell r="BN217">
            <v>6.8166666666666664</v>
          </cell>
          <cell r="BO217">
            <v>3.5913043478260871</v>
          </cell>
          <cell r="BP217">
            <v>1.360655737704918</v>
          </cell>
          <cell r="BQ217">
            <v>3.129032258064516</v>
          </cell>
          <cell r="BR217">
            <v>1.2</v>
          </cell>
          <cell r="BS217">
            <v>4.0285714285714285</v>
          </cell>
          <cell r="BT217">
            <v>2.4689922480620154</v>
          </cell>
          <cell r="BU217">
            <v>2.7941176470588234</v>
          </cell>
          <cell r="BV217">
            <v>2.9230769230769229</v>
          </cell>
          <cell r="BW217">
            <v>3.390625</v>
          </cell>
          <cell r="BX217">
            <v>3.9393939393939394</v>
          </cell>
          <cell r="BY217">
            <v>3.2585551330798479</v>
          </cell>
          <cell r="BZ217">
            <v>2.2089552238805972</v>
          </cell>
          <cell r="CA217">
            <v>3.1549295774647885</v>
          </cell>
          <cell r="CB217">
            <v>1.6805555555555556</v>
          </cell>
          <cell r="CC217">
            <v>5.4133748748191834</v>
          </cell>
          <cell r="CD217">
            <v>3.1703845273290132</v>
          </cell>
          <cell r="CE217">
            <v>2.4988470271037322</v>
          </cell>
          <cell r="CF217">
            <v>2.4155521262002746</v>
          </cell>
          <cell r="CG217">
            <v>2.3488562091503273</v>
          </cell>
          <cell r="CH217">
            <v>2.2718000074181233</v>
          </cell>
          <cell r="CI217">
            <v>2.3808286466710866</v>
          </cell>
          <cell r="CN217">
            <v>2.2181633354078438</v>
          </cell>
          <cell r="CS217">
            <v>1.7429093136360216</v>
          </cell>
          <cell r="CV217" t="str">
            <v>Aircraft commitments 2015: 610, 2016: 545, 2017: 595, 2018: 520, 2019: 935</v>
          </cell>
          <cell r="DA217" t="str">
            <v xml:space="preserve">2017 will be higher  </v>
          </cell>
          <cell r="DE217" t="str">
            <v>mstag:freeCashFlowAdjustedForConsensus</v>
          </cell>
          <cell r="DF217">
            <v>6</v>
          </cell>
          <cell r="DG217" t="str">
            <v>ISO4217:USD</v>
          </cell>
          <cell r="DH217" t="b">
            <v>0</v>
          </cell>
          <cell r="DJ217" t="str">
            <v>mstag:deferredTax</v>
          </cell>
          <cell r="DK217">
            <v>6</v>
          </cell>
          <cell r="DL217" t="str">
            <v>ISO4217:USD</v>
          </cell>
          <cell r="DM217" t="b">
            <v>0</v>
          </cell>
          <cell r="DN217" t="b">
            <v>0</v>
          </cell>
        </row>
        <row r="218">
          <cell r="A218" t="str">
            <v>Free Cash Flow</v>
          </cell>
          <cell r="B218">
            <v>-70.417000000000002</v>
          </cell>
          <cell r="G218">
            <v>-230.81599999999997</v>
          </cell>
          <cell r="L218">
            <v>-176.62400000000002</v>
          </cell>
          <cell r="Q218">
            <v>-437.53800000000012</v>
          </cell>
          <cell r="V218">
            <v>-446.61599999999999</v>
          </cell>
          <cell r="AA218">
            <v>-598.8850000000001</v>
          </cell>
          <cell r="AF218">
            <v>-954</v>
          </cell>
          <cell r="AG218">
            <v>-234</v>
          </cell>
          <cell r="AH218">
            <v>-319</v>
          </cell>
          <cell r="AI218">
            <v>-206</v>
          </cell>
          <cell r="AJ218">
            <v>-199</v>
          </cell>
          <cell r="AK218">
            <v>-958</v>
          </cell>
          <cell r="AL218">
            <v>-173</v>
          </cell>
          <cell r="AM218">
            <v>-190</v>
          </cell>
          <cell r="AN218">
            <v>-155</v>
          </cell>
          <cell r="AO218">
            <v>-99</v>
          </cell>
          <cell r="AP218">
            <v>-617</v>
          </cell>
          <cell r="AQ218">
            <v>-225</v>
          </cell>
          <cell r="AR218">
            <v>-162</v>
          </cell>
          <cell r="AS218">
            <v>-155</v>
          </cell>
          <cell r="AT218">
            <v>-320</v>
          </cell>
          <cell r="AU218">
            <v>-862</v>
          </cell>
          <cell r="AV218">
            <v>-105</v>
          </cell>
          <cell r="AW218">
            <v>-49</v>
          </cell>
          <cell r="AX218">
            <v>82</v>
          </cell>
          <cell r="AY218">
            <v>45</v>
          </cell>
          <cell r="AZ218">
            <v>-27</v>
          </cell>
          <cell r="BA218">
            <v>184</v>
          </cell>
          <cell r="BB218">
            <v>21</v>
          </cell>
          <cell r="BC218">
            <v>52</v>
          </cell>
          <cell r="BD218">
            <v>-33</v>
          </cell>
          <cell r="BE218">
            <v>223.99999999999966</v>
          </cell>
          <cell r="BF218">
            <v>108</v>
          </cell>
          <cell r="BG218">
            <v>70</v>
          </cell>
          <cell r="BH218">
            <v>-33</v>
          </cell>
          <cell r="BI218">
            <v>-56</v>
          </cell>
          <cell r="BJ218">
            <v>89</v>
          </cell>
          <cell r="BK218">
            <v>108</v>
          </cell>
          <cell r="BL218">
            <v>36</v>
          </cell>
          <cell r="BM218">
            <v>-20</v>
          </cell>
          <cell r="BN218">
            <v>-252</v>
          </cell>
          <cell r="BO218">
            <v>-128</v>
          </cell>
          <cell r="BP218">
            <v>122</v>
          </cell>
          <cell r="BQ218">
            <v>3</v>
          </cell>
          <cell r="BR218">
            <v>85</v>
          </cell>
          <cell r="BS218">
            <v>-89</v>
          </cell>
          <cell r="BT218">
            <v>121</v>
          </cell>
          <cell r="BU218">
            <v>132</v>
          </cell>
          <cell r="BV218">
            <v>29</v>
          </cell>
          <cell r="BW218">
            <v>-34</v>
          </cell>
          <cell r="BX218">
            <v>-72</v>
          </cell>
          <cell r="BY218">
            <v>55</v>
          </cell>
          <cell r="BZ218">
            <v>380</v>
          </cell>
          <cell r="CA218">
            <v>138</v>
          </cell>
          <cell r="CB218">
            <v>283</v>
          </cell>
          <cell r="CC218">
            <v>-268.9352860562978</v>
          </cell>
          <cell r="CD218">
            <v>532.06471394370283</v>
          </cell>
          <cell r="CE218">
            <v>359.75633021704357</v>
          </cell>
          <cell r="CF218">
            <v>148.236212929609</v>
          </cell>
          <cell r="CG218">
            <v>235.19650667201705</v>
          </cell>
          <cell r="CH218">
            <v>-50.892758559426596</v>
          </cell>
          <cell r="CI218">
            <v>692.29629125924225</v>
          </cell>
          <cell r="CN218">
            <v>614.24930980284398</v>
          </cell>
          <cell r="CS218">
            <v>754.41841807115452</v>
          </cell>
          <cell r="CV218" t="str">
            <v>Assumes non-AC capex 2014: 250, 2015: 275, 2016: 275</v>
          </cell>
          <cell r="DA218" t="str">
            <v>Aircraft commitments 2015: 220, 2016: 630, 2017: 645, 2018: 525, 2019: 935</v>
          </cell>
          <cell r="DE218" t="str">
            <v>mstag:netDisposalsAcquisitions</v>
          </cell>
          <cell r="DF218">
            <v>6</v>
          </cell>
          <cell r="DG218" t="str">
            <v>ISO4217:USD</v>
          </cell>
          <cell r="DH218" t="b">
            <v>0</v>
          </cell>
          <cell r="DI218" t="b">
            <v>0</v>
          </cell>
          <cell r="DJ218" t="str">
            <v>mstag:freeCashFlowAdjustedForConsensus</v>
          </cell>
          <cell r="DK218">
            <v>6</v>
          </cell>
          <cell r="DL218" t="str">
            <v>ISO4217:USD</v>
          </cell>
          <cell r="DM218" t="b">
            <v>0</v>
          </cell>
        </row>
        <row r="219">
          <cell r="A219" t="str">
            <v>Proceeds from Sales, net of Acquisitions</v>
          </cell>
          <cell r="B219">
            <v>0</v>
          </cell>
          <cell r="G219">
            <v>0</v>
          </cell>
          <cell r="L219">
            <v>0</v>
          </cell>
          <cell r="Q219">
            <v>-80.447999999999993</v>
          </cell>
          <cell r="V219">
            <v>0</v>
          </cell>
          <cell r="AA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62</v>
          </cell>
          <cell r="AJ219">
            <v>92</v>
          </cell>
          <cell r="AK219">
            <v>154</v>
          </cell>
          <cell r="AL219">
            <v>0</v>
          </cell>
          <cell r="AM219">
            <v>0</v>
          </cell>
          <cell r="AN219">
            <v>33</v>
          </cell>
          <cell r="AO219">
            <v>67</v>
          </cell>
          <cell r="AP219">
            <v>100</v>
          </cell>
          <cell r="AQ219">
            <v>0</v>
          </cell>
          <cell r="AR219">
            <v>133</v>
          </cell>
          <cell r="AS219">
            <v>31</v>
          </cell>
          <cell r="AT219">
            <v>135</v>
          </cell>
          <cell r="AU219">
            <v>299</v>
          </cell>
          <cell r="AV219">
            <v>58</v>
          </cell>
          <cell r="AW219">
            <v>0</v>
          </cell>
          <cell r="AX219">
            <v>0</v>
          </cell>
          <cell r="AY219">
            <v>0</v>
          </cell>
          <cell r="AZ219">
            <v>58</v>
          </cell>
          <cell r="BA219">
            <v>0</v>
          </cell>
          <cell r="BB219">
            <v>36</v>
          </cell>
          <cell r="BC219">
            <v>49</v>
          </cell>
          <cell r="BD219">
            <v>0</v>
          </cell>
          <cell r="BE219">
            <v>85</v>
          </cell>
          <cell r="BF219">
            <v>0</v>
          </cell>
          <cell r="BG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BR219">
            <v>0</v>
          </cell>
          <cell r="BS219">
            <v>0</v>
          </cell>
          <cell r="BT219">
            <v>0</v>
          </cell>
          <cell r="BU219">
            <v>0</v>
          </cell>
          <cell r="BV219">
            <v>0</v>
          </cell>
          <cell r="BW219">
            <v>0</v>
          </cell>
          <cell r="BX219">
            <v>0</v>
          </cell>
          <cell r="BY219">
            <v>0</v>
          </cell>
          <cell r="BZ219">
            <v>0</v>
          </cell>
          <cell r="CA219">
            <v>0</v>
          </cell>
          <cell r="CB219">
            <v>0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0</v>
          </cell>
          <cell r="CH219">
            <v>0</v>
          </cell>
          <cell r="CI219">
            <v>0</v>
          </cell>
          <cell r="CN219">
            <v>0</v>
          </cell>
          <cell r="CS219">
            <v>0</v>
          </cell>
          <cell r="CV219" t="str">
            <v>Assumes 70% LTV</v>
          </cell>
          <cell r="DA219" t="str">
            <v>Assumes non-AC capex 2015: 130, 2016: 175, 2017: 175, 2018: 175</v>
          </cell>
          <cell r="DE219" t="str">
            <v>mstag:otherCashFlow</v>
          </cell>
          <cell r="DF219">
            <v>6</v>
          </cell>
          <cell r="DG219" t="str">
            <v>ISO4217:USD</v>
          </cell>
          <cell r="DH219" t="b">
            <v>0</v>
          </cell>
          <cell r="DI219" t="b">
            <v>0</v>
          </cell>
          <cell r="DJ219" t="str">
            <v>mstag:netDecreaseInOtherAssets</v>
          </cell>
          <cell r="DK219">
            <v>6</v>
          </cell>
          <cell r="DL219" t="str">
            <v>ISO4217:USD</v>
          </cell>
          <cell r="DM219" t="b">
            <v>0</v>
          </cell>
          <cell r="DN219" t="b">
            <v>0</v>
          </cell>
        </row>
        <row r="220">
          <cell r="A220" t="str">
            <v>Other</v>
          </cell>
          <cell r="B220">
            <v>-4.2759999999999998</v>
          </cell>
          <cell r="G220">
            <v>-7.4899999999999984</v>
          </cell>
          <cell r="L220">
            <v>-1.952</v>
          </cell>
          <cell r="Q220">
            <v>-242.34799999999998</v>
          </cell>
          <cell r="V220">
            <v>-254.12700000000001</v>
          </cell>
          <cell r="AA220">
            <v>77.557000000000002</v>
          </cell>
          <cell r="AF220">
            <v>-152</v>
          </cell>
          <cell r="AG220">
            <v>68</v>
          </cell>
          <cell r="AH220">
            <v>-50</v>
          </cell>
          <cell r="AI220">
            <v>1</v>
          </cell>
          <cell r="AJ220">
            <v>-248</v>
          </cell>
          <cell r="AK220">
            <v>-229</v>
          </cell>
          <cell r="AL220">
            <v>-10</v>
          </cell>
          <cell r="AM220">
            <v>151</v>
          </cell>
          <cell r="AN220">
            <v>41</v>
          </cell>
          <cell r="AO220">
            <v>-41</v>
          </cell>
          <cell r="AP220">
            <v>141</v>
          </cell>
          <cell r="AQ220">
            <v>331</v>
          </cell>
          <cell r="AR220">
            <v>-71</v>
          </cell>
          <cell r="AS220">
            <v>0</v>
          </cell>
          <cell r="AT220">
            <v>39</v>
          </cell>
          <cell r="AU220">
            <v>299</v>
          </cell>
          <cell r="AV220">
            <v>25</v>
          </cell>
          <cell r="AW220">
            <v>0</v>
          </cell>
          <cell r="AX220">
            <v>25</v>
          </cell>
          <cell r="AY220">
            <v>-52</v>
          </cell>
          <cell r="AZ220">
            <v>-2</v>
          </cell>
          <cell r="BA220">
            <v>-67</v>
          </cell>
          <cell r="BB220">
            <v>-414</v>
          </cell>
          <cell r="BC220">
            <v>-30</v>
          </cell>
          <cell r="BD220">
            <v>29</v>
          </cell>
          <cell r="BE220">
            <v>-482</v>
          </cell>
          <cell r="BF220">
            <v>-62</v>
          </cell>
          <cell r="BG220">
            <v>-49</v>
          </cell>
          <cell r="BH220">
            <v>121</v>
          </cell>
          <cell r="BI220">
            <v>13</v>
          </cell>
          <cell r="BJ220">
            <v>23</v>
          </cell>
          <cell r="BK220">
            <v>13</v>
          </cell>
          <cell r="BL220">
            <v>70</v>
          </cell>
          <cell r="BM220">
            <v>-114</v>
          </cell>
          <cell r="BN220">
            <v>-10</v>
          </cell>
          <cell r="BO220">
            <v>-41</v>
          </cell>
          <cell r="BP220">
            <v>81</v>
          </cell>
          <cell r="BQ220">
            <v>-5</v>
          </cell>
          <cell r="BR220">
            <v>-61</v>
          </cell>
          <cell r="BS220">
            <v>146</v>
          </cell>
          <cell r="BT220">
            <v>161</v>
          </cell>
          <cell r="BU220">
            <v>144</v>
          </cell>
          <cell r="BV220">
            <v>285</v>
          </cell>
          <cell r="BW220">
            <v>55</v>
          </cell>
          <cell r="BX220">
            <v>-6</v>
          </cell>
          <cell r="BY220">
            <v>478</v>
          </cell>
          <cell r="BZ220">
            <v>-89</v>
          </cell>
          <cell r="CA220">
            <v>-69</v>
          </cell>
          <cell r="CB220">
            <v>-112</v>
          </cell>
          <cell r="CC220">
            <v>307.9352860562978</v>
          </cell>
          <cell r="CD220">
            <v>37.935286056297798</v>
          </cell>
          <cell r="CE220">
            <v>0</v>
          </cell>
          <cell r="CF220">
            <v>0</v>
          </cell>
          <cell r="CG220">
            <v>0</v>
          </cell>
          <cell r="CH220">
            <v>148.8927585594266</v>
          </cell>
          <cell r="CI220">
            <v>148.8927585594266</v>
          </cell>
          <cell r="CN220">
            <v>0</v>
          </cell>
          <cell r="CS220">
            <v>0</v>
          </cell>
          <cell r="CV220" t="str">
            <v>Mgmt noted several ac will be paid with cash</v>
          </cell>
          <cell r="DA220" t="str">
            <v>Assumes 70% LTV</v>
          </cell>
          <cell r="DJ220" t="str">
            <v>mstag:otherCashFlow</v>
          </cell>
          <cell r="DK220">
            <v>6</v>
          </cell>
          <cell r="DL220" t="str">
            <v>ISO4217:USD</v>
          </cell>
          <cell r="DM220" t="b">
            <v>0</v>
          </cell>
          <cell r="DN220" t="b">
            <v>0</v>
          </cell>
        </row>
        <row r="221">
          <cell r="A221" t="str">
            <v>Cash From Investing</v>
          </cell>
          <cell r="B221">
            <v>-67.451999999999998</v>
          </cell>
          <cell r="G221">
            <v>-241.13</v>
          </cell>
          <cell r="L221">
            <v>-289.85500000000002</v>
          </cell>
          <cell r="Q221">
            <v>-976.81100000000015</v>
          </cell>
          <cell r="V221">
            <v>-987.07999999999993</v>
          </cell>
          <cell r="AA221">
            <v>-719.74800000000005</v>
          </cell>
          <cell r="AF221">
            <v>-1276</v>
          </cell>
          <cell r="AG221">
            <v>-253</v>
          </cell>
          <cell r="AH221">
            <v>-411</v>
          </cell>
          <cell r="AI221">
            <v>-223</v>
          </cell>
          <cell r="AJ221">
            <v>-420</v>
          </cell>
          <cell r="AK221">
            <v>-1307</v>
          </cell>
          <cell r="AL221">
            <v>-330</v>
          </cell>
          <cell r="AM221">
            <v>-111</v>
          </cell>
          <cell r="AN221">
            <v>-149</v>
          </cell>
          <cell r="AO221">
            <v>-144</v>
          </cell>
          <cell r="AP221">
            <v>-734</v>
          </cell>
          <cell r="AQ221">
            <v>57</v>
          </cell>
          <cell r="AR221">
            <v>-156</v>
          </cell>
          <cell r="AS221">
            <v>-128</v>
          </cell>
          <cell r="AT221">
            <v>-20</v>
          </cell>
          <cell r="AU221">
            <v>-247</v>
          </cell>
          <cell r="AV221">
            <v>-146</v>
          </cell>
          <cell r="AW221">
            <v>-150</v>
          </cell>
          <cell r="AX221">
            <v>-25</v>
          </cell>
          <cell r="AY221">
            <v>-136</v>
          </cell>
          <cell r="AZ221">
            <v>-457</v>
          </cell>
          <cell r="BA221">
            <v>-112</v>
          </cell>
          <cell r="BB221">
            <v>-484</v>
          </cell>
          <cell r="BC221">
            <v>-63</v>
          </cell>
          <cell r="BD221">
            <v>-37</v>
          </cell>
          <cell r="BE221">
            <v>-696</v>
          </cell>
          <cell r="BF221">
            <v>-185</v>
          </cell>
          <cell r="BG221">
            <v>-154</v>
          </cell>
          <cell r="BH221">
            <v>-6</v>
          </cell>
          <cell r="BI221">
            <v>-157</v>
          </cell>
          <cell r="BJ221">
            <v>-502</v>
          </cell>
          <cell r="BK221">
            <v>-171</v>
          </cell>
          <cell r="BL221">
            <v>-92</v>
          </cell>
          <cell r="BM221">
            <v>-185</v>
          </cell>
          <cell r="BN221">
            <v>-419</v>
          </cell>
          <cell r="BO221">
            <v>-867</v>
          </cell>
          <cell r="BP221">
            <v>-2</v>
          </cell>
          <cell r="BQ221">
            <v>-199</v>
          </cell>
          <cell r="BR221">
            <v>-139</v>
          </cell>
          <cell r="BS221">
            <v>-136</v>
          </cell>
          <cell r="BT221">
            <v>-476</v>
          </cell>
          <cell r="BU221">
            <v>-46</v>
          </cell>
          <cell r="BV221">
            <v>95</v>
          </cell>
          <cell r="BW221">
            <v>-162</v>
          </cell>
          <cell r="BX221">
            <v>-266</v>
          </cell>
          <cell r="BY221">
            <v>-379</v>
          </cell>
          <cell r="BZ221">
            <v>-237</v>
          </cell>
          <cell r="CA221">
            <v>-293</v>
          </cell>
          <cell r="CB221">
            <v>-233</v>
          </cell>
          <cell r="CC221">
            <v>-109.0647139437022</v>
          </cell>
          <cell r="CD221">
            <v>-872.06471394370215</v>
          </cell>
          <cell r="CE221">
            <v>-201.25</v>
          </cell>
          <cell r="CF221">
            <v>-201.25</v>
          </cell>
          <cell r="CG221">
            <v>-201.25</v>
          </cell>
          <cell r="CH221">
            <v>-52.357241440573404</v>
          </cell>
          <cell r="CI221">
            <v>-656.10724144057338</v>
          </cell>
          <cell r="CN221">
            <v>-820</v>
          </cell>
          <cell r="CS221">
            <v>-700</v>
          </cell>
          <cell r="DA221" t="str">
            <v>Mgmt noted several ac will be paid with cash</v>
          </cell>
        </row>
        <row r="222">
          <cell r="A222" t="str">
            <v>CASH FLOW FROM FINANCING</v>
          </cell>
          <cell r="B222">
            <v>0</v>
          </cell>
          <cell r="G222">
            <v>0</v>
          </cell>
          <cell r="L222">
            <v>0</v>
          </cell>
          <cell r="Q222">
            <v>0</v>
          </cell>
          <cell r="V222">
            <v>0</v>
          </cell>
          <cell r="AA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BR222">
            <v>0</v>
          </cell>
          <cell r="BS222">
            <v>0</v>
          </cell>
          <cell r="BT222">
            <v>-637</v>
          </cell>
          <cell r="BU222">
            <v>0</v>
          </cell>
          <cell r="BV222">
            <v>0</v>
          </cell>
          <cell r="BW222">
            <v>0</v>
          </cell>
          <cell r="BX222">
            <v>0</v>
          </cell>
          <cell r="BY222">
            <v>-857</v>
          </cell>
          <cell r="BZ222">
            <v>0</v>
          </cell>
          <cell r="CA222">
            <v>0</v>
          </cell>
          <cell r="CB222">
            <v>0</v>
          </cell>
          <cell r="CC222">
            <v>0</v>
          </cell>
          <cell r="CD222">
            <v>-910</v>
          </cell>
          <cell r="CE222">
            <v>-235</v>
          </cell>
          <cell r="CF222">
            <v>-217.5</v>
          </cell>
          <cell r="CG222">
            <v>-217.5</v>
          </cell>
          <cell r="CH222">
            <v>-200</v>
          </cell>
          <cell r="CI222">
            <v>-870</v>
          </cell>
          <cell r="CN222">
            <v>-820</v>
          </cell>
          <cell r="CS222">
            <v>-700</v>
          </cell>
          <cell r="CZ222" t="str">
            <v>10/8: Assuming 150-200M non-ac capex + ac commitments in each year</v>
          </cell>
          <cell r="DE222" t="str">
            <v>mstag:cashDividendsPaid</v>
          </cell>
          <cell r="DF222">
            <v>6</v>
          </cell>
          <cell r="DG222" t="str">
            <v>ISO4217:USD</v>
          </cell>
          <cell r="DH222" t="b">
            <v>0</v>
          </cell>
          <cell r="DI222" t="b">
            <v>0</v>
          </cell>
          <cell r="DJ222" t="str">
            <v>mstag:capitalExpenditures</v>
          </cell>
          <cell r="DK222">
            <v>6</v>
          </cell>
          <cell r="DL222" t="str">
            <v>ISO4217:USD</v>
          </cell>
          <cell r="DM222" t="b">
            <v>1</v>
          </cell>
          <cell r="DN222" t="b">
            <v>0</v>
          </cell>
        </row>
        <row r="223">
          <cell r="A223" t="str">
            <v>Dividends</v>
          </cell>
          <cell r="B223">
            <v>0</v>
          </cell>
          <cell r="G223">
            <v>0</v>
          </cell>
          <cell r="L223">
            <v>0</v>
          </cell>
          <cell r="Q223">
            <v>0</v>
          </cell>
          <cell r="V223">
            <v>0</v>
          </cell>
          <cell r="AA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BR223">
            <v>0</v>
          </cell>
          <cell r="BS223">
            <v>0</v>
          </cell>
          <cell r="BT223">
            <v>0</v>
          </cell>
          <cell r="BU223">
            <v>0</v>
          </cell>
          <cell r="BV223">
            <v>0</v>
          </cell>
          <cell r="BW223">
            <v>0</v>
          </cell>
          <cell r="BX223">
            <v>0</v>
          </cell>
          <cell r="BY223">
            <v>0</v>
          </cell>
          <cell r="BZ223">
            <v>0</v>
          </cell>
          <cell r="CA223">
            <v>0</v>
          </cell>
          <cell r="CB223">
            <v>0</v>
          </cell>
          <cell r="CC223">
            <v>0</v>
          </cell>
          <cell r="CD223">
            <v>0</v>
          </cell>
          <cell r="CE223">
            <v>0</v>
          </cell>
          <cell r="CF223">
            <v>0</v>
          </cell>
          <cell r="CG223">
            <v>0</v>
          </cell>
          <cell r="CH223">
            <v>0</v>
          </cell>
          <cell r="CI223">
            <v>0</v>
          </cell>
          <cell r="CN223">
            <v>0</v>
          </cell>
          <cell r="CS223">
            <v>0</v>
          </cell>
          <cell r="CU223" t="str">
            <v>6/23: $150M ASR announced to be completed by end of 3Q</v>
          </cell>
          <cell r="CZ223" t="str">
            <v>1/28: Capex 1Q16 190 ac 40-50 non ac; FY16 670-720 ac 150-200 non ac</v>
          </cell>
          <cell r="DE223" t="str">
            <v>mstag:fundsUsedToRepurchaseCommonStock</v>
          </cell>
          <cell r="DF223">
            <v>6</v>
          </cell>
          <cell r="DG223" t="str">
            <v>ISO4217:USD</v>
          </cell>
          <cell r="DH223" t="b">
            <v>1</v>
          </cell>
          <cell r="DI223" t="b">
            <v>0</v>
          </cell>
          <cell r="DJ223" t="str">
            <v>mstag:cashDividendsPaid</v>
          </cell>
          <cell r="DK223">
            <v>6</v>
          </cell>
          <cell r="DL223" t="str">
            <v>ISO4217:USD</v>
          </cell>
          <cell r="DM223" t="b">
            <v>0</v>
          </cell>
          <cell r="DN223" t="b">
            <v>0</v>
          </cell>
        </row>
        <row r="224">
          <cell r="A224" t="str">
            <v>Equity Buybacks</v>
          </cell>
          <cell r="B224">
            <v>0</v>
          </cell>
          <cell r="G224">
            <v>0</v>
          </cell>
          <cell r="L224">
            <v>0</v>
          </cell>
          <cell r="Q224">
            <v>0</v>
          </cell>
          <cell r="V224">
            <v>0</v>
          </cell>
          <cell r="AA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0</v>
          </cell>
          <cell r="BY224">
            <v>0</v>
          </cell>
          <cell r="BZ224">
            <v>0</v>
          </cell>
          <cell r="CA224">
            <v>-163</v>
          </cell>
          <cell r="CB224">
            <v>-1</v>
          </cell>
          <cell r="CC224">
            <v>0</v>
          </cell>
          <cell r="CD224">
            <v>0</v>
          </cell>
          <cell r="CE224">
            <v>0</v>
          </cell>
          <cell r="CF224">
            <v>0</v>
          </cell>
          <cell r="CG224">
            <v>0</v>
          </cell>
          <cell r="CH224">
            <v>0</v>
          </cell>
          <cell r="CI224">
            <v>0</v>
          </cell>
          <cell r="CN224">
            <v>0</v>
          </cell>
          <cell r="CS224">
            <v>0</v>
          </cell>
          <cell r="CZ224" t="str">
            <v>6/23: $150M ASR announced to be completed by end of 3Q</v>
          </cell>
          <cell r="DA224" t="str">
            <v>** Currently assume no financing given low fuel environment</v>
          </cell>
          <cell r="DE224" t="str">
            <v>mstag:proceedsFromIssuanceOfCommonStock</v>
          </cell>
          <cell r="DF224">
            <v>6</v>
          </cell>
          <cell r="DG224" t="str">
            <v>ISO4217:USD</v>
          </cell>
          <cell r="DH224" t="b">
            <v>0</v>
          </cell>
          <cell r="DI224" t="b">
            <v>0</v>
          </cell>
          <cell r="DJ224" t="str">
            <v>mstag:fundsUsedToRepurchaseCommonStock</v>
          </cell>
          <cell r="DK224">
            <v>6</v>
          </cell>
          <cell r="DL224" t="str">
            <v>ISO4217:USD</v>
          </cell>
          <cell r="DM224" t="b">
            <v>1</v>
          </cell>
          <cell r="DN224" t="b">
            <v>0</v>
          </cell>
        </row>
        <row r="225">
          <cell r="A225" t="str">
            <v>Equity Issuance</v>
          </cell>
          <cell r="B225">
            <v>6.9000000000000006E-2</v>
          </cell>
          <cell r="G225">
            <v>0.13</v>
          </cell>
          <cell r="L225">
            <v>2.5000000000000001E-2</v>
          </cell>
          <cell r="Q225">
            <v>174.01400000000001</v>
          </cell>
          <cell r="V225">
            <v>136.02199999999999</v>
          </cell>
          <cell r="AA225">
            <v>20.148</v>
          </cell>
          <cell r="AF225">
            <v>178</v>
          </cell>
          <cell r="AG225">
            <v>2</v>
          </cell>
          <cell r="AH225">
            <v>10</v>
          </cell>
          <cell r="AI225">
            <v>1</v>
          </cell>
          <cell r="AJ225">
            <v>15</v>
          </cell>
          <cell r="AK225">
            <v>28</v>
          </cell>
          <cell r="AL225">
            <v>6</v>
          </cell>
          <cell r="AM225">
            <v>10</v>
          </cell>
          <cell r="AN225">
            <v>0</v>
          </cell>
          <cell r="AO225">
            <v>10</v>
          </cell>
          <cell r="AP225">
            <v>26</v>
          </cell>
          <cell r="AQ225">
            <v>310</v>
          </cell>
          <cell r="AR225">
            <v>6</v>
          </cell>
          <cell r="AS225">
            <v>1</v>
          </cell>
          <cell r="AT225">
            <v>3</v>
          </cell>
          <cell r="AU225">
            <v>320</v>
          </cell>
          <cell r="AV225">
            <v>0</v>
          </cell>
          <cell r="AW225">
            <v>116</v>
          </cell>
          <cell r="AX225">
            <v>0</v>
          </cell>
          <cell r="AY225">
            <v>4</v>
          </cell>
          <cell r="AZ225">
            <v>120</v>
          </cell>
          <cell r="BA225">
            <v>1</v>
          </cell>
          <cell r="BB225">
            <v>4</v>
          </cell>
          <cell r="BC225">
            <v>0</v>
          </cell>
          <cell r="BD225">
            <v>4</v>
          </cell>
          <cell r="BE225">
            <v>9</v>
          </cell>
          <cell r="BF225">
            <v>0</v>
          </cell>
          <cell r="BG225">
            <v>5</v>
          </cell>
          <cell r="BH225">
            <v>0</v>
          </cell>
          <cell r="BI225">
            <v>5</v>
          </cell>
          <cell r="BJ225">
            <v>10</v>
          </cell>
          <cell r="BK225">
            <v>2</v>
          </cell>
          <cell r="BL225">
            <v>4</v>
          </cell>
          <cell r="BM225">
            <v>0</v>
          </cell>
          <cell r="BN225">
            <v>3</v>
          </cell>
          <cell r="BO225">
            <v>9</v>
          </cell>
          <cell r="BP225">
            <v>0</v>
          </cell>
          <cell r="BQ225">
            <v>4</v>
          </cell>
          <cell r="BR225">
            <v>0</v>
          </cell>
          <cell r="BS225">
            <v>6</v>
          </cell>
          <cell r="BT225">
            <v>10</v>
          </cell>
          <cell r="BU225">
            <v>0</v>
          </cell>
          <cell r="BV225">
            <v>9</v>
          </cell>
          <cell r="BW225">
            <v>4</v>
          </cell>
          <cell r="BX225">
            <v>28</v>
          </cell>
          <cell r="BY225">
            <v>41</v>
          </cell>
          <cell r="BZ225">
            <v>0</v>
          </cell>
          <cell r="CA225">
            <v>57</v>
          </cell>
          <cell r="CB225">
            <v>11</v>
          </cell>
          <cell r="CC225">
            <v>0</v>
          </cell>
          <cell r="CD225">
            <v>68</v>
          </cell>
          <cell r="CE225">
            <v>0</v>
          </cell>
          <cell r="CF225">
            <v>0</v>
          </cell>
          <cell r="CG225">
            <v>0</v>
          </cell>
          <cell r="CH225">
            <v>42</v>
          </cell>
          <cell r="CI225">
            <v>42</v>
          </cell>
          <cell r="CN225">
            <v>86</v>
          </cell>
          <cell r="CS225">
            <v>0</v>
          </cell>
          <cell r="CZ225" t="str">
            <v>12/7: we include the converts maturing as an equity issuance and dilution from share count</v>
          </cell>
          <cell r="DJ225" t="str">
            <v>mstag:proceedsFromIssuanceOfCommonStock</v>
          </cell>
          <cell r="DK225">
            <v>6</v>
          </cell>
          <cell r="DL225" t="str">
            <v>ISO4217:USD</v>
          </cell>
          <cell r="DM225" t="b">
            <v>0</v>
          </cell>
          <cell r="DN225" t="b">
            <v>0</v>
          </cell>
        </row>
        <row r="226">
          <cell r="A226" t="str">
            <v>Total Change in Equity</v>
          </cell>
          <cell r="B226">
            <v>6.9000000000000006E-2</v>
          </cell>
          <cell r="G226">
            <v>0.13</v>
          </cell>
          <cell r="L226">
            <v>2.5000000000000001E-2</v>
          </cell>
          <cell r="Q226">
            <v>174.01400000000001</v>
          </cell>
          <cell r="V226">
            <v>136.02199999999999</v>
          </cell>
          <cell r="AA226">
            <v>20.148</v>
          </cell>
          <cell r="AF226">
            <v>178</v>
          </cell>
          <cell r="AG226">
            <v>2</v>
          </cell>
          <cell r="AH226">
            <v>10</v>
          </cell>
          <cell r="AI226">
            <v>1</v>
          </cell>
          <cell r="AJ226">
            <v>15</v>
          </cell>
          <cell r="AK226">
            <v>28</v>
          </cell>
          <cell r="AL226">
            <v>6</v>
          </cell>
          <cell r="AM226">
            <v>10</v>
          </cell>
          <cell r="AN226">
            <v>0</v>
          </cell>
          <cell r="AO226">
            <v>10</v>
          </cell>
          <cell r="AP226">
            <v>26</v>
          </cell>
          <cell r="AQ226">
            <v>310</v>
          </cell>
          <cell r="AR226">
            <v>6</v>
          </cell>
          <cell r="AS226">
            <v>1</v>
          </cell>
          <cell r="AT226">
            <v>3</v>
          </cell>
          <cell r="AU226">
            <v>320</v>
          </cell>
          <cell r="AV226">
            <v>0</v>
          </cell>
          <cell r="AW226">
            <v>116</v>
          </cell>
          <cell r="AX226">
            <v>0</v>
          </cell>
          <cell r="AY226">
            <v>4</v>
          </cell>
          <cell r="AZ226">
            <v>120</v>
          </cell>
          <cell r="BA226">
            <v>1</v>
          </cell>
          <cell r="BB226">
            <v>4</v>
          </cell>
          <cell r="BC226">
            <v>0</v>
          </cell>
          <cell r="BD226">
            <v>4</v>
          </cell>
          <cell r="BE226">
            <v>9</v>
          </cell>
          <cell r="BF226">
            <v>0</v>
          </cell>
          <cell r="BG226">
            <v>5</v>
          </cell>
          <cell r="BH226">
            <v>0</v>
          </cell>
          <cell r="BI226">
            <v>5</v>
          </cell>
          <cell r="BJ226">
            <v>10</v>
          </cell>
          <cell r="BK226">
            <v>2</v>
          </cell>
          <cell r="BL226">
            <v>4</v>
          </cell>
          <cell r="BM226">
            <v>0</v>
          </cell>
          <cell r="BN226">
            <v>3</v>
          </cell>
          <cell r="BO226">
            <v>9</v>
          </cell>
          <cell r="BP226">
            <v>0</v>
          </cell>
          <cell r="BQ226">
            <v>4</v>
          </cell>
          <cell r="BR226">
            <v>0</v>
          </cell>
          <cell r="BS226">
            <v>6</v>
          </cell>
          <cell r="BT226">
            <v>10</v>
          </cell>
          <cell r="BU226">
            <v>0</v>
          </cell>
          <cell r="BV226">
            <v>9</v>
          </cell>
          <cell r="BW226">
            <v>4</v>
          </cell>
          <cell r="BX226">
            <v>28</v>
          </cell>
          <cell r="BY226">
            <v>41</v>
          </cell>
          <cell r="BZ226">
            <v>0</v>
          </cell>
          <cell r="CA226">
            <v>-106</v>
          </cell>
          <cell r="CB226">
            <v>10</v>
          </cell>
          <cell r="CC226">
            <v>0</v>
          </cell>
          <cell r="CD226">
            <v>-96</v>
          </cell>
          <cell r="CE226">
            <v>0</v>
          </cell>
          <cell r="CF226">
            <v>0</v>
          </cell>
          <cell r="CG226">
            <v>0</v>
          </cell>
          <cell r="CH226">
            <v>42</v>
          </cell>
          <cell r="CI226">
            <v>42</v>
          </cell>
          <cell r="CN226">
            <v>86</v>
          </cell>
          <cell r="CS226">
            <v>0</v>
          </cell>
          <cell r="DA226" t="str">
            <v xml:space="preserve">2017 will be higher  </v>
          </cell>
        </row>
        <row r="227">
          <cell r="A227" t="str">
            <v>Debt Financing for Capex</v>
          </cell>
          <cell r="B227">
            <v>0</v>
          </cell>
          <cell r="G227">
            <v>0</v>
          </cell>
          <cell r="L227">
            <v>0</v>
          </cell>
          <cell r="Q227">
            <v>0</v>
          </cell>
          <cell r="V227">
            <v>0</v>
          </cell>
          <cell r="AA227">
            <v>0</v>
          </cell>
          <cell r="AF227">
            <v>0</v>
          </cell>
          <cell r="AG227">
            <v>-234</v>
          </cell>
          <cell r="AH227">
            <v>-319</v>
          </cell>
          <cell r="AI227">
            <v>-206</v>
          </cell>
          <cell r="AJ227">
            <v>-199</v>
          </cell>
          <cell r="AK227">
            <v>0</v>
          </cell>
          <cell r="AL227">
            <v>-173</v>
          </cell>
          <cell r="AM227">
            <v>-190</v>
          </cell>
          <cell r="AN227">
            <v>-155</v>
          </cell>
          <cell r="AO227">
            <v>-99</v>
          </cell>
          <cell r="AP227">
            <v>0</v>
          </cell>
          <cell r="AQ227">
            <v>-225</v>
          </cell>
          <cell r="AR227">
            <v>-162</v>
          </cell>
          <cell r="AS227">
            <v>-155</v>
          </cell>
          <cell r="AT227">
            <v>-320</v>
          </cell>
          <cell r="AU227">
            <v>0</v>
          </cell>
          <cell r="AV227">
            <v>-105</v>
          </cell>
          <cell r="AW227">
            <v>-49</v>
          </cell>
          <cell r="AX227">
            <v>82</v>
          </cell>
          <cell r="AY227">
            <v>45</v>
          </cell>
          <cell r="AZ227">
            <v>-27</v>
          </cell>
          <cell r="BA227">
            <v>184</v>
          </cell>
          <cell r="BB227">
            <v>21</v>
          </cell>
          <cell r="BC227">
            <v>52</v>
          </cell>
          <cell r="BD227">
            <v>-33</v>
          </cell>
          <cell r="BE227">
            <v>223.99999999999966</v>
          </cell>
          <cell r="BF227">
            <v>108</v>
          </cell>
          <cell r="BG227">
            <v>70</v>
          </cell>
          <cell r="BH227">
            <v>-33</v>
          </cell>
          <cell r="BI227">
            <v>-56</v>
          </cell>
          <cell r="BJ227">
            <v>89</v>
          </cell>
          <cell r="BK227">
            <v>108</v>
          </cell>
          <cell r="BL227">
            <v>36</v>
          </cell>
          <cell r="BM227">
            <v>-20</v>
          </cell>
          <cell r="BN227">
            <v>-252</v>
          </cell>
          <cell r="BO227">
            <v>-128</v>
          </cell>
          <cell r="BP227">
            <v>122</v>
          </cell>
          <cell r="BQ227">
            <v>3</v>
          </cell>
          <cell r="BR227">
            <v>85</v>
          </cell>
          <cell r="BS227">
            <v>-89</v>
          </cell>
          <cell r="BT227">
            <v>121</v>
          </cell>
          <cell r="BU227">
            <v>132</v>
          </cell>
          <cell r="BV227">
            <v>29</v>
          </cell>
          <cell r="BW227">
            <v>-34</v>
          </cell>
          <cell r="BX227">
            <v>-72</v>
          </cell>
          <cell r="BY227">
            <v>55</v>
          </cell>
          <cell r="BZ227">
            <v>380</v>
          </cell>
          <cell r="CA227">
            <v>138</v>
          </cell>
          <cell r="CB227">
            <v>283</v>
          </cell>
          <cell r="CC227">
            <v>-40</v>
          </cell>
          <cell r="CD227">
            <v>0</v>
          </cell>
          <cell r="CE227">
            <v>308.06939107811695</v>
          </cell>
          <cell r="CF227">
            <v>117.91463172457844</v>
          </cell>
          <cell r="CG227">
            <v>212.14485253738997</v>
          </cell>
          <cell r="CH227">
            <v>-67.296644279133432</v>
          </cell>
          <cell r="CI227">
            <v>-560</v>
          </cell>
          <cell r="CN227">
            <v>0</v>
          </cell>
          <cell r="CS227">
            <v>0</v>
          </cell>
          <cell r="CU227" t="str">
            <v>10K: maturities 2015: 375, 2016: 560, 2017: 300, 2018: 295, 2019: 285 (w/ converts)</v>
          </cell>
          <cell r="DA227" t="str">
            <v>Aircraft commitments 2015: 220, 2016: 630, 2017: 645, 2018: 525, 2019: 935</v>
          </cell>
          <cell r="DJ227" t="str">
            <v>mstag:freeCashFlowAdjustedForConsensus</v>
          </cell>
          <cell r="DK227">
            <v>6</v>
          </cell>
          <cell r="DL227" t="str">
            <v>ISO4217:USD</v>
          </cell>
          <cell r="DM227" t="b">
            <v>0</v>
          </cell>
        </row>
        <row r="228">
          <cell r="A228" t="str">
            <v>Debt Paydown</v>
          </cell>
          <cell r="B228">
            <v>0</v>
          </cell>
          <cell r="G228">
            <v>0</v>
          </cell>
          <cell r="L228">
            <v>0</v>
          </cell>
          <cell r="Q228">
            <v>0</v>
          </cell>
          <cell r="V228">
            <v>0</v>
          </cell>
          <cell r="AA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62</v>
          </cell>
          <cell r="AJ228">
            <v>92</v>
          </cell>
          <cell r="AK228">
            <v>0</v>
          </cell>
          <cell r="AL228">
            <v>0</v>
          </cell>
          <cell r="AM228">
            <v>0</v>
          </cell>
          <cell r="AN228">
            <v>33</v>
          </cell>
          <cell r="AO228">
            <v>67</v>
          </cell>
          <cell r="AP228">
            <v>0</v>
          </cell>
          <cell r="AQ228">
            <v>0</v>
          </cell>
          <cell r="AR228">
            <v>133</v>
          </cell>
          <cell r="AS228">
            <v>31</v>
          </cell>
          <cell r="AT228">
            <v>135</v>
          </cell>
          <cell r="AU228">
            <v>0</v>
          </cell>
          <cell r="AV228">
            <v>58</v>
          </cell>
          <cell r="AW228">
            <v>0</v>
          </cell>
          <cell r="AX228">
            <v>0</v>
          </cell>
          <cell r="AY228">
            <v>0</v>
          </cell>
          <cell r="AZ228">
            <v>58</v>
          </cell>
          <cell r="BA228">
            <v>0</v>
          </cell>
          <cell r="BB228">
            <v>36</v>
          </cell>
          <cell r="BC228">
            <v>49</v>
          </cell>
          <cell r="BD228">
            <v>0</v>
          </cell>
          <cell r="BE228">
            <v>85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BR228">
            <v>0</v>
          </cell>
          <cell r="BS228">
            <v>0</v>
          </cell>
          <cell r="BT228">
            <v>0</v>
          </cell>
          <cell r="BU228">
            <v>0</v>
          </cell>
          <cell r="BV228">
            <v>0</v>
          </cell>
          <cell r="BW228">
            <v>0</v>
          </cell>
          <cell r="BX228">
            <v>0</v>
          </cell>
          <cell r="BY228">
            <v>0</v>
          </cell>
          <cell r="BZ228">
            <v>0</v>
          </cell>
          <cell r="CA228">
            <v>0</v>
          </cell>
          <cell r="CB228">
            <v>0</v>
          </cell>
          <cell r="CC228">
            <v>0</v>
          </cell>
          <cell r="CD228">
            <v>-271</v>
          </cell>
          <cell r="CE228">
            <v>0</v>
          </cell>
          <cell r="CF228">
            <v>0</v>
          </cell>
          <cell r="CG228">
            <v>0</v>
          </cell>
          <cell r="CH228">
            <v>0</v>
          </cell>
          <cell r="CI228">
            <v>-560</v>
          </cell>
          <cell r="CN228">
            <v>-550</v>
          </cell>
          <cell r="CS228">
            <v>-595</v>
          </cell>
          <cell r="CV228" t="str">
            <v>4/28: Paid $55M down in 1Q, anticipate $216 during remainder of 2015, $43M in 2Q</v>
          </cell>
          <cell r="CZ228" t="str">
            <v>10K: maturities 2015: 375, 2016: 560, 2017: 300, 2018: 295, 2019: 285 (w/ converts)</v>
          </cell>
          <cell r="DA228" t="str">
            <v>Assumes non-AC capex 2016: 175, 2017: 175, 2018: 175</v>
          </cell>
          <cell r="DJ228" t="str">
            <v>mstag:netDisposalsAcquisitions</v>
          </cell>
          <cell r="DK228">
            <v>6</v>
          </cell>
          <cell r="DL228" t="str">
            <v>ISO4217:USD</v>
          </cell>
          <cell r="DM228" t="b">
            <v>0</v>
          </cell>
          <cell r="DN228" t="b">
            <v>0</v>
          </cell>
        </row>
        <row r="229">
          <cell r="A229" t="str">
            <v>Other Debt</v>
          </cell>
          <cell r="B229">
            <v>80.671000000000006</v>
          </cell>
          <cell r="G229">
            <v>185.63300000000001</v>
          </cell>
          <cell r="L229">
            <v>193.12</v>
          </cell>
          <cell r="Q229">
            <v>337.88900000000007</v>
          </cell>
          <cell r="V229">
            <v>396.66399999999999</v>
          </cell>
          <cell r="AA229">
            <v>436.21699999999998</v>
          </cell>
          <cell r="AF229">
            <v>928</v>
          </cell>
          <cell r="AG229">
            <v>157</v>
          </cell>
          <cell r="AH229">
            <v>368</v>
          </cell>
          <cell r="AI229">
            <v>146</v>
          </cell>
          <cell r="AJ229">
            <v>353</v>
          </cell>
          <cell r="AK229">
            <v>1024</v>
          </cell>
          <cell r="AL229">
            <v>226</v>
          </cell>
          <cell r="AM229">
            <v>173</v>
          </cell>
          <cell r="AN229">
            <v>118</v>
          </cell>
          <cell r="AO229">
            <v>23</v>
          </cell>
          <cell r="AP229">
            <v>540</v>
          </cell>
          <cell r="AQ229">
            <v>116</v>
          </cell>
          <cell r="AR229">
            <v>236</v>
          </cell>
          <cell r="AS229">
            <v>-154</v>
          </cell>
          <cell r="AT229">
            <v>137</v>
          </cell>
          <cell r="AU229">
            <v>335</v>
          </cell>
          <cell r="AV229">
            <v>94</v>
          </cell>
          <cell r="AW229">
            <v>168</v>
          </cell>
          <cell r="AX229">
            <v>-23</v>
          </cell>
          <cell r="AY229">
            <v>17</v>
          </cell>
          <cell r="AZ229">
            <v>256</v>
          </cell>
          <cell r="BA229">
            <v>-187</v>
          </cell>
          <cell r="BB229">
            <v>-3</v>
          </cell>
          <cell r="BC229">
            <v>-52</v>
          </cell>
          <cell r="BD229">
            <v>-31</v>
          </cell>
          <cell r="BE229">
            <v>-273</v>
          </cell>
          <cell r="BF229">
            <v>44</v>
          </cell>
          <cell r="BG229">
            <v>5</v>
          </cell>
          <cell r="BH229">
            <v>-32</v>
          </cell>
          <cell r="BI229">
            <v>78</v>
          </cell>
          <cell r="BJ229">
            <v>95</v>
          </cell>
          <cell r="BK229">
            <v>-135</v>
          </cell>
          <cell r="BL229">
            <v>-111</v>
          </cell>
          <cell r="BM229">
            <v>30</v>
          </cell>
          <cell r="BN229">
            <v>-75</v>
          </cell>
          <cell r="BO229">
            <v>-291</v>
          </cell>
          <cell r="BP229">
            <v>-28</v>
          </cell>
          <cell r="BQ229">
            <v>-8</v>
          </cell>
          <cell r="BR229">
            <v>20</v>
          </cell>
          <cell r="BS229">
            <v>-203</v>
          </cell>
          <cell r="BT229">
            <v>-219</v>
          </cell>
          <cell r="BU229">
            <v>11</v>
          </cell>
          <cell r="BV229">
            <v>-291</v>
          </cell>
          <cell r="BW229">
            <v>-26</v>
          </cell>
          <cell r="BX229">
            <v>-54</v>
          </cell>
          <cell r="BY229">
            <v>478</v>
          </cell>
          <cell r="BZ229">
            <v>-55</v>
          </cell>
          <cell r="CA229">
            <v>-123</v>
          </cell>
          <cell r="CB229">
            <v>-46.5</v>
          </cell>
          <cell r="CC229">
            <v>-46.5</v>
          </cell>
          <cell r="CD229">
            <v>0</v>
          </cell>
          <cell r="CE229">
            <v>-140</v>
          </cell>
          <cell r="CF229">
            <v>-140</v>
          </cell>
          <cell r="CG229">
            <v>-140</v>
          </cell>
          <cell r="CH229">
            <v>-140</v>
          </cell>
          <cell r="CI229">
            <v>0</v>
          </cell>
          <cell r="CN229">
            <v>0</v>
          </cell>
          <cell r="CS229">
            <v>0</v>
          </cell>
          <cell r="DA229" t="str">
            <v>4/28: Paid $55M down in 1Q, anticipate $216 during remainder of 2015, $43M in 2Q</v>
          </cell>
          <cell r="DE229" t="str">
            <v>mstag:proceedsFromIssuanceAndCashUsedToRepayLongTermDebt</v>
          </cell>
          <cell r="DF229">
            <v>6</v>
          </cell>
          <cell r="DG229" t="str">
            <v>ISO4217:USD</v>
          </cell>
          <cell r="DH229" t="b">
            <v>0</v>
          </cell>
          <cell r="DI229" t="b">
            <v>0</v>
          </cell>
          <cell r="DJ229" t="str">
            <v>mstag:otherCashFlow</v>
          </cell>
          <cell r="DK229">
            <v>6</v>
          </cell>
          <cell r="DL229" t="str">
            <v>ISO4217:USD</v>
          </cell>
          <cell r="DM229" t="b">
            <v>0</v>
          </cell>
          <cell r="DN229" t="b">
            <v>0</v>
          </cell>
        </row>
        <row r="230">
          <cell r="A230" t="str">
            <v>Total Change in Debt</v>
          </cell>
          <cell r="B230">
            <v>80.671000000000006</v>
          </cell>
          <cell r="G230">
            <v>185.63300000000001</v>
          </cell>
          <cell r="L230">
            <v>193.12</v>
          </cell>
          <cell r="Q230">
            <v>337.88900000000007</v>
          </cell>
          <cell r="V230">
            <v>396.66399999999999</v>
          </cell>
          <cell r="AA230">
            <v>436.21699999999998</v>
          </cell>
          <cell r="AF230">
            <v>928</v>
          </cell>
          <cell r="AG230">
            <v>157</v>
          </cell>
          <cell r="AH230">
            <v>368</v>
          </cell>
          <cell r="AI230">
            <v>146</v>
          </cell>
          <cell r="AJ230">
            <v>353</v>
          </cell>
          <cell r="AK230">
            <v>1024</v>
          </cell>
          <cell r="AL230">
            <v>226</v>
          </cell>
          <cell r="AM230">
            <v>173</v>
          </cell>
          <cell r="AN230">
            <v>118</v>
          </cell>
          <cell r="AO230">
            <v>23</v>
          </cell>
          <cell r="AP230">
            <v>540</v>
          </cell>
          <cell r="AQ230">
            <v>116</v>
          </cell>
          <cell r="AR230">
            <v>236</v>
          </cell>
          <cell r="AS230">
            <v>-154</v>
          </cell>
          <cell r="AT230">
            <v>137</v>
          </cell>
          <cell r="AU230">
            <v>335</v>
          </cell>
          <cell r="AV230">
            <v>94</v>
          </cell>
          <cell r="AW230">
            <v>168</v>
          </cell>
          <cell r="AX230">
            <v>-23</v>
          </cell>
          <cell r="AY230">
            <v>17</v>
          </cell>
          <cell r="AZ230">
            <v>256</v>
          </cell>
          <cell r="BA230">
            <v>-187</v>
          </cell>
          <cell r="BB230">
            <v>-3</v>
          </cell>
          <cell r="BC230">
            <v>-52</v>
          </cell>
          <cell r="BD230">
            <v>-31</v>
          </cell>
          <cell r="BE230">
            <v>-273</v>
          </cell>
          <cell r="BF230">
            <v>44</v>
          </cell>
          <cell r="BG230">
            <v>5</v>
          </cell>
          <cell r="BH230">
            <v>-32</v>
          </cell>
          <cell r="BI230">
            <v>78</v>
          </cell>
          <cell r="BJ230">
            <v>95</v>
          </cell>
          <cell r="BK230">
            <v>-135</v>
          </cell>
          <cell r="BL230">
            <v>-111</v>
          </cell>
          <cell r="BM230">
            <v>30</v>
          </cell>
          <cell r="BN230">
            <v>-75</v>
          </cell>
          <cell r="BO230">
            <v>-291</v>
          </cell>
          <cell r="BP230">
            <v>-28</v>
          </cell>
          <cell r="BQ230">
            <v>-8</v>
          </cell>
          <cell r="BR230">
            <v>20</v>
          </cell>
          <cell r="BS230">
            <v>-203</v>
          </cell>
          <cell r="BT230">
            <v>-219</v>
          </cell>
          <cell r="BU230">
            <v>11</v>
          </cell>
          <cell r="BV230">
            <v>-291</v>
          </cell>
          <cell r="BW230">
            <v>-26</v>
          </cell>
          <cell r="BX230">
            <v>-54</v>
          </cell>
          <cell r="BY230">
            <v>-360</v>
          </cell>
          <cell r="BZ230">
            <v>-55</v>
          </cell>
          <cell r="CA230">
            <v>-123</v>
          </cell>
          <cell r="CB230">
            <v>-54</v>
          </cell>
          <cell r="CC230">
            <v>-39</v>
          </cell>
          <cell r="CD230">
            <v>-271</v>
          </cell>
          <cell r="CE230">
            <v>-140</v>
          </cell>
          <cell r="CF230">
            <v>-140</v>
          </cell>
          <cell r="CG230">
            <v>-140</v>
          </cell>
          <cell r="CH230">
            <v>-140</v>
          </cell>
          <cell r="CI230">
            <v>-560</v>
          </cell>
          <cell r="CN230">
            <v>-550</v>
          </cell>
          <cell r="CS230">
            <v>-595</v>
          </cell>
          <cell r="DA230" t="str">
            <v>Mgmt noted several ac will be paid with cash</v>
          </cell>
          <cell r="DE230" t="str">
            <v>mstag:otherCashFlow</v>
          </cell>
          <cell r="DF230">
            <v>6</v>
          </cell>
          <cell r="DG230" t="str">
            <v>ISO4217:USD</v>
          </cell>
          <cell r="DH230" t="b">
            <v>0</v>
          </cell>
          <cell r="DI230" t="b">
            <v>0</v>
          </cell>
          <cell r="DJ230" t="str">
            <v>mstag:proceedsFromIssuanceAndCashUsedToRepayLongTermDebt</v>
          </cell>
          <cell r="DK230">
            <v>6</v>
          </cell>
          <cell r="DL230" t="str">
            <v>ISO4217:USD</v>
          </cell>
          <cell r="DM230" t="b">
            <v>0</v>
          </cell>
          <cell r="DN230" t="b">
            <v>0</v>
          </cell>
        </row>
        <row r="231">
          <cell r="A231" t="str">
            <v>Other, net</v>
          </cell>
          <cell r="B231">
            <v>0</v>
          </cell>
          <cell r="G231">
            <v>68.7</v>
          </cell>
          <cell r="L231">
            <v>68.55</v>
          </cell>
          <cell r="Q231">
            <v>145.31100000000001</v>
          </cell>
          <cell r="V231">
            <v>256.45</v>
          </cell>
          <cell r="AA231">
            <v>-19.114999999999998</v>
          </cell>
          <cell r="AF231">
            <v>-13</v>
          </cell>
          <cell r="AG231">
            <v>3</v>
          </cell>
          <cell r="AH231">
            <v>-5</v>
          </cell>
          <cell r="AI231">
            <v>-2</v>
          </cell>
          <cell r="AJ231">
            <v>-11</v>
          </cell>
          <cell r="AK231">
            <v>-15</v>
          </cell>
          <cell r="AL231">
            <v>-3</v>
          </cell>
          <cell r="AM231">
            <v>-2</v>
          </cell>
          <cell r="AN231">
            <v>0</v>
          </cell>
          <cell r="AO231">
            <v>-5</v>
          </cell>
          <cell r="AP231">
            <v>-10</v>
          </cell>
          <cell r="AQ231">
            <v>-9</v>
          </cell>
          <cell r="AR231">
            <v>-9</v>
          </cell>
          <cell r="AS231">
            <v>-4</v>
          </cell>
          <cell r="AT231">
            <v>2</v>
          </cell>
          <cell r="AU231">
            <v>-20</v>
          </cell>
          <cell r="AV231">
            <v>1</v>
          </cell>
          <cell r="AW231">
            <v>11</v>
          </cell>
          <cell r="AX231">
            <v>-13</v>
          </cell>
          <cell r="AY231">
            <v>-69</v>
          </cell>
          <cell r="AZ231">
            <v>-70</v>
          </cell>
          <cell r="BA231">
            <v>2</v>
          </cell>
          <cell r="BB231">
            <v>4</v>
          </cell>
          <cell r="BC231">
            <v>2</v>
          </cell>
          <cell r="BD231">
            <v>-2</v>
          </cell>
          <cell r="BE231">
            <v>6</v>
          </cell>
          <cell r="BF231">
            <v>-5</v>
          </cell>
          <cell r="BG231">
            <v>-6</v>
          </cell>
          <cell r="BH231">
            <v>1</v>
          </cell>
          <cell r="BI231">
            <v>1</v>
          </cell>
          <cell r="BJ231">
            <v>-9</v>
          </cell>
          <cell r="BK231">
            <v>-9</v>
          </cell>
          <cell r="BL231">
            <v>1</v>
          </cell>
          <cell r="BM231">
            <v>-6</v>
          </cell>
          <cell r="BN231">
            <v>-26</v>
          </cell>
          <cell r="BO231">
            <v>-40</v>
          </cell>
          <cell r="BP231">
            <v>-11</v>
          </cell>
          <cell r="BQ231">
            <v>-7</v>
          </cell>
          <cell r="BR231">
            <v>-4</v>
          </cell>
          <cell r="BS231">
            <v>-8</v>
          </cell>
          <cell r="BT231">
            <v>-30</v>
          </cell>
          <cell r="BU231">
            <v>-11</v>
          </cell>
          <cell r="BV231">
            <v>-79</v>
          </cell>
          <cell r="BW231">
            <v>-4</v>
          </cell>
          <cell r="BX231">
            <v>-4</v>
          </cell>
          <cell r="BY231">
            <v>-98</v>
          </cell>
          <cell r="BZ231">
            <v>22</v>
          </cell>
          <cell r="CA231">
            <v>-17</v>
          </cell>
          <cell r="CB231">
            <v>-5</v>
          </cell>
          <cell r="CC231">
            <v>0</v>
          </cell>
          <cell r="CD231">
            <v>0</v>
          </cell>
          <cell r="CE231">
            <v>0</v>
          </cell>
          <cell r="CF231">
            <v>0</v>
          </cell>
          <cell r="CG231">
            <v>0</v>
          </cell>
          <cell r="CH231">
            <v>0</v>
          </cell>
          <cell r="CI231">
            <v>0</v>
          </cell>
          <cell r="CN231">
            <v>0</v>
          </cell>
          <cell r="CS231">
            <v>0</v>
          </cell>
          <cell r="DJ231" t="str">
            <v>mstag:otherCashFlow</v>
          </cell>
          <cell r="DK231">
            <v>6</v>
          </cell>
          <cell r="DL231" t="str">
            <v>ISO4217:USD</v>
          </cell>
          <cell r="DM231" t="b">
            <v>0</v>
          </cell>
          <cell r="DN231" t="b">
            <v>0</v>
          </cell>
        </row>
        <row r="232">
          <cell r="A232" t="str">
            <v>Cash From Financing</v>
          </cell>
          <cell r="B232">
            <v>80.740000000000009</v>
          </cell>
          <cell r="G232">
            <v>254.46300000000002</v>
          </cell>
          <cell r="L232">
            <v>261.69499999999999</v>
          </cell>
          <cell r="Q232">
            <v>657.21400000000006</v>
          </cell>
          <cell r="V232">
            <v>789.13599999999997</v>
          </cell>
          <cell r="AA232">
            <v>437.25</v>
          </cell>
          <cell r="AF232">
            <v>1093</v>
          </cell>
          <cell r="AG232">
            <v>162</v>
          </cell>
          <cell r="AH232">
            <v>373</v>
          </cell>
          <cell r="AI232">
            <v>145</v>
          </cell>
          <cell r="AJ232">
            <v>357</v>
          </cell>
          <cell r="AK232">
            <v>1037</v>
          </cell>
          <cell r="AL232">
            <v>229</v>
          </cell>
          <cell r="AM232">
            <v>181</v>
          </cell>
          <cell r="AN232">
            <v>118</v>
          </cell>
          <cell r="AO232">
            <v>28</v>
          </cell>
          <cell r="AP232">
            <v>556</v>
          </cell>
          <cell r="AQ232">
            <v>417</v>
          </cell>
          <cell r="AR232">
            <v>233</v>
          </cell>
          <cell r="AS232">
            <v>-157</v>
          </cell>
          <cell r="AT232">
            <v>142</v>
          </cell>
          <cell r="AU232">
            <v>635</v>
          </cell>
          <cell r="AV232">
            <v>95</v>
          </cell>
          <cell r="AW232">
            <v>295</v>
          </cell>
          <cell r="AX232">
            <v>-36</v>
          </cell>
          <cell r="AY232">
            <v>-48</v>
          </cell>
          <cell r="AZ232">
            <v>306</v>
          </cell>
          <cell r="BA232">
            <v>-184</v>
          </cell>
          <cell r="BB232">
            <v>5</v>
          </cell>
          <cell r="BC232">
            <v>-50</v>
          </cell>
          <cell r="BD232">
            <v>-29</v>
          </cell>
          <cell r="BE232">
            <v>-258</v>
          </cell>
          <cell r="BF232">
            <v>39</v>
          </cell>
          <cell r="BG232">
            <v>4</v>
          </cell>
          <cell r="BH232">
            <v>-31</v>
          </cell>
          <cell r="BI232">
            <v>84</v>
          </cell>
          <cell r="BJ232">
            <v>96</v>
          </cell>
          <cell r="BK232">
            <v>-142</v>
          </cell>
          <cell r="BL232">
            <v>-106</v>
          </cell>
          <cell r="BM232">
            <v>24</v>
          </cell>
          <cell r="BN232">
            <v>-98</v>
          </cell>
          <cell r="BO232">
            <v>-322</v>
          </cell>
          <cell r="BP232">
            <v>-39</v>
          </cell>
          <cell r="BQ232">
            <v>-11</v>
          </cell>
          <cell r="BR232">
            <v>16</v>
          </cell>
          <cell r="BS232">
            <v>-205</v>
          </cell>
          <cell r="BT232">
            <v>-239</v>
          </cell>
          <cell r="BU232">
            <v>0</v>
          </cell>
          <cell r="BV232">
            <v>-361</v>
          </cell>
          <cell r="BW232">
            <v>-26</v>
          </cell>
          <cell r="BX232">
            <v>-30</v>
          </cell>
          <cell r="BY232">
            <v>-417</v>
          </cell>
          <cell r="BZ232">
            <v>-33</v>
          </cell>
          <cell r="CA232">
            <v>-246</v>
          </cell>
          <cell r="CB232">
            <v>-49</v>
          </cell>
          <cell r="CC232">
            <v>-39</v>
          </cell>
          <cell r="CD232">
            <v>-367</v>
          </cell>
          <cell r="CE232">
            <v>-140</v>
          </cell>
          <cell r="CF232">
            <v>-140</v>
          </cell>
          <cell r="CG232">
            <v>-140</v>
          </cell>
          <cell r="CH232">
            <v>-98</v>
          </cell>
          <cell r="CI232">
            <v>-518</v>
          </cell>
          <cell r="CN232">
            <v>-464</v>
          </cell>
          <cell r="CS232">
            <v>-595</v>
          </cell>
          <cell r="DJ232" t="str">
            <v>mstag:cashDividendsPaid</v>
          </cell>
          <cell r="DK232">
            <v>6</v>
          </cell>
          <cell r="DL232" t="str">
            <v>ISO4217:USD</v>
          </cell>
          <cell r="DM232" t="b">
            <v>0</v>
          </cell>
          <cell r="DN232" t="b">
            <v>0</v>
          </cell>
        </row>
        <row r="233">
          <cell r="A233" t="str">
            <v>Cash provided by (used in) operations</v>
          </cell>
          <cell r="B233">
            <v>6.0470000000000104</v>
          </cell>
          <cell r="G233">
            <v>16.157000000000053</v>
          </cell>
          <cell r="L233">
            <v>83.118999999999971</v>
          </cell>
          <cell r="Q233">
            <v>-103.12000000000009</v>
          </cell>
          <cell r="V233">
            <v>88.393000000000029</v>
          </cell>
          <cell r="AA233">
            <v>-84.07800000000006</v>
          </cell>
          <cell r="AF233">
            <v>-13</v>
          </cell>
          <cell r="AG233">
            <v>-4</v>
          </cell>
          <cell r="AH233">
            <v>4</v>
          </cell>
          <cell r="AI233">
            <v>2</v>
          </cell>
          <cell r="AJ233">
            <v>2</v>
          </cell>
          <cell r="AK233">
            <v>4</v>
          </cell>
          <cell r="AL233">
            <v>46</v>
          </cell>
          <cell r="AM233">
            <v>142</v>
          </cell>
          <cell r="AN233">
            <v>37</v>
          </cell>
          <cell r="AO233">
            <v>-45</v>
          </cell>
          <cell r="AP233">
            <v>180</v>
          </cell>
          <cell r="AQ233">
            <v>523</v>
          </cell>
          <cell r="AR233">
            <v>133</v>
          </cell>
          <cell r="AS233">
            <v>-281</v>
          </cell>
          <cell r="AT233">
            <v>-4</v>
          </cell>
          <cell r="AU233">
            <v>371</v>
          </cell>
          <cell r="AV233">
            <v>73</v>
          </cell>
          <cell r="AW233">
            <v>246</v>
          </cell>
          <cell r="AX233">
            <v>71</v>
          </cell>
          <cell r="AY233">
            <v>-55</v>
          </cell>
          <cell r="AZ233">
            <v>335</v>
          </cell>
          <cell r="BA233">
            <v>-67</v>
          </cell>
          <cell r="BB233">
            <v>-352</v>
          </cell>
          <cell r="BC233">
            <v>21</v>
          </cell>
          <cell r="BD233">
            <v>-33</v>
          </cell>
          <cell r="BE233">
            <v>-431.00000000000034</v>
          </cell>
          <cell r="BF233">
            <v>85</v>
          </cell>
          <cell r="BG233">
            <v>25</v>
          </cell>
          <cell r="BH233">
            <v>57</v>
          </cell>
          <cell r="BI233">
            <v>41</v>
          </cell>
          <cell r="BJ233">
            <v>208</v>
          </cell>
          <cell r="BK233">
            <v>-21</v>
          </cell>
          <cell r="BL233">
            <v>0</v>
          </cell>
          <cell r="BM233">
            <v>-110</v>
          </cell>
          <cell r="BN233">
            <v>-360</v>
          </cell>
          <cell r="BO233">
            <v>-491</v>
          </cell>
          <cell r="BP233">
            <v>164</v>
          </cell>
          <cell r="BQ233">
            <v>-13</v>
          </cell>
          <cell r="BR233">
            <v>40</v>
          </cell>
          <cell r="BS233">
            <v>-148</v>
          </cell>
          <cell r="BT233">
            <v>43</v>
          </cell>
          <cell r="BU233">
            <v>276</v>
          </cell>
          <cell r="BV233">
            <v>-47</v>
          </cell>
          <cell r="BW233">
            <v>-5</v>
          </cell>
          <cell r="BX233">
            <v>-108</v>
          </cell>
          <cell r="BY233">
            <v>116</v>
          </cell>
          <cell r="BZ233">
            <v>258</v>
          </cell>
          <cell r="CA233">
            <v>-177</v>
          </cell>
          <cell r="CB233">
            <v>122</v>
          </cell>
          <cell r="CC233">
            <v>0</v>
          </cell>
          <cell r="CD233">
            <v>203.00000000000068</v>
          </cell>
          <cell r="CE233">
            <v>219.75633021704357</v>
          </cell>
          <cell r="CF233">
            <v>8.2362129296089961</v>
          </cell>
          <cell r="CG233">
            <v>95.196506672017051</v>
          </cell>
          <cell r="CH233">
            <v>0</v>
          </cell>
          <cell r="CI233">
            <v>323.18904981866876</v>
          </cell>
          <cell r="CN233">
            <v>150.24930980284398</v>
          </cell>
          <cell r="CS233">
            <v>159.41841807115452</v>
          </cell>
          <cell r="CZ233" t="str">
            <v>6/23: $150M ASR announced to be completed by end of 3Q</v>
          </cell>
          <cell r="DJ233" t="str">
            <v>mstag:fundsUsedToRepurchaseCommonStock</v>
          </cell>
          <cell r="DK233">
            <v>6</v>
          </cell>
          <cell r="DL233" t="str">
            <v>ISO4217:USD</v>
          </cell>
          <cell r="DM233" t="b">
            <v>1</v>
          </cell>
          <cell r="DN233" t="b">
            <v>0</v>
          </cell>
        </row>
        <row r="234">
          <cell r="A234" t="str">
            <v>Cash used in discontinued operations</v>
          </cell>
          <cell r="B234">
            <v>0</v>
          </cell>
          <cell r="G234">
            <v>0</v>
          </cell>
          <cell r="L234">
            <v>0</v>
          </cell>
          <cell r="Q234">
            <v>0</v>
          </cell>
          <cell r="V234">
            <v>0</v>
          </cell>
          <cell r="AA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BQ234">
            <v>0</v>
          </cell>
          <cell r="BR234">
            <v>0</v>
          </cell>
          <cell r="BS234">
            <v>0</v>
          </cell>
          <cell r="BT234">
            <v>0</v>
          </cell>
          <cell r="BU234">
            <v>0</v>
          </cell>
          <cell r="BV234">
            <v>0</v>
          </cell>
          <cell r="BW234">
            <v>0</v>
          </cell>
          <cell r="BX234">
            <v>0</v>
          </cell>
          <cell r="BY234">
            <v>0</v>
          </cell>
          <cell r="BZ234">
            <v>0</v>
          </cell>
          <cell r="CA234">
            <v>0</v>
          </cell>
          <cell r="CB234">
            <v>0</v>
          </cell>
          <cell r="CC234">
            <v>0</v>
          </cell>
          <cell r="CD234">
            <v>0</v>
          </cell>
          <cell r="CE234">
            <v>0</v>
          </cell>
          <cell r="CF234">
            <v>0</v>
          </cell>
          <cell r="CG234">
            <v>0</v>
          </cell>
          <cell r="CH234">
            <v>0</v>
          </cell>
          <cell r="CI234">
            <v>0</v>
          </cell>
          <cell r="CN234">
            <v>0</v>
          </cell>
          <cell r="CS234">
            <v>0</v>
          </cell>
          <cell r="CZ234" t="str">
            <v>12/7: we include the converts maturing as an equity issuance and dilution from share count</v>
          </cell>
          <cell r="DJ234" t="str">
            <v>mstag:proceedsFromIssuanceOfCommonStock</v>
          </cell>
          <cell r="DK234">
            <v>6</v>
          </cell>
          <cell r="DL234" t="str">
            <v>ISO4217:USD</v>
          </cell>
          <cell r="DM234" t="b">
            <v>0</v>
          </cell>
          <cell r="DN234" t="b">
            <v>0</v>
          </cell>
        </row>
        <row r="235">
          <cell r="A235" t="str">
            <v>Beginning Cash</v>
          </cell>
          <cell r="B235">
            <v>11.513999999999999</v>
          </cell>
          <cell r="G235">
            <v>18.245999999999999</v>
          </cell>
          <cell r="L235">
            <v>34.403000000000048</v>
          </cell>
          <cell r="Q235">
            <v>117.52200000000002</v>
          </cell>
          <cell r="V235">
            <v>14.40199999999993</v>
          </cell>
          <cell r="AA235">
            <v>102.79499999999996</v>
          </cell>
          <cell r="AF235">
            <v>18.716999999999899</v>
          </cell>
          <cell r="AG235">
            <v>5.7169999999998993</v>
          </cell>
          <cell r="AH235">
            <v>1.7169999999998993</v>
          </cell>
          <cell r="AI235">
            <v>5.7169999999998993</v>
          </cell>
          <cell r="AJ235">
            <v>7.7169999999998993</v>
          </cell>
          <cell r="AK235">
            <v>28</v>
          </cell>
          <cell r="AL235">
            <v>9.7169999999998993</v>
          </cell>
          <cell r="AM235">
            <v>55.716999999999899</v>
          </cell>
          <cell r="AN235">
            <v>197.7169999999999</v>
          </cell>
          <cell r="AO235">
            <v>234.7169999999999</v>
          </cell>
          <cell r="AP235">
            <v>26</v>
          </cell>
          <cell r="AQ235">
            <v>189.7169999999999</v>
          </cell>
          <cell r="AR235">
            <v>712.71699999999987</v>
          </cell>
          <cell r="AS235">
            <v>845.71699999999987</v>
          </cell>
          <cell r="AT235">
            <v>564.71699999999987</v>
          </cell>
          <cell r="AU235">
            <v>320</v>
          </cell>
          <cell r="AV235">
            <v>560.71699999999987</v>
          </cell>
          <cell r="AW235">
            <v>633.71699999999987</v>
          </cell>
          <cell r="AX235">
            <v>879.71699999999987</v>
          </cell>
          <cell r="AY235">
            <v>950.71699999999987</v>
          </cell>
          <cell r="AZ235">
            <v>120</v>
          </cell>
          <cell r="BA235">
            <v>895.71699999999987</v>
          </cell>
          <cell r="BB235">
            <v>828.71699999999987</v>
          </cell>
          <cell r="BC235">
            <v>476.71699999999987</v>
          </cell>
          <cell r="BD235">
            <v>497.71699999999987</v>
          </cell>
          <cell r="BE235">
            <v>9</v>
          </cell>
          <cell r="BF235">
            <v>464.71699999999953</v>
          </cell>
          <cell r="BG235">
            <v>549.71699999999953</v>
          </cell>
          <cell r="BH235">
            <v>574.71699999999953</v>
          </cell>
          <cell r="BI235">
            <v>631.71699999999953</v>
          </cell>
          <cell r="BJ235">
            <v>10</v>
          </cell>
          <cell r="BK235">
            <v>672.71699999999953</v>
          </cell>
          <cell r="BL235">
            <v>651.71699999999953</v>
          </cell>
          <cell r="BM235">
            <v>651.71699999999953</v>
          </cell>
          <cell r="BN235">
            <v>541.71699999999953</v>
          </cell>
          <cell r="BO235">
            <v>9</v>
          </cell>
          <cell r="BP235">
            <v>181.71699999999953</v>
          </cell>
          <cell r="BQ235">
            <v>345.71699999999953</v>
          </cell>
          <cell r="BR235">
            <v>332.71699999999953</v>
          </cell>
          <cell r="BS235">
            <v>372.71699999999953</v>
          </cell>
          <cell r="BT235">
            <v>10</v>
          </cell>
          <cell r="BU235">
            <v>0</v>
          </cell>
          <cell r="BV235">
            <v>500.71699999999953</v>
          </cell>
          <cell r="BW235">
            <v>453.71699999999953</v>
          </cell>
          <cell r="BX235">
            <v>448.71699999999953</v>
          </cell>
          <cell r="BY235">
            <v>224.71699999999953</v>
          </cell>
          <cell r="BZ235">
            <v>340.71699999999953</v>
          </cell>
          <cell r="CA235">
            <v>598.71699999999953</v>
          </cell>
          <cell r="CB235">
            <v>421.71699999999953</v>
          </cell>
          <cell r="CC235">
            <v>543.71699999999953</v>
          </cell>
          <cell r="CD235">
            <v>340.71699999999953</v>
          </cell>
          <cell r="CE235">
            <v>543.71700000000021</v>
          </cell>
          <cell r="CF235">
            <v>763.47333021704378</v>
          </cell>
          <cell r="CG235">
            <v>771.70954314665278</v>
          </cell>
          <cell r="CH235">
            <v>866.90604981866977</v>
          </cell>
          <cell r="CI235">
            <v>543.71700000000021</v>
          </cell>
          <cell r="CN235">
            <v>866.90604981866898</v>
          </cell>
          <cell r="CS235">
            <v>1017.155359621513</v>
          </cell>
        </row>
        <row r="236">
          <cell r="A236" t="str">
            <v>Ending Cash</v>
          </cell>
          <cell r="B236">
            <v>18.245999999999999</v>
          </cell>
          <cell r="G236">
            <v>34.403000000000048</v>
          </cell>
          <cell r="L236">
            <v>117.52200000000002</v>
          </cell>
          <cell r="Q236">
            <v>14.40199999999993</v>
          </cell>
          <cell r="V236">
            <v>102.79499999999996</v>
          </cell>
          <cell r="AA236">
            <v>18.716999999999899</v>
          </cell>
          <cell r="AF236">
            <v>5.7169999999998993</v>
          </cell>
          <cell r="AG236">
            <v>1.7169999999998993</v>
          </cell>
          <cell r="AH236">
            <v>5.7169999999998993</v>
          </cell>
          <cell r="AI236">
            <v>7.7169999999998993</v>
          </cell>
          <cell r="AJ236">
            <v>9.7169999999998993</v>
          </cell>
          <cell r="AK236">
            <v>0</v>
          </cell>
          <cell r="AL236">
            <v>55.716999999999899</v>
          </cell>
          <cell r="AM236">
            <v>197.7169999999999</v>
          </cell>
          <cell r="AN236">
            <v>234.7169999999999</v>
          </cell>
          <cell r="AO236">
            <v>189.7169999999999</v>
          </cell>
          <cell r="AP236">
            <v>0</v>
          </cell>
          <cell r="AQ236">
            <v>712.71699999999987</v>
          </cell>
          <cell r="AR236">
            <v>845.71699999999987</v>
          </cell>
          <cell r="AS236">
            <v>564.71699999999987</v>
          </cell>
          <cell r="AT236">
            <v>560.71699999999987</v>
          </cell>
          <cell r="AU236">
            <v>0</v>
          </cell>
          <cell r="AV236">
            <v>633.71699999999987</v>
          </cell>
          <cell r="AW236">
            <v>879.71699999999987</v>
          </cell>
          <cell r="AX236">
            <v>950.71699999999987</v>
          </cell>
          <cell r="AY236">
            <v>895.71699999999987</v>
          </cell>
          <cell r="AZ236">
            <v>895.71699999999987</v>
          </cell>
          <cell r="BA236">
            <v>828.71699999999987</v>
          </cell>
          <cell r="BB236">
            <v>476.71699999999987</v>
          </cell>
          <cell r="BC236">
            <v>497.71699999999987</v>
          </cell>
          <cell r="BD236">
            <v>464.71699999999987</v>
          </cell>
          <cell r="BE236">
            <v>464.71699999999953</v>
          </cell>
          <cell r="BF236">
            <v>549.71699999999953</v>
          </cell>
          <cell r="BG236">
            <v>574.71699999999953</v>
          </cell>
          <cell r="BH236">
            <v>631.71699999999953</v>
          </cell>
          <cell r="BI236">
            <v>672.71699999999953</v>
          </cell>
          <cell r="BJ236">
            <v>672.71699999999953</v>
          </cell>
          <cell r="BK236">
            <v>651.71699999999953</v>
          </cell>
          <cell r="BL236">
            <v>651.71699999999953</v>
          </cell>
          <cell r="BM236">
            <v>541.71699999999953</v>
          </cell>
          <cell r="BN236">
            <v>181.71699999999953</v>
          </cell>
          <cell r="BO236">
            <v>181.71699999999953</v>
          </cell>
          <cell r="BP236">
            <v>345.71699999999953</v>
          </cell>
          <cell r="BQ236">
            <v>332.71699999999953</v>
          </cell>
          <cell r="BR236">
            <v>372.71699999999953</v>
          </cell>
          <cell r="BS236">
            <v>224.71699999999953</v>
          </cell>
          <cell r="BT236">
            <v>224.71699999999953</v>
          </cell>
          <cell r="BU236">
            <v>500.71699999999953</v>
          </cell>
          <cell r="BV236">
            <v>453.71699999999953</v>
          </cell>
          <cell r="BW236">
            <v>448.71699999999953</v>
          </cell>
          <cell r="BX236">
            <v>340.71699999999953</v>
          </cell>
          <cell r="BY236">
            <v>340.71699999999953</v>
          </cell>
          <cell r="BZ236">
            <v>598.71699999999953</v>
          </cell>
          <cell r="CA236">
            <v>421.71699999999953</v>
          </cell>
          <cell r="CB236">
            <v>543.71699999999953</v>
          </cell>
          <cell r="CC236">
            <v>543.71699999999953</v>
          </cell>
          <cell r="CD236">
            <v>543.71700000000021</v>
          </cell>
          <cell r="CE236">
            <v>763.47333021704378</v>
          </cell>
          <cell r="CF236">
            <v>771.70954314665278</v>
          </cell>
          <cell r="CG236">
            <v>866.90604981866977</v>
          </cell>
          <cell r="CH236">
            <v>866.90604981866977</v>
          </cell>
          <cell r="CI236">
            <v>0</v>
          </cell>
          <cell r="CN236">
            <v>1017.155359621513</v>
          </cell>
          <cell r="CS236">
            <v>1176.5737776926676</v>
          </cell>
        </row>
        <row r="237">
          <cell r="A237" t="str">
            <v>BALANCE SHEET</v>
          </cell>
          <cell r="B237">
            <v>0</v>
          </cell>
          <cell r="G237">
            <v>0</v>
          </cell>
          <cell r="L237">
            <v>0</v>
          </cell>
          <cell r="Q237">
            <v>0</v>
          </cell>
          <cell r="V237">
            <v>0</v>
          </cell>
          <cell r="AA237">
            <v>0</v>
          </cell>
          <cell r="AF237">
            <v>0</v>
          </cell>
          <cell r="AK237">
            <v>0</v>
          </cell>
          <cell r="AP237">
            <v>0</v>
          </cell>
          <cell r="AU237">
            <v>0</v>
          </cell>
          <cell r="CI237">
            <v>-654</v>
          </cell>
          <cell r="CN237">
            <v>-100</v>
          </cell>
          <cell r="CS237">
            <v>-95</v>
          </cell>
          <cell r="CZ237" t="str">
            <v>10K: maturities 2015: 375, 2016: 560, 2017: 300, 2018: 295, 2019: 285 (w/ converts)</v>
          </cell>
        </row>
        <row r="238">
          <cell r="A238" t="str">
            <v>ASSETS</v>
          </cell>
          <cell r="G238">
            <v>34.403000000000048</v>
          </cell>
          <cell r="L238">
            <v>117.52200000000002</v>
          </cell>
          <cell r="Q238">
            <v>14.40199999999993</v>
          </cell>
          <cell r="V238">
            <v>102.79499999999996</v>
          </cell>
          <cell r="AA238">
            <v>18.716999999999899</v>
          </cell>
          <cell r="AF238">
            <v>5.7169999999998993</v>
          </cell>
          <cell r="AG238">
            <v>1.7169999999998993</v>
          </cell>
          <cell r="AH238">
            <v>5.7169999999998993</v>
          </cell>
          <cell r="AI238">
            <v>7.7169999999998993</v>
          </cell>
          <cell r="AJ238">
            <v>9.7169999999998993</v>
          </cell>
          <cell r="AK238">
            <v>9.7169999999998993</v>
          </cell>
          <cell r="AL238">
            <v>55.716999999999899</v>
          </cell>
          <cell r="AM238">
            <v>197.7169999999999</v>
          </cell>
          <cell r="AN238">
            <v>234.7169999999999</v>
          </cell>
          <cell r="AO238">
            <v>189.7169999999999</v>
          </cell>
          <cell r="AP238">
            <v>189.7169999999999</v>
          </cell>
          <cell r="AQ238">
            <v>712.71699999999987</v>
          </cell>
          <cell r="AR238">
            <v>845.71699999999987</v>
          </cell>
          <cell r="AS238">
            <v>564.71699999999987</v>
          </cell>
          <cell r="AT238">
            <v>560.71699999999987</v>
          </cell>
          <cell r="AU238">
            <v>560.71699999999987</v>
          </cell>
          <cell r="AV238">
            <v>633.71699999999987</v>
          </cell>
          <cell r="AW238">
            <v>879.71699999999987</v>
          </cell>
          <cell r="AX238">
            <v>950.71699999999987</v>
          </cell>
          <cell r="AY238">
            <v>895.71699999999987</v>
          </cell>
          <cell r="AZ238">
            <v>895.71699999999987</v>
          </cell>
          <cell r="BA238">
            <v>828.71699999999987</v>
          </cell>
          <cell r="BB238">
            <v>476.71699999999987</v>
          </cell>
          <cell r="BC238">
            <v>497.71699999999987</v>
          </cell>
          <cell r="BD238">
            <v>464.71699999999987</v>
          </cell>
          <cell r="BE238">
            <v>464.71699999999953</v>
          </cell>
          <cell r="BF238">
            <v>549.71699999999953</v>
          </cell>
          <cell r="BG238">
            <v>574.71699999999953</v>
          </cell>
          <cell r="BH238">
            <v>631.71699999999953</v>
          </cell>
          <cell r="BI238">
            <v>672.71699999999953</v>
          </cell>
          <cell r="BJ238">
            <v>672.71699999999953</v>
          </cell>
          <cell r="BK238">
            <v>651.71699999999953</v>
          </cell>
          <cell r="BL238">
            <v>651.71699999999953</v>
          </cell>
          <cell r="BM238">
            <v>541.71699999999953</v>
          </cell>
          <cell r="BN238">
            <v>181.71699999999953</v>
          </cell>
          <cell r="BO238">
            <v>181.71699999999953</v>
          </cell>
          <cell r="BP238">
            <v>345.71699999999953</v>
          </cell>
          <cell r="BQ238">
            <v>332.71699999999953</v>
          </cell>
          <cell r="BR238">
            <v>372.71699999999953</v>
          </cell>
          <cell r="BS238">
            <v>224.71699999999953</v>
          </cell>
          <cell r="BT238">
            <v>224.71699999999953</v>
          </cell>
          <cell r="BU238">
            <v>500.71699999999953</v>
          </cell>
          <cell r="BV238">
            <v>453.71699999999953</v>
          </cell>
          <cell r="BW238">
            <v>448.71699999999953</v>
          </cell>
          <cell r="BX238">
            <v>340.71699999999953</v>
          </cell>
          <cell r="BY238">
            <v>340.71699999999953</v>
          </cell>
          <cell r="BZ238">
            <v>598.71699999999953</v>
          </cell>
          <cell r="CA238">
            <v>421.71699999999953</v>
          </cell>
          <cell r="CB238">
            <v>383.02378903170359</v>
          </cell>
          <cell r="CC238">
            <v>373.26013555415989</v>
          </cell>
          <cell r="CD238">
            <v>373.26013555415864</v>
          </cell>
          <cell r="CE238">
            <v>777.15033731727419</v>
          </cell>
          <cell r="CF238">
            <v>789.06581614485867</v>
          </cell>
          <cell r="CG238">
            <v>855.2234817892047</v>
          </cell>
          <cell r="CH238">
            <v>855.2234817892047</v>
          </cell>
          <cell r="CI238">
            <v>0</v>
          </cell>
          <cell r="CN238">
            <v>480.38475936533575</v>
          </cell>
          <cell r="CS238">
            <v>0</v>
          </cell>
          <cell r="DA238" t="str">
            <v>1/28: Expect to pay $51M in 1Q, $454 in 2016</v>
          </cell>
          <cell r="DE238" t="str">
            <v>mstag:cashAndCashEquivalents</v>
          </cell>
          <cell r="DF238">
            <v>6</v>
          </cell>
          <cell r="DG238" t="str">
            <v>ISO4217:USD</v>
          </cell>
          <cell r="DH238" t="b">
            <v>0</v>
          </cell>
          <cell r="DI238" t="b">
            <v>0</v>
          </cell>
        </row>
        <row r="239">
          <cell r="A239" t="str">
            <v>Cash &amp; Cash Equivalents</v>
          </cell>
          <cell r="B239">
            <v>80.671000000000006</v>
          </cell>
          <cell r="G239">
            <v>34.403000000000048</v>
          </cell>
          <cell r="L239">
            <v>117.52200000000002</v>
          </cell>
          <cell r="Q239">
            <v>14.40199999999993</v>
          </cell>
          <cell r="V239">
            <v>102.79499999999996</v>
          </cell>
          <cell r="AA239">
            <v>18.716999999999899</v>
          </cell>
          <cell r="AF239">
            <v>5.7169999999998993</v>
          </cell>
          <cell r="AG239">
            <v>1.7169999999998993</v>
          </cell>
          <cell r="AH239">
            <v>5.7169999999998993</v>
          </cell>
          <cell r="AI239">
            <v>7.7169999999998993</v>
          </cell>
          <cell r="AJ239">
            <v>9.7169999999998993</v>
          </cell>
          <cell r="AK239">
            <v>9.7169999999998993</v>
          </cell>
          <cell r="AL239">
            <v>55.716999999999899</v>
          </cell>
          <cell r="AM239">
            <v>197.7169999999999</v>
          </cell>
          <cell r="AN239">
            <v>234.7169999999999</v>
          </cell>
          <cell r="AO239">
            <v>189.7169999999999</v>
          </cell>
          <cell r="AP239">
            <v>189.7169999999999</v>
          </cell>
          <cell r="AQ239">
            <v>712.71699999999987</v>
          </cell>
          <cell r="AR239">
            <v>845.71699999999987</v>
          </cell>
          <cell r="AS239">
            <v>564.71699999999987</v>
          </cell>
          <cell r="AT239">
            <v>560.71699999999987</v>
          </cell>
          <cell r="AU239">
            <v>560.71699999999987</v>
          </cell>
          <cell r="AV239">
            <v>633.71699999999987</v>
          </cell>
          <cell r="AW239">
            <v>879.71699999999987</v>
          </cell>
          <cell r="AX239">
            <v>950.71699999999987</v>
          </cell>
          <cell r="AY239">
            <v>895.71699999999987</v>
          </cell>
          <cell r="AZ239">
            <v>895.71699999999987</v>
          </cell>
          <cell r="BA239">
            <v>828.71699999999987</v>
          </cell>
          <cell r="BB239">
            <v>476.71699999999987</v>
          </cell>
          <cell r="BC239">
            <v>497.71699999999987</v>
          </cell>
          <cell r="BD239">
            <v>464.71699999999987</v>
          </cell>
          <cell r="BE239">
            <v>464.71699999999953</v>
          </cell>
          <cell r="BF239">
            <v>549.71699999999953</v>
          </cell>
          <cell r="BG239">
            <v>574.71699999999953</v>
          </cell>
          <cell r="BH239">
            <v>631.71699999999953</v>
          </cell>
          <cell r="BI239">
            <v>672.71699999999953</v>
          </cell>
          <cell r="BJ239">
            <v>672.71699999999953</v>
          </cell>
          <cell r="BK239">
            <v>651.71699999999953</v>
          </cell>
          <cell r="BL239">
            <v>651.71699999999953</v>
          </cell>
          <cell r="BM239">
            <v>541.71699999999953</v>
          </cell>
          <cell r="BN239">
            <v>181.71699999999953</v>
          </cell>
          <cell r="BO239">
            <v>181.71699999999953</v>
          </cell>
          <cell r="BP239">
            <v>345.71699999999953</v>
          </cell>
          <cell r="BQ239">
            <v>332.71699999999953</v>
          </cell>
          <cell r="BR239">
            <v>372.71699999999953</v>
          </cell>
          <cell r="BS239">
            <v>224.71699999999953</v>
          </cell>
          <cell r="BT239">
            <v>224.71699999999953</v>
          </cell>
          <cell r="BU239">
            <v>500.71699999999953</v>
          </cell>
          <cell r="BV239">
            <v>453.71699999999953</v>
          </cell>
          <cell r="BW239">
            <v>448.71699999999953</v>
          </cell>
          <cell r="BX239">
            <v>340.71699999999953</v>
          </cell>
          <cell r="BY239">
            <v>340.71699999999953</v>
          </cell>
          <cell r="BZ239">
            <v>598.71699999999953</v>
          </cell>
          <cell r="CA239">
            <v>421.71699999999953</v>
          </cell>
          <cell r="CB239">
            <v>543.71699999999953</v>
          </cell>
          <cell r="CC239">
            <v>543.71699999999953</v>
          </cell>
          <cell r="CD239">
            <v>543.71700000000021</v>
          </cell>
          <cell r="CE239">
            <v>763.47333021704378</v>
          </cell>
          <cell r="CF239">
            <v>771.70954314665278</v>
          </cell>
          <cell r="CG239">
            <v>866.90604981866977</v>
          </cell>
          <cell r="CH239">
            <v>866.90604981866977</v>
          </cell>
          <cell r="CI239">
            <v>866.90604981866898</v>
          </cell>
          <cell r="CN239">
            <v>1017.155359621513</v>
          </cell>
          <cell r="CS239">
            <v>1176.5737776926676</v>
          </cell>
          <cell r="DE239" t="str">
            <v>mstag:shortTermInvestments</v>
          </cell>
          <cell r="DF239">
            <v>6</v>
          </cell>
          <cell r="DG239" t="str">
            <v>ISO4217:USD</v>
          </cell>
          <cell r="DH239" t="b">
            <v>0</v>
          </cell>
          <cell r="DI239" t="b">
            <v>0</v>
          </cell>
          <cell r="DJ239" t="str">
            <v>mstag:proceedsFromIssuanceAndCashUsedToRepayLongTermDebt</v>
          </cell>
          <cell r="DK239">
            <v>6</v>
          </cell>
          <cell r="DL239" t="str">
            <v>ISO4217:USD</v>
          </cell>
          <cell r="DM239" t="b">
            <v>0</v>
          </cell>
          <cell r="DN239" t="b">
            <v>0</v>
          </cell>
        </row>
        <row r="240">
          <cell r="A240" t="str">
            <v>Short-Term Investments</v>
          </cell>
          <cell r="B240">
            <v>0</v>
          </cell>
          <cell r="G240">
            <v>0</v>
          </cell>
          <cell r="L240">
            <v>0</v>
          </cell>
          <cell r="Q240">
            <v>108.251</v>
          </cell>
          <cell r="V240">
            <v>504.51</v>
          </cell>
          <cell r="AA240">
            <v>430.44499999999999</v>
          </cell>
          <cell r="AF240">
            <v>478</v>
          </cell>
          <cell r="AG240">
            <v>418</v>
          </cell>
          <cell r="AH240">
            <v>462</v>
          </cell>
          <cell r="AI240">
            <v>448</v>
          </cell>
          <cell r="AJ240">
            <v>689</v>
          </cell>
          <cell r="AK240">
            <v>689</v>
          </cell>
          <cell r="AL240">
            <v>718</v>
          </cell>
          <cell r="AM240">
            <v>574</v>
          </cell>
          <cell r="AN240">
            <v>609</v>
          </cell>
          <cell r="AO240">
            <v>644</v>
          </cell>
          <cell r="AP240">
            <v>644</v>
          </cell>
          <cell r="AQ240">
            <v>40</v>
          </cell>
          <cell r="AR240">
            <v>118</v>
          </cell>
          <cell r="AS240">
            <v>0</v>
          </cell>
          <cell r="AT240">
            <v>10</v>
          </cell>
          <cell r="AU240">
            <v>10</v>
          </cell>
          <cell r="AV240">
            <v>2</v>
          </cell>
          <cell r="AW240">
            <v>11</v>
          </cell>
          <cell r="AX240">
            <v>219</v>
          </cell>
          <cell r="AY240">
            <v>246</v>
          </cell>
          <cell r="AZ240">
            <v>246</v>
          </cell>
          <cell r="BA240">
            <v>308</v>
          </cell>
          <cell r="BB240">
            <v>682</v>
          </cell>
          <cell r="BC240">
            <v>666</v>
          </cell>
          <cell r="BD240">
            <v>628</v>
          </cell>
          <cell r="BE240">
            <v>628</v>
          </cell>
          <cell r="BF240">
            <v>685</v>
          </cell>
          <cell r="BG240">
            <v>731</v>
          </cell>
          <cell r="BH240">
            <v>607</v>
          </cell>
          <cell r="BI240">
            <v>591</v>
          </cell>
          <cell r="BJ240">
            <v>591</v>
          </cell>
          <cell r="BK240">
            <v>573</v>
          </cell>
          <cell r="BL240">
            <v>560</v>
          </cell>
          <cell r="BM240">
            <v>522</v>
          </cell>
          <cell r="BN240">
            <v>685</v>
          </cell>
          <cell r="BO240">
            <v>685</v>
          </cell>
          <cell r="BP240">
            <v>601</v>
          </cell>
          <cell r="BQ240">
            <v>610</v>
          </cell>
          <cell r="BR240">
            <v>667</v>
          </cell>
          <cell r="BS240">
            <v>516</v>
          </cell>
          <cell r="BT240">
            <v>516</v>
          </cell>
          <cell r="BU240">
            <v>367</v>
          </cell>
          <cell r="BV240">
            <v>470</v>
          </cell>
          <cell r="BW240">
            <v>415</v>
          </cell>
          <cell r="BX240">
            <v>427</v>
          </cell>
          <cell r="BY240">
            <v>427</v>
          </cell>
          <cell r="BZ240">
            <v>497</v>
          </cell>
          <cell r="CA240">
            <v>549</v>
          </cell>
          <cell r="CB240">
            <v>635</v>
          </cell>
          <cell r="CC240">
            <v>327.0647139437022</v>
          </cell>
          <cell r="CD240">
            <v>327.0647139437022</v>
          </cell>
          <cell r="CE240">
            <v>327.0647139437022</v>
          </cell>
          <cell r="CF240">
            <v>327.0647139437022</v>
          </cell>
          <cell r="CG240">
            <v>327.0647139437022</v>
          </cell>
          <cell r="CH240">
            <v>178.17195538427561</v>
          </cell>
          <cell r="CI240">
            <v>178.17195538427561</v>
          </cell>
          <cell r="CN240">
            <v>178.17195538427561</v>
          </cell>
          <cell r="CS240">
            <v>178.17195538427561</v>
          </cell>
          <cell r="DJ240" t="str">
            <v>mstag:shortTermInvestments</v>
          </cell>
          <cell r="DK240">
            <v>6</v>
          </cell>
          <cell r="DL240" t="str">
            <v>ISO4217:USD</v>
          </cell>
          <cell r="DM240" t="b">
            <v>0</v>
          </cell>
          <cell r="DN240" t="b">
            <v>0</v>
          </cell>
        </row>
        <row r="241">
          <cell r="A241" t="str">
            <v>Cash &amp; ST Investments</v>
          </cell>
          <cell r="B241">
            <v>80.740000000000009</v>
          </cell>
          <cell r="G241">
            <v>34.403000000000048</v>
          </cell>
          <cell r="L241">
            <v>117.52200000000002</v>
          </cell>
          <cell r="Q241">
            <v>122.65299999999993</v>
          </cell>
          <cell r="V241">
            <v>607.30499999999995</v>
          </cell>
          <cell r="AA241">
            <v>449.16199999999992</v>
          </cell>
          <cell r="AF241">
            <v>483.71699999999987</v>
          </cell>
          <cell r="AG241">
            <v>419.71699999999987</v>
          </cell>
          <cell r="AH241">
            <v>467.71699999999987</v>
          </cell>
          <cell r="AI241">
            <v>455.71699999999987</v>
          </cell>
          <cell r="AJ241">
            <v>698.71699999999987</v>
          </cell>
          <cell r="AK241">
            <v>698.71699999999987</v>
          </cell>
          <cell r="AL241">
            <v>773.71699999999987</v>
          </cell>
          <cell r="AM241">
            <v>771.71699999999987</v>
          </cell>
          <cell r="AN241">
            <v>843.71699999999987</v>
          </cell>
          <cell r="AO241">
            <v>833.71699999999987</v>
          </cell>
          <cell r="AP241">
            <v>833.71699999999987</v>
          </cell>
          <cell r="AQ241">
            <v>752.71699999999987</v>
          </cell>
          <cell r="AR241">
            <v>963.71699999999987</v>
          </cell>
          <cell r="AS241">
            <v>564.71699999999987</v>
          </cell>
          <cell r="AT241">
            <v>570.71699999999987</v>
          </cell>
          <cell r="AU241">
            <v>570.71699999999987</v>
          </cell>
          <cell r="AV241">
            <v>635.71699999999987</v>
          </cell>
          <cell r="AW241">
            <v>890.71699999999987</v>
          </cell>
          <cell r="AX241">
            <v>1169.7169999999999</v>
          </cell>
          <cell r="AY241">
            <v>1141.7169999999999</v>
          </cell>
          <cell r="AZ241">
            <v>1141.7169999999999</v>
          </cell>
          <cell r="BA241">
            <v>1136.7169999999999</v>
          </cell>
          <cell r="BB241">
            <v>1158.7169999999999</v>
          </cell>
          <cell r="BC241">
            <v>1163.7169999999999</v>
          </cell>
          <cell r="BD241">
            <v>1092.7169999999999</v>
          </cell>
          <cell r="BE241">
            <v>1092.7169999999996</v>
          </cell>
          <cell r="BF241">
            <v>1234.7169999999996</v>
          </cell>
          <cell r="BG241">
            <v>1305.7169999999996</v>
          </cell>
          <cell r="BH241">
            <v>1238.7169999999996</v>
          </cell>
          <cell r="BI241">
            <v>1263.7169999999996</v>
          </cell>
          <cell r="BJ241">
            <v>1263.7169999999996</v>
          </cell>
          <cell r="BK241">
            <v>1224.7169999999996</v>
          </cell>
          <cell r="BL241">
            <v>1211.7169999999996</v>
          </cell>
          <cell r="BM241">
            <v>1063.7169999999996</v>
          </cell>
          <cell r="BN241">
            <v>866.71699999999953</v>
          </cell>
          <cell r="BO241">
            <v>866.71699999999953</v>
          </cell>
          <cell r="BP241">
            <v>946.71699999999953</v>
          </cell>
          <cell r="BQ241">
            <v>942.71699999999953</v>
          </cell>
          <cell r="BR241">
            <v>1039.7169999999996</v>
          </cell>
          <cell r="BS241">
            <v>740.71699999999953</v>
          </cell>
          <cell r="BT241">
            <v>740.71699999999953</v>
          </cell>
          <cell r="BU241">
            <v>867.71699999999953</v>
          </cell>
          <cell r="BV241">
            <v>923.71699999999953</v>
          </cell>
          <cell r="BW241">
            <v>863.71699999999953</v>
          </cell>
          <cell r="BX241">
            <v>767.71699999999953</v>
          </cell>
          <cell r="BY241">
            <v>767.71699999999953</v>
          </cell>
          <cell r="BZ241">
            <v>1095.7169999999996</v>
          </cell>
          <cell r="CA241">
            <v>970.71699999999953</v>
          </cell>
          <cell r="CB241">
            <v>1178.7169999999996</v>
          </cell>
          <cell r="CC241">
            <v>870.78171394370179</v>
          </cell>
          <cell r="CD241">
            <v>870.78171394370247</v>
          </cell>
          <cell r="CE241">
            <v>1090.538044160746</v>
          </cell>
          <cell r="CF241">
            <v>1098.7742570903549</v>
          </cell>
          <cell r="CG241">
            <v>1193.9707637623719</v>
          </cell>
          <cell r="CH241">
            <v>1045.0780052029454</v>
          </cell>
          <cell r="CI241">
            <v>1045.0780052029445</v>
          </cell>
          <cell r="CN241">
            <v>1195.3273150057885</v>
          </cell>
          <cell r="CS241">
            <v>1354.7457330769432</v>
          </cell>
        </row>
        <row r="242">
          <cell r="A242" t="str">
            <v>% of Op Revenue</v>
          </cell>
          <cell r="B242">
            <v>6.0470000000000104</v>
          </cell>
          <cell r="G242">
            <v>0</v>
          </cell>
          <cell r="L242">
            <v>0.36678172614180404</v>
          </cell>
          <cell r="Q242">
            <v>0.19309624978943329</v>
          </cell>
          <cell r="V242">
            <v>0.60830810005699398</v>
          </cell>
          <cell r="AA242">
            <v>0.35577977174939324</v>
          </cell>
          <cell r="AF242">
            <v>0.28418351370548284</v>
          </cell>
          <cell r="AG242">
            <v>0.23082845746070377</v>
          </cell>
          <cell r="AH242">
            <v>0.2337057732771633</v>
          </cell>
          <cell r="AI242">
            <v>0.20939104720105561</v>
          </cell>
          <cell r="AJ242">
            <v>0.29564060252179059</v>
          </cell>
          <cell r="AK242">
            <v>0.29564060252179059</v>
          </cell>
          <cell r="AL242">
            <v>0.31185691253526798</v>
          </cell>
          <cell r="AM242">
            <v>0.29692843401308189</v>
          </cell>
          <cell r="AN242">
            <v>0.30837609649122805</v>
          </cell>
          <cell r="AO242">
            <v>0.29335573539760729</v>
          </cell>
          <cell r="AP242">
            <v>0.29335573539760729</v>
          </cell>
          <cell r="AQ242">
            <v>0.24679245901639341</v>
          </cell>
          <cell r="AR242">
            <v>0.30315099087763442</v>
          </cell>
          <cell r="AS242">
            <v>0.17030066344993966</v>
          </cell>
          <cell r="AT242">
            <v>0.16845247933884294</v>
          </cell>
          <cell r="AU242">
            <v>0.16845247933884294</v>
          </cell>
          <cell r="AV242">
            <v>0.18880813780813777</v>
          </cell>
          <cell r="AW242">
            <v>0.26853090141694297</v>
          </cell>
          <cell r="AX242">
            <v>0.35771162079510699</v>
          </cell>
          <cell r="AY242">
            <v>0.34692099665755088</v>
          </cell>
          <cell r="AZ242">
            <v>0.34692099665755088</v>
          </cell>
          <cell r="BA242">
            <v>0.33770558526440875</v>
          </cell>
          <cell r="BB242">
            <v>0.33144078947368416</v>
          </cell>
          <cell r="BC242">
            <v>0.31700272405339142</v>
          </cell>
          <cell r="BD242">
            <v>0.28915506747816877</v>
          </cell>
          <cell r="BE242">
            <v>0.28915506747816871</v>
          </cell>
          <cell r="BF242">
            <v>0.31489849528181579</v>
          </cell>
          <cell r="BG242">
            <v>0.31592475199612863</v>
          </cell>
          <cell r="BH242">
            <v>0.28820777105630518</v>
          </cell>
          <cell r="BI242">
            <v>0.28057659857904077</v>
          </cell>
          <cell r="BJ242">
            <v>0.28057659857904077</v>
          </cell>
          <cell r="BK242">
            <v>0.260855591054313</v>
          </cell>
          <cell r="BL242">
            <v>0.25134142294129841</v>
          </cell>
          <cell r="BM242">
            <v>0.21558917713822448</v>
          </cell>
          <cell r="BN242">
            <v>0.1739696908871938</v>
          </cell>
          <cell r="BO242">
            <v>0.1739696908871938</v>
          </cell>
          <cell r="BP242">
            <v>0.18643501378495461</v>
          </cell>
          <cell r="BQ242">
            <v>0.18355081775700927</v>
          </cell>
          <cell r="BR242">
            <v>0.19728975332068305</v>
          </cell>
          <cell r="BS242">
            <v>0.13613618820069831</v>
          </cell>
          <cell r="BT242">
            <v>0.13613618820069831</v>
          </cell>
          <cell r="BU242">
            <v>0.15802531415042789</v>
          </cell>
          <cell r="BV242">
            <v>0.16351867587183563</v>
          </cell>
          <cell r="BW242">
            <v>0.15057827754532768</v>
          </cell>
          <cell r="BX242">
            <v>0.13197816744026122</v>
          </cell>
          <cell r="BY242">
            <v>0.13197816744026122</v>
          </cell>
          <cell r="BZ242">
            <v>0.18289384076114165</v>
          </cell>
          <cell r="CA242">
            <v>0.15887348608837962</v>
          </cell>
          <cell r="CB242">
            <v>0.1880531269942565</v>
          </cell>
          <cell r="CC242">
            <v>0.13590916250377194</v>
          </cell>
          <cell r="CD242">
            <v>0.13590916250377202</v>
          </cell>
          <cell r="CE242">
            <v>0.16735018009369101</v>
          </cell>
          <cell r="CF242">
            <v>0.16561793908872896</v>
          </cell>
          <cell r="CG242">
            <v>0.17736642778576686</v>
          </cell>
          <cell r="CH242">
            <v>0.1526876402692022</v>
          </cell>
          <cell r="CI242">
            <v>0.15268764026920206</v>
          </cell>
          <cell r="CN242">
            <v>0.16163477368849935</v>
          </cell>
          <cell r="CS242">
            <v>0.16969392933571623</v>
          </cell>
          <cell r="DE242" t="str">
            <v>mstag:longTermInvestmentsNonOperating</v>
          </cell>
          <cell r="DF242">
            <v>6</v>
          </cell>
          <cell r="DG242" t="str">
            <v>ISO4217:USD</v>
          </cell>
          <cell r="DH242" t="b">
            <v>0</v>
          </cell>
          <cell r="DI242" t="b">
            <v>0</v>
          </cell>
        </row>
        <row r="243">
          <cell r="A243" t="str">
            <v>Restricted Cash</v>
          </cell>
          <cell r="B243">
            <v>0</v>
          </cell>
          <cell r="G243">
            <v>0</v>
          </cell>
          <cell r="L243">
            <v>0</v>
          </cell>
          <cell r="Q243">
            <v>0</v>
          </cell>
          <cell r="V243">
            <v>0</v>
          </cell>
          <cell r="AA243">
            <v>0</v>
          </cell>
          <cell r="AF243">
            <v>111</v>
          </cell>
          <cell r="AG243">
            <v>115</v>
          </cell>
          <cell r="AH243">
            <v>115</v>
          </cell>
          <cell r="AI243">
            <v>115</v>
          </cell>
          <cell r="AJ243">
            <v>120</v>
          </cell>
          <cell r="AK243">
            <v>120</v>
          </cell>
          <cell r="AL243">
            <v>122</v>
          </cell>
          <cell r="AM243">
            <v>100</v>
          </cell>
          <cell r="AN243">
            <v>70</v>
          </cell>
          <cell r="AO243">
            <v>53</v>
          </cell>
          <cell r="AP243">
            <v>53</v>
          </cell>
          <cell r="AQ243">
            <v>54</v>
          </cell>
          <cell r="AR243">
            <v>129</v>
          </cell>
          <cell r="AS243">
            <v>211</v>
          </cell>
          <cell r="AT243">
            <v>264</v>
          </cell>
          <cell r="AU243">
            <v>264</v>
          </cell>
          <cell r="AV243">
            <v>210</v>
          </cell>
          <cell r="AW243">
            <v>166</v>
          </cell>
          <cell r="AX243">
            <v>113</v>
          </cell>
          <cell r="AY243">
            <v>77</v>
          </cell>
          <cell r="AZ243">
            <v>77</v>
          </cell>
          <cell r="BA243">
            <v>71</v>
          </cell>
          <cell r="BB243">
            <v>70</v>
          </cell>
          <cell r="BC243">
            <v>69</v>
          </cell>
          <cell r="BD243">
            <v>68</v>
          </cell>
          <cell r="BE243">
            <v>68</v>
          </cell>
          <cell r="BF243">
            <v>66</v>
          </cell>
          <cell r="BG243">
            <v>65</v>
          </cell>
          <cell r="BH243">
            <v>64</v>
          </cell>
          <cell r="BI243">
            <v>67</v>
          </cell>
          <cell r="BJ243">
            <v>67</v>
          </cell>
          <cell r="BK243">
            <v>65</v>
          </cell>
          <cell r="BL243">
            <v>55</v>
          </cell>
          <cell r="BM243">
            <v>55</v>
          </cell>
          <cell r="BN243">
            <v>51</v>
          </cell>
          <cell r="BO243">
            <v>51</v>
          </cell>
          <cell r="BP243">
            <v>51</v>
          </cell>
          <cell r="BQ243">
            <v>50</v>
          </cell>
          <cell r="BR243">
            <v>53</v>
          </cell>
          <cell r="BS243">
            <v>57</v>
          </cell>
          <cell r="BT243">
            <v>57</v>
          </cell>
          <cell r="BU243">
            <v>60</v>
          </cell>
          <cell r="BV243">
            <v>62</v>
          </cell>
          <cell r="BW243">
            <v>64</v>
          </cell>
          <cell r="BX243">
            <v>61</v>
          </cell>
          <cell r="BY243">
            <v>61</v>
          </cell>
          <cell r="BZ243">
            <v>62</v>
          </cell>
          <cell r="CA243">
            <v>62</v>
          </cell>
          <cell r="CB243">
            <v>66</v>
          </cell>
          <cell r="CC243">
            <v>67.253455117358115</v>
          </cell>
          <cell r="CD243">
            <v>67.253455117358115</v>
          </cell>
          <cell r="CE243">
            <v>66.986991604950248</v>
          </cell>
          <cell r="CF243">
            <v>66.345289043566055</v>
          </cell>
          <cell r="CG243">
            <v>69.837423536228684</v>
          </cell>
          <cell r="CH243">
            <v>71.011031913589449</v>
          </cell>
          <cell r="CI243">
            <v>71.011031913589449</v>
          </cell>
          <cell r="CN243">
            <v>76.691914466676607</v>
          </cell>
          <cell r="CS243">
            <v>82.827267624010744</v>
          </cell>
          <cell r="DJ243" t="str">
            <v>mstag:longTermInvestmentsNonOperating</v>
          </cell>
          <cell r="DK243">
            <v>6</v>
          </cell>
          <cell r="DL243" t="str">
            <v>ISO4217:USD</v>
          </cell>
          <cell r="DM243" t="b">
            <v>0</v>
          </cell>
          <cell r="DN243" t="b">
            <v>0</v>
          </cell>
        </row>
        <row r="244">
          <cell r="A244" t="str">
            <v>% of Pax Revenue</v>
          </cell>
          <cell r="B244">
            <v>11.513999999999999</v>
          </cell>
          <cell r="G244">
            <v>34.403000000000048</v>
          </cell>
          <cell r="L244">
            <v>0</v>
          </cell>
          <cell r="Q244">
            <v>0</v>
          </cell>
          <cell r="V244">
            <v>0</v>
          </cell>
          <cell r="AA244">
            <v>0</v>
          </cell>
          <cell r="AF244">
            <v>6.8460580582729053E-2</v>
          </cell>
          <cell r="AG244">
            <v>6.6593818819644837E-2</v>
          </cell>
          <cell r="AH244">
            <v>6.0689634790887258E-2</v>
          </cell>
          <cell r="AI244">
            <v>5.6033109233379355E-2</v>
          </cell>
          <cell r="AJ244">
            <v>5.39713951605649E-2</v>
          </cell>
          <cell r="AK244">
            <v>5.39713951605649E-2</v>
          </cell>
          <cell r="AL244">
            <v>5.2495697074010327E-2</v>
          </cell>
          <cell r="AM244">
            <v>4.118616144975288E-2</v>
          </cell>
          <cell r="AN244">
            <v>2.7440219521756175E-2</v>
          </cell>
          <cell r="AO244">
            <v>2.0106221547799695E-2</v>
          </cell>
          <cell r="AP244">
            <v>2.0106221547799695E-2</v>
          </cell>
          <cell r="AQ244">
            <v>1.9148936170212766E-2</v>
          </cell>
          <cell r="AR244">
            <v>4.4238683127572016E-2</v>
          </cell>
          <cell r="AS244">
            <v>7.0076386582530723E-2</v>
          </cell>
          <cell r="AT244">
            <v>8.6387434554973816E-2</v>
          </cell>
          <cell r="AU244">
            <v>8.6387434554973816E-2</v>
          </cell>
          <cell r="AV244">
            <v>6.9628647214854109E-2</v>
          </cell>
          <cell r="AW244">
            <v>5.6081081081081084E-2</v>
          </cell>
          <cell r="AX244">
            <v>3.8725154215215898E-2</v>
          </cell>
          <cell r="AY244">
            <v>2.6252983293556086E-2</v>
          </cell>
          <cell r="AZ244">
            <v>2.6252983293556086E-2</v>
          </cell>
          <cell r="BA244">
            <v>2.3588039867109636E-2</v>
          </cell>
          <cell r="BB244">
            <v>2.2314313037934332E-2</v>
          </cell>
          <cell r="BC244">
            <v>2.0883777239709442E-2</v>
          </cell>
          <cell r="BD244">
            <v>1.992966002344666E-2</v>
          </cell>
          <cell r="BE244">
            <v>1.992966002344666E-2</v>
          </cell>
          <cell r="BF244">
            <v>1.86810076422304E-2</v>
          </cell>
          <cell r="BG244">
            <v>1.7430946634486459E-2</v>
          </cell>
          <cell r="BH244">
            <v>1.6477857878475798E-2</v>
          </cell>
          <cell r="BI244">
            <v>1.6421568627450981E-2</v>
          </cell>
          <cell r="BJ244">
            <v>1.6421568627450981E-2</v>
          </cell>
          <cell r="BK244">
            <v>1.5222482435597189E-2</v>
          </cell>
          <cell r="BL244">
            <v>1.2514220705346985E-2</v>
          </cell>
          <cell r="BM244">
            <v>1.2216792536650378E-2</v>
          </cell>
          <cell r="BN244">
            <v>1.1208791208791209E-2</v>
          </cell>
          <cell r="BO244">
            <v>1.1208791208791209E-2</v>
          </cell>
          <cell r="BP244">
            <v>1.0991379310344827E-2</v>
          </cell>
          <cell r="BQ244">
            <v>1.0658708164570454E-2</v>
          </cell>
          <cell r="BR244">
            <v>1.1000415110004151E-2</v>
          </cell>
          <cell r="BS244">
            <v>1.1466505733252867E-2</v>
          </cell>
          <cell r="BT244">
            <v>1.1466505733252867E-2</v>
          </cell>
          <cell r="BU244">
            <v>1.1964107676969093E-2</v>
          </cell>
          <cell r="BV244">
            <v>1.2003872216844144E-2</v>
          </cell>
          <cell r="BW244">
            <v>1.2171928489920122E-2</v>
          </cell>
          <cell r="BX244">
            <v>1.1416807037244993E-2</v>
          </cell>
          <cell r="BY244">
            <v>1.1416807037244993E-2</v>
          </cell>
          <cell r="BZ244">
            <v>1.1229849664915775E-2</v>
          </cell>
          <cell r="CA244">
            <v>1.0983170947741363E-2</v>
          </cell>
          <cell r="CB244">
            <v>1.1414735385679695E-2</v>
          </cell>
          <cell r="CC244">
            <v>1.1416807037244993E-2</v>
          </cell>
          <cell r="CD244">
            <v>1.1416807037244993E-2</v>
          </cell>
          <cell r="CE244">
            <v>1.1229849664915775E-2</v>
          </cell>
          <cell r="CF244">
            <v>1.0983170947741363E-2</v>
          </cell>
          <cell r="CG244">
            <v>1.1414735385679695E-2</v>
          </cell>
          <cell r="CH244">
            <v>1.1416807037244993E-2</v>
          </cell>
          <cell r="CI244">
            <v>1.1416807037244995E-2</v>
          </cell>
          <cell r="CN244">
            <v>1.1416807037244995E-2</v>
          </cell>
          <cell r="CS244">
            <v>1.1416807037244995E-2</v>
          </cell>
        </row>
        <row r="245">
          <cell r="A245" t="str">
            <v>Total Cash &amp; Short-term Investments</v>
          </cell>
          <cell r="B245">
            <v>18.245999999999999</v>
          </cell>
          <cell r="G245">
            <v>34.403000000000048</v>
          </cell>
          <cell r="L245">
            <v>117.52200000000002</v>
          </cell>
          <cell r="Q245">
            <v>122.65299999999993</v>
          </cell>
          <cell r="V245">
            <v>607.30499999999995</v>
          </cell>
          <cell r="AA245">
            <v>449.16199999999992</v>
          </cell>
          <cell r="AF245">
            <v>594.71699999999987</v>
          </cell>
          <cell r="AG245">
            <v>534.71699999999987</v>
          </cell>
          <cell r="AH245">
            <v>582.71699999999987</v>
          </cell>
          <cell r="AI245">
            <v>570.71699999999987</v>
          </cell>
          <cell r="AJ245">
            <v>818.71699999999987</v>
          </cell>
          <cell r="AK245">
            <v>818.71699999999987</v>
          </cell>
          <cell r="AL245">
            <v>895.71699999999987</v>
          </cell>
          <cell r="AM245">
            <v>871.71699999999987</v>
          </cell>
          <cell r="AN245">
            <v>913.71699999999987</v>
          </cell>
          <cell r="AO245">
            <v>886.71699999999987</v>
          </cell>
          <cell r="AP245">
            <v>886.71699999999987</v>
          </cell>
          <cell r="AQ245">
            <v>806.71699999999987</v>
          </cell>
          <cell r="AR245">
            <v>1092.7169999999999</v>
          </cell>
          <cell r="AS245">
            <v>775.71699999999987</v>
          </cell>
          <cell r="AT245">
            <v>834.71699999999987</v>
          </cell>
          <cell r="AU245">
            <v>834.71699999999987</v>
          </cell>
          <cell r="AV245">
            <v>845.71699999999987</v>
          </cell>
          <cell r="AW245">
            <v>1056.7169999999999</v>
          </cell>
          <cell r="AX245">
            <v>1282.7169999999999</v>
          </cell>
          <cell r="AY245">
            <v>1218.7169999999999</v>
          </cell>
          <cell r="AZ245">
            <v>1218.7169999999999</v>
          </cell>
          <cell r="BA245">
            <v>1207.7169999999999</v>
          </cell>
          <cell r="BB245">
            <v>1228.7169999999999</v>
          </cell>
          <cell r="BC245">
            <v>1232.7169999999999</v>
          </cell>
          <cell r="BD245">
            <v>1160.7169999999999</v>
          </cell>
          <cell r="BE245">
            <v>1160.7169999999996</v>
          </cell>
          <cell r="BF245">
            <v>1300.7169999999996</v>
          </cell>
          <cell r="BG245">
            <v>1370.7169999999996</v>
          </cell>
          <cell r="BH245">
            <v>1302.7169999999996</v>
          </cell>
          <cell r="BI245">
            <v>1330.7169999999996</v>
          </cell>
          <cell r="BJ245">
            <v>1330.7169999999996</v>
          </cell>
          <cell r="BK245">
            <v>1289.7169999999996</v>
          </cell>
          <cell r="BL245">
            <v>1266.7169999999996</v>
          </cell>
          <cell r="BM245">
            <v>1118.7169999999996</v>
          </cell>
          <cell r="BN245">
            <v>917.71699999999953</v>
          </cell>
          <cell r="BO245">
            <v>917.71699999999953</v>
          </cell>
          <cell r="BP245">
            <v>997.71699999999953</v>
          </cell>
          <cell r="BQ245">
            <v>992.71699999999953</v>
          </cell>
          <cell r="BR245">
            <v>1092.7169999999996</v>
          </cell>
          <cell r="BS245">
            <v>797.71699999999953</v>
          </cell>
          <cell r="BT245">
            <v>797.71699999999953</v>
          </cell>
          <cell r="BU245">
            <v>927.71699999999953</v>
          </cell>
          <cell r="BV245">
            <v>985.71699999999953</v>
          </cell>
          <cell r="BW245">
            <v>927.71699999999953</v>
          </cell>
          <cell r="BX245">
            <v>828.71699999999953</v>
          </cell>
          <cell r="BY245">
            <v>828.71699999999953</v>
          </cell>
          <cell r="BZ245">
            <v>1157.7169999999996</v>
          </cell>
          <cell r="CA245">
            <v>1032.7169999999996</v>
          </cell>
          <cell r="CB245">
            <v>1244.7169999999996</v>
          </cell>
          <cell r="CC245">
            <v>938.03516906105995</v>
          </cell>
          <cell r="CD245">
            <v>938.03516906106063</v>
          </cell>
          <cell r="CE245">
            <v>1157.5250357656962</v>
          </cell>
          <cell r="CF245">
            <v>1165.1195461339209</v>
          </cell>
          <cell r="CG245">
            <v>1263.8081872986006</v>
          </cell>
          <cell r="CH245">
            <v>1116.0890371165349</v>
          </cell>
          <cell r="CI245">
            <v>1116.089037116534</v>
          </cell>
          <cell r="CN245">
            <v>1272.019229472465</v>
          </cell>
          <cell r="CS245">
            <v>1437.573000700954</v>
          </cell>
          <cell r="DE245" t="str">
            <v>mstag:deferredTaxAssetsCurrent</v>
          </cell>
          <cell r="DF245">
            <v>6</v>
          </cell>
          <cell r="DG245" t="str">
            <v>ISO4217:USD</v>
          </cell>
          <cell r="DH245" t="b">
            <v>0</v>
          </cell>
          <cell r="DI245" t="b">
            <v>0</v>
          </cell>
        </row>
        <row r="246">
          <cell r="A246" t="str">
            <v>Deferred Income Taxes</v>
          </cell>
          <cell r="G246">
            <v>0</v>
          </cell>
          <cell r="L246">
            <v>0</v>
          </cell>
          <cell r="Q246">
            <v>2.8460000000000001</v>
          </cell>
          <cell r="V246">
            <v>0</v>
          </cell>
          <cell r="AA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0</v>
          </cell>
          <cell r="BZ246">
            <v>0</v>
          </cell>
          <cell r="CA246">
            <v>0</v>
          </cell>
          <cell r="CB246">
            <v>0</v>
          </cell>
          <cell r="CC246">
            <v>0</v>
          </cell>
          <cell r="CD246">
            <v>0</v>
          </cell>
          <cell r="CE246">
            <v>0</v>
          </cell>
          <cell r="CF246">
            <v>0</v>
          </cell>
          <cell r="CG246">
            <v>0</v>
          </cell>
          <cell r="CH246">
            <v>0</v>
          </cell>
          <cell r="CI246">
            <v>0</v>
          </cell>
          <cell r="CN246">
            <v>0</v>
          </cell>
          <cell r="CS246">
            <v>0</v>
          </cell>
          <cell r="DE246" t="str">
            <v>mstag:otherAssetsOperatingCurrent</v>
          </cell>
          <cell r="DF246">
            <v>6</v>
          </cell>
          <cell r="DG246" t="str">
            <v>ISO4217:USD</v>
          </cell>
          <cell r="DH246" t="b">
            <v>0</v>
          </cell>
          <cell r="DI246" t="b">
            <v>0</v>
          </cell>
          <cell r="DJ246" t="str">
            <v>mstag:deferredTaxAssetsCurrent</v>
          </cell>
          <cell r="DK246">
            <v>6</v>
          </cell>
          <cell r="DL246" t="str">
            <v>ISO4217:USD</v>
          </cell>
          <cell r="DM246" t="b">
            <v>0</v>
          </cell>
          <cell r="DN246" t="b">
            <v>0</v>
          </cell>
        </row>
        <row r="247">
          <cell r="A247" t="str">
            <v>Prepaid Expenses &amp; Other Current Assets</v>
          </cell>
          <cell r="G247">
            <v>25.509999999999984</v>
          </cell>
          <cell r="L247">
            <v>26.742999999999967</v>
          </cell>
          <cell r="Q247">
            <v>157.56000000000009</v>
          </cell>
          <cell r="V247">
            <v>38.435000000000059</v>
          </cell>
          <cell r="AA247">
            <v>65.91800000000012</v>
          </cell>
          <cell r="AF247">
            <v>151.28300000000013</v>
          </cell>
          <cell r="AG247">
            <v>191.28300000000013</v>
          </cell>
          <cell r="AH247">
            <v>153.28300000000013</v>
          </cell>
          <cell r="AI247">
            <v>164.28300000000013</v>
          </cell>
          <cell r="AJ247">
            <v>228.28300000000013</v>
          </cell>
          <cell r="AK247">
            <v>228.28300000000013</v>
          </cell>
          <cell r="AL247">
            <v>226.28300000000013</v>
          </cell>
          <cell r="AM247">
            <v>325.28300000000013</v>
          </cell>
          <cell r="AN247">
            <v>262.28300000000013</v>
          </cell>
          <cell r="AO247">
            <v>282.28300000000013</v>
          </cell>
          <cell r="AP247">
            <v>282.28300000000013</v>
          </cell>
          <cell r="AQ247">
            <v>595.28300000000013</v>
          </cell>
          <cell r="AR247">
            <v>637.28300000000013</v>
          </cell>
          <cell r="AS247">
            <v>572.28300000000013</v>
          </cell>
          <cell r="AT247">
            <v>313.28300000000013</v>
          </cell>
          <cell r="AU247">
            <v>313.28300000000013</v>
          </cell>
          <cell r="AV247">
            <v>310.28300000000013</v>
          </cell>
          <cell r="AW247">
            <v>292.28300000000013</v>
          </cell>
          <cell r="AX247">
            <v>309.28300000000013</v>
          </cell>
          <cell r="AY247">
            <v>389.28300000000013</v>
          </cell>
          <cell r="AZ247">
            <v>389.28300000000013</v>
          </cell>
          <cell r="BA247">
            <v>363.28300000000013</v>
          </cell>
          <cell r="BB247">
            <v>360.28300000000013</v>
          </cell>
          <cell r="BC247">
            <v>360.28300000000013</v>
          </cell>
          <cell r="BD247">
            <v>397.28300000000013</v>
          </cell>
          <cell r="BE247">
            <v>397.28300000000013</v>
          </cell>
          <cell r="BF247">
            <v>437.28300000000036</v>
          </cell>
          <cell r="BG247">
            <v>389.28300000000036</v>
          </cell>
          <cell r="BH247">
            <v>402.28300000000036</v>
          </cell>
          <cell r="BI247">
            <v>402.28300000000036</v>
          </cell>
          <cell r="BJ247">
            <v>402.28300000000036</v>
          </cell>
          <cell r="BK247">
            <v>439.28300000000036</v>
          </cell>
          <cell r="BL247">
            <v>413.28300000000036</v>
          </cell>
          <cell r="BM247">
            <v>423.28300000000036</v>
          </cell>
          <cell r="BN247">
            <v>369.28300000000047</v>
          </cell>
          <cell r="BO247">
            <v>369.28300000000047</v>
          </cell>
          <cell r="BP247">
            <v>437.28300000000047</v>
          </cell>
          <cell r="BQ247">
            <v>458.28300000000047</v>
          </cell>
          <cell r="BR247">
            <v>428.28300000000036</v>
          </cell>
          <cell r="BS247">
            <v>429.28300000000047</v>
          </cell>
          <cell r="BT247">
            <v>429.28300000000047</v>
          </cell>
          <cell r="BU247">
            <v>585.28300000000047</v>
          </cell>
          <cell r="BV247">
            <v>468.28300000000047</v>
          </cell>
          <cell r="BW247">
            <v>473.28300000000047</v>
          </cell>
          <cell r="BX247">
            <v>492.28300000000047</v>
          </cell>
          <cell r="BY247">
            <v>492.28300000000047</v>
          </cell>
          <cell r="BZ247">
            <v>513.28300000000036</v>
          </cell>
          <cell r="CA247">
            <v>490.28300000000036</v>
          </cell>
          <cell r="CB247">
            <v>494.28300000000036</v>
          </cell>
          <cell r="CC247">
            <v>555.16487783431023</v>
          </cell>
          <cell r="CD247">
            <v>555.16487783431023</v>
          </cell>
          <cell r="CE247">
            <v>581.41571763600223</v>
          </cell>
          <cell r="CF247">
            <v>554.81378883951049</v>
          </cell>
          <cell r="CG247">
            <v>546.18883804092445</v>
          </cell>
          <cell r="CH247">
            <v>610.5630093740233</v>
          </cell>
          <cell r="CI247">
            <v>610.5630093740233</v>
          </cell>
          <cell r="CN247">
            <v>675.48832702992968</v>
          </cell>
          <cell r="CS247">
            <v>744.79296545372961</v>
          </cell>
          <cell r="DJ247" t="str">
            <v>mstag:otherAssetsOperatingCurrent</v>
          </cell>
          <cell r="DK247">
            <v>6</v>
          </cell>
          <cell r="DL247" t="str">
            <v>ISO4217:USD</v>
          </cell>
          <cell r="DM247" t="b">
            <v>0</v>
          </cell>
          <cell r="DN247" t="b">
            <v>0</v>
          </cell>
        </row>
        <row r="248">
          <cell r="A248" t="str">
            <v>% of Ex-Fuel Expenses</v>
          </cell>
          <cell r="G248">
            <v>59.913000000000032</v>
          </cell>
          <cell r="L248">
            <v>0.1059640697683632</v>
          </cell>
          <cell r="Q248">
            <v>0.34709968211167747</v>
          </cell>
          <cell r="V248">
            <v>5.6621813135494685E-2</v>
          </cell>
          <cell r="AA248">
            <v>7.3596877396967519E-2</v>
          </cell>
          <cell r="AF248">
            <v>0.13119210920433852</v>
          </cell>
          <cell r="AG248">
            <v>0.15349289560833296</v>
          </cell>
          <cell r="AH248">
            <v>0.11425660123079869</v>
          </cell>
          <cell r="AI248">
            <v>0.11548689829704231</v>
          </cell>
          <cell r="AJ248">
            <v>0.15310731052984583</v>
          </cell>
          <cell r="AK248">
            <v>0.15310731052984583</v>
          </cell>
          <cell r="AL248">
            <v>0.1444052329291641</v>
          </cell>
          <cell r="AM248">
            <v>0.20017415384615392</v>
          </cell>
          <cell r="AN248">
            <v>0.1561208333333334</v>
          </cell>
          <cell r="AO248">
            <v>0.16185951834862392</v>
          </cell>
          <cell r="AP248">
            <v>0.16185951834862392</v>
          </cell>
          <cell r="AQ248">
            <v>0.33001607717041803</v>
          </cell>
          <cell r="AR248">
            <v>0.34619893524554546</v>
          </cell>
          <cell r="AS248">
            <v>0.30282728331040326</v>
          </cell>
          <cell r="AT248">
            <v>0.16330431609674734</v>
          </cell>
          <cell r="AU248">
            <v>0.16330431609674734</v>
          </cell>
          <cell r="AV248">
            <v>0.16126975051975059</v>
          </cell>
          <cell r="AW248">
            <v>0.14974281469337575</v>
          </cell>
          <cell r="AX248">
            <v>0.15467243448689746</v>
          </cell>
          <cell r="AY248">
            <v>0.18878903976721637</v>
          </cell>
          <cell r="AZ248">
            <v>0.18878903976721637</v>
          </cell>
          <cell r="BA248">
            <v>0.1697901476911573</v>
          </cell>
          <cell r="BB248">
            <v>0.16304611485722051</v>
          </cell>
          <cell r="BC248">
            <v>0.15843579595426566</v>
          </cell>
          <cell r="BD248">
            <v>0.17040533584970405</v>
          </cell>
          <cell r="BE248">
            <v>0.17040533584970405</v>
          </cell>
          <cell r="BF248">
            <v>0.18439866745382485</v>
          </cell>
          <cell r="BG248">
            <v>0.16010652299086958</v>
          </cell>
          <cell r="BH248">
            <v>0.163105335711969</v>
          </cell>
          <cell r="BI248">
            <v>0.15976290706910259</v>
          </cell>
          <cell r="BJ248">
            <v>0.15976290706910259</v>
          </cell>
          <cell r="BK248">
            <v>0.16993539651837539</v>
          </cell>
          <cell r="BL248">
            <v>0.15560353915662664</v>
          </cell>
          <cell r="BM248">
            <v>0.15465217391304362</v>
          </cell>
          <cell r="BN248">
            <v>0.13188678571428589</v>
          </cell>
          <cell r="BO248">
            <v>0.13188678571428589</v>
          </cell>
          <cell r="BP248">
            <v>0.15120435684647318</v>
          </cell>
          <cell r="BQ248">
            <v>0.15466857914276089</v>
          </cell>
          <cell r="BR248">
            <v>0.14097531270572758</v>
          </cell>
          <cell r="BS248">
            <v>0.13785581245985887</v>
          </cell>
          <cell r="BT248">
            <v>0.13785581245985887</v>
          </cell>
          <cell r="BU248">
            <v>0.18376232339089496</v>
          </cell>
          <cell r="BV248">
            <v>0.14311827628361873</v>
          </cell>
          <cell r="BW248">
            <v>0.14199909990999113</v>
          </cell>
          <cell r="BX248">
            <v>0.14521622418879071</v>
          </cell>
          <cell r="BY248">
            <v>0.14521622418879071</v>
          </cell>
          <cell r="BZ248">
            <v>0.14745274346452178</v>
          </cell>
          <cell r="CA248">
            <v>0.13675955369595547</v>
          </cell>
          <cell r="CB248">
            <v>0.13255108608205962</v>
          </cell>
          <cell r="CC248">
            <v>0.14521622418879071</v>
          </cell>
          <cell r="CD248">
            <v>0.14521622418879071</v>
          </cell>
          <cell r="CE248">
            <v>0.14745274346452178</v>
          </cell>
          <cell r="CF248">
            <v>0.13675955369595547</v>
          </cell>
          <cell r="CG248">
            <v>0.13255108608205962</v>
          </cell>
          <cell r="CH248">
            <v>0.14521622418879071</v>
          </cell>
          <cell r="CI248">
            <v>0.14521622418879071</v>
          </cell>
          <cell r="CJ248">
            <v>0</v>
          </cell>
          <cell r="CK248">
            <v>0</v>
          </cell>
          <cell r="CL248">
            <v>0</v>
          </cell>
          <cell r="CM248">
            <v>0</v>
          </cell>
          <cell r="CN248">
            <v>701.15677725806836</v>
          </cell>
          <cell r="CS248">
            <v>0.14521622418879071</v>
          </cell>
          <cell r="DJ248" t="str">
            <v>mstag:cashAndCashEquivalents</v>
          </cell>
          <cell r="DK248">
            <v>6</v>
          </cell>
          <cell r="DL248" t="str">
            <v>ISO4217:USD</v>
          </cell>
          <cell r="DM248" t="b">
            <v>0</v>
          </cell>
          <cell r="DN248" t="b">
            <v>0</v>
          </cell>
        </row>
        <row r="249">
          <cell r="A249" t="str">
            <v>Total Current Assets</v>
          </cell>
          <cell r="G249">
            <v>59.913000000000032</v>
          </cell>
          <cell r="L249">
            <v>144.26499999999999</v>
          </cell>
          <cell r="Q249">
            <v>283.05900000000003</v>
          </cell>
          <cell r="V249">
            <v>645.74</v>
          </cell>
          <cell r="AA249">
            <v>515.08000000000004</v>
          </cell>
          <cell r="AF249">
            <v>746</v>
          </cell>
          <cell r="AG249">
            <v>726</v>
          </cell>
          <cell r="AH249">
            <v>736</v>
          </cell>
          <cell r="AI249">
            <v>735</v>
          </cell>
          <cell r="AJ249">
            <v>1047</v>
          </cell>
          <cell r="AK249">
            <v>1047</v>
          </cell>
          <cell r="AL249">
            <v>1122</v>
          </cell>
          <cell r="AM249">
            <v>1197</v>
          </cell>
          <cell r="AN249">
            <v>1176</v>
          </cell>
          <cell r="AO249">
            <v>1169</v>
          </cell>
          <cell r="AP249">
            <v>1169</v>
          </cell>
          <cell r="AQ249">
            <v>1402</v>
          </cell>
          <cell r="AR249">
            <v>1730</v>
          </cell>
          <cell r="AS249">
            <v>1348</v>
          </cell>
          <cell r="AT249">
            <v>1148</v>
          </cell>
          <cell r="AU249">
            <v>1148</v>
          </cell>
          <cell r="AV249">
            <v>1156</v>
          </cell>
          <cell r="AW249">
            <v>1349</v>
          </cell>
          <cell r="AX249">
            <v>1592</v>
          </cell>
          <cell r="AY249">
            <v>1608</v>
          </cell>
          <cell r="AZ249">
            <v>1608</v>
          </cell>
          <cell r="BA249">
            <v>1571</v>
          </cell>
          <cell r="BB249">
            <v>1589</v>
          </cell>
          <cell r="BC249">
            <v>1593</v>
          </cell>
          <cell r="BD249">
            <v>1558</v>
          </cell>
          <cell r="BE249">
            <v>1557.9999999999998</v>
          </cell>
          <cell r="BF249">
            <v>1738</v>
          </cell>
          <cell r="BG249">
            <v>1760</v>
          </cell>
          <cell r="BH249">
            <v>1705</v>
          </cell>
          <cell r="BI249">
            <v>1733</v>
          </cell>
          <cell r="BJ249">
            <v>1733</v>
          </cell>
          <cell r="BK249">
            <v>1729</v>
          </cell>
          <cell r="BL249">
            <v>1680</v>
          </cell>
          <cell r="BM249">
            <v>1542</v>
          </cell>
          <cell r="BN249">
            <v>1287</v>
          </cell>
          <cell r="BO249">
            <v>1287</v>
          </cell>
          <cell r="BP249">
            <v>1435</v>
          </cell>
          <cell r="BQ249">
            <v>1451</v>
          </cell>
          <cell r="BR249">
            <v>1521</v>
          </cell>
          <cell r="BS249">
            <v>1227</v>
          </cell>
          <cell r="BT249">
            <v>1227</v>
          </cell>
          <cell r="BU249">
            <v>1513</v>
          </cell>
          <cell r="BV249">
            <v>1454</v>
          </cell>
          <cell r="BW249">
            <v>1401</v>
          </cell>
          <cell r="BX249">
            <v>1321</v>
          </cell>
          <cell r="BY249">
            <v>1321</v>
          </cell>
          <cell r="BZ249">
            <v>1671</v>
          </cell>
          <cell r="CA249">
            <v>1523</v>
          </cell>
          <cell r="CB249">
            <v>1739</v>
          </cell>
          <cell r="CC249">
            <v>1493.2000468953702</v>
          </cell>
          <cell r="CD249">
            <v>1493.2000468953709</v>
          </cell>
          <cell r="CE249">
            <v>1738.9407534016984</v>
          </cell>
          <cell r="CF249">
            <v>1719.9333349734316</v>
          </cell>
          <cell r="CG249">
            <v>1809.997025339525</v>
          </cell>
          <cell r="CH249">
            <v>1726.6520464905582</v>
          </cell>
          <cell r="CI249">
            <v>1726.6520464905573</v>
          </cell>
          <cell r="CJ249">
            <v>0</v>
          </cell>
          <cell r="CK249">
            <v>0</v>
          </cell>
          <cell r="CL249">
            <v>0</v>
          </cell>
          <cell r="CM249">
            <v>0</v>
          </cell>
          <cell r="CN249">
            <v>308.14613044738928</v>
          </cell>
          <cell r="CO249">
            <v>0</v>
          </cell>
          <cell r="CP249">
            <v>0</v>
          </cell>
          <cell r="CQ249">
            <v>0</v>
          </cell>
          <cell r="CR249">
            <v>0</v>
          </cell>
          <cell r="CS249">
            <v>308.14613044738928</v>
          </cell>
          <cell r="DJ249" t="str">
            <v>mstag:shortTermInvestments</v>
          </cell>
          <cell r="DK249">
            <v>6</v>
          </cell>
          <cell r="DL249" t="str">
            <v>ISO4217:USD</v>
          </cell>
          <cell r="DM249" t="b">
            <v>0</v>
          </cell>
          <cell r="DN249" t="b">
            <v>0</v>
          </cell>
        </row>
        <row r="250">
          <cell r="A250" t="str">
            <v>CA Less Cash and Deferred Income Taxes</v>
          </cell>
          <cell r="G250">
            <v>25.509999999999984</v>
          </cell>
          <cell r="L250">
            <v>26.742999999999967</v>
          </cell>
          <cell r="Q250">
            <v>157.56000000000009</v>
          </cell>
          <cell r="V250">
            <v>38.435000000000059</v>
          </cell>
          <cell r="AA250">
            <v>65.91800000000012</v>
          </cell>
          <cell r="AF250">
            <v>262.28300000000013</v>
          </cell>
          <cell r="AG250">
            <v>306.28300000000013</v>
          </cell>
          <cell r="AH250">
            <v>268.28300000000013</v>
          </cell>
          <cell r="AI250">
            <v>279.28300000000013</v>
          </cell>
          <cell r="AJ250">
            <v>348.28300000000013</v>
          </cell>
          <cell r="AK250">
            <v>348.28300000000013</v>
          </cell>
          <cell r="AL250">
            <v>348.28300000000013</v>
          </cell>
          <cell r="AM250">
            <v>425.28300000000013</v>
          </cell>
          <cell r="AN250">
            <v>332.28300000000013</v>
          </cell>
          <cell r="AO250">
            <v>335.28300000000013</v>
          </cell>
          <cell r="AP250">
            <v>335.28300000000013</v>
          </cell>
          <cell r="AQ250">
            <v>649.28300000000013</v>
          </cell>
          <cell r="AR250">
            <v>766.28300000000013</v>
          </cell>
          <cell r="AS250">
            <v>783.28300000000013</v>
          </cell>
          <cell r="AT250">
            <v>577.28300000000013</v>
          </cell>
          <cell r="AU250">
            <v>577.28300000000013</v>
          </cell>
          <cell r="AV250">
            <v>520.28300000000013</v>
          </cell>
          <cell r="AW250">
            <v>458.28300000000013</v>
          </cell>
          <cell r="AX250">
            <v>422.28300000000013</v>
          </cell>
          <cell r="AY250">
            <v>466.28300000000013</v>
          </cell>
          <cell r="AZ250">
            <v>466.28300000000013</v>
          </cell>
          <cell r="BA250">
            <v>434.28300000000013</v>
          </cell>
          <cell r="BB250">
            <v>430.28300000000013</v>
          </cell>
          <cell r="BC250">
            <v>429.28300000000013</v>
          </cell>
          <cell r="BD250">
            <v>465.28300000000013</v>
          </cell>
          <cell r="BE250">
            <v>465.28300000000013</v>
          </cell>
          <cell r="BF250">
            <v>503.28300000000036</v>
          </cell>
          <cell r="BG250">
            <v>454.28300000000036</v>
          </cell>
          <cell r="BH250">
            <v>466.28300000000036</v>
          </cell>
          <cell r="BI250">
            <v>469.28300000000036</v>
          </cell>
          <cell r="BJ250">
            <v>469.28300000000036</v>
          </cell>
          <cell r="BK250">
            <v>504.28300000000036</v>
          </cell>
          <cell r="BL250">
            <v>468.28300000000036</v>
          </cell>
          <cell r="BM250">
            <v>478.28300000000036</v>
          </cell>
          <cell r="BN250">
            <v>420.28300000000047</v>
          </cell>
          <cell r="BO250">
            <v>420.28300000000047</v>
          </cell>
          <cell r="BP250">
            <v>488.28300000000047</v>
          </cell>
          <cell r="BQ250">
            <v>508.28300000000047</v>
          </cell>
          <cell r="BR250">
            <v>481.28300000000036</v>
          </cell>
          <cell r="BS250">
            <v>486.28300000000047</v>
          </cell>
          <cell r="BT250">
            <v>486.28300000000047</v>
          </cell>
          <cell r="BU250">
            <v>645.28300000000047</v>
          </cell>
          <cell r="BV250">
            <v>530.28300000000047</v>
          </cell>
          <cell r="BW250">
            <v>537.28300000000047</v>
          </cell>
          <cell r="BX250">
            <v>553.28300000000047</v>
          </cell>
          <cell r="BY250">
            <v>553.28300000000047</v>
          </cell>
          <cell r="BZ250">
            <v>575.28300000000036</v>
          </cell>
          <cell r="CA250">
            <v>552.28300000000036</v>
          </cell>
          <cell r="CB250">
            <v>560.28300000000036</v>
          </cell>
          <cell r="CC250">
            <v>622.41833295166839</v>
          </cell>
          <cell r="CD250">
            <v>622.41833295166839</v>
          </cell>
          <cell r="CE250">
            <v>648.4027092409525</v>
          </cell>
          <cell r="CF250">
            <v>621.15907788307652</v>
          </cell>
          <cell r="CG250">
            <v>616.02626157715315</v>
          </cell>
          <cell r="CH250">
            <v>681.57404128761277</v>
          </cell>
          <cell r="CI250">
            <v>681.57404128761277</v>
          </cell>
          <cell r="CJ250">
            <v>0</v>
          </cell>
          <cell r="CK250">
            <v>0</v>
          </cell>
          <cell r="CL250">
            <v>0</v>
          </cell>
          <cell r="CM250">
            <v>0</v>
          </cell>
          <cell r="CN250">
            <v>1009.3029077054576</v>
          </cell>
          <cell r="CO250">
            <v>0</v>
          </cell>
          <cell r="CP250">
            <v>0</v>
          </cell>
          <cell r="CQ250">
            <v>0</v>
          </cell>
          <cell r="CR250">
            <v>0</v>
          </cell>
          <cell r="CS250">
            <v>1108.3825486271999</v>
          </cell>
          <cell r="DE250" t="str">
            <v>mstag:propertyPlantAndEquipmentGross</v>
          </cell>
          <cell r="DF250">
            <v>6</v>
          </cell>
          <cell r="DG250" t="str">
            <v>ISO4217:USD</v>
          </cell>
          <cell r="DH250" t="b">
            <v>0</v>
          </cell>
          <cell r="DI250" t="b">
            <v>0</v>
          </cell>
        </row>
        <row r="251">
          <cell r="A251" t="str">
            <v xml:space="preserve">Total Owned and Leased PPE </v>
          </cell>
          <cell r="G251">
            <v>272.97000000000003</v>
          </cell>
          <cell r="L251">
            <v>518.71400000000006</v>
          </cell>
          <cell r="Q251">
            <v>1035.133</v>
          </cell>
          <cell r="V251">
            <v>1502.0239999999999</v>
          </cell>
          <cell r="AA251">
            <v>2280.9050000000002</v>
          </cell>
          <cell r="AF251">
            <v>3217</v>
          </cell>
          <cell r="AG251">
            <v>3464</v>
          </cell>
          <cell r="AH251">
            <v>3719</v>
          </cell>
          <cell r="AI251">
            <v>3858</v>
          </cell>
          <cell r="AJ251">
            <v>3962</v>
          </cell>
          <cell r="AK251">
            <v>3962</v>
          </cell>
          <cell r="AL251">
            <v>4226</v>
          </cell>
          <cell r="AM251">
            <v>4439</v>
          </cell>
          <cell r="AN251">
            <v>4567</v>
          </cell>
          <cell r="AO251">
            <v>4712</v>
          </cell>
          <cell r="AP251">
            <v>4712</v>
          </cell>
          <cell r="AQ251">
            <v>4919</v>
          </cell>
          <cell r="AR251">
            <v>5033</v>
          </cell>
          <cell r="AS251">
            <v>5063</v>
          </cell>
          <cell r="AT251">
            <v>5015</v>
          </cell>
          <cell r="AU251">
            <v>5015</v>
          </cell>
          <cell r="AV251">
            <v>5181</v>
          </cell>
          <cell r="AW251">
            <v>5322</v>
          </cell>
          <cell r="AX251">
            <v>5343</v>
          </cell>
          <cell r="AY251">
            <v>5373</v>
          </cell>
          <cell r="AZ251">
            <v>5373</v>
          </cell>
          <cell r="BA251">
            <v>5393</v>
          </cell>
          <cell r="BB251">
            <v>5453</v>
          </cell>
          <cell r="BC251">
            <v>5500</v>
          </cell>
          <cell r="BD251">
            <v>5547</v>
          </cell>
          <cell r="BE251">
            <v>5547</v>
          </cell>
          <cell r="BF251">
            <v>5653</v>
          </cell>
          <cell r="BG251">
            <v>5742</v>
          </cell>
          <cell r="BH251">
            <v>5852</v>
          </cell>
          <cell r="BI251">
            <v>5965</v>
          </cell>
          <cell r="BJ251">
            <v>5965</v>
          </cell>
          <cell r="BK251">
            <v>6088</v>
          </cell>
          <cell r="BL251">
            <v>6247</v>
          </cell>
          <cell r="BM251">
            <v>6298</v>
          </cell>
          <cell r="BN251">
            <v>6314</v>
          </cell>
          <cell r="BO251">
            <v>6314</v>
          </cell>
          <cell r="BP251">
            <v>6373</v>
          </cell>
          <cell r="BQ251">
            <v>6564</v>
          </cell>
          <cell r="BR251">
            <v>6754</v>
          </cell>
          <cell r="BS251">
            <v>7027</v>
          </cell>
          <cell r="BT251">
            <v>7027</v>
          </cell>
          <cell r="BU251">
            <v>7030</v>
          </cell>
          <cell r="BV251">
            <v>7205</v>
          </cell>
          <cell r="BW251">
            <v>7374</v>
          </cell>
          <cell r="BX251">
            <v>7610</v>
          </cell>
          <cell r="BY251">
            <v>7610</v>
          </cell>
          <cell r="BZ251">
            <v>7769</v>
          </cell>
          <cell r="CA251">
            <v>8017</v>
          </cell>
          <cell r="CB251">
            <v>8137</v>
          </cell>
          <cell r="CC251">
            <v>8554</v>
          </cell>
          <cell r="CD251">
            <v>8554</v>
          </cell>
          <cell r="CE251">
            <v>8755.25</v>
          </cell>
          <cell r="CF251">
            <v>8956.5</v>
          </cell>
          <cell r="CG251">
            <v>9157.75</v>
          </cell>
          <cell r="CH251">
            <v>9359</v>
          </cell>
          <cell r="CI251">
            <v>9359</v>
          </cell>
          <cell r="CN251">
            <v>10179</v>
          </cell>
          <cell r="CS251">
            <v>10879</v>
          </cell>
          <cell r="DE251" t="str">
            <v>mstag:accumulatedDepreciation</v>
          </cell>
          <cell r="DF251">
            <v>6</v>
          </cell>
          <cell r="DG251" t="str">
            <v>ISO4217:USD</v>
          </cell>
          <cell r="DH251" t="b">
            <v>1</v>
          </cell>
          <cell r="DI251" t="b">
            <v>0</v>
          </cell>
          <cell r="DJ251" t="str">
            <v>mstag:propertyPlantAndEquipmentGross</v>
          </cell>
          <cell r="DK251">
            <v>6</v>
          </cell>
          <cell r="DL251" t="str">
            <v>ISO4217:USD</v>
          </cell>
          <cell r="DM251" t="b">
            <v>0</v>
          </cell>
          <cell r="DN251" t="b">
            <v>0</v>
          </cell>
        </row>
        <row r="252">
          <cell r="A252" t="str">
            <v>Total Accumulated Depreciation</v>
          </cell>
          <cell r="G252">
            <v>-3.9660000000000002</v>
          </cell>
          <cell r="L252">
            <v>-13.835999999999999</v>
          </cell>
          <cell r="Q252">
            <v>-37.972000000000001</v>
          </cell>
          <cell r="V252">
            <v>-81.033999999999992</v>
          </cell>
          <cell r="AA252">
            <v>-143.05000000000001</v>
          </cell>
          <cell r="AF252">
            <v>-239</v>
          </cell>
          <cell r="AG252">
            <v>-267</v>
          </cell>
          <cell r="AH252">
            <v>-299</v>
          </cell>
          <cell r="AI252">
            <v>-320</v>
          </cell>
          <cell r="AJ252">
            <v>-338</v>
          </cell>
          <cell r="AK252">
            <v>-338</v>
          </cell>
          <cell r="AL252">
            <v>-373</v>
          </cell>
          <cell r="AM252">
            <v>-409</v>
          </cell>
          <cell r="AN252">
            <v>-440</v>
          </cell>
          <cell r="AO252">
            <v>-466</v>
          </cell>
          <cell r="AP252">
            <v>-466</v>
          </cell>
          <cell r="AQ252">
            <v>-497</v>
          </cell>
          <cell r="AR252">
            <v>-516</v>
          </cell>
          <cell r="AS252">
            <v>-535</v>
          </cell>
          <cell r="AT252">
            <v>-545</v>
          </cell>
          <cell r="AU252">
            <v>-545</v>
          </cell>
          <cell r="AV252">
            <v>-591</v>
          </cell>
          <cell r="AW252">
            <v>-635</v>
          </cell>
          <cell r="AX252">
            <v>-687</v>
          </cell>
          <cell r="AY252">
            <v>-735</v>
          </cell>
          <cell r="AZ252">
            <v>-735</v>
          </cell>
          <cell r="BA252">
            <v>-782</v>
          </cell>
          <cell r="BB252">
            <v>-810</v>
          </cell>
          <cell r="BC252">
            <v>-858</v>
          </cell>
          <cell r="BD252">
            <v>-906</v>
          </cell>
          <cell r="BE252">
            <v>-906</v>
          </cell>
          <cell r="BF252">
            <v>-954</v>
          </cell>
          <cell r="BG252">
            <v>-1005</v>
          </cell>
          <cell r="BH252">
            <v>-1053</v>
          </cell>
          <cell r="BI252">
            <v>-1105</v>
          </cell>
          <cell r="BJ252">
            <v>-1105</v>
          </cell>
          <cell r="BK252">
            <v>-1155</v>
          </cell>
          <cell r="BL252">
            <v>-1214</v>
          </cell>
          <cell r="BM252">
            <v>-1272</v>
          </cell>
          <cell r="BN252">
            <v>-1309</v>
          </cell>
          <cell r="BO252">
            <v>-1309</v>
          </cell>
          <cell r="BP252">
            <v>-1368</v>
          </cell>
          <cell r="BQ252">
            <v>-1425</v>
          </cell>
          <cell r="BR252">
            <v>-1489</v>
          </cell>
          <cell r="BS252">
            <v>-1552</v>
          </cell>
          <cell r="BT252">
            <v>-1552</v>
          </cell>
          <cell r="BU252">
            <v>-1575</v>
          </cell>
          <cell r="BV252">
            <v>-1639</v>
          </cell>
          <cell r="BW252">
            <v>-1688</v>
          </cell>
          <cell r="BX252">
            <v>-1745</v>
          </cell>
          <cell r="BY252">
            <v>-1745</v>
          </cell>
          <cell r="BZ252">
            <v>-1813</v>
          </cell>
          <cell r="CA252">
            <v>-1885</v>
          </cell>
          <cell r="CB252">
            <v>-1957</v>
          </cell>
          <cell r="CC252">
            <v>-2034.0314285714285</v>
          </cell>
          <cell r="CD252">
            <v>-2034.0314285714285</v>
          </cell>
          <cell r="CE252">
            <v>-2114.5685714285714</v>
          </cell>
          <cell r="CF252">
            <v>-2197.8828571428571</v>
          </cell>
          <cell r="CG252">
            <v>-2283.562857142857</v>
          </cell>
          <cell r="CH252">
            <v>-2372.1489999999999</v>
          </cell>
          <cell r="CI252">
            <v>-2372.1489999999999</v>
          </cell>
          <cell r="CN252">
            <v>-2741.8242114285713</v>
          </cell>
          <cell r="CS252">
            <v>-3143.4515333571426</v>
          </cell>
          <cell r="DE252" t="str">
            <v>mstag:propertyPlantAndEquipmentNet</v>
          </cell>
          <cell r="DF252">
            <v>6</v>
          </cell>
          <cell r="DG252" t="str">
            <v>ISO4217:USD</v>
          </cell>
          <cell r="DH252" t="b">
            <v>0</v>
          </cell>
          <cell r="DI252" t="b">
            <v>0</v>
          </cell>
          <cell r="DJ252" t="str">
            <v>mstag:longTermInvestmentsNonOperating</v>
          </cell>
          <cell r="DK252">
            <v>6</v>
          </cell>
          <cell r="DL252" t="str">
            <v>ISO4217:USD</v>
          </cell>
          <cell r="DM252" t="b">
            <v>0</v>
          </cell>
          <cell r="DN252" t="b">
            <v>0</v>
          </cell>
        </row>
        <row r="253">
          <cell r="A253" t="str">
            <v xml:space="preserve">Total Owned and Leased PPE, net </v>
          </cell>
          <cell r="G253">
            <v>269.00400000000002</v>
          </cell>
          <cell r="L253">
            <v>504.87800000000004</v>
          </cell>
          <cell r="Q253">
            <v>997.16100000000006</v>
          </cell>
          <cell r="V253">
            <v>1420.9899999999998</v>
          </cell>
          <cell r="AA253">
            <v>2137.855</v>
          </cell>
          <cell r="AF253">
            <v>2978</v>
          </cell>
          <cell r="AG253">
            <v>3197</v>
          </cell>
          <cell r="AH253">
            <v>3420</v>
          </cell>
          <cell r="AI253">
            <v>3538</v>
          </cell>
          <cell r="AJ253">
            <v>3624</v>
          </cell>
          <cell r="AK253">
            <v>3624</v>
          </cell>
          <cell r="AL253">
            <v>3853</v>
          </cell>
          <cell r="AM253">
            <v>4030</v>
          </cell>
          <cell r="AN253">
            <v>4127</v>
          </cell>
          <cell r="AO253">
            <v>4246</v>
          </cell>
          <cell r="AP253">
            <v>4246</v>
          </cell>
          <cell r="AQ253">
            <v>4422</v>
          </cell>
          <cell r="AR253">
            <v>4517</v>
          </cell>
          <cell r="AS253">
            <v>4528</v>
          </cell>
          <cell r="AT253">
            <v>4470</v>
          </cell>
          <cell r="AU253">
            <v>4470</v>
          </cell>
          <cell r="AV253">
            <v>4590</v>
          </cell>
          <cell r="AW253">
            <v>4687</v>
          </cell>
          <cell r="AX253">
            <v>4656</v>
          </cell>
          <cell r="AY253">
            <v>4638</v>
          </cell>
          <cell r="AZ253">
            <v>4638</v>
          </cell>
          <cell r="BA253">
            <v>4611</v>
          </cell>
          <cell r="BB253">
            <v>4643</v>
          </cell>
          <cell r="BC253">
            <v>4642</v>
          </cell>
          <cell r="BD253">
            <v>4641</v>
          </cell>
          <cell r="BE253">
            <v>4641</v>
          </cell>
          <cell r="BF253">
            <v>4699</v>
          </cell>
          <cell r="BG253">
            <v>4737</v>
          </cell>
          <cell r="BH253">
            <v>4799</v>
          </cell>
          <cell r="BI253">
            <v>4860</v>
          </cell>
          <cell r="BJ253">
            <v>4860</v>
          </cell>
          <cell r="BK253">
            <v>4933</v>
          </cell>
          <cell r="BL253">
            <v>5033</v>
          </cell>
          <cell r="BM253">
            <v>5026</v>
          </cell>
          <cell r="BN253">
            <v>5005</v>
          </cell>
          <cell r="BO253">
            <v>5005</v>
          </cell>
          <cell r="BP253">
            <v>5005</v>
          </cell>
          <cell r="BQ253">
            <v>5139</v>
          </cell>
          <cell r="BR253">
            <v>5265</v>
          </cell>
          <cell r="BS253">
            <v>5475</v>
          </cell>
          <cell r="BT253">
            <v>5475</v>
          </cell>
          <cell r="BU253">
            <v>5455</v>
          </cell>
          <cell r="BV253">
            <v>5566</v>
          </cell>
          <cell r="BW253">
            <v>5686</v>
          </cell>
          <cell r="BX253">
            <v>5865</v>
          </cell>
          <cell r="BY253">
            <v>5865</v>
          </cell>
          <cell r="BZ253">
            <v>5956</v>
          </cell>
          <cell r="CA253">
            <v>6132</v>
          </cell>
          <cell r="CB253">
            <v>6180</v>
          </cell>
          <cell r="CC253">
            <v>6519.9685714285715</v>
          </cell>
          <cell r="CD253">
            <v>6519.9685714285715</v>
          </cell>
          <cell r="CE253">
            <v>6640.6814285714281</v>
          </cell>
          <cell r="CF253">
            <v>6758.6171428571433</v>
          </cell>
          <cell r="CG253">
            <v>6874.187142857143</v>
          </cell>
          <cell r="CH253">
            <v>6986.8510000000006</v>
          </cell>
          <cell r="CI253">
            <v>6986.8510000000006</v>
          </cell>
          <cell r="CN253">
            <v>7437.1757885714287</v>
          </cell>
          <cell r="CS253">
            <v>7735.5484666428574</v>
          </cell>
          <cell r="DE253" t="str">
            <v>mstag:otherIntangibleAssets</v>
          </cell>
          <cell r="DF253">
            <v>6</v>
          </cell>
          <cell r="DG253" t="str">
            <v>ISO4217:USD</v>
          </cell>
          <cell r="DH253" t="b">
            <v>0</v>
          </cell>
          <cell r="DI253" t="b">
            <v>0</v>
          </cell>
          <cell r="DJ253" t="str">
            <v>mstag:propertyPlantAndEquipmentNet</v>
          </cell>
          <cell r="DK253">
            <v>6</v>
          </cell>
          <cell r="DL253" t="str">
            <v>ISO4217:USD</v>
          </cell>
          <cell r="DM253" t="b">
            <v>0</v>
          </cell>
          <cell r="DN253" t="b">
            <v>0</v>
          </cell>
        </row>
        <row r="254">
          <cell r="A254" t="str">
            <v>Intangible Assets, (net)</v>
          </cell>
          <cell r="G254">
            <v>0</v>
          </cell>
          <cell r="L254">
            <v>3.5</v>
          </cell>
          <cell r="Q254">
            <v>68.278000000000006</v>
          </cell>
          <cell r="V254">
            <v>62.256</v>
          </cell>
          <cell r="AA254">
            <v>54.258000000000003</v>
          </cell>
          <cell r="AF254">
            <v>43</v>
          </cell>
          <cell r="AG254">
            <v>40</v>
          </cell>
          <cell r="AH254">
            <v>37</v>
          </cell>
          <cell r="AI254">
            <v>35</v>
          </cell>
          <cell r="AJ254">
            <v>32</v>
          </cell>
          <cell r="AK254">
            <v>32</v>
          </cell>
          <cell r="AL254">
            <v>30</v>
          </cell>
          <cell r="AM254">
            <v>27</v>
          </cell>
          <cell r="AN254">
            <v>24</v>
          </cell>
          <cell r="AO254">
            <v>21</v>
          </cell>
          <cell r="AP254">
            <v>21</v>
          </cell>
          <cell r="AQ254">
            <v>18</v>
          </cell>
          <cell r="AR254">
            <v>15</v>
          </cell>
          <cell r="AS254">
            <v>12</v>
          </cell>
          <cell r="AT254">
            <v>8</v>
          </cell>
          <cell r="AU254">
            <v>8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BR254">
            <v>0</v>
          </cell>
          <cell r="BS254">
            <v>0</v>
          </cell>
          <cell r="BT254">
            <v>0</v>
          </cell>
          <cell r="BU254">
            <v>0</v>
          </cell>
          <cell r="BV254">
            <v>0</v>
          </cell>
          <cell r="BW254">
            <v>0</v>
          </cell>
          <cell r="BX254">
            <v>0</v>
          </cell>
          <cell r="BY254">
            <v>0</v>
          </cell>
          <cell r="BZ254">
            <v>0</v>
          </cell>
          <cell r="CA254">
            <v>0</v>
          </cell>
          <cell r="CB254">
            <v>0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0</v>
          </cell>
          <cell r="CN254">
            <v>0</v>
          </cell>
          <cell r="CS254">
            <v>0</v>
          </cell>
          <cell r="DE254" t="str">
            <v>mstag:otherAssetsOperatingNonCurrent</v>
          </cell>
          <cell r="DF254">
            <v>6</v>
          </cell>
          <cell r="DG254" t="str">
            <v>ISO4217:USD</v>
          </cell>
          <cell r="DH254" t="b">
            <v>0</v>
          </cell>
          <cell r="DI254" t="b">
            <v>0</v>
          </cell>
          <cell r="DJ254" t="str">
            <v>mstag:otherIntangibleAssets</v>
          </cell>
          <cell r="DK254">
            <v>6</v>
          </cell>
          <cell r="DL254" t="str">
            <v>ISO4217:USD</v>
          </cell>
          <cell r="DM254" t="b">
            <v>0</v>
          </cell>
          <cell r="DN254" t="b">
            <v>0</v>
          </cell>
        </row>
        <row r="255">
          <cell r="A255" t="str">
            <v>Other Long-Term Assets</v>
          </cell>
          <cell r="G255">
            <v>15.211</v>
          </cell>
          <cell r="L255">
            <v>21.13</v>
          </cell>
          <cell r="Q255">
            <v>30.425000000000001</v>
          </cell>
          <cell r="V255">
            <v>56.771000000000001</v>
          </cell>
          <cell r="AA255">
            <v>91.450999999999993</v>
          </cell>
          <cell r="AF255">
            <v>125</v>
          </cell>
          <cell r="AG255">
            <v>105</v>
          </cell>
          <cell r="AH255">
            <v>113</v>
          </cell>
          <cell r="AI255">
            <v>121</v>
          </cell>
          <cell r="AJ255">
            <v>140</v>
          </cell>
          <cell r="AK255">
            <v>0</v>
          </cell>
          <cell r="AL255">
            <v>140</v>
          </cell>
          <cell r="AM255">
            <v>102</v>
          </cell>
          <cell r="AN255">
            <v>134</v>
          </cell>
          <cell r="AO255">
            <v>162</v>
          </cell>
          <cell r="AP255">
            <v>0</v>
          </cell>
          <cell r="AQ255">
            <v>208</v>
          </cell>
          <cell r="AR255">
            <v>206</v>
          </cell>
          <cell r="AS255">
            <v>196</v>
          </cell>
          <cell r="AT255">
            <v>397</v>
          </cell>
          <cell r="AU255">
            <v>0</v>
          </cell>
          <cell r="AV255">
            <v>412</v>
          </cell>
          <cell r="AW255">
            <v>474</v>
          </cell>
          <cell r="AX255">
            <v>285</v>
          </cell>
          <cell r="AY255">
            <v>308</v>
          </cell>
          <cell r="AZ255">
            <v>0</v>
          </cell>
          <cell r="BA255">
            <v>331</v>
          </cell>
          <cell r="BB255">
            <v>358</v>
          </cell>
          <cell r="BC255">
            <v>383</v>
          </cell>
          <cell r="BD255">
            <v>394</v>
          </cell>
          <cell r="BE255">
            <v>0</v>
          </cell>
          <cell r="BF255">
            <v>406</v>
          </cell>
          <cell r="BG255">
            <v>411</v>
          </cell>
          <cell r="BH255">
            <v>407</v>
          </cell>
          <cell r="BI255">
            <v>478</v>
          </cell>
          <cell r="BJ255">
            <v>0</v>
          </cell>
          <cell r="BK255">
            <v>481</v>
          </cell>
          <cell r="BL255">
            <v>419</v>
          </cell>
          <cell r="BM255">
            <v>573</v>
          </cell>
          <cell r="BN255">
            <v>778</v>
          </cell>
          <cell r="BO255">
            <v>0</v>
          </cell>
          <cell r="BP255">
            <v>794</v>
          </cell>
          <cell r="BQ255">
            <v>778</v>
          </cell>
          <cell r="BR255">
            <v>658</v>
          </cell>
          <cell r="BS255">
            <v>648</v>
          </cell>
          <cell r="BT255">
            <v>0</v>
          </cell>
          <cell r="BU255">
            <v>0</v>
          </cell>
          <cell r="BV255">
            <v>637</v>
          </cell>
          <cell r="BW255">
            <v>654</v>
          </cell>
          <cell r="BX255">
            <v>653</v>
          </cell>
          <cell r="BY255">
            <v>653</v>
          </cell>
          <cell r="BZ255">
            <v>677</v>
          </cell>
          <cell r="CA255">
            <v>662</v>
          </cell>
          <cell r="CB255">
            <v>675</v>
          </cell>
          <cell r="CC255">
            <v>675</v>
          </cell>
          <cell r="CD255">
            <v>675</v>
          </cell>
          <cell r="CE255">
            <v>675</v>
          </cell>
          <cell r="CF255">
            <v>675</v>
          </cell>
          <cell r="CG255">
            <v>675</v>
          </cell>
          <cell r="CH255">
            <v>675</v>
          </cell>
          <cell r="CI255">
            <v>675</v>
          </cell>
          <cell r="CN255">
            <v>675</v>
          </cell>
          <cell r="CS255">
            <v>675</v>
          </cell>
          <cell r="DJ255" t="str">
            <v>mstag:otherAssetsOperatingNonCurrent</v>
          </cell>
          <cell r="DK255">
            <v>6</v>
          </cell>
          <cell r="DL255" t="str">
            <v>ISO4217:USD</v>
          </cell>
          <cell r="DM255" t="b">
            <v>0</v>
          </cell>
          <cell r="DN255" t="b">
            <v>0</v>
          </cell>
        </row>
        <row r="256">
          <cell r="A256" t="str">
            <v>% of Ex-Fuel Expenses</v>
          </cell>
          <cell r="G256">
            <v>284.21500000000003</v>
          </cell>
          <cell r="L256">
            <v>8.3723620917829603E-2</v>
          </cell>
          <cell r="Q256">
            <v>6.702530990256271E-2</v>
          </cell>
          <cell r="V256">
            <v>8.3634108326139295E-2</v>
          </cell>
          <cell r="AA256">
            <v>0.10210425126414734</v>
          </cell>
          <cell r="AF256">
            <v>0.10839957992994785</v>
          </cell>
          <cell r="AG256">
            <v>8.4256071051138623E-2</v>
          </cell>
          <cell r="AH256">
            <v>8.4229796775116883E-2</v>
          </cell>
          <cell r="AI256">
            <v>8.5060016519920553E-2</v>
          </cell>
          <cell r="AJ256">
            <v>9.3896713615023469E-2</v>
          </cell>
          <cell r="AK256">
            <v>9.3896713615023469E-2</v>
          </cell>
          <cell r="AL256">
            <v>8.9342693044033181E-2</v>
          </cell>
          <cell r="AM256">
            <v>6.2769230769230772E-2</v>
          </cell>
          <cell r="AN256">
            <v>7.9761904761904756E-2</v>
          </cell>
          <cell r="AO256">
            <v>9.2889908256880732E-2</v>
          </cell>
          <cell r="AP256">
            <v>9.2889908256880732E-2</v>
          </cell>
          <cell r="AQ256">
            <v>0.11531211886018404</v>
          </cell>
          <cell r="AR256">
            <v>0.11190786614515427</v>
          </cell>
          <cell r="AS256">
            <v>0.10371467880198962</v>
          </cell>
          <cell r="AT256">
            <v>0.20694328607172643</v>
          </cell>
          <cell r="AU256">
            <v>0.20694328607172643</v>
          </cell>
          <cell r="AV256">
            <v>0.21413721413721415</v>
          </cell>
          <cell r="AW256">
            <v>0.24284030944208207</v>
          </cell>
          <cell r="AX256">
            <v>0.14252850570114023</v>
          </cell>
          <cell r="AY256">
            <v>0.14936954413191075</v>
          </cell>
          <cell r="AZ256">
            <v>0.14936954413191075</v>
          </cell>
          <cell r="BA256">
            <v>0.15470181342306974</v>
          </cell>
          <cell r="BB256">
            <v>0.16201294293342988</v>
          </cell>
          <cell r="BC256">
            <v>0.16842568161829374</v>
          </cell>
          <cell r="BD256">
            <v>0.1689971690829544</v>
          </cell>
          <cell r="BE256">
            <v>0.1689971690829544</v>
          </cell>
          <cell r="BF256">
            <v>0.17120688201062659</v>
          </cell>
          <cell r="BG256">
            <v>0.16903841408242162</v>
          </cell>
          <cell r="BH256">
            <v>0.16501783976646123</v>
          </cell>
          <cell r="BI256">
            <v>0.18983320095313741</v>
          </cell>
          <cell r="BJ256">
            <v>0.18983320095313741</v>
          </cell>
          <cell r="BK256">
            <v>0.186073500967118</v>
          </cell>
          <cell r="BL256">
            <v>0.15775602409638553</v>
          </cell>
          <cell r="BM256">
            <v>0.20935330654000731</v>
          </cell>
          <cell r="BN256">
            <v>0.27785714285714286</v>
          </cell>
          <cell r="BO256">
            <v>0.27785714285714286</v>
          </cell>
          <cell r="BP256">
            <v>0.27455048409405258</v>
          </cell>
          <cell r="BQ256">
            <v>0.26257171785352684</v>
          </cell>
          <cell r="BR256">
            <v>0.21658986175115208</v>
          </cell>
          <cell r="BS256">
            <v>0.20809248554913296</v>
          </cell>
          <cell r="BT256">
            <v>0.20809248554913296</v>
          </cell>
          <cell r="BU256">
            <v>0.21255886970172685</v>
          </cell>
          <cell r="BV256">
            <v>0.19468215158924204</v>
          </cell>
          <cell r="BW256">
            <v>0.19621962196219622</v>
          </cell>
          <cell r="BX256">
            <v>0.19262536873156341</v>
          </cell>
          <cell r="BY256">
            <v>0.19262536873156341</v>
          </cell>
          <cell r="BZ256">
            <v>0.1944843435794312</v>
          </cell>
          <cell r="CA256">
            <v>0.18465829846582985</v>
          </cell>
          <cell r="CB256">
            <v>0.18101367658889783</v>
          </cell>
          <cell r="CC256">
            <v>0.17656187421259784</v>
          </cell>
          <cell r="CD256">
            <v>0.17656187421259784</v>
          </cell>
          <cell r="CE256">
            <v>0.17118663775247947</v>
          </cell>
          <cell r="CF256">
            <v>0.16638501169528969</v>
          </cell>
          <cell r="CG256">
            <v>0.16381144555481808</v>
          </cell>
          <cell r="CH256">
            <v>0.16054190938938345</v>
          </cell>
          <cell r="CI256">
            <v>0.16054190938938345</v>
          </cell>
          <cell r="CN256">
            <v>0.14511124382922252</v>
          </cell>
          <cell r="CS256">
            <v>0.13160832053202751</v>
          </cell>
          <cell r="DJ256" t="str">
            <v>mstag:otherAssetsOperatingCurrent</v>
          </cell>
          <cell r="DK256">
            <v>6</v>
          </cell>
          <cell r="DL256" t="str">
            <v>ISO4217:USD</v>
          </cell>
          <cell r="DM256" t="b">
            <v>0</v>
          </cell>
          <cell r="DN256" t="b">
            <v>0</v>
          </cell>
        </row>
        <row r="257">
          <cell r="A257" t="str">
            <v>Total Non-Current Assets</v>
          </cell>
          <cell r="G257">
            <v>284.21500000000003</v>
          </cell>
          <cell r="L257">
            <v>529.50800000000004</v>
          </cell>
          <cell r="Q257">
            <v>1095.864</v>
          </cell>
          <cell r="V257">
            <v>1540.0169999999998</v>
          </cell>
          <cell r="AA257">
            <v>2283.5639999999999</v>
          </cell>
          <cell r="AF257">
            <v>3146</v>
          </cell>
          <cell r="AG257">
            <v>3342</v>
          </cell>
          <cell r="AH257">
            <v>3570</v>
          </cell>
          <cell r="AI257">
            <v>3694</v>
          </cell>
          <cell r="AJ257">
            <v>3796</v>
          </cell>
          <cell r="AK257">
            <v>3796</v>
          </cell>
          <cell r="AL257">
            <v>4023</v>
          </cell>
          <cell r="AM257">
            <v>4159</v>
          </cell>
          <cell r="AN257">
            <v>4285</v>
          </cell>
          <cell r="AO257">
            <v>4429</v>
          </cell>
          <cell r="AP257">
            <v>4429</v>
          </cell>
          <cell r="AQ257">
            <v>4648</v>
          </cell>
          <cell r="AR257">
            <v>4738</v>
          </cell>
          <cell r="AS257">
            <v>4736</v>
          </cell>
          <cell r="AT257">
            <v>4875</v>
          </cell>
          <cell r="AU257">
            <v>4875</v>
          </cell>
          <cell r="AV257">
            <v>5002</v>
          </cell>
          <cell r="AW257">
            <v>5161</v>
          </cell>
          <cell r="AX257">
            <v>4941</v>
          </cell>
          <cell r="AY257">
            <v>4946</v>
          </cell>
          <cell r="AZ257">
            <v>4946</v>
          </cell>
          <cell r="BA257">
            <v>4942</v>
          </cell>
          <cell r="BB257">
            <v>5001</v>
          </cell>
          <cell r="BC257">
            <v>5025</v>
          </cell>
          <cell r="BD257">
            <v>5035</v>
          </cell>
          <cell r="BE257">
            <v>5035</v>
          </cell>
          <cell r="BF257">
            <v>5105</v>
          </cell>
          <cell r="BG257">
            <v>5148</v>
          </cell>
          <cell r="BH257">
            <v>5206</v>
          </cell>
          <cell r="BI257">
            <v>5338</v>
          </cell>
          <cell r="BJ257">
            <v>5338</v>
          </cell>
          <cell r="BK257">
            <v>5414</v>
          </cell>
          <cell r="BL257">
            <v>5452</v>
          </cell>
          <cell r="BM257">
            <v>5599</v>
          </cell>
          <cell r="BN257">
            <v>5783</v>
          </cell>
          <cell r="BO257">
            <v>5783</v>
          </cell>
          <cell r="BP257">
            <v>5799</v>
          </cell>
          <cell r="BQ257">
            <v>5917</v>
          </cell>
          <cell r="BR257">
            <v>5923</v>
          </cell>
          <cell r="BS257">
            <v>6123</v>
          </cell>
          <cell r="BT257">
            <v>6123</v>
          </cell>
          <cell r="BU257">
            <v>6132</v>
          </cell>
          <cell r="BV257">
            <v>6203</v>
          </cell>
          <cell r="BW257">
            <v>6340</v>
          </cell>
          <cell r="BX257">
            <v>6518</v>
          </cell>
          <cell r="BY257">
            <v>6518</v>
          </cell>
          <cell r="BZ257">
            <v>6633</v>
          </cell>
          <cell r="CA257">
            <v>6794</v>
          </cell>
          <cell r="CB257">
            <v>6855</v>
          </cell>
          <cell r="CC257">
            <v>7194.9685714285715</v>
          </cell>
          <cell r="CD257">
            <v>7194.9685714285715</v>
          </cell>
          <cell r="CE257">
            <v>7315.6814285714281</v>
          </cell>
          <cell r="CF257">
            <v>7433.6171428571433</v>
          </cell>
          <cell r="CG257">
            <v>7549.187142857143</v>
          </cell>
          <cell r="CH257">
            <v>7661.8510000000006</v>
          </cell>
          <cell r="CI257">
            <v>7661.8510000000006</v>
          </cell>
          <cell r="CN257">
            <v>8112.1757885714287</v>
          </cell>
          <cell r="CS257">
            <v>8410.5484666428565</v>
          </cell>
        </row>
        <row r="258">
          <cell r="A258" t="str">
            <v>Total Assets</v>
          </cell>
          <cell r="G258">
            <v>344.12800000000004</v>
          </cell>
          <cell r="L258">
            <v>673.77300000000002</v>
          </cell>
          <cell r="Q258">
            <v>1378.923</v>
          </cell>
          <cell r="V258">
            <v>2185.7569999999996</v>
          </cell>
          <cell r="AA258">
            <v>2798.6439999999998</v>
          </cell>
          <cell r="AF258">
            <v>3892</v>
          </cell>
          <cell r="AG258">
            <v>4068</v>
          </cell>
          <cell r="AH258">
            <v>4306</v>
          </cell>
          <cell r="AI258">
            <v>4429</v>
          </cell>
          <cell r="AJ258">
            <v>4843</v>
          </cell>
          <cell r="AK258">
            <v>4843</v>
          </cell>
          <cell r="AL258">
            <v>5145</v>
          </cell>
          <cell r="AM258">
            <v>5356</v>
          </cell>
          <cell r="AN258">
            <v>5461</v>
          </cell>
          <cell r="AO258">
            <v>5598</v>
          </cell>
          <cell r="AP258">
            <v>5598</v>
          </cell>
          <cell r="AQ258">
            <v>6050</v>
          </cell>
          <cell r="AR258">
            <v>6468</v>
          </cell>
          <cell r="AS258">
            <v>6084</v>
          </cell>
          <cell r="AT258">
            <v>6023</v>
          </cell>
          <cell r="AU258">
            <v>6023</v>
          </cell>
          <cell r="AV258">
            <v>6158</v>
          </cell>
          <cell r="AW258">
            <v>6510</v>
          </cell>
          <cell r="AX258">
            <v>6533</v>
          </cell>
          <cell r="AY258">
            <v>6554</v>
          </cell>
          <cell r="AZ258">
            <v>6554</v>
          </cell>
          <cell r="BA258">
            <v>6513</v>
          </cell>
          <cell r="BB258">
            <v>6590</v>
          </cell>
          <cell r="BC258">
            <v>6618</v>
          </cell>
          <cell r="BD258">
            <v>6593</v>
          </cell>
          <cell r="BE258">
            <v>6593</v>
          </cell>
          <cell r="BF258">
            <v>6843</v>
          </cell>
          <cell r="BG258">
            <v>6908</v>
          </cell>
          <cell r="BH258">
            <v>6911</v>
          </cell>
          <cell r="BI258">
            <v>7071</v>
          </cell>
          <cell r="BJ258">
            <v>7071</v>
          </cell>
          <cell r="BK258">
            <v>7143</v>
          </cell>
          <cell r="BL258">
            <v>7132</v>
          </cell>
          <cell r="BM258">
            <v>7141</v>
          </cell>
          <cell r="BN258">
            <v>7070</v>
          </cell>
          <cell r="BO258">
            <v>7070</v>
          </cell>
          <cell r="BP258">
            <v>7234</v>
          </cell>
          <cell r="BQ258">
            <v>7368</v>
          </cell>
          <cell r="BR258">
            <v>7444</v>
          </cell>
          <cell r="BS258">
            <v>7350</v>
          </cell>
          <cell r="BT258">
            <v>7350</v>
          </cell>
          <cell r="BU258">
            <v>7645</v>
          </cell>
          <cell r="BV258">
            <v>7657</v>
          </cell>
          <cell r="BW258">
            <v>7741</v>
          </cell>
          <cell r="BX258">
            <v>7839</v>
          </cell>
          <cell r="BY258">
            <v>7839</v>
          </cell>
          <cell r="BZ258">
            <v>8304</v>
          </cell>
          <cell r="CA258">
            <v>8317</v>
          </cell>
          <cell r="CB258">
            <v>8594</v>
          </cell>
          <cell r="CC258">
            <v>8688.1686183239417</v>
          </cell>
          <cell r="CD258">
            <v>8688.1686183239435</v>
          </cell>
          <cell r="CE258">
            <v>9054.6221819731272</v>
          </cell>
          <cell r="CF258">
            <v>9153.5504778305749</v>
          </cell>
          <cell r="CG258">
            <v>9359.1841681966689</v>
          </cell>
          <cell r="CH258">
            <v>9388.5030464905594</v>
          </cell>
          <cell r="CI258">
            <v>9388.5030464905576</v>
          </cell>
          <cell r="CJ258">
            <v>0</v>
          </cell>
          <cell r="CK258">
            <v>0</v>
          </cell>
          <cell r="CL258">
            <v>0</v>
          </cell>
          <cell r="CM258">
            <v>0</v>
          </cell>
          <cell r="CN258">
            <v>10059.683345073823</v>
          </cell>
          <cell r="CO258">
            <v>0</v>
          </cell>
          <cell r="CP258">
            <v>0</v>
          </cell>
          <cell r="CQ258">
            <v>0</v>
          </cell>
          <cell r="CR258">
            <v>0</v>
          </cell>
          <cell r="CS258">
            <v>10592.914432797541</v>
          </cell>
        </row>
        <row r="259">
          <cell r="A259" t="str">
            <v>LIABILITIES</v>
          </cell>
          <cell r="G259">
            <v>15.138</v>
          </cell>
          <cell r="L259">
            <v>28.780999999999999</v>
          </cell>
          <cell r="Q259">
            <v>21.678999999999998</v>
          </cell>
          <cell r="V259">
            <v>29.884</v>
          </cell>
          <cell r="AA259">
            <v>43.578000000000003</v>
          </cell>
          <cell r="AF259">
            <v>65</v>
          </cell>
          <cell r="AG259">
            <v>68</v>
          </cell>
          <cell r="AH259">
            <v>62</v>
          </cell>
          <cell r="AI259">
            <v>52</v>
          </cell>
          <cell r="AJ259">
            <v>39</v>
          </cell>
          <cell r="AK259">
            <v>39</v>
          </cell>
          <cell r="AL259">
            <v>27</v>
          </cell>
          <cell r="AM259">
            <v>22</v>
          </cell>
          <cell r="AN259">
            <v>33</v>
          </cell>
          <cell r="AO259">
            <v>43</v>
          </cell>
          <cell r="AP259">
            <v>43</v>
          </cell>
          <cell r="AQ259">
            <v>23</v>
          </cell>
          <cell r="AR259">
            <v>30</v>
          </cell>
          <cell r="AS259">
            <v>20</v>
          </cell>
          <cell r="AT259">
            <v>120</v>
          </cell>
          <cell r="AU259">
            <v>120</v>
          </cell>
          <cell r="AV259">
            <v>84</v>
          </cell>
          <cell r="AW259">
            <v>10</v>
          </cell>
          <cell r="AX259">
            <v>10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88</v>
          </cell>
          <cell r="BJ259">
            <v>88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BR259">
            <v>0</v>
          </cell>
          <cell r="BS259">
            <v>0</v>
          </cell>
          <cell r="BT259">
            <v>0</v>
          </cell>
          <cell r="BU259">
            <v>0</v>
          </cell>
          <cell r="BV259">
            <v>0</v>
          </cell>
          <cell r="BW259">
            <v>0</v>
          </cell>
          <cell r="BX259">
            <v>0</v>
          </cell>
          <cell r="BY259">
            <v>0</v>
          </cell>
          <cell r="BZ259">
            <v>0</v>
          </cell>
          <cell r="CA259">
            <v>0</v>
          </cell>
          <cell r="CB259">
            <v>0</v>
          </cell>
          <cell r="CC259">
            <v>0</v>
          </cell>
          <cell r="CD259">
            <v>0</v>
          </cell>
          <cell r="CE259">
            <v>0</v>
          </cell>
          <cell r="CF259">
            <v>0</v>
          </cell>
          <cell r="CG259">
            <v>0</v>
          </cell>
          <cell r="CH259">
            <v>0</v>
          </cell>
          <cell r="CI259">
            <v>0</v>
          </cell>
          <cell r="CJ259">
            <v>0</v>
          </cell>
          <cell r="CK259">
            <v>0</v>
          </cell>
          <cell r="CL259">
            <v>0</v>
          </cell>
          <cell r="CM259">
            <v>0</v>
          </cell>
          <cell r="CN259">
            <v>0</v>
          </cell>
          <cell r="CO259">
            <v>0</v>
          </cell>
          <cell r="CP259">
            <v>0</v>
          </cell>
          <cell r="CQ259">
            <v>0</v>
          </cell>
          <cell r="CR259">
            <v>0</v>
          </cell>
          <cell r="CS259">
            <v>752.21734431389802</v>
          </cell>
          <cell r="DE259" t="str">
            <v>mstag:otherShortTermBorrowings</v>
          </cell>
          <cell r="DF259">
            <v>6</v>
          </cell>
          <cell r="DG259" t="str">
            <v>ISO4217:USD</v>
          </cell>
          <cell r="DH259" t="b">
            <v>0</v>
          </cell>
          <cell r="DI259" t="b">
            <v>0</v>
          </cell>
        </row>
        <row r="260">
          <cell r="A260" t="str">
            <v>Short-Term Debt</v>
          </cell>
          <cell r="G260">
            <v>15.138</v>
          </cell>
          <cell r="L260">
            <v>28.780999999999999</v>
          </cell>
          <cell r="Q260">
            <v>21.678999999999998</v>
          </cell>
          <cell r="V260">
            <v>29.884</v>
          </cell>
          <cell r="AA260">
            <v>43.578000000000003</v>
          </cell>
          <cell r="AF260">
            <v>65</v>
          </cell>
          <cell r="AG260">
            <v>68</v>
          </cell>
          <cell r="AH260">
            <v>62</v>
          </cell>
          <cell r="AI260">
            <v>52</v>
          </cell>
          <cell r="AJ260">
            <v>39</v>
          </cell>
          <cell r="AK260">
            <v>39</v>
          </cell>
          <cell r="AL260">
            <v>27</v>
          </cell>
          <cell r="AM260">
            <v>22</v>
          </cell>
          <cell r="AN260">
            <v>33</v>
          </cell>
          <cell r="AO260">
            <v>43</v>
          </cell>
          <cell r="AP260">
            <v>43</v>
          </cell>
          <cell r="AQ260">
            <v>23</v>
          </cell>
          <cell r="AR260">
            <v>30</v>
          </cell>
          <cell r="AS260">
            <v>20</v>
          </cell>
          <cell r="AT260">
            <v>120</v>
          </cell>
          <cell r="AU260">
            <v>120</v>
          </cell>
          <cell r="AV260">
            <v>84</v>
          </cell>
          <cell r="AW260">
            <v>10</v>
          </cell>
          <cell r="AX260">
            <v>10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88</v>
          </cell>
          <cell r="BJ260">
            <v>88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0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N260">
            <v>0</v>
          </cell>
          <cell r="CS260">
            <v>0</v>
          </cell>
          <cell r="DE260" t="str">
            <v>mstag:currentPortionOfLongTermDebt</v>
          </cell>
          <cell r="DF260">
            <v>6</v>
          </cell>
          <cell r="DG260" t="str">
            <v>ISO4217:USD</v>
          </cell>
          <cell r="DH260" t="b">
            <v>0</v>
          </cell>
          <cell r="DI260" t="b">
            <v>0</v>
          </cell>
          <cell r="DJ260" t="str">
            <v>mstag:propertyPlantAndEquipmentGross</v>
          </cell>
          <cell r="DK260">
            <v>6</v>
          </cell>
          <cell r="DL260" t="str">
            <v>ISO4217:USD</v>
          </cell>
          <cell r="DM260" t="b">
            <v>0</v>
          </cell>
          <cell r="DN260" t="b">
            <v>0</v>
          </cell>
        </row>
        <row r="261">
          <cell r="A261" t="str">
            <v>Current Portion of Long-Term Debt</v>
          </cell>
          <cell r="G261">
            <v>24.8</v>
          </cell>
          <cell r="L261">
            <v>54.984999999999999</v>
          </cell>
          <cell r="Q261">
            <v>50.753999999999998</v>
          </cell>
          <cell r="V261">
            <v>67.100999999999999</v>
          </cell>
          <cell r="AA261">
            <v>105.295</v>
          </cell>
          <cell r="AF261">
            <v>158</v>
          </cell>
          <cell r="AG261">
            <v>160</v>
          </cell>
          <cell r="AH261">
            <v>169</v>
          </cell>
          <cell r="AI261">
            <v>170</v>
          </cell>
          <cell r="AJ261">
            <v>175</v>
          </cell>
          <cell r="AK261">
            <v>-338</v>
          </cell>
          <cell r="AL261">
            <v>226</v>
          </cell>
          <cell r="AM261">
            <v>227</v>
          </cell>
          <cell r="AN261">
            <v>395</v>
          </cell>
          <cell r="AO261">
            <v>417</v>
          </cell>
          <cell r="AP261">
            <v>-466</v>
          </cell>
          <cell r="AQ261">
            <v>377</v>
          </cell>
          <cell r="AR261">
            <v>369</v>
          </cell>
          <cell r="AS261">
            <v>186</v>
          </cell>
          <cell r="AT261">
            <v>152</v>
          </cell>
          <cell r="AU261">
            <v>-545</v>
          </cell>
          <cell r="AV261">
            <v>160</v>
          </cell>
          <cell r="AW261">
            <v>335</v>
          </cell>
          <cell r="AX261">
            <v>380</v>
          </cell>
          <cell r="AY261">
            <v>384</v>
          </cell>
          <cell r="AZ261">
            <v>-735</v>
          </cell>
          <cell r="BA261">
            <v>237</v>
          </cell>
          <cell r="BB261">
            <v>220</v>
          </cell>
          <cell r="BC261">
            <v>184</v>
          </cell>
          <cell r="BD261">
            <v>183</v>
          </cell>
          <cell r="BE261">
            <v>-906</v>
          </cell>
          <cell r="BF261">
            <v>188</v>
          </cell>
          <cell r="BG261">
            <v>190</v>
          </cell>
          <cell r="BH261">
            <v>193</v>
          </cell>
          <cell r="BI261">
            <v>198</v>
          </cell>
          <cell r="BJ261">
            <v>-1105</v>
          </cell>
          <cell r="BK261">
            <v>205</v>
          </cell>
          <cell r="BL261">
            <v>265</v>
          </cell>
          <cell r="BM261">
            <v>268</v>
          </cell>
          <cell r="BN261">
            <v>394</v>
          </cell>
          <cell r="BO261">
            <v>-1309</v>
          </cell>
          <cell r="BP261">
            <v>575</v>
          </cell>
          <cell r="BQ261">
            <v>647</v>
          </cell>
          <cell r="BR261">
            <v>636</v>
          </cell>
          <cell r="BS261">
            <v>469</v>
          </cell>
          <cell r="BT261">
            <v>-1552</v>
          </cell>
          <cell r="BU261">
            <v>-1575</v>
          </cell>
          <cell r="BV261">
            <v>278</v>
          </cell>
          <cell r="BW261">
            <v>274</v>
          </cell>
          <cell r="BX261">
            <v>265</v>
          </cell>
          <cell r="BY261">
            <v>265</v>
          </cell>
          <cell r="BZ261">
            <v>264</v>
          </cell>
          <cell r="CA261">
            <v>266</v>
          </cell>
          <cell r="CB261">
            <v>238</v>
          </cell>
          <cell r="CC261">
            <v>238</v>
          </cell>
          <cell r="CD261">
            <v>238</v>
          </cell>
          <cell r="CE261">
            <v>238</v>
          </cell>
          <cell r="CF261">
            <v>238</v>
          </cell>
          <cell r="CG261">
            <v>238</v>
          </cell>
          <cell r="CH261">
            <v>238</v>
          </cell>
          <cell r="CI261">
            <v>238</v>
          </cell>
          <cell r="CN261">
            <v>238</v>
          </cell>
          <cell r="CS261">
            <v>238</v>
          </cell>
          <cell r="DE261" t="str">
            <v>mstag:airTrafficLiability</v>
          </cell>
          <cell r="DF261">
            <v>6</v>
          </cell>
          <cell r="DG261" t="str">
            <v>ISO4217:USD</v>
          </cell>
          <cell r="DH261" t="b">
            <v>0</v>
          </cell>
          <cell r="DI261" t="b">
            <v>0</v>
          </cell>
          <cell r="DJ261" t="str">
            <v>mstag:accumulatedDepreciation</v>
          </cell>
          <cell r="DK261">
            <v>6</v>
          </cell>
          <cell r="DL261" t="str">
            <v>ISO4217:USD</v>
          </cell>
          <cell r="DM261" t="b">
            <v>1</v>
          </cell>
          <cell r="DN261" t="b">
            <v>0</v>
          </cell>
        </row>
        <row r="262">
          <cell r="A262" t="str">
            <v>Air Traffic Liability</v>
          </cell>
          <cell r="G262">
            <v>27.364999999999998</v>
          </cell>
          <cell r="L262">
            <v>51.566000000000003</v>
          </cell>
          <cell r="Q262">
            <v>97.534000000000006</v>
          </cell>
          <cell r="V262">
            <v>134.71899999999999</v>
          </cell>
          <cell r="AA262">
            <v>174.06200000000001</v>
          </cell>
          <cell r="AF262">
            <v>243</v>
          </cell>
          <cell r="AG262">
            <v>316</v>
          </cell>
          <cell r="AH262">
            <v>331</v>
          </cell>
          <cell r="AI262">
            <v>362</v>
          </cell>
          <cell r="AJ262">
            <v>340</v>
          </cell>
          <cell r="AK262">
            <v>340</v>
          </cell>
          <cell r="AL262">
            <v>438</v>
          </cell>
          <cell r="AM262">
            <v>439</v>
          </cell>
          <cell r="AN262">
            <v>416</v>
          </cell>
          <cell r="AO262">
            <v>426</v>
          </cell>
          <cell r="AP262">
            <v>426</v>
          </cell>
          <cell r="AQ262">
            <v>480</v>
          </cell>
          <cell r="AR262">
            <v>561</v>
          </cell>
          <cell r="AS262">
            <v>525</v>
          </cell>
          <cell r="AT262">
            <v>445</v>
          </cell>
          <cell r="AU262">
            <v>445</v>
          </cell>
          <cell r="AV262">
            <v>469</v>
          </cell>
          <cell r="AW262">
            <v>460</v>
          </cell>
          <cell r="AX262">
            <v>457</v>
          </cell>
          <cell r="AY262">
            <v>443</v>
          </cell>
          <cell r="AZ262">
            <v>443</v>
          </cell>
          <cell r="BA262">
            <v>557</v>
          </cell>
          <cell r="BB262">
            <v>593</v>
          </cell>
          <cell r="BC262">
            <v>546</v>
          </cell>
          <cell r="BD262">
            <v>514</v>
          </cell>
          <cell r="BE262">
            <v>514</v>
          </cell>
          <cell r="BF262">
            <v>668</v>
          </cell>
          <cell r="BG262">
            <v>705</v>
          </cell>
          <cell r="BH262">
            <v>677</v>
          </cell>
          <cell r="BI262">
            <v>627</v>
          </cell>
          <cell r="BJ262">
            <v>627</v>
          </cell>
          <cell r="BK262">
            <v>794</v>
          </cell>
          <cell r="BL262">
            <v>773</v>
          </cell>
          <cell r="BM262">
            <v>719</v>
          </cell>
          <cell r="BN262">
            <v>693</v>
          </cell>
          <cell r="BO262">
            <v>693</v>
          </cell>
          <cell r="BP262">
            <v>833</v>
          </cell>
          <cell r="BQ262">
            <v>902</v>
          </cell>
          <cell r="BR262">
            <v>851</v>
          </cell>
          <cell r="BS262">
            <v>825</v>
          </cell>
          <cell r="BT262">
            <v>825</v>
          </cell>
          <cell r="BU262">
            <v>1007</v>
          </cell>
          <cell r="BV262">
            <v>1028</v>
          </cell>
          <cell r="BW262">
            <v>1021</v>
          </cell>
          <cell r="BX262">
            <v>973</v>
          </cell>
          <cell r="BY262">
            <v>973</v>
          </cell>
          <cell r="BZ262">
            <v>1139</v>
          </cell>
          <cell r="CA262">
            <v>1136</v>
          </cell>
          <cell r="CB262">
            <v>1101</v>
          </cell>
          <cell r="CC262">
            <v>1072.7477349047449</v>
          </cell>
          <cell r="CD262">
            <v>1072.7477349047449</v>
          </cell>
          <cell r="CE262">
            <v>1230.6158619038442</v>
          </cell>
          <cell r="CF262">
            <v>1215.6169089272751</v>
          </cell>
          <cell r="CG262">
            <v>1165.0152017179967</v>
          </cell>
          <cell r="CH262">
            <v>1132.6841647856154</v>
          </cell>
          <cell r="CI262">
            <v>1132.6841647856154</v>
          </cell>
          <cell r="CN262">
            <v>1223.2988979684646</v>
          </cell>
          <cell r="CS262">
            <v>1321.1628098059418</v>
          </cell>
          <cell r="DJ262" t="str">
            <v>mstag:airTrafficLiability</v>
          </cell>
          <cell r="DK262">
            <v>6</v>
          </cell>
          <cell r="DL262" t="str">
            <v>ISO4217:USD</v>
          </cell>
          <cell r="DM262" t="b">
            <v>0</v>
          </cell>
          <cell r="DN262" t="b">
            <v>0</v>
          </cell>
        </row>
        <row r="263">
          <cell r="A263" t="str">
            <v>% of Pax Revenue</v>
          </cell>
          <cell r="G263">
            <v>5.2549999999999999</v>
          </cell>
          <cell r="L263">
            <v>0.1660751438012483</v>
          </cell>
          <cell r="Q263">
            <v>0.15854778590018059</v>
          </cell>
          <cell r="V263">
            <v>0.13959201774754917</v>
          </cell>
          <cell r="AA263">
            <v>0.14299515796979773</v>
          </cell>
          <cell r="AF263">
            <v>0.14987316289732577</v>
          </cell>
          <cell r="AG263">
            <v>0.18298823258267624</v>
          </cell>
          <cell r="AH263">
            <v>0.17468060100681465</v>
          </cell>
          <cell r="AI263">
            <v>0.1763824829781159</v>
          </cell>
          <cell r="AJ263">
            <v>0.15291895295493388</v>
          </cell>
          <cell r="AK263">
            <v>0.15291895295493388</v>
          </cell>
          <cell r="AL263">
            <v>0.18846815834767641</v>
          </cell>
          <cell r="AM263">
            <v>0.18080724876441515</v>
          </cell>
          <cell r="AN263">
            <v>0.16307330458643668</v>
          </cell>
          <cell r="AO263">
            <v>0.16160849772382396</v>
          </cell>
          <cell r="AP263">
            <v>0.16160849772382396</v>
          </cell>
          <cell r="AQ263">
            <v>0.1702127659574468</v>
          </cell>
          <cell r="AR263">
            <v>0.19238683127572018</v>
          </cell>
          <cell r="AS263">
            <v>0.1743606775157755</v>
          </cell>
          <cell r="AT263">
            <v>0.14561518324607331</v>
          </cell>
          <cell r="AU263">
            <v>0.14561518324607331</v>
          </cell>
          <cell r="AV263">
            <v>0.15550397877984085</v>
          </cell>
          <cell r="AW263">
            <v>0.1554054054054054</v>
          </cell>
          <cell r="AX263">
            <v>0.15661411925976695</v>
          </cell>
          <cell r="AY263">
            <v>0.15103989089669281</v>
          </cell>
          <cell r="AZ263">
            <v>0.15103989089669281</v>
          </cell>
          <cell r="BA263">
            <v>0.18504983388704319</v>
          </cell>
          <cell r="BB263">
            <v>0.18903410902135798</v>
          </cell>
          <cell r="BC263">
            <v>0.1652542372881356</v>
          </cell>
          <cell r="BD263">
            <v>0.15064478311840562</v>
          </cell>
          <cell r="BE263">
            <v>0.15064478311840562</v>
          </cell>
          <cell r="BF263">
            <v>0.18907444098499859</v>
          </cell>
          <cell r="BG263">
            <v>0.18905872888173772</v>
          </cell>
          <cell r="BH263">
            <v>0.17430484037075181</v>
          </cell>
          <cell r="BI263">
            <v>0.1536764705882353</v>
          </cell>
          <cell r="BJ263">
            <v>0.1536764705882353</v>
          </cell>
          <cell r="BK263">
            <v>0.18594847775175644</v>
          </cell>
          <cell r="BL263">
            <v>0.17588168373151308</v>
          </cell>
          <cell r="BM263">
            <v>0.15970679697912038</v>
          </cell>
          <cell r="BN263">
            <v>0.15230769230769231</v>
          </cell>
          <cell r="BO263">
            <v>0.15230769230769231</v>
          </cell>
          <cell r="BP263">
            <v>0.17952586206896551</v>
          </cell>
          <cell r="BQ263">
            <v>0.19228309528885099</v>
          </cell>
          <cell r="BR263">
            <v>0.17662930676629307</v>
          </cell>
          <cell r="BS263">
            <v>0.16596258298129149</v>
          </cell>
          <cell r="BT263">
            <v>0.16596258298129149</v>
          </cell>
          <cell r="BU263">
            <v>0.20079760717846459</v>
          </cell>
          <cell r="BV263">
            <v>0.19903194578896419</v>
          </cell>
          <cell r="BW263">
            <v>0.19418029669075695</v>
          </cell>
          <cell r="BX263">
            <v>0.18210743028261275</v>
          </cell>
          <cell r="BY263">
            <v>0.18210743028261275</v>
          </cell>
          <cell r="BZ263">
            <v>0.20630320594095272</v>
          </cell>
          <cell r="CA263">
            <v>0.20124003542958371</v>
          </cell>
          <cell r="CB263">
            <v>0.19041854029747493</v>
          </cell>
          <cell r="CC263">
            <v>0.18210743028261275</v>
          </cell>
          <cell r="CD263">
            <v>0.18210743028261275</v>
          </cell>
          <cell r="CE263">
            <v>0.20630320594095272</v>
          </cell>
          <cell r="CF263">
            <v>0.20124003542958371</v>
          </cell>
          <cell r="CG263">
            <v>0.19041854029747493</v>
          </cell>
          <cell r="CH263">
            <v>0.18210743028261275</v>
          </cell>
          <cell r="CI263">
            <v>0.18210743028261278</v>
          </cell>
          <cell r="CN263">
            <v>0.18210743028261278</v>
          </cell>
          <cell r="CS263">
            <v>0.18210743028261278</v>
          </cell>
          <cell r="DE263" t="str">
            <v>mstag:otherLiabilitiesOperatingCurrent</v>
          </cell>
          <cell r="DF263">
            <v>6</v>
          </cell>
          <cell r="DG263" t="str">
            <v>ISO4217:USD</v>
          </cell>
          <cell r="DH263" t="b">
            <v>0</v>
          </cell>
          <cell r="DI263" t="b">
            <v>0</v>
          </cell>
          <cell r="DJ263" t="str">
            <v>mstag:otherIntangibleAssets</v>
          </cell>
          <cell r="DK263">
            <v>6</v>
          </cell>
          <cell r="DL263" t="str">
            <v>ISO4217:USD</v>
          </cell>
          <cell r="DM263" t="b">
            <v>0</v>
          </cell>
          <cell r="DN263" t="b">
            <v>0</v>
          </cell>
        </row>
        <row r="264">
          <cell r="A264" t="str">
            <v>Other Current Liabilities</v>
          </cell>
          <cell r="G264">
            <v>5.2549999999999999</v>
          </cell>
          <cell r="L264">
            <v>15.98</v>
          </cell>
          <cell r="Q264">
            <v>99.697000000000003</v>
          </cell>
          <cell r="V264">
            <v>137.91500000000002</v>
          </cell>
          <cell r="AA264">
            <v>163.06299999999996</v>
          </cell>
          <cell r="AF264">
            <v>210</v>
          </cell>
          <cell r="AG264">
            <v>253</v>
          </cell>
          <cell r="AH264">
            <v>280</v>
          </cell>
          <cell r="AI264">
            <v>283</v>
          </cell>
          <cell r="AJ264">
            <v>300</v>
          </cell>
          <cell r="AK264">
            <v>300</v>
          </cell>
          <cell r="AL264">
            <v>333</v>
          </cell>
          <cell r="AM264">
            <v>361</v>
          </cell>
          <cell r="AN264">
            <v>380</v>
          </cell>
          <cell r="AO264">
            <v>370</v>
          </cell>
          <cell r="AP264">
            <v>370</v>
          </cell>
          <cell r="AQ264">
            <v>387</v>
          </cell>
          <cell r="AR264">
            <v>400</v>
          </cell>
          <cell r="AS264">
            <v>372</v>
          </cell>
          <cell r="AT264">
            <v>364</v>
          </cell>
          <cell r="AU264">
            <v>364</v>
          </cell>
          <cell r="AV264">
            <v>346</v>
          </cell>
          <cell r="AW264">
            <v>323</v>
          </cell>
          <cell r="AX264">
            <v>354</v>
          </cell>
          <cell r="AY264">
            <v>342</v>
          </cell>
          <cell r="AZ264">
            <v>342</v>
          </cell>
          <cell r="BA264">
            <v>378</v>
          </cell>
          <cell r="BB264">
            <v>377</v>
          </cell>
          <cell r="BC264">
            <v>396</v>
          </cell>
          <cell r="BD264">
            <v>388</v>
          </cell>
          <cell r="BE264">
            <v>388</v>
          </cell>
          <cell r="BF264">
            <v>415</v>
          </cell>
          <cell r="BG264">
            <v>415</v>
          </cell>
          <cell r="BH264">
            <v>426</v>
          </cell>
          <cell r="BI264">
            <v>499</v>
          </cell>
          <cell r="BJ264">
            <v>499</v>
          </cell>
          <cell r="BK264">
            <v>480</v>
          </cell>
          <cell r="BL264">
            <v>540</v>
          </cell>
          <cell r="BM264">
            <v>538</v>
          </cell>
          <cell r="BN264">
            <v>521</v>
          </cell>
          <cell r="BO264">
            <v>521</v>
          </cell>
          <cell r="BP264">
            <v>554</v>
          </cell>
          <cell r="BQ264">
            <v>573</v>
          </cell>
          <cell r="BR264">
            <v>546</v>
          </cell>
          <cell r="BS264">
            <v>580</v>
          </cell>
          <cell r="BT264">
            <v>580</v>
          </cell>
          <cell r="BU264">
            <v>661</v>
          </cell>
          <cell r="BV264">
            <v>628</v>
          </cell>
          <cell r="BW264">
            <v>620</v>
          </cell>
          <cell r="BX264">
            <v>698</v>
          </cell>
          <cell r="BY264">
            <v>698</v>
          </cell>
          <cell r="BZ264">
            <v>800</v>
          </cell>
          <cell r="CA264">
            <v>784</v>
          </cell>
          <cell r="CB264">
            <v>886</v>
          </cell>
          <cell r="CC264">
            <v>787.15918430729516</v>
          </cell>
          <cell r="CD264">
            <v>787.15918430729516</v>
          </cell>
          <cell r="CE264">
            <v>906.19127091448865</v>
          </cell>
          <cell r="CF264">
            <v>887.18966484698819</v>
          </cell>
          <cell r="CG264">
            <v>979.04097552264341</v>
          </cell>
          <cell r="CH264">
            <v>865.70728735923819</v>
          </cell>
          <cell r="CI264">
            <v>865.70728735923819</v>
          </cell>
          <cell r="CN264">
            <v>957.76383150929541</v>
          </cell>
          <cell r="CS264">
            <v>1056.0297428241533</v>
          </cell>
          <cell r="DJ264" t="str">
            <v>mstag:otherLiabilitiesOperatingCurrent</v>
          </cell>
          <cell r="DK264">
            <v>6</v>
          </cell>
          <cell r="DL264" t="str">
            <v>ISO4217:USD</v>
          </cell>
          <cell r="DM264" t="b">
            <v>0</v>
          </cell>
          <cell r="DN264" t="b">
            <v>0</v>
          </cell>
        </row>
        <row r="265">
          <cell r="A265" t="str">
            <v>% of Ex-Fuel Expenses</v>
          </cell>
          <cell r="G265">
            <v>91.024000000000001</v>
          </cell>
          <cell r="L265">
            <v>6.3317721829953488E-2</v>
          </cell>
          <cell r="Q265">
            <v>0.21962932855729811</v>
          </cell>
          <cell r="V265">
            <v>0.20317412146693739</v>
          </cell>
          <cell r="AA265">
            <v>0.18205843045877743</v>
          </cell>
          <cell r="AF265">
            <v>0.18211129428231237</v>
          </cell>
          <cell r="AG265">
            <v>0.2030170092946483</v>
          </cell>
          <cell r="AH265">
            <v>0.2087110008586967</v>
          </cell>
          <cell r="AI265">
            <v>0.19894202210857453</v>
          </cell>
          <cell r="AJ265">
            <v>0.2012072434607646</v>
          </cell>
          <cell r="AK265">
            <v>0.2012072434607646</v>
          </cell>
          <cell r="AL265">
            <v>0.21250797702616464</v>
          </cell>
          <cell r="AM265">
            <v>0.22215384615384615</v>
          </cell>
          <cell r="AN265">
            <v>0.22619047619047619</v>
          </cell>
          <cell r="AO265">
            <v>0.2121559633027523</v>
          </cell>
          <cell r="AP265">
            <v>0.2121559633027523</v>
          </cell>
          <cell r="AQ265">
            <v>0.21454706730236167</v>
          </cell>
          <cell r="AR265">
            <v>0.21729682746631898</v>
          </cell>
          <cell r="AS265">
            <v>0.19684622711398031</v>
          </cell>
          <cell r="AT265">
            <v>0.18974145120934111</v>
          </cell>
          <cell r="AU265">
            <v>0.18974145120934111</v>
          </cell>
          <cell r="AV265">
            <v>0.17983367983367984</v>
          </cell>
          <cell r="AW265">
            <v>0.16547978892361287</v>
          </cell>
          <cell r="AX265">
            <v>0.1770354070814163</v>
          </cell>
          <cell r="AY265">
            <v>0.1658583899127061</v>
          </cell>
          <cell r="AZ265">
            <v>0.1658583899127061</v>
          </cell>
          <cell r="BA265">
            <v>0.17666853617498599</v>
          </cell>
          <cell r="BB265">
            <v>0.17061139521201973</v>
          </cell>
          <cell r="BC265">
            <v>0.17414248021108181</v>
          </cell>
          <cell r="BD265">
            <v>0.16642360813245258</v>
          </cell>
          <cell r="BE265">
            <v>0.16642360813245258</v>
          </cell>
          <cell r="BF265">
            <v>0.17500210845913802</v>
          </cell>
          <cell r="BG265">
            <v>0.17068355679855224</v>
          </cell>
          <cell r="BH265">
            <v>0.17272137528381445</v>
          </cell>
          <cell r="BI265">
            <v>0.19817315329626689</v>
          </cell>
          <cell r="BJ265">
            <v>0.19817315329626689</v>
          </cell>
          <cell r="BK265">
            <v>0.18568665377176016</v>
          </cell>
          <cell r="BL265">
            <v>0.2033132530120482</v>
          </cell>
          <cell r="BM265">
            <v>0.19656558275484107</v>
          </cell>
          <cell r="BN265">
            <v>0.18607142857142858</v>
          </cell>
          <cell r="BO265">
            <v>0.18607142857142858</v>
          </cell>
          <cell r="BP265">
            <v>0.19156293222683266</v>
          </cell>
          <cell r="BQ265">
            <v>0.19338508268646643</v>
          </cell>
          <cell r="BR265">
            <v>0.17972350230414746</v>
          </cell>
          <cell r="BS265">
            <v>0.18625561978163135</v>
          </cell>
          <cell r="BT265">
            <v>0.18625561978163135</v>
          </cell>
          <cell r="BU265">
            <v>0.2075353218210361</v>
          </cell>
          <cell r="BV265">
            <v>0.19193154034229828</v>
          </cell>
          <cell r="BW265">
            <v>0.18601860186018601</v>
          </cell>
          <cell r="BX265">
            <v>0.20589970501474927</v>
          </cell>
          <cell r="BY265">
            <v>0.20589970501474927</v>
          </cell>
          <cell r="BZ265">
            <v>0.2298190175237001</v>
          </cell>
          <cell r="CA265">
            <v>0.21868898186889818</v>
          </cell>
          <cell r="CB265">
            <v>0.23759721104853848</v>
          </cell>
          <cell r="CC265">
            <v>0.20589970501474927</v>
          </cell>
          <cell r="CD265">
            <v>0.20589970501474927</v>
          </cell>
          <cell r="CE265">
            <v>0.2298190175237001</v>
          </cell>
          <cell r="CF265">
            <v>0.21868898186889818</v>
          </cell>
          <cell r="CG265">
            <v>0.23759721104853848</v>
          </cell>
          <cell r="CH265">
            <v>0.20589970501474927</v>
          </cell>
          <cell r="CI265">
            <v>0.20589970501474927</v>
          </cell>
          <cell r="CJ265">
            <v>0</v>
          </cell>
          <cell r="CK265">
            <v>0</v>
          </cell>
          <cell r="CL265">
            <v>0</v>
          </cell>
          <cell r="CM265">
            <v>0</v>
          </cell>
          <cell r="CN265">
            <v>0.14601814351540285</v>
          </cell>
          <cell r="CS265">
            <v>0.20589970501474927</v>
          </cell>
        </row>
        <row r="266">
          <cell r="A266" t="str">
            <v>Total Current Liabilities</v>
          </cell>
          <cell r="G266">
            <v>91.024000000000001</v>
          </cell>
          <cell r="L266">
            <v>151.31200000000001</v>
          </cell>
          <cell r="Q266">
            <v>269.66399999999999</v>
          </cell>
          <cell r="V266">
            <v>369.61900000000003</v>
          </cell>
          <cell r="AA266">
            <v>485.99799999999999</v>
          </cell>
          <cell r="AF266">
            <v>676</v>
          </cell>
          <cell r="AG266">
            <v>797</v>
          </cell>
          <cell r="AH266">
            <v>842</v>
          </cell>
          <cell r="AI266">
            <v>867</v>
          </cell>
          <cell r="AJ266">
            <v>854</v>
          </cell>
          <cell r="AK266">
            <v>854</v>
          </cell>
          <cell r="AL266">
            <v>1024</v>
          </cell>
          <cell r="AM266">
            <v>1049</v>
          </cell>
          <cell r="AN266">
            <v>1224</v>
          </cell>
          <cell r="AO266">
            <v>1256</v>
          </cell>
          <cell r="AP266">
            <v>1256</v>
          </cell>
          <cell r="AQ266">
            <v>1267</v>
          </cell>
          <cell r="AR266">
            <v>1360</v>
          </cell>
          <cell r="AS266">
            <v>1103</v>
          </cell>
          <cell r="AT266">
            <v>1081</v>
          </cell>
          <cell r="AU266">
            <v>1081</v>
          </cell>
          <cell r="AV266">
            <v>1059</v>
          </cell>
          <cell r="AW266">
            <v>1128</v>
          </cell>
          <cell r="AX266">
            <v>1201</v>
          </cell>
          <cell r="AY266">
            <v>1169</v>
          </cell>
          <cell r="AZ266">
            <v>1169</v>
          </cell>
          <cell r="BA266">
            <v>1172</v>
          </cell>
          <cell r="BB266">
            <v>1190</v>
          </cell>
          <cell r="BC266">
            <v>1126</v>
          </cell>
          <cell r="BD266">
            <v>1085</v>
          </cell>
          <cell r="BE266">
            <v>1085</v>
          </cell>
          <cell r="BF266">
            <v>1271</v>
          </cell>
          <cell r="BG266">
            <v>1310</v>
          </cell>
          <cell r="BH266">
            <v>1296</v>
          </cell>
          <cell r="BI266">
            <v>1412</v>
          </cell>
          <cell r="BJ266">
            <v>1412</v>
          </cell>
          <cell r="BK266">
            <v>1479</v>
          </cell>
          <cell r="BL266">
            <v>1578</v>
          </cell>
          <cell r="BM266">
            <v>1525</v>
          </cell>
          <cell r="BN266">
            <v>1608</v>
          </cell>
          <cell r="BO266">
            <v>1608</v>
          </cell>
          <cell r="BP266">
            <v>1962</v>
          </cell>
          <cell r="BQ266">
            <v>2122</v>
          </cell>
          <cell r="BR266">
            <v>2033</v>
          </cell>
          <cell r="BS266">
            <v>1874</v>
          </cell>
          <cell r="BT266">
            <v>1874</v>
          </cell>
          <cell r="BU266">
            <v>1975</v>
          </cell>
          <cell r="BV266">
            <v>1934</v>
          </cell>
          <cell r="BW266">
            <v>1915</v>
          </cell>
          <cell r="BX266">
            <v>1936</v>
          </cell>
          <cell r="BY266">
            <v>1936</v>
          </cell>
          <cell r="BZ266">
            <v>2203</v>
          </cell>
          <cell r="CA266">
            <v>2186</v>
          </cell>
          <cell r="CB266">
            <v>2225</v>
          </cell>
          <cell r="CC266">
            <v>2097.9069192120401</v>
          </cell>
          <cell r="CD266">
            <v>2097.9069192120401</v>
          </cell>
          <cell r="CE266">
            <v>2374.8071328183328</v>
          </cell>
          <cell r="CF266">
            <v>2340.8065737742631</v>
          </cell>
          <cell r="CG266">
            <v>2382.05617724064</v>
          </cell>
          <cell r="CH266">
            <v>2236.3914521448537</v>
          </cell>
          <cell r="CI266">
            <v>2236.3914521448537</v>
          </cell>
          <cell r="CJ266">
            <v>0</v>
          </cell>
          <cell r="CK266">
            <v>0</v>
          </cell>
          <cell r="CL266">
            <v>0</v>
          </cell>
          <cell r="CM266">
            <v>0</v>
          </cell>
          <cell r="CN266">
            <v>8290.2222274193555</v>
          </cell>
          <cell r="CO266">
            <v>0</v>
          </cell>
          <cell r="CP266">
            <v>0</v>
          </cell>
          <cell r="CQ266">
            <v>0</v>
          </cell>
          <cell r="CR266">
            <v>0</v>
          </cell>
          <cell r="CS266">
            <v>8735.5681946290315</v>
          </cell>
          <cell r="DE266" t="str">
            <v>mstag:longTermDebt</v>
          </cell>
          <cell r="DF266">
            <v>6</v>
          </cell>
          <cell r="DG266" t="str">
            <v>ISO4217:USD</v>
          </cell>
          <cell r="DH266" t="b">
            <v>0</v>
          </cell>
          <cell r="DI266" t="b">
            <v>0</v>
          </cell>
        </row>
        <row r="267">
          <cell r="A267" t="str">
            <v>Long-Term Debt, Less Current Portion</v>
          </cell>
          <cell r="G267">
            <v>137.11000000000001</v>
          </cell>
          <cell r="L267">
            <v>290.66500000000002</v>
          </cell>
          <cell r="Q267">
            <v>639.49800000000005</v>
          </cell>
          <cell r="V267">
            <v>1011.61</v>
          </cell>
          <cell r="AA267">
            <v>1395.9390000000001</v>
          </cell>
          <cell r="AF267">
            <v>2103</v>
          </cell>
          <cell r="AG267">
            <v>2154</v>
          </cell>
          <cell r="AH267">
            <v>2287</v>
          </cell>
          <cell r="AI267">
            <v>2338</v>
          </cell>
          <cell r="AJ267">
            <v>2626</v>
          </cell>
          <cell r="AK267">
            <v>2626</v>
          </cell>
          <cell r="AL267">
            <v>2685</v>
          </cell>
          <cell r="AM267">
            <v>2756</v>
          </cell>
          <cell r="AN267">
            <v>2589</v>
          </cell>
          <cell r="AO267">
            <v>2588</v>
          </cell>
          <cell r="AP267">
            <v>2588</v>
          </cell>
          <cell r="AQ267">
            <v>2697</v>
          </cell>
          <cell r="AR267">
            <v>2936</v>
          </cell>
          <cell r="AS267">
            <v>2929</v>
          </cell>
          <cell r="AT267">
            <v>2883</v>
          </cell>
          <cell r="AU267">
            <v>2883</v>
          </cell>
          <cell r="AV267">
            <v>2980</v>
          </cell>
          <cell r="AW267">
            <v>3063</v>
          </cell>
          <cell r="AX267">
            <v>2972</v>
          </cell>
          <cell r="AY267">
            <v>2920</v>
          </cell>
          <cell r="AZ267">
            <v>2920</v>
          </cell>
          <cell r="BA267">
            <v>2882</v>
          </cell>
          <cell r="BB267">
            <v>2896</v>
          </cell>
          <cell r="BC267">
            <v>2880</v>
          </cell>
          <cell r="BD267">
            <v>2850</v>
          </cell>
          <cell r="BE267">
            <v>2850</v>
          </cell>
          <cell r="BF267">
            <v>2890</v>
          </cell>
          <cell r="BG267">
            <v>2893</v>
          </cell>
          <cell r="BH267">
            <v>2864</v>
          </cell>
          <cell r="BI267">
            <v>2850</v>
          </cell>
          <cell r="BJ267">
            <v>2850</v>
          </cell>
          <cell r="BK267">
            <v>2798</v>
          </cell>
          <cell r="BL267">
            <v>2626</v>
          </cell>
          <cell r="BM267">
            <v>2603</v>
          </cell>
          <cell r="BN267">
            <v>2457</v>
          </cell>
          <cell r="BO267">
            <v>2457</v>
          </cell>
          <cell r="BP267">
            <v>2251</v>
          </cell>
          <cell r="BQ267">
            <v>2173</v>
          </cell>
          <cell r="BR267">
            <v>2206</v>
          </cell>
          <cell r="BS267">
            <v>2116</v>
          </cell>
          <cell r="BT267">
            <v>2116</v>
          </cell>
          <cell r="BU267">
            <v>2332</v>
          </cell>
          <cell r="BV267">
            <v>2108</v>
          </cell>
          <cell r="BW267">
            <v>2088</v>
          </cell>
          <cell r="BX267">
            <v>1968</v>
          </cell>
          <cell r="BY267">
            <v>1968</v>
          </cell>
          <cell r="BZ267">
            <v>1917</v>
          </cell>
          <cell r="CA267">
            <v>1803</v>
          </cell>
          <cell r="CB267">
            <v>1744</v>
          </cell>
          <cell r="CC267">
            <v>1705</v>
          </cell>
          <cell r="CD267">
            <v>1705</v>
          </cell>
          <cell r="CE267">
            <v>1565</v>
          </cell>
          <cell r="CF267">
            <v>1425</v>
          </cell>
          <cell r="CG267">
            <v>1285</v>
          </cell>
          <cell r="CH267">
            <v>1145</v>
          </cell>
          <cell r="CI267">
            <v>1145</v>
          </cell>
          <cell r="CN267">
            <v>595</v>
          </cell>
          <cell r="CS267">
            <v>0</v>
          </cell>
          <cell r="DE267" t="str">
            <v>mstag:deferredTaxLiabilities</v>
          </cell>
          <cell r="DF267">
            <v>6</v>
          </cell>
          <cell r="DG267" t="str">
            <v>ISO4217:USD</v>
          </cell>
          <cell r="DH267" t="b">
            <v>0</v>
          </cell>
          <cell r="DI267" t="b">
            <v>0</v>
          </cell>
          <cell r="DJ267" t="str">
            <v>mstag:longTermDebt</v>
          </cell>
          <cell r="DK267">
            <v>6</v>
          </cell>
          <cell r="DL267" t="str">
            <v>ISO4217:USD</v>
          </cell>
          <cell r="DM267" t="b">
            <v>0</v>
          </cell>
          <cell r="DN267" t="b">
            <v>0</v>
          </cell>
        </row>
        <row r="268">
          <cell r="A268" t="str">
            <v>Deferred Income Taxes</v>
          </cell>
          <cell r="G268">
            <v>0</v>
          </cell>
          <cell r="L268">
            <v>3.3730000000000002</v>
          </cell>
          <cell r="Q268">
            <v>38.545000000000002</v>
          </cell>
          <cell r="V268">
            <v>99.03</v>
          </cell>
          <cell r="AA268">
            <v>122.75700000000001</v>
          </cell>
          <cell r="AF268">
            <v>116</v>
          </cell>
          <cell r="AG268">
            <v>140</v>
          </cell>
          <cell r="AH268">
            <v>175</v>
          </cell>
          <cell r="AI268">
            <v>184</v>
          </cell>
          <cell r="AJ268">
            <v>136</v>
          </cell>
          <cell r="AK268">
            <v>136</v>
          </cell>
          <cell r="AL268">
            <v>114</v>
          </cell>
          <cell r="AM268">
            <v>136</v>
          </cell>
          <cell r="AN268">
            <v>159</v>
          </cell>
          <cell r="AO268">
            <v>192</v>
          </cell>
          <cell r="AP268">
            <v>192</v>
          </cell>
          <cell r="AQ268">
            <v>187</v>
          </cell>
          <cell r="AR268">
            <v>183</v>
          </cell>
          <cell r="AS268">
            <v>183</v>
          </cell>
          <cell r="AT268">
            <v>197</v>
          </cell>
          <cell r="AU268">
            <v>194</v>
          </cell>
          <cell r="AV268">
            <v>206</v>
          </cell>
          <cell r="AW268">
            <v>221</v>
          </cell>
          <cell r="AX268">
            <v>229</v>
          </cell>
          <cell r="AY268">
            <v>259</v>
          </cell>
          <cell r="AZ268">
            <v>259</v>
          </cell>
          <cell r="BA268">
            <v>259</v>
          </cell>
          <cell r="BB268">
            <v>280</v>
          </cell>
          <cell r="BC268">
            <v>318</v>
          </cell>
          <cell r="BD268">
            <v>327</v>
          </cell>
          <cell r="BE268">
            <v>327</v>
          </cell>
          <cell r="BF268">
            <v>329</v>
          </cell>
          <cell r="BG268">
            <v>348</v>
          </cell>
          <cell r="BH268">
            <v>368</v>
          </cell>
          <cell r="BI268">
            <v>392</v>
          </cell>
          <cell r="BJ268">
            <v>392</v>
          </cell>
          <cell r="BK268">
            <v>409</v>
          </cell>
          <cell r="BL268">
            <v>442</v>
          </cell>
          <cell r="BM268">
            <v>471</v>
          </cell>
          <cell r="BN268">
            <v>481</v>
          </cell>
          <cell r="BO268">
            <v>481</v>
          </cell>
          <cell r="BP268">
            <v>489</v>
          </cell>
          <cell r="BQ268">
            <v>512</v>
          </cell>
          <cell r="BR268">
            <v>559</v>
          </cell>
          <cell r="BS268">
            <v>605</v>
          </cell>
          <cell r="BT268">
            <v>605</v>
          </cell>
          <cell r="BU268">
            <v>607</v>
          </cell>
          <cell r="BV268">
            <v>712</v>
          </cell>
          <cell r="BW268">
            <v>769</v>
          </cell>
          <cell r="BX268">
            <v>832</v>
          </cell>
          <cell r="BY268">
            <v>832</v>
          </cell>
          <cell r="BZ268">
            <v>897</v>
          </cell>
          <cell r="CA268">
            <v>961</v>
          </cell>
          <cell r="CB268">
            <v>1040</v>
          </cell>
          <cell r="CC268">
            <v>1103.0447594121997</v>
          </cell>
          <cell r="CD268">
            <v>1103.0447594121997</v>
          </cell>
          <cell r="CE268">
            <v>1134.6793200188174</v>
          </cell>
          <cell r="CF268">
            <v>1172.2914236978249</v>
          </cell>
          <cell r="CG268">
            <v>1214.2383473341818</v>
          </cell>
          <cell r="CH268">
            <v>1251.8579958578475</v>
          </cell>
          <cell r="CI268">
            <v>1251.8579958578475</v>
          </cell>
          <cell r="CN268">
            <v>1309.096596518501</v>
          </cell>
          <cell r="CS268">
            <v>1365.1088450828829</v>
          </cell>
          <cell r="DE268" t="str">
            <v>mstag:otherLiabilitiesOperatingNonCurrent</v>
          </cell>
          <cell r="DF268">
            <v>6</v>
          </cell>
          <cell r="DG268" t="str">
            <v>ISO4217:USD</v>
          </cell>
          <cell r="DH268" t="b">
            <v>0</v>
          </cell>
          <cell r="DI268" t="b">
            <v>0</v>
          </cell>
          <cell r="DJ268" t="str">
            <v>mstag:deferredTaxLiabilities</v>
          </cell>
          <cell r="DK268">
            <v>6</v>
          </cell>
          <cell r="DL268" t="str">
            <v>ISO4217:USD</v>
          </cell>
          <cell r="DM268" t="b">
            <v>0</v>
          </cell>
          <cell r="DN268" t="b">
            <v>0</v>
          </cell>
        </row>
        <row r="269">
          <cell r="A269" t="str">
            <v>Other Long-Term Liabilities</v>
          </cell>
          <cell r="G269">
            <v>170.14699999999999</v>
          </cell>
          <cell r="L269">
            <v>217.77600000000001</v>
          </cell>
          <cell r="Q269">
            <v>16.542999999999999</v>
          </cell>
          <cell r="V269">
            <v>34.362000000000002</v>
          </cell>
          <cell r="AA269">
            <v>37.75</v>
          </cell>
          <cell r="AF269">
            <v>86</v>
          </cell>
          <cell r="AG269">
            <v>88</v>
          </cell>
          <cell r="AH269">
            <v>84</v>
          </cell>
          <cell r="AI269">
            <v>123</v>
          </cell>
          <cell r="AJ269">
            <v>275</v>
          </cell>
          <cell r="AK269">
            <v>275</v>
          </cell>
          <cell r="AL269">
            <v>362</v>
          </cell>
          <cell r="AM269">
            <v>422</v>
          </cell>
          <cell r="AN269">
            <v>465</v>
          </cell>
          <cell r="AO269">
            <v>526</v>
          </cell>
          <cell r="AP269">
            <v>526</v>
          </cell>
          <cell r="AQ269">
            <v>570</v>
          </cell>
          <cell r="AR269">
            <v>611</v>
          </cell>
          <cell r="AS269">
            <v>588</v>
          </cell>
          <cell r="AT269">
            <v>601</v>
          </cell>
          <cell r="AU269">
            <v>604</v>
          </cell>
          <cell r="AV269">
            <v>601</v>
          </cell>
          <cell r="AW269">
            <v>614</v>
          </cell>
          <cell r="AX269">
            <v>620</v>
          </cell>
          <cell r="AY269">
            <v>667</v>
          </cell>
          <cell r="AZ269">
            <v>667</v>
          </cell>
          <cell r="BA269">
            <v>666</v>
          </cell>
          <cell r="BB269">
            <v>668</v>
          </cell>
          <cell r="BC269">
            <v>671</v>
          </cell>
          <cell r="BD269">
            <v>677</v>
          </cell>
          <cell r="BE269">
            <v>677</v>
          </cell>
          <cell r="BF269">
            <v>676</v>
          </cell>
          <cell r="BG269">
            <v>667</v>
          </cell>
          <cell r="BH269">
            <v>676</v>
          </cell>
          <cell r="BI269">
            <v>660</v>
          </cell>
          <cell r="BJ269">
            <v>660</v>
          </cell>
          <cell r="BK269">
            <v>656</v>
          </cell>
          <cell r="BL269">
            <v>645</v>
          </cell>
          <cell r="BM269">
            <v>639</v>
          </cell>
          <cell r="BN269">
            <v>636</v>
          </cell>
          <cell r="BO269">
            <v>636</v>
          </cell>
          <cell r="BP269">
            <v>635</v>
          </cell>
          <cell r="BQ269">
            <v>629</v>
          </cell>
          <cell r="BR269">
            <v>628</v>
          </cell>
          <cell r="BS269">
            <v>621</v>
          </cell>
          <cell r="BT269">
            <v>621</v>
          </cell>
          <cell r="BU269">
            <v>595</v>
          </cell>
          <cell r="BV269">
            <v>588</v>
          </cell>
          <cell r="BW269">
            <v>583</v>
          </cell>
          <cell r="BX269">
            <v>574</v>
          </cell>
          <cell r="BY269">
            <v>574</v>
          </cell>
          <cell r="BZ269">
            <v>578</v>
          </cell>
          <cell r="CA269">
            <v>574</v>
          </cell>
          <cell r="CB269">
            <v>568</v>
          </cell>
          <cell r="CC269">
            <v>568</v>
          </cell>
          <cell r="CD269">
            <v>568</v>
          </cell>
          <cell r="CE269">
            <v>568</v>
          </cell>
          <cell r="CF269">
            <v>568</v>
          </cell>
          <cell r="CG269">
            <v>568</v>
          </cell>
          <cell r="CH269">
            <v>568</v>
          </cell>
          <cell r="CI269">
            <v>568</v>
          </cell>
          <cell r="CN269">
            <v>568</v>
          </cell>
          <cell r="CS269">
            <v>568</v>
          </cell>
          <cell r="DJ269" t="str">
            <v>mstag:otherLiabilitiesOperatingNonCurrent</v>
          </cell>
          <cell r="DK269">
            <v>6</v>
          </cell>
          <cell r="DL269" t="str">
            <v>ISO4217:USD</v>
          </cell>
          <cell r="DM269" t="b">
            <v>0</v>
          </cell>
          <cell r="DN269" t="b">
            <v>0</v>
          </cell>
        </row>
        <row r="270">
          <cell r="A270" t="str">
            <v>% of Ex-Fuel Expenses</v>
          </cell>
          <cell r="G270">
            <v>307.25700000000001</v>
          </cell>
          <cell r="L270">
            <v>0.8628961319924876</v>
          </cell>
          <cell r="Q270">
            <v>3.6443704247102547E-2</v>
          </cell>
          <cell r="V270">
            <v>5.0621536176970613E-2</v>
          </cell>
          <cell r="AA270">
            <v>4.2147548799046072E-2</v>
          </cell>
          <cell r="AF270">
            <v>7.4578910991804123E-2</v>
          </cell>
          <cell r="AG270">
            <v>7.0614611928573323E-2</v>
          </cell>
          <cell r="AH270">
            <v>6.2613300257609014E-2</v>
          </cell>
          <cell r="AI270">
            <v>8.6465967206200242E-2</v>
          </cell>
          <cell r="AJ270">
            <v>0.18443997317236754</v>
          </cell>
          <cell r="AK270">
            <v>0.18443997317236754</v>
          </cell>
          <cell r="AL270">
            <v>0.23101467772814294</v>
          </cell>
          <cell r="AM270">
            <v>0.25969230769230767</v>
          </cell>
          <cell r="AN270">
            <v>0.2767857142857143</v>
          </cell>
          <cell r="AO270">
            <v>0.30160550458715596</v>
          </cell>
          <cell r="AP270">
            <v>0.30160550458715596</v>
          </cell>
          <cell r="AQ270">
            <v>0.31599955649185052</v>
          </cell>
          <cell r="AR270">
            <v>0.33192090395480223</v>
          </cell>
          <cell r="AS270">
            <v>0.31114403640596888</v>
          </cell>
          <cell r="AT270">
            <v>0.31328190158465385</v>
          </cell>
          <cell r="AU270">
            <v>0.31484570475396162</v>
          </cell>
          <cell r="AV270">
            <v>0.31237006237006237</v>
          </cell>
          <cell r="AW270">
            <v>0.31456529535324557</v>
          </cell>
          <cell r="AX270">
            <v>0.31006201240248049</v>
          </cell>
          <cell r="AY270">
            <v>0.32347235693501453</v>
          </cell>
          <cell r="AZ270">
            <v>0.32347235693501453</v>
          </cell>
          <cell r="BA270">
            <v>0.31127313516545152</v>
          </cell>
          <cell r="BB270">
            <v>0.30230348011042224</v>
          </cell>
          <cell r="BC270">
            <v>0.29507475813544415</v>
          </cell>
          <cell r="BD270">
            <v>0.29038346058162473</v>
          </cell>
          <cell r="BE270">
            <v>0.29038346058162473</v>
          </cell>
          <cell r="BF270">
            <v>0.28506367546596939</v>
          </cell>
          <cell r="BG270">
            <v>0.27432754791478153</v>
          </cell>
          <cell r="BH270">
            <v>0.27408368472267269</v>
          </cell>
          <cell r="BI270">
            <v>0.26211278792692611</v>
          </cell>
          <cell r="BJ270">
            <v>0.26211278792692611</v>
          </cell>
          <cell r="BK270">
            <v>0.2537717601547389</v>
          </cell>
          <cell r="BL270">
            <v>0.24284638554216867</v>
          </cell>
          <cell r="BM270">
            <v>0.23346729996346366</v>
          </cell>
          <cell r="BN270">
            <v>0.22714285714285715</v>
          </cell>
          <cell r="BO270">
            <v>0.22714285714285715</v>
          </cell>
          <cell r="BP270">
            <v>0.21957123098201936</v>
          </cell>
          <cell r="BQ270">
            <v>0.2122848464394195</v>
          </cell>
          <cell r="BR270">
            <v>0.20671494404213298</v>
          </cell>
          <cell r="BS270">
            <v>0.19942196531791909</v>
          </cell>
          <cell r="BT270">
            <v>0.19942196531791909</v>
          </cell>
          <cell r="BU270">
            <v>0.18681318681318682</v>
          </cell>
          <cell r="BV270">
            <v>0.17970660146699266</v>
          </cell>
          <cell r="BW270">
            <v>0.17491749174917492</v>
          </cell>
          <cell r="BX270">
            <v>0.16932153392330385</v>
          </cell>
          <cell r="BY270">
            <v>0.16932153392330385</v>
          </cell>
          <cell r="BZ270">
            <v>0.16604424016087332</v>
          </cell>
          <cell r="CA270">
            <v>0.16011157601115761</v>
          </cell>
          <cell r="CB270">
            <v>0.15231965674443551</v>
          </cell>
          <cell r="CC270">
            <v>0.14857354748556381</v>
          </cell>
          <cell r="CD270">
            <v>0.14857354748556381</v>
          </cell>
          <cell r="CE270">
            <v>0.14405038554579014</v>
          </cell>
          <cell r="CF270">
            <v>0.14000990613766598</v>
          </cell>
          <cell r="CG270">
            <v>0.13784429788909136</v>
          </cell>
          <cell r="CH270">
            <v>0.13509304375284414</v>
          </cell>
          <cell r="CI270">
            <v>0.13509304375284414</v>
          </cell>
          <cell r="CN270">
            <v>0.12210842443703465</v>
          </cell>
          <cell r="CS270">
            <v>0.11074596453658019</v>
          </cell>
          <cell r="DJ270" t="str">
            <v>mstag:currentPortionOfLongTermDebt</v>
          </cell>
          <cell r="DK270">
            <v>6</v>
          </cell>
          <cell r="DL270" t="str">
            <v>ISO4217:USD</v>
          </cell>
          <cell r="DM270" t="b">
            <v>0</v>
          </cell>
          <cell r="DN270" t="b">
            <v>0</v>
          </cell>
        </row>
        <row r="271">
          <cell r="A271" t="str">
            <v>Total Non-Current Liabilities</v>
          </cell>
          <cell r="G271">
            <v>307.25700000000001</v>
          </cell>
          <cell r="L271">
            <v>511.81400000000002</v>
          </cell>
          <cell r="Q271">
            <v>694.58600000000001</v>
          </cell>
          <cell r="V271">
            <v>1145.002</v>
          </cell>
          <cell r="AA271">
            <v>1556.4460000000001</v>
          </cell>
          <cell r="AF271">
            <v>2305</v>
          </cell>
          <cell r="AG271">
            <v>2382</v>
          </cell>
          <cell r="AH271">
            <v>2546</v>
          </cell>
          <cell r="AI271">
            <v>2645</v>
          </cell>
          <cell r="AJ271">
            <v>3037</v>
          </cell>
          <cell r="AK271">
            <v>3037</v>
          </cell>
          <cell r="AL271">
            <v>3161</v>
          </cell>
          <cell r="AM271">
            <v>3314</v>
          </cell>
          <cell r="AN271">
            <v>3213</v>
          </cell>
          <cell r="AO271">
            <v>3306</v>
          </cell>
          <cell r="AP271">
            <v>3306</v>
          </cell>
          <cell r="AQ271">
            <v>3454</v>
          </cell>
          <cell r="AR271">
            <v>3730</v>
          </cell>
          <cell r="AS271">
            <v>3700</v>
          </cell>
          <cell r="AT271">
            <v>3681</v>
          </cell>
          <cell r="AU271">
            <v>3681</v>
          </cell>
          <cell r="AV271">
            <v>3787</v>
          </cell>
          <cell r="AW271">
            <v>3898</v>
          </cell>
          <cell r="AX271">
            <v>3821</v>
          </cell>
          <cell r="AY271">
            <v>3846</v>
          </cell>
          <cell r="AZ271">
            <v>3846</v>
          </cell>
          <cell r="BA271">
            <v>3807</v>
          </cell>
          <cell r="BB271">
            <v>3844</v>
          </cell>
          <cell r="BC271">
            <v>3869</v>
          </cell>
          <cell r="BD271">
            <v>3854</v>
          </cell>
          <cell r="BE271">
            <v>3854</v>
          </cell>
          <cell r="BF271">
            <v>3895</v>
          </cell>
          <cell r="BG271">
            <v>3908</v>
          </cell>
          <cell r="BH271">
            <v>3908</v>
          </cell>
          <cell r="BI271">
            <v>3902</v>
          </cell>
          <cell r="BJ271">
            <v>3902</v>
          </cell>
          <cell r="BK271">
            <v>3863</v>
          </cell>
          <cell r="BL271">
            <v>3713</v>
          </cell>
          <cell r="BM271">
            <v>3713</v>
          </cell>
          <cell r="BN271">
            <v>3574</v>
          </cell>
          <cell r="BO271">
            <v>3574</v>
          </cell>
          <cell r="BP271">
            <v>3375</v>
          </cell>
          <cell r="BQ271">
            <v>3314</v>
          </cell>
          <cell r="BR271">
            <v>3393</v>
          </cell>
          <cell r="BS271">
            <v>3342</v>
          </cell>
          <cell r="BT271">
            <v>3342</v>
          </cell>
          <cell r="BU271">
            <v>3534</v>
          </cell>
          <cell r="BV271">
            <v>3408</v>
          </cell>
          <cell r="BW271">
            <v>3440</v>
          </cell>
          <cell r="BX271">
            <v>3374</v>
          </cell>
          <cell r="BY271">
            <v>3374</v>
          </cell>
          <cell r="BZ271">
            <v>3392</v>
          </cell>
          <cell r="CA271">
            <v>3338</v>
          </cell>
          <cell r="CB271">
            <v>3352</v>
          </cell>
          <cell r="CC271">
            <v>3376.0447594121997</v>
          </cell>
          <cell r="CD271">
            <v>3376.0447594121997</v>
          </cell>
          <cell r="CE271">
            <v>3267.6793200188176</v>
          </cell>
          <cell r="CF271">
            <v>3165.2914236978249</v>
          </cell>
          <cell r="CG271">
            <v>3067.2383473341815</v>
          </cell>
          <cell r="CH271">
            <v>2964.8579958578475</v>
          </cell>
          <cell r="CI271">
            <v>2964.8579958578475</v>
          </cell>
          <cell r="CN271">
            <v>2472.096596518501</v>
          </cell>
          <cell r="CS271">
            <v>1933.1088450828829</v>
          </cell>
          <cell r="DJ271" t="str">
            <v>mstag:airTrafficLiability</v>
          </cell>
          <cell r="DK271">
            <v>6</v>
          </cell>
          <cell r="DL271" t="str">
            <v>ISO4217:USD</v>
          </cell>
          <cell r="DM271" t="b">
            <v>0</v>
          </cell>
          <cell r="DN271" t="b">
            <v>0</v>
          </cell>
        </row>
        <row r="272">
          <cell r="A272" t="str">
            <v>Total Liabilities</v>
          </cell>
          <cell r="G272">
            <v>398.28100000000001</v>
          </cell>
          <cell r="L272">
            <v>663.12599999999998</v>
          </cell>
          <cell r="Q272">
            <v>964.25</v>
          </cell>
          <cell r="V272">
            <v>1514.6210000000001</v>
          </cell>
          <cell r="AA272">
            <v>2042.4440000000002</v>
          </cell>
          <cell r="AF272">
            <v>2981</v>
          </cell>
          <cell r="AG272">
            <v>3179</v>
          </cell>
          <cell r="AH272">
            <v>3388</v>
          </cell>
          <cell r="AI272">
            <v>3512</v>
          </cell>
          <cell r="AJ272">
            <v>3891</v>
          </cell>
          <cell r="AK272">
            <v>3891</v>
          </cell>
          <cell r="AL272">
            <v>4185</v>
          </cell>
          <cell r="AM272">
            <v>4363</v>
          </cell>
          <cell r="AN272">
            <v>4437</v>
          </cell>
          <cell r="AO272">
            <v>4562</v>
          </cell>
          <cell r="AP272">
            <v>4562</v>
          </cell>
          <cell r="AQ272">
            <v>4721</v>
          </cell>
          <cell r="AR272">
            <v>5090</v>
          </cell>
          <cell r="AS272">
            <v>4803</v>
          </cell>
          <cell r="AT272">
            <v>4762</v>
          </cell>
          <cell r="AU272">
            <v>4762</v>
          </cell>
          <cell r="AV272">
            <v>4846</v>
          </cell>
          <cell r="AW272">
            <v>5026</v>
          </cell>
          <cell r="AX272">
            <v>5022</v>
          </cell>
          <cell r="AY272">
            <v>5015</v>
          </cell>
          <cell r="AZ272">
            <v>5015</v>
          </cell>
          <cell r="BA272">
            <v>4979</v>
          </cell>
          <cell r="BB272">
            <v>5034</v>
          </cell>
          <cell r="BC272">
            <v>4995</v>
          </cell>
          <cell r="BD272">
            <v>4939</v>
          </cell>
          <cell r="BE272">
            <v>4939</v>
          </cell>
          <cell r="BF272">
            <v>5166</v>
          </cell>
          <cell r="BG272">
            <v>5218</v>
          </cell>
          <cell r="BH272">
            <v>5204</v>
          </cell>
          <cell r="BI272">
            <v>5314</v>
          </cell>
          <cell r="BJ272">
            <v>5314</v>
          </cell>
          <cell r="BK272">
            <v>5342</v>
          </cell>
          <cell r="BL272">
            <v>5291</v>
          </cell>
          <cell r="BM272">
            <v>5238</v>
          </cell>
          <cell r="BN272">
            <v>5182</v>
          </cell>
          <cell r="BO272">
            <v>5182</v>
          </cell>
          <cell r="BP272">
            <v>5337</v>
          </cell>
          <cell r="BQ272">
            <v>5436</v>
          </cell>
          <cell r="BR272">
            <v>5426</v>
          </cell>
          <cell r="BS272">
            <v>5216</v>
          </cell>
          <cell r="BT272">
            <v>5216</v>
          </cell>
          <cell r="BU272">
            <v>5509</v>
          </cell>
          <cell r="BV272">
            <v>5342</v>
          </cell>
          <cell r="BW272">
            <v>5355</v>
          </cell>
          <cell r="BX272">
            <v>5310</v>
          </cell>
          <cell r="BY272">
            <v>5310</v>
          </cell>
          <cell r="BZ272">
            <v>5595</v>
          </cell>
          <cell r="CA272">
            <v>5524</v>
          </cell>
          <cell r="CB272">
            <v>5577</v>
          </cell>
          <cell r="CC272">
            <v>5473.9516786242402</v>
          </cell>
          <cell r="CD272">
            <v>5473.9516786242402</v>
          </cell>
          <cell r="CE272">
            <v>5642.4864528371509</v>
          </cell>
          <cell r="CF272">
            <v>5506.0979974720885</v>
          </cell>
          <cell r="CG272">
            <v>5449.2945245748215</v>
          </cell>
          <cell r="CH272">
            <v>5201.2494480027017</v>
          </cell>
          <cell r="CI272">
            <v>5201.2494480027017</v>
          </cell>
          <cell r="CN272">
            <v>4891.159325996261</v>
          </cell>
          <cell r="CS272">
            <v>4548.3013977129776</v>
          </cell>
        </row>
        <row r="273">
          <cell r="A273" t="str">
            <v>SHAREHOLDERS' EQUITY</v>
          </cell>
          <cell r="G273">
            <v>4.3999999999999997E-2</v>
          </cell>
          <cell r="L273">
            <v>6.5000000000000002E-2</v>
          </cell>
          <cell r="Q273">
            <v>0.95599999999999996</v>
          </cell>
          <cell r="V273">
            <v>1.0209999999999999</v>
          </cell>
          <cell r="AA273">
            <v>1.042</v>
          </cell>
          <cell r="AF273">
            <v>2</v>
          </cell>
          <cell r="AG273">
            <v>2</v>
          </cell>
          <cell r="AH273">
            <v>2</v>
          </cell>
          <cell r="AI273">
            <v>2</v>
          </cell>
          <cell r="AJ273">
            <v>2</v>
          </cell>
          <cell r="AK273">
            <v>2</v>
          </cell>
          <cell r="AL273">
            <v>2</v>
          </cell>
          <cell r="AM273">
            <v>2</v>
          </cell>
          <cell r="AN273">
            <v>2</v>
          </cell>
          <cell r="AO273">
            <v>2</v>
          </cell>
          <cell r="AP273">
            <v>2</v>
          </cell>
          <cell r="AQ273">
            <v>2</v>
          </cell>
          <cell r="AR273">
            <v>3</v>
          </cell>
          <cell r="AS273">
            <v>3</v>
          </cell>
          <cell r="AT273">
            <v>3</v>
          </cell>
          <cell r="AU273">
            <v>3</v>
          </cell>
          <cell r="AV273">
            <v>3</v>
          </cell>
          <cell r="AW273">
            <v>3</v>
          </cell>
          <cell r="AX273">
            <v>3</v>
          </cell>
          <cell r="AY273">
            <v>3</v>
          </cell>
          <cell r="AZ273">
            <v>3</v>
          </cell>
          <cell r="BA273">
            <v>3</v>
          </cell>
          <cell r="BB273">
            <v>3</v>
          </cell>
          <cell r="BC273">
            <v>3</v>
          </cell>
          <cell r="BD273">
            <v>3</v>
          </cell>
          <cell r="BE273">
            <v>3</v>
          </cell>
          <cell r="BF273">
            <v>3</v>
          </cell>
          <cell r="BG273">
            <v>3</v>
          </cell>
          <cell r="BH273">
            <v>3</v>
          </cell>
          <cell r="BI273">
            <v>3</v>
          </cell>
          <cell r="BJ273">
            <v>3</v>
          </cell>
          <cell r="BK273">
            <v>3</v>
          </cell>
          <cell r="BL273">
            <v>3</v>
          </cell>
          <cell r="BM273">
            <v>3</v>
          </cell>
          <cell r="BN273">
            <v>3</v>
          </cell>
          <cell r="BO273">
            <v>3</v>
          </cell>
          <cell r="BP273">
            <v>3</v>
          </cell>
          <cell r="BQ273">
            <v>3</v>
          </cell>
          <cell r="BR273">
            <v>3</v>
          </cell>
          <cell r="BS273">
            <v>3</v>
          </cell>
          <cell r="BT273">
            <v>3</v>
          </cell>
          <cell r="BU273">
            <v>3</v>
          </cell>
          <cell r="BV273">
            <v>4</v>
          </cell>
          <cell r="BW273">
            <v>4</v>
          </cell>
          <cell r="BX273">
            <v>4</v>
          </cell>
          <cell r="BY273">
            <v>4</v>
          </cell>
          <cell r="BZ273">
            <v>4</v>
          </cell>
          <cell r="CA273">
            <v>4</v>
          </cell>
          <cell r="CB273">
            <v>4</v>
          </cell>
          <cell r="CC273">
            <v>4</v>
          </cell>
          <cell r="CD273">
            <v>4</v>
          </cell>
          <cell r="CE273">
            <v>4</v>
          </cell>
          <cell r="CF273">
            <v>4</v>
          </cell>
          <cell r="CG273">
            <v>4</v>
          </cell>
          <cell r="CH273">
            <v>4</v>
          </cell>
          <cell r="CI273">
            <v>4</v>
          </cell>
          <cell r="CN273">
            <v>4</v>
          </cell>
          <cell r="CS273">
            <v>1052.3666681791692</v>
          </cell>
          <cell r="DE273" t="str">
            <v>mstag:commonStock</v>
          </cell>
          <cell r="DF273">
            <v>6</v>
          </cell>
          <cell r="DG273" t="str">
            <v>ISO4217:USD</v>
          </cell>
          <cell r="DH273" t="b">
            <v>0</v>
          </cell>
          <cell r="DI273" t="b">
            <v>0</v>
          </cell>
          <cell r="DJ273" t="str">
            <v>mstag:otherLiabilitiesOperatingCurrent</v>
          </cell>
          <cell r="DK273">
            <v>6</v>
          </cell>
          <cell r="DL273" t="str">
            <v>ISO4217:USD</v>
          </cell>
          <cell r="DM273" t="b">
            <v>0</v>
          </cell>
          <cell r="DN273" t="b">
            <v>0</v>
          </cell>
        </row>
        <row r="274">
          <cell r="A274" t="str">
            <v>Common Stock</v>
          </cell>
          <cell r="G274">
            <v>4.3999999999999997E-2</v>
          </cell>
          <cell r="L274">
            <v>6.5000000000000002E-2</v>
          </cell>
          <cell r="Q274">
            <v>0.95599999999999996</v>
          </cell>
          <cell r="V274">
            <v>1.0209999999999999</v>
          </cell>
          <cell r="AA274">
            <v>1.042</v>
          </cell>
          <cell r="AF274">
            <v>2</v>
          </cell>
          <cell r="AG274">
            <v>2</v>
          </cell>
          <cell r="AH274">
            <v>2</v>
          </cell>
          <cell r="AI274">
            <v>2</v>
          </cell>
          <cell r="AJ274">
            <v>2</v>
          </cell>
          <cell r="AK274">
            <v>2</v>
          </cell>
          <cell r="AL274">
            <v>2</v>
          </cell>
          <cell r="AM274">
            <v>2</v>
          </cell>
          <cell r="AN274">
            <v>2</v>
          </cell>
          <cell r="AO274">
            <v>2</v>
          </cell>
          <cell r="AP274">
            <v>2</v>
          </cell>
          <cell r="AQ274">
            <v>2</v>
          </cell>
          <cell r="AR274">
            <v>3</v>
          </cell>
          <cell r="AS274">
            <v>3</v>
          </cell>
          <cell r="AT274">
            <v>3</v>
          </cell>
          <cell r="AU274">
            <v>3</v>
          </cell>
          <cell r="AV274">
            <v>3</v>
          </cell>
          <cell r="AW274">
            <v>3</v>
          </cell>
          <cell r="AX274">
            <v>3</v>
          </cell>
          <cell r="AY274">
            <v>3</v>
          </cell>
          <cell r="AZ274">
            <v>3</v>
          </cell>
          <cell r="BA274">
            <v>3</v>
          </cell>
          <cell r="BB274">
            <v>3</v>
          </cell>
          <cell r="BC274">
            <v>3</v>
          </cell>
          <cell r="BD274">
            <v>3</v>
          </cell>
          <cell r="BE274">
            <v>3</v>
          </cell>
          <cell r="BF274">
            <v>3</v>
          </cell>
          <cell r="BG274">
            <v>3</v>
          </cell>
          <cell r="BH274">
            <v>3</v>
          </cell>
          <cell r="BI274">
            <v>3</v>
          </cell>
          <cell r="BJ274">
            <v>3</v>
          </cell>
          <cell r="BK274">
            <v>3</v>
          </cell>
          <cell r="BL274">
            <v>3</v>
          </cell>
          <cell r="BM274">
            <v>3</v>
          </cell>
          <cell r="BN274">
            <v>3</v>
          </cell>
          <cell r="BO274">
            <v>3</v>
          </cell>
          <cell r="BP274">
            <v>3</v>
          </cell>
          <cell r="BQ274">
            <v>3</v>
          </cell>
          <cell r="BR274">
            <v>3</v>
          </cell>
          <cell r="BS274">
            <v>3</v>
          </cell>
          <cell r="BT274">
            <v>3</v>
          </cell>
          <cell r="BU274">
            <v>3</v>
          </cell>
          <cell r="BV274">
            <v>4</v>
          </cell>
          <cell r="BW274">
            <v>4</v>
          </cell>
          <cell r="BX274">
            <v>4</v>
          </cell>
          <cell r="BY274">
            <v>4</v>
          </cell>
          <cell r="BZ274">
            <v>4</v>
          </cell>
          <cell r="CA274">
            <v>4</v>
          </cell>
          <cell r="CB274">
            <v>4</v>
          </cell>
          <cell r="CC274">
            <v>4</v>
          </cell>
          <cell r="CD274">
            <v>4</v>
          </cell>
          <cell r="CE274">
            <v>4</v>
          </cell>
          <cell r="CF274">
            <v>4</v>
          </cell>
          <cell r="CG274">
            <v>4</v>
          </cell>
          <cell r="CH274">
            <v>4</v>
          </cell>
          <cell r="CI274">
            <v>4</v>
          </cell>
          <cell r="CN274">
            <v>4</v>
          </cell>
          <cell r="CS274">
            <v>4</v>
          </cell>
          <cell r="DE274" t="str">
            <v>mstag:additionalPaidInCapital</v>
          </cell>
          <cell r="DF274">
            <v>6</v>
          </cell>
          <cell r="DG274" t="str">
            <v>ISO4217:USD</v>
          </cell>
          <cell r="DH274" t="b">
            <v>0</v>
          </cell>
          <cell r="DI274" t="b">
            <v>0</v>
          </cell>
          <cell r="DJ274" t="str">
            <v>mstag:commonStock</v>
          </cell>
          <cell r="DK274">
            <v>6</v>
          </cell>
          <cell r="DL274" t="str">
            <v>ISO4217:USD</v>
          </cell>
          <cell r="DM274" t="b">
            <v>0</v>
          </cell>
          <cell r="DN274" t="b">
            <v>0</v>
          </cell>
        </row>
        <row r="275">
          <cell r="A275" t="str">
            <v>Additional Paid-In Capital</v>
          </cell>
          <cell r="G275">
            <v>0.48699999999999999</v>
          </cell>
          <cell r="L275">
            <v>3.8679999999999999</v>
          </cell>
          <cell r="Q275">
            <v>407.15300000000002</v>
          </cell>
          <cell r="V275">
            <v>552.375</v>
          </cell>
          <cell r="AA275">
            <v>581.05600000000004</v>
          </cell>
          <cell r="AF275">
            <v>764</v>
          </cell>
          <cell r="AG275">
            <v>772</v>
          </cell>
          <cell r="AH275">
            <v>787</v>
          </cell>
          <cell r="AI275">
            <v>793</v>
          </cell>
          <cell r="AJ275">
            <v>813</v>
          </cell>
          <cell r="AK275">
            <v>813</v>
          </cell>
          <cell r="AL275">
            <v>823</v>
          </cell>
          <cell r="AM275">
            <v>837</v>
          </cell>
          <cell r="AN275">
            <v>842</v>
          </cell>
          <cell r="AO275">
            <v>853</v>
          </cell>
          <cell r="AP275">
            <v>853</v>
          </cell>
          <cell r="AQ275">
            <v>1158</v>
          </cell>
          <cell r="AR275">
            <v>1165</v>
          </cell>
          <cell r="AS275">
            <v>1173</v>
          </cell>
          <cell r="AT275">
            <v>1256</v>
          </cell>
          <cell r="AU275">
            <v>1256</v>
          </cell>
          <cell r="AV275">
            <v>1293</v>
          </cell>
          <cell r="AW275">
            <v>1409</v>
          </cell>
          <cell r="AX275">
            <v>1412</v>
          </cell>
          <cell r="AY275">
            <v>1419</v>
          </cell>
          <cell r="AZ275">
            <v>1419</v>
          </cell>
          <cell r="BA275">
            <v>1426</v>
          </cell>
          <cell r="BB275">
            <v>1434</v>
          </cell>
          <cell r="BC275">
            <v>1438</v>
          </cell>
          <cell r="BD275">
            <v>1446</v>
          </cell>
          <cell r="BE275">
            <v>1446</v>
          </cell>
          <cell r="BF275">
            <v>1450</v>
          </cell>
          <cell r="BG275">
            <v>1460</v>
          </cell>
          <cell r="BH275">
            <v>1464</v>
          </cell>
          <cell r="BI275">
            <v>1472</v>
          </cell>
          <cell r="BJ275">
            <v>1472</v>
          </cell>
          <cell r="BK275">
            <v>1477</v>
          </cell>
          <cell r="BL275">
            <v>1485</v>
          </cell>
          <cell r="BM275">
            <v>1488</v>
          </cell>
          <cell r="BN275">
            <v>1495</v>
          </cell>
          <cell r="BO275">
            <v>1495</v>
          </cell>
          <cell r="BP275">
            <v>1497</v>
          </cell>
          <cell r="BQ275">
            <v>1504</v>
          </cell>
          <cell r="BR275">
            <v>1508</v>
          </cell>
          <cell r="BS275">
            <v>1573</v>
          </cell>
          <cell r="BT275">
            <v>1573</v>
          </cell>
          <cell r="BU275">
            <v>1580</v>
          </cell>
          <cell r="BV275">
            <v>1585</v>
          </cell>
          <cell r="BW275">
            <v>1605</v>
          </cell>
          <cell r="BX275">
            <v>1711</v>
          </cell>
          <cell r="BY275">
            <v>1711</v>
          </cell>
          <cell r="BZ275">
            <v>1754</v>
          </cell>
          <cell r="CA275">
            <v>1781</v>
          </cell>
          <cell r="CB275">
            <v>1831</v>
          </cell>
          <cell r="CC275">
            <v>1831</v>
          </cell>
          <cell r="CD275">
            <v>1831</v>
          </cell>
          <cell r="CE275">
            <v>1831</v>
          </cell>
          <cell r="CF275">
            <v>1831</v>
          </cell>
          <cell r="CG275">
            <v>1831</v>
          </cell>
          <cell r="CH275">
            <v>1873</v>
          </cell>
          <cell r="CI275">
            <v>1873</v>
          </cell>
          <cell r="CJ275">
            <v>0</v>
          </cell>
          <cell r="CK275">
            <v>0</v>
          </cell>
          <cell r="CL275">
            <v>0</v>
          </cell>
          <cell r="CM275">
            <v>0</v>
          </cell>
          <cell r="CN275">
            <v>1959</v>
          </cell>
          <cell r="CO275">
            <v>0</v>
          </cell>
          <cell r="CP275">
            <v>0</v>
          </cell>
          <cell r="CQ275">
            <v>0</v>
          </cell>
          <cell r="CR275">
            <v>0</v>
          </cell>
          <cell r="CS275">
            <v>1959</v>
          </cell>
          <cell r="DE275" t="str">
            <v>mstag:retainedEarnings</v>
          </cell>
          <cell r="DF275">
            <v>6</v>
          </cell>
          <cell r="DG275" t="str">
            <v>ISO4217:USD</v>
          </cell>
          <cell r="DH275" t="b">
            <v>0</v>
          </cell>
          <cell r="DI275" t="b">
            <v>0</v>
          </cell>
          <cell r="DJ275" t="str">
            <v>mstag:additionalPaidInCapital</v>
          </cell>
          <cell r="DK275">
            <v>6</v>
          </cell>
          <cell r="DL275" t="str">
            <v>ISO4217:USD</v>
          </cell>
          <cell r="DM275" t="b">
            <v>0</v>
          </cell>
          <cell r="DN275" t="b">
            <v>0</v>
          </cell>
        </row>
        <row r="276">
          <cell r="A276" t="str">
            <v>Retained Earnings</v>
          </cell>
          <cell r="G276">
            <v>-54.683999999999997</v>
          </cell>
          <cell r="L276">
            <v>-33.116999999999997</v>
          </cell>
          <cell r="Q276">
            <v>15.791</v>
          </cell>
          <cell r="V276">
            <v>119.68899999999999</v>
          </cell>
          <cell r="AA276">
            <v>167.15600000000001</v>
          </cell>
          <cell r="AF276">
            <v>145</v>
          </cell>
          <cell r="AG276">
            <v>113</v>
          </cell>
          <cell r="AH276">
            <v>127</v>
          </cell>
          <cell r="AI276">
            <v>127</v>
          </cell>
          <cell r="AJ276">
            <v>144</v>
          </cell>
          <cell r="AK276">
            <v>144</v>
          </cell>
          <cell r="AL276">
            <v>122</v>
          </cell>
          <cell r="AM276">
            <v>143</v>
          </cell>
          <cell r="AN276">
            <v>166</v>
          </cell>
          <cell r="AO276">
            <v>162</v>
          </cell>
          <cell r="AP276">
            <v>162</v>
          </cell>
          <cell r="AQ276">
            <v>154</v>
          </cell>
          <cell r="AR276">
            <v>148</v>
          </cell>
          <cell r="AS276">
            <v>143</v>
          </cell>
          <cell r="AT276">
            <v>86</v>
          </cell>
          <cell r="AU276">
            <v>86</v>
          </cell>
          <cell r="AV276">
            <v>72</v>
          </cell>
          <cell r="AW276">
            <v>92</v>
          </cell>
          <cell r="AX276">
            <v>107</v>
          </cell>
          <cell r="AY276">
            <v>118</v>
          </cell>
          <cell r="AZ276">
            <v>118</v>
          </cell>
          <cell r="BA276">
            <v>116</v>
          </cell>
          <cell r="BB276">
            <v>146</v>
          </cell>
          <cell r="BC276">
            <v>205</v>
          </cell>
          <cell r="BD276">
            <v>219</v>
          </cell>
          <cell r="BE276">
            <v>219</v>
          </cell>
          <cell r="BF276">
            <v>222</v>
          </cell>
          <cell r="BG276">
            <v>247</v>
          </cell>
          <cell r="BH276">
            <v>282</v>
          </cell>
          <cell r="BI276">
            <v>305</v>
          </cell>
          <cell r="BJ276">
            <v>305</v>
          </cell>
          <cell r="BK276">
            <v>335</v>
          </cell>
          <cell r="BL276">
            <v>387</v>
          </cell>
          <cell r="BM276">
            <v>432</v>
          </cell>
          <cell r="BN276">
            <v>433</v>
          </cell>
          <cell r="BO276">
            <v>433</v>
          </cell>
          <cell r="BP276">
            <v>447</v>
          </cell>
          <cell r="BQ276">
            <v>483</v>
          </cell>
          <cell r="BR276">
            <v>554</v>
          </cell>
          <cell r="BS276">
            <v>601</v>
          </cell>
          <cell r="BT276">
            <v>601</v>
          </cell>
          <cell r="BU276">
            <v>605</v>
          </cell>
          <cell r="BV276">
            <v>835</v>
          </cell>
          <cell r="BW276">
            <v>914</v>
          </cell>
          <cell r="BX276">
            <v>1002</v>
          </cell>
          <cell r="BY276">
            <v>1002</v>
          </cell>
          <cell r="BZ276">
            <v>1139</v>
          </cell>
          <cell r="CA276">
            <v>1291</v>
          </cell>
          <cell r="CB276">
            <v>1489</v>
          </cell>
          <cell r="CC276">
            <v>1686.2169396997019</v>
          </cell>
          <cell r="CD276">
            <v>1686.2169396997019</v>
          </cell>
          <cell r="CE276">
            <v>1884.1357291359764</v>
          </cell>
          <cell r="CF276">
            <v>2119.4524803584859</v>
          </cell>
          <cell r="CG276">
            <v>2381.8896436218461</v>
          </cell>
          <cell r="CH276">
            <v>2617.2535984878568</v>
          </cell>
          <cell r="CI276">
            <v>2617.2535984878568</v>
          </cell>
          <cell r="CN276">
            <v>3512.524019077563</v>
          </cell>
          <cell r="CS276">
            <v>4388.6130350845633</v>
          </cell>
          <cell r="DE276" t="str">
            <v>mstag:accumulatedOtherComprehensiveIncomeLossAndReserves</v>
          </cell>
          <cell r="DF276">
            <v>6</v>
          </cell>
          <cell r="DG276" t="str">
            <v>ISO4217:USD</v>
          </cell>
          <cell r="DH276" t="b">
            <v>0</v>
          </cell>
          <cell r="DI276" t="b">
            <v>0</v>
          </cell>
          <cell r="DJ276" t="str">
            <v>mstag:longTermDebt</v>
          </cell>
          <cell r="DK276">
            <v>6</v>
          </cell>
          <cell r="DL276" t="str">
            <v>ISO4217:USD</v>
          </cell>
          <cell r="DM276" t="b">
            <v>0</v>
          </cell>
          <cell r="DN276" t="b">
            <v>0</v>
          </cell>
        </row>
        <row r="277">
          <cell r="A277" t="str">
            <v>Accumulated Other Comprehensive Inc.</v>
          </cell>
          <cell r="G277">
            <v>0</v>
          </cell>
          <cell r="L277">
            <v>-2.9830000000000001</v>
          </cell>
          <cell r="Q277">
            <v>-9.2270000000000003</v>
          </cell>
          <cell r="V277">
            <v>-1.9489999999999998</v>
          </cell>
          <cell r="AA277">
            <v>6.9460000000000006</v>
          </cell>
          <cell r="AF277">
            <v>0</v>
          </cell>
          <cell r="AG277">
            <v>2</v>
          </cell>
          <cell r="AH277">
            <v>2</v>
          </cell>
          <cell r="AI277">
            <v>-5</v>
          </cell>
          <cell r="AJ277">
            <v>-7</v>
          </cell>
          <cell r="AK277">
            <v>-7</v>
          </cell>
          <cell r="AL277">
            <v>13</v>
          </cell>
          <cell r="AM277">
            <v>11</v>
          </cell>
          <cell r="AN277">
            <v>14</v>
          </cell>
          <cell r="AO277">
            <v>19</v>
          </cell>
          <cell r="AP277">
            <v>19</v>
          </cell>
          <cell r="AQ277">
            <v>15</v>
          </cell>
          <cell r="AR277">
            <v>62</v>
          </cell>
          <cell r="AS277">
            <v>-38</v>
          </cell>
          <cell r="AT277">
            <v>-84</v>
          </cell>
          <cell r="AU277">
            <v>-84</v>
          </cell>
          <cell r="AV277">
            <v>-55</v>
          </cell>
          <cell r="AW277">
            <v>-19</v>
          </cell>
          <cell r="AX277">
            <v>-10</v>
          </cell>
          <cell r="AY277">
            <v>1</v>
          </cell>
          <cell r="AZ277">
            <v>1</v>
          </cell>
          <cell r="BA277">
            <v>-7</v>
          </cell>
          <cell r="BB277">
            <v>-23</v>
          </cell>
          <cell r="BC277">
            <v>-19</v>
          </cell>
          <cell r="BD277">
            <v>-10</v>
          </cell>
          <cell r="BE277">
            <v>-10</v>
          </cell>
          <cell r="BF277">
            <v>9</v>
          </cell>
          <cell r="BG277">
            <v>-13</v>
          </cell>
          <cell r="BH277">
            <v>-34</v>
          </cell>
          <cell r="BI277">
            <v>-15</v>
          </cell>
          <cell r="BJ277">
            <v>-15</v>
          </cell>
          <cell r="BK277">
            <v>-3</v>
          </cell>
          <cell r="BL277">
            <v>-23</v>
          </cell>
          <cell r="BM277">
            <v>-8</v>
          </cell>
          <cell r="BN277">
            <v>-8</v>
          </cell>
          <cell r="BO277">
            <v>-8</v>
          </cell>
          <cell r="BP277">
            <v>-8</v>
          </cell>
          <cell r="BQ277">
            <v>-16</v>
          </cell>
          <cell r="BR277">
            <v>-5</v>
          </cell>
          <cell r="BS277">
            <v>0</v>
          </cell>
          <cell r="BT277">
            <v>0</v>
          </cell>
          <cell r="BU277">
            <v>-2</v>
          </cell>
          <cell r="BV277">
            <v>4</v>
          </cell>
          <cell r="BW277">
            <v>-12</v>
          </cell>
          <cell r="BX277">
            <v>-63</v>
          </cell>
          <cell r="BY277">
            <v>-63</v>
          </cell>
          <cell r="BZ277">
            <v>-50</v>
          </cell>
          <cell r="CA277">
            <v>-24</v>
          </cell>
          <cell r="CB277">
            <v>-18</v>
          </cell>
          <cell r="CC277">
            <v>-18</v>
          </cell>
          <cell r="CD277">
            <v>-18</v>
          </cell>
          <cell r="CE277">
            <v>-18</v>
          </cell>
          <cell r="CF277">
            <v>-18</v>
          </cell>
          <cell r="CG277">
            <v>-18</v>
          </cell>
          <cell r="CH277">
            <v>-18</v>
          </cell>
          <cell r="CI277">
            <v>-18</v>
          </cell>
          <cell r="CN277">
            <v>-18</v>
          </cell>
          <cell r="CS277">
            <v>-18</v>
          </cell>
          <cell r="DE277" t="str">
            <v>mstag:treasuryStockAndInvestmentInOwnShares</v>
          </cell>
          <cell r="DF277">
            <v>6</v>
          </cell>
          <cell r="DG277" t="str">
            <v>ISO4217:USD</v>
          </cell>
          <cell r="DH277" t="b">
            <v>1</v>
          </cell>
          <cell r="DI277" t="b">
            <v>0</v>
          </cell>
          <cell r="DJ277" t="str">
            <v>mstag:deferredTaxLiabilities</v>
          </cell>
          <cell r="DK277">
            <v>6</v>
          </cell>
          <cell r="DL277" t="str">
            <v>ISO4217:USD</v>
          </cell>
          <cell r="DM277" t="b">
            <v>0</v>
          </cell>
          <cell r="DN277" t="b">
            <v>0</v>
          </cell>
        </row>
        <row r="278">
          <cell r="A278" t="str">
            <v>Treasury Stock</v>
          </cell>
          <cell r="G278">
            <v>0</v>
          </cell>
          <cell r="L278">
            <v>0</v>
          </cell>
          <cell r="Q278">
            <v>0</v>
          </cell>
          <cell r="V278">
            <v>0</v>
          </cell>
          <cell r="AA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-1</v>
          </cell>
          <cell r="AW278">
            <v>-1</v>
          </cell>
          <cell r="AX278">
            <v>-1</v>
          </cell>
          <cell r="AY278">
            <v>-2</v>
          </cell>
          <cell r="AZ278">
            <v>-2</v>
          </cell>
          <cell r="BA278">
            <v>-4</v>
          </cell>
          <cell r="BB278">
            <v>-4</v>
          </cell>
          <cell r="BC278">
            <v>-4</v>
          </cell>
          <cell r="BD278">
            <v>-4</v>
          </cell>
          <cell r="BE278">
            <v>-4</v>
          </cell>
          <cell r="BF278">
            <v>-7</v>
          </cell>
          <cell r="BG278">
            <v>-7</v>
          </cell>
          <cell r="BH278">
            <v>-8</v>
          </cell>
          <cell r="BI278">
            <v>-8</v>
          </cell>
          <cell r="BJ278">
            <v>-8</v>
          </cell>
          <cell r="BK278">
            <v>-11</v>
          </cell>
          <cell r="BL278">
            <v>-11</v>
          </cell>
          <cell r="BM278">
            <v>-12</v>
          </cell>
          <cell r="BN278">
            <v>-35</v>
          </cell>
          <cell r="BO278">
            <v>-35</v>
          </cell>
          <cell r="BP278">
            <v>-42</v>
          </cell>
          <cell r="BQ278">
            <v>-42</v>
          </cell>
          <cell r="BR278">
            <v>-42</v>
          </cell>
          <cell r="BS278">
            <v>-43</v>
          </cell>
          <cell r="BT278">
            <v>-43</v>
          </cell>
          <cell r="BU278">
            <v>-50</v>
          </cell>
          <cell r="BV278">
            <v>-113</v>
          </cell>
          <cell r="BW278">
            <v>-125</v>
          </cell>
          <cell r="BX278">
            <v>-125</v>
          </cell>
          <cell r="BY278">
            <v>-125</v>
          </cell>
          <cell r="BZ278">
            <v>-138</v>
          </cell>
          <cell r="CA278">
            <v>-259</v>
          </cell>
          <cell r="CB278">
            <v>-289</v>
          </cell>
          <cell r="CC278">
            <v>-289</v>
          </cell>
          <cell r="CD278">
            <v>-289</v>
          </cell>
          <cell r="CE278">
            <v>-289</v>
          </cell>
          <cell r="CF278">
            <v>-289</v>
          </cell>
          <cell r="CG278">
            <v>-289</v>
          </cell>
          <cell r="CH278">
            <v>-289</v>
          </cell>
          <cell r="CI278">
            <v>-289</v>
          </cell>
          <cell r="CN278">
            <v>-289</v>
          </cell>
          <cell r="CS278">
            <v>-289</v>
          </cell>
          <cell r="DJ278" t="str">
            <v>mstag:treasuryStockAndInvestmentInOwnShares</v>
          </cell>
          <cell r="DK278">
            <v>6</v>
          </cell>
          <cell r="DL278" t="str">
            <v>ISO4217:USD</v>
          </cell>
          <cell r="DM278" t="b">
            <v>1</v>
          </cell>
          <cell r="DN278" t="b">
            <v>0</v>
          </cell>
        </row>
        <row r="279">
          <cell r="A279" t="str">
            <v>Total Shareholders' Equity</v>
          </cell>
          <cell r="G279">
            <v>-54.152999999999999</v>
          </cell>
          <cell r="L279">
            <v>-32.166999999999994</v>
          </cell>
          <cell r="Q279">
            <v>414.67300000000006</v>
          </cell>
          <cell r="V279">
            <v>671.13599999999997</v>
          </cell>
          <cell r="AA279">
            <v>756.20000000000016</v>
          </cell>
          <cell r="AF279">
            <v>911</v>
          </cell>
          <cell r="AG279">
            <v>889</v>
          </cell>
          <cell r="AH279">
            <v>918</v>
          </cell>
          <cell r="AI279">
            <v>917</v>
          </cell>
          <cell r="AJ279">
            <v>952</v>
          </cell>
          <cell r="AK279">
            <v>952</v>
          </cell>
          <cell r="AL279">
            <v>960</v>
          </cell>
          <cell r="AM279">
            <v>993</v>
          </cell>
          <cell r="AN279">
            <v>1024</v>
          </cell>
          <cell r="AO279">
            <v>1036</v>
          </cell>
          <cell r="AP279">
            <v>1036</v>
          </cell>
          <cell r="AQ279">
            <v>1329</v>
          </cell>
          <cell r="AR279">
            <v>1378</v>
          </cell>
          <cell r="AS279">
            <v>1281</v>
          </cell>
          <cell r="AT279">
            <v>1261</v>
          </cell>
          <cell r="AU279">
            <v>1261</v>
          </cell>
          <cell r="AV279">
            <v>1312</v>
          </cell>
          <cell r="AW279">
            <v>1484</v>
          </cell>
          <cell r="AX279">
            <v>1511</v>
          </cell>
          <cell r="AY279">
            <v>1539</v>
          </cell>
          <cell r="AZ279">
            <v>1539</v>
          </cell>
          <cell r="BA279">
            <v>1534</v>
          </cell>
          <cell r="BB279">
            <v>1556</v>
          </cell>
          <cell r="BC279">
            <v>1623</v>
          </cell>
          <cell r="BD279">
            <v>1654</v>
          </cell>
          <cell r="BE279">
            <v>1654</v>
          </cell>
          <cell r="BF279">
            <v>1677</v>
          </cell>
          <cell r="BG279">
            <v>1690</v>
          </cell>
          <cell r="BH279">
            <v>1707</v>
          </cell>
          <cell r="BI279">
            <v>1757</v>
          </cell>
          <cell r="BJ279">
            <v>1757</v>
          </cell>
          <cell r="BK279">
            <v>1801</v>
          </cell>
          <cell r="BL279">
            <v>1841</v>
          </cell>
          <cell r="BM279">
            <v>1903</v>
          </cell>
          <cell r="BN279">
            <v>1888</v>
          </cell>
          <cell r="BO279">
            <v>1888</v>
          </cell>
          <cell r="BP279">
            <v>1897</v>
          </cell>
          <cell r="BQ279">
            <v>1932</v>
          </cell>
          <cell r="BR279">
            <v>2018</v>
          </cell>
          <cell r="BS279">
            <v>2134</v>
          </cell>
          <cell r="BT279">
            <v>2134</v>
          </cell>
          <cell r="BU279">
            <v>2136</v>
          </cell>
          <cell r="BV279">
            <v>2315</v>
          </cell>
          <cell r="BW279">
            <v>2386</v>
          </cell>
          <cell r="BX279">
            <v>2529</v>
          </cell>
          <cell r="BY279">
            <v>2529</v>
          </cell>
          <cell r="BZ279">
            <v>2709</v>
          </cell>
          <cell r="CA279">
            <v>2793</v>
          </cell>
          <cell r="CB279">
            <v>3017</v>
          </cell>
          <cell r="CC279">
            <v>3214.2169396997019</v>
          </cell>
          <cell r="CD279">
            <v>3214.2169396997019</v>
          </cell>
          <cell r="CE279">
            <v>3412.1357291359764</v>
          </cell>
          <cell r="CF279">
            <v>3647.4524803584859</v>
          </cell>
          <cell r="CG279">
            <v>3909.8896436218456</v>
          </cell>
          <cell r="CH279">
            <v>4187.2535984878568</v>
          </cell>
          <cell r="CI279">
            <v>4187.2535984878568</v>
          </cell>
          <cell r="CN279">
            <v>5168.524019077563</v>
          </cell>
          <cell r="CS279">
            <v>6044.6130350845633</v>
          </cell>
        </row>
        <row r="280">
          <cell r="A280" t="str">
            <v>Total Liabilities and Equity</v>
          </cell>
          <cell r="G280">
            <v>344.12799999999999</v>
          </cell>
          <cell r="L280">
            <v>630.95899999999995</v>
          </cell>
          <cell r="Q280">
            <v>1378.923</v>
          </cell>
          <cell r="V280">
            <v>2185.7570000000001</v>
          </cell>
          <cell r="AA280">
            <v>2798.6440000000002</v>
          </cell>
          <cell r="AF280">
            <v>3892</v>
          </cell>
          <cell r="AG280">
            <v>4068</v>
          </cell>
          <cell r="AH280">
            <v>4306</v>
          </cell>
          <cell r="AI280">
            <v>4429</v>
          </cell>
          <cell r="AJ280">
            <v>4843</v>
          </cell>
          <cell r="AK280">
            <v>4843</v>
          </cell>
          <cell r="AL280">
            <v>5145</v>
          </cell>
          <cell r="AM280">
            <v>5356</v>
          </cell>
          <cell r="AN280">
            <v>5461</v>
          </cell>
          <cell r="AO280">
            <v>5598</v>
          </cell>
          <cell r="AP280">
            <v>5598</v>
          </cell>
          <cell r="AQ280">
            <v>6050</v>
          </cell>
          <cell r="AR280">
            <v>6468</v>
          </cell>
          <cell r="AS280">
            <v>6084</v>
          </cell>
          <cell r="AT280">
            <v>6023</v>
          </cell>
          <cell r="AU280">
            <v>6023</v>
          </cell>
          <cell r="AV280">
            <v>6158</v>
          </cell>
          <cell r="AW280">
            <v>6510</v>
          </cell>
          <cell r="AX280">
            <v>6533</v>
          </cell>
          <cell r="AY280">
            <v>6554</v>
          </cell>
          <cell r="AZ280">
            <v>6554</v>
          </cell>
          <cell r="BA280">
            <v>6513</v>
          </cell>
          <cell r="BB280">
            <v>6590</v>
          </cell>
          <cell r="BC280">
            <v>6618</v>
          </cell>
          <cell r="BD280">
            <v>6593</v>
          </cell>
          <cell r="BE280">
            <v>6593</v>
          </cell>
          <cell r="BF280">
            <v>6843</v>
          </cell>
          <cell r="BG280">
            <v>6908</v>
          </cell>
          <cell r="BH280">
            <v>6911</v>
          </cell>
          <cell r="BI280">
            <v>7071</v>
          </cell>
          <cell r="BJ280">
            <v>7071</v>
          </cell>
          <cell r="BK280">
            <v>7143</v>
          </cell>
          <cell r="BL280">
            <v>7132</v>
          </cell>
          <cell r="BM280">
            <v>7141</v>
          </cell>
          <cell r="BN280">
            <v>7070</v>
          </cell>
          <cell r="BO280">
            <v>7070</v>
          </cell>
          <cell r="BP280">
            <v>7234</v>
          </cell>
          <cell r="BQ280">
            <v>7368</v>
          </cell>
          <cell r="BR280">
            <v>7444</v>
          </cell>
          <cell r="BS280">
            <v>7350</v>
          </cell>
          <cell r="BT280">
            <v>7350</v>
          </cell>
          <cell r="BU280">
            <v>7645</v>
          </cell>
          <cell r="BV280">
            <v>7657</v>
          </cell>
          <cell r="BW280">
            <v>7741</v>
          </cell>
          <cell r="BX280">
            <v>7839</v>
          </cell>
          <cell r="BY280">
            <v>7839</v>
          </cell>
          <cell r="BZ280">
            <v>8304</v>
          </cell>
          <cell r="CA280">
            <v>8317</v>
          </cell>
          <cell r="CB280">
            <v>8594</v>
          </cell>
          <cell r="CC280">
            <v>8688.1686183239417</v>
          </cell>
          <cell r="CD280">
            <v>8688.1686183239417</v>
          </cell>
          <cell r="CE280">
            <v>9054.6221819731272</v>
          </cell>
          <cell r="CF280">
            <v>9153.5504778305749</v>
          </cell>
          <cell r="CG280">
            <v>9359.1841681966671</v>
          </cell>
          <cell r="CH280">
            <v>9388.5030464905576</v>
          </cell>
          <cell r="CI280">
            <v>9388.5030464905576</v>
          </cell>
          <cell r="CN280">
            <v>10059.683345073823</v>
          </cell>
          <cell r="CS280">
            <v>10592.914432797541</v>
          </cell>
        </row>
        <row r="281">
          <cell r="A281" t="str">
            <v>Math Check: Assets - (Liab + Equity)</v>
          </cell>
          <cell r="G281">
            <v>0</v>
          </cell>
          <cell r="L281">
            <v>42.814000000000078</v>
          </cell>
          <cell r="Q281">
            <v>0</v>
          </cell>
          <cell r="V281">
            <v>0</v>
          </cell>
          <cell r="AA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BR281">
            <v>0</v>
          </cell>
          <cell r="BS281">
            <v>0</v>
          </cell>
          <cell r="BT281">
            <v>0</v>
          </cell>
          <cell r="BU281">
            <v>0</v>
          </cell>
          <cell r="BV281">
            <v>0</v>
          </cell>
          <cell r="BW281">
            <v>0</v>
          </cell>
          <cell r="BX281">
            <v>0</v>
          </cell>
          <cell r="BY281">
            <v>0</v>
          </cell>
          <cell r="BZ281">
            <v>0</v>
          </cell>
          <cell r="CA281">
            <v>0</v>
          </cell>
          <cell r="CB281">
            <v>0</v>
          </cell>
          <cell r="CC281">
            <v>0</v>
          </cell>
          <cell r="CD281">
            <v>0</v>
          </cell>
          <cell r="CE281">
            <v>0</v>
          </cell>
          <cell r="CF281">
            <v>0</v>
          </cell>
          <cell r="CG281">
            <v>0</v>
          </cell>
          <cell r="CH281">
            <v>0</v>
          </cell>
          <cell r="CI281">
            <v>0</v>
          </cell>
          <cell r="CN281">
            <v>0</v>
          </cell>
          <cell r="CS281">
            <v>0</v>
          </cell>
        </row>
        <row r="282">
          <cell r="A282" t="str">
            <v>Modelware Requirements</v>
          </cell>
          <cell r="G282">
            <v>12.867000000000001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0</v>
          </cell>
          <cell r="BL282">
            <v>0</v>
          </cell>
          <cell r="BM282">
            <v>0</v>
          </cell>
          <cell r="BN282">
            <v>0</v>
          </cell>
          <cell r="BO282">
            <v>0</v>
          </cell>
          <cell r="BP282">
            <v>0</v>
          </cell>
          <cell r="BQ282">
            <v>0</v>
          </cell>
          <cell r="BR282">
            <v>0</v>
          </cell>
          <cell r="BS282">
            <v>0</v>
          </cell>
          <cell r="BT282">
            <v>0</v>
          </cell>
          <cell r="BU282">
            <v>0</v>
          </cell>
          <cell r="BV282">
            <v>0</v>
          </cell>
          <cell r="BW282">
            <v>0</v>
          </cell>
          <cell r="BX282">
            <v>0</v>
          </cell>
          <cell r="BY282">
            <v>0</v>
          </cell>
          <cell r="BZ282">
            <v>0</v>
          </cell>
          <cell r="CA282">
            <v>0</v>
          </cell>
          <cell r="CB282">
            <v>0</v>
          </cell>
          <cell r="CC282">
            <v>0</v>
          </cell>
          <cell r="CD282">
            <v>0</v>
          </cell>
          <cell r="CE282">
            <v>0</v>
          </cell>
          <cell r="CF282">
            <v>0</v>
          </cell>
          <cell r="CG282">
            <v>0</v>
          </cell>
          <cell r="CH282">
            <v>0</v>
          </cell>
          <cell r="CI282">
            <v>0</v>
          </cell>
          <cell r="CJ282">
            <v>0</v>
          </cell>
          <cell r="CK282">
            <v>0</v>
          </cell>
          <cell r="CL282">
            <v>0</v>
          </cell>
          <cell r="CM282">
            <v>0</v>
          </cell>
          <cell r="CN282">
            <v>0</v>
          </cell>
          <cell r="DE282" t="str">
            <v>mstag:tradeAndOtherPayables</v>
          </cell>
          <cell r="DF282">
            <v>6</v>
          </cell>
          <cell r="DG282" t="str">
            <v>ISO4217:USD</v>
          </cell>
          <cell r="DH282" t="b">
            <v>0</v>
          </cell>
          <cell r="DI282" t="b">
            <v>0</v>
          </cell>
        </row>
        <row r="283">
          <cell r="A283" t="str">
            <v>Accounts Payable</v>
          </cell>
          <cell r="G283">
            <v>12.867000000000001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0.95599999999999996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1.0209999999999999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1.042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2</v>
          </cell>
          <cell r="AG283">
            <v>2</v>
          </cell>
          <cell r="AH283">
            <v>2</v>
          </cell>
          <cell r="AI283">
            <v>2</v>
          </cell>
          <cell r="AJ283">
            <v>2</v>
          </cell>
          <cell r="AK283">
            <v>2</v>
          </cell>
          <cell r="AL283">
            <v>2</v>
          </cell>
          <cell r="AM283">
            <v>2</v>
          </cell>
          <cell r="AN283">
            <v>2</v>
          </cell>
          <cell r="AO283">
            <v>2</v>
          </cell>
          <cell r="AP283">
            <v>2</v>
          </cell>
          <cell r="AQ283">
            <v>2</v>
          </cell>
          <cell r="AR283">
            <v>3</v>
          </cell>
          <cell r="AS283">
            <v>3</v>
          </cell>
          <cell r="AT283">
            <v>3</v>
          </cell>
          <cell r="AU283">
            <v>3</v>
          </cell>
          <cell r="AV283">
            <v>3</v>
          </cell>
          <cell r="AW283">
            <v>3</v>
          </cell>
          <cell r="AX283">
            <v>3</v>
          </cell>
          <cell r="AY283">
            <v>3</v>
          </cell>
          <cell r="AZ283">
            <v>3</v>
          </cell>
          <cell r="BA283">
            <v>3</v>
          </cell>
          <cell r="BB283">
            <v>3</v>
          </cell>
          <cell r="BC283">
            <v>3</v>
          </cell>
          <cell r="BD283">
            <v>3</v>
          </cell>
          <cell r="BE283">
            <v>3</v>
          </cell>
          <cell r="BF283">
            <v>3</v>
          </cell>
          <cell r="BG283">
            <v>3</v>
          </cell>
          <cell r="BH283">
            <v>3</v>
          </cell>
          <cell r="BI283">
            <v>3</v>
          </cell>
          <cell r="BJ283">
            <v>3</v>
          </cell>
          <cell r="BK283">
            <v>3</v>
          </cell>
          <cell r="BL283">
            <v>3</v>
          </cell>
          <cell r="BM283">
            <v>3</v>
          </cell>
          <cell r="BN283">
            <v>3</v>
          </cell>
          <cell r="BO283">
            <v>3</v>
          </cell>
          <cell r="BP283">
            <v>3</v>
          </cell>
          <cell r="BQ283">
            <v>3</v>
          </cell>
          <cell r="BR283">
            <v>3</v>
          </cell>
          <cell r="BS283">
            <v>3</v>
          </cell>
          <cell r="BT283">
            <v>3</v>
          </cell>
          <cell r="BU283">
            <v>3</v>
          </cell>
          <cell r="BV283">
            <v>4</v>
          </cell>
          <cell r="BW283">
            <v>4</v>
          </cell>
          <cell r="BX283">
            <v>4</v>
          </cell>
          <cell r="BY283">
            <v>4</v>
          </cell>
          <cell r="BZ283">
            <v>4</v>
          </cell>
          <cell r="CA283">
            <v>4</v>
          </cell>
          <cell r="CB283">
            <v>4</v>
          </cell>
          <cell r="CC283">
            <v>4</v>
          </cell>
          <cell r="CD283">
            <v>4</v>
          </cell>
          <cell r="CE283">
            <v>4</v>
          </cell>
          <cell r="CF283">
            <v>4</v>
          </cell>
          <cell r="CG283">
            <v>4</v>
          </cell>
          <cell r="CH283">
            <v>4</v>
          </cell>
          <cell r="CI283">
            <v>4</v>
          </cell>
          <cell r="CJ283">
            <v>0</v>
          </cell>
          <cell r="CK283">
            <v>0</v>
          </cell>
          <cell r="CL283">
            <v>0</v>
          </cell>
          <cell r="CM283">
            <v>0</v>
          </cell>
          <cell r="CN283">
            <v>4</v>
          </cell>
          <cell r="CO283">
            <v>0</v>
          </cell>
          <cell r="CP283">
            <v>0</v>
          </cell>
          <cell r="CQ283">
            <v>0</v>
          </cell>
          <cell r="CR283">
            <v>0</v>
          </cell>
          <cell r="CS283">
            <v>4</v>
          </cell>
          <cell r="DE283" t="str">
            <v>mstag:payrollAndBenefitsRelatedLiabilities</v>
          </cell>
          <cell r="DF283">
            <v>6</v>
          </cell>
          <cell r="DG283" t="str">
            <v>ISO4217:USD</v>
          </cell>
          <cell r="DH283" t="b">
            <v>0</v>
          </cell>
          <cell r="DI283" t="b">
            <v>0</v>
          </cell>
          <cell r="DJ283" t="str">
            <v>mstag:commonStock</v>
          </cell>
          <cell r="DK283">
            <v>6</v>
          </cell>
          <cell r="DL283" t="str">
            <v>ISO4217:USD</v>
          </cell>
          <cell r="DM283" t="b">
            <v>0</v>
          </cell>
          <cell r="DN283" t="b">
            <v>0</v>
          </cell>
        </row>
        <row r="284">
          <cell r="A284" t="str">
            <v>Accrued Payroll</v>
          </cell>
          <cell r="G284">
            <v>5.5990000000000002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407.15300000000002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552.375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581.05600000000004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764</v>
          </cell>
          <cell r="AG284">
            <v>772</v>
          </cell>
          <cell r="AH284">
            <v>787</v>
          </cell>
          <cell r="AI284">
            <v>793</v>
          </cell>
          <cell r="AJ284">
            <v>813</v>
          </cell>
          <cell r="AK284">
            <v>813</v>
          </cell>
          <cell r="AL284">
            <v>823</v>
          </cell>
          <cell r="AM284">
            <v>837</v>
          </cell>
          <cell r="AN284">
            <v>842</v>
          </cell>
          <cell r="AO284">
            <v>853</v>
          </cell>
          <cell r="AP284">
            <v>853</v>
          </cell>
          <cell r="AQ284">
            <v>1158</v>
          </cell>
          <cell r="AR284">
            <v>1165</v>
          </cell>
          <cell r="AS284">
            <v>1173</v>
          </cell>
          <cell r="AT284">
            <v>1256</v>
          </cell>
          <cell r="AU284">
            <v>1256</v>
          </cell>
          <cell r="AV284">
            <v>1293</v>
          </cell>
          <cell r="AW284">
            <v>1409</v>
          </cell>
          <cell r="AX284">
            <v>1412</v>
          </cell>
          <cell r="AY284">
            <v>1419</v>
          </cell>
          <cell r="AZ284">
            <v>1419</v>
          </cell>
          <cell r="BA284">
            <v>1426</v>
          </cell>
          <cell r="BB284">
            <v>1434</v>
          </cell>
          <cell r="BC284">
            <v>1438</v>
          </cell>
          <cell r="BD284">
            <v>1446</v>
          </cell>
          <cell r="BE284">
            <v>1446</v>
          </cell>
          <cell r="BF284">
            <v>1450</v>
          </cell>
          <cell r="BG284">
            <v>1460</v>
          </cell>
          <cell r="BH284">
            <v>1464</v>
          </cell>
          <cell r="BI284">
            <v>1472</v>
          </cell>
          <cell r="BJ284">
            <v>1472</v>
          </cell>
          <cell r="BK284">
            <v>1477</v>
          </cell>
          <cell r="BL284">
            <v>1485</v>
          </cell>
          <cell r="BM284">
            <v>1488</v>
          </cell>
          <cell r="BN284">
            <v>1495</v>
          </cell>
          <cell r="BO284">
            <v>1495</v>
          </cell>
          <cell r="BP284">
            <v>1497</v>
          </cell>
          <cell r="BQ284">
            <v>1504</v>
          </cell>
          <cell r="BR284">
            <v>1508</v>
          </cell>
          <cell r="BS284">
            <v>1573</v>
          </cell>
          <cell r="BT284">
            <v>1573</v>
          </cell>
          <cell r="BU284">
            <v>1580</v>
          </cell>
          <cell r="BV284">
            <v>1585</v>
          </cell>
          <cell r="BW284">
            <v>1605</v>
          </cell>
          <cell r="BX284">
            <v>1711</v>
          </cell>
          <cell r="BY284">
            <v>1711</v>
          </cell>
          <cell r="BZ284">
            <v>1754</v>
          </cell>
          <cell r="CA284">
            <v>1781</v>
          </cell>
          <cell r="CB284">
            <v>1831</v>
          </cell>
          <cell r="CC284">
            <v>1896</v>
          </cell>
          <cell r="CD284">
            <v>1896</v>
          </cell>
          <cell r="CE284">
            <v>1896</v>
          </cell>
          <cell r="CF284">
            <v>1896</v>
          </cell>
          <cell r="CG284">
            <v>1896</v>
          </cell>
          <cell r="CH284">
            <v>1938</v>
          </cell>
          <cell r="CI284">
            <v>1938</v>
          </cell>
          <cell r="CJ284">
            <v>0</v>
          </cell>
          <cell r="CK284">
            <v>0</v>
          </cell>
          <cell r="CL284">
            <v>0</v>
          </cell>
          <cell r="CM284">
            <v>0</v>
          </cell>
          <cell r="CN284">
            <v>2024</v>
          </cell>
          <cell r="CO284">
            <v>0</v>
          </cell>
          <cell r="CP284">
            <v>0</v>
          </cell>
          <cell r="CQ284">
            <v>0</v>
          </cell>
          <cell r="CR284">
            <v>0</v>
          </cell>
          <cell r="CS284">
            <v>2024</v>
          </cell>
          <cell r="DE284" t="str">
            <v>mstag:inventories</v>
          </cell>
          <cell r="DF284">
            <v>6</v>
          </cell>
          <cell r="DG284" t="str">
            <v>ISO4217:USD</v>
          </cell>
          <cell r="DH284" t="b">
            <v>0</v>
          </cell>
          <cell r="DI284" t="b">
            <v>0</v>
          </cell>
          <cell r="DJ284" t="str">
            <v>mstag:additionalPaidInCapital</v>
          </cell>
          <cell r="DK284">
            <v>6</v>
          </cell>
          <cell r="DL284" t="str">
            <v>ISO4217:USD</v>
          </cell>
          <cell r="DM284" t="b">
            <v>0</v>
          </cell>
          <cell r="DN284" t="b">
            <v>0</v>
          </cell>
        </row>
        <row r="285">
          <cell r="A285" t="str">
            <v>Inventories</v>
          </cell>
          <cell r="G285">
            <v>1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15.791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119.68899999999999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167.15600000000001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145</v>
          </cell>
          <cell r="AG285">
            <v>113</v>
          </cell>
          <cell r="AH285">
            <v>127</v>
          </cell>
          <cell r="AI285">
            <v>127</v>
          </cell>
          <cell r="AJ285">
            <v>144</v>
          </cell>
          <cell r="AK285">
            <v>144</v>
          </cell>
          <cell r="AL285">
            <v>122</v>
          </cell>
          <cell r="AM285">
            <v>143</v>
          </cell>
          <cell r="AN285">
            <v>166</v>
          </cell>
          <cell r="AO285">
            <v>162</v>
          </cell>
          <cell r="AP285">
            <v>162</v>
          </cell>
          <cell r="AQ285">
            <v>154</v>
          </cell>
          <cell r="AR285">
            <v>148</v>
          </cell>
          <cell r="AS285">
            <v>143</v>
          </cell>
          <cell r="AT285">
            <v>86</v>
          </cell>
          <cell r="AU285">
            <v>86</v>
          </cell>
          <cell r="AV285">
            <v>72</v>
          </cell>
          <cell r="AW285">
            <v>92</v>
          </cell>
          <cell r="AX285">
            <v>107</v>
          </cell>
          <cell r="AY285">
            <v>118</v>
          </cell>
          <cell r="AZ285">
            <v>118</v>
          </cell>
          <cell r="BA285">
            <v>116</v>
          </cell>
          <cell r="BB285">
            <v>146</v>
          </cell>
          <cell r="BC285">
            <v>205</v>
          </cell>
          <cell r="BD285">
            <v>219</v>
          </cell>
          <cell r="BE285">
            <v>219</v>
          </cell>
          <cell r="BF285">
            <v>222</v>
          </cell>
          <cell r="BG285">
            <v>247</v>
          </cell>
          <cell r="BH285">
            <v>282</v>
          </cell>
          <cell r="BI285">
            <v>305</v>
          </cell>
          <cell r="BJ285">
            <v>305</v>
          </cell>
          <cell r="BK285">
            <v>335</v>
          </cell>
          <cell r="BL285">
            <v>387</v>
          </cell>
          <cell r="BM285">
            <v>432</v>
          </cell>
          <cell r="BN285">
            <v>433</v>
          </cell>
          <cell r="BO285">
            <v>433</v>
          </cell>
          <cell r="BP285">
            <v>447</v>
          </cell>
          <cell r="BQ285">
            <v>483</v>
          </cell>
          <cell r="BR285">
            <v>554</v>
          </cell>
          <cell r="BS285">
            <v>601</v>
          </cell>
          <cell r="BT285">
            <v>601</v>
          </cell>
          <cell r="BU285">
            <v>605</v>
          </cell>
          <cell r="BV285">
            <v>835</v>
          </cell>
          <cell r="BW285">
            <v>914</v>
          </cell>
          <cell r="BX285">
            <v>1002</v>
          </cell>
          <cell r="BY285">
            <v>1002</v>
          </cell>
          <cell r="BZ285">
            <v>1139</v>
          </cell>
          <cell r="CA285">
            <v>1291</v>
          </cell>
          <cell r="CB285">
            <v>1489</v>
          </cell>
          <cell r="CC285">
            <v>1679</v>
          </cell>
          <cell r="CD285">
            <v>1679</v>
          </cell>
          <cell r="CE285">
            <v>1878</v>
          </cell>
          <cell r="CF285">
            <v>2048.3700825158699</v>
          </cell>
          <cell r="CG285">
            <v>2235.1003195933699</v>
          </cell>
          <cell r="CH285">
            <v>2425.2943138264686</v>
          </cell>
          <cell r="CI285">
            <v>2425.2943138264686</v>
          </cell>
          <cell r="CJ285">
            <v>0</v>
          </cell>
          <cell r="CK285">
            <v>0</v>
          </cell>
          <cell r="CL285">
            <v>0</v>
          </cell>
          <cell r="CM285">
            <v>0</v>
          </cell>
          <cell r="CN285">
            <v>3107.7259717610705</v>
          </cell>
          <cell r="CO285">
            <v>0</v>
          </cell>
          <cell r="CP285">
            <v>0</v>
          </cell>
          <cell r="CQ285">
            <v>0</v>
          </cell>
          <cell r="CR285">
            <v>0</v>
          </cell>
          <cell r="CS285">
            <v>3771.9512230978671</v>
          </cell>
          <cell r="DE285" t="str">
            <v>mstag:tradeReceivables</v>
          </cell>
          <cell r="DF285">
            <v>6</v>
          </cell>
          <cell r="DG285" t="str">
            <v>ISO4217:USD</v>
          </cell>
          <cell r="DH285" t="b">
            <v>0</v>
          </cell>
          <cell r="DI285" t="b">
            <v>0</v>
          </cell>
          <cell r="DJ285" t="str">
            <v>mstag:retainedEarnings</v>
          </cell>
          <cell r="DK285">
            <v>6</v>
          </cell>
          <cell r="DL285" t="str">
            <v>ISO4217:USD</v>
          </cell>
          <cell r="DM285" t="b">
            <v>0</v>
          </cell>
          <cell r="DN285" t="b">
            <v>0</v>
          </cell>
        </row>
        <row r="286">
          <cell r="A286" t="str">
            <v>Accounts Receivable</v>
          </cell>
          <cell r="G286">
            <v>21.632999999999999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-9.2270000000000003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-1.9489999999999998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6.9460000000000006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2</v>
          </cell>
          <cell r="AH286">
            <v>2</v>
          </cell>
          <cell r="AI286">
            <v>-5</v>
          </cell>
          <cell r="AJ286">
            <v>-7</v>
          </cell>
          <cell r="AK286">
            <v>-7</v>
          </cell>
          <cell r="AL286">
            <v>13</v>
          </cell>
          <cell r="AM286">
            <v>11</v>
          </cell>
          <cell r="AN286">
            <v>14</v>
          </cell>
          <cell r="AO286">
            <v>19</v>
          </cell>
          <cell r="AP286">
            <v>19</v>
          </cell>
          <cell r="AQ286">
            <v>15</v>
          </cell>
          <cell r="AR286">
            <v>62</v>
          </cell>
          <cell r="AS286">
            <v>-38</v>
          </cell>
          <cell r="AT286">
            <v>-84</v>
          </cell>
          <cell r="AU286">
            <v>-84</v>
          </cell>
          <cell r="AV286">
            <v>-55</v>
          </cell>
          <cell r="AW286">
            <v>-19</v>
          </cell>
          <cell r="AX286">
            <v>-10</v>
          </cell>
          <cell r="AY286">
            <v>1</v>
          </cell>
          <cell r="AZ286">
            <v>1</v>
          </cell>
          <cell r="BA286">
            <v>-7</v>
          </cell>
          <cell r="BB286">
            <v>-23</v>
          </cell>
          <cell r="BC286">
            <v>-19</v>
          </cell>
          <cell r="BD286">
            <v>-10</v>
          </cell>
          <cell r="BE286">
            <v>-10</v>
          </cell>
          <cell r="BF286">
            <v>9</v>
          </cell>
          <cell r="BG286">
            <v>-13</v>
          </cell>
          <cell r="BH286">
            <v>-34</v>
          </cell>
          <cell r="BI286">
            <v>-15</v>
          </cell>
          <cell r="BJ286">
            <v>-15</v>
          </cell>
          <cell r="BK286">
            <v>-3</v>
          </cell>
          <cell r="BL286">
            <v>-23</v>
          </cell>
          <cell r="BM286">
            <v>-8</v>
          </cell>
          <cell r="BN286">
            <v>-8</v>
          </cell>
          <cell r="BO286">
            <v>-8</v>
          </cell>
          <cell r="BP286">
            <v>-8</v>
          </cell>
          <cell r="BQ286">
            <v>-16</v>
          </cell>
          <cell r="BR286">
            <v>-5</v>
          </cell>
          <cell r="BS286">
            <v>0</v>
          </cell>
          <cell r="BT286">
            <v>0</v>
          </cell>
          <cell r="BU286">
            <v>-2</v>
          </cell>
          <cell r="BV286">
            <v>4</v>
          </cell>
          <cell r="BW286">
            <v>-12</v>
          </cell>
          <cell r="BX286">
            <v>-63</v>
          </cell>
          <cell r="BY286">
            <v>-63</v>
          </cell>
          <cell r="BZ286">
            <v>-50</v>
          </cell>
          <cell r="CA286">
            <v>-24</v>
          </cell>
          <cell r="CB286">
            <v>-18</v>
          </cell>
          <cell r="CC286">
            <v>-3</v>
          </cell>
          <cell r="CD286">
            <v>-3</v>
          </cell>
          <cell r="CE286">
            <v>-3</v>
          </cell>
          <cell r="CF286">
            <v>-3</v>
          </cell>
          <cell r="CG286">
            <v>-3</v>
          </cell>
          <cell r="CH286">
            <v>-3</v>
          </cell>
          <cell r="CI286">
            <v>-3</v>
          </cell>
          <cell r="CJ286">
            <v>0</v>
          </cell>
          <cell r="CK286">
            <v>0</v>
          </cell>
          <cell r="CL286">
            <v>0</v>
          </cell>
          <cell r="CM286">
            <v>0</v>
          </cell>
          <cell r="CN286">
            <v>-3</v>
          </cell>
          <cell r="CO286">
            <v>0</v>
          </cell>
          <cell r="CP286">
            <v>0</v>
          </cell>
          <cell r="CQ286">
            <v>0</v>
          </cell>
          <cell r="CR286">
            <v>0</v>
          </cell>
          <cell r="CS286">
            <v>-3</v>
          </cell>
          <cell r="DE286" t="str">
            <v>mstag:netIssuanceRepurchaseOfCommonStock</v>
          </cell>
          <cell r="DF286">
            <v>6</v>
          </cell>
          <cell r="DG286" t="str">
            <v>ISO4217:USD</v>
          </cell>
          <cell r="DH286" t="b">
            <v>0</v>
          </cell>
          <cell r="DI286" t="b">
            <v>0</v>
          </cell>
          <cell r="DJ286" t="str">
            <v>mstag:accumulatedOtherComprehensiveIncomeLossAndReserves</v>
          </cell>
          <cell r="DK286">
            <v>6</v>
          </cell>
          <cell r="DL286" t="str">
            <v>ISO4217:USD</v>
          </cell>
          <cell r="DM286" t="b">
            <v>0</v>
          </cell>
          <cell r="DN286" t="b">
            <v>0</v>
          </cell>
        </row>
        <row r="287">
          <cell r="A287" t="str">
            <v>Accrural Net Share Issuance</v>
          </cell>
          <cell r="G287">
            <v>0.16200000000000001</v>
          </cell>
          <cell r="L287">
            <v>3.4019999999999997</v>
          </cell>
          <cell r="Q287">
            <v>404.17599999999993</v>
          </cell>
          <cell r="V287">
            <v>145.25699999999998</v>
          </cell>
          <cell r="AA287">
            <v>28.702000000000002</v>
          </cell>
          <cell r="AF287">
            <v>184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49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40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297</v>
          </cell>
          <cell r="AV287">
            <v>-1</v>
          </cell>
          <cell r="AW287">
            <v>-1</v>
          </cell>
          <cell r="AX287">
            <v>-1</v>
          </cell>
          <cell r="AY287">
            <v>-2</v>
          </cell>
          <cell r="AZ287">
            <v>120</v>
          </cell>
          <cell r="BA287">
            <v>-4</v>
          </cell>
          <cell r="BB287">
            <v>-4</v>
          </cell>
          <cell r="BC287">
            <v>-4</v>
          </cell>
          <cell r="BD287">
            <v>-4</v>
          </cell>
          <cell r="BE287">
            <v>9</v>
          </cell>
          <cell r="BF287">
            <v>-7</v>
          </cell>
          <cell r="BG287">
            <v>-7</v>
          </cell>
          <cell r="BH287">
            <v>-8</v>
          </cell>
          <cell r="BI287">
            <v>-8</v>
          </cell>
          <cell r="BJ287">
            <v>10</v>
          </cell>
          <cell r="BK287">
            <v>-11</v>
          </cell>
          <cell r="BL287">
            <v>-11</v>
          </cell>
          <cell r="BM287">
            <v>-12</v>
          </cell>
          <cell r="BN287">
            <v>-35</v>
          </cell>
          <cell r="BO287">
            <v>9</v>
          </cell>
          <cell r="BP287">
            <v>-42</v>
          </cell>
          <cell r="BQ287">
            <v>-42</v>
          </cell>
          <cell r="BR287">
            <v>-42</v>
          </cell>
          <cell r="BS287">
            <v>-43</v>
          </cell>
          <cell r="BT287">
            <v>10</v>
          </cell>
          <cell r="BU287">
            <v>-50</v>
          </cell>
          <cell r="BV287">
            <v>-113</v>
          </cell>
          <cell r="BW287">
            <v>-125</v>
          </cell>
          <cell r="BX287">
            <v>-125</v>
          </cell>
          <cell r="BY287">
            <v>41</v>
          </cell>
          <cell r="BZ287">
            <v>-138</v>
          </cell>
          <cell r="CA287">
            <v>-259</v>
          </cell>
          <cell r="CB287">
            <v>-289</v>
          </cell>
          <cell r="CC287">
            <v>-366</v>
          </cell>
          <cell r="CD287">
            <v>68</v>
          </cell>
          <cell r="CE287">
            <v>-366</v>
          </cell>
          <cell r="CF287">
            <v>-366</v>
          </cell>
          <cell r="CG287">
            <v>-366</v>
          </cell>
          <cell r="CH287">
            <v>-366</v>
          </cell>
          <cell r="CI287">
            <v>42</v>
          </cell>
          <cell r="CN287">
            <v>86</v>
          </cell>
          <cell r="CS287">
            <v>0</v>
          </cell>
          <cell r="DE287" t="str">
            <v>mstag:commonDividends</v>
          </cell>
          <cell r="DF287">
            <v>6</v>
          </cell>
          <cell r="DG287" t="str">
            <v>ISO4217:USD</v>
          </cell>
          <cell r="DH287" t="b">
            <v>1</v>
          </cell>
          <cell r="DI287" t="b">
            <v>0</v>
          </cell>
          <cell r="DJ287" t="str">
            <v>mstag:treasuryStockAndInvestmentInOwnShares</v>
          </cell>
          <cell r="DK287">
            <v>6</v>
          </cell>
          <cell r="DL287" t="str">
            <v>ISO4217:USD</v>
          </cell>
          <cell r="DM287" t="b">
            <v>1</v>
          </cell>
          <cell r="DN287" t="b">
            <v>0</v>
          </cell>
        </row>
        <row r="288">
          <cell r="A288" t="str">
            <v>Accrued Dividends</v>
          </cell>
          <cell r="G288">
            <v>-14.092000000000001</v>
          </cell>
          <cell r="L288">
            <v>-16.97</v>
          </cell>
          <cell r="Q288">
            <v>-6</v>
          </cell>
          <cell r="V288">
            <v>0</v>
          </cell>
          <cell r="AA288">
            <v>0</v>
          </cell>
          <cell r="AF288">
            <v>0</v>
          </cell>
          <cell r="AG288">
            <v>889</v>
          </cell>
          <cell r="AH288">
            <v>918</v>
          </cell>
          <cell r="AI288">
            <v>917</v>
          </cell>
          <cell r="AJ288">
            <v>952</v>
          </cell>
          <cell r="AK288">
            <v>0</v>
          </cell>
          <cell r="AL288">
            <v>960</v>
          </cell>
          <cell r="AM288">
            <v>993</v>
          </cell>
          <cell r="AN288">
            <v>1024</v>
          </cell>
          <cell r="AO288">
            <v>1036</v>
          </cell>
          <cell r="AP288">
            <v>0</v>
          </cell>
          <cell r="AQ288">
            <v>1329</v>
          </cell>
          <cell r="AR288">
            <v>1378</v>
          </cell>
          <cell r="AS288">
            <v>1281</v>
          </cell>
          <cell r="AT288">
            <v>1261</v>
          </cell>
          <cell r="AU288">
            <v>0</v>
          </cell>
          <cell r="AV288">
            <v>1312</v>
          </cell>
          <cell r="AW288">
            <v>1484</v>
          </cell>
          <cell r="AX288">
            <v>1511</v>
          </cell>
          <cell r="AY288">
            <v>1539</v>
          </cell>
          <cell r="AZ288">
            <v>0</v>
          </cell>
          <cell r="BA288">
            <v>1534</v>
          </cell>
          <cell r="BB288">
            <v>1556</v>
          </cell>
          <cell r="BC288">
            <v>1623</v>
          </cell>
          <cell r="BD288">
            <v>1654</v>
          </cell>
          <cell r="BE288">
            <v>0</v>
          </cell>
          <cell r="BF288">
            <v>1677</v>
          </cell>
          <cell r="BG288">
            <v>1690</v>
          </cell>
          <cell r="BH288">
            <v>1707</v>
          </cell>
          <cell r="BI288">
            <v>1757</v>
          </cell>
          <cell r="BJ288">
            <v>0</v>
          </cell>
          <cell r="BK288">
            <v>1801</v>
          </cell>
          <cell r="BL288">
            <v>1841</v>
          </cell>
          <cell r="BM288">
            <v>1903</v>
          </cell>
          <cell r="BN288">
            <v>1888</v>
          </cell>
          <cell r="BO288">
            <v>0</v>
          </cell>
          <cell r="BP288">
            <v>1897</v>
          </cell>
          <cell r="BQ288">
            <v>1932</v>
          </cell>
          <cell r="BR288">
            <v>2018</v>
          </cell>
          <cell r="BS288">
            <v>2134</v>
          </cell>
          <cell r="BT288">
            <v>0</v>
          </cell>
          <cell r="BU288">
            <v>2136</v>
          </cell>
          <cell r="BV288">
            <v>2315</v>
          </cell>
          <cell r="BW288">
            <v>2386</v>
          </cell>
          <cell r="BX288">
            <v>2529</v>
          </cell>
          <cell r="BY288">
            <v>0</v>
          </cell>
          <cell r="BZ288">
            <v>2709</v>
          </cell>
          <cell r="CA288">
            <v>2793</v>
          </cell>
          <cell r="CB288">
            <v>3017</v>
          </cell>
          <cell r="CC288">
            <v>3210</v>
          </cell>
          <cell r="CD288">
            <v>0</v>
          </cell>
          <cell r="CE288">
            <v>3390.7253398959806</v>
          </cell>
          <cell r="CF288">
            <v>3601.6844774126475</v>
          </cell>
          <cell r="CG288">
            <v>3843.5760962876475</v>
          </cell>
          <cell r="CH288">
            <v>4109.1646563477179</v>
          </cell>
          <cell r="CI288">
            <v>0</v>
          </cell>
          <cell r="CN288">
            <v>0</v>
          </cell>
          <cell r="CS288">
            <v>0</v>
          </cell>
          <cell r="DE288" t="str">
            <v>mstag:unrecordedGoodwillFromPoolingAndAmortizedOrWrittenOffGoodwill</v>
          </cell>
          <cell r="DF288">
            <v>6</v>
          </cell>
          <cell r="DG288" t="str">
            <v>ISO4217:USD</v>
          </cell>
          <cell r="DH288" t="b">
            <v>0</v>
          </cell>
          <cell r="DI288" t="b">
            <v>0</v>
          </cell>
          <cell r="DJ288" t="str">
            <v>mstag:commonDividends</v>
          </cell>
          <cell r="DK288">
            <v>6</v>
          </cell>
          <cell r="DL288" t="str">
            <v>ISO4217:USD</v>
          </cell>
          <cell r="DM288" t="b">
            <v>1</v>
          </cell>
          <cell r="DN288" t="b">
            <v>0</v>
          </cell>
        </row>
        <row r="289">
          <cell r="A289" t="str">
            <v>Unrecorded goodwill from Poolings and accum amortization</v>
          </cell>
          <cell r="G289">
            <v>344.12799999999999</v>
          </cell>
          <cell r="L289">
            <v>630.95899999999995</v>
          </cell>
          <cell r="Q289">
            <v>0</v>
          </cell>
          <cell r="R289" t="str">
            <v>2003-Q1</v>
          </cell>
          <cell r="S289" t="str">
            <v>2003-Q2</v>
          </cell>
          <cell r="T289" t="str">
            <v>2003-Q3</v>
          </cell>
          <cell r="U289" t="str">
            <v>2003-Q4</v>
          </cell>
          <cell r="V289">
            <v>2185.7570000000001</v>
          </cell>
          <cell r="W289" t="str">
            <v>2004-Q1</v>
          </cell>
          <cell r="X289" t="str">
            <v>2004-Q2</v>
          </cell>
          <cell r="Y289" t="str">
            <v>2004-Q3</v>
          </cell>
          <cell r="Z289" t="str">
            <v>2004-Q4</v>
          </cell>
          <cell r="AA289">
            <v>2798.6440000000002</v>
          </cell>
          <cell r="AB289" t="str">
            <v>2005-Q1</v>
          </cell>
          <cell r="AC289" t="str">
            <v>2005-Q2</v>
          </cell>
          <cell r="AD289" t="str">
            <v>2005-Q3</v>
          </cell>
          <cell r="AE289" t="str">
            <v>2005-Q4</v>
          </cell>
          <cell r="AF289">
            <v>3892</v>
          </cell>
          <cell r="AG289">
            <v>4068</v>
          </cell>
          <cell r="AH289">
            <v>4306</v>
          </cell>
          <cell r="AI289">
            <v>4429</v>
          </cell>
          <cell r="AJ289">
            <v>4843</v>
          </cell>
          <cell r="AK289">
            <v>4843</v>
          </cell>
          <cell r="AL289">
            <v>5145</v>
          </cell>
          <cell r="AM289">
            <v>5356</v>
          </cell>
          <cell r="AN289">
            <v>5461</v>
          </cell>
          <cell r="AO289">
            <v>5598</v>
          </cell>
          <cell r="AP289">
            <v>5598</v>
          </cell>
          <cell r="AQ289">
            <v>6050</v>
          </cell>
          <cell r="AR289">
            <v>6468</v>
          </cell>
          <cell r="AS289">
            <v>6084</v>
          </cell>
          <cell r="AT289">
            <v>6023</v>
          </cell>
          <cell r="AU289">
            <v>6023</v>
          </cell>
          <cell r="AV289">
            <v>6158</v>
          </cell>
          <cell r="AW289">
            <v>6510</v>
          </cell>
          <cell r="AX289">
            <v>6533</v>
          </cell>
          <cell r="AY289">
            <v>6554</v>
          </cell>
          <cell r="AZ289">
            <v>6554</v>
          </cell>
          <cell r="BA289">
            <v>6513</v>
          </cell>
          <cell r="BB289">
            <v>6590</v>
          </cell>
          <cell r="BC289">
            <v>6618</v>
          </cell>
          <cell r="BD289">
            <v>6593</v>
          </cell>
          <cell r="BE289">
            <v>6593</v>
          </cell>
          <cell r="BF289">
            <v>6843</v>
          </cell>
          <cell r="BG289">
            <v>6908</v>
          </cell>
          <cell r="BH289">
            <v>6911</v>
          </cell>
          <cell r="BI289">
            <v>7071</v>
          </cell>
          <cell r="BJ289">
            <v>7071</v>
          </cell>
          <cell r="BK289">
            <v>7143</v>
          </cell>
          <cell r="BL289">
            <v>7132</v>
          </cell>
          <cell r="BM289">
            <v>7141</v>
          </cell>
          <cell r="BN289">
            <v>7070</v>
          </cell>
          <cell r="BO289">
            <v>7070</v>
          </cell>
          <cell r="BP289">
            <v>7234</v>
          </cell>
          <cell r="BQ289">
            <v>7368</v>
          </cell>
          <cell r="BR289">
            <v>7444</v>
          </cell>
          <cell r="BS289">
            <v>7350</v>
          </cell>
          <cell r="BT289">
            <v>7350</v>
          </cell>
          <cell r="BU289">
            <v>7645</v>
          </cell>
          <cell r="BV289">
            <v>7657</v>
          </cell>
          <cell r="BW289">
            <v>7741</v>
          </cell>
          <cell r="BX289">
            <v>7839</v>
          </cell>
          <cell r="BY289">
            <v>7839</v>
          </cell>
          <cell r="BZ289">
            <v>8304</v>
          </cell>
          <cell r="CA289">
            <v>8317</v>
          </cell>
          <cell r="CB289">
            <v>8594</v>
          </cell>
          <cell r="CC289">
            <v>8660</v>
          </cell>
          <cell r="CD289">
            <v>8660</v>
          </cell>
          <cell r="CE289">
            <v>9154.3376975774663</v>
          </cell>
          <cell r="CF289">
            <v>9268.9950106625201</v>
          </cell>
          <cell r="CG289">
            <v>9380.3990654126537</v>
          </cell>
          <cell r="CH289">
            <v>9233.7095384280656</v>
          </cell>
          <cell r="CI289">
            <v>9233.7095384280656</v>
          </cell>
          <cell r="CN289">
            <v>0</v>
          </cell>
          <cell r="CS289">
            <v>0</v>
          </cell>
          <cell r="DJ289" t="str">
            <v>mstag:unrecordedGoodwillFromPoolingAndAmortizedOrWrittenOffGoodwill</v>
          </cell>
          <cell r="DK289">
            <v>6</v>
          </cell>
          <cell r="DL289" t="str">
            <v>ISO4217:USD</v>
          </cell>
          <cell r="DM289" t="b">
            <v>0</v>
          </cell>
          <cell r="DN289" t="b">
            <v>0</v>
          </cell>
        </row>
        <row r="290">
          <cell r="A290" t="str">
            <v>ModelWare Dates</v>
          </cell>
          <cell r="G290">
            <v>0</v>
          </cell>
          <cell r="L290">
            <v>42.814000000000078</v>
          </cell>
          <cell r="Q290">
            <v>0</v>
          </cell>
          <cell r="R290" t="str">
            <v>2003-Q1</v>
          </cell>
          <cell r="S290" t="str">
            <v>2003-Q2</v>
          </cell>
          <cell r="T290" t="str">
            <v>2003-Q3</v>
          </cell>
          <cell r="U290" t="str">
            <v>2003-Q4</v>
          </cell>
          <cell r="V290">
            <v>0</v>
          </cell>
          <cell r="W290" t="str">
            <v>2004-Q1</v>
          </cell>
          <cell r="X290" t="str">
            <v>2004-Q2</v>
          </cell>
          <cell r="Y290" t="str">
            <v>2004-Q3</v>
          </cell>
          <cell r="Z290" t="str">
            <v>2004-Q4</v>
          </cell>
          <cell r="AA290">
            <v>0</v>
          </cell>
          <cell r="AB290" t="str">
            <v>2005-Q1</v>
          </cell>
          <cell r="AC290" t="str">
            <v>2005-Q2</v>
          </cell>
          <cell r="AD290" t="str">
            <v>2005-Q3</v>
          </cell>
          <cell r="AE290" t="str">
            <v>2005-Q4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BQ290">
            <v>0</v>
          </cell>
          <cell r="BR290">
            <v>0</v>
          </cell>
          <cell r="BS290">
            <v>0</v>
          </cell>
          <cell r="BT290">
            <v>0</v>
          </cell>
          <cell r="BU290">
            <v>0</v>
          </cell>
          <cell r="BV290">
            <v>0</v>
          </cell>
          <cell r="BW290">
            <v>0</v>
          </cell>
          <cell r="BX290">
            <v>0</v>
          </cell>
          <cell r="BY290">
            <v>0</v>
          </cell>
          <cell r="BZ290">
            <v>0</v>
          </cell>
          <cell r="CA290">
            <v>0</v>
          </cell>
          <cell r="CB290">
            <v>0</v>
          </cell>
          <cell r="CC290">
            <v>0</v>
          </cell>
          <cell r="CD290">
            <v>0</v>
          </cell>
          <cell r="CE290">
            <v>0</v>
          </cell>
          <cell r="CF290">
            <v>0</v>
          </cell>
          <cell r="CG290">
            <v>0</v>
          </cell>
          <cell r="CH290">
            <v>0</v>
          </cell>
          <cell r="CI290">
            <v>0</v>
          </cell>
          <cell r="CN290" t="str">
            <v>2017-FY</v>
          </cell>
          <cell r="CS290" t="str">
            <v>2018-FY</v>
          </cell>
        </row>
        <row r="291">
          <cell r="A291" t="str">
            <v>DEBT METRICS AND COVENANTS</v>
          </cell>
        </row>
        <row r="292">
          <cell r="A292" t="str">
            <v>LIQUIDITY</v>
          </cell>
          <cell r="G292">
            <v>12.867000000000001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698.71699999999987</v>
          </cell>
          <cell r="AL292">
            <v>773.71699999999987</v>
          </cell>
          <cell r="AM292">
            <v>771.71699999999987</v>
          </cell>
          <cell r="AN292">
            <v>843.71699999999987</v>
          </cell>
          <cell r="AO292">
            <v>833.71699999999987</v>
          </cell>
          <cell r="AP292">
            <v>833.71699999999987</v>
          </cell>
          <cell r="AQ292">
            <v>752.71699999999987</v>
          </cell>
          <cell r="AR292">
            <v>963.71699999999987</v>
          </cell>
          <cell r="AS292">
            <v>564.71699999999987</v>
          </cell>
          <cell r="AT292">
            <v>570.71699999999987</v>
          </cell>
          <cell r="AU292">
            <v>570.71699999999987</v>
          </cell>
          <cell r="AV292">
            <v>635.71699999999987</v>
          </cell>
          <cell r="AW292">
            <v>890.71699999999987</v>
          </cell>
          <cell r="AX292">
            <v>1169.7169999999999</v>
          </cell>
          <cell r="AY292">
            <v>1141.7169999999999</v>
          </cell>
          <cell r="AZ292">
            <v>1141.7169999999999</v>
          </cell>
          <cell r="BA292">
            <v>1136.7169999999999</v>
          </cell>
          <cell r="BB292">
            <v>1158.7169999999999</v>
          </cell>
          <cell r="BC292">
            <v>1163.7169999999999</v>
          </cell>
          <cell r="BD292">
            <v>1092.7169999999999</v>
          </cell>
          <cell r="BE292">
            <v>1092.7169999999996</v>
          </cell>
          <cell r="BF292">
            <v>1234.7169999999996</v>
          </cell>
          <cell r="BG292">
            <v>1305.7169999999996</v>
          </cell>
          <cell r="BH292">
            <v>1238.7169999999996</v>
          </cell>
          <cell r="BI292">
            <v>1263.7169999999996</v>
          </cell>
          <cell r="BJ292">
            <v>1263.7169999999996</v>
          </cell>
          <cell r="BK292">
            <v>1224.7169999999996</v>
          </cell>
          <cell r="BL292">
            <v>1211.7169999999996</v>
          </cell>
          <cell r="BM292">
            <v>1063.7169999999996</v>
          </cell>
          <cell r="BN292">
            <v>866.71699999999953</v>
          </cell>
          <cell r="BO292">
            <v>866.71699999999953</v>
          </cell>
          <cell r="BP292">
            <v>0</v>
          </cell>
          <cell r="BQ292">
            <v>0</v>
          </cell>
          <cell r="BR292">
            <v>0</v>
          </cell>
          <cell r="BS292">
            <v>0</v>
          </cell>
          <cell r="BT292">
            <v>740.71699999999953</v>
          </cell>
          <cell r="BU292">
            <v>0</v>
          </cell>
          <cell r="BV292">
            <v>0</v>
          </cell>
          <cell r="BW292">
            <v>0</v>
          </cell>
          <cell r="BX292">
            <v>0</v>
          </cell>
          <cell r="BY292">
            <v>767.71699999999953</v>
          </cell>
          <cell r="BZ292">
            <v>0</v>
          </cell>
          <cell r="CA292">
            <v>0</v>
          </cell>
          <cell r="CB292">
            <v>0</v>
          </cell>
          <cell r="CC292">
            <v>0</v>
          </cell>
          <cell r="CD292">
            <v>922.26013555415864</v>
          </cell>
          <cell r="CE292">
            <v>0</v>
          </cell>
          <cell r="CF292">
            <v>0</v>
          </cell>
          <cell r="CG292">
            <v>0</v>
          </cell>
          <cell r="CH292">
            <v>0</v>
          </cell>
          <cell r="CI292">
            <v>978.74705435757949</v>
          </cell>
          <cell r="CJ292">
            <v>0</v>
          </cell>
          <cell r="CK292">
            <v>0</v>
          </cell>
          <cell r="CL292">
            <v>0</v>
          </cell>
          <cell r="CM292">
            <v>0</v>
          </cell>
          <cell r="CN292">
            <v>1029.3847593653359</v>
          </cell>
          <cell r="CO292">
            <v>0</v>
          </cell>
          <cell r="CP292">
            <v>0</v>
          </cell>
          <cell r="CQ292">
            <v>0</v>
          </cell>
          <cell r="CR292">
            <v>0</v>
          </cell>
          <cell r="CS292">
            <v>0</v>
          </cell>
          <cell r="DJ292" t="str">
            <v>mstag:tradeAndOtherPayables</v>
          </cell>
          <cell r="DK292">
            <v>6</v>
          </cell>
          <cell r="DL292" t="str">
            <v>ISO4217:USD</v>
          </cell>
          <cell r="DM292" t="b">
            <v>0</v>
          </cell>
          <cell r="DN292" t="b">
            <v>0</v>
          </cell>
        </row>
        <row r="293">
          <cell r="A293" t="str">
            <v>Unrestricted Cash and ST Investments</v>
          </cell>
          <cell r="G293">
            <v>5.5990000000000002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698.71699999999987</v>
          </cell>
          <cell r="AL293">
            <v>773.71699999999987</v>
          </cell>
          <cell r="AM293">
            <v>771.71699999999987</v>
          </cell>
          <cell r="AN293">
            <v>843.71699999999987</v>
          </cell>
          <cell r="AO293">
            <v>833.71699999999987</v>
          </cell>
          <cell r="AP293">
            <v>833.71699999999987</v>
          </cell>
          <cell r="AQ293">
            <v>752.71699999999987</v>
          </cell>
          <cell r="AR293">
            <v>963.71699999999987</v>
          </cell>
          <cell r="AS293">
            <v>564.71699999999987</v>
          </cell>
          <cell r="AT293">
            <v>570.71699999999987</v>
          </cell>
          <cell r="AU293">
            <v>570.71699999999987</v>
          </cell>
          <cell r="AV293">
            <v>635.71699999999987</v>
          </cell>
          <cell r="AW293">
            <v>890.71699999999987</v>
          </cell>
          <cell r="AX293">
            <v>1169.7169999999999</v>
          </cell>
          <cell r="AY293">
            <v>1141.7169999999999</v>
          </cell>
          <cell r="AZ293">
            <v>1141.7169999999999</v>
          </cell>
          <cell r="BA293">
            <v>1136.7169999999999</v>
          </cell>
          <cell r="BB293">
            <v>1158.7169999999999</v>
          </cell>
          <cell r="BC293">
            <v>1163.7169999999999</v>
          </cell>
          <cell r="BD293">
            <v>1092.7169999999999</v>
          </cell>
          <cell r="BE293">
            <v>1092.7169999999996</v>
          </cell>
          <cell r="BF293">
            <v>1234.7169999999996</v>
          </cell>
          <cell r="BG293">
            <v>1305.7169999999996</v>
          </cell>
          <cell r="BH293">
            <v>1238.7169999999996</v>
          </cell>
          <cell r="BI293">
            <v>1263.7169999999996</v>
          </cell>
          <cell r="BJ293">
            <v>1263.7169999999996</v>
          </cell>
          <cell r="BK293">
            <v>1224.7169999999996</v>
          </cell>
          <cell r="BL293">
            <v>1211.7169999999996</v>
          </cell>
          <cell r="BM293">
            <v>1063.7169999999996</v>
          </cell>
          <cell r="BN293">
            <v>866.71699999999953</v>
          </cell>
          <cell r="BO293">
            <v>866.71699999999953</v>
          </cell>
          <cell r="BP293">
            <v>0</v>
          </cell>
          <cell r="BQ293">
            <v>0</v>
          </cell>
          <cell r="BR293">
            <v>0</v>
          </cell>
          <cell r="BS293">
            <v>0</v>
          </cell>
          <cell r="BT293">
            <v>740.71699999999953</v>
          </cell>
          <cell r="BU293">
            <v>0</v>
          </cell>
          <cell r="BV293">
            <v>0</v>
          </cell>
          <cell r="BW293">
            <v>0</v>
          </cell>
          <cell r="BX293">
            <v>0</v>
          </cell>
          <cell r="BY293">
            <v>767.71699999999953</v>
          </cell>
          <cell r="BZ293">
            <v>0</v>
          </cell>
          <cell r="CA293">
            <v>0</v>
          </cell>
          <cell r="CB293">
            <v>0</v>
          </cell>
          <cell r="CC293">
            <v>0</v>
          </cell>
          <cell r="CD293">
            <v>870.78171394370247</v>
          </cell>
          <cell r="CE293">
            <v>0</v>
          </cell>
          <cell r="CF293">
            <v>0</v>
          </cell>
          <cell r="CG293">
            <v>0</v>
          </cell>
          <cell r="CH293">
            <v>0</v>
          </cell>
          <cell r="CI293">
            <v>1045.0780052029445</v>
          </cell>
          <cell r="CJ293">
            <v>0</v>
          </cell>
          <cell r="CK293">
            <v>0</v>
          </cell>
          <cell r="CL293">
            <v>0</v>
          </cell>
          <cell r="CM293">
            <v>0</v>
          </cell>
          <cell r="CN293">
            <v>1195.3273150057885</v>
          </cell>
          <cell r="CO293">
            <v>0</v>
          </cell>
          <cell r="CP293">
            <v>0</v>
          </cell>
          <cell r="CQ293">
            <v>0</v>
          </cell>
          <cell r="CR293">
            <v>0</v>
          </cell>
          <cell r="CS293">
            <v>1354.7457330769432</v>
          </cell>
          <cell r="DJ293" t="str">
            <v>mstag:payrollAndBenefitsRelatedLiabilities</v>
          </cell>
          <cell r="DK293">
            <v>6</v>
          </cell>
          <cell r="DL293" t="str">
            <v>ISO4217:USD</v>
          </cell>
          <cell r="DM293" t="b">
            <v>0</v>
          </cell>
          <cell r="DN293" t="b">
            <v>0</v>
          </cell>
        </row>
        <row r="294">
          <cell r="A294" t="str">
            <v>Restricted Cash in Current Assets</v>
          </cell>
          <cell r="G294">
            <v>1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120</v>
          </cell>
          <cell r="AL294">
            <v>122</v>
          </cell>
          <cell r="AM294">
            <v>100</v>
          </cell>
          <cell r="AN294">
            <v>70</v>
          </cell>
          <cell r="AO294">
            <v>53</v>
          </cell>
          <cell r="AP294">
            <v>53</v>
          </cell>
          <cell r="AQ294">
            <v>54</v>
          </cell>
          <cell r="AR294">
            <v>129</v>
          </cell>
          <cell r="AS294">
            <v>211</v>
          </cell>
          <cell r="AT294">
            <v>264</v>
          </cell>
          <cell r="AU294">
            <v>264</v>
          </cell>
          <cell r="AV294">
            <v>210</v>
          </cell>
          <cell r="AW294">
            <v>166</v>
          </cell>
          <cell r="AX294">
            <v>113</v>
          </cell>
          <cell r="AY294">
            <v>77</v>
          </cell>
          <cell r="AZ294">
            <v>77</v>
          </cell>
          <cell r="BA294">
            <v>71</v>
          </cell>
          <cell r="BB294">
            <v>70</v>
          </cell>
          <cell r="BC294">
            <v>69</v>
          </cell>
          <cell r="BD294">
            <v>68</v>
          </cell>
          <cell r="BE294">
            <v>68</v>
          </cell>
          <cell r="BF294">
            <v>66</v>
          </cell>
          <cell r="BG294">
            <v>65</v>
          </cell>
          <cell r="BH294">
            <v>64</v>
          </cell>
          <cell r="BI294">
            <v>67</v>
          </cell>
          <cell r="BJ294">
            <v>67</v>
          </cell>
          <cell r="BK294">
            <v>65</v>
          </cell>
          <cell r="BL294">
            <v>55</v>
          </cell>
          <cell r="BM294">
            <v>55</v>
          </cell>
          <cell r="BN294">
            <v>51</v>
          </cell>
          <cell r="BO294">
            <v>51</v>
          </cell>
          <cell r="BP294">
            <v>0</v>
          </cell>
          <cell r="BQ294">
            <v>0</v>
          </cell>
          <cell r="BR294">
            <v>0</v>
          </cell>
          <cell r="BS294">
            <v>0</v>
          </cell>
          <cell r="BT294">
            <v>57</v>
          </cell>
          <cell r="BU294">
            <v>0</v>
          </cell>
          <cell r="BV294">
            <v>0</v>
          </cell>
          <cell r="BW294">
            <v>0</v>
          </cell>
          <cell r="BX294">
            <v>0</v>
          </cell>
          <cell r="BY294">
            <v>61</v>
          </cell>
          <cell r="BZ294">
            <v>0</v>
          </cell>
          <cell r="CA294">
            <v>0</v>
          </cell>
          <cell r="CB294">
            <v>0</v>
          </cell>
          <cell r="CC294">
            <v>0</v>
          </cell>
          <cell r="CD294">
            <v>67.253455117358115</v>
          </cell>
          <cell r="CE294">
            <v>0</v>
          </cell>
          <cell r="CF294">
            <v>0</v>
          </cell>
          <cell r="CG294">
            <v>0</v>
          </cell>
          <cell r="CH294">
            <v>0</v>
          </cell>
          <cell r="CI294">
            <v>71.011031913589449</v>
          </cell>
          <cell r="CJ294">
            <v>0</v>
          </cell>
          <cell r="CK294">
            <v>0</v>
          </cell>
          <cell r="CL294">
            <v>0</v>
          </cell>
          <cell r="CM294">
            <v>0</v>
          </cell>
          <cell r="CN294">
            <v>76.691914466676607</v>
          </cell>
          <cell r="CO294">
            <v>0</v>
          </cell>
          <cell r="CP294">
            <v>0</v>
          </cell>
          <cell r="CQ294">
            <v>0</v>
          </cell>
          <cell r="CR294">
            <v>0</v>
          </cell>
          <cell r="CS294">
            <v>82.827267624010744</v>
          </cell>
          <cell r="DJ294" t="str">
            <v>mstag:inventories</v>
          </cell>
          <cell r="DK294">
            <v>6</v>
          </cell>
          <cell r="DL294" t="str">
            <v>ISO4217:USD</v>
          </cell>
          <cell r="DM294" t="b">
            <v>0</v>
          </cell>
          <cell r="DN294" t="b">
            <v>0</v>
          </cell>
        </row>
        <row r="295">
          <cell r="A295" t="str">
            <v>Restricted Cash in LT Assets (i.e. impaired ARS)</v>
          </cell>
          <cell r="G295">
            <v>21.632999999999999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227</v>
          </cell>
          <cell r="AX295">
            <v>227</v>
          </cell>
          <cell r="AY295">
            <v>227</v>
          </cell>
          <cell r="AZ295">
            <v>227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BR295">
            <v>0</v>
          </cell>
          <cell r="BS295">
            <v>0</v>
          </cell>
          <cell r="BT295">
            <v>0</v>
          </cell>
          <cell r="BU295">
            <v>0</v>
          </cell>
          <cell r="BV295">
            <v>0</v>
          </cell>
          <cell r="BW295">
            <v>0</v>
          </cell>
          <cell r="BX295">
            <v>0</v>
          </cell>
          <cell r="BY295">
            <v>0</v>
          </cell>
          <cell r="BZ295">
            <v>0</v>
          </cell>
          <cell r="CA295">
            <v>0</v>
          </cell>
          <cell r="CB295">
            <v>0</v>
          </cell>
          <cell r="CC295">
            <v>0</v>
          </cell>
          <cell r="CD295">
            <v>0</v>
          </cell>
          <cell r="CE295">
            <v>0</v>
          </cell>
          <cell r="CF295">
            <v>0</v>
          </cell>
          <cell r="CG295">
            <v>0</v>
          </cell>
          <cell r="CH295">
            <v>0</v>
          </cell>
          <cell r="CI295">
            <v>0</v>
          </cell>
          <cell r="CJ295">
            <v>0</v>
          </cell>
          <cell r="CK295">
            <v>0</v>
          </cell>
          <cell r="CL295">
            <v>0</v>
          </cell>
          <cell r="CM295">
            <v>0</v>
          </cell>
          <cell r="CN295">
            <v>0</v>
          </cell>
          <cell r="CO295">
            <v>0</v>
          </cell>
          <cell r="CP295">
            <v>0</v>
          </cell>
          <cell r="CQ295">
            <v>0</v>
          </cell>
          <cell r="CR295">
            <v>0</v>
          </cell>
          <cell r="CS295">
            <v>0</v>
          </cell>
          <cell r="DJ295" t="str">
            <v>mstag:tradeReceivables</v>
          </cell>
          <cell r="DK295">
            <v>6</v>
          </cell>
          <cell r="DL295" t="str">
            <v>ISO4217:USD</v>
          </cell>
          <cell r="DM295" t="b">
            <v>0</v>
          </cell>
          <cell r="DN295" t="b">
            <v>0</v>
          </cell>
        </row>
        <row r="296">
          <cell r="A296" t="str">
            <v>Available Lines of Credit</v>
          </cell>
          <cell r="G296">
            <v>0.16200000000000001</v>
          </cell>
          <cell r="L296">
            <v>3.4019999999999997</v>
          </cell>
          <cell r="Q296">
            <v>404.17599999999993</v>
          </cell>
          <cell r="V296">
            <v>145.25699999999998</v>
          </cell>
          <cell r="AA296">
            <v>28.702000000000002</v>
          </cell>
          <cell r="AF296">
            <v>184</v>
          </cell>
          <cell r="AK296">
            <v>49</v>
          </cell>
          <cell r="AP296">
            <v>40</v>
          </cell>
          <cell r="AU296">
            <v>297</v>
          </cell>
          <cell r="AW296">
            <v>84</v>
          </cell>
          <cell r="AX296">
            <v>60</v>
          </cell>
          <cell r="AY296">
            <v>60</v>
          </cell>
          <cell r="AZ296">
            <v>120</v>
          </cell>
          <cell r="BA296">
            <v>63</v>
          </cell>
          <cell r="BB296">
            <v>63</v>
          </cell>
          <cell r="BC296">
            <v>0</v>
          </cell>
          <cell r="BD296">
            <v>0</v>
          </cell>
          <cell r="BE296">
            <v>9</v>
          </cell>
          <cell r="BF296">
            <v>0</v>
          </cell>
          <cell r="BG296">
            <v>0</v>
          </cell>
          <cell r="BH296">
            <v>0</v>
          </cell>
          <cell r="BI296">
            <v>0</v>
          </cell>
          <cell r="BJ296">
            <v>10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9</v>
          </cell>
          <cell r="BT296">
            <v>0</v>
          </cell>
          <cell r="BY296">
            <v>0</v>
          </cell>
          <cell r="CD296">
            <v>0</v>
          </cell>
          <cell r="CI296">
            <v>0</v>
          </cell>
          <cell r="CN296">
            <v>0</v>
          </cell>
          <cell r="CS296">
            <v>0</v>
          </cell>
          <cell r="DJ296" t="str">
            <v>mstag:netIssuanceRepurchaseOfCommonStock</v>
          </cell>
          <cell r="DK296">
            <v>6</v>
          </cell>
          <cell r="DL296" t="str">
            <v>ISO4217:USD</v>
          </cell>
          <cell r="DM296" t="b">
            <v>0</v>
          </cell>
          <cell r="DN296" t="b">
            <v>0</v>
          </cell>
        </row>
        <row r="297">
          <cell r="A297" t="str">
            <v>Total Unencumbered Assets</v>
          </cell>
          <cell r="G297">
            <v>-14.092000000000001</v>
          </cell>
          <cell r="L297">
            <v>-16.97</v>
          </cell>
          <cell r="Q297">
            <v>-6</v>
          </cell>
          <cell r="V297">
            <v>0</v>
          </cell>
          <cell r="AA297">
            <v>0</v>
          </cell>
          <cell r="AF297">
            <v>0</v>
          </cell>
          <cell r="AK297">
            <v>0</v>
          </cell>
          <cell r="AP297">
            <v>0</v>
          </cell>
          <cell r="AU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T297">
            <v>0</v>
          </cell>
          <cell r="BY297">
            <v>0</v>
          </cell>
          <cell r="CD297">
            <v>0</v>
          </cell>
          <cell r="CI297">
            <v>0</v>
          </cell>
          <cell r="CN297">
            <v>0</v>
          </cell>
          <cell r="CS297">
            <v>0</v>
          </cell>
          <cell r="DJ297" t="str">
            <v>mstag:commonDividends</v>
          </cell>
          <cell r="DK297">
            <v>6</v>
          </cell>
          <cell r="DL297" t="str">
            <v>ISO4217:USD</v>
          </cell>
          <cell r="DM297" t="b">
            <v>1</v>
          </cell>
          <cell r="DN297" t="b">
            <v>0</v>
          </cell>
        </row>
        <row r="298">
          <cell r="A298" t="str">
            <v>% of Unencumbered Assets Applied to Liquidity</v>
          </cell>
          <cell r="Q298">
            <v>0</v>
          </cell>
          <cell r="V298">
            <v>0</v>
          </cell>
          <cell r="AA298">
            <v>0</v>
          </cell>
          <cell r="AF298">
            <v>0</v>
          </cell>
          <cell r="AK298">
            <v>0</v>
          </cell>
          <cell r="AP298">
            <v>0</v>
          </cell>
          <cell r="AU298">
            <v>0</v>
          </cell>
          <cell r="AW298">
            <v>0.3</v>
          </cell>
          <cell r="AX298">
            <v>0.3</v>
          </cell>
          <cell r="AY298">
            <v>0.3</v>
          </cell>
          <cell r="AZ298">
            <v>0</v>
          </cell>
          <cell r="BA298">
            <v>0.3</v>
          </cell>
          <cell r="BB298">
            <v>0.3</v>
          </cell>
          <cell r="BC298">
            <v>0.3</v>
          </cell>
          <cell r="BD298">
            <v>0.3</v>
          </cell>
          <cell r="BE298">
            <v>0</v>
          </cell>
          <cell r="BF298">
            <v>0.3</v>
          </cell>
          <cell r="BG298">
            <v>0.3</v>
          </cell>
          <cell r="BH298">
            <v>0.3</v>
          </cell>
          <cell r="BI298">
            <v>0.3</v>
          </cell>
          <cell r="BJ298">
            <v>0</v>
          </cell>
          <cell r="BK298">
            <v>0.3</v>
          </cell>
          <cell r="BL298">
            <v>0.3</v>
          </cell>
          <cell r="BM298">
            <v>0.3</v>
          </cell>
          <cell r="BN298">
            <v>0.3</v>
          </cell>
          <cell r="BO298">
            <v>0</v>
          </cell>
          <cell r="BT298">
            <v>0.3</v>
          </cell>
          <cell r="BY298">
            <v>0.3</v>
          </cell>
          <cell r="CD298">
            <v>0.3</v>
          </cell>
          <cell r="CI298">
            <v>0.3</v>
          </cell>
          <cell r="CN298">
            <v>0.3</v>
          </cell>
          <cell r="CS298">
            <v>0.3</v>
          </cell>
          <cell r="DJ298" t="str">
            <v>mstag:unrecordedGoodwillFromPoolingAndAmortizedOrWrittenOffGoodwill</v>
          </cell>
          <cell r="DK298">
            <v>6</v>
          </cell>
          <cell r="DL298" t="str">
            <v>ISO4217:USD</v>
          </cell>
          <cell r="DM298" t="b">
            <v>0</v>
          </cell>
          <cell r="DN298" t="b">
            <v>0</v>
          </cell>
        </row>
        <row r="299">
          <cell r="A299" t="str">
            <v>Total Liquidity including Restriced Cash</v>
          </cell>
          <cell r="R299" t="str">
            <v>2003-Q1</v>
          </cell>
          <cell r="S299" t="str">
            <v>2003-Q2</v>
          </cell>
          <cell r="T299" t="str">
            <v>2003-Q3</v>
          </cell>
          <cell r="U299" t="str">
            <v>2003-Q4</v>
          </cell>
          <cell r="V299" t="str">
            <v>2003-FY</v>
          </cell>
          <cell r="W299" t="str">
            <v>2004-Q1</v>
          </cell>
          <cell r="X299" t="str">
            <v>2004-Q2</v>
          </cell>
          <cell r="Y299" t="str">
            <v>2004-Q3</v>
          </cell>
          <cell r="Z299" t="str">
            <v>2004-Q4</v>
          </cell>
          <cell r="AA299" t="str">
            <v>2004-FY</v>
          </cell>
          <cell r="AB299" t="str">
            <v>2005-Q1</v>
          </cell>
          <cell r="AC299" t="str">
            <v>2005-Q2</v>
          </cell>
          <cell r="AD299" t="str">
            <v>2005-Q3</v>
          </cell>
          <cell r="AE299" t="str">
            <v>2005-Q4</v>
          </cell>
          <cell r="AF299" t="str">
            <v>2005-FY</v>
          </cell>
          <cell r="AG299" t="str">
            <v>2006-Q1</v>
          </cell>
          <cell r="AH299" t="str">
            <v>2006-Q2</v>
          </cell>
          <cell r="AI299" t="str">
            <v>2006-Q3</v>
          </cell>
          <cell r="AJ299" t="str">
            <v>2006-Q4</v>
          </cell>
          <cell r="AK299" t="str">
            <v>2006-FY</v>
          </cell>
          <cell r="AL299" t="str">
            <v>2007-Q1</v>
          </cell>
          <cell r="AM299" t="str">
            <v>2007-Q2</v>
          </cell>
          <cell r="AN299" t="str">
            <v>2007-Q3</v>
          </cell>
          <cell r="AO299" t="str">
            <v>2007-Q4</v>
          </cell>
          <cell r="AP299" t="str">
            <v>2007-FY</v>
          </cell>
          <cell r="AQ299" t="str">
            <v>2008-Q1</v>
          </cell>
          <cell r="AR299" t="str">
            <v>2008-Q2</v>
          </cell>
          <cell r="AS299" t="str">
            <v>2008-Q3</v>
          </cell>
          <cell r="AT299" t="str">
            <v>2008-Q4</v>
          </cell>
          <cell r="AU299" t="str">
            <v>2008-FY</v>
          </cell>
          <cell r="AV299" t="str">
            <v>2009-Q1</v>
          </cell>
          <cell r="AW299">
            <v>1367.7169999999999</v>
          </cell>
          <cell r="AX299">
            <v>1569.7169999999999</v>
          </cell>
          <cell r="AY299">
            <v>1505.7169999999999</v>
          </cell>
          <cell r="AZ299">
            <v>1505.7169999999999</v>
          </cell>
          <cell r="BA299">
            <v>1270.7169999999999</v>
          </cell>
          <cell r="BB299">
            <v>1291.7169999999999</v>
          </cell>
          <cell r="BC299">
            <v>1232.7169999999999</v>
          </cell>
          <cell r="BD299">
            <v>1160.7169999999999</v>
          </cell>
          <cell r="BE299">
            <v>1160.7169999999996</v>
          </cell>
          <cell r="BF299">
            <v>1300.7169999999996</v>
          </cell>
          <cell r="BG299">
            <v>1370.7169999999996</v>
          </cell>
          <cell r="BH299">
            <v>1302.7169999999996</v>
          </cell>
          <cell r="BI299">
            <v>1330.7169999999996</v>
          </cell>
          <cell r="BJ299">
            <v>1330.7169999999996</v>
          </cell>
          <cell r="BK299">
            <v>1289.7169999999996</v>
          </cell>
          <cell r="BL299">
            <v>1266.7169999999996</v>
          </cell>
          <cell r="BM299">
            <v>1118.7169999999996</v>
          </cell>
          <cell r="BN299">
            <v>917.71699999999953</v>
          </cell>
          <cell r="BO299">
            <v>917.71699999999953</v>
          </cell>
          <cell r="BP299" t="str">
            <v>2013-Q1</v>
          </cell>
          <cell r="BQ299" t="str">
            <v>2013-Q2</v>
          </cell>
          <cell r="BR299" t="str">
            <v>2013-Q3</v>
          </cell>
          <cell r="BS299" t="str">
            <v>2013-Q4</v>
          </cell>
          <cell r="BT299">
            <v>797.71699999999953</v>
          </cell>
          <cell r="BU299" t="str">
            <v>2014-Q1</v>
          </cell>
          <cell r="BV299" t="str">
            <v>2014-Q2</v>
          </cell>
          <cell r="BW299" t="str">
            <v>2014-Q3</v>
          </cell>
          <cell r="BX299" t="str">
            <v>2014-Q4</v>
          </cell>
          <cell r="BY299">
            <v>828.71699999999953</v>
          </cell>
          <cell r="BZ299" t="str">
            <v>2015-Q1</v>
          </cell>
          <cell r="CA299" t="str">
            <v>2015-Q2</v>
          </cell>
          <cell r="CB299" t="str">
            <v>2015-Q3</v>
          </cell>
          <cell r="CC299" t="str">
            <v>2015-Q4</v>
          </cell>
          <cell r="CD299">
            <v>990.00661796104612</v>
          </cell>
          <cell r="CE299" t="str">
            <v>2016-Q1</v>
          </cell>
          <cell r="CF299" t="str">
            <v>2016-Q2</v>
          </cell>
          <cell r="CG299" t="str">
            <v>2016-Q3</v>
          </cell>
          <cell r="CH299" t="str">
            <v>2016-Q4</v>
          </cell>
          <cell r="CI299">
            <v>1051.333176101409</v>
          </cell>
          <cell r="CN299">
            <v>1107.7777708486717</v>
          </cell>
          <cell r="CS299" t="str">
            <v>2018-FY</v>
          </cell>
        </row>
        <row r="300">
          <cell r="A300" t="str">
            <v>Total Liquidity including Restriced Cash</v>
          </cell>
          <cell r="AW300">
            <v>1367.7169999999999</v>
          </cell>
          <cell r="AX300">
            <v>1569.7169999999999</v>
          </cell>
          <cell r="AY300">
            <v>1505.7169999999999</v>
          </cell>
          <cell r="AZ300">
            <v>1505.7169999999999</v>
          </cell>
          <cell r="BA300">
            <v>1270.7169999999999</v>
          </cell>
          <cell r="BB300">
            <v>1291.7169999999999</v>
          </cell>
          <cell r="BC300">
            <v>1232.7169999999999</v>
          </cell>
          <cell r="BD300">
            <v>1160.7169999999999</v>
          </cell>
          <cell r="BE300">
            <v>1160.7169999999996</v>
          </cell>
          <cell r="BF300">
            <v>1300.7169999999996</v>
          </cell>
          <cell r="BG300">
            <v>1370.7169999999996</v>
          </cell>
          <cell r="BH300">
            <v>1302.7169999999996</v>
          </cell>
          <cell r="BI300">
            <v>1330.7169999999996</v>
          </cell>
          <cell r="BJ300">
            <v>1330.7169999999996</v>
          </cell>
          <cell r="BK300">
            <v>1289.7169999999996</v>
          </cell>
          <cell r="BL300">
            <v>1266.7169999999996</v>
          </cell>
          <cell r="BM300">
            <v>1118.7169999999996</v>
          </cell>
          <cell r="BN300">
            <v>917.71699999999953</v>
          </cell>
          <cell r="BO300">
            <v>917.71699999999953</v>
          </cell>
          <cell r="BT300">
            <v>797.71699999999953</v>
          </cell>
          <cell r="BY300">
            <v>828.71699999999953</v>
          </cell>
          <cell r="CD300">
            <v>938.03516906106063</v>
          </cell>
          <cell r="CI300">
            <v>1116.089037116534</v>
          </cell>
          <cell r="CN300">
            <v>1272.019229472465</v>
          </cell>
          <cell r="CS300">
            <v>1437.573000700954</v>
          </cell>
        </row>
        <row r="301">
          <cell r="A301" t="str">
            <v>% of LTM Operating Revenue</v>
          </cell>
          <cell r="AW301">
            <v>0.41233554416641538</v>
          </cell>
          <cell r="AX301">
            <v>0.48003577981651374</v>
          </cell>
          <cell r="AY301">
            <v>0.45752567608629591</v>
          </cell>
          <cell r="AZ301">
            <v>0.45752567608629591</v>
          </cell>
          <cell r="BA301">
            <v>0.37751544860368386</v>
          </cell>
          <cell r="BB301">
            <v>0.36948426773455373</v>
          </cell>
          <cell r="BC301">
            <v>0.33579869245437205</v>
          </cell>
          <cell r="BD301">
            <v>0.30714924583223069</v>
          </cell>
          <cell r="BE301">
            <v>0.30714924583223063</v>
          </cell>
          <cell r="BF301">
            <v>0.33173093598571785</v>
          </cell>
          <cell r="BG301">
            <v>0.33165182676022253</v>
          </cell>
          <cell r="BH301">
            <v>0.30309841786877612</v>
          </cell>
          <cell r="BI301">
            <v>0.29545226465364111</v>
          </cell>
          <cell r="BJ301">
            <v>0.29545226465364111</v>
          </cell>
          <cell r="BK301">
            <v>0.27470010649627258</v>
          </cell>
          <cell r="BL301">
            <v>0.262749844430616</v>
          </cell>
          <cell r="BM301">
            <v>0.22673631941629502</v>
          </cell>
          <cell r="BN301">
            <v>0.18420654355680441</v>
          </cell>
          <cell r="BO301">
            <v>0.18420654355680441</v>
          </cell>
          <cell r="BT301">
            <v>0.14661220363903685</v>
          </cell>
          <cell r="BY301">
            <v>0.14246467251160383</v>
          </cell>
          <cell r="CD301">
            <v>0.14640589275674115</v>
          </cell>
          <cell r="CI301">
            <v>0.16306247051343964</v>
          </cell>
          <cell r="CN301">
            <v>0.17200522208614094</v>
          </cell>
          <cell r="CS301">
            <v>0.18006877987489198</v>
          </cell>
        </row>
        <row r="302">
          <cell r="A302" t="str">
            <v>% of Total Assets</v>
          </cell>
          <cell r="AK302">
            <v>698.71699999999987</v>
          </cell>
          <cell r="AL302">
            <v>773.71699999999987</v>
          </cell>
          <cell r="AM302">
            <v>771.71699999999987</v>
          </cell>
          <cell r="AN302">
            <v>843.71699999999987</v>
          </cell>
          <cell r="AO302">
            <v>833.71699999999987</v>
          </cell>
          <cell r="AP302">
            <v>833.71699999999987</v>
          </cell>
          <cell r="AQ302">
            <v>752.71699999999987</v>
          </cell>
          <cell r="AR302">
            <v>963.71699999999987</v>
          </cell>
          <cell r="AS302">
            <v>564.71699999999987</v>
          </cell>
          <cell r="AT302">
            <v>570.71699999999987</v>
          </cell>
          <cell r="AU302">
            <v>570.71699999999987</v>
          </cell>
          <cell r="AV302">
            <v>635.71699999999987</v>
          </cell>
          <cell r="AW302">
            <v>0.21009477726574499</v>
          </cell>
          <cell r="AX302">
            <v>0.24027506505433949</v>
          </cell>
          <cell r="AY302">
            <v>0.22974015868172107</v>
          </cell>
          <cell r="AZ302">
            <v>0.22974015868172107</v>
          </cell>
          <cell r="BA302">
            <v>0.19510471364962381</v>
          </cell>
          <cell r="BB302">
            <v>0.19601168437025795</v>
          </cell>
          <cell r="BC302">
            <v>0.18626730129948624</v>
          </cell>
          <cell r="BD302">
            <v>0.17605293493098739</v>
          </cell>
          <cell r="BE302">
            <v>0.17605293493098736</v>
          </cell>
          <cell r="BF302">
            <v>0.19007993570071602</v>
          </cell>
          <cell r="BG302">
            <v>0.19842458019687315</v>
          </cell>
          <cell r="BH302">
            <v>0.18849905947040943</v>
          </cell>
          <cell r="BI302">
            <v>0.18819360769339552</v>
          </cell>
          <cell r="BJ302">
            <v>0.18819360769339552</v>
          </cell>
          <cell r="BK302">
            <v>0.18055676886462266</v>
          </cell>
          <cell r="BL302">
            <v>0.17761034772854734</v>
          </cell>
          <cell r="BM302">
            <v>0.15666111188909113</v>
          </cell>
          <cell r="BN302">
            <v>0.12980438472418665</v>
          </cell>
          <cell r="BO302">
            <v>0.12980438472418665</v>
          </cell>
          <cell r="BT302">
            <v>0.10853292517006796</v>
          </cell>
          <cell r="BY302">
            <v>0.10571718331419817</v>
          </cell>
          <cell r="CD302">
            <v>0.10796696176944358</v>
          </cell>
          <cell r="CI302">
            <v>0.11887827394738189</v>
          </cell>
          <cell r="CN302">
            <v>0.1264472435004991</v>
          </cell>
          <cell r="CS302">
            <v>0.13571081026105272</v>
          </cell>
        </row>
        <row r="303">
          <cell r="A303" t="str">
            <v>Total Liquidity ex-Restriced Cash</v>
          </cell>
          <cell r="AK303">
            <v>120</v>
          </cell>
          <cell r="AL303">
            <v>122</v>
          </cell>
          <cell r="AM303">
            <v>100</v>
          </cell>
          <cell r="AN303">
            <v>70</v>
          </cell>
          <cell r="AO303">
            <v>53</v>
          </cell>
          <cell r="AP303">
            <v>53</v>
          </cell>
          <cell r="AQ303">
            <v>54</v>
          </cell>
          <cell r="AR303">
            <v>129</v>
          </cell>
          <cell r="AS303">
            <v>211</v>
          </cell>
          <cell r="AT303">
            <v>264</v>
          </cell>
          <cell r="AU303">
            <v>264</v>
          </cell>
          <cell r="AV303">
            <v>210</v>
          </cell>
          <cell r="AW303">
            <v>974.71699999999987</v>
          </cell>
          <cell r="AX303">
            <v>1229.7169999999999</v>
          </cell>
          <cell r="AY303">
            <v>1201.7169999999999</v>
          </cell>
          <cell r="AZ303">
            <v>1201.7169999999999</v>
          </cell>
          <cell r="BA303">
            <v>1199.7169999999999</v>
          </cell>
          <cell r="BB303">
            <v>1221.7169999999999</v>
          </cell>
          <cell r="BC303">
            <v>1163.7169999999999</v>
          </cell>
          <cell r="BD303">
            <v>1092.7169999999999</v>
          </cell>
          <cell r="BE303">
            <v>1092.7169999999996</v>
          </cell>
          <cell r="BF303">
            <v>1234.7169999999996</v>
          </cell>
          <cell r="BG303">
            <v>1305.7169999999996</v>
          </cell>
          <cell r="BH303">
            <v>1238.7169999999996</v>
          </cell>
          <cell r="BI303">
            <v>1263.7169999999996</v>
          </cell>
          <cell r="BJ303">
            <v>1263.7169999999996</v>
          </cell>
          <cell r="BK303">
            <v>1224.7169999999996</v>
          </cell>
          <cell r="BL303">
            <v>1211.7169999999996</v>
          </cell>
          <cell r="BM303">
            <v>1063.7169999999996</v>
          </cell>
          <cell r="BN303">
            <v>866.71699999999953</v>
          </cell>
          <cell r="BO303">
            <v>866.71699999999953</v>
          </cell>
          <cell r="BT303">
            <v>740.71699999999953</v>
          </cell>
          <cell r="BY303">
            <v>767.71699999999953</v>
          </cell>
          <cell r="CD303">
            <v>870.78171394370247</v>
          </cell>
          <cell r="CI303">
            <v>1045.0780052029445</v>
          </cell>
          <cell r="CN303">
            <v>1195.3273150057885</v>
          </cell>
          <cell r="CS303">
            <v>1354.7457330769432</v>
          </cell>
        </row>
        <row r="304">
          <cell r="A304" t="str">
            <v>% of LTM Operating Revenue</v>
          </cell>
          <cell r="AW304">
            <v>0.29385498944829663</v>
          </cell>
          <cell r="AX304">
            <v>0.376060244648318</v>
          </cell>
          <cell r="AY304">
            <v>0.36515253722272861</v>
          </cell>
          <cell r="AZ304">
            <v>0.36515253722272861</v>
          </cell>
          <cell r="BA304">
            <v>0.35642216280451572</v>
          </cell>
          <cell r="BB304">
            <v>0.34946138443935926</v>
          </cell>
          <cell r="BC304">
            <v>0.31700272405339142</v>
          </cell>
          <cell r="BD304">
            <v>0.28915506747816877</v>
          </cell>
          <cell r="BE304">
            <v>0.28915506747816871</v>
          </cell>
          <cell r="BF304">
            <v>0.31489849528181579</v>
          </cell>
          <cell r="BG304">
            <v>0.31592475199612863</v>
          </cell>
          <cell r="BH304">
            <v>0.28820777105630518</v>
          </cell>
          <cell r="BI304">
            <v>0.28057659857904077</v>
          </cell>
          <cell r="BJ304">
            <v>0.28057659857904077</v>
          </cell>
          <cell r="BK304">
            <v>0.260855591054313</v>
          </cell>
          <cell r="BL304">
            <v>0.25134142294129841</v>
          </cell>
          <cell r="BM304">
            <v>0.21558917713822448</v>
          </cell>
          <cell r="BN304">
            <v>0.1739696908871938</v>
          </cell>
          <cell r="BO304">
            <v>0.1739696908871938</v>
          </cell>
          <cell r="BT304">
            <v>0.13613618820069831</v>
          </cell>
          <cell r="BY304">
            <v>0.13197816744026122</v>
          </cell>
          <cell r="CD304">
            <v>0.13590916250377202</v>
          </cell>
          <cell r="CI304">
            <v>0.15268764026920206</v>
          </cell>
          <cell r="CN304">
            <v>0.16163477368849935</v>
          </cell>
          <cell r="CS304">
            <v>0.16969392933571623</v>
          </cell>
        </row>
        <row r="305">
          <cell r="A305" t="str">
            <v>% of Total Assets</v>
          </cell>
          <cell r="AW305">
            <v>0.14972611367127495</v>
          </cell>
          <cell r="AX305">
            <v>0.18823159344864532</v>
          </cell>
          <cell r="AY305">
            <v>0.18335627097955445</v>
          </cell>
          <cell r="AZ305">
            <v>0.18335627097955445</v>
          </cell>
          <cell r="BA305">
            <v>0.18420343927529553</v>
          </cell>
          <cell r="BB305">
            <v>0.18538952959028829</v>
          </cell>
          <cell r="BC305">
            <v>0.17584119069205195</v>
          </cell>
          <cell r="BD305">
            <v>0.16573896556954343</v>
          </cell>
          <cell r="BE305">
            <v>0.1657389655695434</v>
          </cell>
          <cell r="BF305">
            <v>0.18043504310974715</v>
          </cell>
          <cell r="BG305">
            <v>0.18901519976838443</v>
          </cell>
          <cell r="BH305">
            <v>0.17923846042540872</v>
          </cell>
          <cell r="BI305">
            <v>0.17871828595672459</v>
          </cell>
          <cell r="BJ305">
            <v>0.17871828595672459</v>
          </cell>
          <cell r="BK305">
            <v>0.17145695086098273</v>
          </cell>
          <cell r="BL305">
            <v>0.16989862591138524</v>
          </cell>
          <cell r="BM305">
            <v>0.14895910936843573</v>
          </cell>
          <cell r="BN305">
            <v>0.12259080622347943</v>
          </cell>
          <cell r="BO305">
            <v>0.12259080622347943</v>
          </cell>
          <cell r="BT305">
            <v>0.10077782312925164</v>
          </cell>
          <cell r="BY305">
            <v>9.7935578517668015E-2</v>
          </cell>
          <cell r="CD305">
            <v>0.10022615262175784</v>
          </cell>
          <cell r="CI305">
            <v>0.1113146579415125</v>
          </cell>
          <cell r="CN305">
            <v>0.1188235527901715</v>
          </cell>
          <cell r="CS305">
            <v>0.12789169040036896</v>
          </cell>
        </row>
        <row r="306">
          <cell r="A306" t="str">
            <v>DEBT RATIOS</v>
          </cell>
          <cell r="AK306">
            <v>0.82465753424657595</v>
          </cell>
          <cell r="AL306">
            <v>0.83544303797468356</v>
          </cell>
          <cell r="AM306">
            <v>0.94047619047619047</v>
          </cell>
          <cell r="AN306">
            <v>1.1468926553672316</v>
          </cell>
          <cell r="AO306">
            <v>0.9285714285714286</v>
          </cell>
          <cell r="AP306">
            <v>0.9285714285714286</v>
          </cell>
          <cell r="AQ306">
            <v>1.1066666666666669</v>
          </cell>
          <cell r="AR306">
            <v>0.84597701149425308</v>
          </cell>
          <cell r="AS306">
            <v>0.51250000000000029</v>
          </cell>
          <cell r="AT306">
            <v>0.59347826086956545</v>
          </cell>
          <cell r="AU306">
            <v>0.59347826086956423</v>
          </cell>
          <cell r="AV306">
            <v>0.88577472236911692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>
            <v>0</v>
          </cell>
          <cell r="BO306">
            <v>0</v>
          </cell>
          <cell r="BT306">
            <v>2.8918918918918921</v>
          </cell>
          <cell r="BY306">
            <v>3.8432835820895521</v>
          </cell>
          <cell r="CD306">
            <v>10.155391039783018</v>
          </cell>
          <cell r="CI306">
            <v>15.163437389676879</v>
          </cell>
          <cell r="CN306">
            <v>22.20300561170718</v>
          </cell>
          <cell r="CS306">
            <v>0</v>
          </cell>
        </row>
        <row r="307">
          <cell r="A307" t="str">
            <v>LTM EBIT / LTM Net Interest Expense</v>
          </cell>
          <cell r="AK307">
            <v>0.82465753424657595</v>
          </cell>
          <cell r="AL307">
            <v>0.83544303797468356</v>
          </cell>
          <cell r="AM307">
            <v>0.94047619047619047</v>
          </cell>
          <cell r="AN307">
            <v>1.1468926553672316</v>
          </cell>
          <cell r="AO307">
            <v>0.9285714285714286</v>
          </cell>
          <cell r="AP307">
            <v>0.9285714285714286</v>
          </cell>
          <cell r="AQ307">
            <v>1.1066666666666669</v>
          </cell>
          <cell r="AR307">
            <v>0.84597701149425308</v>
          </cell>
          <cell r="AS307">
            <v>0.51250000000000029</v>
          </cell>
          <cell r="AT307">
            <v>0.59347826086956545</v>
          </cell>
          <cell r="AU307">
            <v>0.59347826086956423</v>
          </cell>
          <cell r="AV307">
            <v>0.88577472236911692</v>
          </cell>
          <cell r="AW307">
            <v>0.3</v>
          </cell>
          <cell r="AX307">
            <v>0.3</v>
          </cell>
          <cell r="AY307">
            <v>0.3</v>
          </cell>
          <cell r="AZ307">
            <v>0.3</v>
          </cell>
          <cell r="BA307">
            <v>0.3</v>
          </cell>
          <cell r="BB307">
            <v>0.3</v>
          </cell>
          <cell r="BC307">
            <v>0.3</v>
          </cell>
          <cell r="BD307">
            <v>0.3</v>
          </cell>
          <cell r="BE307">
            <v>0.3</v>
          </cell>
          <cell r="BF307">
            <v>0.3</v>
          </cell>
          <cell r="BG307">
            <v>0.3</v>
          </cell>
          <cell r="BH307">
            <v>0.3</v>
          </cell>
          <cell r="BI307">
            <v>0.3</v>
          </cell>
          <cell r="BJ307">
            <v>0.3</v>
          </cell>
          <cell r="BK307">
            <v>0.3</v>
          </cell>
          <cell r="BL307">
            <v>0.3</v>
          </cell>
          <cell r="BM307">
            <v>0.3</v>
          </cell>
          <cell r="BN307">
            <v>0.3</v>
          </cell>
          <cell r="BO307">
            <v>0.3</v>
          </cell>
          <cell r="BT307">
            <v>2.8918918918918921</v>
          </cell>
          <cell r="BY307">
            <v>3.8432835820895521</v>
          </cell>
          <cell r="CD307">
            <v>10.327553821034181</v>
          </cell>
          <cell r="CI307">
            <v>17.258400048624946</v>
          </cell>
          <cell r="CN307">
            <v>25.510978000916111</v>
          </cell>
          <cell r="CS307">
            <v>58.88769095639357</v>
          </cell>
        </row>
        <row r="308">
          <cell r="A308" t="str">
            <v>LTM EBITDA / LTM Net Interest Expense</v>
          </cell>
          <cell r="AK308" t="e">
            <v>#REF!</v>
          </cell>
          <cell r="AL308" t="e">
            <v>#REF!</v>
          </cell>
          <cell r="AM308" t="e">
            <v>#REF!</v>
          </cell>
          <cell r="AN308" t="e">
            <v>#REF!</v>
          </cell>
          <cell r="AO308" t="e">
            <v>#REF!</v>
          </cell>
          <cell r="AP308" t="e">
            <v>#REF!</v>
          </cell>
          <cell r="AQ308" t="e">
            <v>#REF!</v>
          </cell>
          <cell r="AR308" t="e">
            <v>#REF!</v>
          </cell>
          <cell r="AS308" t="e">
            <v>#REF!</v>
          </cell>
          <cell r="AT308" t="e">
            <v>#REF!</v>
          </cell>
          <cell r="AU308" t="e">
            <v>#REF!</v>
          </cell>
          <cell r="AV308" t="e">
            <v>#REF!</v>
          </cell>
          <cell r="AW308" t="e">
            <v>#REF!</v>
          </cell>
          <cell r="AX308" t="e">
            <v>#REF!</v>
          </cell>
          <cell r="AY308" t="e">
            <v>#REF!</v>
          </cell>
          <cell r="AZ308" t="e">
            <v>#REF!</v>
          </cell>
          <cell r="BA308" t="e">
            <v>#REF!</v>
          </cell>
          <cell r="BB308" t="e">
            <v>#REF!</v>
          </cell>
          <cell r="BC308" t="e">
            <v>#REF!</v>
          </cell>
          <cell r="BD308" t="e">
            <v>#REF!</v>
          </cell>
          <cell r="BE308" t="e">
            <v>#REF!</v>
          </cell>
          <cell r="BF308" t="e">
            <v>#REF!</v>
          </cell>
          <cell r="BG308" t="e">
            <v>#REF!</v>
          </cell>
          <cell r="BH308" t="e">
            <v>#REF!</v>
          </cell>
          <cell r="BI308" t="e">
            <v>#REF!</v>
          </cell>
          <cell r="BJ308" t="e">
            <v>#REF!</v>
          </cell>
          <cell r="BK308" t="e">
            <v>#REF!</v>
          </cell>
          <cell r="BL308" t="e">
            <v>#REF!</v>
          </cell>
          <cell r="BM308" t="e">
            <v>#REF!</v>
          </cell>
          <cell r="BN308" t="e">
            <v>#REF!</v>
          </cell>
          <cell r="BO308" t="e">
            <v>#REF!</v>
          </cell>
          <cell r="BT308" t="e">
            <v>#REF!</v>
          </cell>
          <cell r="BY308" t="e">
            <v>#REF!</v>
          </cell>
          <cell r="CD308" t="e">
            <v>#REF!</v>
          </cell>
          <cell r="CI308" t="e">
            <v>#REF!</v>
          </cell>
          <cell r="CN308" t="e">
            <v>#REF!</v>
          </cell>
          <cell r="CS308" t="e">
            <v>#REF!</v>
          </cell>
        </row>
        <row r="309">
          <cell r="A309" t="str">
            <v>LTM EBITDAR / LTM Net Interest Expense</v>
          </cell>
          <cell r="AK309">
            <v>2.5643835616438362</v>
          </cell>
          <cell r="AL309">
            <v>2.5443037974683542</v>
          </cell>
          <cell r="AM309">
            <v>2.6130952380952381</v>
          </cell>
          <cell r="AN309">
            <v>2.7909604519774009</v>
          </cell>
          <cell r="AO309">
            <v>2.5769230769230771</v>
          </cell>
          <cell r="AP309">
            <v>2.5769230769230771</v>
          </cell>
          <cell r="AQ309">
            <v>2.8011111111111116</v>
          </cell>
          <cell r="AR309">
            <v>2.6275862068965519</v>
          </cell>
          <cell r="AS309">
            <v>2.3363636363636364</v>
          </cell>
          <cell r="AT309">
            <v>2.4086956521739133</v>
          </cell>
          <cell r="AU309">
            <v>2.408695652173912</v>
          </cell>
          <cell r="AV309">
            <v>2.7049180327868854</v>
          </cell>
          <cell r="AW309">
            <v>1367.7169999999999</v>
          </cell>
          <cell r="AX309">
            <v>1569.7169999999999</v>
          </cell>
          <cell r="AY309">
            <v>1505.7169999999999</v>
          </cell>
          <cell r="AZ309">
            <v>1505.7169999999999</v>
          </cell>
          <cell r="BA309">
            <v>1270.7169999999999</v>
          </cell>
          <cell r="BB309">
            <v>1291.7169999999999</v>
          </cell>
          <cell r="BC309">
            <v>1232.7169999999999</v>
          </cell>
          <cell r="BD309">
            <v>1160.7169999999999</v>
          </cell>
          <cell r="BE309">
            <v>1160.7169999999996</v>
          </cell>
          <cell r="BF309">
            <v>1300.7169999999996</v>
          </cell>
          <cell r="BG309">
            <v>1370.7169999999996</v>
          </cell>
          <cell r="BH309">
            <v>1302.7169999999996</v>
          </cell>
          <cell r="BI309">
            <v>1330.7169999999996</v>
          </cell>
          <cell r="BJ309">
            <v>1330.7169999999996</v>
          </cell>
          <cell r="BK309">
            <v>1289.7169999999996</v>
          </cell>
          <cell r="BL309">
            <v>1266.7169999999996</v>
          </cell>
          <cell r="BM309">
            <v>1118.7169999999996</v>
          </cell>
          <cell r="BN309">
            <v>917.71699999999953</v>
          </cell>
          <cell r="BO309">
            <v>917.71699999999953</v>
          </cell>
          <cell r="BT309">
            <v>5.7162162162162158</v>
          </cell>
          <cell r="BY309">
            <v>7.1567164179104479</v>
          </cell>
          <cell r="CD309">
            <v>14.16761725387</v>
          </cell>
          <cell r="CI309">
            <v>22.581837787822131</v>
          </cell>
          <cell r="CN309">
            <v>34.352520868765446</v>
          </cell>
          <cell r="CS309">
            <v>81.405565959552291</v>
          </cell>
        </row>
        <row r="310">
          <cell r="A310" t="str">
            <v>LTM EBIT / LTM Interest Expense</v>
          </cell>
          <cell r="AK310">
            <v>0.69595375722543407</v>
          </cell>
          <cell r="AL310">
            <v>0.7021276595744681</v>
          </cell>
          <cell r="AM310">
            <v>0.78217821782178221</v>
          </cell>
          <cell r="AN310">
            <v>0.94418604651162785</v>
          </cell>
          <cell r="AO310">
            <v>0.75111111111111106</v>
          </cell>
          <cell r="AP310">
            <v>0.75111111111111106</v>
          </cell>
          <cell r="AQ310">
            <v>0.86986899563318798</v>
          </cell>
          <cell r="AR310">
            <v>0.6513274336283188</v>
          </cell>
          <cell r="AS310">
            <v>0.38879310344827606</v>
          </cell>
          <cell r="AT310">
            <v>0.47068965517241401</v>
          </cell>
          <cell r="AU310">
            <v>0.47068965517241301</v>
          </cell>
          <cell r="AV310">
            <v>0.74411372723234115</v>
          </cell>
          <cell r="AW310">
            <v>0.41233554416641538</v>
          </cell>
          <cell r="AX310">
            <v>0.48003577981651374</v>
          </cell>
          <cell r="AY310">
            <v>0.45752567608629591</v>
          </cell>
          <cell r="AZ310">
            <v>0.45752567608629591</v>
          </cell>
          <cell r="BA310">
            <v>0.37751544860368386</v>
          </cell>
          <cell r="BB310">
            <v>0.36948426773455373</v>
          </cell>
          <cell r="BC310">
            <v>0.33579869245437205</v>
          </cell>
          <cell r="BD310">
            <v>0.30714924583223069</v>
          </cell>
          <cell r="BE310">
            <v>0.30714924583223063</v>
          </cell>
          <cell r="BF310">
            <v>0.33173093598571785</v>
          </cell>
          <cell r="BG310">
            <v>0.33165182676022253</v>
          </cell>
          <cell r="BH310">
            <v>0.30309841786877612</v>
          </cell>
          <cell r="BI310">
            <v>0.29545226465364111</v>
          </cell>
          <cell r="BJ310">
            <v>0.29545226465364111</v>
          </cell>
          <cell r="BK310">
            <v>0.27470010649627258</v>
          </cell>
          <cell r="BL310">
            <v>0.262749844430616</v>
          </cell>
          <cell r="BM310">
            <v>0.22673631941629502</v>
          </cell>
          <cell r="BN310">
            <v>0.18420654355680441</v>
          </cell>
          <cell r="BO310">
            <v>0.18420654355680441</v>
          </cell>
          <cell r="BT310">
            <v>2.658385093167702</v>
          </cell>
          <cell r="BY310">
            <v>3.4797297297297298</v>
          </cell>
          <cell r="CD310">
            <v>9.5156813679856622</v>
          </cell>
          <cell r="CI310">
            <v>13.974148182643399</v>
          </cell>
          <cell r="CN310">
            <v>19.665519256083503</v>
          </cell>
          <cell r="CS310">
            <v>0.13700336096667262</v>
          </cell>
        </row>
        <row r="311">
          <cell r="A311" t="str">
            <v>LTM EBIT / LTM Interest Expense</v>
          </cell>
          <cell r="AK311">
            <v>0.69595375722543407</v>
          </cell>
          <cell r="AL311">
            <v>0.7021276595744681</v>
          </cell>
          <cell r="AM311">
            <v>0.78217821782178221</v>
          </cell>
          <cell r="AN311">
            <v>0.94418604651162785</v>
          </cell>
          <cell r="AO311">
            <v>0.75111111111111106</v>
          </cell>
          <cell r="AP311">
            <v>0.75111111111111106</v>
          </cell>
          <cell r="AQ311">
            <v>0.86986899563318798</v>
          </cell>
          <cell r="AR311">
            <v>0.6513274336283188</v>
          </cell>
          <cell r="AS311">
            <v>0.38879310344827606</v>
          </cell>
          <cell r="AT311">
            <v>0.47068965517241401</v>
          </cell>
          <cell r="AU311">
            <v>0.47068965517241301</v>
          </cell>
          <cell r="AV311">
            <v>0.74411372723234115</v>
          </cell>
          <cell r="AW311">
            <v>0.21009477726574499</v>
          </cell>
          <cell r="AX311">
            <v>0.24027506505433949</v>
          </cell>
          <cell r="AY311">
            <v>0.22974015868172107</v>
          </cell>
          <cell r="AZ311">
            <v>0.22974015868172107</v>
          </cell>
          <cell r="BA311">
            <v>0.19510471364962381</v>
          </cell>
          <cell r="BB311">
            <v>0.19601168437025795</v>
          </cell>
          <cell r="BC311">
            <v>0.18626730129948624</v>
          </cell>
          <cell r="BD311">
            <v>0.17605293493098739</v>
          </cell>
          <cell r="BE311">
            <v>0.17605293493098736</v>
          </cell>
          <cell r="BF311">
            <v>0.19007993570071602</v>
          </cell>
          <cell r="BG311">
            <v>0.19842458019687315</v>
          </cell>
          <cell r="BH311">
            <v>0.18849905947040943</v>
          </cell>
          <cell r="BI311">
            <v>0.18819360769339552</v>
          </cell>
          <cell r="BJ311">
            <v>0.18819360769339552</v>
          </cell>
          <cell r="BK311">
            <v>0.18055676886462266</v>
          </cell>
          <cell r="BL311">
            <v>0.17761034772854734</v>
          </cell>
          <cell r="BM311">
            <v>0.15666111188909113</v>
          </cell>
          <cell r="BN311">
            <v>0.12980438472418665</v>
          </cell>
          <cell r="BO311">
            <v>0.12980438472418665</v>
          </cell>
          <cell r="BT311">
            <v>2.658385093167702</v>
          </cell>
          <cell r="BY311">
            <v>3.4797297297297298</v>
          </cell>
          <cell r="CD311">
            <v>9.6820817072195453</v>
          </cell>
          <cell r="CI311">
            <v>15.904800044811223</v>
          </cell>
          <cell r="CN311">
            <v>22.50788064015137</v>
          </cell>
          <cell r="CS311">
            <v>44.544455928037081</v>
          </cell>
        </row>
        <row r="312">
          <cell r="A312" t="str">
            <v>LTM EBITDA / LTM Interest Expense</v>
          </cell>
          <cell r="AK312" t="e">
            <v>#REF!</v>
          </cell>
          <cell r="AL312" t="e">
            <v>#REF!</v>
          </cell>
          <cell r="AM312" t="e">
            <v>#REF!</v>
          </cell>
          <cell r="AN312" t="e">
            <v>#REF!</v>
          </cell>
          <cell r="AO312" t="e">
            <v>#REF!</v>
          </cell>
          <cell r="AP312" t="e">
            <v>#REF!</v>
          </cell>
          <cell r="AQ312" t="e">
            <v>#REF!</v>
          </cell>
          <cell r="AR312" t="e">
            <v>#REF!</v>
          </cell>
          <cell r="AS312" t="e">
            <v>#REF!</v>
          </cell>
          <cell r="AT312" t="e">
            <v>#REF!</v>
          </cell>
          <cell r="AU312" t="e">
            <v>#REF!</v>
          </cell>
          <cell r="AV312" t="e">
            <v>#REF!</v>
          </cell>
          <cell r="AW312">
            <v>974.71699999999987</v>
          </cell>
          <cell r="AX312">
            <v>1229.7169999999999</v>
          </cell>
          <cell r="AY312">
            <v>1201.7169999999999</v>
          </cell>
          <cell r="AZ312">
            <v>1201.7169999999999</v>
          </cell>
          <cell r="BA312">
            <v>1199.7169999999999</v>
          </cell>
          <cell r="BB312">
            <v>1221.7169999999999</v>
          </cell>
          <cell r="BC312">
            <v>1163.7169999999999</v>
          </cell>
          <cell r="BD312">
            <v>1092.7169999999999</v>
          </cell>
          <cell r="BE312">
            <v>1092.7169999999996</v>
          </cell>
          <cell r="BF312">
            <v>1234.7169999999996</v>
          </cell>
          <cell r="BG312">
            <v>1305.7169999999996</v>
          </cell>
          <cell r="BH312">
            <v>1238.7169999999996</v>
          </cell>
          <cell r="BI312">
            <v>1263.7169999999996</v>
          </cell>
          <cell r="BJ312">
            <v>1263.7169999999996</v>
          </cell>
          <cell r="BK312">
            <v>1224.7169999999996</v>
          </cell>
          <cell r="BL312">
            <v>1211.7169999999996</v>
          </cell>
          <cell r="BM312">
            <v>1063.7169999999996</v>
          </cell>
          <cell r="BN312">
            <v>866.71699999999953</v>
          </cell>
          <cell r="BO312">
            <v>866.71699999999953</v>
          </cell>
          <cell r="BT312" t="e">
            <v>#REF!</v>
          </cell>
          <cell r="BY312" t="e">
            <v>#REF!</v>
          </cell>
          <cell r="CD312" t="e">
            <v>#REF!</v>
          </cell>
          <cell r="CI312" t="e">
            <v>#REF!</v>
          </cell>
          <cell r="CN312" t="e">
            <v>#REF!</v>
          </cell>
          <cell r="CS312" t="e">
            <v>#REF!</v>
          </cell>
        </row>
        <row r="313">
          <cell r="A313" t="str">
            <v>LTM EBITDAR / LTM Interest Expense</v>
          </cell>
          <cell r="AK313">
            <v>2.1641618497109834</v>
          </cell>
          <cell r="AL313">
            <v>2.1382978723404253</v>
          </cell>
          <cell r="AM313">
            <v>2.1732673267326734</v>
          </cell>
          <cell r="AN313">
            <v>2.2976744186046512</v>
          </cell>
          <cell r="AO313">
            <v>2.0844444444444443</v>
          </cell>
          <cell r="AP313">
            <v>2.0844444444444443</v>
          </cell>
          <cell r="AQ313">
            <v>2.20174672489083</v>
          </cell>
          <cell r="AR313">
            <v>2.0230088495575225</v>
          </cell>
          <cell r="AS313">
            <v>1.7724137931034485</v>
          </cell>
          <cell r="AT313">
            <v>1.9103448275862072</v>
          </cell>
          <cell r="AU313">
            <v>1.9103448275862061</v>
          </cell>
          <cell r="AV313">
            <v>2.2723234118169704</v>
          </cell>
          <cell r="AW313">
            <v>0.29385498944829663</v>
          </cell>
          <cell r="AX313">
            <v>0.376060244648318</v>
          </cell>
          <cell r="AY313">
            <v>0.36515253722272861</v>
          </cell>
          <cell r="AZ313">
            <v>0.36515253722272861</v>
          </cell>
          <cell r="BA313">
            <v>0.35642216280451572</v>
          </cell>
          <cell r="BB313">
            <v>0.34946138443935926</v>
          </cell>
          <cell r="BC313">
            <v>0.31700272405339142</v>
          </cell>
          <cell r="BD313">
            <v>0.28915506747816877</v>
          </cell>
          <cell r="BE313">
            <v>0.28915506747816871</v>
          </cell>
          <cell r="BF313">
            <v>0.31489849528181579</v>
          </cell>
          <cell r="BG313">
            <v>0.31592475199612863</v>
          </cell>
          <cell r="BH313">
            <v>0.28820777105630518</v>
          </cell>
          <cell r="BI313">
            <v>0.28057659857904077</v>
          </cell>
          <cell r="BJ313">
            <v>0.28057659857904077</v>
          </cell>
          <cell r="BK313">
            <v>0.260855591054313</v>
          </cell>
          <cell r="BL313">
            <v>0.25134142294129841</v>
          </cell>
          <cell r="BM313">
            <v>0.21558917713822448</v>
          </cell>
          <cell r="BN313">
            <v>0.1739696908871938</v>
          </cell>
          <cell r="BO313">
            <v>0.1739696908871938</v>
          </cell>
          <cell r="BT313">
            <v>5.2546583850931681</v>
          </cell>
          <cell r="BY313">
            <v>6.4797297297297298</v>
          </cell>
          <cell r="CD313">
            <v>13.282141175503126</v>
          </cell>
          <cell r="CI313">
            <v>20.810713255443925</v>
          </cell>
          <cell r="CN313">
            <v>30.308616132816063</v>
          </cell>
          <cell r="CS313">
            <v>61.57766735780784</v>
          </cell>
        </row>
        <row r="314">
          <cell r="A314" t="str">
            <v>LTM EBIT / LTM (Interest  + Aircraft Rent) Expense</v>
          </cell>
          <cell r="AK314">
            <v>0.43623188405797136</v>
          </cell>
          <cell r="AL314">
            <v>0.4414715719063545</v>
          </cell>
          <cell r="AM314">
            <v>0.49685534591194969</v>
          </cell>
          <cell r="AN314">
            <v>0.60416666666666663</v>
          </cell>
          <cell r="AO314">
            <v>0.48424068767908307</v>
          </cell>
          <cell r="AP314">
            <v>0.48424068767908307</v>
          </cell>
          <cell r="AQ314">
            <v>0.5611267605633804</v>
          </cell>
          <cell r="AR314">
            <v>0.41581920903954817</v>
          </cell>
          <cell r="AS314">
            <v>0.24986149584487546</v>
          </cell>
          <cell r="AT314">
            <v>0.30249307479224391</v>
          </cell>
          <cell r="AU314">
            <v>0.30249307479224324</v>
          </cell>
          <cell r="AV314">
            <v>0.47303021745269697</v>
          </cell>
          <cell r="AW314">
            <v>0.14972611367127495</v>
          </cell>
          <cell r="AX314">
            <v>0.18823159344864532</v>
          </cell>
          <cell r="AY314">
            <v>0.18335627097955445</v>
          </cell>
          <cell r="AZ314">
            <v>0.18335627097955445</v>
          </cell>
          <cell r="BA314">
            <v>0.18420343927529553</v>
          </cell>
          <cell r="BB314">
            <v>0.18538952959028829</v>
          </cell>
          <cell r="BC314">
            <v>0.17584119069205195</v>
          </cell>
          <cell r="BD314">
            <v>0.16573896556954343</v>
          </cell>
          <cell r="BE314">
            <v>0.1657389655695434</v>
          </cell>
          <cell r="BF314">
            <v>0.18043504310974715</v>
          </cell>
          <cell r="BG314">
            <v>0.18901519976838443</v>
          </cell>
          <cell r="BH314">
            <v>0.17923846042540872</v>
          </cell>
          <cell r="BI314">
            <v>0.17871828595672459</v>
          </cell>
          <cell r="BJ314">
            <v>0.17871828595672459</v>
          </cell>
          <cell r="BK314">
            <v>0.17145695086098273</v>
          </cell>
          <cell r="BL314">
            <v>0.16989862591138524</v>
          </cell>
          <cell r="BM314">
            <v>0.14895910936843573</v>
          </cell>
          <cell r="BN314">
            <v>0.12259080622347943</v>
          </cell>
          <cell r="BO314">
            <v>0.12259080622347943</v>
          </cell>
          <cell r="BT314">
            <v>1.4809688581314879</v>
          </cell>
          <cell r="BY314">
            <v>1.8933823529411764</v>
          </cell>
          <cell r="CD314">
            <v>4.8188230434582584</v>
          </cell>
          <cell r="CI314">
            <v>6.312904704448326</v>
          </cell>
          <cell r="CN314">
            <v>7.0871934637612188</v>
          </cell>
          <cell r="CS314">
            <v>9.8285502255253593E-2</v>
          </cell>
        </row>
        <row r="315">
          <cell r="A315" t="str">
            <v>LTM EBIT / LTM (Interest  + Aircraft Rent) Expense</v>
          </cell>
          <cell r="AK315">
            <v>0.43623188405797136</v>
          </cell>
          <cell r="AL315">
            <v>0.4414715719063545</v>
          </cell>
          <cell r="AM315">
            <v>0.49685534591194969</v>
          </cell>
          <cell r="AN315">
            <v>0.60416666666666663</v>
          </cell>
          <cell r="AO315">
            <v>0.48424068767908307</v>
          </cell>
          <cell r="AP315">
            <v>0.48424068767908307</v>
          </cell>
          <cell r="AQ315">
            <v>0.5611267605633804</v>
          </cell>
          <cell r="AR315">
            <v>0.41581920903954817</v>
          </cell>
          <cell r="AS315">
            <v>0.24986149584487546</v>
          </cell>
          <cell r="AT315">
            <v>0.30249307479224391</v>
          </cell>
          <cell r="AU315">
            <v>0.30249307479224324</v>
          </cell>
          <cell r="AV315">
            <v>0.47303021745269697</v>
          </cell>
          <cell r="AW315">
            <v>0.64142857142857146</v>
          </cell>
          <cell r="AX315">
            <v>0.80688622754491013</v>
          </cell>
          <cell r="AY315">
            <v>0.88080495356037147</v>
          </cell>
          <cell r="AZ315">
            <v>0.88080495356037147</v>
          </cell>
          <cell r="BA315">
            <v>0.7846201938105658</v>
          </cell>
          <cell r="BB315">
            <v>0.85303514376996803</v>
          </cell>
          <cell r="BC315">
            <v>1.1032467532467531</v>
          </cell>
          <cell r="BD315">
            <v>1.0843648208469054</v>
          </cell>
          <cell r="BE315">
            <v>1.0843648208469043</v>
          </cell>
          <cell r="BF315">
            <v>1.0941368078175895</v>
          </cell>
          <cell r="BG315">
            <v>1.0476038338658147</v>
          </cell>
          <cell r="BH315">
            <v>0.94299363057324848</v>
          </cell>
          <cell r="BI315">
            <v>1.0254777070063694</v>
          </cell>
          <cell r="BJ315">
            <v>1.0254777070063694</v>
          </cell>
          <cell r="BK315">
            <v>1.1656050955414012</v>
          </cell>
          <cell r="BL315">
            <v>1.3183279742765273</v>
          </cell>
          <cell r="BM315">
            <v>1.3387096774193548</v>
          </cell>
          <cell r="BN315">
            <v>1.2287581699346406</v>
          </cell>
          <cell r="BO315">
            <v>1.2287581699346406</v>
          </cell>
          <cell r="BT315">
            <v>1.4809688581314879</v>
          </cell>
          <cell r="BY315">
            <v>1.8933823529411764</v>
          </cell>
          <cell r="CD315">
            <v>5.0187026949289759</v>
          </cell>
          <cell r="CI315">
            <v>7.801995618275372</v>
          </cell>
          <cell r="CN315">
            <v>8.8899084769500067</v>
          </cell>
          <cell r="CS315">
            <v>10.892479241746507</v>
          </cell>
        </row>
        <row r="316">
          <cell r="A316" t="str">
            <v>LTM EBITDA / LTM (Interest  + Aircraft Rent) Expense</v>
          </cell>
          <cell r="AK316" t="e">
            <v>#REF!</v>
          </cell>
          <cell r="AL316" t="e">
            <v>#REF!</v>
          </cell>
          <cell r="AM316" t="e">
            <v>#REF!</v>
          </cell>
          <cell r="AN316" t="e">
            <v>#REF!</v>
          </cell>
          <cell r="AO316" t="e">
            <v>#REF!</v>
          </cell>
          <cell r="AP316" t="e">
            <v>#REF!</v>
          </cell>
          <cell r="AQ316" t="e">
            <v>#REF!</v>
          </cell>
          <cell r="AR316" t="e">
            <v>#REF!</v>
          </cell>
          <cell r="AS316" t="e">
            <v>#REF!</v>
          </cell>
          <cell r="AT316" t="e">
            <v>#REF!</v>
          </cell>
          <cell r="AU316" t="e">
            <v>#REF!</v>
          </cell>
          <cell r="AV316" t="e">
            <v>#REF!</v>
          </cell>
          <cell r="AW316" t="e">
            <v>#REF!</v>
          </cell>
          <cell r="AX316" t="e">
            <v>#REF!</v>
          </cell>
          <cell r="AY316" t="e">
            <v>#REF!</v>
          </cell>
          <cell r="AZ316" t="e">
            <v>#REF!</v>
          </cell>
          <cell r="BA316" t="e">
            <v>#REF!</v>
          </cell>
          <cell r="BB316" t="e">
            <v>#REF!</v>
          </cell>
          <cell r="BC316" t="e">
            <v>#REF!</v>
          </cell>
          <cell r="BD316" t="e">
            <v>#REF!</v>
          </cell>
          <cell r="BE316" t="e">
            <v>#REF!</v>
          </cell>
          <cell r="BF316" t="e">
            <v>#REF!</v>
          </cell>
          <cell r="BG316" t="e">
            <v>#REF!</v>
          </cell>
          <cell r="BH316" t="e">
            <v>#REF!</v>
          </cell>
          <cell r="BI316" t="e">
            <v>#REF!</v>
          </cell>
          <cell r="BJ316" t="e">
            <v>#REF!</v>
          </cell>
          <cell r="BK316" t="e">
            <v>#REF!</v>
          </cell>
          <cell r="BL316" t="e">
            <v>#REF!</v>
          </cell>
          <cell r="BM316" t="e">
            <v>#REF!</v>
          </cell>
          <cell r="BN316" t="e">
            <v>#REF!</v>
          </cell>
          <cell r="BO316" t="e">
            <v>#REF!</v>
          </cell>
          <cell r="BT316" t="e">
            <v>#REF!</v>
          </cell>
          <cell r="BY316" t="e">
            <v>#REF!</v>
          </cell>
          <cell r="CD316" t="e">
            <v>#REF!</v>
          </cell>
          <cell r="CI316" t="e">
            <v>#REF!</v>
          </cell>
          <cell r="CN316" t="e">
            <v>#REF!</v>
          </cell>
          <cell r="CS316" t="e">
            <v>#REF!</v>
          </cell>
        </row>
        <row r="317">
          <cell r="A317" t="str">
            <v>LTM EBITDAR / LTM (Interest  + Aircraft Rent) Expense</v>
          </cell>
          <cell r="AK317">
            <v>1.3565217391304352</v>
          </cell>
          <cell r="AL317">
            <v>1.3444816053511706</v>
          </cell>
          <cell r="AM317">
            <v>1.3805031446540881</v>
          </cell>
          <cell r="AN317">
            <v>1.4702380952380953</v>
          </cell>
          <cell r="AO317">
            <v>1.3438395415472779</v>
          </cell>
          <cell r="AP317">
            <v>1.3438395415472779</v>
          </cell>
          <cell r="AQ317">
            <v>1.4202816901408453</v>
          </cell>
          <cell r="AR317">
            <v>1.2915254237288136</v>
          </cell>
          <cell r="AS317">
            <v>1.1390581717451524</v>
          </cell>
          <cell r="AT317">
            <v>1.2277008310249309</v>
          </cell>
          <cell r="AU317">
            <v>1.2277008310249302</v>
          </cell>
          <cell r="AV317">
            <v>1.4445072013555491</v>
          </cell>
          <cell r="AW317">
            <v>1.6528571428571428</v>
          </cell>
          <cell r="AX317">
            <v>1.875748502994012</v>
          </cell>
          <cell r="AY317">
            <v>1.9767801857585139</v>
          </cell>
          <cell r="AZ317">
            <v>1.9767801857585139</v>
          </cell>
          <cell r="BA317">
            <v>1.8943419818693343</v>
          </cell>
          <cell r="BB317">
            <v>1.9776357827476039</v>
          </cell>
          <cell r="BC317">
            <v>2.2298701298701298</v>
          </cell>
          <cell r="BD317">
            <v>2.211400651465798</v>
          </cell>
          <cell r="BE317">
            <v>2.2114006514657967</v>
          </cell>
          <cell r="BF317">
            <v>2.2276872964169381</v>
          </cell>
          <cell r="BG317">
            <v>2.1881789137380192</v>
          </cell>
          <cell r="BH317">
            <v>2.0926751592356689</v>
          </cell>
          <cell r="BI317">
            <v>2.1974522292993632</v>
          </cell>
          <cell r="BJ317">
            <v>2.1974522292993632</v>
          </cell>
          <cell r="BK317">
            <v>2.3503184713375798</v>
          </cell>
          <cell r="BL317">
            <v>2.5209003215434085</v>
          </cell>
          <cell r="BM317">
            <v>2.5741935483870968</v>
          </cell>
          <cell r="BN317">
            <v>2.4967320261437909</v>
          </cell>
          <cell r="BO317">
            <v>2.4967320261437909</v>
          </cell>
          <cell r="BT317">
            <v>2.9273356401384083</v>
          </cell>
          <cell r="BY317">
            <v>3.5257352941176472</v>
          </cell>
          <cell r="CD317">
            <v>6.8847918998885946</v>
          </cell>
          <cell r="CI317">
            <v>10.208559250962017</v>
          </cell>
          <cell r="CN317">
            <v>11.970954875382402</v>
          </cell>
          <cell r="CS317">
            <v>15.057619393391708</v>
          </cell>
        </row>
        <row r="318">
          <cell r="A318" t="str">
            <v>Gross Debt / LTM EBIT</v>
          </cell>
          <cell r="AK318">
            <v>23.588039867109618</v>
          </cell>
          <cell r="AL318">
            <v>22.257575757575758</v>
          </cell>
          <cell r="AM318">
            <v>19.018987341772153</v>
          </cell>
          <cell r="AN318">
            <v>14.862068965517242</v>
          </cell>
          <cell r="AO318">
            <v>18.035502958579883</v>
          </cell>
          <cell r="AP318">
            <v>18.035502958579883</v>
          </cell>
          <cell r="AQ318">
            <v>15.547188755020077</v>
          </cell>
          <cell r="AR318">
            <v>22.656249999999993</v>
          </cell>
          <cell r="AS318">
            <v>34.75609756097559</v>
          </cell>
          <cell r="AT318">
            <v>28.89194139194138</v>
          </cell>
          <cell r="AU318">
            <v>28.89194139194144</v>
          </cell>
          <cell r="AV318">
            <v>19.247761194029852</v>
          </cell>
          <cell r="AW318">
            <v>15.180400890868597</v>
          </cell>
          <cell r="AX318">
            <v>12.47495361781076</v>
          </cell>
          <cell r="AY318">
            <v>11.61335676625659</v>
          </cell>
          <cell r="AZ318">
            <v>11.61335676625659</v>
          </cell>
          <cell r="BA318">
            <v>12.426294820717132</v>
          </cell>
          <cell r="BB318">
            <v>11.670411985018726</v>
          </cell>
          <cell r="BC318">
            <v>9.0170688640376699</v>
          </cell>
          <cell r="BD318">
            <v>9.1108440973265257</v>
          </cell>
          <cell r="BE318">
            <v>9.1108440973265346</v>
          </cell>
          <cell r="BF318">
            <v>9.1634415004465612</v>
          </cell>
          <cell r="BG318">
            <v>9.4022567856053687</v>
          </cell>
          <cell r="BH318">
            <v>10.324214792299898</v>
          </cell>
          <cell r="BI318">
            <v>9.7391304347826093</v>
          </cell>
          <cell r="BJ318">
            <v>9.7391304347826093</v>
          </cell>
          <cell r="BK318">
            <v>8.2049180327868854</v>
          </cell>
          <cell r="BL318">
            <v>7.0512195121951216</v>
          </cell>
          <cell r="BM318">
            <v>6.9180722891566262</v>
          </cell>
          <cell r="BN318">
            <v>7.582446808510638</v>
          </cell>
          <cell r="BO318">
            <v>7.582446808510638</v>
          </cell>
          <cell r="BT318">
            <v>6.0397196261682247</v>
          </cell>
          <cell r="BY318">
            <v>4.3359223300970875</v>
          </cell>
          <cell r="CD318">
            <v>1.6350962707154908</v>
          </cell>
          <cell r="CI318">
            <v>0.99343106712000229</v>
          </cell>
          <cell r="CN318">
            <v>0.66541412486050877</v>
          </cell>
          <cell r="CS318">
            <v>26.644909120205078</v>
          </cell>
        </row>
        <row r="319">
          <cell r="A319" t="str">
            <v>Gross Debt / LTM EBIT</v>
          </cell>
          <cell r="AK319">
            <v>23.588039867109618</v>
          </cell>
          <cell r="AL319">
            <v>22.257575757575758</v>
          </cell>
          <cell r="AM319">
            <v>19.018987341772153</v>
          </cell>
          <cell r="AN319">
            <v>14.862068965517242</v>
          </cell>
          <cell r="AO319">
            <v>18.035502958579883</v>
          </cell>
          <cell r="AP319">
            <v>18.035502958579883</v>
          </cell>
          <cell r="AQ319">
            <v>15.547188755020077</v>
          </cell>
          <cell r="AR319">
            <v>22.656249999999993</v>
          </cell>
          <cell r="AS319">
            <v>34.75609756097559</v>
          </cell>
          <cell r="AT319">
            <v>28.89194139194138</v>
          </cell>
          <cell r="AU319">
            <v>28.89194139194144</v>
          </cell>
          <cell r="AV319">
            <v>19.247761194029852</v>
          </cell>
          <cell r="AW319">
            <v>15.180400890868597</v>
          </cell>
          <cell r="AX319">
            <v>12.47495361781076</v>
          </cell>
          <cell r="AY319">
            <v>11.61335676625659</v>
          </cell>
          <cell r="AZ319">
            <v>11.61335676625659</v>
          </cell>
          <cell r="BA319">
            <v>12.426294820717132</v>
          </cell>
          <cell r="BB319">
            <v>11.670411985018726</v>
          </cell>
          <cell r="BC319">
            <v>9.0170688640376699</v>
          </cell>
          <cell r="BD319">
            <v>9.1108440973265257</v>
          </cell>
          <cell r="BE319">
            <v>9.1108440973265346</v>
          </cell>
          <cell r="BF319">
            <v>9.1634415004465612</v>
          </cell>
          <cell r="BG319">
            <v>9.4022567856053687</v>
          </cell>
          <cell r="BH319">
            <v>10.324214792299898</v>
          </cell>
          <cell r="BI319">
            <v>9.7391304347826093</v>
          </cell>
          <cell r="BJ319">
            <v>9.7391304347826093</v>
          </cell>
          <cell r="BK319">
            <v>8.2049180327868854</v>
          </cell>
          <cell r="BL319">
            <v>7.0512195121951216</v>
          </cell>
          <cell r="BM319">
            <v>6.9180722891566262</v>
          </cell>
          <cell r="BN319">
            <v>7.582446808510638</v>
          </cell>
          <cell r="BO319">
            <v>7.582446808510638</v>
          </cell>
          <cell r="BT319">
            <v>6.0397196261682247</v>
          </cell>
          <cell r="BY319">
            <v>4.3359223300970875</v>
          </cell>
          <cell r="CD319">
            <v>1.5678123733123537</v>
          </cell>
          <cell r="CI319">
            <v>0.85249883627648559</v>
          </cell>
          <cell r="CN319">
            <v>0.54458128838306152</v>
          </cell>
          <cell r="CS319">
            <v>0.16267315904679266</v>
          </cell>
        </row>
        <row r="320">
          <cell r="A320" t="str">
            <v>Gross Debt / LTM EBITDA</v>
          </cell>
          <cell r="AK320" t="e">
            <v>#REF!</v>
          </cell>
          <cell r="AL320" t="e">
            <v>#REF!</v>
          </cell>
          <cell r="AM320" t="e">
            <v>#REF!</v>
          </cell>
          <cell r="AN320" t="e">
            <v>#REF!</v>
          </cell>
          <cell r="AO320" t="e">
            <v>#REF!</v>
          </cell>
          <cell r="AP320" t="e">
            <v>#REF!</v>
          </cell>
          <cell r="AQ320" t="e">
            <v>#REF!</v>
          </cell>
          <cell r="AR320" t="e">
            <v>#REF!</v>
          </cell>
          <cell r="AS320" t="e">
            <v>#REF!</v>
          </cell>
          <cell r="AT320" t="e">
            <v>#REF!</v>
          </cell>
          <cell r="AU320" t="e">
            <v>#REF!</v>
          </cell>
          <cell r="AV320" t="e">
            <v>#REF!</v>
          </cell>
          <cell r="AW320" t="e">
            <v>#REF!</v>
          </cell>
          <cell r="AX320" t="e">
            <v>#REF!</v>
          </cell>
          <cell r="AY320" t="e">
            <v>#REF!</v>
          </cell>
          <cell r="AZ320" t="e">
            <v>#REF!</v>
          </cell>
          <cell r="BA320" t="e">
            <v>#REF!</v>
          </cell>
          <cell r="BB320" t="e">
            <v>#REF!</v>
          </cell>
          <cell r="BC320" t="e">
            <v>#REF!</v>
          </cell>
          <cell r="BD320" t="e">
            <v>#REF!</v>
          </cell>
          <cell r="BE320" t="e">
            <v>#REF!</v>
          </cell>
          <cell r="BF320" t="e">
            <v>#REF!</v>
          </cell>
          <cell r="BG320" t="e">
            <v>#REF!</v>
          </cell>
          <cell r="BH320" t="e">
            <v>#REF!</v>
          </cell>
          <cell r="BI320" t="e">
            <v>#REF!</v>
          </cell>
          <cell r="BJ320" t="e">
            <v>#REF!</v>
          </cell>
          <cell r="BK320" t="e">
            <v>#REF!</v>
          </cell>
          <cell r="BL320" t="e">
            <v>#REF!</v>
          </cell>
          <cell r="BM320" t="e">
            <v>#REF!</v>
          </cell>
          <cell r="BN320" t="e">
            <v>#REF!</v>
          </cell>
          <cell r="BO320" t="e">
            <v>#REF!</v>
          </cell>
          <cell r="BT320" t="e">
            <v>#REF!</v>
          </cell>
          <cell r="BY320" t="e">
            <v>#REF!</v>
          </cell>
          <cell r="CD320" t="e">
            <v>#REF!</v>
          </cell>
          <cell r="CI320" t="e">
            <v>#REF!</v>
          </cell>
          <cell r="CN320" t="e">
            <v>#REF!</v>
          </cell>
          <cell r="CS320" t="e">
            <v>#REF!</v>
          </cell>
        </row>
        <row r="321">
          <cell r="A321" t="str">
            <v>Gross Debt / LTM EBITDAR</v>
          </cell>
          <cell r="AK321">
            <v>7.5854700854700834</v>
          </cell>
          <cell r="AL321">
            <v>7.3084577114427862</v>
          </cell>
          <cell r="AM321">
            <v>6.8451025056947605</v>
          </cell>
          <cell r="AN321">
            <v>6.1072874493927127</v>
          </cell>
          <cell r="AO321">
            <v>6.4989339019189769</v>
          </cell>
          <cell r="AP321">
            <v>6.4989339019189769</v>
          </cell>
          <cell r="AQ321">
            <v>6.142403808012693</v>
          </cell>
          <cell r="AR321">
            <v>7.2944006999125106</v>
          </cell>
          <cell r="AS321">
            <v>7.6240272373540847</v>
          </cell>
          <cell r="AT321">
            <v>7.1186823104693131</v>
          </cell>
          <cell r="AU321">
            <v>7.1186823104693167</v>
          </cell>
          <cell r="AV321">
            <v>6.3030303030303028</v>
          </cell>
          <cell r="AW321">
            <v>5.891097666378565</v>
          </cell>
          <cell r="AX321">
            <v>5.3663208300079805</v>
          </cell>
          <cell r="AY321">
            <v>5.1746280344557558</v>
          </cell>
          <cell r="AZ321">
            <v>5.1746280344557558</v>
          </cell>
          <cell r="BA321">
            <v>5.1468646864686471</v>
          </cell>
          <cell r="BB321">
            <v>5.0339256865912763</v>
          </cell>
          <cell r="BC321">
            <v>4.4612696563774028</v>
          </cell>
          <cell r="BD321">
            <v>4.4675209898365003</v>
          </cell>
          <cell r="BE321">
            <v>4.4675209898365029</v>
          </cell>
          <cell r="BF321">
            <v>4.5006579909343474</v>
          </cell>
          <cell r="BG321">
            <v>4.5013870638049349</v>
          </cell>
          <cell r="BH321">
            <v>4.6522599299954344</v>
          </cell>
          <cell r="BI321">
            <v>4.5449275362318842</v>
          </cell>
          <cell r="BJ321">
            <v>4.5449275362318842</v>
          </cell>
          <cell r="BK321">
            <v>4.0691056910569108</v>
          </cell>
          <cell r="BL321">
            <v>3.6875</v>
          </cell>
          <cell r="BM321">
            <v>3.5977443609022557</v>
          </cell>
          <cell r="BN321">
            <v>3.7316753926701569</v>
          </cell>
          <cell r="BO321">
            <v>3.7316753926701569</v>
          </cell>
          <cell r="BT321">
            <v>3.0555555555555554</v>
          </cell>
          <cell r="BY321">
            <v>2.3284671532846715</v>
          </cell>
          <cell r="CD321">
            <v>1.1428644899511087</v>
          </cell>
          <cell r="CI321">
            <v>0.65153093807896656</v>
          </cell>
          <cell r="CN321">
            <v>0.40441868358728433</v>
          </cell>
          <cell r="CS321">
            <v>0.1176755741936306</v>
          </cell>
        </row>
        <row r="322">
          <cell r="A322" t="str">
            <v>Debt Net of Unrest. Cash / LTM EBIT</v>
          </cell>
          <cell r="AK322">
            <v>17.784742524916933</v>
          </cell>
          <cell r="AL322">
            <v>16.396083333333337</v>
          </cell>
          <cell r="AM322">
            <v>14.134702531645571</v>
          </cell>
          <cell r="AN322">
            <v>10.705827586206897</v>
          </cell>
          <cell r="AO322">
            <v>13.10226627218935</v>
          </cell>
          <cell r="AP322">
            <v>13.10226627218935</v>
          </cell>
          <cell r="AQ322">
            <v>11.768488955823292</v>
          </cell>
          <cell r="AR322">
            <v>16.109259510869563</v>
          </cell>
          <cell r="AS322">
            <v>28.495376940133028</v>
          </cell>
          <cell r="AT322">
            <v>23.665595238095232</v>
          </cell>
          <cell r="AU322">
            <v>23.665595238095282</v>
          </cell>
          <cell r="AV322">
            <v>15.452435820895525</v>
          </cell>
          <cell r="AW322">
            <v>11.212841870824056</v>
          </cell>
          <cell r="AX322">
            <v>8.1346307977736565</v>
          </cell>
          <cell r="AY322">
            <v>7.6002917398945531</v>
          </cell>
          <cell r="AZ322">
            <v>7.6002917398945531</v>
          </cell>
          <cell r="BA322">
            <v>7.8975418326693232</v>
          </cell>
          <cell r="BB322">
            <v>7.3306479400749067</v>
          </cell>
          <cell r="BC322">
            <v>5.5923572689817549</v>
          </cell>
          <cell r="BD322">
            <v>5.8284259537398624</v>
          </cell>
          <cell r="BE322">
            <v>5.8284259537398695</v>
          </cell>
          <cell r="BF322">
            <v>5.4875945221792213</v>
          </cell>
          <cell r="BG322">
            <v>5.4201982311680403</v>
          </cell>
          <cell r="BH322">
            <v>6.1407733873691326</v>
          </cell>
          <cell r="BI322">
            <v>5.8145434782608705</v>
          </cell>
          <cell r="BJ322">
            <v>5.8145434782608705</v>
          </cell>
          <cell r="BK322">
            <v>4.8586967213114765</v>
          </cell>
          <cell r="BL322">
            <v>4.0958121951219519</v>
          </cell>
          <cell r="BM322">
            <v>4.3548987951807234</v>
          </cell>
          <cell r="BN322">
            <v>5.2773484042553198</v>
          </cell>
          <cell r="BO322">
            <v>5.2773484042553198</v>
          </cell>
          <cell r="BT322">
            <v>4.3090724299065428</v>
          </cell>
          <cell r="BY322">
            <v>2.8452097087378649</v>
          </cell>
          <cell r="CD322">
            <v>0.87194641835002118</v>
          </cell>
          <cell r="CI322">
            <v>0.30676600310092805</v>
          </cell>
          <cell r="CN322">
            <v>-8.2366616185157573E-2</v>
          </cell>
          <cell r="CS322">
            <v>23.824244363867216</v>
          </cell>
        </row>
        <row r="323">
          <cell r="A323" t="str">
            <v>Debt Net of Unrest. Cash / LTM EBIT</v>
          </cell>
          <cell r="AK323">
            <v>17.784742524916933</v>
          </cell>
          <cell r="AL323">
            <v>16.396083333333337</v>
          </cell>
          <cell r="AM323">
            <v>14.134702531645571</v>
          </cell>
          <cell r="AN323">
            <v>10.705827586206897</v>
          </cell>
          <cell r="AO323">
            <v>13.10226627218935</v>
          </cell>
          <cell r="AP323">
            <v>13.10226627218935</v>
          </cell>
          <cell r="AQ323">
            <v>11.768488955823292</v>
          </cell>
          <cell r="AR323">
            <v>16.109259510869563</v>
          </cell>
          <cell r="AS323">
            <v>28.495376940133028</v>
          </cell>
          <cell r="AT323">
            <v>23.665595238095232</v>
          </cell>
          <cell r="AU323">
            <v>23.665595238095282</v>
          </cell>
          <cell r="AV323">
            <v>15.452435820895525</v>
          </cell>
          <cell r="AW323">
            <v>11.212841870824056</v>
          </cell>
          <cell r="AX323">
            <v>8.1346307977736565</v>
          </cell>
          <cell r="AY323">
            <v>7.6002917398945531</v>
          </cell>
          <cell r="AZ323">
            <v>7.6002917398945531</v>
          </cell>
          <cell r="BA323">
            <v>7.8975418326693232</v>
          </cell>
          <cell r="BB323">
            <v>7.3306479400749067</v>
          </cell>
          <cell r="BC323">
            <v>5.5923572689817549</v>
          </cell>
          <cell r="BD323">
            <v>5.8284259537398624</v>
          </cell>
          <cell r="BE323">
            <v>5.8284259537398695</v>
          </cell>
          <cell r="BF323">
            <v>5.4875945221792213</v>
          </cell>
          <cell r="BG323">
            <v>5.4201982311680403</v>
          </cell>
          <cell r="BH323">
            <v>6.1407733873691326</v>
          </cell>
          <cell r="BI323">
            <v>5.8145434782608705</v>
          </cell>
          <cell r="BJ323">
            <v>5.8145434782608705</v>
          </cell>
          <cell r="BK323">
            <v>4.8586967213114765</v>
          </cell>
          <cell r="BL323">
            <v>4.0958121951219519</v>
          </cell>
          <cell r="BM323">
            <v>4.3548987951807234</v>
          </cell>
          <cell r="BN323">
            <v>5.2773484042553198</v>
          </cell>
          <cell r="BO323">
            <v>5.2773484042553198</v>
          </cell>
          <cell r="BT323">
            <v>4.3090724299065428</v>
          </cell>
          <cell r="BY323">
            <v>2.8452097087378649</v>
          </cell>
          <cell r="CD323">
            <v>0.86517606575956141</v>
          </cell>
          <cell r="CI323">
            <v>0.20829942683782968</v>
          </cell>
          <cell r="CN323">
            <v>-0.23687476113112563</v>
          </cell>
          <cell r="CS323">
            <v>-0.76329645483887665</v>
          </cell>
        </row>
        <row r="324">
          <cell r="A324" t="str">
            <v>Debt Net of Unrest. Cash / LTM EBITDA</v>
          </cell>
          <cell r="AK324" t="e">
            <v>#REF!</v>
          </cell>
          <cell r="AL324" t="e">
            <v>#REF!</v>
          </cell>
          <cell r="AM324" t="e">
            <v>#REF!</v>
          </cell>
          <cell r="AN324" t="e">
            <v>#REF!</v>
          </cell>
          <cell r="AO324" t="e">
            <v>#REF!</v>
          </cell>
          <cell r="AP324" t="e">
            <v>#REF!</v>
          </cell>
          <cell r="AQ324" t="e">
            <v>#REF!</v>
          </cell>
          <cell r="AR324" t="e">
            <v>#REF!</v>
          </cell>
          <cell r="AS324" t="e">
            <v>#REF!</v>
          </cell>
          <cell r="AT324" t="e">
            <v>#REF!</v>
          </cell>
          <cell r="AU324" t="e">
            <v>#REF!</v>
          </cell>
          <cell r="AV324" t="e">
            <v>#REF!</v>
          </cell>
          <cell r="AW324" t="e">
            <v>#REF!</v>
          </cell>
          <cell r="AX324" t="e">
            <v>#REF!</v>
          </cell>
          <cell r="AY324" t="e">
            <v>#REF!</v>
          </cell>
          <cell r="AZ324" t="e">
            <v>#REF!</v>
          </cell>
          <cell r="BA324" t="e">
            <v>#REF!</v>
          </cell>
          <cell r="BB324" t="e">
            <v>#REF!</v>
          </cell>
          <cell r="BC324" t="e">
            <v>#REF!</v>
          </cell>
          <cell r="BD324" t="e">
            <v>#REF!</v>
          </cell>
          <cell r="BE324" t="e">
            <v>#REF!</v>
          </cell>
          <cell r="BF324" t="e">
            <v>#REF!</v>
          </cell>
          <cell r="BG324" t="e">
            <v>#REF!</v>
          </cell>
          <cell r="BH324" t="e">
            <v>#REF!</v>
          </cell>
          <cell r="BI324" t="e">
            <v>#REF!</v>
          </cell>
          <cell r="BJ324" t="e">
            <v>#REF!</v>
          </cell>
          <cell r="BK324" t="e">
            <v>#REF!</v>
          </cell>
          <cell r="BL324" t="e">
            <v>#REF!</v>
          </cell>
          <cell r="BM324" t="e">
            <v>#REF!</v>
          </cell>
          <cell r="BN324" t="e">
            <v>#REF!</v>
          </cell>
          <cell r="BO324" t="e">
            <v>#REF!</v>
          </cell>
          <cell r="BT324" t="e">
            <v>#REF!</v>
          </cell>
          <cell r="BY324" t="e">
            <v>#REF!</v>
          </cell>
          <cell r="CD324" t="e">
            <v>#REF!</v>
          </cell>
          <cell r="CI324" t="e">
            <v>#REF!</v>
          </cell>
          <cell r="CN324" t="e">
            <v>#REF!</v>
          </cell>
          <cell r="CS324" t="e">
            <v>#REF!</v>
          </cell>
        </row>
        <row r="325">
          <cell r="A325" t="str">
            <v>Debt Net of Unrest. Cash / LTM EBITDAR</v>
          </cell>
          <cell r="AK325">
            <v>5.7192387820512813</v>
          </cell>
          <cell r="AL325">
            <v>5.383788557213931</v>
          </cell>
          <cell r="AM325">
            <v>5.0872050113895222</v>
          </cell>
          <cell r="AN325">
            <v>4.3993582995951428</v>
          </cell>
          <cell r="AO325">
            <v>4.721285714285715</v>
          </cell>
          <cell r="AP325">
            <v>4.721285714285715</v>
          </cell>
          <cell r="AQ325">
            <v>4.649510115033717</v>
          </cell>
          <cell r="AR325">
            <v>5.1865332458442701</v>
          </cell>
          <cell r="AS325">
            <v>6.2506882295719848</v>
          </cell>
          <cell r="AT325">
            <v>5.8309634476534296</v>
          </cell>
          <cell r="AU325">
            <v>5.8309634476534331</v>
          </cell>
          <cell r="AV325">
            <v>5.0601818181818192</v>
          </cell>
          <cell r="AW325">
            <v>4.3513967156439071</v>
          </cell>
          <cell r="AX325">
            <v>3.499254588986433</v>
          </cell>
          <cell r="AY325">
            <v>3.38650430696946</v>
          </cell>
          <cell r="AZ325">
            <v>3.38650430696946</v>
          </cell>
          <cell r="BA325">
            <v>3.2710940594059408</v>
          </cell>
          <cell r="BB325">
            <v>3.1620080775444266</v>
          </cell>
          <cell r="BC325">
            <v>2.7668651718112991</v>
          </cell>
          <cell r="BD325">
            <v>2.8579805567830316</v>
          </cell>
          <cell r="BE325">
            <v>2.8579805567830334</v>
          </cell>
          <cell r="BF325">
            <v>2.6952522298581671</v>
          </cell>
          <cell r="BG325">
            <v>2.5949525478172002</v>
          </cell>
          <cell r="BH325">
            <v>2.7671328564906412</v>
          </cell>
          <cell r="BI325">
            <v>2.7134536231884061</v>
          </cell>
          <cell r="BJ325">
            <v>2.7134536231884061</v>
          </cell>
          <cell r="BK325">
            <v>2.4095975609756102</v>
          </cell>
          <cell r="BL325">
            <v>2.141942602040817</v>
          </cell>
          <cell r="BM325">
            <v>2.2647656641604015</v>
          </cell>
          <cell r="BN325">
            <v>2.5972290575916235</v>
          </cell>
          <cell r="BO325">
            <v>2.5972290575916235</v>
          </cell>
          <cell r="BT325">
            <v>2.1800035460992913</v>
          </cell>
          <cell r="BY325">
            <v>1.5279280500521379</v>
          </cell>
          <cell r="CD325">
            <v>0.63067432043745886</v>
          </cell>
          <cell r="CI325">
            <v>0.15919496331716648</v>
          </cell>
          <cell r="CN325">
            <v>-0.17590868638938328</v>
          </cell>
          <cell r="CS325">
            <v>-0.552158383899648</v>
          </cell>
        </row>
        <row r="326">
          <cell r="A326" t="str">
            <v>COVENANT CHECK</v>
          </cell>
          <cell r="AK326">
            <v>1.3565217391304352</v>
          </cell>
          <cell r="AL326">
            <v>1.3444816053511706</v>
          </cell>
          <cell r="AM326">
            <v>1.3805031446540881</v>
          </cell>
          <cell r="AN326">
            <v>1.4702380952380953</v>
          </cell>
          <cell r="AO326">
            <v>1.3438395415472779</v>
          </cell>
          <cell r="AP326">
            <v>1.3438395415472779</v>
          </cell>
          <cell r="AQ326">
            <v>1.4202816901408453</v>
          </cell>
          <cell r="AR326">
            <v>1.2915254237288136</v>
          </cell>
          <cell r="AS326">
            <v>1.1390581717451524</v>
          </cell>
          <cell r="AT326">
            <v>1.2277008310249309</v>
          </cell>
          <cell r="AU326">
            <v>1.2277008310249302</v>
          </cell>
          <cell r="AV326">
            <v>1.4445072013555491</v>
          </cell>
          <cell r="AW326">
            <v>1.6528571428571428</v>
          </cell>
          <cell r="AX326">
            <v>1.875748502994012</v>
          </cell>
          <cell r="AY326">
            <v>1.9767801857585139</v>
          </cell>
          <cell r="AZ326">
            <v>1.9767801857585139</v>
          </cell>
          <cell r="BA326">
            <v>1.8943419818693343</v>
          </cell>
          <cell r="BB326">
            <v>1.9776357827476039</v>
          </cell>
          <cell r="BC326">
            <v>2.2298701298701298</v>
          </cell>
          <cell r="BD326">
            <v>2.211400651465798</v>
          </cell>
          <cell r="BE326">
            <v>2.2114006514657967</v>
          </cell>
          <cell r="BF326">
            <v>2.2276872964169381</v>
          </cell>
          <cell r="BG326">
            <v>2.1881789137380192</v>
          </cell>
          <cell r="BH326">
            <v>2.0926751592356689</v>
          </cell>
          <cell r="BI326">
            <v>2.1974522292993632</v>
          </cell>
          <cell r="BJ326">
            <v>2.1974522292993632</v>
          </cell>
          <cell r="BK326">
            <v>2.3503184713375798</v>
          </cell>
          <cell r="BL326">
            <v>2.5209003215434085</v>
          </cell>
          <cell r="BM326">
            <v>2.5741935483870968</v>
          </cell>
          <cell r="BN326">
            <v>2.4967320261437909</v>
          </cell>
          <cell r="BO326">
            <v>2.4967320261437909</v>
          </cell>
          <cell r="BT326">
            <v>2.9273356401384083</v>
          </cell>
          <cell r="BY326">
            <v>3.5257352941176472</v>
          </cell>
          <cell r="CD326">
            <v>6.7320000000000002</v>
          </cell>
          <cell r="CI326">
            <v>9.2579391100825994</v>
          </cell>
          <cell r="CN326">
            <v>9.7894869252709231</v>
          </cell>
          <cell r="CS326">
            <v>10.058005933551286</v>
          </cell>
        </row>
        <row r="327">
          <cell r="A327" t="str">
            <v>Current Cash Balance</v>
          </cell>
        </row>
        <row r="328">
          <cell r="A328" t="str">
            <v>Min. Cash Balance Covenant</v>
          </cell>
          <cell r="AK328">
            <v>23.588039867109618</v>
          </cell>
          <cell r="AL328">
            <v>22.257575757575758</v>
          </cell>
          <cell r="AM328">
            <v>19.018987341772153</v>
          </cell>
          <cell r="AN328">
            <v>14.862068965517242</v>
          </cell>
          <cell r="AO328">
            <v>18.035502958579883</v>
          </cell>
          <cell r="AP328">
            <v>18.035502958579883</v>
          </cell>
          <cell r="AQ328">
            <v>15.547188755020077</v>
          </cell>
          <cell r="AR328">
            <v>22.656249999999993</v>
          </cell>
          <cell r="AS328">
            <v>34.75609756097559</v>
          </cell>
          <cell r="AT328">
            <v>28.89194139194138</v>
          </cell>
          <cell r="AU328">
            <v>28.89194139194144</v>
          </cell>
          <cell r="AV328">
            <v>19.247761194029852</v>
          </cell>
          <cell r="AW328">
            <v>15.180400890868597</v>
          </cell>
          <cell r="AX328">
            <v>12.47495361781076</v>
          </cell>
          <cell r="AY328">
            <v>11.61335676625659</v>
          </cell>
          <cell r="AZ328">
            <v>11.61335676625659</v>
          </cell>
          <cell r="BA328">
            <v>12.426294820717132</v>
          </cell>
          <cell r="BB328">
            <v>11.670411985018726</v>
          </cell>
          <cell r="BC328">
            <v>9.0170688640376699</v>
          </cell>
          <cell r="BD328">
            <v>9.1108440973265257</v>
          </cell>
          <cell r="BE328">
            <v>9.1108440973265346</v>
          </cell>
          <cell r="BF328">
            <v>9.1634415004465612</v>
          </cell>
          <cell r="BG328">
            <v>9.4022567856053687</v>
          </cell>
          <cell r="BH328">
            <v>10.324214792299898</v>
          </cell>
          <cell r="BI328">
            <v>9.7391304347826093</v>
          </cell>
          <cell r="BJ328">
            <v>9.7391304347826093</v>
          </cell>
          <cell r="BK328">
            <v>8.2049180327868854</v>
          </cell>
          <cell r="BL328">
            <v>7.0512195121951216</v>
          </cell>
          <cell r="BM328">
            <v>6.9180722891566262</v>
          </cell>
          <cell r="BN328">
            <v>7.582446808510638</v>
          </cell>
          <cell r="BO328">
            <v>7.582446808510638</v>
          </cell>
          <cell r="BT328">
            <v>6.0397196261682247</v>
          </cell>
          <cell r="BY328">
            <v>4.3359223300970875</v>
          </cell>
          <cell r="CD328">
            <v>1.515625</v>
          </cell>
          <cell r="CI328">
            <v>0.78627791682470949</v>
          </cell>
          <cell r="CN328">
            <v>0.83379678351249698</v>
          </cell>
          <cell r="CS328">
            <v>0.80758708553526304</v>
          </cell>
        </row>
        <row r="329">
          <cell r="A329" t="str">
            <v>Covenant Check</v>
          </cell>
          <cell r="AK329" t="e">
            <v>#REF!</v>
          </cell>
          <cell r="AL329" t="e">
            <v>#REF!</v>
          </cell>
          <cell r="AM329" t="e">
            <v>#REF!</v>
          </cell>
          <cell r="AN329" t="e">
            <v>#REF!</v>
          </cell>
          <cell r="AO329" t="e">
            <v>#REF!</v>
          </cell>
          <cell r="AP329" t="e">
            <v>#REF!</v>
          </cell>
          <cell r="AQ329" t="e">
            <v>#REF!</v>
          </cell>
          <cell r="AR329" t="e">
            <v>#REF!</v>
          </cell>
          <cell r="AS329" t="e">
            <v>#REF!</v>
          </cell>
          <cell r="AT329" t="e">
            <v>#REF!</v>
          </cell>
          <cell r="AU329" t="e">
            <v>#REF!</v>
          </cell>
          <cell r="AV329" t="e">
            <v>#REF!</v>
          </cell>
          <cell r="AW329" t="e">
            <v>#REF!</v>
          </cell>
          <cell r="AX329" t="e">
            <v>#REF!</v>
          </cell>
          <cell r="AY329" t="e">
            <v>#REF!</v>
          </cell>
          <cell r="AZ329" t="e">
            <v>#REF!</v>
          </cell>
          <cell r="BA329" t="e">
            <v>#REF!</v>
          </cell>
          <cell r="BB329" t="e">
            <v>#REF!</v>
          </cell>
          <cell r="BC329" t="e">
            <v>#REF!</v>
          </cell>
          <cell r="BD329" t="e">
            <v>#REF!</v>
          </cell>
          <cell r="BE329" t="e">
            <v>#REF!</v>
          </cell>
          <cell r="BF329" t="e">
            <v>#REF!</v>
          </cell>
          <cell r="BG329" t="e">
            <v>#REF!</v>
          </cell>
          <cell r="BH329" t="e">
            <v>#REF!</v>
          </cell>
          <cell r="BI329" t="e">
            <v>#REF!</v>
          </cell>
          <cell r="BJ329" t="e">
            <v>#REF!</v>
          </cell>
          <cell r="BK329" t="e">
            <v>#REF!</v>
          </cell>
          <cell r="BL329" t="e">
            <v>#REF!</v>
          </cell>
          <cell r="BM329" t="e">
            <v>#REF!</v>
          </cell>
          <cell r="BN329" t="e">
            <v>#REF!</v>
          </cell>
          <cell r="BO329" t="e">
            <v>#REF!</v>
          </cell>
          <cell r="BT329" t="e">
            <v>#REF!</v>
          </cell>
          <cell r="BY329" t="e">
            <v>#REF!</v>
          </cell>
          <cell r="CD329" t="e">
            <v>#REF!</v>
          </cell>
          <cell r="CI329" t="e">
            <v>#REF!</v>
          </cell>
          <cell r="CN329" t="e">
            <v>#REF!</v>
          </cell>
          <cell r="CS329" t="e">
            <v>#REF!</v>
          </cell>
        </row>
        <row r="330">
          <cell r="A330" t="str">
            <v>Current Fixed Charge Ratio</v>
          </cell>
          <cell r="AK330">
            <v>7.5854700854700834</v>
          </cell>
          <cell r="AL330">
            <v>7.3084577114427862</v>
          </cell>
          <cell r="AM330">
            <v>6.8451025056947605</v>
          </cell>
          <cell r="AN330">
            <v>6.1072874493927127</v>
          </cell>
          <cell r="AO330">
            <v>6.4989339019189769</v>
          </cell>
          <cell r="AP330">
            <v>6.4989339019189769</v>
          </cell>
          <cell r="AQ330">
            <v>6.142403808012693</v>
          </cell>
          <cell r="AR330">
            <v>7.2944006999125106</v>
          </cell>
          <cell r="AS330">
            <v>7.6240272373540847</v>
          </cell>
          <cell r="AT330">
            <v>7.1186823104693131</v>
          </cell>
          <cell r="AU330">
            <v>7.1186823104693167</v>
          </cell>
          <cell r="AV330">
            <v>6.3030303030303028</v>
          </cell>
          <cell r="AW330">
            <v>5.891097666378565</v>
          </cell>
          <cell r="AX330">
            <v>5.3663208300079805</v>
          </cell>
          <cell r="AY330">
            <v>5.1746280344557558</v>
          </cell>
          <cell r="AZ330">
            <v>5.1746280344557558</v>
          </cell>
          <cell r="BA330">
            <v>5.1468646864686471</v>
          </cell>
          <cell r="BB330">
            <v>5.0339256865912763</v>
          </cell>
          <cell r="BC330">
            <v>4.4612696563774028</v>
          </cell>
          <cell r="BD330">
            <v>4.4675209898365003</v>
          </cell>
          <cell r="BE330">
            <v>4.4675209898365029</v>
          </cell>
          <cell r="BF330">
            <v>4.5006579909343474</v>
          </cell>
          <cell r="BG330">
            <v>4.5013870638049349</v>
          </cell>
          <cell r="BH330">
            <v>4.6522599299954344</v>
          </cell>
          <cell r="BI330">
            <v>4.5449275362318842</v>
          </cell>
          <cell r="BJ330">
            <v>4.5449275362318842</v>
          </cell>
          <cell r="BK330">
            <v>4.0691056910569108</v>
          </cell>
          <cell r="BL330">
            <v>3.6875</v>
          </cell>
          <cell r="BM330">
            <v>3.5977443609022557</v>
          </cell>
          <cell r="BN330">
            <v>3.7316753926701569</v>
          </cell>
          <cell r="BO330">
            <v>3.7316753926701569</v>
          </cell>
          <cell r="BT330">
            <v>3.0555555555555554</v>
          </cell>
          <cell r="BY330">
            <v>2.3284671532846715</v>
          </cell>
          <cell r="CD330">
            <v>1.095068330362448</v>
          </cell>
          <cell r="CI330">
            <v>0.58918968369236702</v>
          </cell>
          <cell r="CN330">
            <v>0.58933573905110248</v>
          </cell>
          <cell r="CS330">
            <v>0.55209586098939034</v>
          </cell>
        </row>
        <row r="331">
          <cell r="A331" t="str">
            <v>Current Fixed Charge Ratio</v>
          </cell>
        </row>
        <row r="332">
          <cell r="A332" t="str">
            <v>Min. Fixed Charge Ratio</v>
          </cell>
          <cell r="AK332">
            <v>17.784742524916933</v>
          </cell>
          <cell r="AL332">
            <v>16.396083333333337</v>
          </cell>
          <cell r="AM332">
            <v>14.134702531645571</v>
          </cell>
          <cell r="AN332">
            <v>10.705827586206897</v>
          </cell>
          <cell r="AO332">
            <v>13.10226627218935</v>
          </cell>
          <cell r="AP332">
            <v>13.10226627218935</v>
          </cell>
          <cell r="AQ332">
            <v>11.768488955823292</v>
          </cell>
          <cell r="AR332">
            <v>16.109259510869563</v>
          </cell>
          <cell r="AS332">
            <v>28.495376940133028</v>
          </cell>
          <cell r="AT332">
            <v>23.665595238095232</v>
          </cell>
          <cell r="AU332">
            <v>23.665595238095282</v>
          </cell>
          <cell r="AV332">
            <v>15.452435820895525</v>
          </cell>
          <cell r="AW332">
            <v>11.212841870824056</v>
          </cell>
          <cell r="AX332">
            <v>8.1346307977736565</v>
          </cell>
          <cell r="AY332">
            <v>7.6002917398945531</v>
          </cell>
          <cell r="AZ332">
            <v>7.6002917398945531</v>
          </cell>
          <cell r="BA332">
            <v>7.8975418326693232</v>
          </cell>
          <cell r="BB332">
            <v>7.3306479400749067</v>
          </cell>
          <cell r="BC332">
            <v>5.5923572689817549</v>
          </cell>
          <cell r="BD332">
            <v>5.8284259537398624</v>
          </cell>
          <cell r="BE332">
            <v>5.8284259537398695</v>
          </cell>
          <cell r="BF332">
            <v>5.4875945221792213</v>
          </cell>
          <cell r="BG332">
            <v>5.4201982311680403</v>
          </cell>
          <cell r="BH332">
            <v>6.1407733873691326</v>
          </cell>
          <cell r="BI332">
            <v>5.8145434782608705</v>
          </cell>
          <cell r="BJ332">
            <v>5.8145434782608705</v>
          </cell>
          <cell r="BK332">
            <v>4.8586967213114765</v>
          </cell>
          <cell r="BL332">
            <v>4.0958121951219519</v>
          </cell>
          <cell r="BM332">
            <v>4.3548987951807234</v>
          </cell>
          <cell r="BN332">
            <v>5.2773484042553198</v>
          </cell>
          <cell r="BO332">
            <v>5.2773484042553198</v>
          </cell>
          <cell r="BT332">
            <v>4.3090724299065428</v>
          </cell>
          <cell r="BY332">
            <v>2.8452097087378649</v>
          </cell>
          <cell r="CD332">
            <v>0.75516694078947411</v>
          </cell>
          <cell r="CI332">
            <v>0.22584827987989198</v>
          </cell>
          <cell r="CN332">
            <v>0.1254396852998923</v>
          </cell>
          <cell r="CS332">
            <v>-8.029203824449228E-3</v>
          </cell>
        </row>
        <row r="333">
          <cell r="A333" t="str">
            <v>Covenant Check</v>
          </cell>
          <cell r="AK333" t="e">
            <v>#REF!</v>
          </cell>
          <cell r="AL333" t="e">
            <v>#REF!</v>
          </cell>
          <cell r="AM333" t="e">
            <v>#REF!</v>
          </cell>
          <cell r="AN333" t="e">
            <v>#REF!</v>
          </cell>
          <cell r="AO333" t="e">
            <v>#REF!</v>
          </cell>
          <cell r="AP333" t="e">
            <v>#REF!</v>
          </cell>
          <cell r="AQ333" t="e">
            <v>#REF!</v>
          </cell>
          <cell r="AR333" t="e">
            <v>#REF!</v>
          </cell>
          <cell r="AS333" t="e">
            <v>#REF!</v>
          </cell>
          <cell r="AT333" t="e">
            <v>#REF!</v>
          </cell>
          <cell r="AU333" t="e">
            <v>#REF!</v>
          </cell>
          <cell r="AV333" t="e">
            <v>#REF!</v>
          </cell>
          <cell r="AW333" t="e">
            <v>#REF!</v>
          </cell>
          <cell r="AX333" t="e">
            <v>#REF!</v>
          </cell>
          <cell r="AY333" t="e">
            <v>#REF!</v>
          </cell>
          <cell r="AZ333" t="e">
            <v>#REF!</v>
          </cell>
          <cell r="BA333" t="e">
            <v>#REF!</v>
          </cell>
          <cell r="BB333" t="e">
            <v>#REF!</v>
          </cell>
          <cell r="BC333" t="e">
            <v>#REF!</v>
          </cell>
          <cell r="BD333" t="e">
            <v>#REF!</v>
          </cell>
          <cell r="BE333" t="e">
            <v>#REF!</v>
          </cell>
          <cell r="BF333" t="e">
            <v>#REF!</v>
          </cell>
          <cell r="BG333" t="e">
            <v>#REF!</v>
          </cell>
          <cell r="BH333" t="e">
            <v>#REF!</v>
          </cell>
          <cell r="BI333" t="e">
            <v>#REF!</v>
          </cell>
          <cell r="BJ333" t="e">
            <v>#REF!</v>
          </cell>
          <cell r="BK333" t="e">
            <v>#REF!</v>
          </cell>
          <cell r="BL333" t="e">
            <v>#REF!</v>
          </cell>
          <cell r="BM333" t="e">
            <v>#REF!</v>
          </cell>
          <cell r="BN333" t="e">
            <v>#REF!</v>
          </cell>
          <cell r="BO333" t="e">
            <v>#REF!</v>
          </cell>
          <cell r="BT333" t="e">
            <v>#REF!</v>
          </cell>
          <cell r="BY333" t="e">
            <v>#REF!</v>
          </cell>
          <cell r="CD333" t="e">
            <v>#REF!</v>
          </cell>
          <cell r="CI333" t="e">
            <v>#REF!</v>
          </cell>
          <cell r="CN333" t="e">
            <v>#REF!</v>
          </cell>
          <cell r="CS333" t="e">
            <v>#REF!</v>
          </cell>
        </row>
        <row r="334">
          <cell r="A334" t="str">
            <v>VALUATION</v>
          </cell>
          <cell r="AK334">
            <v>5.7192387820512813</v>
          </cell>
          <cell r="AL334">
            <v>5.383788557213931</v>
          </cell>
          <cell r="AM334">
            <v>5.0872050113895222</v>
          </cell>
          <cell r="AN334">
            <v>4.3993582995951428</v>
          </cell>
          <cell r="AO334">
            <v>4.721285714285715</v>
          </cell>
          <cell r="AP334">
            <v>4.721285714285715</v>
          </cell>
          <cell r="AQ334">
            <v>4.649510115033717</v>
          </cell>
          <cell r="AR334">
            <v>5.1865332458442701</v>
          </cell>
          <cell r="AS334">
            <v>6.2506882295719848</v>
          </cell>
          <cell r="AT334">
            <v>5.8309634476534296</v>
          </cell>
          <cell r="AU334">
            <v>5.8309634476534331</v>
          </cell>
          <cell r="AV334">
            <v>5.0601818181818192</v>
          </cell>
          <cell r="AW334">
            <v>4.3513967156439071</v>
          </cell>
          <cell r="AX334">
            <v>3.499254588986433</v>
          </cell>
          <cell r="AY334">
            <v>3.38650430696946</v>
          </cell>
          <cell r="AZ334">
            <v>3.38650430696946</v>
          </cell>
          <cell r="BA334">
            <v>3.2710940594059408</v>
          </cell>
          <cell r="BB334">
            <v>3.1620080775444266</v>
          </cell>
          <cell r="BC334">
            <v>2.7668651718112991</v>
          </cell>
          <cell r="BD334">
            <v>2.8579805567830316</v>
          </cell>
          <cell r="BE334">
            <v>2.8579805567830334</v>
          </cell>
          <cell r="BF334">
            <v>2.6952522298581671</v>
          </cell>
          <cell r="BG334">
            <v>2.5949525478172002</v>
          </cell>
          <cell r="BH334">
            <v>2.7671328564906412</v>
          </cell>
          <cell r="BI334">
            <v>2.7134536231884061</v>
          </cell>
          <cell r="BJ334">
            <v>2.7134536231884061</v>
          </cell>
          <cell r="BK334">
            <v>2.4095975609756102</v>
          </cell>
          <cell r="BL334">
            <v>2.141942602040817</v>
          </cell>
          <cell r="BM334">
            <v>2.2647656641604015</v>
          </cell>
          <cell r="BN334">
            <v>2.5972290575916235</v>
          </cell>
          <cell r="BO334">
            <v>2.5972290575916235</v>
          </cell>
          <cell r="BT334">
            <v>2.1800035460992913</v>
          </cell>
          <cell r="BY334">
            <v>1.5279280500521379</v>
          </cell>
          <cell r="CD334">
            <v>0.54562269756387427</v>
          </cell>
          <cell r="CI334">
            <v>0.16923720447634602</v>
          </cell>
          <cell r="CN334">
            <v>8.8661999067836089E-2</v>
          </cell>
          <cell r="CS334">
            <v>-5.48905533275153E-3</v>
          </cell>
        </row>
        <row r="335">
          <cell r="A335" t="str">
            <v>KEY INPUTS</v>
          </cell>
          <cell r="AV335">
            <v>39903</v>
          </cell>
          <cell r="AW335">
            <v>39994</v>
          </cell>
          <cell r="AX335">
            <v>40086</v>
          </cell>
          <cell r="AY335">
            <v>40178</v>
          </cell>
          <cell r="AZ335">
            <v>40178</v>
          </cell>
          <cell r="BA335">
            <v>40268</v>
          </cell>
          <cell r="BB335">
            <v>40359</v>
          </cell>
          <cell r="BC335">
            <v>40451</v>
          </cell>
          <cell r="BD335">
            <v>40543</v>
          </cell>
          <cell r="BE335">
            <v>40543</v>
          </cell>
          <cell r="BF335">
            <v>40268</v>
          </cell>
          <cell r="BG335">
            <v>40359</v>
          </cell>
          <cell r="BH335">
            <v>40451</v>
          </cell>
          <cell r="BI335">
            <v>40543</v>
          </cell>
          <cell r="BJ335">
            <v>40908</v>
          </cell>
          <cell r="BK335">
            <v>40999</v>
          </cell>
          <cell r="BL335">
            <v>41090</v>
          </cell>
          <cell r="BM335">
            <v>41182</v>
          </cell>
          <cell r="BN335">
            <v>41274</v>
          </cell>
          <cell r="BO335">
            <v>41274</v>
          </cell>
          <cell r="BT335">
            <v>41639</v>
          </cell>
          <cell r="BY335">
            <v>42004</v>
          </cell>
          <cell r="CD335">
            <v>42369</v>
          </cell>
          <cell r="CI335">
            <v>42735</v>
          </cell>
          <cell r="CN335">
            <v>43100</v>
          </cell>
        </row>
        <row r="336">
          <cell r="A336" t="str">
            <v>Date</v>
          </cell>
          <cell r="AV336">
            <v>39903</v>
          </cell>
          <cell r="AW336">
            <v>39994</v>
          </cell>
          <cell r="AX336">
            <v>40086</v>
          </cell>
          <cell r="AY336">
            <v>40178</v>
          </cell>
          <cell r="AZ336">
            <v>40178</v>
          </cell>
          <cell r="BA336">
            <v>40268</v>
          </cell>
          <cell r="BB336">
            <v>40359</v>
          </cell>
          <cell r="BC336">
            <v>40451</v>
          </cell>
          <cell r="BD336">
            <v>40543</v>
          </cell>
          <cell r="BE336">
            <v>40543</v>
          </cell>
          <cell r="BF336">
            <v>40268</v>
          </cell>
          <cell r="BG336">
            <v>40359</v>
          </cell>
          <cell r="BH336">
            <v>40451</v>
          </cell>
          <cell r="BI336">
            <v>40543</v>
          </cell>
          <cell r="BJ336">
            <v>40908</v>
          </cell>
          <cell r="BK336">
            <v>40999</v>
          </cell>
          <cell r="BL336">
            <v>41090</v>
          </cell>
          <cell r="BM336">
            <v>41182</v>
          </cell>
          <cell r="BN336">
            <v>41274</v>
          </cell>
          <cell r="BO336">
            <v>41274</v>
          </cell>
          <cell r="BT336">
            <v>41639</v>
          </cell>
          <cell r="BY336">
            <v>42004</v>
          </cell>
          <cell r="CD336">
            <v>42369</v>
          </cell>
          <cell r="CI336">
            <v>42735</v>
          </cell>
          <cell r="CN336">
            <v>43100</v>
          </cell>
          <cell r="CS336">
            <v>43465</v>
          </cell>
        </row>
        <row r="337">
          <cell r="A337" t="str">
            <v>Net Debt Calculations</v>
          </cell>
          <cell r="AV337">
            <v>635.71699999999987</v>
          </cell>
          <cell r="AW337">
            <v>890.71699999999987</v>
          </cell>
          <cell r="AX337">
            <v>1169.7169999999999</v>
          </cell>
          <cell r="AY337">
            <v>1141.7169999999999</v>
          </cell>
          <cell r="AZ337">
            <v>1141.7169999999999</v>
          </cell>
          <cell r="BA337">
            <v>1136.7169999999999</v>
          </cell>
          <cell r="BB337">
            <v>1158.7169999999999</v>
          </cell>
          <cell r="BC337">
            <v>1163.7169999999999</v>
          </cell>
          <cell r="BD337">
            <v>1092.7169999999999</v>
          </cell>
          <cell r="BE337">
            <v>1092.7169999999996</v>
          </cell>
          <cell r="BF337">
            <v>1234.7169999999996</v>
          </cell>
          <cell r="BG337">
            <v>1305.7169999999996</v>
          </cell>
          <cell r="BH337">
            <v>1238.7169999999996</v>
          </cell>
          <cell r="BI337">
            <v>1263.7169999999996</v>
          </cell>
          <cell r="BJ337">
            <v>1263.7169999999996</v>
          </cell>
          <cell r="BK337">
            <v>1224.7169999999996</v>
          </cell>
          <cell r="BL337">
            <v>1211.7169999999996</v>
          </cell>
          <cell r="BM337">
            <v>1063.7169999999996</v>
          </cell>
          <cell r="BN337">
            <v>866.71699999999953</v>
          </cell>
          <cell r="BO337">
            <v>866.71699999999953</v>
          </cell>
          <cell r="BT337">
            <v>740.71699999999953</v>
          </cell>
          <cell r="BY337">
            <v>767.71699999999953</v>
          </cell>
          <cell r="CD337">
            <v>922.26013555415864</v>
          </cell>
          <cell r="CI337">
            <v>978.74705435757949</v>
          </cell>
          <cell r="CN337">
            <v>1029.3847593653359</v>
          </cell>
        </row>
        <row r="338">
          <cell r="A338" t="str">
            <v>Unrestricted Cash Balance</v>
          </cell>
          <cell r="AV338">
            <v>635.71699999999987</v>
          </cell>
          <cell r="AW338">
            <v>890.71699999999987</v>
          </cell>
          <cell r="AX338">
            <v>1169.7169999999999</v>
          </cell>
          <cell r="AY338">
            <v>1141.7169999999999</v>
          </cell>
          <cell r="AZ338">
            <v>1141.7169999999999</v>
          </cell>
          <cell r="BA338">
            <v>1136.7169999999999</v>
          </cell>
          <cell r="BB338">
            <v>1158.7169999999999</v>
          </cell>
          <cell r="BC338">
            <v>1163.7169999999999</v>
          </cell>
          <cell r="BD338">
            <v>1092.7169999999999</v>
          </cell>
          <cell r="BE338">
            <v>1092.7169999999996</v>
          </cell>
          <cell r="BF338">
            <v>1234.7169999999996</v>
          </cell>
          <cell r="BG338">
            <v>1305.7169999999996</v>
          </cell>
          <cell r="BH338">
            <v>1238.7169999999996</v>
          </cell>
          <cell r="BI338">
            <v>1263.7169999999996</v>
          </cell>
          <cell r="BJ338">
            <v>1263.7169999999996</v>
          </cell>
          <cell r="BK338">
            <v>1224.7169999999996</v>
          </cell>
          <cell r="BL338">
            <v>1211.7169999999996</v>
          </cell>
          <cell r="BM338">
            <v>1063.7169999999996</v>
          </cell>
          <cell r="BN338">
            <v>866.71699999999953</v>
          </cell>
          <cell r="BO338">
            <v>866.71699999999953</v>
          </cell>
          <cell r="BT338">
            <v>740.71699999999953</v>
          </cell>
          <cell r="BY338">
            <v>767.71699999999953</v>
          </cell>
          <cell r="CD338">
            <v>870.78171394370247</v>
          </cell>
          <cell r="CI338">
            <v>1045.0780052029445</v>
          </cell>
          <cell r="CN338">
            <v>1195.3273150057885</v>
          </cell>
          <cell r="CS338">
            <v>1354.7457330769432</v>
          </cell>
        </row>
        <row r="339">
          <cell r="A339" t="str">
            <v>Total Cash Balance</v>
          </cell>
          <cell r="AV339">
            <v>845.71699999999987</v>
          </cell>
          <cell r="AW339">
            <v>1056.7169999999999</v>
          </cell>
          <cell r="AX339">
            <v>1282.7169999999999</v>
          </cell>
          <cell r="AY339">
            <v>1218.7169999999999</v>
          </cell>
          <cell r="AZ339">
            <v>1218.7169999999999</v>
          </cell>
          <cell r="BA339">
            <v>1207.7169999999999</v>
          </cell>
          <cell r="BB339">
            <v>1228.7169999999999</v>
          </cell>
          <cell r="BC339">
            <v>1232.7169999999999</v>
          </cell>
          <cell r="BD339">
            <v>1160.7169999999999</v>
          </cell>
          <cell r="BE339">
            <v>1160.7169999999996</v>
          </cell>
          <cell r="BF339">
            <v>1300.7169999999996</v>
          </cell>
          <cell r="BG339">
            <v>1370.7169999999996</v>
          </cell>
          <cell r="BH339">
            <v>1302.7169999999996</v>
          </cell>
          <cell r="BI339">
            <v>1330.7169999999996</v>
          </cell>
          <cell r="BJ339">
            <v>1330.7169999999996</v>
          </cell>
          <cell r="BK339">
            <v>1289.7169999999996</v>
          </cell>
          <cell r="BL339">
            <v>1266.7169999999996</v>
          </cell>
          <cell r="BM339">
            <v>1118.7169999999996</v>
          </cell>
          <cell r="BN339">
            <v>917.71699999999953</v>
          </cell>
          <cell r="BO339">
            <v>917.71699999999953</v>
          </cell>
          <cell r="BT339">
            <v>797.71699999999953</v>
          </cell>
          <cell r="BY339">
            <v>828.71699999999953</v>
          </cell>
          <cell r="CD339">
            <v>938.03516906106063</v>
          </cell>
          <cell r="CI339">
            <v>1116.089037116534</v>
          </cell>
          <cell r="CN339">
            <v>1272.019229472465</v>
          </cell>
          <cell r="CS339">
            <v>1437.573000700954</v>
          </cell>
        </row>
        <row r="340">
          <cell r="A340" t="str">
            <v>On Balance Sheet Debt</v>
          </cell>
          <cell r="AV340">
            <v>3224</v>
          </cell>
          <cell r="AW340">
            <v>3408</v>
          </cell>
          <cell r="AX340">
            <v>3362</v>
          </cell>
          <cell r="AY340">
            <v>3304</v>
          </cell>
          <cell r="AZ340">
            <v>3304</v>
          </cell>
          <cell r="BA340">
            <v>3119</v>
          </cell>
          <cell r="BB340">
            <v>3116</v>
          </cell>
          <cell r="BC340">
            <v>3064</v>
          </cell>
          <cell r="BD340">
            <v>3033</v>
          </cell>
          <cell r="BE340">
            <v>3033</v>
          </cell>
          <cell r="BF340">
            <v>3078</v>
          </cell>
          <cell r="BG340">
            <v>3083</v>
          </cell>
          <cell r="BH340">
            <v>3057</v>
          </cell>
          <cell r="BI340">
            <v>3136</v>
          </cell>
          <cell r="BJ340">
            <v>3136</v>
          </cell>
          <cell r="BK340">
            <v>3003</v>
          </cell>
          <cell r="BL340">
            <v>2891</v>
          </cell>
          <cell r="BM340">
            <v>2871</v>
          </cell>
          <cell r="BN340">
            <v>2851</v>
          </cell>
          <cell r="BO340">
            <v>2851</v>
          </cell>
          <cell r="BT340">
            <v>2585</v>
          </cell>
          <cell r="BY340">
            <v>2233</v>
          </cell>
          <cell r="CD340">
            <v>1943</v>
          </cell>
          <cell r="CI340">
            <v>1383</v>
          </cell>
          <cell r="CN340">
            <v>833</v>
          </cell>
          <cell r="CS340">
            <v>238</v>
          </cell>
        </row>
        <row r="341">
          <cell r="A341" t="str">
            <v>Convertible Debt Adjustment</v>
          </cell>
          <cell r="AV341">
            <v>250</v>
          </cell>
          <cell r="AW341">
            <v>250</v>
          </cell>
          <cell r="AX341">
            <v>451</v>
          </cell>
          <cell r="AY341">
            <v>451</v>
          </cell>
          <cell r="AZ341">
            <v>451</v>
          </cell>
          <cell r="BA341">
            <v>451</v>
          </cell>
          <cell r="BB341">
            <v>451</v>
          </cell>
          <cell r="BC341">
            <v>451</v>
          </cell>
          <cell r="BD341">
            <v>451</v>
          </cell>
          <cell r="BE341">
            <v>451</v>
          </cell>
          <cell r="BF341">
            <v>451</v>
          </cell>
          <cell r="BG341">
            <v>451</v>
          </cell>
          <cell r="BH341">
            <v>451</v>
          </cell>
          <cell r="BI341">
            <v>451</v>
          </cell>
          <cell r="BJ341">
            <v>451</v>
          </cell>
          <cell r="BK341">
            <v>451</v>
          </cell>
          <cell r="BL341">
            <v>451</v>
          </cell>
          <cell r="BM341">
            <v>451</v>
          </cell>
          <cell r="BN341">
            <v>451</v>
          </cell>
          <cell r="BO341">
            <v>451</v>
          </cell>
          <cell r="BT341">
            <v>451</v>
          </cell>
          <cell r="BY341">
            <v>451</v>
          </cell>
          <cell r="CD341">
            <v>451</v>
          </cell>
          <cell r="CI341">
            <v>451</v>
          </cell>
          <cell r="CN341">
            <v>451</v>
          </cell>
          <cell r="CS341">
            <v>451</v>
          </cell>
        </row>
        <row r="342">
          <cell r="A342" t="str">
            <v>Debt Net of Total Cash and Converts</v>
          </cell>
          <cell r="AV342">
            <v>2128.2830000000004</v>
          </cell>
          <cell r="AW342">
            <v>2101.2830000000004</v>
          </cell>
          <cell r="AX342">
            <v>1628.2830000000004</v>
          </cell>
          <cell r="AY342">
            <v>1634.2830000000004</v>
          </cell>
          <cell r="AZ342">
            <v>1634.2830000000004</v>
          </cell>
          <cell r="BA342">
            <v>1460.2830000000001</v>
          </cell>
          <cell r="BB342">
            <v>1436.2830000000001</v>
          </cell>
          <cell r="BC342">
            <v>1380.2830000000001</v>
          </cell>
          <cell r="BD342">
            <v>1421.2830000000001</v>
          </cell>
          <cell r="BE342">
            <v>1421.2830000000004</v>
          </cell>
          <cell r="BF342">
            <v>1326.2830000000004</v>
          </cell>
          <cell r="BG342">
            <v>1261.2830000000004</v>
          </cell>
          <cell r="BH342">
            <v>1303.2830000000004</v>
          </cell>
          <cell r="BI342">
            <v>1354.2830000000004</v>
          </cell>
          <cell r="BJ342">
            <v>1354.2830000000004</v>
          </cell>
          <cell r="BK342">
            <v>1262.2830000000004</v>
          </cell>
          <cell r="BL342">
            <v>1173.2830000000004</v>
          </cell>
          <cell r="BM342">
            <v>1301.2830000000004</v>
          </cell>
          <cell r="BN342">
            <v>1482.2830000000004</v>
          </cell>
          <cell r="BO342">
            <v>1482.2830000000004</v>
          </cell>
          <cell r="BT342">
            <v>1336.2830000000004</v>
          </cell>
          <cell r="BY342">
            <v>953.28300000000036</v>
          </cell>
          <cell r="CD342">
            <v>534.99338203895388</v>
          </cell>
          <cell r="CI342">
            <v>-86.333176101408981</v>
          </cell>
          <cell r="CN342">
            <v>-642.77777084867171</v>
          </cell>
        </row>
        <row r="343">
          <cell r="A343" t="str">
            <v>Debt Net of Total Cash and Converts</v>
          </cell>
          <cell r="AV343">
            <v>2128.2830000000004</v>
          </cell>
          <cell r="AW343">
            <v>2101.2830000000004</v>
          </cell>
          <cell r="AX343">
            <v>1628.2830000000004</v>
          </cell>
          <cell r="AY343">
            <v>1634.2830000000004</v>
          </cell>
          <cell r="AZ343">
            <v>1634.2830000000004</v>
          </cell>
          <cell r="BA343">
            <v>1460.2830000000001</v>
          </cell>
          <cell r="BB343">
            <v>1436.2830000000001</v>
          </cell>
          <cell r="BC343">
            <v>1380.2830000000001</v>
          </cell>
          <cell r="BD343">
            <v>1421.2830000000001</v>
          </cell>
          <cell r="BE343">
            <v>1421.2830000000004</v>
          </cell>
          <cell r="BF343">
            <v>1326.2830000000004</v>
          </cell>
          <cell r="BG343">
            <v>1261.2830000000004</v>
          </cell>
          <cell r="BH343">
            <v>1303.2830000000004</v>
          </cell>
          <cell r="BI343">
            <v>1354.2830000000004</v>
          </cell>
          <cell r="BJ343">
            <v>1354.2830000000004</v>
          </cell>
          <cell r="BK343">
            <v>1262.2830000000004</v>
          </cell>
          <cell r="BL343">
            <v>1173.2830000000004</v>
          </cell>
          <cell r="BM343">
            <v>1301.2830000000004</v>
          </cell>
          <cell r="BN343">
            <v>1482.2830000000004</v>
          </cell>
          <cell r="BO343">
            <v>1482.2830000000004</v>
          </cell>
          <cell r="BT343">
            <v>1336.2830000000004</v>
          </cell>
          <cell r="BY343">
            <v>953.28300000000036</v>
          </cell>
          <cell r="CD343">
            <v>553.96483093893937</v>
          </cell>
          <cell r="CI343">
            <v>-184.08903711653397</v>
          </cell>
          <cell r="CN343">
            <v>-890.01922947246499</v>
          </cell>
          <cell r="CS343">
            <v>-1650.573000700954</v>
          </cell>
        </row>
        <row r="344">
          <cell r="A344" t="str">
            <v>Debt Net of Unrest. Cash and Converts</v>
          </cell>
          <cell r="AV344">
            <v>2338.2830000000004</v>
          </cell>
          <cell r="AW344">
            <v>2267.2830000000004</v>
          </cell>
          <cell r="AX344">
            <v>1741.2830000000004</v>
          </cell>
          <cell r="AY344">
            <v>1711.2830000000004</v>
          </cell>
          <cell r="AZ344">
            <v>1711.2830000000004</v>
          </cell>
          <cell r="BA344">
            <v>1531.2830000000001</v>
          </cell>
          <cell r="BB344">
            <v>1506.2830000000001</v>
          </cell>
          <cell r="BC344">
            <v>1449.2830000000001</v>
          </cell>
          <cell r="BD344">
            <v>1489.2830000000001</v>
          </cell>
          <cell r="BE344">
            <v>1489.2830000000004</v>
          </cell>
          <cell r="BF344">
            <v>1392.2830000000004</v>
          </cell>
          <cell r="BG344">
            <v>1326.2830000000004</v>
          </cell>
          <cell r="BH344">
            <v>1367.2830000000004</v>
          </cell>
          <cell r="BI344">
            <v>1421.2830000000004</v>
          </cell>
          <cell r="BJ344">
            <v>1421.2830000000004</v>
          </cell>
          <cell r="BK344">
            <v>1327.2830000000004</v>
          </cell>
          <cell r="BL344">
            <v>1228.2830000000004</v>
          </cell>
          <cell r="BM344">
            <v>1356.2830000000004</v>
          </cell>
          <cell r="BN344">
            <v>1533.2830000000004</v>
          </cell>
          <cell r="BO344">
            <v>1533.2830000000004</v>
          </cell>
          <cell r="BT344">
            <v>1393.2830000000004</v>
          </cell>
          <cell r="BY344">
            <v>1014.2830000000004</v>
          </cell>
          <cell r="CD344">
            <v>621.21828605629753</v>
          </cell>
          <cell r="CI344">
            <v>-113.0780052029445</v>
          </cell>
          <cell r="CN344">
            <v>-813.32731500578848</v>
          </cell>
          <cell r="CS344">
            <v>-1567.7457330769432</v>
          </cell>
        </row>
        <row r="345">
          <cell r="A345" t="str">
            <v>Annualized Mainline Aircraft Rent</v>
          </cell>
          <cell r="AV345">
            <v>128</v>
          </cell>
          <cell r="AW345">
            <v>128</v>
          </cell>
          <cell r="AX345">
            <v>124</v>
          </cell>
          <cell r="AY345">
            <v>124</v>
          </cell>
          <cell r="AZ345">
            <v>126</v>
          </cell>
          <cell r="BA345">
            <v>124</v>
          </cell>
          <cell r="BB345">
            <v>124</v>
          </cell>
          <cell r="BC345">
            <v>124</v>
          </cell>
          <cell r="BD345">
            <v>132</v>
          </cell>
          <cell r="BE345">
            <v>126</v>
          </cell>
          <cell r="BF345">
            <v>136</v>
          </cell>
          <cell r="BG345">
            <v>144</v>
          </cell>
          <cell r="BH345">
            <v>128</v>
          </cell>
          <cell r="BI345">
            <v>132</v>
          </cell>
          <cell r="BJ345">
            <v>135</v>
          </cell>
          <cell r="BK345">
            <v>132</v>
          </cell>
          <cell r="BL345">
            <v>132</v>
          </cell>
          <cell r="BM345">
            <v>128</v>
          </cell>
          <cell r="BN345">
            <v>128</v>
          </cell>
          <cell r="BO345">
            <v>130</v>
          </cell>
          <cell r="BT345">
            <v>128</v>
          </cell>
          <cell r="BY345">
            <v>124</v>
          </cell>
          <cell r="CD345">
            <v>123.78562189054728</v>
          </cell>
          <cell r="CI345">
            <v>123.78562189054726</v>
          </cell>
          <cell r="CN345">
            <v>124.2357514246947</v>
          </cell>
          <cell r="CS345">
            <v>43465</v>
          </cell>
        </row>
        <row r="346">
          <cell r="A346" t="str">
            <v>Annualized Mainline Aircraft Rent</v>
          </cell>
          <cell r="AV346">
            <v>128</v>
          </cell>
          <cell r="AW346">
            <v>128</v>
          </cell>
          <cell r="AX346">
            <v>124</v>
          </cell>
          <cell r="AY346">
            <v>124</v>
          </cell>
          <cell r="AZ346">
            <v>126</v>
          </cell>
          <cell r="BA346">
            <v>124</v>
          </cell>
          <cell r="BB346">
            <v>124</v>
          </cell>
          <cell r="BC346">
            <v>124</v>
          </cell>
          <cell r="BD346">
            <v>132</v>
          </cell>
          <cell r="BE346">
            <v>126</v>
          </cell>
          <cell r="BF346">
            <v>136</v>
          </cell>
          <cell r="BG346">
            <v>144</v>
          </cell>
          <cell r="BH346">
            <v>128</v>
          </cell>
          <cell r="BI346">
            <v>132</v>
          </cell>
          <cell r="BJ346">
            <v>135</v>
          </cell>
          <cell r="BK346">
            <v>132</v>
          </cell>
          <cell r="BL346">
            <v>132</v>
          </cell>
          <cell r="BM346">
            <v>128</v>
          </cell>
          <cell r="BN346">
            <v>128</v>
          </cell>
          <cell r="BO346">
            <v>130</v>
          </cell>
          <cell r="BT346">
            <v>128</v>
          </cell>
          <cell r="BY346">
            <v>124</v>
          </cell>
          <cell r="CD346">
            <v>118.93761194029851</v>
          </cell>
          <cell r="CI346">
            <v>105.93264748453566</v>
          </cell>
          <cell r="CN346">
            <v>104.10290175525731</v>
          </cell>
          <cell r="CS346">
            <v>101.47317193265711</v>
          </cell>
        </row>
        <row r="347">
          <cell r="A347" t="str">
            <v>Annualized Regional Rent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T347">
            <v>0</v>
          </cell>
          <cell r="BY347">
            <v>0</v>
          </cell>
          <cell r="CD347">
            <v>0</v>
          </cell>
          <cell r="CI347">
            <v>0</v>
          </cell>
          <cell r="CN347">
            <v>0</v>
          </cell>
          <cell r="CS347">
            <v>0</v>
          </cell>
        </row>
        <row r="348">
          <cell r="A348" t="str">
            <v>Annualized Total Aircraft Rent</v>
          </cell>
          <cell r="AV348">
            <v>128</v>
          </cell>
          <cell r="AW348">
            <v>128</v>
          </cell>
          <cell r="AX348">
            <v>124</v>
          </cell>
          <cell r="AY348">
            <v>124</v>
          </cell>
          <cell r="AZ348">
            <v>126</v>
          </cell>
          <cell r="BA348">
            <v>124</v>
          </cell>
          <cell r="BB348">
            <v>124</v>
          </cell>
          <cell r="BC348">
            <v>124</v>
          </cell>
          <cell r="BD348">
            <v>132</v>
          </cell>
          <cell r="BE348">
            <v>126</v>
          </cell>
          <cell r="BF348">
            <v>136</v>
          </cell>
          <cell r="BG348">
            <v>144</v>
          </cell>
          <cell r="BH348">
            <v>128</v>
          </cell>
          <cell r="BI348">
            <v>132</v>
          </cell>
          <cell r="BJ348">
            <v>135</v>
          </cell>
          <cell r="BK348">
            <v>132</v>
          </cell>
          <cell r="BL348">
            <v>132</v>
          </cell>
          <cell r="BM348">
            <v>128</v>
          </cell>
          <cell r="BN348">
            <v>128</v>
          </cell>
          <cell r="BO348">
            <v>130</v>
          </cell>
          <cell r="BT348">
            <v>128</v>
          </cell>
          <cell r="BY348">
            <v>124</v>
          </cell>
          <cell r="CD348">
            <v>118.93761194029851</v>
          </cell>
          <cell r="CI348">
            <v>105.93264748453566</v>
          </cell>
          <cell r="CN348">
            <v>104.10290175525731</v>
          </cell>
          <cell r="CS348">
            <v>101.47317193265711</v>
          </cell>
        </row>
        <row r="349">
          <cell r="A349" t="str">
            <v>Mainline Rent Adj. Debt Net of Total Cash and Converts</v>
          </cell>
          <cell r="AV349">
            <v>3024.2830000000004</v>
          </cell>
          <cell r="AW349">
            <v>2997.2830000000004</v>
          </cell>
          <cell r="AX349">
            <v>2496.2830000000004</v>
          </cell>
          <cell r="AY349">
            <v>2502.2830000000004</v>
          </cell>
          <cell r="AZ349">
            <v>2516.2830000000004</v>
          </cell>
          <cell r="BA349">
            <v>2328.2830000000004</v>
          </cell>
          <cell r="BB349">
            <v>2304.2830000000004</v>
          </cell>
          <cell r="BC349">
            <v>2248.2830000000004</v>
          </cell>
          <cell r="BD349">
            <v>2345.2830000000004</v>
          </cell>
          <cell r="BE349">
            <v>2303.2830000000004</v>
          </cell>
          <cell r="BF349">
            <v>2278.2830000000004</v>
          </cell>
          <cell r="BG349">
            <v>2269.2830000000004</v>
          </cell>
          <cell r="BH349">
            <v>2199.2830000000004</v>
          </cell>
          <cell r="BI349">
            <v>2278.2830000000004</v>
          </cell>
          <cell r="BJ349">
            <v>2299.2830000000004</v>
          </cell>
          <cell r="BK349">
            <v>2186.2830000000004</v>
          </cell>
          <cell r="BL349">
            <v>2097.2830000000004</v>
          </cell>
          <cell r="BM349">
            <v>2197.2830000000004</v>
          </cell>
          <cell r="BN349">
            <v>2378.2830000000004</v>
          </cell>
          <cell r="BO349">
            <v>2392.2830000000004</v>
          </cell>
          <cell r="BT349">
            <v>2232.2830000000004</v>
          </cell>
          <cell r="BY349">
            <v>1821.2830000000004</v>
          </cell>
          <cell r="CD349">
            <v>1401.4927352727848</v>
          </cell>
          <cell r="CI349">
            <v>780.16617713242181</v>
          </cell>
          <cell r="CN349">
            <v>226.87248912419113</v>
          </cell>
          <cell r="CS349">
            <v>994</v>
          </cell>
        </row>
        <row r="350">
          <cell r="A350" t="str">
            <v>Mainline Rent Adj. Debt Net of Total Cash and Converts</v>
          </cell>
          <cell r="AV350">
            <v>3024.2830000000004</v>
          </cell>
          <cell r="AW350">
            <v>2997.2830000000004</v>
          </cell>
          <cell r="AX350">
            <v>2496.2830000000004</v>
          </cell>
          <cell r="AY350">
            <v>2502.2830000000004</v>
          </cell>
          <cell r="AZ350">
            <v>2516.2830000000004</v>
          </cell>
          <cell r="BA350">
            <v>2328.2830000000004</v>
          </cell>
          <cell r="BB350">
            <v>2304.2830000000004</v>
          </cell>
          <cell r="BC350">
            <v>2248.2830000000004</v>
          </cell>
          <cell r="BD350">
            <v>2345.2830000000004</v>
          </cell>
          <cell r="BE350">
            <v>2303.2830000000004</v>
          </cell>
          <cell r="BF350">
            <v>2278.2830000000004</v>
          </cell>
          <cell r="BG350">
            <v>2269.2830000000004</v>
          </cell>
          <cell r="BH350">
            <v>2199.2830000000004</v>
          </cell>
          <cell r="BI350">
            <v>2278.2830000000004</v>
          </cell>
          <cell r="BJ350">
            <v>2299.2830000000004</v>
          </cell>
          <cell r="BK350">
            <v>2186.2830000000004</v>
          </cell>
          <cell r="BL350">
            <v>2097.2830000000004</v>
          </cell>
          <cell r="BM350">
            <v>2197.2830000000004</v>
          </cell>
          <cell r="BN350">
            <v>2378.2830000000004</v>
          </cell>
          <cell r="BO350">
            <v>2392.2830000000004</v>
          </cell>
          <cell r="BT350">
            <v>2232.2830000000004</v>
          </cell>
          <cell r="BY350">
            <v>1821.2830000000004</v>
          </cell>
          <cell r="CD350">
            <v>1386.5281145210288</v>
          </cell>
          <cell r="CI350">
            <v>557.43949527521568</v>
          </cell>
          <cell r="CN350">
            <v>-161.29891718566387</v>
          </cell>
          <cell r="CS350">
            <v>-940.26079717235427</v>
          </cell>
        </row>
        <row r="351">
          <cell r="A351" t="str">
            <v>Mainline Rent Adj. Debt Net of Unrest. Cash and Converts</v>
          </cell>
          <cell r="AV351">
            <v>3234.2830000000004</v>
          </cell>
          <cell r="AW351">
            <v>3163.2830000000004</v>
          </cell>
          <cell r="AX351">
            <v>2609.2830000000004</v>
          </cell>
          <cell r="AY351">
            <v>2579.2830000000004</v>
          </cell>
          <cell r="AZ351">
            <v>2593.2830000000004</v>
          </cell>
          <cell r="BA351">
            <v>2399.2830000000004</v>
          </cell>
          <cell r="BB351">
            <v>2374.2830000000004</v>
          </cell>
          <cell r="BC351">
            <v>2317.2830000000004</v>
          </cell>
          <cell r="BD351">
            <v>2413.2830000000004</v>
          </cell>
          <cell r="BE351">
            <v>2371.2830000000004</v>
          </cell>
          <cell r="BF351">
            <v>2344.2830000000004</v>
          </cell>
          <cell r="BG351">
            <v>2334.2830000000004</v>
          </cell>
          <cell r="BH351">
            <v>2263.2830000000004</v>
          </cell>
          <cell r="BI351">
            <v>2345.2830000000004</v>
          </cell>
          <cell r="BJ351">
            <v>2366.2830000000004</v>
          </cell>
          <cell r="BK351">
            <v>2251.2830000000004</v>
          </cell>
          <cell r="BL351">
            <v>2152.2830000000004</v>
          </cell>
          <cell r="BM351">
            <v>2252.2830000000004</v>
          </cell>
          <cell r="BN351">
            <v>2429.2830000000004</v>
          </cell>
          <cell r="BO351">
            <v>2443.2830000000004</v>
          </cell>
          <cell r="BT351">
            <v>2289.2830000000004</v>
          </cell>
          <cell r="BY351">
            <v>1882.2830000000004</v>
          </cell>
          <cell r="CD351">
            <v>1453.7815696383871</v>
          </cell>
          <cell r="CI351">
            <v>628.45052718880515</v>
          </cell>
          <cell r="CN351">
            <v>-84.60700271898736</v>
          </cell>
          <cell r="CS351">
            <v>-857.43352954834347</v>
          </cell>
        </row>
        <row r="352">
          <cell r="A352" t="str">
            <v>Total Rent Adj. Debt Net of Total Cash and Converts</v>
          </cell>
          <cell r="AV352">
            <v>3024.2830000000004</v>
          </cell>
          <cell r="AW352">
            <v>2997.2830000000004</v>
          </cell>
          <cell r="AX352">
            <v>2496.2830000000004</v>
          </cell>
          <cell r="AY352">
            <v>2502.2830000000004</v>
          </cell>
          <cell r="AZ352">
            <v>2516.2830000000004</v>
          </cell>
          <cell r="BA352">
            <v>2328.2830000000004</v>
          </cell>
          <cell r="BB352">
            <v>2304.2830000000004</v>
          </cell>
          <cell r="BC352">
            <v>2248.2830000000004</v>
          </cell>
          <cell r="BD352">
            <v>2345.2830000000004</v>
          </cell>
          <cell r="BE352">
            <v>2303.2830000000004</v>
          </cell>
          <cell r="BF352">
            <v>2278.2830000000004</v>
          </cell>
          <cell r="BG352">
            <v>2269.2830000000004</v>
          </cell>
          <cell r="BH352">
            <v>2199.2830000000004</v>
          </cell>
          <cell r="BI352">
            <v>2278.2830000000004</v>
          </cell>
          <cell r="BJ352">
            <v>2299.2830000000004</v>
          </cell>
          <cell r="BK352">
            <v>2186.2830000000004</v>
          </cell>
          <cell r="BL352">
            <v>2097.2830000000004</v>
          </cell>
          <cell r="BM352">
            <v>2197.2830000000004</v>
          </cell>
          <cell r="BN352">
            <v>2378.2830000000004</v>
          </cell>
          <cell r="BO352">
            <v>2392.2830000000004</v>
          </cell>
          <cell r="BT352">
            <v>2232.2830000000004</v>
          </cell>
          <cell r="BY352">
            <v>1821.2830000000004</v>
          </cell>
          <cell r="CD352">
            <v>1401.4927352727848</v>
          </cell>
          <cell r="CI352">
            <v>780.16617713242181</v>
          </cell>
          <cell r="CN352">
            <v>226.87248912419113</v>
          </cell>
          <cell r="CS352">
            <v>-536.97063672883928</v>
          </cell>
        </row>
        <row r="353">
          <cell r="A353" t="str">
            <v>Total Rent Adj. Debt Net of Total Cash and Converts</v>
          </cell>
          <cell r="AV353">
            <v>3024.2830000000004</v>
          </cell>
          <cell r="AW353">
            <v>2997.2830000000004</v>
          </cell>
          <cell r="AX353">
            <v>2496.2830000000004</v>
          </cell>
          <cell r="AY353">
            <v>2502.2830000000004</v>
          </cell>
          <cell r="AZ353">
            <v>2516.2830000000004</v>
          </cell>
          <cell r="BA353">
            <v>2328.2830000000004</v>
          </cell>
          <cell r="BB353">
            <v>2304.2830000000004</v>
          </cell>
          <cell r="BC353">
            <v>2248.2830000000004</v>
          </cell>
          <cell r="BD353">
            <v>2345.2830000000004</v>
          </cell>
          <cell r="BE353">
            <v>2303.2830000000004</v>
          </cell>
          <cell r="BF353">
            <v>2278.2830000000004</v>
          </cell>
          <cell r="BG353">
            <v>2269.2830000000004</v>
          </cell>
          <cell r="BH353">
            <v>2199.2830000000004</v>
          </cell>
          <cell r="BI353">
            <v>2278.2830000000004</v>
          </cell>
          <cell r="BJ353">
            <v>2299.2830000000004</v>
          </cell>
          <cell r="BK353">
            <v>2186.2830000000004</v>
          </cell>
          <cell r="BL353">
            <v>2097.2830000000004</v>
          </cell>
          <cell r="BM353">
            <v>2197.2830000000004</v>
          </cell>
          <cell r="BN353">
            <v>2378.2830000000004</v>
          </cell>
          <cell r="BO353">
            <v>2392.2830000000004</v>
          </cell>
          <cell r="BT353">
            <v>2232.2830000000004</v>
          </cell>
          <cell r="BY353">
            <v>1821.2830000000004</v>
          </cell>
          <cell r="CD353">
            <v>1386.5281145210288</v>
          </cell>
          <cell r="CI353">
            <v>557.43949527521568</v>
          </cell>
          <cell r="CN353">
            <v>-161.29891718566387</v>
          </cell>
          <cell r="CS353">
            <v>-940.26079717235427</v>
          </cell>
        </row>
        <row r="354">
          <cell r="A354" t="str">
            <v>Total Rent Adj. Debt Net of Unrest. Cash and Converts</v>
          </cell>
          <cell r="AV354">
            <v>3234.2830000000004</v>
          </cell>
          <cell r="AW354">
            <v>3163.2830000000004</v>
          </cell>
          <cell r="AX354">
            <v>2609.2830000000004</v>
          </cell>
          <cell r="AY354">
            <v>2579.2830000000004</v>
          </cell>
          <cell r="AZ354">
            <v>2593.2830000000004</v>
          </cell>
          <cell r="BA354">
            <v>2399.2830000000004</v>
          </cell>
          <cell r="BB354">
            <v>2374.2830000000004</v>
          </cell>
          <cell r="BC354">
            <v>2317.2830000000004</v>
          </cell>
          <cell r="BD354">
            <v>2413.2830000000004</v>
          </cell>
          <cell r="BE354">
            <v>2371.2830000000004</v>
          </cell>
          <cell r="BF354">
            <v>2344.2830000000004</v>
          </cell>
          <cell r="BG354">
            <v>2334.2830000000004</v>
          </cell>
          <cell r="BH354">
            <v>2263.2830000000004</v>
          </cell>
          <cell r="BI354">
            <v>2345.2830000000004</v>
          </cell>
          <cell r="BJ354">
            <v>2366.2830000000004</v>
          </cell>
          <cell r="BK354">
            <v>2251.2830000000004</v>
          </cell>
          <cell r="BL354">
            <v>2152.2830000000004</v>
          </cell>
          <cell r="BM354">
            <v>2252.2830000000004</v>
          </cell>
          <cell r="BN354">
            <v>2429.2830000000004</v>
          </cell>
          <cell r="BO354">
            <v>2443.2830000000004</v>
          </cell>
          <cell r="BT354">
            <v>2289.2830000000004</v>
          </cell>
          <cell r="BY354">
            <v>1882.2830000000004</v>
          </cell>
          <cell r="CD354">
            <v>1453.7815696383871</v>
          </cell>
          <cell r="CI354">
            <v>628.45052718880515</v>
          </cell>
          <cell r="CN354">
            <v>-84.60700271898736</v>
          </cell>
          <cell r="CS354">
            <v>-857.43352954834347</v>
          </cell>
        </row>
        <row r="355">
          <cell r="A355" t="str">
            <v>Market Value of Equity Calculations</v>
          </cell>
          <cell r="AV355">
            <v>316</v>
          </cell>
          <cell r="AW355">
            <v>323</v>
          </cell>
          <cell r="AX355">
            <v>332</v>
          </cell>
          <cell r="AY355">
            <v>332</v>
          </cell>
          <cell r="AZ355">
            <v>332</v>
          </cell>
          <cell r="BA355">
            <v>332</v>
          </cell>
          <cell r="BB355">
            <v>346</v>
          </cell>
          <cell r="BC355">
            <v>347</v>
          </cell>
          <cell r="BD355">
            <v>348</v>
          </cell>
          <cell r="BE355">
            <v>348</v>
          </cell>
          <cell r="BF355">
            <v>348</v>
          </cell>
          <cell r="BG355">
            <v>348</v>
          </cell>
          <cell r="BH355">
            <v>348</v>
          </cell>
          <cell r="BI355">
            <v>348</v>
          </cell>
          <cell r="BJ355">
            <v>348</v>
          </cell>
          <cell r="BK355">
            <v>348</v>
          </cell>
          <cell r="BL355">
            <v>348</v>
          </cell>
          <cell r="BM355">
            <v>348</v>
          </cell>
          <cell r="BN355">
            <v>348</v>
          </cell>
          <cell r="BO355">
            <v>348</v>
          </cell>
          <cell r="BT355">
            <v>348</v>
          </cell>
          <cell r="BY355">
            <v>348</v>
          </cell>
          <cell r="CD355">
            <v>348</v>
          </cell>
          <cell r="CI355">
            <v>348</v>
          </cell>
          <cell r="CN355">
            <v>348</v>
          </cell>
          <cell r="CS355">
            <v>103.43229423488739</v>
          </cell>
        </row>
        <row r="356">
          <cell r="A356" t="str">
            <v>Diluted Shares Outstanding</v>
          </cell>
          <cell r="AV356">
            <v>316</v>
          </cell>
          <cell r="AW356">
            <v>323</v>
          </cell>
          <cell r="AX356">
            <v>332</v>
          </cell>
          <cell r="AY356">
            <v>332</v>
          </cell>
          <cell r="AZ356">
            <v>332</v>
          </cell>
          <cell r="BA356">
            <v>332</v>
          </cell>
          <cell r="BB356">
            <v>346</v>
          </cell>
          <cell r="BC356">
            <v>347</v>
          </cell>
          <cell r="BD356">
            <v>348</v>
          </cell>
          <cell r="BE356">
            <v>348</v>
          </cell>
          <cell r="BF356">
            <v>348</v>
          </cell>
          <cell r="BG356">
            <v>348</v>
          </cell>
          <cell r="BH356">
            <v>348</v>
          </cell>
          <cell r="BI356">
            <v>348</v>
          </cell>
          <cell r="BJ356">
            <v>348</v>
          </cell>
          <cell r="BK356">
            <v>348</v>
          </cell>
          <cell r="BL356">
            <v>348</v>
          </cell>
          <cell r="BM356">
            <v>348</v>
          </cell>
          <cell r="BN356">
            <v>348</v>
          </cell>
          <cell r="BO356">
            <v>348</v>
          </cell>
          <cell r="BT356">
            <v>348</v>
          </cell>
          <cell r="BY356">
            <v>348</v>
          </cell>
          <cell r="CD356">
            <v>348</v>
          </cell>
          <cell r="CI356">
            <v>348</v>
          </cell>
          <cell r="CN356">
            <v>348</v>
          </cell>
          <cell r="CS356">
            <v>348</v>
          </cell>
        </row>
        <row r="357">
          <cell r="A357" t="str">
            <v>Share Price</v>
          </cell>
          <cell r="AV357">
            <v>3.65</v>
          </cell>
          <cell r="AW357">
            <v>4.2699999999999996</v>
          </cell>
          <cell r="AX357">
            <v>5.98</v>
          </cell>
          <cell r="AY357">
            <v>5.45</v>
          </cell>
          <cell r="AZ357">
            <v>5.45</v>
          </cell>
          <cell r="BA357">
            <v>5.58</v>
          </cell>
          <cell r="BB357">
            <v>5.49</v>
          </cell>
          <cell r="BC357">
            <v>6.69</v>
          </cell>
          <cell r="BD357">
            <v>6.61</v>
          </cell>
          <cell r="BE357">
            <v>6.61</v>
          </cell>
          <cell r="BF357">
            <v>6.27</v>
          </cell>
          <cell r="BG357">
            <v>6.05</v>
          </cell>
          <cell r="BH357">
            <v>6.05</v>
          </cell>
          <cell r="BI357">
            <v>6.05</v>
          </cell>
          <cell r="BJ357">
            <v>6.05</v>
          </cell>
          <cell r="BK357">
            <v>6.05</v>
          </cell>
          <cell r="BL357">
            <v>6.05</v>
          </cell>
          <cell r="BM357">
            <v>6.05</v>
          </cell>
          <cell r="BN357">
            <v>6.05</v>
          </cell>
          <cell r="BO357">
            <v>6.05</v>
          </cell>
          <cell r="BT357">
            <v>6.05</v>
          </cell>
          <cell r="BY357">
            <v>6.05</v>
          </cell>
          <cell r="CD357">
            <v>6.05</v>
          </cell>
          <cell r="CI357">
            <v>6.05</v>
          </cell>
          <cell r="CN357">
            <v>6.05</v>
          </cell>
          <cell r="CS357">
            <v>6.05</v>
          </cell>
        </row>
        <row r="358">
          <cell r="A358" t="str">
            <v>Enterprise Value Calculations</v>
          </cell>
          <cell r="AV358">
            <v>3281.683</v>
          </cell>
          <cell r="AW358">
            <v>3480.4930000000004</v>
          </cell>
          <cell r="AX358">
            <v>3613.6430000000005</v>
          </cell>
          <cell r="AY358">
            <v>3443.6830000000004</v>
          </cell>
          <cell r="AZ358">
            <v>3443.6830000000004</v>
          </cell>
          <cell r="BA358">
            <v>3312.8429999999998</v>
          </cell>
          <cell r="BB358">
            <v>3335.8230000000003</v>
          </cell>
          <cell r="BC358">
            <v>3701.7130000000006</v>
          </cell>
          <cell r="BD358">
            <v>3721.5630000000001</v>
          </cell>
          <cell r="BE358">
            <v>3721.5630000000006</v>
          </cell>
          <cell r="BF358">
            <v>3508.2430000000004</v>
          </cell>
          <cell r="BG358">
            <v>3366.6830000000004</v>
          </cell>
          <cell r="BH358">
            <v>3408.6830000000004</v>
          </cell>
          <cell r="BI358">
            <v>3459.6830000000004</v>
          </cell>
          <cell r="BJ358">
            <v>3459.6830000000004</v>
          </cell>
          <cell r="BK358">
            <v>3367.6830000000004</v>
          </cell>
          <cell r="BL358">
            <v>3278.6830000000004</v>
          </cell>
          <cell r="BM358">
            <v>3406.6830000000004</v>
          </cell>
          <cell r="BN358">
            <v>3587.6830000000004</v>
          </cell>
          <cell r="BO358">
            <v>3587.6830000000004</v>
          </cell>
          <cell r="BT358">
            <v>3441.6830000000004</v>
          </cell>
          <cell r="BY358">
            <v>3058.6830000000004</v>
          </cell>
          <cell r="CD358">
            <v>2640.3933820389539</v>
          </cell>
          <cell r="CI358">
            <v>2019.0668238985911</v>
          </cell>
          <cell r="CN358">
            <v>1462.6222291513284</v>
          </cell>
        </row>
        <row r="359">
          <cell r="A359" t="str">
            <v>EV on Debt Net of Total Cash and Converts</v>
          </cell>
          <cell r="AV359">
            <v>3281.683</v>
          </cell>
          <cell r="AW359">
            <v>3480.4930000000004</v>
          </cell>
          <cell r="AX359">
            <v>3613.6430000000005</v>
          </cell>
          <cell r="AY359">
            <v>3443.6830000000004</v>
          </cell>
          <cell r="AZ359">
            <v>3443.6830000000004</v>
          </cell>
          <cell r="BA359">
            <v>3312.8429999999998</v>
          </cell>
          <cell r="BB359">
            <v>3335.8230000000003</v>
          </cell>
          <cell r="BC359">
            <v>3701.7130000000006</v>
          </cell>
          <cell r="BD359">
            <v>3721.5630000000001</v>
          </cell>
          <cell r="BE359">
            <v>3721.5630000000006</v>
          </cell>
          <cell r="BF359">
            <v>3508.2430000000004</v>
          </cell>
          <cell r="BG359">
            <v>3366.6830000000004</v>
          </cell>
          <cell r="BH359">
            <v>3408.6830000000004</v>
          </cell>
          <cell r="BI359">
            <v>3459.6830000000004</v>
          </cell>
          <cell r="BJ359">
            <v>3459.6830000000004</v>
          </cell>
          <cell r="BK359">
            <v>3367.6830000000004</v>
          </cell>
          <cell r="BL359">
            <v>3278.6830000000004</v>
          </cell>
          <cell r="BM359">
            <v>3406.6830000000004</v>
          </cell>
          <cell r="BN359">
            <v>3587.6830000000004</v>
          </cell>
          <cell r="BO359">
            <v>3587.6830000000004</v>
          </cell>
          <cell r="BT359">
            <v>3441.6830000000004</v>
          </cell>
          <cell r="BY359">
            <v>3058.6830000000004</v>
          </cell>
          <cell r="CD359">
            <v>2659.3648309389396</v>
          </cell>
          <cell r="CI359">
            <v>1921.3109628834661</v>
          </cell>
          <cell r="CN359">
            <v>1215.3807705275351</v>
          </cell>
          <cell r="CS359">
            <v>454.82699929904607</v>
          </cell>
        </row>
        <row r="360">
          <cell r="A360" t="str">
            <v>EV on Debt Net of Unrest. Cash and Converts</v>
          </cell>
          <cell r="AV360">
            <v>3491.683</v>
          </cell>
          <cell r="AW360">
            <v>3646.4930000000004</v>
          </cell>
          <cell r="AX360">
            <v>3726.6430000000005</v>
          </cell>
          <cell r="AY360">
            <v>3520.6830000000004</v>
          </cell>
          <cell r="AZ360">
            <v>3520.6830000000004</v>
          </cell>
          <cell r="BA360">
            <v>3383.8429999999998</v>
          </cell>
          <cell r="BB360">
            <v>3405.8230000000003</v>
          </cell>
          <cell r="BC360">
            <v>3770.7130000000006</v>
          </cell>
          <cell r="BD360">
            <v>3789.5630000000001</v>
          </cell>
          <cell r="BE360">
            <v>3789.5630000000006</v>
          </cell>
          <cell r="BF360">
            <v>3574.2430000000004</v>
          </cell>
          <cell r="BG360">
            <v>3431.6830000000004</v>
          </cell>
          <cell r="BH360">
            <v>3472.6830000000004</v>
          </cell>
          <cell r="BI360">
            <v>3526.6830000000004</v>
          </cell>
          <cell r="BJ360">
            <v>3526.6830000000004</v>
          </cell>
          <cell r="BK360">
            <v>3432.6830000000004</v>
          </cell>
          <cell r="BL360">
            <v>3333.6830000000004</v>
          </cell>
          <cell r="BM360">
            <v>3461.6830000000004</v>
          </cell>
          <cell r="BN360">
            <v>3638.6830000000004</v>
          </cell>
          <cell r="BO360">
            <v>3638.6830000000004</v>
          </cell>
          <cell r="BT360">
            <v>3498.6830000000004</v>
          </cell>
          <cell r="BY360">
            <v>3119.6830000000004</v>
          </cell>
          <cell r="CD360">
            <v>2726.6182860562976</v>
          </cell>
          <cell r="CI360">
            <v>1992.3219947970556</v>
          </cell>
          <cell r="CN360">
            <v>1292.0726849942116</v>
          </cell>
          <cell r="CS360">
            <v>537.65426692305687</v>
          </cell>
        </row>
        <row r="361">
          <cell r="A361" t="str">
            <v>EV on Mainline Rent Adj. Debt Net of Total Cash and Converts</v>
          </cell>
          <cell r="AV361">
            <v>4177.683</v>
          </cell>
          <cell r="AW361">
            <v>4376.4930000000004</v>
          </cell>
          <cell r="AX361">
            <v>4481.643</v>
          </cell>
          <cell r="AY361">
            <v>4311.6830000000009</v>
          </cell>
          <cell r="AZ361">
            <v>4325.6830000000009</v>
          </cell>
          <cell r="BA361">
            <v>4180.8430000000008</v>
          </cell>
          <cell r="BB361">
            <v>4203.8230000000003</v>
          </cell>
          <cell r="BC361">
            <v>4569.7130000000006</v>
          </cell>
          <cell r="BD361">
            <v>4645.5630000000001</v>
          </cell>
          <cell r="BE361">
            <v>4603.5630000000001</v>
          </cell>
          <cell r="BF361">
            <v>4460.2430000000004</v>
          </cell>
          <cell r="BG361">
            <v>4374.6830000000009</v>
          </cell>
          <cell r="BH361">
            <v>4304.6830000000009</v>
          </cell>
          <cell r="BI361">
            <v>4383.6830000000009</v>
          </cell>
          <cell r="BJ361">
            <v>4404.6830000000009</v>
          </cell>
          <cell r="BK361">
            <v>4291.6830000000009</v>
          </cell>
          <cell r="BL361">
            <v>4202.6830000000009</v>
          </cell>
          <cell r="BM361">
            <v>4302.6830000000009</v>
          </cell>
          <cell r="BN361">
            <v>4483.6830000000009</v>
          </cell>
          <cell r="BO361">
            <v>4497.6830000000009</v>
          </cell>
          <cell r="BT361">
            <v>4337.6830000000009</v>
          </cell>
          <cell r="BY361">
            <v>3926.6830000000004</v>
          </cell>
          <cell r="CD361">
            <v>3506.8927352727851</v>
          </cell>
          <cell r="CI361">
            <v>2885.5661771324221</v>
          </cell>
          <cell r="CN361">
            <v>2332.2724891241915</v>
          </cell>
        </row>
        <row r="362">
          <cell r="A362" t="str">
            <v>EV on Mainline Rent Adj. Debt Net of Total Cash and Converts</v>
          </cell>
          <cell r="AV362">
            <v>4177.683</v>
          </cell>
          <cell r="AW362">
            <v>4376.4930000000004</v>
          </cell>
          <cell r="AX362">
            <v>4481.643</v>
          </cell>
          <cell r="AY362">
            <v>4311.6830000000009</v>
          </cell>
          <cell r="AZ362">
            <v>4325.6830000000009</v>
          </cell>
          <cell r="BA362">
            <v>4180.8430000000008</v>
          </cell>
          <cell r="BB362">
            <v>4203.8230000000003</v>
          </cell>
          <cell r="BC362">
            <v>4569.7130000000006</v>
          </cell>
          <cell r="BD362">
            <v>4645.5630000000001</v>
          </cell>
          <cell r="BE362">
            <v>4603.5630000000001</v>
          </cell>
          <cell r="BF362">
            <v>4460.2430000000004</v>
          </cell>
          <cell r="BG362">
            <v>4374.6830000000009</v>
          </cell>
          <cell r="BH362">
            <v>4304.6830000000009</v>
          </cell>
          <cell r="BI362">
            <v>4383.6830000000009</v>
          </cell>
          <cell r="BJ362">
            <v>4404.6830000000009</v>
          </cell>
          <cell r="BK362">
            <v>4291.6830000000009</v>
          </cell>
          <cell r="BL362">
            <v>4202.6830000000009</v>
          </cell>
          <cell r="BM362">
            <v>4302.6830000000009</v>
          </cell>
          <cell r="BN362">
            <v>4483.6830000000009</v>
          </cell>
          <cell r="BO362">
            <v>4497.6830000000009</v>
          </cell>
          <cell r="BT362">
            <v>4337.6830000000009</v>
          </cell>
          <cell r="BY362">
            <v>3926.6830000000004</v>
          </cell>
          <cell r="CD362">
            <v>3491.9281145210289</v>
          </cell>
          <cell r="CI362">
            <v>2662.839495275216</v>
          </cell>
          <cell r="CN362">
            <v>1944.1010828143362</v>
          </cell>
          <cell r="CS362">
            <v>1165.1392028276459</v>
          </cell>
        </row>
        <row r="363">
          <cell r="A363" t="str">
            <v>EV on Mainline Rent Adj. Debt Net of Unrest. Cash and Converts</v>
          </cell>
          <cell r="AV363">
            <v>4387.683</v>
          </cell>
          <cell r="AW363">
            <v>4542.4930000000004</v>
          </cell>
          <cell r="AX363">
            <v>4594.643</v>
          </cell>
          <cell r="AY363">
            <v>4388.6830000000009</v>
          </cell>
          <cell r="AZ363">
            <v>4402.6830000000009</v>
          </cell>
          <cell r="BA363">
            <v>4251.8430000000008</v>
          </cell>
          <cell r="BB363">
            <v>4273.8230000000003</v>
          </cell>
          <cell r="BC363">
            <v>4638.7130000000006</v>
          </cell>
          <cell r="BD363">
            <v>4713.5630000000001</v>
          </cell>
          <cell r="BE363">
            <v>4671.5630000000001</v>
          </cell>
          <cell r="BF363">
            <v>4526.2430000000004</v>
          </cell>
          <cell r="BG363">
            <v>4439.6830000000009</v>
          </cell>
          <cell r="BH363">
            <v>4368.6830000000009</v>
          </cell>
          <cell r="BI363">
            <v>4450.6830000000009</v>
          </cell>
          <cell r="BJ363">
            <v>4471.6830000000009</v>
          </cell>
          <cell r="BK363">
            <v>4356.6830000000009</v>
          </cell>
          <cell r="BL363">
            <v>4257.6830000000009</v>
          </cell>
          <cell r="BM363">
            <v>4357.6830000000009</v>
          </cell>
          <cell r="BN363">
            <v>4534.6830000000009</v>
          </cell>
          <cell r="BO363">
            <v>4548.6830000000009</v>
          </cell>
          <cell r="BT363">
            <v>4394.6830000000009</v>
          </cell>
          <cell r="BY363">
            <v>3987.6830000000004</v>
          </cell>
          <cell r="CD363">
            <v>3559.1815696383874</v>
          </cell>
          <cell r="CI363">
            <v>2733.8505271888052</v>
          </cell>
          <cell r="CN363">
            <v>2020.7929972810127</v>
          </cell>
          <cell r="CS363">
            <v>1247.9664704516567</v>
          </cell>
        </row>
        <row r="364">
          <cell r="A364" t="str">
            <v>EV on Total Rent Adj. Debt Net of Total Cash and Converts</v>
          </cell>
          <cell r="AV364">
            <v>4177.683</v>
          </cell>
          <cell r="AW364">
            <v>4376.4930000000004</v>
          </cell>
          <cell r="AX364">
            <v>4481.643</v>
          </cell>
          <cell r="AY364">
            <v>4311.6830000000009</v>
          </cell>
          <cell r="AZ364">
            <v>4325.6830000000009</v>
          </cell>
          <cell r="BA364">
            <v>4180.8430000000008</v>
          </cell>
          <cell r="BB364">
            <v>4203.8230000000003</v>
          </cell>
          <cell r="BC364">
            <v>4569.7130000000006</v>
          </cell>
          <cell r="BD364">
            <v>4645.5630000000001</v>
          </cell>
          <cell r="BE364">
            <v>4603.5630000000001</v>
          </cell>
          <cell r="BF364">
            <v>4460.2430000000004</v>
          </cell>
          <cell r="BG364">
            <v>4374.6830000000009</v>
          </cell>
          <cell r="BH364">
            <v>4304.6830000000009</v>
          </cell>
          <cell r="BI364">
            <v>4383.6830000000009</v>
          </cell>
          <cell r="BJ364">
            <v>4404.6830000000009</v>
          </cell>
          <cell r="BK364">
            <v>4291.6830000000009</v>
          </cell>
          <cell r="BL364">
            <v>4202.6830000000009</v>
          </cell>
          <cell r="BM364">
            <v>4302.6830000000009</v>
          </cell>
          <cell r="BN364">
            <v>4483.6830000000009</v>
          </cell>
          <cell r="BO364">
            <v>4497.6830000000009</v>
          </cell>
          <cell r="BT364">
            <v>4337.6830000000009</v>
          </cell>
          <cell r="BY364">
            <v>3926.6830000000004</v>
          </cell>
          <cell r="CD364">
            <v>3506.8927352727851</v>
          </cell>
          <cell r="CI364">
            <v>2885.5661771324221</v>
          </cell>
          <cell r="CN364">
            <v>2332.2724891241915</v>
          </cell>
        </row>
        <row r="365">
          <cell r="A365" t="str">
            <v>EV on Total Rent Adj. Debt Net of Total Cash and Converts</v>
          </cell>
          <cell r="AV365">
            <v>4177.683</v>
          </cell>
          <cell r="AW365">
            <v>4376.4930000000004</v>
          </cell>
          <cell r="AX365">
            <v>4481.643</v>
          </cell>
          <cell r="AY365">
            <v>4311.6830000000009</v>
          </cell>
          <cell r="AZ365">
            <v>4325.6830000000009</v>
          </cell>
          <cell r="BA365">
            <v>4180.8430000000008</v>
          </cell>
          <cell r="BB365">
            <v>4203.8230000000003</v>
          </cell>
          <cell r="BC365">
            <v>4569.7130000000006</v>
          </cell>
          <cell r="BD365">
            <v>4645.5630000000001</v>
          </cell>
          <cell r="BE365">
            <v>4603.5630000000001</v>
          </cell>
          <cell r="BF365">
            <v>4460.2430000000004</v>
          </cell>
          <cell r="BG365">
            <v>4374.6830000000009</v>
          </cell>
          <cell r="BH365">
            <v>4304.6830000000009</v>
          </cell>
          <cell r="BI365">
            <v>4383.6830000000009</v>
          </cell>
          <cell r="BJ365">
            <v>4404.6830000000009</v>
          </cell>
          <cell r="BK365">
            <v>4291.6830000000009</v>
          </cell>
          <cell r="BL365">
            <v>4202.6830000000009</v>
          </cell>
          <cell r="BM365">
            <v>4302.6830000000009</v>
          </cell>
          <cell r="BN365">
            <v>4483.6830000000009</v>
          </cell>
          <cell r="BO365">
            <v>4497.6830000000009</v>
          </cell>
          <cell r="BT365">
            <v>4337.6830000000009</v>
          </cell>
          <cell r="BY365">
            <v>3926.6830000000004</v>
          </cell>
          <cell r="CD365">
            <v>3491.9281145210289</v>
          </cell>
          <cell r="CI365">
            <v>2662.839495275216</v>
          </cell>
          <cell r="CN365">
            <v>1944.1010828143362</v>
          </cell>
          <cell r="CS365">
            <v>1165.1392028276459</v>
          </cell>
        </row>
        <row r="366">
          <cell r="A366" t="str">
            <v>EV on Total Rent Adj. Debt Net of Unrest. Cash and Converts</v>
          </cell>
          <cell r="AV366">
            <v>4387.683</v>
          </cell>
          <cell r="AW366">
            <v>4542.4930000000004</v>
          </cell>
          <cell r="AX366">
            <v>4594.643</v>
          </cell>
          <cell r="AY366">
            <v>4388.6830000000009</v>
          </cell>
          <cell r="AZ366">
            <v>4402.6830000000009</v>
          </cell>
          <cell r="BA366">
            <v>4251.8430000000008</v>
          </cell>
          <cell r="BB366">
            <v>4273.8230000000003</v>
          </cell>
          <cell r="BC366">
            <v>4638.7130000000006</v>
          </cell>
          <cell r="BD366">
            <v>4713.5630000000001</v>
          </cell>
          <cell r="BE366">
            <v>4671.5630000000001</v>
          </cell>
          <cell r="BF366">
            <v>4526.2430000000004</v>
          </cell>
          <cell r="BG366">
            <v>4439.6830000000009</v>
          </cell>
          <cell r="BH366">
            <v>4368.6830000000009</v>
          </cell>
          <cell r="BI366">
            <v>4450.6830000000009</v>
          </cell>
          <cell r="BJ366">
            <v>4471.6830000000009</v>
          </cell>
          <cell r="BK366">
            <v>4356.6830000000009</v>
          </cell>
          <cell r="BL366">
            <v>4257.6830000000009</v>
          </cell>
          <cell r="BM366">
            <v>4357.6830000000009</v>
          </cell>
          <cell r="BN366">
            <v>4534.6830000000009</v>
          </cell>
          <cell r="BO366">
            <v>4548.6830000000009</v>
          </cell>
          <cell r="BT366">
            <v>4394.6830000000009</v>
          </cell>
          <cell r="BY366">
            <v>3987.6830000000004</v>
          </cell>
          <cell r="CD366">
            <v>3559.1815696383874</v>
          </cell>
          <cell r="CI366">
            <v>2733.8505271888052</v>
          </cell>
          <cell r="CN366">
            <v>2020.7929972810127</v>
          </cell>
          <cell r="CS366">
            <v>1247.9664704516567</v>
          </cell>
        </row>
        <row r="367">
          <cell r="A367" t="str">
            <v>Income Statement Calculations</v>
          </cell>
          <cell r="AV367">
            <v>3367</v>
          </cell>
          <cell r="AW367">
            <v>3317</v>
          </cell>
          <cell r="AX367">
            <v>3270</v>
          </cell>
          <cell r="AY367">
            <v>3291</v>
          </cell>
          <cell r="AZ367">
            <v>3291</v>
          </cell>
          <cell r="BA367">
            <v>3366</v>
          </cell>
          <cell r="BB367">
            <v>3496</v>
          </cell>
          <cell r="BC367">
            <v>3671</v>
          </cell>
          <cell r="BD367">
            <v>3779</v>
          </cell>
          <cell r="BE367">
            <v>3779</v>
          </cell>
          <cell r="BF367">
            <v>3921</v>
          </cell>
          <cell r="BG367">
            <v>4133</v>
          </cell>
          <cell r="BH367">
            <v>4298</v>
          </cell>
          <cell r="BI367">
            <v>4504</v>
          </cell>
          <cell r="BJ367">
            <v>4504</v>
          </cell>
          <cell r="BK367">
            <v>4695</v>
          </cell>
          <cell r="BL367">
            <v>4821</v>
          </cell>
          <cell r="BM367">
            <v>4934</v>
          </cell>
          <cell r="BN367">
            <v>4982</v>
          </cell>
          <cell r="BO367">
            <v>4982</v>
          </cell>
          <cell r="BT367">
            <v>5441</v>
          </cell>
          <cell r="BY367">
            <v>5817</v>
          </cell>
          <cell r="CD367">
            <v>6422.325499999999</v>
          </cell>
          <cell r="CI367">
            <v>6948.794302906249</v>
          </cell>
          <cell r="CN367">
            <v>7507.6526671387492</v>
          </cell>
        </row>
        <row r="368">
          <cell r="A368" t="str">
            <v>LTM Operating Revenue</v>
          </cell>
          <cell r="AV368">
            <v>3367</v>
          </cell>
          <cell r="AW368">
            <v>3317</v>
          </cell>
          <cell r="AX368">
            <v>3270</v>
          </cell>
          <cell r="AY368">
            <v>3291</v>
          </cell>
          <cell r="AZ368">
            <v>3291</v>
          </cell>
          <cell r="BA368">
            <v>3366</v>
          </cell>
          <cell r="BB368">
            <v>3496</v>
          </cell>
          <cell r="BC368">
            <v>3671</v>
          </cell>
          <cell r="BD368">
            <v>3779</v>
          </cell>
          <cell r="BE368">
            <v>3779</v>
          </cell>
          <cell r="BF368">
            <v>3921</v>
          </cell>
          <cell r="BG368">
            <v>4133</v>
          </cell>
          <cell r="BH368">
            <v>4298</v>
          </cell>
          <cell r="BI368">
            <v>4504</v>
          </cell>
          <cell r="BJ368">
            <v>4504</v>
          </cell>
          <cell r="BK368">
            <v>4695</v>
          </cell>
          <cell r="BL368">
            <v>4821</v>
          </cell>
          <cell r="BM368">
            <v>4934</v>
          </cell>
          <cell r="BN368">
            <v>4982</v>
          </cell>
          <cell r="BO368">
            <v>4982</v>
          </cell>
          <cell r="BT368">
            <v>5441</v>
          </cell>
          <cell r="BY368">
            <v>5817</v>
          </cell>
          <cell r="CD368">
            <v>6407.0861588859743</v>
          </cell>
          <cell r="CI368">
            <v>6844.5488014640723</v>
          </cell>
          <cell r="CN368">
            <v>7395.2361099561986</v>
          </cell>
          <cell r="CS368">
            <v>7983.4661050058194</v>
          </cell>
        </row>
        <row r="369">
          <cell r="A369" t="str">
            <v>LTM EBIT</v>
          </cell>
          <cell r="AV369">
            <v>167.5</v>
          </cell>
          <cell r="AW369">
            <v>224.5</v>
          </cell>
          <cell r="AX369">
            <v>269.5</v>
          </cell>
          <cell r="AY369">
            <v>284.5</v>
          </cell>
          <cell r="AZ369">
            <v>284.5</v>
          </cell>
          <cell r="BA369">
            <v>251</v>
          </cell>
          <cell r="BB369">
            <v>267</v>
          </cell>
          <cell r="BC369">
            <v>339.79999999999995</v>
          </cell>
          <cell r="BD369">
            <v>332.9</v>
          </cell>
          <cell r="BE369">
            <v>332.89999999999964</v>
          </cell>
          <cell r="BF369">
            <v>335.9</v>
          </cell>
          <cell r="BG369">
            <v>327.9</v>
          </cell>
          <cell r="BH369">
            <v>296.10000000000002</v>
          </cell>
          <cell r="BI369">
            <v>322</v>
          </cell>
          <cell r="BJ369">
            <v>322</v>
          </cell>
          <cell r="BK369">
            <v>366</v>
          </cell>
          <cell r="BL369">
            <v>410</v>
          </cell>
          <cell r="BM369">
            <v>415</v>
          </cell>
          <cell r="BN369">
            <v>376</v>
          </cell>
          <cell r="BO369">
            <v>376</v>
          </cell>
          <cell r="BT369">
            <v>428</v>
          </cell>
          <cell r="BY369">
            <v>515</v>
          </cell>
          <cell r="CD369">
            <v>1239.3064585241018</v>
          </cell>
          <cell r="CI369">
            <v>1622.2896045707448</v>
          </cell>
          <cell r="CN369">
            <v>1529.6155372383328</v>
          </cell>
          <cell r="CS369">
            <v>1463.056360339936</v>
          </cell>
        </row>
        <row r="370">
          <cell r="A370" t="str">
            <v>LTM EBITDA</v>
          </cell>
          <cell r="AV370" t="e">
            <v>#REF!</v>
          </cell>
          <cell r="AW370" t="e">
            <v>#REF!</v>
          </cell>
          <cell r="AX370" t="e">
            <v>#REF!</v>
          </cell>
          <cell r="AY370" t="e">
            <v>#REF!</v>
          </cell>
          <cell r="AZ370" t="e">
            <v>#REF!</v>
          </cell>
          <cell r="BA370" t="e">
            <v>#REF!</v>
          </cell>
          <cell r="BB370" t="e">
            <v>#REF!</v>
          </cell>
          <cell r="BC370" t="e">
            <v>#REF!</v>
          </cell>
          <cell r="BD370" t="e">
            <v>#REF!</v>
          </cell>
          <cell r="BE370" t="e">
            <v>#REF!</v>
          </cell>
          <cell r="BF370" t="e">
            <v>#REF!</v>
          </cell>
          <cell r="BG370" t="e">
            <v>#REF!</v>
          </cell>
          <cell r="BH370" t="e">
            <v>#REF!</v>
          </cell>
          <cell r="BI370" t="e">
            <v>#REF!</v>
          </cell>
          <cell r="BJ370" t="e">
            <v>#REF!</v>
          </cell>
          <cell r="BK370" t="e">
            <v>#REF!</v>
          </cell>
          <cell r="BL370" t="e">
            <v>#REF!</v>
          </cell>
          <cell r="BM370" t="e">
            <v>#REF!</v>
          </cell>
          <cell r="BN370" t="e">
            <v>#REF!</v>
          </cell>
          <cell r="BO370" t="e">
            <v>#REF!</v>
          </cell>
          <cell r="BT370" t="e">
            <v>#REF!</v>
          </cell>
          <cell r="BY370" t="e">
            <v>#REF!</v>
          </cell>
          <cell r="CD370" t="e">
            <v>#REF!</v>
          </cell>
          <cell r="CI370" t="e">
            <v>#REF!</v>
          </cell>
          <cell r="CN370" t="e">
            <v>#REF!</v>
          </cell>
          <cell r="CS370" t="e">
            <v>#REF!</v>
          </cell>
        </row>
        <row r="371">
          <cell r="A371" t="str">
            <v>LTM Pre-Tax Income</v>
          </cell>
          <cell r="AV371">
            <v>20.399999999999999</v>
          </cell>
          <cell r="AW371">
            <v>62.599999999999994</v>
          </cell>
          <cell r="AX371">
            <v>87.6</v>
          </cell>
          <cell r="AY371">
            <v>103.6</v>
          </cell>
          <cell r="AZ371">
            <v>103.6</v>
          </cell>
          <cell r="BA371">
            <v>71.2</v>
          </cell>
          <cell r="BB371">
            <v>90</v>
          </cell>
          <cell r="BC371">
            <v>165.79999999999995</v>
          </cell>
          <cell r="BD371">
            <v>160.89999999999998</v>
          </cell>
          <cell r="BE371">
            <v>160.89999999999964</v>
          </cell>
          <cell r="BF371">
            <v>168.89999999999998</v>
          </cell>
          <cell r="BG371">
            <v>160.89999999999998</v>
          </cell>
          <cell r="BH371">
            <v>125.10000000000002</v>
          </cell>
          <cell r="BI371">
            <v>150</v>
          </cell>
          <cell r="BJ371">
            <v>150</v>
          </cell>
          <cell r="BK371">
            <v>193</v>
          </cell>
          <cell r="BL371">
            <v>236</v>
          </cell>
          <cell r="BM371">
            <v>248</v>
          </cell>
          <cell r="BN371">
            <v>209</v>
          </cell>
          <cell r="BO371">
            <v>209</v>
          </cell>
          <cell r="BT371">
            <v>279</v>
          </cell>
          <cell r="BY371">
            <v>381</v>
          </cell>
          <cell r="CD371">
            <v>1117.3064585241018</v>
          </cell>
          <cell r="CI371">
            <v>1526.2896045707448</v>
          </cell>
          <cell r="CN371">
            <v>1467.6564271962402</v>
          </cell>
          <cell r="CS371">
            <v>1436.2115016508199</v>
          </cell>
        </row>
        <row r="372">
          <cell r="A372" t="str">
            <v>LTM Net Income</v>
          </cell>
          <cell r="AV372">
            <v>7.6999999999999993</v>
          </cell>
          <cell r="AW372">
            <v>31.400000000000006</v>
          </cell>
          <cell r="AX372">
            <v>48.45</v>
          </cell>
          <cell r="AY372">
            <v>63.45</v>
          </cell>
          <cell r="AZ372">
            <v>63.449999999999996</v>
          </cell>
          <cell r="BA372">
            <v>39.25</v>
          </cell>
          <cell r="BB372">
            <v>52.55</v>
          </cell>
          <cell r="BC372">
            <v>98.299999999999955</v>
          </cell>
          <cell r="BD372">
            <v>96.399999999999977</v>
          </cell>
          <cell r="BE372">
            <v>96.399999999999636</v>
          </cell>
          <cell r="BF372">
            <v>100.89999999999998</v>
          </cell>
          <cell r="BG372">
            <v>95.899999999999977</v>
          </cell>
          <cell r="BH372">
            <v>74.600000000000023</v>
          </cell>
          <cell r="BI372">
            <v>88.5</v>
          </cell>
          <cell r="BJ372">
            <v>88.5</v>
          </cell>
          <cell r="BK372">
            <v>115.5</v>
          </cell>
          <cell r="BL372">
            <v>142.5</v>
          </cell>
          <cell r="BM372">
            <v>150</v>
          </cell>
          <cell r="BN372">
            <v>128</v>
          </cell>
          <cell r="BO372">
            <v>128</v>
          </cell>
          <cell r="BT372">
            <v>168</v>
          </cell>
          <cell r="BY372">
            <v>231</v>
          </cell>
          <cell r="CD372">
            <v>684.21693969970227</v>
          </cell>
          <cell r="CI372">
            <v>931.036658788154</v>
          </cell>
          <cell r="CN372">
            <v>895.27042058970619</v>
          </cell>
          <cell r="CS372">
            <v>876.08901600699983</v>
          </cell>
        </row>
        <row r="373">
          <cell r="A373" t="str">
            <v>EPS</v>
          </cell>
          <cell r="AV373">
            <v>8.2679545735993648E-2</v>
          </cell>
          <cell r="AW373">
            <v>5.1660881885281916E-2</v>
          </cell>
          <cell r="AX373">
            <v>3.7917418477550278E-2</v>
          </cell>
          <cell r="AY373">
            <v>3.6240001054254581E-2</v>
          </cell>
          <cell r="AZ373">
            <v>0.19107819901645171</v>
          </cell>
          <cell r="BA373">
            <v>-5.4733938325798297E-3</v>
          </cell>
          <cell r="BB373">
            <v>9.5255414404350577E-2</v>
          </cell>
          <cell r="BC373">
            <v>0.17813186369741782</v>
          </cell>
          <cell r="BD373">
            <v>2.9673300225321508E-2</v>
          </cell>
          <cell r="BE373">
            <v>0.31275245239469024</v>
          </cell>
          <cell r="BF373">
            <v>1.0739523594733338E-2</v>
          </cell>
          <cell r="BG373">
            <v>0.08</v>
          </cell>
          <cell r="BH373">
            <v>0.11696649559715007</v>
          </cell>
          <cell r="BI373">
            <v>7.5830489689969957E-2</v>
          </cell>
          <cell r="BJ373">
            <v>0.28104073860357759</v>
          </cell>
          <cell r="BK373">
            <v>8.750820389411508E-2</v>
          </cell>
          <cell r="BL373">
            <v>0.15998324539102815</v>
          </cell>
          <cell r="BM373">
            <v>0.13921436692266642</v>
          </cell>
          <cell r="BN373">
            <v>3.5146790570819023E-3</v>
          </cell>
          <cell r="BO373">
            <v>0.3893888628973437</v>
          </cell>
          <cell r="BT373">
            <v>0.51597874353934625</v>
          </cell>
          <cell r="BY373">
            <v>0.67403001982441235</v>
          </cell>
          <cell r="CD373">
            <v>1.9959946125099979</v>
          </cell>
          <cell r="CI373">
            <v>2.710792524726771</v>
          </cell>
          <cell r="CN373">
            <v>2.6072123388059838</v>
          </cell>
          <cell r="CS373">
            <v>2.5516623689748039</v>
          </cell>
        </row>
        <row r="374">
          <cell r="A374" t="str">
            <v>Traditional EBITDAR</v>
          </cell>
          <cell r="AV374">
            <v>511.5</v>
          </cell>
          <cell r="AW374">
            <v>578.5</v>
          </cell>
          <cell r="AX374">
            <v>626.5</v>
          </cell>
          <cell r="AY374">
            <v>638.5</v>
          </cell>
          <cell r="AZ374">
            <v>638.5</v>
          </cell>
          <cell r="BA374">
            <v>606</v>
          </cell>
          <cell r="BB374">
            <v>619</v>
          </cell>
          <cell r="BC374">
            <v>686.8</v>
          </cell>
          <cell r="BD374">
            <v>678.9</v>
          </cell>
          <cell r="BE374">
            <v>678.89999999999964</v>
          </cell>
          <cell r="BF374">
            <v>683.9</v>
          </cell>
          <cell r="BG374">
            <v>684.9</v>
          </cell>
          <cell r="BH374">
            <v>657.1</v>
          </cell>
          <cell r="BI374">
            <v>690</v>
          </cell>
          <cell r="BJ374">
            <v>690</v>
          </cell>
          <cell r="BK374">
            <v>738</v>
          </cell>
          <cell r="BL374">
            <v>784</v>
          </cell>
          <cell r="BM374">
            <v>798</v>
          </cell>
          <cell r="BN374">
            <v>764</v>
          </cell>
          <cell r="BO374">
            <v>764</v>
          </cell>
          <cell r="BT374">
            <v>846</v>
          </cell>
          <cell r="BY374">
            <v>959</v>
          </cell>
          <cell r="CD374">
            <v>1700.1140704644001</v>
          </cell>
          <cell r="CI374">
            <v>2122.6927520552804</v>
          </cell>
          <cell r="CN374">
            <v>2059.74657899359</v>
          </cell>
          <cell r="CS374">
            <v>2022.5097827725931</v>
          </cell>
        </row>
        <row r="375">
          <cell r="A375" t="str">
            <v>Regional Rent Adj. EBITDAR</v>
          </cell>
          <cell r="AV375">
            <v>511.5</v>
          </cell>
          <cell r="AW375">
            <v>578.5</v>
          </cell>
          <cell r="AX375">
            <v>626.5</v>
          </cell>
          <cell r="AY375">
            <v>638.5</v>
          </cell>
          <cell r="AZ375">
            <v>638.5</v>
          </cell>
          <cell r="BA375">
            <v>606</v>
          </cell>
          <cell r="BB375">
            <v>619</v>
          </cell>
          <cell r="BC375">
            <v>686.8</v>
          </cell>
          <cell r="BD375">
            <v>678.9</v>
          </cell>
          <cell r="BE375">
            <v>678.89999999999964</v>
          </cell>
          <cell r="BF375">
            <v>683.9</v>
          </cell>
          <cell r="BG375">
            <v>684.9</v>
          </cell>
          <cell r="BH375">
            <v>657.1</v>
          </cell>
          <cell r="BI375">
            <v>690</v>
          </cell>
          <cell r="BJ375">
            <v>690</v>
          </cell>
          <cell r="BK375">
            <v>738</v>
          </cell>
          <cell r="BL375">
            <v>784</v>
          </cell>
          <cell r="BM375">
            <v>798</v>
          </cell>
          <cell r="BN375">
            <v>764</v>
          </cell>
          <cell r="BO375">
            <v>764</v>
          </cell>
          <cell r="BT375">
            <v>846</v>
          </cell>
          <cell r="BY375">
            <v>959</v>
          </cell>
          <cell r="CD375">
            <v>1700.1140704644001</v>
          </cell>
          <cell r="CI375">
            <v>2122.6927520552804</v>
          </cell>
          <cell r="CN375">
            <v>2059.74657899359</v>
          </cell>
          <cell r="CS375">
            <v>2022.5097827725931</v>
          </cell>
        </row>
        <row r="376">
          <cell r="A376" t="str">
            <v>Valuation</v>
          </cell>
        </row>
        <row r="377">
          <cell r="A377" t="str">
            <v>Price</v>
          </cell>
          <cell r="AV377">
            <v>1.2829525483304042E-2</v>
          </cell>
          <cell r="AW377">
            <v>1.500878734622144E-2</v>
          </cell>
          <cell r="AX377">
            <v>1.7963352358065506E-2</v>
          </cell>
          <cell r="AY377">
            <v>1.6371282667467728E-2</v>
          </cell>
          <cell r="AZ377">
            <v>1.6371282667467728E-2</v>
          </cell>
          <cell r="BA377">
            <v>1.6761790327425672E-2</v>
          </cell>
          <cell r="BB377">
            <v>1.649143887053171E-2</v>
          </cell>
          <cell r="BC377">
            <v>2.0776397515527952E-2</v>
          </cell>
          <cell r="BD377">
            <v>2.0527950310559009E-2</v>
          </cell>
          <cell r="BE377">
            <v>2.0527950310559009E-2</v>
          </cell>
          <cell r="BF377">
            <v>1.9472049689440992E-2</v>
          </cell>
          <cell r="BG377">
            <v>1.8788819875776398E-2</v>
          </cell>
          <cell r="BH377">
            <v>1.6090425531914893E-2</v>
          </cell>
          <cell r="BI377">
            <v>1.6090425531914893E-2</v>
          </cell>
          <cell r="BJ377">
            <v>1.6090425531914893E-2</v>
          </cell>
          <cell r="BK377" t="e">
            <v>#DIV/0!</v>
          </cell>
          <cell r="BL377" t="e">
            <v>#DIV/0!</v>
          </cell>
          <cell r="BM377" t="e">
            <v>#DIV/0!</v>
          </cell>
          <cell r="BN377">
            <v>1.4135514018691588E-2</v>
          </cell>
          <cell r="BO377">
            <v>4982</v>
          </cell>
          <cell r="BT377">
            <v>5441</v>
          </cell>
          <cell r="BY377">
            <v>5817</v>
          </cell>
          <cell r="CD377">
            <v>6416</v>
          </cell>
          <cell r="CI377">
            <v>6802.023874999999</v>
          </cell>
          <cell r="CN377">
            <v>7292.3894191499985</v>
          </cell>
          <cell r="CS377">
            <v>7882.8039626819991</v>
          </cell>
        </row>
        <row r="378">
          <cell r="A378" t="str">
            <v>Price / EBIT</v>
          </cell>
          <cell r="AV378">
            <v>1.2829525483304042E-2</v>
          </cell>
          <cell r="AW378">
            <v>1.500878734622144E-2</v>
          </cell>
          <cell r="AX378">
            <v>1.7963352358065506E-2</v>
          </cell>
          <cell r="AY378">
            <v>1.6371282667467728E-2</v>
          </cell>
          <cell r="AZ378">
            <v>1.6371282667467728E-2</v>
          </cell>
          <cell r="BA378">
            <v>1.6761790327425672E-2</v>
          </cell>
          <cell r="BB378">
            <v>1.649143887053171E-2</v>
          </cell>
          <cell r="BC378">
            <v>2.0776397515527952E-2</v>
          </cell>
          <cell r="BD378">
            <v>2.0527950310559009E-2</v>
          </cell>
          <cell r="BE378">
            <v>2.0527950310559009E-2</v>
          </cell>
          <cell r="BF378">
            <v>1.9472049689440992E-2</v>
          </cell>
          <cell r="BG378">
            <v>1.8788819875776398E-2</v>
          </cell>
          <cell r="BH378">
            <v>1.6090425531914893E-2</v>
          </cell>
          <cell r="BI378">
            <v>1.6090425531914893E-2</v>
          </cell>
          <cell r="BJ378">
            <v>1.6090425531914893E-2</v>
          </cell>
          <cell r="BK378" t="e">
            <v>#DIV/0!</v>
          </cell>
          <cell r="BL378" t="e">
            <v>#DIV/0!</v>
          </cell>
          <cell r="BM378" t="e">
            <v>#DIV/0!</v>
          </cell>
          <cell r="BN378">
            <v>1.4135514018691588E-2</v>
          </cell>
          <cell r="BO378">
            <v>376</v>
          </cell>
          <cell r="BT378">
            <v>428</v>
          </cell>
          <cell r="BY378">
            <v>515</v>
          </cell>
          <cell r="CD378">
            <v>1216</v>
          </cell>
          <cell r="CI378">
            <v>1512.1879612257662</v>
          </cell>
          <cell r="CN378">
            <v>1306.0736399250909</v>
          </cell>
          <cell r="CS378">
            <v>1230.8270127192336</v>
          </cell>
        </row>
        <row r="379">
          <cell r="A379" t="str">
            <v>Price / Pre-tax Income</v>
          </cell>
          <cell r="AV379">
            <v>3.5231660231660231E-2</v>
          </cell>
          <cell r="AW379">
            <v>4.1216216216216212E-2</v>
          </cell>
          <cell r="AX379">
            <v>3.7165941578620347E-2</v>
          </cell>
          <cell r="AY379">
            <v>3.3871970167806166E-2</v>
          </cell>
          <cell r="AZ379">
            <v>3.3871970167806166E-2</v>
          </cell>
          <cell r="BA379">
            <v>3.4679925419515305E-2</v>
          </cell>
          <cell r="BB379">
            <v>3.412057178371667E-2</v>
          </cell>
          <cell r="BC379">
            <v>4.4600000000000001E-2</v>
          </cell>
          <cell r="BD379">
            <v>4.4066666666666671E-2</v>
          </cell>
          <cell r="BE379">
            <v>4.4066666666666671E-2</v>
          </cell>
          <cell r="BF379">
            <v>4.1799999999999997E-2</v>
          </cell>
          <cell r="BG379">
            <v>4.0333333333333332E-2</v>
          </cell>
          <cell r="BH379">
            <v>2.8947368421052631E-2</v>
          </cell>
          <cell r="BI379">
            <v>2.8947368421052631E-2</v>
          </cell>
          <cell r="BJ379">
            <v>2.8947368421052631E-2</v>
          </cell>
          <cell r="BK379" t="e">
            <v>#DIV/0!</v>
          </cell>
          <cell r="BL379" t="e">
            <v>#DIV/0!</v>
          </cell>
          <cell r="BM379" t="e">
            <v>#DIV/0!</v>
          </cell>
          <cell r="BN379">
            <v>2.1684587813620072E-2</v>
          </cell>
          <cell r="BO379" t="e">
            <v>#REF!</v>
          </cell>
          <cell r="BT379" t="e">
            <v>#REF!</v>
          </cell>
          <cell r="BY379" t="e">
            <v>#REF!</v>
          </cell>
          <cell r="CD379" t="e">
            <v>#REF!</v>
          </cell>
          <cell r="CI379" t="e">
            <v>#REF!</v>
          </cell>
          <cell r="CN379" t="e">
            <v>#REF!</v>
          </cell>
          <cell r="CS379" t="e">
            <v>#REF!</v>
          </cell>
        </row>
        <row r="380">
          <cell r="A380" t="str">
            <v>Price / Earnings</v>
          </cell>
          <cell r="AV380">
            <v>19.102126871552404</v>
          </cell>
          <cell r="AW380">
            <v>22.346871710007878</v>
          </cell>
          <cell r="AX380">
            <v>19.120553505535121</v>
          </cell>
          <cell r="AY380">
            <v>17.425922509225153</v>
          </cell>
          <cell r="AZ380">
            <v>17.425922509225153</v>
          </cell>
          <cell r="BA380">
            <v>17.841586715867219</v>
          </cell>
          <cell r="BB380">
            <v>17.553819188191941</v>
          </cell>
          <cell r="BC380">
            <v>23.80437808853253</v>
          </cell>
          <cell r="BD380">
            <v>23.519721848310915</v>
          </cell>
          <cell r="BE380">
            <v>23.519721848310915</v>
          </cell>
          <cell r="BF380">
            <v>22.30993282736905</v>
          </cell>
          <cell r="BG380">
            <v>21.52712816675961</v>
          </cell>
          <cell r="BH380">
            <v>15.537167537313433</v>
          </cell>
          <cell r="BI380">
            <v>15.537167537313433</v>
          </cell>
          <cell r="BJ380">
            <v>15.537167537313433</v>
          </cell>
          <cell r="BK380" t="e">
            <v>#DIV/0!</v>
          </cell>
          <cell r="BL380" t="e">
            <v>#DIV/0!</v>
          </cell>
          <cell r="BM380" t="e">
            <v>#DIV/0!</v>
          </cell>
          <cell r="BN380">
            <v>11.725289221218961</v>
          </cell>
          <cell r="BO380">
            <v>209</v>
          </cell>
          <cell r="BT380">
            <v>279</v>
          </cell>
          <cell r="BY380">
            <v>381</v>
          </cell>
          <cell r="CD380">
            <v>1097</v>
          </cell>
          <cell r="CI380">
            <v>1405.1879612257662</v>
          </cell>
          <cell r="CN380">
            <v>1226.4285211915817</v>
          </cell>
          <cell r="CS380">
            <v>1158.2564322442995</v>
          </cell>
        </row>
        <row r="381">
          <cell r="A381" t="str">
            <v>Debt Net of Total Cash and Converts</v>
          </cell>
          <cell r="AV381">
            <v>11.534913884007031</v>
          </cell>
          <cell r="AW381">
            <v>12.233718804920915</v>
          </cell>
          <cell r="AX381">
            <v>10.855040552718547</v>
          </cell>
          <cell r="AY381">
            <v>10.344496845899682</v>
          </cell>
          <cell r="AZ381">
            <v>10.344496845899682</v>
          </cell>
          <cell r="BA381">
            <v>9.9514659056773915</v>
          </cell>
          <cell r="BB381">
            <v>10.02049564433765</v>
          </cell>
          <cell r="BC381">
            <v>11.496003105590065</v>
          </cell>
          <cell r="BD381">
            <v>11.557649068322982</v>
          </cell>
          <cell r="BE381">
            <v>11.557649068322982</v>
          </cell>
          <cell r="BF381">
            <v>10.895164596273293</v>
          </cell>
          <cell r="BG381">
            <v>10.455537267080746</v>
          </cell>
          <cell r="BH381">
            <v>9.0656462765957464</v>
          </cell>
          <cell r="BI381">
            <v>9.2012845744680867</v>
          </cell>
          <cell r="BJ381">
            <v>9.2012845744680867</v>
          </cell>
          <cell r="BK381" t="e">
            <v>#DIV/0!</v>
          </cell>
          <cell r="BL381" t="e">
            <v>#DIV/0!</v>
          </cell>
          <cell r="BM381" t="e">
            <v>#DIV/0!</v>
          </cell>
          <cell r="BN381">
            <v>8.3824369158878511</v>
          </cell>
          <cell r="BO381">
            <v>128</v>
          </cell>
          <cell r="BT381">
            <v>168</v>
          </cell>
          <cell r="BY381">
            <v>231</v>
          </cell>
          <cell r="CD381">
            <v>677</v>
          </cell>
          <cell r="CI381">
            <v>857.16465634771714</v>
          </cell>
          <cell r="CN381">
            <v>748.12139792686457</v>
          </cell>
          <cell r="CS381">
            <v>706.5364236690225</v>
          </cell>
        </row>
        <row r="382">
          <cell r="A382" t="str">
            <v>EV / EBIT</v>
          </cell>
          <cell r="AV382">
            <v>11.534913884007031</v>
          </cell>
          <cell r="AW382">
            <v>12.233718804920915</v>
          </cell>
          <cell r="AX382">
            <v>10.855040552718547</v>
          </cell>
          <cell r="AY382">
            <v>10.344496845899682</v>
          </cell>
          <cell r="AZ382">
            <v>10.344496845899682</v>
          </cell>
          <cell r="BA382">
            <v>9.9514659056773915</v>
          </cell>
          <cell r="BB382">
            <v>10.02049564433765</v>
          </cell>
          <cell r="BC382">
            <v>11.496003105590065</v>
          </cell>
          <cell r="BD382">
            <v>11.557649068322982</v>
          </cell>
          <cell r="BE382">
            <v>11.557649068322982</v>
          </cell>
          <cell r="BF382">
            <v>10.895164596273293</v>
          </cell>
          <cell r="BG382">
            <v>10.455537267080746</v>
          </cell>
          <cell r="BH382">
            <v>9.0656462765957464</v>
          </cell>
          <cell r="BI382">
            <v>9.2012845744680867</v>
          </cell>
          <cell r="BJ382">
            <v>9.2012845744680867</v>
          </cell>
          <cell r="BK382" t="e">
            <v>#DIV/0!</v>
          </cell>
          <cell r="BL382" t="e">
            <v>#DIV/0!</v>
          </cell>
          <cell r="BM382" t="e">
            <v>#DIV/0!</v>
          </cell>
          <cell r="BN382">
            <v>8.3824369158878511</v>
          </cell>
          <cell r="BO382">
            <v>0.3893888628973437</v>
          </cell>
          <cell r="BT382">
            <v>0.51597874353934625</v>
          </cell>
          <cell r="BY382">
            <v>0.67403001982441235</v>
          </cell>
          <cell r="CD382">
            <v>1.9872129702851842</v>
          </cell>
          <cell r="CI382">
            <v>2.4988415413779346</v>
          </cell>
          <cell r="CN382">
            <v>2.2722131164217823</v>
          </cell>
          <cell r="CS382">
            <v>2.2354987381662821</v>
          </cell>
        </row>
        <row r="383">
          <cell r="A383" t="str">
            <v>EV / EBITDA</v>
          </cell>
          <cell r="AV383" t="e">
            <v>#REF!</v>
          </cell>
          <cell r="AW383" t="e">
            <v>#REF!</v>
          </cell>
          <cell r="AX383" t="e">
            <v>#REF!</v>
          </cell>
          <cell r="AY383" t="e">
            <v>#REF!</v>
          </cell>
          <cell r="AZ383" t="e">
            <v>#REF!</v>
          </cell>
          <cell r="BA383" t="e">
            <v>#REF!</v>
          </cell>
          <cell r="BB383" t="e">
            <v>#REF!</v>
          </cell>
          <cell r="BC383" t="e">
            <v>#REF!</v>
          </cell>
          <cell r="BD383" t="e">
            <v>#REF!</v>
          </cell>
          <cell r="BE383" t="e">
            <v>#REF!</v>
          </cell>
          <cell r="BF383" t="e">
            <v>#REF!</v>
          </cell>
          <cell r="BG383" t="e">
            <v>#REF!</v>
          </cell>
          <cell r="BH383" t="e">
            <v>#REF!</v>
          </cell>
          <cell r="BI383" t="e">
            <v>#REF!</v>
          </cell>
          <cell r="BJ383" t="e">
            <v>#REF!</v>
          </cell>
          <cell r="BK383" t="e">
            <v>#DIV/0!</v>
          </cell>
          <cell r="BL383" t="e">
            <v>#DIV/0!</v>
          </cell>
          <cell r="BM383" t="e">
            <v>#DIV/0!</v>
          </cell>
          <cell r="BN383" t="e">
            <v>#REF!</v>
          </cell>
          <cell r="BO383">
            <v>764</v>
          </cell>
          <cell r="BT383">
            <v>846</v>
          </cell>
          <cell r="BY383">
            <v>959</v>
          </cell>
          <cell r="CD383">
            <v>1683</v>
          </cell>
          <cell r="CI383">
            <v>2018.0258292180338</v>
          </cell>
          <cell r="CN383">
            <v>1847.8431356520373</v>
          </cell>
          <cell r="CS383">
            <v>1800.4119759541211</v>
          </cell>
        </row>
        <row r="384">
          <cell r="A384" t="str">
            <v>Debt Net of Unrest. Cash and Converts</v>
          </cell>
          <cell r="AV384">
            <v>12.273050966608084</v>
          </cell>
          <cell r="AW384">
            <v>12.817198594024607</v>
          </cell>
          <cell r="AX384">
            <v>11.1944818263743</v>
          </cell>
          <cell r="AY384">
            <v>10.57579753679785</v>
          </cell>
          <cell r="AZ384">
            <v>10.57579753679785</v>
          </cell>
          <cell r="BA384">
            <v>10.164743166115962</v>
          </cell>
          <cell r="BB384">
            <v>10.230768999699622</v>
          </cell>
          <cell r="BC384">
            <v>11.710288819875778</v>
          </cell>
          <cell r="BD384">
            <v>11.768829192546583</v>
          </cell>
          <cell r="BE384">
            <v>11.768829192546585</v>
          </cell>
          <cell r="BF384">
            <v>11.100133540372672</v>
          </cell>
          <cell r="BG384">
            <v>10.657400621118013</v>
          </cell>
          <cell r="BH384">
            <v>9.2358590425531926</v>
          </cell>
          <cell r="BI384">
            <v>9.379476063829788</v>
          </cell>
          <cell r="BJ384">
            <v>9.379476063829788</v>
          </cell>
          <cell r="BK384" t="e">
            <v>#DIV/0!</v>
          </cell>
          <cell r="BL384" t="e">
            <v>#DIV/0!</v>
          </cell>
          <cell r="BM384" t="e">
            <v>#DIV/0!</v>
          </cell>
          <cell r="BN384">
            <v>8.5015957943925251</v>
          </cell>
          <cell r="BO384">
            <v>764</v>
          </cell>
          <cell r="BT384">
            <v>846</v>
          </cell>
          <cell r="BY384">
            <v>959</v>
          </cell>
          <cell r="CD384">
            <v>1683</v>
          </cell>
          <cell r="CI384">
            <v>2018.0258292180338</v>
          </cell>
          <cell r="CN384">
            <v>1847.8431356520373</v>
          </cell>
          <cell r="CS384">
            <v>1800.4119759541211</v>
          </cell>
        </row>
        <row r="385">
          <cell r="A385" t="str">
            <v>EV / EBIT</v>
          </cell>
          <cell r="AV385">
            <v>12.273050966608084</v>
          </cell>
          <cell r="AW385">
            <v>12.817198594024607</v>
          </cell>
          <cell r="AX385">
            <v>11.1944818263743</v>
          </cell>
          <cell r="AY385">
            <v>10.57579753679785</v>
          </cell>
          <cell r="AZ385">
            <v>10.57579753679785</v>
          </cell>
          <cell r="BA385">
            <v>10.164743166115962</v>
          </cell>
          <cell r="BB385">
            <v>10.230768999699622</v>
          </cell>
          <cell r="BC385">
            <v>11.710288819875778</v>
          </cell>
          <cell r="BD385">
            <v>11.768829192546583</v>
          </cell>
          <cell r="BE385">
            <v>11.768829192546585</v>
          </cell>
          <cell r="BF385">
            <v>11.100133540372672</v>
          </cell>
          <cell r="BG385">
            <v>10.657400621118013</v>
          </cell>
          <cell r="BH385">
            <v>9.2358590425531926</v>
          </cell>
          <cell r="BI385">
            <v>9.379476063829788</v>
          </cell>
          <cell r="BJ385">
            <v>9.379476063829788</v>
          </cell>
          <cell r="BK385" t="e">
            <v>#DIV/0!</v>
          </cell>
          <cell r="BL385" t="e">
            <v>#DIV/0!</v>
          </cell>
          <cell r="BM385" t="e">
            <v>#DIV/0!</v>
          </cell>
          <cell r="BN385">
            <v>8.5015957943925251</v>
          </cell>
        </row>
        <row r="386">
          <cell r="A386" t="str">
            <v>EV / EBITDA</v>
          </cell>
          <cell r="AV386" t="e">
            <v>#REF!</v>
          </cell>
          <cell r="AW386" t="e">
            <v>#REF!</v>
          </cell>
          <cell r="AX386" t="e">
            <v>#REF!</v>
          </cell>
          <cell r="AY386" t="e">
            <v>#REF!</v>
          </cell>
          <cell r="AZ386" t="e">
            <v>#REF!</v>
          </cell>
          <cell r="BA386" t="e">
            <v>#REF!</v>
          </cell>
          <cell r="BB386" t="e">
            <v>#REF!</v>
          </cell>
          <cell r="BC386" t="e">
            <v>#REF!</v>
          </cell>
          <cell r="BD386" t="e">
            <v>#REF!</v>
          </cell>
          <cell r="BE386" t="e">
            <v>#REF!</v>
          </cell>
          <cell r="BF386" t="e">
            <v>#REF!</v>
          </cell>
          <cell r="BG386" t="e">
            <v>#REF!</v>
          </cell>
          <cell r="BH386" t="e">
            <v>#REF!</v>
          </cell>
          <cell r="BI386" t="e">
            <v>#REF!</v>
          </cell>
          <cell r="BJ386" t="e">
            <v>#REF!</v>
          </cell>
          <cell r="BK386" t="e">
            <v>#DIV/0!</v>
          </cell>
          <cell r="BL386" t="e">
            <v>#DIV/0!</v>
          </cell>
          <cell r="BM386" t="e">
            <v>#DIV/0!</v>
          </cell>
          <cell r="BN386" t="e">
            <v>#REF!</v>
          </cell>
        </row>
        <row r="387">
          <cell r="A387" t="str">
            <v>Mainline Rent Adj. Debt Net of Total Cash and Converts</v>
          </cell>
          <cell r="AV387">
            <v>1.2694266180492251</v>
          </cell>
          <cell r="AW387">
            <v>1.3298368277119417</v>
          </cell>
          <cell r="AX387">
            <v>1.1859335803122519</v>
          </cell>
          <cell r="AY387">
            <v>1.1409587192378938</v>
          </cell>
          <cell r="AZ387">
            <v>1.1446634030166714</v>
          </cell>
          <cell r="BA387">
            <v>1.1063358031225194</v>
          </cell>
          <cell r="BB387">
            <v>1.1124167769251125</v>
          </cell>
          <cell r="BC387">
            <v>1.0145899200710482</v>
          </cell>
          <cell r="BD387">
            <v>1.0314305062166962</v>
          </cell>
          <cell r="BE387">
            <v>1.0221054618117229</v>
          </cell>
          <cell r="BF387">
            <v>0.99028485790408538</v>
          </cell>
          <cell r="BG387">
            <v>0.97128841030195401</v>
          </cell>
          <cell r="BH387">
            <v>0.8640471698113209</v>
          </cell>
          <cell r="BI387">
            <v>0.87990425531914906</v>
          </cell>
          <cell r="BJ387">
            <v>0.88411942994781234</v>
          </cell>
          <cell r="BK387" t="e">
            <v>#DIV/0!</v>
          </cell>
          <cell r="BL387" t="e">
            <v>#DIV/0!</v>
          </cell>
          <cell r="BM387" t="e">
            <v>#DIV/0!</v>
          </cell>
          <cell r="BN387">
            <v>0.82405495313361532</v>
          </cell>
        </row>
        <row r="388">
          <cell r="A388" t="str">
            <v>Adj. EV / Sales</v>
          </cell>
          <cell r="AV388">
            <v>1.2694266180492251</v>
          </cell>
          <cell r="AW388">
            <v>1.3298368277119417</v>
          </cell>
          <cell r="AX388">
            <v>1.1859335803122519</v>
          </cell>
          <cell r="AY388">
            <v>1.1409587192378938</v>
          </cell>
          <cell r="AZ388">
            <v>1.1446634030166714</v>
          </cell>
          <cell r="BA388">
            <v>1.1063358031225194</v>
          </cell>
          <cell r="BB388">
            <v>1.1124167769251125</v>
          </cell>
          <cell r="BC388">
            <v>1.0145899200710482</v>
          </cell>
          <cell r="BD388">
            <v>1.0314305062166962</v>
          </cell>
          <cell r="BE388">
            <v>1.0221054618117229</v>
          </cell>
          <cell r="BF388">
            <v>0.99028485790408538</v>
          </cell>
          <cell r="BG388">
            <v>0.97128841030195401</v>
          </cell>
          <cell r="BH388">
            <v>0.8640471698113209</v>
          </cell>
          <cell r="BI388">
            <v>0.87990425531914906</v>
          </cell>
          <cell r="BJ388">
            <v>0.88411942994781234</v>
          </cell>
          <cell r="BK388" t="e">
            <v>#DIV/0!</v>
          </cell>
          <cell r="BL388" t="e">
            <v>#DIV/0!</v>
          </cell>
          <cell r="BM388" t="e">
            <v>#DIV/0!</v>
          </cell>
          <cell r="BN388">
            <v>0.82405495313361532</v>
          </cell>
        </row>
        <row r="389">
          <cell r="A389" t="str">
            <v>Adj. EV / EBITDAR</v>
          </cell>
          <cell r="AV389">
            <v>6.5429647611589665</v>
          </cell>
          <cell r="AW389">
            <v>6.8543351605324983</v>
          </cell>
          <cell r="AX389">
            <v>6.6013300927971752</v>
          </cell>
          <cell r="AY389">
            <v>6.3509839446162957</v>
          </cell>
          <cell r="AZ389">
            <v>6.3716055383708987</v>
          </cell>
          <cell r="BA389">
            <v>6.1582604212697056</v>
          </cell>
          <cell r="BB389">
            <v>6.1921092944469036</v>
          </cell>
          <cell r="BC389">
            <v>6.6227724637681167</v>
          </cell>
          <cell r="BD389">
            <v>6.7327000000000004</v>
          </cell>
          <cell r="BE389">
            <v>6.671830434782609</v>
          </cell>
          <cell r="BF389">
            <v>6.4641202898550727</v>
          </cell>
          <cell r="BG389">
            <v>6.3401202898550739</v>
          </cell>
          <cell r="BH389">
            <v>5.6344018324607346</v>
          </cell>
          <cell r="BI389">
            <v>5.7378049738219907</v>
          </cell>
          <cell r="BJ389">
            <v>5.7652918848167554</v>
          </cell>
          <cell r="BK389" t="e">
            <v>#DIV/0!</v>
          </cell>
          <cell r="BL389" t="e">
            <v>#DIV/0!</v>
          </cell>
          <cell r="BM389" t="e">
            <v>#DIV/0!</v>
          </cell>
          <cell r="BN389">
            <v>5.2998617021276608</v>
          </cell>
        </row>
        <row r="390">
          <cell r="A390" t="str">
            <v>Mainline Rent Adj. Debt Net of Unrest. Cash and Converts</v>
          </cell>
          <cell r="AV390">
            <v>1.3332370100273474</v>
          </cell>
          <cell r="AW390">
            <v>1.3802774232756003</v>
          </cell>
          <cell r="AX390">
            <v>1.2158356708123843</v>
          </cell>
          <cell r="AY390">
            <v>1.1613344800211698</v>
          </cell>
          <cell r="AZ390">
            <v>1.1650391637999473</v>
          </cell>
          <cell r="BA390">
            <v>1.1251238422863192</v>
          </cell>
          <cell r="BB390">
            <v>1.1309401958189997</v>
          </cell>
          <cell r="BC390">
            <v>1.0299096358792186</v>
          </cell>
          <cell r="BD390">
            <v>1.0465281971580818</v>
          </cell>
          <cell r="BE390">
            <v>1.0372031527531085</v>
          </cell>
          <cell r="BF390">
            <v>1.0049384991119006</v>
          </cell>
          <cell r="BG390">
            <v>0.98572002664298419</v>
          </cell>
          <cell r="BH390">
            <v>0.87689341629867545</v>
          </cell>
          <cell r="BI390">
            <v>0.89335266961059834</v>
          </cell>
          <cell r="BJ390">
            <v>0.8975678442392615</v>
          </cell>
          <cell r="BK390" t="e">
            <v>#DIV/0!</v>
          </cell>
          <cell r="BL390" t="e">
            <v>#DIV/0!</v>
          </cell>
          <cell r="BM390" t="e">
            <v>#DIV/0!</v>
          </cell>
          <cell r="BN390">
            <v>0.8334282301047603</v>
          </cell>
        </row>
        <row r="391">
          <cell r="A391" t="str">
            <v>Adj. EV / Sales</v>
          </cell>
          <cell r="AV391">
            <v>1.3332370100273474</v>
          </cell>
          <cell r="AW391">
            <v>1.3802774232756003</v>
          </cell>
          <cell r="AX391">
            <v>1.2158356708123843</v>
          </cell>
          <cell r="AY391">
            <v>1.1613344800211698</v>
          </cell>
          <cell r="AZ391">
            <v>1.1650391637999473</v>
          </cell>
          <cell r="BA391">
            <v>1.1251238422863192</v>
          </cell>
          <cell r="BB391">
            <v>1.1309401958189997</v>
          </cell>
          <cell r="BC391">
            <v>1.0299096358792186</v>
          </cell>
          <cell r="BD391">
            <v>1.0465281971580818</v>
          </cell>
          <cell r="BE391">
            <v>1.0372031527531085</v>
          </cell>
          <cell r="BF391">
            <v>1.0049384991119006</v>
          </cell>
          <cell r="BG391">
            <v>0.98572002664298419</v>
          </cell>
          <cell r="BH391">
            <v>0.87689341629867545</v>
          </cell>
          <cell r="BI391">
            <v>0.89335266961059834</v>
          </cell>
          <cell r="BJ391">
            <v>0.8975678442392615</v>
          </cell>
          <cell r="BK391" t="e">
            <v>#DIV/0!</v>
          </cell>
          <cell r="BL391" t="e">
            <v>#DIV/0!</v>
          </cell>
          <cell r="BM391" t="e">
            <v>#DIV/0!</v>
          </cell>
          <cell r="BN391">
            <v>0.8334282301047603</v>
          </cell>
        </row>
        <row r="392">
          <cell r="A392" t="str">
            <v>Adj. EV / EBITDAR</v>
          </cell>
          <cell r="AV392">
            <v>6.8718606108065776</v>
          </cell>
          <cell r="AW392">
            <v>7.1143194988253722</v>
          </cell>
          <cell r="AX392">
            <v>6.7677758138164714</v>
          </cell>
          <cell r="AY392">
            <v>6.4644027102666124</v>
          </cell>
          <cell r="AZ392">
            <v>6.4850243040212154</v>
          </cell>
          <cell r="BA392">
            <v>6.2628413610251918</v>
          </cell>
          <cell r="BB392">
            <v>6.2952172632199188</v>
          </cell>
          <cell r="BC392">
            <v>6.7227724637681172</v>
          </cell>
          <cell r="BD392">
            <v>6.8312507246376812</v>
          </cell>
          <cell r="BE392">
            <v>6.7703811594202898</v>
          </cell>
          <cell r="BF392">
            <v>6.5597724637681161</v>
          </cell>
          <cell r="BG392">
            <v>6.4343231884057985</v>
          </cell>
          <cell r="BH392">
            <v>5.7181714659685872</v>
          </cell>
          <cell r="BI392">
            <v>5.8255013089005248</v>
          </cell>
          <cell r="BJ392">
            <v>5.8529882198952894</v>
          </cell>
          <cell r="BK392" t="e">
            <v>#DIV/0!</v>
          </cell>
          <cell r="BL392" t="e">
            <v>#DIV/0!</v>
          </cell>
          <cell r="BM392" t="e">
            <v>#DIV/0!</v>
          </cell>
          <cell r="BN392">
            <v>5.3601453900709233</v>
          </cell>
        </row>
        <row r="393">
          <cell r="A393" t="str">
            <v>Total Rent Adj. Debt Net of Total Cash and Converts</v>
          </cell>
          <cell r="AV393">
            <v>1.2694266180492251</v>
          </cell>
          <cell r="AW393">
            <v>1.3298368277119417</v>
          </cell>
          <cell r="AX393">
            <v>1.1859335803122519</v>
          </cell>
          <cell r="AY393">
            <v>1.1409587192378938</v>
          </cell>
          <cell r="AZ393">
            <v>1.1446634030166714</v>
          </cell>
          <cell r="BA393">
            <v>1.1063358031225194</v>
          </cell>
          <cell r="BB393">
            <v>1.1124167769251125</v>
          </cell>
          <cell r="BC393">
            <v>1.0145899200710482</v>
          </cell>
          <cell r="BD393">
            <v>1.0314305062166962</v>
          </cell>
          <cell r="BE393">
            <v>1.0221054618117229</v>
          </cell>
          <cell r="BF393">
            <v>0.99028485790408538</v>
          </cell>
          <cell r="BG393">
            <v>0.97128841030195401</v>
          </cell>
          <cell r="BH393">
            <v>0.8640471698113209</v>
          </cell>
          <cell r="BI393">
            <v>0.87990425531914906</v>
          </cell>
          <cell r="BJ393">
            <v>0.88411942994781234</v>
          </cell>
          <cell r="BK393" t="e">
            <v>#DIV/0!</v>
          </cell>
          <cell r="BL393" t="e">
            <v>#DIV/0!</v>
          </cell>
          <cell r="BM393" t="e">
            <v>#DIV/0!</v>
          </cell>
          <cell r="BN393">
            <v>0.82405495313361532</v>
          </cell>
        </row>
        <row r="394">
          <cell r="A394" t="str">
            <v>Adj. EV / Sales</v>
          </cell>
          <cell r="AV394">
            <v>1.2694266180492251</v>
          </cell>
          <cell r="AW394">
            <v>1.3298368277119417</v>
          </cell>
          <cell r="AX394">
            <v>1.1859335803122519</v>
          </cell>
          <cell r="AY394">
            <v>1.1409587192378938</v>
          </cell>
          <cell r="AZ394">
            <v>1.1446634030166714</v>
          </cell>
          <cell r="BA394">
            <v>1.1063358031225194</v>
          </cell>
          <cell r="BB394">
            <v>1.1124167769251125</v>
          </cell>
          <cell r="BC394">
            <v>1.0145899200710482</v>
          </cell>
          <cell r="BD394">
            <v>1.0314305062166962</v>
          </cell>
          <cell r="BE394">
            <v>1.0221054618117229</v>
          </cell>
          <cell r="BF394">
            <v>0.99028485790408538</v>
          </cell>
          <cell r="BG394">
            <v>0.97128841030195401</v>
          </cell>
          <cell r="BH394">
            <v>0.8640471698113209</v>
          </cell>
          <cell r="BI394">
            <v>0.87990425531914906</v>
          </cell>
          <cell r="BJ394">
            <v>0.88411942994781234</v>
          </cell>
          <cell r="BK394" t="e">
            <v>#DIV/0!</v>
          </cell>
          <cell r="BL394" t="e">
            <v>#DIV/0!</v>
          </cell>
          <cell r="BM394" t="e">
            <v>#DIV/0!</v>
          </cell>
          <cell r="BN394">
            <v>0.82405495313361532</v>
          </cell>
        </row>
        <row r="395">
          <cell r="A395" t="str">
            <v>Adj. EV / EBITDAR</v>
          </cell>
          <cell r="AV395">
            <v>6.5429647611589665</v>
          </cell>
          <cell r="AW395">
            <v>6.8543351605324983</v>
          </cell>
          <cell r="AX395">
            <v>6.6013300927971752</v>
          </cell>
          <cell r="AY395">
            <v>6.3509839446162957</v>
          </cell>
          <cell r="AZ395">
            <v>6.3716055383708987</v>
          </cell>
          <cell r="BA395">
            <v>6.1582604212697056</v>
          </cell>
          <cell r="BB395">
            <v>6.1921092944469036</v>
          </cell>
          <cell r="BC395">
            <v>6.6227724637681167</v>
          </cell>
          <cell r="BD395">
            <v>6.7327000000000004</v>
          </cell>
          <cell r="BE395">
            <v>6.671830434782609</v>
          </cell>
          <cell r="BF395">
            <v>6.4641202898550727</v>
          </cell>
          <cell r="BG395">
            <v>6.3401202898550739</v>
          </cell>
          <cell r="BH395">
            <v>5.6344018324607346</v>
          </cell>
          <cell r="BI395">
            <v>5.7378049738219907</v>
          </cell>
          <cell r="BJ395">
            <v>5.7652918848167554</v>
          </cell>
          <cell r="BK395" t="e">
            <v>#DIV/0!</v>
          </cell>
          <cell r="BL395" t="e">
            <v>#DIV/0!</v>
          </cell>
          <cell r="BM395" t="e">
            <v>#DIV/0!</v>
          </cell>
          <cell r="BN395">
            <v>5.2998617021276608</v>
          </cell>
        </row>
        <row r="396">
          <cell r="A396" t="str">
            <v>Total Rent Adj. Debt Net of Unrest. Cash and Converts</v>
          </cell>
          <cell r="AV396">
            <v>1.3332370100273474</v>
          </cell>
          <cell r="AW396">
            <v>1.3802774232756003</v>
          </cell>
          <cell r="AX396">
            <v>1.2158356708123843</v>
          </cell>
          <cell r="AY396">
            <v>1.1613344800211698</v>
          </cell>
          <cell r="AZ396">
            <v>1.1650391637999473</v>
          </cell>
          <cell r="BA396">
            <v>1.1251238422863192</v>
          </cell>
          <cell r="BB396">
            <v>1.1309401958189997</v>
          </cell>
          <cell r="BC396">
            <v>1.0299096358792186</v>
          </cell>
          <cell r="BD396">
            <v>1.0465281971580818</v>
          </cell>
          <cell r="BE396">
            <v>1.0372031527531085</v>
          </cell>
          <cell r="BF396">
            <v>1.0049384991119006</v>
          </cell>
          <cell r="BG396">
            <v>0.98572002664298419</v>
          </cell>
          <cell r="BH396">
            <v>0.87689341629867545</v>
          </cell>
          <cell r="BI396">
            <v>0.89335266961059834</v>
          </cell>
          <cell r="BJ396">
            <v>0.8975678442392615</v>
          </cell>
          <cell r="BK396" t="e">
            <v>#DIV/0!</v>
          </cell>
          <cell r="BL396" t="e">
            <v>#DIV/0!</v>
          </cell>
          <cell r="BM396" t="e">
            <v>#DIV/0!</v>
          </cell>
          <cell r="BN396">
            <v>0.8334282301047603</v>
          </cell>
        </row>
        <row r="397">
          <cell r="A397" t="str">
            <v>Adj. EV / Sales</v>
          </cell>
          <cell r="AV397">
            <v>1.3332370100273474</v>
          </cell>
          <cell r="AW397">
            <v>1.3802774232756003</v>
          </cell>
          <cell r="AX397">
            <v>1.2158356708123843</v>
          </cell>
          <cell r="AY397">
            <v>1.1613344800211698</v>
          </cell>
          <cell r="AZ397">
            <v>1.1650391637999473</v>
          </cell>
          <cell r="BA397">
            <v>1.1251238422863192</v>
          </cell>
          <cell r="BB397">
            <v>1.1309401958189997</v>
          </cell>
          <cell r="BC397">
            <v>1.0299096358792186</v>
          </cell>
          <cell r="BD397">
            <v>1.0465281971580818</v>
          </cell>
          <cell r="BE397">
            <v>1.0372031527531085</v>
          </cell>
          <cell r="BF397">
            <v>1.0049384991119006</v>
          </cell>
          <cell r="BG397">
            <v>0.98572002664298419</v>
          </cell>
          <cell r="BH397">
            <v>0.87689341629867545</v>
          </cell>
          <cell r="BI397">
            <v>0.89335266961059834</v>
          </cell>
          <cell r="BJ397">
            <v>0.8975678442392615</v>
          </cell>
          <cell r="BK397" t="e">
            <v>#DIV/0!</v>
          </cell>
          <cell r="BL397" t="e">
            <v>#DIV/0!</v>
          </cell>
          <cell r="BM397" t="e">
            <v>#DIV/0!</v>
          </cell>
          <cell r="BN397">
            <v>0.8334282301047603</v>
          </cell>
        </row>
        <row r="398">
          <cell r="A398" t="str">
            <v>Adj. EV / EBITDAR</v>
          </cell>
          <cell r="AV398">
            <v>6.8718606108065776</v>
          </cell>
          <cell r="AW398">
            <v>7.1143194988253722</v>
          </cell>
          <cell r="AX398">
            <v>6.7677758138164714</v>
          </cell>
          <cell r="AY398">
            <v>6.4644027102666124</v>
          </cell>
          <cell r="AZ398">
            <v>6.4850243040212154</v>
          </cell>
          <cell r="BA398">
            <v>6.2628413610251918</v>
          </cell>
          <cell r="BB398">
            <v>6.2952172632199188</v>
          </cell>
          <cell r="BC398">
            <v>6.7227724637681172</v>
          </cell>
          <cell r="BD398">
            <v>6.8312507246376812</v>
          </cell>
          <cell r="BE398">
            <v>6.7703811594202898</v>
          </cell>
          <cell r="BF398">
            <v>6.5597724637681161</v>
          </cell>
          <cell r="BG398">
            <v>6.4343231884057985</v>
          </cell>
          <cell r="BH398">
            <v>5.7181714659685872</v>
          </cell>
          <cell r="BI398">
            <v>5.8255013089005248</v>
          </cell>
          <cell r="BJ398">
            <v>5.8529882198952894</v>
          </cell>
          <cell r="BK398" t="e">
            <v>#DIV/0!</v>
          </cell>
          <cell r="BL398" t="e">
            <v>#DIV/0!</v>
          </cell>
          <cell r="BM398" t="e">
            <v>#DIV/0!</v>
          </cell>
          <cell r="BN398">
            <v>5.3601453900709233</v>
          </cell>
        </row>
        <row r="399">
          <cell r="A399" t="str">
            <v>SENSITIVITY TABLES</v>
          </cell>
          <cell r="BD399" t="str">
            <v>First Copy is Master - Other Sensitivities Are Linked to It - Caution When Changing</v>
          </cell>
        </row>
        <row r="400">
          <cell r="A400" t="str">
            <v>SENSITIVITY INPUTS</v>
          </cell>
          <cell r="AV400">
            <v>1.3332370100273474</v>
          </cell>
          <cell r="AW400">
            <v>1.3802774232756003</v>
          </cell>
          <cell r="AX400">
            <v>1.2158356708123843</v>
          </cell>
          <cell r="AY400">
            <v>1.1613344800211698</v>
          </cell>
          <cell r="AZ400">
            <v>1.1650391637999473</v>
          </cell>
          <cell r="BA400">
            <v>1.1251238422863192</v>
          </cell>
          <cell r="BB400">
            <v>1.1309401958189997</v>
          </cell>
          <cell r="BC400">
            <v>1.0299096358792186</v>
          </cell>
          <cell r="BD400" t="str">
            <v>First Copy is Master - Other Sensitivities Are Linked to It - Caution When Changing</v>
          </cell>
          <cell r="BE400">
            <v>1.0372031527531085</v>
          </cell>
          <cell r="BF400">
            <v>1.0049384991119006</v>
          </cell>
          <cell r="BG400">
            <v>0.98572002664298419</v>
          </cell>
          <cell r="BH400">
            <v>0.87689341629867545</v>
          </cell>
          <cell r="BI400">
            <v>0.89335266961059834</v>
          </cell>
          <cell r="BJ400">
            <v>0.8975678442392615</v>
          </cell>
          <cell r="BK400" t="e">
            <v>#DIV/0!</v>
          </cell>
          <cell r="BL400" t="e">
            <v>#DIV/0!</v>
          </cell>
          <cell r="BM400" t="e">
            <v>#DIV/0!</v>
          </cell>
          <cell r="BN400">
            <v>0.8334282301047603</v>
          </cell>
        </row>
        <row r="401">
          <cell r="A401" t="str">
            <v>Adj. EV / EBITDAR</v>
          </cell>
          <cell r="AV401">
            <v>6.8718606108065776</v>
          </cell>
          <cell r="AW401">
            <v>7.1143194988253722</v>
          </cell>
          <cell r="AX401">
            <v>6.7677758138164714</v>
          </cell>
          <cell r="AY401">
            <v>6.4644027102666124</v>
          </cell>
          <cell r="AZ401">
            <v>6.4850243040212154</v>
          </cell>
          <cell r="BA401">
            <v>6.2628413610251918</v>
          </cell>
          <cell r="BB401">
            <v>6.2952172632199188</v>
          </cell>
          <cell r="BC401">
            <v>6.7227724637681172</v>
          </cell>
          <cell r="BD401">
            <v>6.8312507246376812</v>
          </cell>
          <cell r="BE401">
            <v>6.7703811594202898</v>
          </cell>
          <cell r="BF401">
            <v>6.5597724637681161</v>
          </cell>
          <cell r="BG401">
            <v>6.4343231884057985</v>
          </cell>
          <cell r="BH401">
            <v>5.7181714659685872</v>
          </cell>
          <cell r="BI401">
            <v>5.8255013089005248</v>
          </cell>
          <cell r="BJ401">
            <v>5.8529882198952894</v>
          </cell>
          <cell r="BK401" t="e">
            <v>#DIV/0!</v>
          </cell>
          <cell r="BL401" t="e">
            <v>#DIV/0!</v>
          </cell>
          <cell r="BM401" t="e">
            <v>#DIV/0!</v>
          </cell>
          <cell r="BN401" t="str">
            <v>3Q12</v>
          </cell>
          <cell r="BO401">
            <v>2012</v>
          </cell>
          <cell r="BP401">
            <v>2013</v>
          </cell>
          <cell r="BQ401">
            <v>2014</v>
          </cell>
          <cell r="BR401">
            <v>2015</v>
          </cell>
        </row>
        <row r="402">
          <cell r="A402" t="str">
            <v>Total Rent Adj. Debt Net of Total Cash and Converts</v>
          </cell>
          <cell r="BK402" t="str">
            <v>EBITDAR Pre-Profit Share</v>
          </cell>
          <cell r="BN402" t="str">
            <v>3Q12</v>
          </cell>
          <cell r="BO402">
            <v>2012</v>
          </cell>
          <cell r="BP402">
            <v>2013</v>
          </cell>
          <cell r="BQ402">
            <v>2014</v>
          </cell>
          <cell r="BR402">
            <v>2015</v>
          </cell>
          <cell r="BS402">
            <v>2016</v>
          </cell>
        </row>
        <row r="403">
          <cell r="A403" t="str">
            <v>Adj. EV / Sales</v>
          </cell>
          <cell r="AV403">
            <v>1.2694266180492251</v>
          </cell>
          <cell r="AW403">
            <v>1.3298368277119417</v>
          </cell>
          <cell r="AX403">
            <v>1.1859335803122519</v>
          </cell>
          <cell r="AY403">
            <v>1.1409587192378938</v>
          </cell>
          <cell r="AZ403">
            <v>1.1446634030166714</v>
          </cell>
          <cell r="BA403">
            <v>1.1063358031225194</v>
          </cell>
          <cell r="BB403">
            <v>1.1124167769251125</v>
          </cell>
          <cell r="BC403">
            <v>1.0145899200710482</v>
          </cell>
          <cell r="BD403">
            <v>1.0314305062166962</v>
          </cell>
          <cell r="BE403">
            <v>1.0221054618117229</v>
          </cell>
          <cell r="BF403">
            <v>0.99028485790408538</v>
          </cell>
          <cell r="BG403">
            <v>0.97128841030195401</v>
          </cell>
          <cell r="BH403">
            <v>0.8640471698113209</v>
          </cell>
          <cell r="BI403">
            <v>0.87990425531914906</v>
          </cell>
          <cell r="BJ403">
            <v>0.88411942994781234</v>
          </cell>
          <cell r="BK403" t="str">
            <v>EBITDAR Pre-Profit Share</v>
          </cell>
          <cell r="BL403" t="e">
            <v>#DIV/0!</v>
          </cell>
          <cell r="BM403" t="e">
            <v>#DIV/0!</v>
          </cell>
          <cell r="BN403">
            <v>211</v>
          </cell>
          <cell r="BO403">
            <v>764</v>
          </cell>
          <cell r="BP403">
            <v>846</v>
          </cell>
          <cell r="BQ403">
            <v>959</v>
          </cell>
          <cell r="BR403">
            <v>1700.1140704644001</v>
          </cell>
          <cell r="BS403">
            <v>2122.6927520552804</v>
          </cell>
        </row>
        <row r="404">
          <cell r="A404" t="str">
            <v>Adj. EV / EBITDAR</v>
          </cell>
          <cell r="AV404">
            <v>6.5429647611589665</v>
          </cell>
          <cell r="AW404">
            <v>6.8543351605324983</v>
          </cell>
          <cell r="AX404">
            <v>6.6013300927971752</v>
          </cell>
          <cell r="AY404">
            <v>6.3509839446162957</v>
          </cell>
          <cell r="AZ404">
            <v>6.3716055383708987</v>
          </cell>
          <cell r="BA404">
            <v>6.1582604212697056</v>
          </cell>
          <cell r="BB404">
            <v>6.1921092944469036</v>
          </cell>
          <cell r="BC404">
            <v>6.6227724637681167</v>
          </cell>
          <cell r="BD404">
            <v>6.7327000000000004</v>
          </cell>
          <cell r="BE404">
            <v>6.671830434782609</v>
          </cell>
          <cell r="BF404">
            <v>6.4641202898550727</v>
          </cell>
          <cell r="BG404">
            <v>6.3401202898550739</v>
          </cell>
          <cell r="BH404">
            <v>5.6344018324607346</v>
          </cell>
          <cell r="BI404">
            <v>5.7378049738219907</v>
          </cell>
          <cell r="BJ404">
            <v>5.7652918848167554</v>
          </cell>
          <cell r="BK404" t="str">
            <v>EPS Pre-Profit Share</v>
          </cell>
          <cell r="BL404" t="e">
            <v>#DIV/0!</v>
          </cell>
          <cell r="BM404" t="e">
            <v>#DIV/0!</v>
          </cell>
          <cell r="BN404">
            <v>0.13921436692266642</v>
          </cell>
          <cell r="BO404">
            <v>0.3893888628973437</v>
          </cell>
          <cell r="BP404">
            <v>0.51597874353934625</v>
          </cell>
          <cell r="BQ404">
            <v>0.67403001982441235</v>
          </cell>
          <cell r="BR404">
            <v>1.9959946125099979</v>
          </cell>
          <cell r="BS404">
            <v>2.710792524726771</v>
          </cell>
        </row>
        <row r="405">
          <cell r="A405" t="str">
            <v>Total Rent Adj. Debt Net of Unrest. Cash and Converts</v>
          </cell>
          <cell r="BK405" t="str">
            <v>Op. Cash Flow Pre-Profit Share</v>
          </cell>
          <cell r="BN405">
            <v>51</v>
          </cell>
          <cell r="BO405">
            <v>698</v>
          </cell>
          <cell r="BP405">
            <v>758</v>
          </cell>
          <cell r="BQ405">
            <v>912</v>
          </cell>
          <cell r="BR405">
            <v>1442.0647139437028</v>
          </cell>
          <cell r="BS405">
            <v>1497.2962912592423</v>
          </cell>
        </row>
        <row r="406">
          <cell r="A406" t="str">
            <v>Adj. EV / Sales</v>
          </cell>
          <cell r="AV406">
            <v>1.3332370100273474</v>
          </cell>
          <cell r="AW406">
            <v>1.3802774232756003</v>
          </cell>
          <cell r="AX406">
            <v>1.2158356708123843</v>
          </cell>
          <cell r="AY406">
            <v>1.1613344800211698</v>
          </cell>
          <cell r="AZ406">
            <v>1.1650391637999473</v>
          </cell>
          <cell r="BA406">
            <v>1.1251238422863192</v>
          </cell>
          <cell r="BB406">
            <v>1.1309401958189997</v>
          </cell>
          <cell r="BC406">
            <v>1.0299096358792186</v>
          </cell>
          <cell r="BD406">
            <v>1.0465281971580818</v>
          </cell>
          <cell r="BE406">
            <v>1.0372031527531085</v>
          </cell>
          <cell r="BF406">
            <v>1.0049384991119006</v>
          </cell>
          <cell r="BG406">
            <v>0.98572002664298419</v>
          </cell>
          <cell r="BH406">
            <v>0.87689341629867545</v>
          </cell>
          <cell r="BI406">
            <v>0.89335266961059834</v>
          </cell>
          <cell r="BJ406">
            <v>0.8975678442392615</v>
          </cell>
          <cell r="BK406" t="str">
            <v>Pre-tax Income</v>
          </cell>
          <cell r="BL406" t="e">
            <v>#DIV/0!</v>
          </cell>
          <cell r="BM406" t="e">
            <v>#DIV/0!</v>
          </cell>
          <cell r="BN406">
            <v>73</v>
          </cell>
          <cell r="BO406">
            <v>209</v>
          </cell>
          <cell r="BP406">
            <v>279</v>
          </cell>
          <cell r="BQ406">
            <v>381</v>
          </cell>
          <cell r="BR406">
            <v>1117.3064585241018</v>
          </cell>
          <cell r="BS406">
            <v>1526.2896045707448</v>
          </cell>
        </row>
        <row r="407">
          <cell r="A407" t="str">
            <v>Adj. EV / EBITDAR</v>
          </cell>
          <cell r="AV407">
            <v>6.8718606108065776</v>
          </cell>
          <cell r="AW407">
            <v>7.1143194988253722</v>
          </cell>
          <cell r="AX407">
            <v>6.7677758138164714</v>
          </cell>
          <cell r="AY407">
            <v>6.4644027102666124</v>
          </cell>
          <cell r="AZ407">
            <v>6.4850243040212154</v>
          </cell>
          <cell r="BA407">
            <v>6.2628413610251918</v>
          </cell>
          <cell r="BB407">
            <v>6.2952172632199188</v>
          </cell>
          <cell r="BC407">
            <v>6.7227724637681172</v>
          </cell>
          <cell r="BD407">
            <v>6.8312507246376812</v>
          </cell>
          <cell r="BE407">
            <v>6.7703811594202898</v>
          </cell>
          <cell r="BF407">
            <v>6.5597724637681161</v>
          </cell>
          <cell r="BG407">
            <v>6.4343231884057985</v>
          </cell>
          <cell r="BH407">
            <v>5.7181714659685872</v>
          </cell>
          <cell r="BI407">
            <v>5.8255013089005248</v>
          </cell>
          <cell r="BJ407">
            <v>5.8529882198952894</v>
          </cell>
          <cell r="BK407" t="str">
            <v>Profit Sharing</v>
          </cell>
          <cell r="BL407" t="e">
            <v>#DIV/0!</v>
          </cell>
          <cell r="BM407" t="e">
            <v>#DIV/0!</v>
          </cell>
          <cell r="BN407">
            <v>0</v>
          </cell>
          <cell r="BO407">
            <v>0</v>
          </cell>
          <cell r="BP407">
            <v>0</v>
          </cell>
          <cell r="BQ407">
            <v>0</v>
          </cell>
          <cell r="BR407">
            <v>0</v>
          </cell>
          <cell r="BS407">
            <v>0</v>
          </cell>
        </row>
        <row r="408">
          <cell r="A408" t="str">
            <v>SENSITIVITY TABLES</v>
          </cell>
          <cell r="BK408" t="str">
            <v>EBITDAR</v>
          </cell>
          <cell r="BN408">
            <v>211</v>
          </cell>
          <cell r="BO408">
            <v>764</v>
          </cell>
          <cell r="BP408">
            <v>846</v>
          </cell>
          <cell r="BQ408">
            <v>959</v>
          </cell>
          <cell r="BR408">
            <v>1700.1140704644001</v>
          </cell>
          <cell r="BS408">
            <v>2122.6927520552804</v>
          </cell>
        </row>
        <row r="409">
          <cell r="A409" t="str">
            <v>SENSITIVITY INPUTS</v>
          </cell>
          <cell r="BD409" t="str">
            <v>First Copy is Master - Other Sensitivities Are Linked to It - Caution When Changing</v>
          </cell>
          <cell r="BK409" t="str">
            <v>EPS</v>
          </cell>
          <cell r="BN409">
            <v>0.13921436692266642</v>
          </cell>
          <cell r="BO409">
            <v>0.3893888628973437</v>
          </cell>
          <cell r="BP409">
            <v>0.51597874353934625</v>
          </cell>
          <cell r="BQ409">
            <v>0.67403001982441235</v>
          </cell>
          <cell r="BR409">
            <v>1.9959946125099979</v>
          </cell>
          <cell r="BS409">
            <v>2.710792524726771</v>
          </cell>
        </row>
        <row r="410">
          <cell r="BK410" t="str">
            <v>LTM Op Revenue</v>
          </cell>
          <cell r="BN410">
            <v>1308</v>
          </cell>
          <cell r="BO410">
            <v>4982</v>
          </cell>
          <cell r="BP410">
            <v>5441</v>
          </cell>
          <cell r="BQ410">
            <v>5817</v>
          </cell>
          <cell r="BR410">
            <v>6407.0861588859743</v>
          </cell>
          <cell r="BS410">
            <v>6844.5488014640723</v>
          </cell>
        </row>
        <row r="411">
          <cell r="BK411" t="str">
            <v>Op. Cash Flow</v>
          </cell>
          <cell r="BN411">
            <v>51</v>
          </cell>
          <cell r="BO411">
            <v>698</v>
          </cell>
          <cell r="BP411">
            <v>758</v>
          </cell>
          <cell r="BQ411">
            <v>912</v>
          </cell>
          <cell r="BR411">
            <v>1442.0647139437028</v>
          </cell>
          <cell r="BS411">
            <v>1497.2962912592423</v>
          </cell>
        </row>
        <row r="412">
          <cell r="BK412" t="str">
            <v>YE Cash Balance</v>
          </cell>
          <cell r="BN412">
            <v>1063.7169999999996</v>
          </cell>
          <cell r="BO412">
            <v>866.71699999999953</v>
          </cell>
          <cell r="BP412">
            <v>740.71699999999953</v>
          </cell>
          <cell r="BQ412">
            <v>767.71699999999953</v>
          </cell>
          <cell r="BR412">
            <v>870.78171394370247</v>
          </cell>
          <cell r="BS412">
            <v>1045.0780052029445</v>
          </cell>
        </row>
        <row r="413">
          <cell r="A413" t="str">
            <v>PRASM/FUEL SENSITIVITIES</v>
          </cell>
          <cell r="BK413" t="str">
            <v>First Copy is Master - Other Sensitivities Are Linked to It - Caution When Changing</v>
          </cell>
          <cell r="BN413">
            <v>0.13921436692266642</v>
          </cell>
          <cell r="BO413">
            <v>0.3893888628973437</v>
          </cell>
          <cell r="BP413">
            <v>0.51597874353934625</v>
          </cell>
          <cell r="BQ413">
            <v>0.67403001982441235</v>
          </cell>
          <cell r="BR413">
            <v>1.9872129702851842</v>
          </cell>
          <cell r="BS413">
            <v>2.4988415413779346</v>
          </cell>
        </row>
        <row r="414">
          <cell r="A414" t="str">
            <v>PRASM/FUEL SENSITIVITIES</v>
          </cell>
          <cell r="BK414" t="str">
            <v>First Copy is Master - Other Sensitivities Are Linked to It - Caution When Changing</v>
          </cell>
          <cell r="BN414">
            <v>51</v>
          </cell>
          <cell r="BO414">
            <v>698</v>
          </cell>
          <cell r="BP414">
            <v>758</v>
          </cell>
          <cell r="BQ414">
            <v>912</v>
          </cell>
          <cell r="BR414">
            <v>1598</v>
          </cell>
          <cell r="BS414">
            <v>1404.7579501020803</v>
          </cell>
        </row>
        <row r="415">
          <cell r="BK415" t="str">
            <v>2015 EPS</v>
          </cell>
          <cell r="BN415">
            <v>73</v>
          </cell>
          <cell r="BO415">
            <v>209</v>
          </cell>
          <cell r="BP415">
            <v>279</v>
          </cell>
          <cell r="BQ415">
            <v>381</v>
          </cell>
          <cell r="BR415">
            <v>1097</v>
          </cell>
          <cell r="BS415">
            <v>1405.1879612257662</v>
          </cell>
          <cell r="BU415" t="str">
            <v>2015 EPS</v>
          </cell>
        </row>
        <row r="416">
          <cell r="BK416" t="str">
            <v>Profit Sharing</v>
          </cell>
          <cell r="BL416" t="str">
            <v>PRASM</v>
          </cell>
          <cell r="BM416">
            <v>-0.06</v>
          </cell>
          <cell r="BN416">
            <v>0</v>
          </cell>
          <cell r="BO416">
            <v>0</v>
          </cell>
          <cell r="BP416">
            <v>0</v>
          </cell>
          <cell r="BQ416">
            <v>0</v>
          </cell>
          <cell r="BR416">
            <v>0</v>
          </cell>
          <cell r="BS416">
            <v>0</v>
          </cell>
          <cell r="BU416" t="str">
            <v>2016 EPS</v>
          </cell>
          <cell r="BV416" t="str">
            <v>PRASM</v>
          </cell>
          <cell r="BW416">
            <v>-0.06</v>
          </cell>
          <cell r="BX416">
            <v>-0.04</v>
          </cell>
          <cell r="BY416">
            <v>-0.02</v>
          </cell>
          <cell r="BZ416" t="str">
            <v>Cur. Est.*</v>
          </cell>
          <cell r="CA416">
            <v>0.02</v>
          </cell>
          <cell r="CB416">
            <v>0.04</v>
          </cell>
          <cell r="CC416">
            <v>0.06</v>
          </cell>
        </row>
        <row r="417">
          <cell r="BK417" t="str">
            <v>EBITDAR</v>
          </cell>
          <cell r="BL417" t="str">
            <v>QUARTER INPUTS</v>
          </cell>
          <cell r="BN417">
            <v>211</v>
          </cell>
          <cell r="BO417">
            <v>764</v>
          </cell>
          <cell r="BP417">
            <v>3</v>
          </cell>
          <cell r="BQ417">
            <v>959</v>
          </cell>
          <cell r="BR417">
            <v>1683</v>
          </cell>
          <cell r="BS417">
            <v>2018.0258292180338</v>
          </cell>
          <cell r="BV417" t="str">
            <v>PRASM</v>
          </cell>
          <cell r="BW417">
            <v>-0.06</v>
          </cell>
          <cell r="BX417">
            <v>-0.04</v>
          </cell>
          <cell r="BY417">
            <v>-0.02</v>
          </cell>
          <cell r="BZ417" t="str">
            <v>Cur. Est.*</v>
          </cell>
          <cell r="CA417">
            <v>0.02</v>
          </cell>
          <cell r="CB417">
            <v>0.04</v>
          </cell>
          <cell r="CC417">
            <v>0.06</v>
          </cell>
        </row>
        <row r="418">
          <cell r="BK418" t="str">
            <v>EPS</v>
          </cell>
          <cell r="BM418" t="str">
            <v>Hard Code</v>
          </cell>
          <cell r="BN418">
            <v>0.13921436692266642</v>
          </cell>
          <cell r="BO418">
            <v>0.3893888628973437</v>
          </cell>
          <cell r="BP418">
            <v>0.51597874353934625</v>
          </cell>
          <cell r="BQ418">
            <v>0.67403001982441235</v>
          </cell>
          <cell r="BR418">
            <v>1.9872129702851842</v>
          </cell>
          <cell r="BS418">
            <v>2.1763212634189117</v>
          </cell>
          <cell r="BV418" t="str">
            <v>QUARTER INPUTS</v>
          </cell>
          <cell r="BW418" t="str">
            <v>Hard Code</v>
          </cell>
          <cell r="BZ418">
            <v>4</v>
          </cell>
          <cell r="CB418" t="str">
            <v>Hard Code</v>
          </cell>
        </row>
        <row r="419">
          <cell r="BK419" t="str">
            <v>LTM Op Revenue</v>
          </cell>
          <cell r="BL419">
            <v>-0.06</v>
          </cell>
          <cell r="BM419">
            <v>-5.4999999999999986E-2</v>
          </cell>
          <cell r="BN419">
            <v>1308</v>
          </cell>
          <cell r="BO419">
            <v>4982</v>
          </cell>
          <cell r="BP419">
            <v>5441</v>
          </cell>
          <cell r="BQ419">
            <v>5817</v>
          </cell>
          <cell r="BR419">
            <v>6416</v>
          </cell>
          <cell r="BS419">
            <v>6696.8691500000004</v>
          </cell>
          <cell r="BV419">
            <v>-0.06</v>
          </cell>
          <cell r="BW419" t="str">
            <v>Hard Code</v>
          </cell>
          <cell r="CB419" t="str">
            <v>Hard Code</v>
          </cell>
          <cell r="CC419">
            <v>30.9</v>
          </cell>
        </row>
        <row r="420">
          <cell r="BK420" t="str">
            <v>Op. Cash Flow</v>
          </cell>
          <cell r="BL420">
            <v>-0.04</v>
          </cell>
          <cell r="BM420">
            <v>-2.8333333333333328E-2</v>
          </cell>
          <cell r="BN420">
            <v>51</v>
          </cell>
          <cell r="BO420">
            <v>698</v>
          </cell>
          <cell r="BP420">
            <v>758</v>
          </cell>
          <cell r="BQ420">
            <v>912</v>
          </cell>
          <cell r="BR420">
            <v>1598</v>
          </cell>
          <cell r="BS420">
            <v>1246.4425419490099</v>
          </cell>
          <cell r="BV420">
            <v>-0.06</v>
          </cell>
          <cell r="BW420">
            <v>-0.12</v>
          </cell>
          <cell r="CB420">
            <v>0.2857142857142857</v>
          </cell>
          <cell r="CC420">
            <v>12</v>
          </cell>
        </row>
        <row r="421">
          <cell r="BK421" t="str">
            <v>YE Cash Balance</v>
          </cell>
          <cell r="BL421">
            <v>-0.02</v>
          </cell>
          <cell r="BM421">
            <v>-1.6666666666666635E-3</v>
          </cell>
          <cell r="BN421">
            <v>1063.7169999999996</v>
          </cell>
          <cell r="BO421">
            <v>866.71699999999953</v>
          </cell>
          <cell r="BP421">
            <v>740.71699999999953</v>
          </cell>
          <cell r="BQ421">
            <v>767.71699999999953</v>
          </cell>
          <cell r="BR421">
            <v>924.71699999999953</v>
          </cell>
          <cell r="BS421">
            <v>889.15954194900939</v>
          </cell>
          <cell r="BV421">
            <v>-0.04</v>
          </cell>
          <cell r="BW421">
            <v>-0.1</v>
          </cell>
          <cell r="CB421">
            <v>0.52380952380952384</v>
          </cell>
          <cell r="CC421">
            <v>22</v>
          </cell>
        </row>
        <row r="422">
          <cell r="BL422" t="str">
            <v>No Change</v>
          </cell>
          <cell r="BM422">
            <v>2.5000000000000001E-2</v>
          </cell>
          <cell r="BR422">
            <v>1.85</v>
          </cell>
          <cell r="BS422">
            <v>77.7</v>
          </cell>
          <cell r="BV422">
            <v>-0.02</v>
          </cell>
          <cell r="BW422">
            <v>-0.08</v>
          </cell>
          <cell r="CB422">
            <v>0.76190476190476186</v>
          </cell>
          <cell r="CC422">
            <v>32</v>
          </cell>
        </row>
        <row r="423">
          <cell r="A423" t="str">
            <v>PRASM/FUEL SENSITIVITIES</v>
          </cell>
          <cell r="BK423" t="str">
            <v>First Copy is Master - Other Sensitivities Are Linked to It - Caution When Changing</v>
          </cell>
          <cell r="BL423">
            <v>0.02</v>
          </cell>
          <cell r="BM423">
            <v>5.1666666666666666E-2</v>
          </cell>
          <cell r="BR423">
            <v>2.0880952380952382</v>
          </cell>
          <cell r="BS423">
            <v>87.7</v>
          </cell>
          <cell r="BV423" t="str">
            <v>No Change</v>
          </cell>
          <cell r="BW423">
            <v>-0.06</v>
          </cell>
          <cell r="CB423">
            <v>1</v>
          </cell>
          <cell r="CC423">
            <v>42</v>
          </cell>
        </row>
        <row r="424">
          <cell r="BL424">
            <v>0.04</v>
          </cell>
          <cell r="BM424">
            <v>7.8333333333333338E-2</v>
          </cell>
          <cell r="BR424">
            <v>2.3261904761904764</v>
          </cell>
          <cell r="BS424">
            <v>97.7</v>
          </cell>
          <cell r="BV424">
            <v>0.02</v>
          </cell>
          <cell r="BW424">
            <v>-3.9999999999999994E-2</v>
          </cell>
          <cell r="CB424">
            <v>1.2380952380952381</v>
          </cell>
          <cell r="CC424">
            <v>52</v>
          </cell>
        </row>
        <row r="425">
          <cell r="BL425">
            <v>0.06</v>
          </cell>
          <cell r="BM425">
            <v>0.10499999999999998</v>
          </cell>
          <cell r="BR425">
            <v>2.5642857142857145</v>
          </cell>
          <cell r="BS425">
            <v>107.7</v>
          </cell>
          <cell r="BU425" t="str">
            <v>2016 EPS</v>
          </cell>
          <cell r="BV425">
            <v>0.04</v>
          </cell>
          <cell r="BW425">
            <v>-1.9999999999999997E-2</v>
          </cell>
          <cell r="CB425">
            <v>1.4761904761904763</v>
          </cell>
          <cell r="CC425">
            <v>62</v>
          </cell>
        </row>
        <row r="426">
          <cell r="BK426" t="str">
            <v>Jet Fuel</v>
          </cell>
          <cell r="BM426">
            <v>-7.4999999999999983E-2</v>
          </cell>
          <cell r="BN426">
            <v>-4.8333333333333325E-2</v>
          </cell>
          <cell r="BO426">
            <v>-2.1666666666666664E-2</v>
          </cell>
          <cell r="BP426">
            <v>2.4325664351551257E-2</v>
          </cell>
          <cell r="BQ426">
            <v>4.4325664351551261E-2</v>
          </cell>
          <cell r="BR426">
            <v>6.4325664351551265E-2</v>
          </cell>
          <cell r="BS426">
            <v>8.4325664351551269E-2</v>
          </cell>
          <cell r="BU426" t="str">
            <v>Jet Fuel</v>
          </cell>
          <cell r="BV426" t="str">
            <v>PRASM</v>
          </cell>
          <cell r="BW426">
            <v>-0.06</v>
          </cell>
          <cell r="BX426">
            <v>-0.04</v>
          </cell>
          <cell r="BY426">
            <v>-0.02</v>
          </cell>
          <cell r="BZ426" t="str">
            <v>Cur. Est.*</v>
          </cell>
          <cell r="CA426">
            <v>0.02</v>
          </cell>
          <cell r="CB426">
            <v>0.04</v>
          </cell>
          <cell r="CC426">
            <v>0.06</v>
          </cell>
        </row>
        <row r="427">
          <cell r="BL427">
            <v>1.7545975790997914</v>
          </cell>
          <cell r="BM427">
            <v>-5.4999999999999986E-2</v>
          </cell>
          <cell r="BN427">
            <v>-2.8333333333333328E-2</v>
          </cell>
          <cell r="BO427">
            <v>-1.6666666666666635E-3</v>
          </cell>
          <cell r="BP427">
            <v>2.5000000000000001E-2</v>
          </cell>
          <cell r="BQ427">
            <v>5.1666666666666666E-2</v>
          </cell>
          <cell r="BR427">
            <v>7.8333333333333338E-2</v>
          </cell>
          <cell r="BS427">
            <v>0.10499999999999998</v>
          </cell>
          <cell r="BU427" t="str">
            <v>Jet Fuel</v>
          </cell>
          <cell r="BV427" t="str">
            <v>QUARTER INPUTS</v>
          </cell>
          <cell r="BW427">
            <v>-8.2277981669198932E-2</v>
          </cell>
          <cell r="BX427">
            <v>-6.2277981669198929E-2</v>
          </cell>
          <cell r="BY427">
            <v>-4.2277981669198925E-2</v>
          </cell>
          <cell r="BZ427">
            <v>3</v>
          </cell>
          <cell r="CA427">
            <v>-2.2779816691989203E-3</v>
          </cell>
          <cell r="CB427">
            <v>1.772201833080108E-2</v>
          </cell>
          <cell r="CC427">
            <v>3.7722018330801077E-2</v>
          </cell>
        </row>
        <row r="428">
          <cell r="BK428">
            <v>47.699999999999996</v>
          </cell>
          <cell r="BL428">
            <v>1.1357142857142857</v>
          </cell>
          <cell r="BM428">
            <v>1.3431320157199627</v>
          </cell>
          <cell r="BN428">
            <v>1.5443124601644038</v>
          </cell>
          <cell r="BO428">
            <v>1.7454929046088503</v>
          </cell>
          <cell r="BP428">
            <v>1.9466733490532937</v>
          </cell>
          <cell r="BQ428">
            <v>2.1478537934977395</v>
          </cell>
          <cell r="BR428">
            <v>2.3490342379421829</v>
          </cell>
          <cell r="BS428">
            <v>2.5502146823866312</v>
          </cell>
          <cell r="BU428">
            <v>30.9</v>
          </cell>
          <cell r="BV428">
            <v>2.710792524726771</v>
          </cell>
          <cell r="BW428" t="str">
            <v>Hard Code</v>
          </cell>
          <cell r="BX428">
            <v>-0.1</v>
          </cell>
          <cell r="BY428">
            <v>-0.08</v>
          </cell>
          <cell r="BZ428">
            <v>-0.06</v>
          </cell>
          <cell r="CA428">
            <v>-3.9999999999999994E-2</v>
          </cell>
          <cell r="CB428" t="str">
            <v>Hard Code</v>
          </cell>
          <cell r="CC428">
            <v>0</v>
          </cell>
        </row>
        <row r="429">
          <cell r="BK429">
            <v>57.7</v>
          </cell>
          <cell r="BL429">
            <v>1.3738095238095238</v>
          </cell>
          <cell r="BM429">
            <v>1.2791067590687943</v>
          </cell>
          <cell r="BN429">
            <v>1.4802872035132357</v>
          </cell>
          <cell r="BO429">
            <v>1.6814676479576822</v>
          </cell>
          <cell r="BP429">
            <v>1.8826480924021252</v>
          </cell>
          <cell r="BQ429">
            <v>2.0838285368465712</v>
          </cell>
          <cell r="BR429">
            <v>2.2850089812910146</v>
          </cell>
          <cell r="BS429">
            <v>2.4861894257354629</v>
          </cell>
          <cell r="BU429">
            <v>12</v>
          </cell>
          <cell r="BV429">
            <v>-0.06</v>
          </cell>
          <cell r="BW429">
            <v>-0.15999800706814862</v>
          </cell>
          <cell r="BX429">
            <v>2.7111345345732847</v>
          </cell>
          <cell r="BY429">
            <v>2.8249927216569786</v>
          </cell>
          <cell r="BZ429">
            <v>2.9388509087406729</v>
          </cell>
          <cell r="CA429">
            <v>3.0527090958243694</v>
          </cell>
          <cell r="CB429">
            <v>-0.7142857142857143</v>
          </cell>
          <cell r="CC429">
            <v>-30</v>
          </cell>
        </row>
        <row r="430">
          <cell r="BK430">
            <v>67.7</v>
          </cell>
          <cell r="BL430">
            <v>1.611904761904762</v>
          </cell>
          <cell r="BM430">
            <v>1.2150815024176287</v>
          </cell>
          <cell r="BN430">
            <v>1.4162619468620701</v>
          </cell>
          <cell r="BO430">
            <v>1.6174423913065163</v>
          </cell>
          <cell r="BP430">
            <v>1.8186228357509593</v>
          </cell>
          <cell r="BQ430">
            <v>2.0198032801954056</v>
          </cell>
          <cell r="BR430">
            <v>2.2209837246398489</v>
          </cell>
          <cell r="BS430">
            <v>2.4221641690842972</v>
          </cell>
          <cell r="BU430">
            <v>22</v>
          </cell>
          <cell r="BV430">
            <v>-0.04</v>
          </cell>
          <cell r="BW430">
            <v>-0.13333134040148198</v>
          </cell>
          <cell r="BX430">
            <v>2.6351150732353141</v>
          </cell>
          <cell r="BY430">
            <v>2.7489732603190085</v>
          </cell>
          <cell r="BZ430">
            <v>2.8628314474027032</v>
          </cell>
          <cell r="CA430">
            <v>2.9766896344863989</v>
          </cell>
          <cell r="CB430">
            <v>-0.47619047619047616</v>
          </cell>
          <cell r="CC430">
            <v>-20</v>
          </cell>
        </row>
        <row r="431">
          <cell r="BK431">
            <v>77.7</v>
          </cell>
          <cell r="BL431">
            <v>1.85</v>
          </cell>
          <cell r="BM431">
            <v>1.1510562457664606</v>
          </cell>
          <cell r="BN431">
            <v>1.3522366902109018</v>
          </cell>
          <cell r="BO431">
            <v>1.5534171346553485</v>
          </cell>
          <cell r="BP431">
            <v>1.7545975790997914</v>
          </cell>
          <cell r="BQ431">
            <v>1.9557780235442375</v>
          </cell>
          <cell r="BR431">
            <v>2.1569584679886811</v>
          </cell>
          <cell r="BS431">
            <v>2.3581389124331289</v>
          </cell>
          <cell r="BU431">
            <v>32</v>
          </cell>
          <cell r="BV431">
            <v>-0.02</v>
          </cell>
          <cell r="BW431">
            <v>-0.10666467373481531</v>
          </cell>
          <cell r="BX431">
            <v>2.5590956118973498</v>
          </cell>
          <cell r="BY431">
            <v>2.6729537989810441</v>
          </cell>
          <cell r="BZ431">
            <v>2.7868119860647385</v>
          </cell>
          <cell r="CA431">
            <v>2.900670173148435</v>
          </cell>
          <cell r="CB431">
            <v>-0.23809523809523808</v>
          </cell>
          <cell r="CC431">
            <v>-10</v>
          </cell>
        </row>
        <row r="432">
          <cell r="BK432">
            <v>87.7</v>
          </cell>
          <cell r="BL432">
            <v>2.0880952380952382</v>
          </cell>
          <cell r="BM432">
            <v>1.0870309891152923</v>
          </cell>
          <cell r="BN432">
            <v>1.2882114335597337</v>
          </cell>
          <cell r="BO432">
            <v>1.4893918780041802</v>
          </cell>
          <cell r="BP432">
            <v>1.6905723224486231</v>
          </cell>
          <cell r="BQ432">
            <v>1.8917527668930691</v>
          </cell>
          <cell r="BR432">
            <v>2.0929332113375128</v>
          </cell>
          <cell r="BS432">
            <v>2.294113655781961</v>
          </cell>
          <cell r="BU432">
            <v>42</v>
          </cell>
          <cell r="BV432" t="str">
            <v>No Change</v>
          </cell>
          <cell r="BW432">
            <v>-7.9998007068148635E-2</v>
          </cell>
          <cell r="BX432">
            <v>2.4830761505593824</v>
          </cell>
          <cell r="BY432">
            <v>2.5969343376430762</v>
          </cell>
          <cell r="BZ432">
            <v>2.710792524726771</v>
          </cell>
          <cell r="CA432">
            <v>2.8246507118104671</v>
          </cell>
          <cell r="CB432">
            <v>0</v>
          </cell>
          <cell r="CC432">
            <v>0</v>
          </cell>
        </row>
        <row r="433">
          <cell r="BK433">
            <v>97.7</v>
          </cell>
          <cell r="BL433">
            <v>2.3261904761904764</v>
          </cell>
          <cell r="BM433">
            <v>1.023005732464124</v>
          </cell>
          <cell r="BN433">
            <v>1.2241861769085653</v>
          </cell>
          <cell r="BO433">
            <v>1.4253666213530118</v>
          </cell>
          <cell r="BP433">
            <v>1.626547065797455</v>
          </cell>
          <cell r="BQ433">
            <v>1.8277275102419011</v>
          </cell>
          <cell r="BR433">
            <v>2.0289079546863449</v>
          </cell>
          <cell r="BS433">
            <v>2.2300883991307927</v>
          </cell>
          <cell r="BU433">
            <v>52</v>
          </cell>
          <cell r="BV433">
            <v>0.02</v>
          </cell>
          <cell r="BW433">
            <v>-5.3331340401481971E-2</v>
          </cell>
          <cell r="BX433">
            <v>2.4070566892214149</v>
          </cell>
          <cell r="BY433">
            <v>2.5209148763051088</v>
          </cell>
          <cell r="BZ433">
            <v>2.6347730633888036</v>
          </cell>
          <cell r="CA433">
            <v>2.7486312504724997</v>
          </cell>
          <cell r="CB433">
            <v>0.23809523809523808</v>
          </cell>
          <cell r="CC433">
            <v>10</v>
          </cell>
        </row>
        <row r="434">
          <cell r="BK434">
            <v>107.7</v>
          </cell>
          <cell r="BL434">
            <v>2.5642857142857145</v>
          </cell>
          <cell r="BM434">
            <v>0.95898047581295598</v>
          </cell>
          <cell r="BN434">
            <v>1.1601609202573975</v>
          </cell>
          <cell r="BO434">
            <v>1.361341364701844</v>
          </cell>
          <cell r="BP434">
            <v>1.5625218091462867</v>
          </cell>
          <cell r="BQ434">
            <v>1.763702253590733</v>
          </cell>
          <cell r="BR434">
            <v>1.9648826980351766</v>
          </cell>
          <cell r="BS434">
            <v>2.1660631424796248</v>
          </cell>
          <cell r="BU434">
            <v>62</v>
          </cell>
          <cell r="BV434">
            <v>0.04</v>
          </cell>
          <cell r="BW434">
            <v>-2.6664673734815306E-2</v>
          </cell>
          <cell r="BX434">
            <v>2.3310372278834501</v>
          </cell>
          <cell r="BY434">
            <v>2.4448954149671445</v>
          </cell>
          <cell r="BZ434">
            <v>2.5587536020508392</v>
          </cell>
          <cell r="CA434">
            <v>2.6726117891345353</v>
          </cell>
          <cell r="CB434">
            <v>0.47619047619047616</v>
          </cell>
          <cell r="CC434">
            <v>20</v>
          </cell>
        </row>
        <row r="435">
          <cell r="BU435">
            <v>72</v>
          </cell>
          <cell r="BV435">
            <v>0.06</v>
          </cell>
          <cell r="BW435">
            <v>1.9929318513522976E-6</v>
          </cell>
          <cell r="BX435">
            <v>2.2550177665454796</v>
          </cell>
          <cell r="BY435">
            <v>2.3688759536291739</v>
          </cell>
          <cell r="BZ435">
            <v>2.4827341407128687</v>
          </cell>
          <cell r="CA435">
            <v>2.5965923277965648</v>
          </cell>
          <cell r="CB435">
            <v>0.7142857142857143</v>
          </cell>
          <cell r="CC435">
            <v>30</v>
          </cell>
        </row>
        <row r="436">
          <cell r="BU436" t="str">
            <v>Jet Fuel</v>
          </cell>
          <cell r="BW436">
            <v>-0.10353540482203678</v>
          </cell>
          <cell r="BX436">
            <v>-8.353540482203678E-2</v>
          </cell>
          <cell r="BY436">
            <v>-6.3535404822036776E-2</v>
          </cell>
          <cell r="BZ436">
            <v>-4.3535404822036772E-2</v>
          </cell>
          <cell r="CA436">
            <v>-2.3535404822036771E-2</v>
          </cell>
          <cell r="CB436">
            <v>-3.5354048220367709E-3</v>
          </cell>
          <cell r="CC436">
            <v>1.6464595177963229E-2</v>
          </cell>
        </row>
        <row r="437">
          <cell r="BK437" t="str">
            <v>2015 EBITDAR</v>
          </cell>
          <cell r="BU437" t="str">
            <v>2015 EBITDAR</v>
          </cell>
          <cell r="BV437">
            <v>2.1763212634189117</v>
          </cell>
          <cell r="BW437">
            <v>-0.16999999999999998</v>
          </cell>
          <cell r="BX437">
            <v>-0.14333333333333331</v>
          </cell>
          <cell r="BY437">
            <v>-0.11666666666666667</v>
          </cell>
          <cell r="BZ437">
            <v>-0.09</v>
          </cell>
          <cell r="CA437">
            <v>-6.3333333333333325E-2</v>
          </cell>
          <cell r="CB437">
            <v>-3.6666666666666667E-2</v>
          </cell>
          <cell r="CC437">
            <v>-1.0000000000000009E-2</v>
          </cell>
        </row>
        <row r="438">
          <cell r="BL438" t="str">
            <v>PRASM</v>
          </cell>
          <cell r="BM438">
            <v>-0.06</v>
          </cell>
          <cell r="BN438">
            <v>-0.04</v>
          </cell>
          <cell r="BO438">
            <v>-0.02</v>
          </cell>
          <cell r="BP438" t="str">
            <v>Cur. Est.*</v>
          </cell>
          <cell r="BQ438">
            <v>0.02</v>
          </cell>
          <cell r="BR438">
            <v>0.04</v>
          </cell>
          <cell r="BS438">
            <v>0.06</v>
          </cell>
          <cell r="BU438" t="str">
            <v>2016 EBITDAR</v>
          </cell>
          <cell r="BV438" t="str">
            <v>PRASM</v>
          </cell>
          <cell r="BW438">
            <v>-0.06</v>
          </cell>
          <cell r="BX438">
            <v>-0.04</v>
          </cell>
          <cell r="BY438">
            <v>-0.02</v>
          </cell>
          <cell r="BZ438" t="str">
            <v>Cur. Est.*</v>
          </cell>
          <cell r="CA438">
            <v>0.02</v>
          </cell>
          <cell r="CB438">
            <v>0.04</v>
          </cell>
          <cell r="CC438">
            <v>0.06</v>
          </cell>
        </row>
        <row r="439">
          <cell r="BK439" t="str">
            <v>Jet Fuel</v>
          </cell>
          <cell r="BM439">
            <v>-3.5674335648448741E-2</v>
          </cell>
          <cell r="BN439">
            <v>-1.5674335648448744E-2</v>
          </cell>
          <cell r="BO439">
            <v>4.3256643515512568E-3</v>
          </cell>
          <cell r="BP439">
            <v>2.4325664351551257E-2</v>
          </cell>
          <cell r="BQ439">
            <v>4.4325664351551261E-2</v>
          </cell>
          <cell r="BR439">
            <v>6.4325664351551265E-2</v>
          </cell>
          <cell r="BS439">
            <v>8.4325664351551269E-2</v>
          </cell>
          <cell r="BU439" t="str">
            <v>Jet Fuel</v>
          </cell>
          <cell r="BV439" t="str">
            <v>PRASM</v>
          </cell>
          <cell r="BW439">
            <v>-0.06</v>
          </cell>
          <cell r="BX439">
            <v>-0.04</v>
          </cell>
          <cell r="BY439">
            <v>-0.02</v>
          </cell>
          <cell r="BZ439" t="str">
            <v>Cur. Est.*</v>
          </cell>
          <cell r="CA439">
            <v>0.02</v>
          </cell>
          <cell r="CB439">
            <v>0.04</v>
          </cell>
          <cell r="CC439">
            <v>0.06</v>
          </cell>
        </row>
        <row r="440">
          <cell r="BL440">
            <v>1631.3527641422775</v>
          </cell>
          <cell r="BM440">
            <v>-5.4999999999999986E-2</v>
          </cell>
          <cell r="BN440">
            <v>-2.8333333333333328E-2</v>
          </cell>
          <cell r="BO440">
            <v>-1.6666666666666635E-3</v>
          </cell>
          <cell r="BP440">
            <v>2.5000000000000001E-2</v>
          </cell>
          <cell r="BQ440">
            <v>5.1666666666666666E-2</v>
          </cell>
          <cell r="BR440">
            <v>7.8333333333333338E-2</v>
          </cell>
          <cell r="BS440">
            <v>0.10499999999999998</v>
          </cell>
          <cell r="BU440" t="str">
            <v>Jet Fuel</v>
          </cell>
          <cell r="BV440">
            <v>1669.6571556247263</v>
          </cell>
          <cell r="BW440">
            <v>-8.2277981669198932E-2</v>
          </cell>
          <cell r="BX440">
            <v>-6.2277981669198929E-2</v>
          </cell>
          <cell r="BY440">
            <v>-4.2277981669198925E-2</v>
          </cell>
          <cell r="BZ440">
            <v>-2.2277981669198921E-2</v>
          </cell>
          <cell r="CA440">
            <v>-2.2779816691989203E-3</v>
          </cell>
          <cell r="CB440">
            <v>1.772201833080108E-2</v>
          </cell>
          <cell r="CC440">
            <v>3.7722018330801077E-2</v>
          </cell>
        </row>
        <row r="441">
          <cell r="BK441">
            <v>47.699999999999996</v>
          </cell>
          <cell r="BL441">
            <v>1.1357142857142857</v>
          </cell>
          <cell r="BM441">
            <v>1390.1581477137065</v>
          </cell>
          <cell r="BN441">
            <v>1508.0869477137053</v>
          </cell>
          <cell r="BO441">
            <v>1626.0157477137059</v>
          </cell>
          <cell r="BP441">
            <v>1743.9445477137056</v>
          </cell>
          <cell r="BQ441">
            <v>1861.8733477137062</v>
          </cell>
          <cell r="BR441">
            <v>1979.8021477137058</v>
          </cell>
          <cell r="BS441">
            <v>2097.7309477137073</v>
          </cell>
          <cell r="BU441">
            <v>30.9</v>
          </cell>
          <cell r="BV441">
            <v>2122.6927520552804</v>
          </cell>
          <cell r="BW441">
            <v>-0.12</v>
          </cell>
          <cell r="BX441">
            <v>-0.1</v>
          </cell>
          <cell r="BY441">
            <v>-0.08</v>
          </cell>
          <cell r="BZ441">
            <v>-0.06</v>
          </cell>
          <cell r="CA441">
            <v>-3.9999999999999994E-2</v>
          </cell>
          <cell r="CB441">
            <v>-1.9999999999999997E-2</v>
          </cell>
          <cell r="CC441">
            <v>0</v>
          </cell>
        </row>
        <row r="442">
          <cell r="BK442">
            <v>57.7</v>
          </cell>
          <cell r="BL442">
            <v>1.3738095238095238</v>
          </cell>
          <cell r="BM442">
            <v>1352.6275531898968</v>
          </cell>
          <cell r="BN442">
            <v>1470.5563531898956</v>
          </cell>
          <cell r="BO442">
            <v>1588.4851531898962</v>
          </cell>
          <cell r="BP442">
            <v>1706.4139531898959</v>
          </cell>
          <cell r="BQ442">
            <v>1824.3427531898965</v>
          </cell>
          <cell r="BR442">
            <v>1942.2715531898962</v>
          </cell>
          <cell r="BS442">
            <v>2060.2003531898977</v>
          </cell>
          <cell r="BU442">
            <v>12</v>
          </cell>
          <cell r="BV442">
            <v>0.2857142857142857</v>
          </cell>
          <cell r="BW442">
            <v>2058.4351520552814</v>
          </cell>
          <cell r="BX442">
            <v>2122.8863520552818</v>
          </cell>
          <cell r="BY442">
            <v>2187.3375520552813</v>
          </cell>
          <cell r="BZ442">
            <v>2251.7887520552808</v>
          </cell>
          <cell r="CA442">
            <v>2316.2399520552813</v>
          </cell>
          <cell r="CB442">
            <v>2380.6911520552817</v>
          </cell>
          <cell r="CC442">
            <v>2445.1423520552812</v>
          </cell>
        </row>
        <row r="443">
          <cell r="BK443">
            <v>67.7</v>
          </cell>
          <cell r="BL443">
            <v>1.611904761904762</v>
          </cell>
          <cell r="BM443">
            <v>1315.0969586660881</v>
          </cell>
          <cell r="BN443">
            <v>1433.0257586660869</v>
          </cell>
          <cell r="BO443">
            <v>1550.9545586660875</v>
          </cell>
          <cell r="BP443">
            <v>1668.8833586660871</v>
          </cell>
          <cell r="BQ443">
            <v>1786.8121586660877</v>
          </cell>
          <cell r="BR443">
            <v>1904.7409586660874</v>
          </cell>
          <cell r="BS443">
            <v>2022.6697586660889</v>
          </cell>
          <cell r="BU443">
            <v>22</v>
          </cell>
          <cell r="BV443">
            <v>0.52380952380952384</v>
          </cell>
          <cell r="BW443">
            <v>2015.4031520552803</v>
          </cell>
          <cell r="BX443">
            <v>2079.8543520552807</v>
          </cell>
          <cell r="BY443">
            <v>2144.3055520552803</v>
          </cell>
          <cell r="BZ443">
            <v>2208.7567520552798</v>
          </cell>
          <cell r="CA443">
            <v>2273.2079520552802</v>
          </cell>
          <cell r="CB443">
            <v>2337.6591520552806</v>
          </cell>
          <cell r="CC443">
            <v>2402.1103520552801</v>
          </cell>
        </row>
        <row r="444">
          <cell r="BK444">
            <v>77.7</v>
          </cell>
          <cell r="BL444">
            <v>1.85</v>
          </cell>
          <cell r="BM444">
            <v>1277.5663641422784</v>
          </cell>
          <cell r="BN444">
            <v>1395.4951641422772</v>
          </cell>
          <cell r="BO444">
            <v>1513.4239641422778</v>
          </cell>
          <cell r="BP444">
            <v>1631.3527641422775</v>
          </cell>
          <cell r="BQ444">
            <v>1749.2815641422781</v>
          </cell>
          <cell r="BR444">
            <v>1867.2103641422777</v>
          </cell>
          <cell r="BS444">
            <v>1985.1391641422792</v>
          </cell>
          <cell r="BU444">
            <v>32</v>
          </cell>
          <cell r="BV444">
            <v>0.76190476190476186</v>
          </cell>
          <cell r="BW444">
            <v>1972.3711520552811</v>
          </cell>
          <cell r="BX444">
            <v>2036.8223520552815</v>
          </cell>
          <cell r="BY444">
            <v>2101.273552055281</v>
          </cell>
          <cell r="BZ444">
            <v>2165.7247520552805</v>
          </cell>
          <cell r="CA444">
            <v>2230.175952055281</v>
          </cell>
          <cell r="CB444">
            <v>2294.6271520552814</v>
          </cell>
          <cell r="CC444">
            <v>2359.0783520552809</v>
          </cell>
        </row>
        <row r="445">
          <cell r="BK445">
            <v>87.7</v>
          </cell>
          <cell r="BL445">
            <v>2.0880952380952382</v>
          </cell>
          <cell r="BM445">
            <v>1240.0357696184687</v>
          </cell>
          <cell r="BN445">
            <v>1357.9645696184675</v>
          </cell>
          <cell r="BO445">
            <v>1475.8933696184681</v>
          </cell>
          <cell r="BP445">
            <v>1593.8221696184678</v>
          </cell>
          <cell r="BQ445">
            <v>1711.7509696184684</v>
          </cell>
          <cell r="BR445">
            <v>1829.6797696184681</v>
          </cell>
          <cell r="BS445">
            <v>1947.6085696184696</v>
          </cell>
          <cell r="BU445">
            <v>42</v>
          </cell>
          <cell r="BV445">
            <v>1</v>
          </cell>
          <cell r="BW445">
            <v>1929.3391520552809</v>
          </cell>
          <cell r="BX445">
            <v>1993.7903520552813</v>
          </cell>
          <cell r="BY445">
            <v>2058.2415520552809</v>
          </cell>
          <cell r="BZ445">
            <v>2122.6927520552804</v>
          </cell>
          <cell r="CA445">
            <v>2187.1439520552808</v>
          </cell>
          <cell r="CB445">
            <v>2251.5951520552812</v>
          </cell>
          <cell r="CC445">
            <v>2316.0463520552807</v>
          </cell>
        </row>
        <row r="446">
          <cell r="BK446">
            <v>97.7</v>
          </cell>
          <cell r="BL446">
            <v>2.3261904761904764</v>
          </cell>
          <cell r="BM446">
            <v>1202.5051750946591</v>
          </cell>
          <cell r="BN446">
            <v>1320.4339750946579</v>
          </cell>
          <cell r="BO446">
            <v>1438.3627750946584</v>
          </cell>
          <cell r="BP446">
            <v>1556.2915750946581</v>
          </cell>
          <cell r="BQ446">
            <v>1674.2203750946587</v>
          </cell>
          <cell r="BR446">
            <v>1792.1491750946584</v>
          </cell>
          <cell r="BS446">
            <v>1910.0779750946599</v>
          </cell>
          <cell r="BU446">
            <v>52</v>
          </cell>
          <cell r="BV446">
            <v>1.2380952380952381</v>
          </cell>
          <cell r="BW446">
            <v>1886.3071520552808</v>
          </cell>
          <cell r="BX446">
            <v>1950.7583520552812</v>
          </cell>
          <cell r="BY446">
            <v>2015.2095520552807</v>
          </cell>
          <cell r="BZ446">
            <v>2079.6607520552802</v>
          </cell>
          <cell r="CA446">
            <v>2144.1119520552807</v>
          </cell>
          <cell r="CB446">
            <v>2208.5631520552811</v>
          </cell>
          <cell r="CC446">
            <v>2273.0143520552806</v>
          </cell>
        </row>
        <row r="447">
          <cell r="BK447">
            <v>107.7</v>
          </cell>
          <cell r="BL447">
            <v>2.5642857142857145</v>
          </cell>
          <cell r="BM447">
            <v>1164.9745805708494</v>
          </cell>
          <cell r="BN447">
            <v>1282.9033805708482</v>
          </cell>
          <cell r="BO447">
            <v>1400.8321805708488</v>
          </cell>
          <cell r="BP447">
            <v>1518.7609805708485</v>
          </cell>
          <cell r="BQ447">
            <v>1636.6897805708491</v>
          </cell>
          <cell r="BR447">
            <v>1754.6185805708487</v>
          </cell>
          <cell r="BS447">
            <v>1872.5473805708502</v>
          </cell>
          <cell r="BU447">
            <v>62</v>
          </cell>
          <cell r="BV447">
            <v>1.4761904761904763</v>
          </cell>
          <cell r="BW447">
            <v>1843.2751520552815</v>
          </cell>
          <cell r="BX447">
            <v>1907.726352055282</v>
          </cell>
          <cell r="BY447">
            <v>1972.1775520552815</v>
          </cell>
          <cell r="BZ447">
            <v>2036.628752055281</v>
          </cell>
          <cell r="CA447">
            <v>2101.0799520552814</v>
          </cell>
          <cell r="CB447">
            <v>2165.5311520552818</v>
          </cell>
          <cell r="CC447">
            <v>2229.9823520552814</v>
          </cell>
        </row>
        <row r="448">
          <cell r="BU448">
            <v>72</v>
          </cell>
          <cell r="BV448" t="str">
            <v>PRASM</v>
          </cell>
          <cell r="BW448">
            <v>-0.06</v>
          </cell>
          <cell r="BX448">
            <v>-0.04</v>
          </cell>
          <cell r="BY448">
            <v>-0.02</v>
          </cell>
          <cell r="BZ448" t="str">
            <v>Cur. Est.*</v>
          </cell>
          <cell r="CA448">
            <v>0.02</v>
          </cell>
          <cell r="CB448">
            <v>0.04</v>
          </cell>
          <cell r="CC448">
            <v>0.06</v>
          </cell>
        </row>
        <row r="449">
          <cell r="BU449" t="str">
            <v>Jet Fuel</v>
          </cell>
          <cell r="BW449">
            <v>-0.10353540482203678</v>
          </cell>
          <cell r="BX449">
            <v>-8.353540482203678E-2</v>
          </cell>
          <cell r="BY449">
            <v>-6.3535404822036776E-2</v>
          </cell>
          <cell r="BZ449">
            <v>-4.3535404822036772E-2</v>
          </cell>
          <cell r="CA449">
            <v>-2.3535404822036771E-2</v>
          </cell>
          <cell r="CB449">
            <v>-3.5354048220367709E-3</v>
          </cell>
          <cell r="CC449">
            <v>1.6464595177963229E-2</v>
          </cell>
        </row>
        <row r="450">
          <cell r="BK450" t="str">
            <v>2015 EBITDAR Margin</v>
          </cell>
          <cell r="BU450" t="str">
            <v>2015 EBITDAR Margin</v>
          </cell>
          <cell r="BV450">
            <v>1816.7210742359164</v>
          </cell>
          <cell r="BW450">
            <v>-0.16999999999999998</v>
          </cell>
          <cell r="BX450">
            <v>-0.14333333333333331</v>
          </cell>
          <cell r="BY450">
            <v>-0.11666666666666667</v>
          </cell>
          <cell r="BZ450">
            <v>-0.09</v>
          </cell>
          <cell r="CA450">
            <v>-6.3333333333333325E-2</v>
          </cell>
          <cell r="CB450">
            <v>-3.6666666666666667E-2</v>
          </cell>
          <cell r="CC450">
            <v>-1.0000000000000009E-2</v>
          </cell>
        </row>
        <row r="451">
          <cell r="BL451" t="str">
            <v>PRASM</v>
          </cell>
          <cell r="BM451">
            <v>-0.06</v>
          </cell>
          <cell r="BN451">
            <v>-0.04</v>
          </cell>
          <cell r="BO451">
            <v>-0.02</v>
          </cell>
          <cell r="BP451" t="str">
            <v>Cur. Est.*</v>
          </cell>
          <cell r="BQ451">
            <v>0.02</v>
          </cell>
          <cell r="BR451">
            <v>0.04</v>
          </cell>
          <cell r="BS451">
            <v>0.06</v>
          </cell>
          <cell r="BU451" t="str">
            <v>2016 EBITDAR Margin</v>
          </cell>
          <cell r="BV451" t="str">
            <v>PRASM</v>
          </cell>
          <cell r="BW451">
            <v>-0.06</v>
          </cell>
          <cell r="BX451">
            <v>-0.04</v>
          </cell>
          <cell r="BY451">
            <v>-0.02</v>
          </cell>
          <cell r="BZ451" t="str">
            <v>Cur. Est.*</v>
          </cell>
          <cell r="CA451">
            <v>0.02</v>
          </cell>
          <cell r="CB451">
            <v>0.04</v>
          </cell>
          <cell r="CC451">
            <v>0.06</v>
          </cell>
        </row>
        <row r="452">
          <cell r="BK452" t="str">
            <v>Jet Fuel</v>
          </cell>
          <cell r="BM452">
            <v>-3.5674335648448741E-2</v>
          </cell>
          <cell r="BN452">
            <v>-1.5674335648448744E-2</v>
          </cell>
          <cell r="BO452">
            <v>4.3256643515512568E-3</v>
          </cell>
          <cell r="BP452">
            <v>2.4325664351551257E-2</v>
          </cell>
          <cell r="BQ452">
            <v>4.4325664351551261E-2</v>
          </cell>
          <cell r="BR452">
            <v>6.4325664351551265E-2</v>
          </cell>
          <cell r="BS452">
            <v>8.4325664351551269E-2</v>
          </cell>
          <cell r="BU452" t="str">
            <v>Jet Fuel</v>
          </cell>
          <cell r="BV452" t="str">
            <v>PRASM</v>
          </cell>
          <cell r="BW452">
            <v>-0.06</v>
          </cell>
          <cell r="BX452">
            <v>-0.04</v>
          </cell>
          <cell r="BY452">
            <v>-0.02</v>
          </cell>
          <cell r="BZ452" t="str">
            <v>Cur. Est.*</v>
          </cell>
          <cell r="CA452">
            <v>0.02</v>
          </cell>
          <cell r="CB452">
            <v>0.04</v>
          </cell>
          <cell r="CC452">
            <v>0.06</v>
          </cell>
        </row>
        <row r="453">
          <cell r="BL453">
            <v>0.25445873927256318</v>
          </cell>
          <cell r="BM453">
            <v>-5.4999999999999986E-2</v>
          </cell>
          <cell r="BN453">
            <v>-2.8333333333333328E-2</v>
          </cell>
          <cell r="BO453">
            <v>-1.6666666666666635E-3</v>
          </cell>
          <cell r="BP453">
            <v>2.5000000000000001E-2</v>
          </cell>
          <cell r="BQ453">
            <v>5.1666666666666666E-2</v>
          </cell>
          <cell r="BR453">
            <v>7.8333333333333338E-2</v>
          </cell>
          <cell r="BS453">
            <v>0.10499999999999998</v>
          </cell>
          <cell r="BU453" t="str">
            <v>Jet Fuel</v>
          </cell>
          <cell r="BV453">
            <v>0.25997703723125315</v>
          </cell>
          <cell r="BW453">
            <v>-8.2277981669198932E-2</v>
          </cell>
          <cell r="BX453">
            <v>-6.2277981669198929E-2</v>
          </cell>
          <cell r="BY453">
            <v>-4.2277981669198925E-2</v>
          </cell>
          <cell r="BZ453">
            <v>-2.2277981669198921E-2</v>
          </cell>
          <cell r="CA453">
            <v>-2.2779816691989203E-3</v>
          </cell>
          <cell r="CB453">
            <v>1.772201833080108E-2</v>
          </cell>
          <cell r="CC453">
            <v>3.7722018330801077E-2</v>
          </cell>
        </row>
        <row r="454">
          <cell r="BK454">
            <v>47.699999999999996</v>
          </cell>
          <cell r="BL454">
            <v>1.1357142857142857</v>
          </cell>
          <cell r="BM454">
            <v>0.22950191248497886</v>
          </cell>
          <cell r="BN454">
            <v>0.24421621062545582</v>
          </cell>
          <cell r="BO454">
            <v>0.25837903868287743</v>
          </cell>
          <cell r="BP454">
            <v>0.27202082880327133</v>
          </cell>
          <cell r="BQ454">
            <v>0.28516981443321565</v>
          </cell>
          <cell r="BR454">
            <v>0.29785222536483297</v>
          </cell>
          <cell r="BS454">
            <v>0.31009246237997795</v>
          </cell>
          <cell r="BU454">
            <v>30.9</v>
          </cell>
          <cell r="BV454">
            <v>0.31012895278082159</v>
          </cell>
          <cell r="BW454">
            <v>-0.12</v>
          </cell>
          <cell r="BX454">
            <v>-0.1</v>
          </cell>
          <cell r="BY454">
            <v>-0.08</v>
          </cell>
          <cell r="BZ454">
            <v>-0.06</v>
          </cell>
          <cell r="CA454">
            <v>-3.9999999999999994E-2</v>
          </cell>
          <cell r="CB454">
            <v>-1.9999999999999997E-2</v>
          </cell>
          <cell r="CC454">
            <v>0</v>
          </cell>
        </row>
        <row r="455">
          <cell r="BK455">
            <v>57.7</v>
          </cell>
          <cell r="BL455">
            <v>1.3738095238095238</v>
          </cell>
          <cell r="BM455">
            <v>0.2233059676321732</v>
          </cell>
          <cell r="BN455">
            <v>0.23813859050479866</v>
          </cell>
          <cell r="BO455">
            <v>0.25241530865880257</v>
          </cell>
          <cell r="BP455">
            <v>0.26616679895970186</v>
          </cell>
          <cell r="BQ455">
            <v>0.27942152189276687</v>
          </cell>
          <cell r="BR455">
            <v>0.29220591817646518</v>
          </cell>
          <cell r="BS455">
            <v>0.30454458481104724</v>
          </cell>
          <cell r="BU455">
            <v>12</v>
          </cell>
          <cell r="BV455">
            <v>0.2857142857142857</v>
          </cell>
          <cell r="BW455">
            <v>0.30948349728213886</v>
          </cell>
          <cell r="BX455">
            <v>0.31611050152856068</v>
          </cell>
          <cell r="BY455">
            <v>0.32261151396743237</v>
          </cell>
          <cell r="BZ455">
            <v>0.32899009377705302</v>
          </cell>
          <cell r="CA455">
            <v>0.33524966732731964</v>
          </cell>
          <cell r="CB455">
            <v>0.34139353431704755</v>
          </cell>
          <cell r="CC455">
            <v>0.34742487357406748</v>
          </cell>
        </row>
        <row r="456">
          <cell r="BK456">
            <v>67.7</v>
          </cell>
          <cell r="BL456">
            <v>1.611904761904762</v>
          </cell>
          <cell r="BM456">
            <v>0.21711002277936767</v>
          </cell>
          <cell r="BN456">
            <v>0.23206097038414161</v>
          </cell>
          <cell r="BO456">
            <v>0.2464515786347278</v>
          </cell>
          <cell r="BP456">
            <v>0.2603127691161326</v>
          </cell>
          <cell r="BQ456">
            <v>0.27367322935231825</v>
          </cell>
          <cell r="BR456">
            <v>0.28655961098809751</v>
          </cell>
          <cell r="BS456">
            <v>0.29899670724211669</v>
          </cell>
          <cell r="BU456">
            <v>22</v>
          </cell>
          <cell r="BV456">
            <v>0.52380952380952384</v>
          </cell>
          <cell r="BW456">
            <v>0.30301368265535888</v>
          </cell>
          <cell r="BX456">
            <v>0.309702778812454</v>
          </cell>
          <cell r="BY456">
            <v>0.31626470267806256</v>
          </cell>
          <cell r="BZ456">
            <v>0.32270304677830908</v>
          </cell>
          <cell r="CA456">
            <v>0.3290212695865638</v>
          </cell>
          <cell r="CB456">
            <v>0.33522270171826685</v>
          </cell>
          <cell r="CC456">
            <v>0.34131055178536956</v>
          </cell>
        </row>
        <row r="457">
          <cell r="BK457">
            <v>77.7</v>
          </cell>
          <cell r="BL457">
            <v>1.85</v>
          </cell>
          <cell r="BM457">
            <v>0.21091407792656203</v>
          </cell>
          <cell r="BN457">
            <v>0.22598335026348443</v>
          </cell>
          <cell r="BO457">
            <v>0.24048784861065292</v>
          </cell>
          <cell r="BP457">
            <v>0.25445873927256318</v>
          </cell>
          <cell r="BQ457">
            <v>0.26792493681186946</v>
          </cell>
          <cell r="BR457">
            <v>0.28091330379972967</v>
          </cell>
          <cell r="BS457">
            <v>0.29344882967318592</v>
          </cell>
          <cell r="BU457">
            <v>32</v>
          </cell>
          <cell r="BV457">
            <v>0.76190476190476186</v>
          </cell>
          <cell r="BW457">
            <v>0.29654386802857918</v>
          </cell>
          <cell r="BX457">
            <v>0.30329505609634766</v>
          </cell>
          <cell r="BY457">
            <v>0.30991789138869308</v>
          </cell>
          <cell r="BZ457">
            <v>0.31641599977956542</v>
          </cell>
          <cell r="CA457">
            <v>0.32279287184580818</v>
          </cell>
          <cell r="CB457">
            <v>0.32905186911948642</v>
          </cell>
          <cell r="CC457">
            <v>0.33519622999667192</v>
          </cell>
        </row>
        <row r="458">
          <cell r="BK458">
            <v>87.7</v>
          </cell>
          <cell r="BL458">
            <v>2.0880952380952382</v>
          </cell>
          <cell r="BM458">
            <v>0.20471813307375636</v>
          </cell>
          <cell r="BN458">
            <v>0.21990573014282727</v>
          </cell>
          <cell r="BO458">
            <v>0.23452411858657804</v>
          </cell>
          <cell r="BP458">
            <v>0.24860470942899374</v>
          </cell>
          <cell r="BQ458">
            <v>0.26217664427142073</v>
          </cell>
          <cell r="BR458">
            <v>0.27526699661136189</v>
          </cell>
          <cell r="BS458">
            <v>0.2879009521042552</v>
          </cell>
          <cell r="BU458">
            <v>42</v>
          </cell>
          <cell r="BV458">
            <v>1</v>
          </cell>
          <cell r="BW458">
            <v>0.29007405340179931</v>
          </cell>
          <cell r="BX458">
            <v>0.2968873333802412</v>
          </cell>
          <cell r="BY458">
            <v>0.30357108009932343</v>
          </cell>
          <cell r="BZ458">
            <v>0.31012895278082159</v>
          </cell>
          <cell r="CA458">
            <v>0.31656447410505245</v>
          </cell>
          <cell r="CB458">
            <v>0.32288103652070582</v>
          </cell>
          <cell r="CC458">
            <v>0.32908190820797412</v>
          </cell>
        </row>
        <row r="459">
          <cell r="BK459">
            <v>97.7</v>
          </cell>
          <cell r="BL459">
            <v>2.3261904761904764</v>
          </cell>
          <cell r="BM459">
            <v>0.19852218822095069</v>
          </cell>
          <cell r="BN459">
            <v>0.21382811002217009</v>
          </cell>
          <cell r="BO459">
            <v>0.22856038856250316</v>
          </cell>
          <cell r="BP459">
            <v>0.24275067958542432</v>
          </cell>
          <cell r="BQ459">
            <v>0.25642835173097195</v>
          </cell>
          <cell r="BR459">
            <v>0.26962068942299405</v>
          </cell>
          <cell r="BS459">
            <v>0.28235307453532449</v>
          </cell>
          <cell r="BU459">
            <v>52</v>
          </cell>
          <cell r="BV459">
            <v>1.2380952380952381</v>
          </cell>
          <cell r="BW459">
            <v>0.2836042387750195</v>
          </cell>
          <cell r="BX459">
            <v>0.29047961066413469</v>
          </cell>
          <cell r="BY459">
            <v>0.29722426880995384</v>
          </cell>
          <cell r="BZ459">
            <v>0.30384190578207781</v>
          </cell>
          <cell r="CA459">
            <v>0.31033607636429672</v>
          </cell>
          <cell r="CB459">
            <v>0.31671020392192523</v>
          </cell>
          <cell r="CC459">
            <v>0.32296758641927636</v>
          </cell>
        </row>
        <row r="460">
          <cell r="BK460">
            <v>107.7</v>
          </cell>
          <cell r="BL460">
            <v>2.5642857142857145</v>
          </cell>
          <cell r="BM460">
            <v>0.19232624336814502</v>
          </cell>
          <cell r="BN460">
            <v>0.2077504899015129</v>
          </cell>
          <cell r="BO460">
            <v>0.22259665853842825</v>
          </cell>
          <cell r="BP460">
            <v>0.23689664974185487</v>
          </cell>
          <cell r="BQ460">
            <v>0.25068005919052322</v>
          </cell>
          <cell r="BR460">
            <v>0.26397438223462627</v>
          </cell>
          <cell r="BS460">
            <v>0.27680519696639377</v>
          </cell>
          <cell r="BU460">
            <v>62</v>
          </cell>
          <cell r="BV460">
            <v>1.4761904761904763</v>
          </cell>
          <cell r="BW460">
            <v>0.2771344241482398</v>
          </cell>
          <cell r="BX460">
            <v>0.28407188794802835</v>
          </cell>
          <cell r="BY460">
            <v>0.2908774575205843</v>
          </cell>
          <cell r="BZ460">
            <v>0.29755485878333415</v>
          </cell>
          <cell r="CA460">
            <v>0.3041076786235411</v>
          </cell>
          <cell r="CB460">
            <v>0.31053937132314474</v>
          </cell>
          <cell r="CC460">
            <v>0.31685326463057872</v>
          </cell>
        </row>
        <row r="461">
          <cell r="BU461">
            <v>72</v>
          </cell>
          <cell r="BV461" t="str">
            <v>PRASM</v>
          </cell>
          <cell r="BW461">
            <v>-0.06</v>
          </cell>
          <cell r="BX461">
            <v>-0.04</v>
          </cell>
          <cell r="BY461">
            <v>-0.02</v>
          </cell>
          <cell r="BZ461" t="str">
            <v>Cur. Est.*</v>
          </cell>
          <cell r="CA461">
            <v>0.02</v>
          </cell>
          <cell r="CB461">
            <v>0.04</v>
          </cell>
          <cell r="CC461">
            <v>0.06</v>
          </cell>
        </row>
        <row r="462">
          <cell r="BU462" t="str">
            <v>Jet Fuel</v>
          </cell>
          <cell r="BW462">
            <v>-0.10353540482203678</v>
          </cell>
          <cell r="BX462">
            <v>-8.353540482203678E-2</v>
          </cell>
          <cell r="BY462">
            <v>-6.3535404822036776E-2</v>
          </cell>
          <cell r="BZ462">
            <v>-4.3535404822036772E-2</v>
          </cell>
          <cell r="CA462">
            <v>-2.3535404822036771E-2</v>
          </cell>
          <cell r="CB462">
            <v>-3.5354048220367709E-3</v>
          </cell>
          <cell r="CC462">
            <v>1.6464595177963229E-2</v>
          </cell>
        </row>
        <row r="463">
          <cell r="BV463">
            <v>0.2966802037603895</v>
          </cell>
          <cell r="BW463">
            <v>-0.16999999999999998</v>
          </cell>
          <cell r="BX463">
            <v>-0.14333333333333331</v>
          </cell>
          <cell r="BY463">
            <v>-0.11666666666666667</v>
          </cell>
          <cell r="BZ463">
            <v>-0.09</v>
          </cell>
          <cell r="CA463">
            <v>-6.3333333333333325E-2</v>
          </cell>
          <cell r="CB463">
            <v>-3.6666666666666667E-2</v>
          </cell>
          <cell r="CC463">
            <v>-1.0000000000000009E-2</v>
          </cell>
        </row>
        <row r="464">
          <cell r="BU464">
            <v>14.100000000000001</v>
          </cell>
          <cell r="BV464">
            <v>0.33571428571428574</v>
          </cell>
          <cell r="BW464">
            <v>0.30365725716566483</v>
          </cell>
          <cell r="BX464">
            <v>0.30811470761001813</v>
          </cell>
          <cell r="BY464">
            <v>0.312515454689691</v>
          </cell>
          <cell r="BZ464">
            <v>0.31686057355405722</v>
          </cell>
          <cell r="CA464">
            <v>0.32115111234207494</v>
          </cell>
          <cell r="CB464">
            <v>0.32538809302520183</v>
          </cell>
          <cell r="CC464">
            <v>0.32957251221894313</v>
          </cell>
        </row>
        <row r="465">
          <cell r="BU465">
            <v>24.1</v>
          </cell>
          <cell r="BV465">
            <v>0.57380952380952388</v>
          </cell>
          <cell r="BW465">
            <v>0.2968004558014874</v>
          </cell>
          <cell r="BX465">
            <v>0.30130179821226399</v>
          </cell>
          <cell r="BY465">
            <v>0.30574587890730059</v>
          </cell>
          <cell r="BZ465">
            <v>0.31013378362283467</v>
          </cell>
          <cell r="CA465">
            <v>0.3144665708187197</v>
          </cell>
          <cell r="CB465">
            <v>0.3187452725296408</v>
          </cell>
          <cell r="CC465">
            <v>0.32297089518465338</v>
          </cell>
        </row>
        <row r="466">
          <cell r="BU466">
            <v>34.1</v>
          </cell>
          <cell r="BV466">
            <v>0.81190476190476191</v>
          </cell>
          <cell r="BW466">
            <v>0.28994365443731002</v>
          </cell>
          <cell r="BX466">
            <v>0.29448888881450991</v>
          </cell>
          <cell r="BY466">
            <v>0.29897630312491019</v>
          </cell>
          <cell r="BZ466">
            <v>0.30340699369161206</v>
          </cell>
          <cell r="CA466">
            <v>0.30778202929536447</v>
          </cell>
          <cell r="CB466">
            <v>0.31210245203407971</v>
          </cell>
          <cell r="CC466">
            <v>0.31636927815036364</v>
          </cell>
        </row>
        <row r="467">
          <cell r="BU467">
            <v>44.1</v>
          </cell>
          <cell r="BV467">
            <v>1.05</v>
          </cell>
          <cell r="BW467">
            <v>0.28308685307313258</v>
          </cell>
          <cell r="BX467">
            <v>0.28767597941675577</v>
          </cell>
          <cell r="BY467">
            <v>0.29220672734251979</v>
          </cell>
          <cell r="BZ467">
            <v>0.2966802037603895</v>
          </cell>
          <cell r="CA467">
            <v>0.30109748777200929</v>
          </cell>
          <cell r="CB467">
            <v>0.30545963153851868</v>
          </cell>
          <cell r="CC467">
            <v>0.3097676611160739</v>
          </cell>
        </row>
        <row r="468">
          <cell r="BU468">
            <v>54.1</v>
          </cell>
          <cell r="BV468">
            <v>1.2880952380952382</v>
          </cell>
          <cell r="BW468">
            <v>0.27623005170895504</v>
          </cell>
          <cell r="BX468">
            <v>0.28086307001900152</v>
          </cell>
          <cell r="BY468">
            <v>0.28543715156012928</v>
          </cell>
          <cell r="BZ468">
            <v>0.28995341382916678</v>
          </cell>
          <cell r="CA468">
            <v>0.29441294624865388</v>
          </cell>
          <cell r="CB468">
            <v>0.29881681104295749</v>
          </cell>
          <cell r="CC468">
            <v>0.30316604408178405</v>
          </cell>
        </row>
        <row r="469">
          <cell r="BU469">
            <v>64.099999999999994</v>
          </cell>
          <cell r="BV469">
            <v>1.5261904761904761</v>
          </cell>
          <cell r="BW469">
            <v>0.2693732503447776</v>
          </cell>
          <cell r="BX469">
            <v>0.27405016062124743</v>
          </cell>
          <cell r="BY469">
            <v>0.27866757577773887</v>
          </cell>
          <cell r="BZ469">
            <v>0.28322662389794417</v>
          </cell>
          <cell r="CA469">
            <v>0.28772840472529865</v>
          </cell>
          <cell r="CB469">
            <v>0.2921739905473964</v>
          </cell>
          <cell r="CC469">
            <v>0.29656442704749431</v>
          </cell>
        </row>
        <row r="470">
          <cell r="BU470">
            <v>74.099999999999994</v>
          </cell>
          <cell r="BV470">
            <v>1.7642857142857142</v>
          </cell>
          <cell r="BW470">
            <v>0.26251644898060017</v>
          </cell>
          <cell r="BX470">
            <v>0.26723725122349329</v>
          </cell>
          <cell r="BY470">
            <v>0.27189799999534847</v>
          </cell>
          <cell r="BZ470">
            <v>0.27649983396672162</v>
          </cell>
          <cell r="CA470">
            <v>0.28104386320194347</v>
          </cell>
          <cell r="CB470">
            <v>0.28553117005183537</v>
          </cell>
          <cell r="CC470">
            <v>0.28996281001320456</v>
          </cell>
        </row>
      </sheetData>
      <sheetData sheetId="5"/>
      <sheetData sheetId="6"/>
      <sheetData sheetId="7"/>
      <sheetData sheetId="8"/>
      <sheetData sheetId="9">
        <row r="64">
          <cell r="D64">
            <v>3</v>
          </cell>
        </row>
      </sheetData>
      <sheetData sheetId="10"/>
      <sheetData sheetId="11"/>
      <sheetData sheetId="12" refreshError="1">
        <row r="1">
          <cell r="B1" t="str">
            <v>JetBlue Airways</v>
          </cell>
          <cell r="S1" t="str">
            <v>ElementName</v>
          </cell>
          <cell r="T1" t="str">
            <v>ElementName</v>
          </cell>
          <cell r="U1" t="str">
            <v>ScaleOverride</v>
          </cell>
          <cell r="V1" t="str">
            <v>UnitOverride</v>
          </cell>
          <cell r="W1" t="str">
            <v>ReverseSign</v>
          </cell>
          <cell r="X1" t="str">
            <v>IsDrivingAssumption</v>
          </cell>
          <cell r="Y1" t="str">
            <v>SegmentID</v>
          </cell>
        </row>
        <row r="2">
          <cell r="B2" t="str">
            <v>Operating Lease Module</v>
          </cell>
        </row>
        <row r="3">
          <cell r="C3">
            <v>2002</v>
          </cell>
          <cell r="D3">
            <v>2003</v>
          </cell>
          <cell r="E3">
            <v>2004</v>
          </cell>
          <cell r="F3">
            <v>2005</v>
          </cell>
          <cell r="G3">
            <v>2006</v>
          </cell>
          <cell r="H3">
            <v>2007</v>
          </cell>
          <cell r="I3">
            <v>2008</v>
          </cell>
          <cell r="J3">
            <v>2009</v>
          </cell>
          <cell r="K3">
            <v>2010</v>
          </cell>
          <cell r="L3">
            <v>2011</v>
          </cell>
          <cell r="M3">
            <v>2012</v>
          </cell>
          <cell r="N3">
            <v>2013</v>
          </cell>
          <cell r="O3">
            <v>2014</v>
          </cell>
          <cell r="P3">
            <v>2015</v>
          </cell>
          <cell r="Q3">
            <v>2016</v>
          </cell>
          <cell r="R3">
            <v>2017</v>
          </cell>
          <cell r="S3">
            <v>2018</v>
          </cell>
        </row>
        <row r="5">
          <cell r="B5" t="str">
            <v>Adjustment to Income Statement</v>
          </cell>
        </row>
        <row r="6">
          <cell r="B6" t="str">
            <v>Reverse Rent Payment</v>
          </cell>
          <cell r="C6">
            <v>64.5</v>
          </cell>
          <cell r="D6">
            <v>99.1</v>
          </cell>
          <cell r="E6">
            <v>119.8</v>
          </cell>
          <cell r="F6">
            <v>137</v>
          </cell>
          <cell r="G6">
            <v>190</v>
          </cell>
          <cell r="H6">
            <v>225</v>
          </cell>
          <cell r="I6">
            <v>243</v>
          </cell>
          <cell r="J6">
            <v>236</v>
          </cell>
          <cell r="K6">
            <v>245</v>
          </cell>
          <cell r="L6">
            <v>262.5</v>
          </cell>
          <cell r="M6">
            <v>252.77777777777777</v>
          </cell>
          <cell r="N6">
            <v>248.88888888888889</v>
          </cell>
          <cell r="O6">
            <v>241.11111111111111</v>
          </cell>
          <cell r="P6">
            <v>231.26757877280264</v>
          </cell>
          <cell r="Q6">
            <v>205.98014788659711</v>
          </cell>
          <cell r="R6">
            <v>202.42230896855585</v>
          </cell>
          <cell r="S6">
            <v>197.30894542461101</v>
          </cell>
          <cell r="T6" t="str">
            <v>mstag:rentalPaymentOnCapitalizedOperatingLeasesLessee</v>
          </cell>
          <cell r="U6">
            <v>6</v>
          </cell>
          <cell r="V6" t="str">
            <v>ISO4217:USD</v>
          </cell>
          <cell r="W6" t="b">
            <v>0</v>
          </cell>
          <cell r="X6" t="b">
            <v>0</v>
          </cell>
        </row>
        <row r="7">
          <cell r="B7" t="str">
            <v>Add Implied Depreciation Expense</v>
          </cell>
          <cell r="C7">
            <v>0</v>
          </cell>
          <cell r="D7">
            <v>-102.65897741136729</v>
          </cell>
          <cell r="E7">
            <v>-107.45434500843814</v>
          </cell>
          <cell r="F7">
            <v>-126.76758490177849</v>
          </cell>
          <cell r="G7">
            <v>-152.71200823693925</v>
          </cell>
          <cell r="H7">
            <v>-157.89844098150149</v>
          </cell>
          <cell r="I7">
            <v>-161.38670503718731</v>
          </cell>
          <cell r="J7">
            <v>-161.14791563518833</v>
          </cell>
          <cell r="K7">
            <v>-171.694237504456</v>
          </cell>
          <cell r="L7">
            <v>-185.85976454681025</v>
          </cell>
          <cell r="M7">
            <v>-170.85144731678835</v>
          </cell>
          <cell r="N7">
            <v>-149.04673807191602</v>
          </cell>
          <cell r="O7">
            <v>-140.19241654077564</v>
          </cell>
          <cell r="P7">
            <v>-138.93965511401598</v>
          </cell>
          <cell r="Q7">
            <v>-100.8635891701061</v>
          </cell>
          <cell r="R7">
            <v>-104.83480199840864</v>
          </cell>
          <cell r="S7">
            <v>-103.9861487798871</v>
          </cell>
          <cell r="T7" t="str">
            <v>mstag:impliedDepreciationOnCapitalizedOperatingLeasesLessee</v>
          </cell>
          <cell r="U7">
            <v>6</v>
          </cell>
          <cell r="V7" t="str">
            <v>ISO4217:USD</v>
          </cell>
          <cell r="W7" t="b">
            <v>1</v>
          </cell>
          <cell r="X7" t="b">
            <v>0</v>
          </cell>
        </row>
        <row r="8">
          <cell r="B8" t="str">
            <v>Net Increase/(Decrease) to Operating Income</v>
          </cell>
          <cell r="C8">
            <v>64.5</v>
          </cell>
          <cell r="D8">
            <v>-3.5589774113672945</v>
          </cell>
          <cell r="E8">
            <v>12.345654991561858</v>
          </cell>
          <cell r="F8">
            <v>10.232415098221509</v>
          </cell>
          <cell r="G8">
            <v>37.287991763060745</v>
          </cell>
          <cell r="H8">
            <v>67.101559018498506</v>
          </cell>
          <cell r="I8">
            <v>81.613294962812688</v>
          </cell>
          <cell r="J8">
            <v>74.852084364811674</v>
          </cell>
          <cell r="K8">
            <v>73.305762495544002</v>
          </cell>
          <cell r="L8">
            <v>76.640235453189746</v>
          </cell>
          <cell r="M8">
            <v>81.926330460989419</v>
          </cell>
          <cell r="N8">
            <v>99.842150816972861</v>
          </cell>
          <cell r="O8">
            <v>100.91869457033548</v>
          </cell>
          <cell r="P8">
            <v>92.327923658786659</v>
          </cell>
          <cell r="Q8">
            <v>105.11655871649101</v>
          </cell>
          <cell r="R8">
            <v>97.587506970147217</v>
          </cell>
          <cell r="S8">
            <v>93.322796644723908</v>
          </cell>
        </row>
        <row r="10">
          <cell r="B10" t="str">
            <v>Add Estimated Interest Expense</v>
          </cell>
          <cell r="C10">
            <v>-20.947829967346298</v>
          </cell>
          <cell r="D10">
            <v>-35.796015309184703</v>
          </cell>
          <cell r="E10">
            <v>-35.10718496104716</v>
          </cell>
          <cell r="F10">
            <v>-54.173881582634124</v>
          </cell>
          <cell r="G10">
            <v>-82.782213631805249</v>
          </cell>
          <cell r="H10">
            <v>-88.350145195165496</v>
          </cell>
          <cell r="I10">
            <v>-89.409757452590242</v>
          </cell>
          <cell r="J10">
            <v>-85.365235760539107</v>
          </cell>
          <cell r="K10">
            <v>-90.987706197348643</v>
          </cell>
          <cell r="L10">
            <v>-99.336708951445701</v>
          </cell>
          <cell r="M10">
            <v>-96.057603209477492</v>
          </cell>
          <cell r="N10">
            <v>-94.983473020762304</v>
          </cell>
          <cell r="O10">
            <v>-92.199095325733694</v>
          </cell>
          <cell r="P10">
            <v>-88.436663604845521</v>
          </cell>
          <cell r="Q10">
            <v>-78.049103421379755</v>
          </cell>
          <cell r="R10">
            <v>-76.733463809168157</v>
          </cell>
          <cell r="S10">
            <v>-74.775926591163881</v>
          </cell>
          <cell r="T10" t="str">
            <v>mstag:interestExpenseOnCapitalizedOperatingLeasesLessee</v>
          </cell>
          <cell r="U10">
            <v>6</v>
          </cell>
          <cell r="V10" t="str">
            <v>ISO4217:USD</v>
          </cell>
          <cell r="W10" t="b">
            <v>1</v>
          </cell>
          <cell r="X10" t="b">
            <v>0</v>
          </cell>
        </row>
        <row r="11">
          <cell r="B11" t="str">
            <v>Net Increase/(Decrease) to Pre-tax Income</v>
          </cell>
          <cell r="C11">
            <v>43.552170032653706</v>
          </cell>
          <cell r="D11">
            <v>-39.354992720551998</v>
          </cell>
          <cell r="E11">
            <v>-22.761529969485302</v>
          </cell>
          <cell r="F11">
            <v>-43.941466484412615</v>
          </cell>
          <cell r="G11">
            <v>-45.494221868744503</v>
          </cell>
          <cell r="H11">
            <v>-21.24858617666699</v>
          </cell>
          <cell r="I11">
            <v>-7.7964624897775536</v>
          </cell>
          <cell r="J11">
            <v>-10.513151395727434</v>
          </cell>
          <cell r="K11">
            <v>-17.681943701804641</v>
          </cell>
          <cell r="L11">
            <v>-22.696473498255955</v>
          </cell>
          <cell r="M11">
            <v>-14.131272748488072</v>
          </cell>
          <cell r="N11">
            <v>4.8586777962105572</v>
          </cell>
          <cell r="O11">
            <v>8.7195992446017812</v>
          </cell>
          <cell r="P11">
            <v>3.8912600539411386</v>
          </cell>
          <cell r="Q11">
            <v>27.067455295111259</v>
          </cell>
          <cell r="R11">
            <v>20.85404316097906</v>
          </cell>
          <cell r="S11">
            <v>18.546870053560028</v>
          </cell>
        </row>
        <row r="13">
          <cell r="B13" t="str">
            <v>Principal Paid</v>
          </cell>
          <cell r="C13">
            <v>43.552170032653706</v>
          </cell>
          <cell r="D13">
            <v>63.303984690815291</v>
          </cell>
          <cell r="E13">
            <v>84.69281503895283</v>
          </cell>
          <cell r="F13">
            <v>82.826118417365876</v>
          </cell>
          <cell r="G13">
            <v>107.21778636819475</v>
          </cell>
          <cell r="H13">
            <v>136.64985480483449</v>
          </cell>
          <cell r="I13">
            <v>153.59024254740976</v>
          </cell>
          <cell r="J13">
            <v>150.63476423946088</v>
          </cell>
          <cell r="K13">
            <v>154.01229380265136</v>
          </cell>
          <cell r="L13">
            <v>163.1632910485543</v>
          </cell>
          <cell r="M13">
            <v>156.72017456830028</v>
          </cell>
          <cell r="N13">
            <v>153.90541586812657</v>
          </cell>
          <cell r="O13">
            <v>148.91201578537743</v>
          </cell>
          <cell r="P13">
            <v>142.83091516795713</v>
          </cell>
          <cell r="Q13">
            <v>127.93104446521735</v>
          </cell>
          <cell r="R13">
            <v>125.6888451593877</v>
          </cell>
          <cell r="S13">
            <v>122.53301883344713</v>
          </cell>
        </row>
        <row r="15">
          <cell r="B15" t="str">
            <v>FIXED ASSET SCHEDULE</v>
          </cell>
          <cell r="C15">
            <v>2002</v>
          </cell>
          <cell r="D15">
            <v>2003</v>
          </cell>
          <cell r="E15">
            <v>2004</v>
          </cell>
          <cell r="F15">
            <v>2005</v>
          </cell>
          <cell r="G15">
            <v>2006</v>
          </cell>
          <cell r="H15">
            <v>2007</v>
          </cell>
          <cell r="I15">
            <v>2008</v>
          </cell>
          <cell r="J15">
            <v>2009</v>
          </cell>
          <cell r="K15">
            <v>2010</v>
          </cell>
          <cell r="L15">
            <v>2011</v>
          </cell>
          <cell r="M15">
            <v>2012</v>
          </cell>
          <cell r="N15">
            <v>2013</v>
          </cell>
          <cell r="O15">
            <v>2014</v>
          </cell>
          <cell r="P15">
            <v>2015</v>
          </cell>
          <cell r="Q15">
            <v>2016</v>
          </cell>
          <cell r="R15">
            <v>2017</v>
          </cell>
          <cell r="S15">
            <v>2018</v>
          </cell>
        </row>
        <row r="16">
          <cell r="B16" t="str">
            <v>Beginning Carrying Value of Leased Assets</v>
          </cell>
          <cell r="D16">
            <v>519.70568633273433</v>
          </cell>
          <cell r="E16">
            <v>816.14317987022014</v>
          </cell>
          <cell r="F16">
            <v>771.02861362370311</v>
          </cell>
          <cell r="G16">
            <v>1041.8985004372901</v>
          </cell>
          <cell r="H16">
            <v>1343.0770724774202</v>
          </cell>
          <cell r="I16">
            <v>1339.3904781461265</v>
          </cell>
          <cell r="J16">
            <v>1300.2810792922439</v>
          </cell>
          <cell r="K16">
            <v>1201.8875604924019</v>
          </cell>
          <cell r="L16">
            <v>1237.329532774693</v>
          </cell>
          <cell r="M16">
            <v>1303.3260800761414</v>
          </cell>
          <cell r="N16">
            <v>1222.3995433170749</v>
          </cell>
          <cell r="O16">
            <v>1194.5336298063614</v>
          </cell>
          <cell r="P16">
            <v>1148.7050523270564</v>
          </cell>
          <cell r="Q16">
            <v>1086.5905762998757</v>
          </cell>
          <cell r="R16">
            <v>959.28344248524661</v>
          </cell>
          <cell r="S16">
            <v>950.73722179754259</v>
          </cell>
        </row>
        <row r="17">
          <cell r="B17" t="str">
            <v xml:space="preserve">Additions </v>
          </cell>
          <cell r="D17">
            <v>399.09647094885304</v>
          </cell>
          <cell r="E17">
            <v>62.339778761921131</v>
          </cell>
          <cell r="F17">
            <v>397.63747171536556</v>
          </cell>
          <cell r="G17">
            <v>453.89058027706926</v>
          </cell>
          <cell r="H17">
            <v>154.2118466502078</v>
          </cell>
          <cell r="I17">
            <v>122.27730618330472</v>
          </cell>
          <cell r="J17">
            <v>62.754396835346327</v>
          </cell>
          <cell r="K17">
            <v>207.13620978674712</v>
          </cell>
          <cell r="L17">
            <v>251.85631184825866</v>
          </cell>
          <cell r="M17">
            <v>89.924910557721773</v>
          </cell>
          <cell r="N17">
            <v>121.18082456120267</v>
          </cell>
          <cell r="O17">
            <v>94.363839061470557</v>
          </cell>
          <cell r="P17">
            <v>76.825179086835291</v>
          </cell>
          <cell r="Q17">
            <v>-26.443544644522881</v>
          </cell>
          <cell r="R17">
            <v>96.288581310704615</v>
          </cell>
          <cell r="S17">
            <v>84.407436251403283</v>
          </cell>
        </row>
        <row r="18">
          <cell r="B18" t="str">
            <v>Current year charge</v>
          </cell>
          <cell r="D18">
            <v>-102.65897741136729</v>
          </cell>
          <cell r="E18">
            <v>-107.45434500843814</v>
          </cell>
          <cell r="F18">
            <v>-126.76758490177849</v>
          </cell>
          <cell r="G18">
            <v>-152.71200823693925</v>
          </cell>
          <cell r="H18">
            <v>-157.89844098150149</v>
          </cell>
          <cell r="I18">
            <v>-161.38670503718731</v>
          </cell>
          <cell r="J18">
            <v>-161.14791563518833</v>
          </cell>
          <cell r="K18">
            <v>-171.694237504456</v>
          </cell>
          <cell r="L18">
            <v>-185.85976454681025</v>
          </cell>
          <cell r="M18">
            <v>-170.85144731678835</v>
          </cell>
          <cell r="N18">
            <v>-149.04673807191602</v>
          </cell>
          <cell r="O18">
            <v>-140.19241654077564</v>
          </cell>
          <cell r="P18">
            <v>-138.93965511401598</v>
          </cell>
          <cell r="Q18">
            <v>-100.8635891701061</v>
          </cell>
          <cell r="R18">
            <v>-104.83480199840864</v>
          </cell>
          <cell r="S18">
            <v>-103.9861487798871</v>
          </cell>
        </row>
        <row r="19">
          <cell r="B19" t="str">
            <v>Carying Value of Assets Held Under Operating Leases</v>
          </cell>
          <cell r="C19">
            <v>519.70568633273433</v>
          </cell>
          <cell r="D19">
            <v>816.14317987022014</v>
          </cell>
          <cell r="E19">
            <v>771.02861362370311</v>
          </cell>
          <cell r="F19">
            <v>1041.8985004372901</v>
          </cell>
          <cell r="G19">
            <v>1343.0770724774202</v>
          </cell>
          <cell r="H19">
            <v>1339.3904781461265</v>
          </cell>
          <cell r="I19">
            <v>1300.2810792922439</v>
          </cell>
          <cell r="J19">
            <v>1201.8875604924019</v>
          </cell>
          <cell r="K19">
            <v>1237.329532774693</v>
          </cell>
          <cell r="L19">
            <v>1303.3260800761414</v>
          </cell>
          <cell r="M19">
            <v>1222.3995433170749</v>
          </cell>
          <cell r="N19">
            <v>1194.5336298063614</v>
          </cell>
          <cell r="O19">
            <v>1148.7050523270564</v>
          </cell>
          <cell r="P19">
            <v>1086.5905762998757</v>
          </cell>
          <cell r="Q19">
            <v>959.28344248524661</v>
          </cell>
          <cell r="R19">
            <v>950.73722179754259</v>
          </cell>
          <cell r="S19">
            <v>931.15850926905887</v>
          </cell>
          <cell r="T19" t="str">
            <v>mstag:impliedCapitalizedOperatingLeaseAssetsLessee</v>
          </cell>
          <cell r="U19">
            <v>6</v>
          </cell>
          <cell r="V19" t="str">
            <v>ISO4217:USD</v>
          </cell>
          <cell r="W19" t="b">
            <v>0</v>
          </cell>
          <cell r="X19" t="b">
            <v>0</v>
          </cell>
        </row>
        <row r="20">
          <cell r="B20" t="str">
            <v>Ratio of carrying value to oustanding debt value for take on balance</v>
          </cell>
          <cell r="C20">
            <v>1</v>
          </cell>
        </row>
        <row r="22">
          <cell r="B22" t="str">
            <v>OPERATING LEASE DEBT SCHEDULE</v>
          </cell>
          <cell r="C22">
            <v>2002</v>
          </cell>
          <cell r="D22">
            <v>2003</v>
          </cell>
          <cell r="E22">
            <v>2004</v>
          </cell>
          <cell r="F22">
            <v>2005</v>
          </cell>
          <cell r="G22">
            <v>2006</v>
          </cell>
          <cell r="H22">
            <v>2007</v>
          </cell>
          <cell r="I22">
            <v>2008</v>
          </cell>
          <cell r="J22">
            <v>2009</v>
          </cell>
          <cell r="K22">
            <v>2010</v>
          </cell>
          <cell r="L22">
            <v>2011</v>
          </cell>
          <cell r="M22">
            <v>2012</v>
          </cell>
          <cell r="N22">
            <v>2013</v>
          </cell>
          <cell r="O22">
            <v>2014</v>
          </cell>
          <cell r="P22">
            <v>2015</v>
          </cell>
          <cell r="Q22">
            <v>2016</v>
          </cell>
          <cell r="R22">
            <v>2017</v>
          </cell>
          <cell r="S22">
            <v>2018</v>
          </cell>
        </row>
        <row r="23">
          <cell r="B23" t="str">
            <v>Beginning Balance of Implied Debt</v>
          </cell>
          <cell r="C23">
            <v>44.552170032653706</v>
          </cell>
          <cell r="D23">
            <v>519.70568633273433</v>
          </cell>
          <cell r="E23">
            <v>855.49817259077201</v>
          </cell>
          <cell r="F23">
            <v>833.14513631374041</v>
          </cell>
          <cell r="G23">
            <v>1147.9564896117402</v>
          </cell>
          <cell r="H23">
            <v>1494.6292835206145</v>
          </cell>
          <cell r="I23">
            <v>1512.1912753659876</v>
          </cell>
          <cell r="J23">
            <v>1480.8783390018825</v>
          </cell>
          <cell r="K23">
            <v>1392.9979715977679</v>
          </cell>
          <cell r="L23">
            <v>1446.1218875818636</v>
          </cell>
          <cell r="M23">
            <v>1534.8149083815679</v>
          </cell>
          <cell r="N23">
            <v>1468.0196443709892</v>
          </cell>
          <cell r="O23">
            <v>1435.2950530640653</v>
          </cell>
          <cell r="P23">
            <v>1380.7468763401585</v>
          </cell>
          <cell r="Q23">
            <v>1314.7411402590367</v>
          </cell>
          <cell r="R23">
            <v>1160.3665511492966</v>
          </cell>
          <cell r="S23">
            <v>1130.9662873006134</v>
          </cell>
        </row>
        <row r="24">
          <cell r="B24" t="str">
            <v>Interest</v>
          </cell>
          <cell r="C24">
            <v>20.947829967346298</v>
          </cell>
          <cell r="D24">
            <v>35.796015309184703</v>
          </cell>
          <cell r="E24">
            <v>35.10718496104716</v>
          </cell>
          <cell r="F24">
            <v>54.173881582634124</v>
          </cell>
          <cell r="G24">
            <v>82.782213631805249</v>
          </cell>
          <cell r="H24">
            <v>88.350145195165496</v>
          </cell>
          <cell r="I24">
            <v>89.409757452590242</v>
          </cell>
          <cell r="J24">
            <v>85.365235760539107</v>
          </cell>
          <cell r="K24">
            <v>90.987706197348643</v>
          </cell>
          <cell r="L24">
            <v>99.336708951445701</v>
          </cell>
          <cell r="M24">
            <v>96.057603209477492</v>
          </cell>
          <cell r="N24">
            <v>94.983473020762304</v>
          </cell>
          <cell r="O24">
            <v>92.199095325733694</v>
          </cell>
          <cell r="P24">
            <v>88.436663604845521</v>
          </cell>
          <cell r="Q24">
            <v>78.049103421379755</v>
          </cell>
          <cell r="R24">
            <v>76.733463809168157</v>
          </cell>
          <cell r="S24">
            <v>74.775926591163881</v>
          </cell>
        </row>
        <row r="25">
          <cell r="B25" t="str">
            <v>Repayment</v>
          </cell>
          <cell r="C25">
            <v>-64.5</v>
          </cell>
          <cell r="D25">
            <v>-99.1</v>
          </cell>
          <cell r="E25">
            <v>-119.8</v>
          </cell>
          <cell r="F25">
            <v>-137</v>
          </cell>
          <cell r="G25">
            <v>-190</v>
          </cell>
          <cell r="H25">
            <v>-225</v>
          </cell>
          <cell r="I25">
            <v>-243</v>
          </cell>
          <cell r="J25">
            <v>-236</v>
          </cell>
          <cell r="K25">
            <v>-245</v>
          </cell>
          <cell r="L25">
            <v>-262.5</v>
          </cell>
          <cell r="M25">
            <v>-252.77777777777777</v>
          </cell>
          <cell r="N25">
            <v>-248.88888888888889</v>
          </cell>
          <cell r="O25">
            <v>-241.11111111111111</v>
          </cell>
          <cell r="P25">
            <v>-231.26757877280264</v>
          </cell>
          <cell r="Q25">
            <v>-205.98014788659711</v>
          </cell>
          <cell r="R25">
            <v>-202.42230896855585</v>
          </cell>
          <cell r="S25">
            <v>-197.30894542461101</v>
          </cell>
        </row>
        <row r="26">
          <cell r="B26" t="str">
            <v>Debt Issuances (Reductions)</v>
          </cell>
          <cell r="C26">
            <v>0</v>
          </cell>
          <cell r="D26">
            <v>399.09647094885304</v>
          </cell>
          <cell r="E26">
            <v>62.339778761921131</v>
          </cell>
          <cell r="F26">
            <v>397.63747171536556</v>
          </cell>
          <cell r="G26">
            <v>453.89058027706926</v>
          </cell>
          <cell r="H26">
            <v>154.2118466502078</v>
          </cell>
          <cell r="I26">
            <v>122.27730618330472</v>
          </cell>
          <cell r="J26">
            <v>62.754396835346327</v>
          </cell>
          <cell r="K26">
            <v>207.13620978674712</v>
          </cell>
          <cell r="L26">
            <v>251.85631184825866</v>
          </cell>
          <cell r="M26">
            <v>89.924910557721773</v>
          </cell>
          <cell r="N26">
            <v>121.18082456120267</v>
          </cell>
          <cell r="O26">
            <v>94.363839061470557</v>
          </cell>
          <cell r="P26">
            <v>76.825179086835291</v>
          </cell>
          <cell r="Q26">
            <v>-26.443544644522881</v>
          </cell>
          <cell r="R26">
            <v>96.288581310704615</v>
          </cell>
          <cell r="S26">
            <v>84.407436251403283</v>
          </cell>
        </row>
        <row r="27">
          <cell r="B27" t="str">
            <v>Ending Balance of Implied Debt</v>
          </cell>
          <cell r="C27">
            <v>519.70568633273433</v>
          </cell>
          <cell r="D27">
            <v>855.49817259077201</v>
          </cell>
          <cell r="E27">
            <v>833.14513631374041</v>
          </cell>
          <cell r="F27">
            <v>1147.9564896117402</v>
          </cell>
          <cell r="G27">
            <v>1494.6292835206145</v>
          </cell>
          <cell r="H27">
            <v>1512.1912753659876</v>
          </cell>
          <cell r="I27">
            <v>1480.8783390018825</v>
          </cell>
          <cell r="J27">
            <v>1392.9979715977679</v>
          </cell>
          <cell r="K27">
            <v>1446.1218875818636</v>
          </cell>
          <cell r="L27">
            <v>1534.8149083815679</v>
          </cell>
          <cell r="M27">
            <v>1468.0196443709892</v>
          </cell>
          <cell r="N27">
            <v>1435.2950530640653</v>
          </cell>
          <cell r="O27">
            <v>1380.7468763401585</v>
          </cell>
          <cell r="P27">
            <v>1314.7411402590367</v>
          </cell>
          <cell r="Q27">
            <v>1160.3665511492966</v>
          </cell>
          <cell r="R27">
            <v>1130.9662873006134</v>
          </cell>
          <cell r="S27">
            <v>1092.8407047185697</v>
          </cell>
          <cell r="T27" t="str">
            <v>mstag:impliedCapitalizedOperatingLeaseObligationsLessee</v>
          </cell>
          <cell r="U27">
            <v>6</v>
          </cell>
          <cell r="V27" t="str">
            <v>ISO4217:USD</v>
          </cell>
          <cell r="W27" t="b">
            <v>0</v>
          </cell>
          <cell r="X27" t="b">
            <v>0</v>
          </cell>
        </row>
        <row r="29">
          <cell r="B29" t="str">
            <v>Assets to Liabilities</v>
          </cell>
          <cell r="C29">
            <v>1</v>
          </cell>
          <cell r="D29">
            <v>0.95399757243037697</v>
          </cell>
          <cell r="E29">
            <v>0.92544333516141919</v>
          </cell>
          <cell r="F29">
            <v>0.9076114903881759</v>
          </cell>
          <cell r="G29">
            <v>0.898602139865605</v>
          </cell>
          <cell r="H29">
            <v>0.88572821439004856</v>
          </cell>
          <cell r="I29">
            <v>0.87804720012897086</v>
          </cell>
          <cell r="J29">
            <v>0.86280639670554404</v>
          </cell>
          <cell r="K29">
            <v>0.85561911717116512</v>
          </cell>
          <cell r="L29">
            <v>0.84917475909226936</v>
          </cell>
          <cell r="M29">
            <v>0.83268609381643754</v>
          </cell>
          <cell r="N29">
            <v>0.83225649475783614</v>
          </cell>
          <cell r="O29">
            <v>0.83194470471795823</v>
          </cell>
          <cell r="P29">
            <v>0.82646731210205404</v>
          </cell>
          <cell r="Q29">
            <v>0.82670725171723947</v>
          </cell>
          <cell r="R29">
            <v>0.84064152262819347</v>
          </cell>
          <cell r="S29">
            <v>0.85205328210102904</v>
          </cell>
        </row>
        <row r="31">
          <cell r="B31" t="str">
            <v>Debt @ 7x Rent</v>
          </cell>
          <cell r="C31">
            <v>285.91499999999996</v>
          </cell>
          <cell r="D31">
            <v>419.74099999999999</v>
          </cell>
          <cell r="E31">
            <v>491.51200000000006</v>
          </cell>
          <cell r="F31">
            <v>519.65199999999993</v>
          </cell>
          <cell r="G31">
            <v>721</v>
          </cell>
          <cell r="H31">
            <v>868</v>
          </cell>
          <cell r="I31">
            <v>937.44</v>
          </cell>
          <cell r="J31">
            <v>910.43555555555565</v>
          </cell>
          <cell r="K31">
            <v>945.15555555555557</v>
          </cell>
          <cell r="L31">
            <v>1012.6666666666666</v>
          </cell>
          <cell r="M31">
            <v>975.16049382716039</v>
          </cell>
          <cell r="N31">
            <v>960.15802469135792</v>
          </cell>
          <cell r="O31">
            <v>930.15308641975298</v>
          </cell>
          <cell r="P31">
            <v>892.17892611018965</v>
          </cell>
          <cell r="Q31">
            <v>794.62563718029458</v>
          </cell>
          <cell r="R31">
            <v>780.90028526536207</v>
          </cell>
          <cell r="S31">
            <v>761.17406501583264</v>
          </cell>
        </row>
        <row r="32">
          <cell r="B32" t="str">
            <v>% of Implied Debt</v>
          </cell>
          <cell r="C32">
            <v>0.5501479154818153</v>
          </cell>
          <cell r="D32">
            <v>0.4906392713018492</v>
          </cell>
          <cell r="E32">
            <v>0.58994763166319397</v>
          </cell>
          <cell r="F32">
            <v>0.45267569346269887</v>
          </cell>
          <cell r="G32">
            <v>0.48239386712782528</v>
          </cell>
          <cell r="H32">
            <v>0.574001460093018</v>
          </cell>
          <cell r="I32">
            <v>0.63302971980253153</v>
          </cell>
          <cell r="J32">
            <v>0.65357995784537037</v>
          </cell>
          <cell r="K32">
            <v>0.65357945528090988</v>
          </cell>
          <cell r="L32">
            <v>0.65979725707414694</v>
          </cell>
          <cell r="M32">
            <v>0.66426937648030793</v>
          </cell>
          <cell r="N32">
            <v>0.66896212220728712</v>
          </cell>
          <cell r="O32">
            <v>0.67365938128010805</v>
          </cell>
          <cell r="P32">
            <v>0.6785966444576369</v>
          </cell>
          <cell r="Q32">
            <v>0.68480570763889193</v>
          </cell>
          <cell r="R32">
            <v>0.69047176209753547</v>
          </cell>
          <cell r="S32">
            <v>0.69650962096241786</v>
          </cell>
        </row>
        <row r="34">
          <cell r="B34" t="str">
            <v>ASSUMPTIONS</v>
          </cell>
          <cell r="C34">
            <v>2002</v>
          </cell>
          <cell r="D34">
            <v>2003</v>
          </cell>
          <cell r="E34">
            <v>2004</v>
          </cell>
          <cell r="F34">
            <v>2005</v>
          </cell>
          <cell r="G34">
            <v>2006</v>
          </cell>
          <cell r="H34">
            <v>2007</v>
          </cell>
          <cell r="I34">
            <v>2008</v>
          </cell>
          <cell r="J34">
            <v>2009</v>
          </cell>
          <cell r="K34">
            <v>2010</v>
          </cell>
          <cell r="L34">
            <v>2011</v>
          </cell>
          <cell r="M34">
            <v>2012</v>
          </cell>
          <cell r="N34">
            <v>2013</v>
          </cell>
          <cell r="O34">
            <v>2014</v>
          </cell>
          <cell r="P34">
            <v>2015</v>
          </cell>
          <cell r="Q34">
            <v>2016</v>
          </cell>
          <cell r="R34">
            <v>2017</v>
          </cell>
          <cell r="S34">
            <v>2018</v>
          </cell>
        </row>
        <row r="36">
          <cell r="B36" t="str">
            <v>Weighted average interest rate of lease portfolio</v>
          </cell>
          <cell r="C36">
            <v>4.2000000000000003E-2</v>
          </cell>
          <cell r="D36">
            <v>3.8734446213740392E-2</v>
          </cell>
          <cell r="E36">
            <v>3.8200613896695074E-2</v>
          </cell>
          <cell r="F36">
            <v>4.4435371439611675E-2</v>
          </cell>
          <cell r="G36">
            <v>5.2198864514302494E-2</v>
          </cell>
          <cell r="H36">
            <v>5.3708270416156355E-2</v>
          </cell>
          <cell r="I36">
            <v>5.4805779134613791E-2</v>
          </cell>
          <cell r="J36">
            <v>5.5355127368342062E-2</v>
          </cell>
          <cell r="K36">
            <v>5.7023088278887725E-2</v>
          </cell>
          <cell r="L36">
            <v>5.8660255194580936E-2</v>
          </cell>
          <cell r="M36">
            <v>5.9171114029867758E-2</v>
          </cell>
          <cell r="N36">
            <v>5.9832100671764803E-2</v>
          </cell>
          <cell r="O36">
            <v>6.03219735877994E-2</v>
          </cell>
          <cell r="P36">
            <v>6.0712195327542656E-2</v>
          </cell>
          <cell r="Q36">
            <v>6.0568902810701764E-2</v>
          </cell>
          <cell r="R36">
            <v>6.1116435687306604E-2</v>
          </cell>
          <cell r="S36">
            <v>6.1570862922227895E-2</v>
          </cell>
        </row>
        <row r="37">
          <cell r="B37" t="str">
            <v>Interest implicit in new leases signed</v>
          </cell>
          <cell r="D37">
            <v>3.5000000000000003E-2</v>
          </cell>
          <cell r="E37">
            <v>3.1600000000000003E-2</v>
          </cell>
          <cell r="F37">
            <v>5.62E-2</v>
          </cell>
          <cell r="G37">
            <v>7.0000000000000007E-2</v>
          </cell>
          <cell r="H37">
            <v>6.7000000000000004E-2</v>
          </cell>
          <cell r="I37">
            <v>6.7000000000000004E-2</v>
          </cell>
          <cell r="J37">
            <v>6.7000000000000004E-2</v>
          </cell>
          <cell r="K37">
            <v>6.7000000000000004E-2</v>
          </cell>
          <cell r="L37">
            <v>6.7000000000000004E-2</v>
          </cell>
          <cell r="M37">
            <v>6.7000000000000004E-2</v>
          </cell>
          <cell r="N37">
            <v>6.7000000000000004E-2</v>
          </cell>
          <cell r="O37">
            <v>6.7000000000000004E-2</v>
          </cell>
          <cell r="P37">
            <v>6.7000000000000004E-2</v>
          </cell>
          <cell r="Q37">
            <v>6.7000000000000004E-2</v>
          </cell>
          <cell r="R37">
            <v>6.7000000000000004E-2</v>
          </cell>
          <cell r="S37">
            <v>6.7000000000000004E-2</v>
          </cell>
          <cell r="T37" t="str">
            <v>mstag:interestRateUsedToCapitalizedOperatingLeases</v>
          </cell>
          <cell r="U37">
            <v>0</v>
          </cell>
          <cell r="V37" t="str">
            <v>ms_eqr_gcim_Decimal:ms_eqr_gcim_decimal</v>
          </cell>
          <cell r="W37" t="b">
            <v>0</v>
          </cell>
          <cell r="X37" t="b">
            <v>0</v>
          </cell>
        </row>
        <row r="38">
          <cell r="B38" t="str">
            <v>Capital expenditure financed through operating leases</v>
          </cell>
          <cell r="D38">
            <v>399.09647094885304</v>
          </cell>
          <cell r="E38">
            <v>62.339778761921131</v>
          </cell>
          <cell r="F38">
            <v>397.63747171536556</v>
          </cell>
          <cell r="G38">
            <v>453.89058027706926</v>
          </cell>
          <cell r="H38">
            <v>154.2118466502078</v>
          </cell>
          <cell r="I38">
            <v>122.27730618330472</v>
          </cell>
          <cell r="J38">
            <v>62.754396835346327</v>
          </cell>
          <cell r="K38">
            <v>207.13620978674712</v>
          </cell>
          <cell r="L38">
            <v>251.85631184825866</v>
          </cell>
          <cell r="M38">
            <v>89.924910557721773</v>
          </cell>
          <cell r="N38">
            <v>121.18082456120267</v>
          </cell>
          <cell r="O38">
            <v>94.363839061470557</v>
          </cell>
          <cell r="P38">
            <v>76.825179086835291</v>
          </cell>
          <cell r="Q38">
            <v>-26.443544644522881</v>
          </cell>
          <cell r="R38">
            <v>96.288581310704615</v>
          </cell>
          <cell r="S38">
            <v>84.407436251403283</v>
          </cell>
          <cell r="T38" t="str">
            <v>mstag:capitalExpendituresFinancedThroughOperatingLeases</v>
          </cell>
          <cell r="U38">
            <v>6</v>
          </cell>
          <cell r="V38" t="str">
            <v>ISO4217:USD</v>
          </cell>
          <cell r="W38" t="b">
            <v>0</v>
          </cell>
          <cell r="X38" t="b">
            <v>0</v>
          </cell>
        </row>
        <row r="39">
          <cell r="B39" t="str">
            <v>Marginal Tax Rate</v>
          </cell>
          <cell r="C39">
            <v>0.38972677305435455</v>
          </cell>
          <cell r="F39">
            <v>5.3785512174171135</v>
          </cell>
          <cell r="G39">
            <v>0.14146832872423665</v>
          </cell>
          <cell r="H39">
            <v>-0.66024444359239176</v>
          </cell>
          <cell r="I39">
            <v>-0.20708227779243737</v>
          </cell>
          <cell r="J39">
            <v>-0.48678623373275964</v>
          </cell>
          <cell r="K39">
            <v>2.3007441746309309</v>
          </cell>
          <cell r="L39">
            <v>0.21589707616815135</v>
          </cell>
          <cell r="M39">
            <v>-0.64295153098286928</v>
          </cell>
          <cell r="N39">
            <v>0.34757792706858548</v>
          </cell>
          <cell r="O39">
            <v>-0.22129726874558553</v>
          </cell>
          <cell r="P39">
            <v>-0.18586208603923182</v>
          </cell>
          <cell r="Q39">
            <v>-1.344204139304821</v>
          </cell>
          <cell r="R39">
            <v>-4.6412887381438246</v>
          </cell>
          <cell r="S39">
            <v>-0.12339100750652021</v>
          </cell>
        </row>
        <row r="41">
          <cell r="B41" t="str">
            <v>Current Year Operating Lease Payments</v>
          </cell>
          <cell r="C41">
            <v>64.5</v>
          </cell>
          <cell r="D41">
            <v>99.1</v>
          </cell>
          <cell r="E41">
            <v>119.8</v>
          </cell>
          <cell r="F41">
            <v>137</v>
          </cell>
          <cell r="G41">
            <v>190</v>
          </cell>
          <cell r="H41">
            <v>225</v>
          </cell>
          <cell r="I41">
            <v>243</v>
          </cell>
          <cell r="J41">
            <v>236</v>
          </cell>
          <cell r="K41">
            <v>245</v>
          </cell>
          <cell r="L41">
            <v>262.5</v>
          </cell>
          <cell r="M41">
            <v>252.77777777777777</v>
          </cell>
          <cell r="N41">
            <v>248.88888888888889</v>
          </cell>
          <cell r="O41">
            <v>241.11111111111111</v>
          </cell>
          <cell r="P41">
            <v>231.26757877280264</v>
          </cell>
          <cell r="Q41">
            <v>205.98014788659711</v>
          </cell>
          <cell r="R41">
            <v>202.42230896855585</v>
          </cell>
          <cell r="S41">
            <v>197.30894542461101</v>
          </cell>
        </row>
        <row r="42">
          <cell r="B42" t="str">
            <v>YOY % Change in Current Year Operating Lease Expense</v>
          </cell>
          <cell r="D42">
            <v>0.5364341085271318</v>
          </cell>
          <cell r="E42">
            <v>0.20887991927346117</v>
          </cell>
          <cell r="F42">
            <v>0.14357262103505852</v>
          </cell>
          <cell r="G42">
            <v>0.38686131386861322</v>
          </cell>
          <cell r="H42">
            <v>0.18421052631578938</v>
          </cell>
          <cell r="I42">
            <v>8.0000000000000071E-2</v>
          </cell>
          <cell r="J42">
            <v>-2.8806584362139898E-2</v>
          </cell>
          <cell r="K42">
            <v>3.8135593220338881E-2</v>
          </cell>
          <cell r="L42">
            <v>7.1428571428571397E-2</v>
          </cell>
          <cell r="M42">
            <v>-3.703703703703709E-2</v>
          </cell>
          <cell r="N42">
            <v>-1.538461538461533E-2</v>
          </cell>
          <cell r="O42">
            <v>-3.125E-2</v>
          </cell>
          <cell r="P42">
            <v>-4.0825710158883033E-2</v>
          </cell>
          <cell r="Q42">
            <v>-0.10934274064869209</v>
          </cell>
          <cell r="R42">
            <v>-1.7272727272727439E-2</v>
          </cell>
          <cell r="S42">
            <v>-2.5260869565217448E-2</v>
          </cell>
        </row>
        <row r="44">
          <cell r="B44" t="str">
            <v>Total Reported Lease Commitments</v>
          </cell>
          <cell r="C44">
            <v>669.4849999999999</v>
          </cell>
          <cell r="D44">
            <v>1076.17</v>
          </cell>
          <cell r="E44">
            <v>1035.441</v>
          </cell>
          <cell r="F44">
            <v>1707</v>
          </cell>
          <cell r="G44">
            <v>2177</v>
          </cell>
          <cell r="H44">
            <v>2212</v>
          </cell>
          <cell r="I44">
            <v>2021</v>
          </cell>
          <cell r="J44">
            <v>1796</v>
          </cell>
          <cell r="K44">
            <v>1755</v>
          </cell>
          <cell r="L44">
            <v>2212.9672619047615</v>
          </cell>
          <cell r="M44">
            <v>2131.0055114638444</v>
          </cell>
          <cell r="N44">
            <v>2098.2208112874778</v>
          </cell>
          <cell r="O44">
            <v>2032.651410934744</v>
          </cell>
          <cell r="P44">
            <v>1949.6669735778776</v>
          </cell>
          <cell r="Q44">
            <v>1736.485043334631</v>
          </cell>
          <cell r="R44">
            <v>1706.4912107679418</v>
          </cell>
          <cell r="S44">
            <v>1663.3837588785432</v>
          </cell>
        </row>
        <row r="45">
          <cell r="B45" t="str">
            <v>Growth in Aggregate Lease Obligations</v>
          </cell>
          <cell r="D45">
            <v>0.6074594651112426</v>
          </cell>
          <cell r="E45">
            <v>-3.7846251056989133E-2</v>
          </cell>
          <cell r="F45">
            <v>0.64857292689781443</v>
          </cell>
          <cell r="G45">
            <v>0.27533684827182192</v>
          </cell>
          <cell r="H45">
            <v>1.6077170418006492E-2</v>
          </cell>
          <cell r="I45">
            <v>-8.6347197106690809E-2</v>
          </cell>
          <cell r="J45">
            <v>-0.11133102424542307</v>
          </cell>
          <cell r="K45">
            <v>-2.2828507795100261E-2</v>
          </cell>
          <cell r="L45">
            <v>0.26095000678333991</v>
          </cell>
          <cell r="M45">
            <v>-3.7037037037036979E-2</v>
          </cell>
          <cell r="N45">
            <v>-1.538461538461533E-2</v>
          </cell>
          <cell r="O45">
            <v>-3.125E-2</v>
          </cell>
          <cell r="P45">
            <v>-4.0825710158883033E-2</v>
          </cell>
          <cell r="Q45">
            <v>-0.1093427406486922</v>
          </cell>
          <cell r="R45">
            <v>-1.7272727272727328E-2</v>
          </cell>
          <cell r="S45">
            <v>-2.5260869565217225E-2</v>
          </cell>
        </row>
        <row r="46">
          <cell r="B46" t="str">
            <v>Cumulative Payments After Year 5</v>
          </cell>
          <cell r="C46">
            <v>378.70099999999996</v>
          </cell>
          <cell r="D46">
            <v>590.03200000000004</v>
          </cell>
          <cell r="E46">
            <v>532.93200000000002</v>
          </cell>
          <cell r="F46">
            <v>1002</v>
          </cell>
          <cell r="G46">
            <v>1225</v>
          </cell>
          <cell r="H46">
            <v>1219</v>
          </cell>
          <cell r="I46">
            <v>1106</v>
          </cell>
          <cell r="J46">
            <v>947</v>
          </cell>
          <cell r="K46">
            <v>851</v>
          </cell>
          <cell r="L46">
            <v>1244.395833333333</v>
          </cell>
          <cell r="M46">
            <v>1198.3070987654319</v>
          </cell>
          <cell r="N46">
            <v>1179.8716049382715</v>
          </cell>
          <cell r="O46">
            <v>1143.0006172839503</v>
          </cell>
          <cell r="P46">
            <v>1096.3368053712913</v>
          </cell>
          <cell r="Q46">
            <v>976.46033439796258</v>
          </cell>
          <cell r="R46">
            <v>959.59420134927029</v>
          </cell>
          <cell r="S46">
            <v>935.35401739344763</v>
          </cell>
        </row>
        <row r="47">
          <cell r="C47">
            <v>0.56566017162445759</v>
          </cell>
          <cell r="D47">
            <v>0.54827025469953627</v>
          </cell>
          <cell r="E47">
            <v>0.51469084187317293</v>
          </cell>
          <cell r="F47">
            <v>0.58699472759226712</v>
          </cell>
          <cell r="G47">
            <v>0.56270096463022512</v>
          </cell>
          <cell r="H47">
            <v>0.55108499095840868</v>
          </cell>
          <cell r="I47">
            <v>0.54725383473527955</v>
          </cell>
          <cell r="J47">
            <v>0.52728285077950998</v>
          </cell>
          <cell r="K47">
            <v>0.48490028490028492</v>
          </cell>
          <cell r="L47">
            <v>0.56232003733405778</v>
          </cell>
          <cell r="M47">
            <v>0.56232003733405778</v>
          </cell>
          <cell r="N47">
            <v>0.56232003733405778</v>
          </cell>
          <cell r="O47">
            <v>0.56232003733405767</v>
          </cell>
          <cell r="P47">
            <v>0.56232003733405767</v>
          </cell>
          <cell r="Q47">
            <v>0.56232003733405778</v>
          </cell>
          <cell r="R47">
            <v>0.56232003733405767</v>
          </cell>
          <cell r="S47">
            <v>0.56232003733405767</v>
          </cell>
        </row>
        <row r="49">
          <cell r="B49" t="str">
            <v>Implied Total Total Lease Life</v>
          </cell>
          <cell r="C49">
            <v>13</v>
          </cell>
          <cell r="D49">
            <v>13</v>
          </cell>
          <cell r="E49">
            <v>13</v>
          </cell>
          <cell r="F49">
            <v>15</v>
          </cell>
          <cell r="G49">
            <v>14</v>
          </cell>
          <cell r="H49">
            <v>14</v>
          </cell>
          <cell r="I49">
            <v>14</v>
          </cell>
          <cell r="J49">
            <v>14</v>
          </cell>
          <cell r="K49">
            <v>14</v>
          </cell>
          <cell r="L49">
            <v>14</v>
          </cell>
          <cell r="M49">
            <v>14</v>
          </cell>
          <cell r="N49">
            <v>14</v>
          </cell>
          <cell r="O49">
            <v>14</v>
          </cell>
          <cell r="P49">
            <v>14</v>
          </cell>
          <cell r="Q49">
            <v>14</v>
          </cell>
          <cell r="R49">
            <v>14</v>
          </cell>
          <cell r="S49">
            <v>14</v>
          </cell>
          <cell r="T49" t="str">
            <v>mstag:assumedAverageLeaseLifeOfOperatingLeases</v>
          </cell>
          <cell r="U49">
            <v>0</v>
          </cell>
          <cell r="V49" t="str">
            <v>ms_eqr_gcim_Decimal:ms_eqr_gcim_decimal</v>
          </cell>
          <cell r="W49" t="b">
            <v>0</v>
          </cell>
          <cell r="X49" t="b">
            <v>0</v>
          </cell>
        </row>
        <row r="50">
          <cell r="B50" t="str">
            <v>Implied Remaining Duration on Reported Lease Payments</v>
          </cell>
          <cell r="C50">
            <v>7</v>
          </cell>
          <cell r="D50">
            <v>7</v>
          </cell>
          <cell r="E50">
            <v>7</v>
          </cell>
          <cell r="F50">
            <v>9</v>
          </cell>
          <cell r="G50">
            <v>8</v>
          </cell>
          <cell r="H50">
            <v>8</v>
          </cell>
          <cell r="I50">
            <v>8</v>
          </cell>
          <cell r="J50">
            <v>8</v>
          </cell>
          <cell r="K50">
            <v>8</v>
          </cell>
          <cell r="L50">
            <v>8</v>
          </cell>
          <cell r="M50">
            <v>8</v>
          </cell>
          <cell r="N50">
            <v>8</v>
          </cell>
          <cell r="O50">
            <v>8</v>
          </cell>
          <cell r="P50">
            <v>8</v>
          </cell>
          <cell r="Q50">
            <v>8</v>
          </cell>
          <cell r="R50">
            <v>8</v>
          </cell>
          <cell r="S50">
            <v>8</v>
          </cell>
        </row>
        <row r="52">
          <cell r="B52" t="str">
            <v>Lease Payment Schedule - Non Cancelable Leases Only</v>
          </cell>
          <cell r="C52">
            <v>2002</v>
          </cell>
          <cell r="D52">
            <v>2003</v>
          </cell>
          <cell r="E52">
            <v>2004</v>
          </cell>
          <cell r="F52">
            <v>2005</v>
          </cell>
          <cell r="G52">
            <v>2006</v>
          </cell>
          <cell r="H52">
            <v>2007</v>
          </cell>
          <cell r="I52">
            <v>2008</v>
          </cell>
          <cell r="J52">
            <v>2009</v>
          </cell>
          <cell r="K52">
            <v>2010</v>
          </cell>
          <cell r="L52">
            <v>2011</v>
          </cell>
          <cell r="M52">
            <v>2012</v>
          </cell>
          <cell r="N52">
            <v>2013</v>
          </cell>
          <cell r="O52">
            <v>2014</v>
          </cell>
          <cell r="P52">
            <v>2015</v>
          </cell>
          <cell r="Q52">
            <v>2016</v>
          </cell>
          <cell r="R52">
            <v>2017</v>
          </cell>
          <cell r="S52">
            <v>2018</v>
          </cell>
        </row>
        <row r="54">
          <cell r="B54" t="str">
            <v>Current year rental payment</v>
          </cell>
          <cell r="C54">
            <v>64.5</v>
          </cell>
          <cell r="D54">
            <v>99.1</v>
          </cell>
          <cell r="E54">
            <v>119.8</v>
          </cell>
          <cell r="F54">
            <v>137</v>
          </cell>
          <cell r="G54">
            <v>190</v>
          </cell>
          <cell r="H54">
            <v>225</v>
          </cell>
          <cell r="I54">
            <v>243</v>
          </cell>
          <cell r="J54">
            <v>236</v>
          </cell>
          <cell r="K54">
            <v>245</v>
          </cell>
          <cell r="L54">
            <v>262.5</v>
          </cell>
          <cell r="M54">
            <v>252.77777777777777</v>
          </cell>
          <cell r="N54">
            <v>248.88888888888889</v>
          </cell>
          <cell r="O54">
            <v>241.11111111111111</v>
          </cell>
          <cell r="P54">
            <v>231.26757877280264</v>
          </cell>
          <cell r="Q54">
            <v>205.98014788659711</v>
          </cell>
          <cell r="R54">
            <v>202.42230896855585</v>
          </cell>
          <cell r="S54">
            <v>197.30894542461101</v>
          </cell>
        </row>
        <row r="55">
          <cell r="B55" t="str">
            <v>Expected payments forecast year 1</v>
          </cell>
          <cell r="C55">
            <v>57.603000000000002</v>
          </cell>
          <cell r="D55">
            <v>96.722999999999999</v>
          </cell>
          <cell r="E55">
            <v>110.34</v>
          </cell>
          <cell r="F55">
            <v>157</v>
          </cell>
          <cell r="G55">
            <v>217</v>
          </cell>
          <cell r="H55">
            <v>243</v>
          </cell>
          <cell r="I55">
            <v>223</v>
          </cell>
          <cell r="J55">
            <v>208</v>
          </cell>
          <cell r="K55">
            <v>214</v>
          </cell>
          <cell r="L55">
            <v>229.28571428571428</v>
          </cell>
          <cell r="M55">
            <v>220.79365079365078</v>
          </cell>
          <cell r="N55">
            <v>217.39682539682539</v>
          </cell>
          <cell r="O55">
            <v>210.60317460317461</v>
          </cell>
          <cell r="P55">
            <v>202.00515043828477</v>
          </cell>
          <cell r="Q55">
            <v>179.91735366421136</v>
          </cell>
          <cell r="R55">
            <v>176.80969028273859</v>
          </cell>
          <cell r="S55">
            <v>172.34332375863983</v>
          </cell>
        </row>
        <row r="56">
          <cell r="B56" t="str">
            <v>Expected payments forecast year 2</v>
          </cell>
          <cell r="C56">
            <v>56.47</v>
          </cell>
          <cell r="D56">
            <v>103.83800000000001</v>
          </cell>
          <cell r="E56">
            <v>113.565</v>
          </cell>
          <cell r="F56">
            <v>155</v>
          </cell>
          <cell r="G56">
            <v>216</v>
          </cell>
          <cell r="H56">
            <v>217</v>
          </cell>
          <cell r="I56">
            <v>201</v>
          </cell>
          <cell r="J56">
            <v>191</v>
          </cell>
          <cell r="K56">
            <v>191</v>
          </cell>
          <cell r="L56">
            <v>204.64285714285714</v>
          </cell>
          <cell r="M56">
            <v>197.06349206349205</v>
          </cell>
          <cell r="N56">
            <v>194.03174603174602</v>
          </cell>
          <cell r="O56">
            <v>187.96825396825398</v>
          </cell>
          <cell r="P56">
            <v>180.29431651267473</v>
          </cell>
          <cell r="Q56">
            <v>160.58044182179614</v>
          </cell>
          <cell r="R56">
            <v>157.80677964487418</v>
          </cell>
          <cell r="S56">
            <v>153.82044316775801</v>
          </cell>
        </row>
        <row r="57">
          <cell r="B57" t="str">
            <v>Expected payments forecast year 3</v>
          </cell>
          <cell r="C57">
            <v>59.236999999999995</v>
          </cell>
          <cell r="D57">
            <v>106.517</v>
          </cell>
          <cell r="E57">
            <v>97.68</v>
          </cell>
          <cell r="F57">
            <v>145</v>
          </cell>
          <cell r="G57">
            <v>190</v>
          </cell>
          <cell r="H57">
            <v>194</v>
          </cell>
          <cell r="I57">
            <v>186</v>
          </cell>
          <cell r="J57">
            <v>168</v>
          </cell>
          <cell r="K57">
            <v>164</v>
          </cell>
          <cell r="L57">
            <v>175.71428571428572</v>
          </cell>
          <cell r="M57">
            <v>169.20634920634922</v>
          </cell>
          <cell r="N57">
            <v>166.60317460317461</v>
          </cell>
          <cell r="O57">
            <v>161.39682539682539</v>
          </cell>
          <cell r="P57">
            <v>154.80768538261074</v>
          </cell>
          <cell r="Q57">
            <v>137.8805887893956</v>
          </cell>
          <cell r="R57">
            <v>135.49901498303331</v>
          </cell>
          <cell r="S57">
            <v>132.07619203933146</v>
          </cell>
        </row>
        <row r="58">
          <cell r="B58" t="str">
            <v>Expected payments forecast year 4</v>
          </cell>
          <cell r="C58">
            <v>59.338999999999999</v>
          </cell>
          <cell r="D58">
            <v>91.866</v>
          </cell>
          <cell r="E58">
            <v>92.432000000000002</v>
          </cell>
          <cell r="F58">
            <v>129</v>
          </cell>
          <cell r="G58">
            <v>170</v>
          </cell>
          <cell r="H58">
            <v>179</v>
          </cell>
          <cell r="I58">
            <v>166</v>
          </cell>
          <cell r="J58">
            <v>140</v>
          </cell>
          <cell r="K58">
            <v>165</v>
          </cell>
          <cell r="L58">
            <v>176.78571428571428</v>
          </cell>
          <cell r="M58">
            <v>170.23809523809521</v>
          </cell>
          <cell r="N58">
            <v>167.61904761904759</v>
          </cell>
          <cell r="O58">
            <v>162.38095238095235</v>
          </cell>
          <cell r="P58">
            <v>155.75163468372421</v>
          </cell>
          <cell r="Q58">
            <v>138.72132408689191</v>
          </cell>
          <cell r="R58">
            <v>136.32522848902738</v>
          </cell>
          <cell r="S58">
            <v>132.8815346737176</v>
          </cell>
        </row>
        <row r="59">
          <cell r="B59" t="str">
            <v>Expected payments forecast year 5</v>
          </cell>
          <cell r="C59">
            <v>58.134999999999998</v>
          </cell>
          <cell r="D59">
            <v>87.194000000000003</v>
          </cell>
          <cell r="E59">
            <v>88.492000000000004</v>
          </cell>
          <cell r="F59">
            <v>119</v>
          </cell>
          <cell r="G59">
            <v>159</v>
          </cell>
          <cell r="H59">
            <v>160</v>
          </cell>
          <cell r="I59">
            <v>139</v>
          </cell>
          <cell r="J59">
            <v>142</v>
          </cell>
          <cell r="K59">
            <v>170</v>
          </cell>
          <cell r="L59">
            <v>182.14285714285714</v>
          </cell>
          <cell r="M59">
            <v>175.39682539682539</v>
          </cell>
          <cell r="N59">
            <v>172.69841269841271</v>
          </cell>
          <cell r="O59">
            <v>167.30158730158732</v>
          </cell>
          <cell r="P59">
            <v>160.47138118929166</v>
          </cell>
          <cell r="Q59">
            <v>142.92500057437354</v>
          </cell>
          <cell r="R59">
            <v>140.45629601899796</v>
          </cell>
          <cell r="S59">
            <v>136.90824784564848</v>
          </cell>
        </row>
        <row r="60">
          <cell r="B60" t="str">
            <v>Expected payments forecast year 6</v>
          </cell>
          <cell r="C60">
            <v>54.100142857142849</v>
          </cell>
          <cell r="D60">
            <v>84.290285714285716</v>
          </cell>
          <cell r="E60">
            <v>76.133142857142857</v>
          </cell>
          <cell r="F60">
            <v>111.33333333333333</v>
          </cell>
          <cell r="G60">
            <v>153.125</v>
          </cell>
          <cell r="H60">
            <v>152.375</v>
          </cell>
          <cell r="I60">
            <v>164.565</v>
          </cell>
          <cell r="J60">
            <v>159.82444444444445</v>
          </cell>
          <cell r="K60">
            <v>165.91944444444442</v>
          </cell>
          <cell r="L60">
            <v>177.77083333333331</v>
          </cell>
          <cell r="M60">
            <v>171.18672839506169</v>
          </cell>
          <cell r="N60">
            <v>168.55308641975307</v>
          </cell>
          <cell r="O60">
            <v>163.28580246913577</v>
          </cell>
          <cell r="P60">
            <v>156.6195436244702</v>
          </cell>
          <cell r="Q60">
            <v>139.49433348542323</v>
          </cell>
          <cell r="R60">
            <v>137.08488590703863</v>
          </cell>
          <cell r="S60">
            <v>133.62200248477822</v>
          </cell>
        </row>
        <row r="61">
          <cell r="B61" t="str">
            <v>Expected payments forecast year 7</v>
          </cell>
          <cell r="C61">
            <v>54.100142857142849</v>
          </cell>
          <cell r="D61">
            <v>84.290285714285716</v>
          </cell>
          <cell r="E61">
            <v>76.133142857142857</v>
          </cell>
          <cell r="F61">
            <v>111.33333333333333</v>
          </cell>
          <cell r="G61">
            <v>153.125</v>
          </cell>
          <cell r="H61">
            <v>152.375</v>
          </cell>
          <cell r="I61">
            <v>164.565</v>
          </cell>
          <cell r="J61">
            <v>159.82444444444445</v>
          </cell>
          <cell r="K61">
            <v>165.91944444444442</v>
          </cell>
          <cell r="L61">
            <v>177.77083333333331</v>
          </cell>
          <cell r="M61">
            <v>171.18672839506169</v>
          </cell>
          <cell r="N61">
            <v>168.55308641975307</v>
          </cell>
          <cell r="O61">
            <v>163.28580246913577</v>
          </cell>
          <cell r="P61">
            <v>156.6195436244702</v>
          </cell>
          <cell r="Q61">
            <v>139.49433348542323</v>
          </cell>
          <cell r="R61">
            <v>137.08488590703863</v>
          </cell>
          <cell r="S61">
            <v>133.62200248477822</v>
          </cell>
        </row>
        <row r="62">
          <cell r="B62" t="str">
            <v>Expected payments forecast year 8</v>
          </cell>
          <cell r="C62">
            <v>54.100142857142849</v>
          </cell>
          <cell r="D62">
            <v>84.290285714285716</v>
          </cell>
          <cell r="E62">
            <v>76.133142857142857</v>
          </cell>
          <cell r="F62">
            <v>111.33333333333333</v>
          </cell>
          <cell r="G62">
            <v>153.125</v>
          </cell>
          <cell r="H62">
            <v>152.375</v>
          </cell>
          <cell r="I62">
            <v>164.565</v>
          </cell>
          <cell r="J62">
            <v>159.82444444444445</v>
          </cell>
          <cell r="K62">
            <v>165.91944444444442</v>
          </cell>
          <cell r="L62">
            <v>177.77083333333331</v>
          </cell>
          <cell r="M62">
            <v>171.18672839506169</v>
          </cell>
          <cell r="N62">
            <v>168.55308641975307</v>
          </cell>
          <cell r="O62">
            <v>163.28580246913577</v>
          </cell>
          <cell r="P62">
            <v>156.6195436244702</v>
          </cell>
          <cell r="Q62">
            <v>139.49433348542323</v>
          </cell>
          <cell r="R62">
            <v>137.08488590703863</v>
          </cell>
          <cell r="S62">
            <v>133.62200248477822</v>
          </cell>
        </row>
        <row r="63">
          <cell r="B63" t="str">
            <v>Expected payments forecast year 9</v>
          </cell>
          <cell r="C63">
            <v>54.100142857142849</v>
          </cell>
          <cell r="D63">
            <v>84.290285714285716</v>
          </cell>
          <cell r="E63">
            <v>76.133142857142857</v>
          </cell>
          <cell r="F63">
            <v>111.33333333333333</v>
          </cell>
          <cell r="G63">
            <v>153.125</v>
          </cell>
          <cell r="H63">
            <v>152.375</v>
          </cell>
          <cell r="I63">
            <v>164.565</v>
          </cell>
          <cell r="J63">
            <v>159.82444444444445</v>
          </cell>
          <cell r="K63">
            <v>165.91944444444442</v>
          </cell>
          <cell r="L63">
            <v>177.77083333333331</v>
          </cell>
          <cell r="M63">
            <v>171.18672839506169</v>
          </cell>
          <cell r="N63">
            <v>168.55308641975307</v>
          </cell>
          <cell r="O63">
            <v>163.28580246913577</v>
          </cell>
          <cell r="P63">
            <v>156.6195436244702</v>
          </cell>
          <cell r="Q63">
            <v>139.49433348542323</v>
          </cell>
          <cell r="R63">
            <v>137.08488590703863</v>
          </cell>
          <cell r="S63">
            <v>133.62200248477822</v>
          </cell>
        </row>
        <row r="64">
          <cell r="B64" t="str">
            <v>Expected payments forecast year 10</v>
          </cell>
          <cell r="C64">
            <v>54.100142857142849</v>
          </cell>
          <cell r="D64">
            <v>84.290285714285716</v>
          </cell>
          <cell r="E64">
            <v>76.133142857142857</v>
          </cell>
          <cell r="F64">
            <v>111.33333333333333</v>
          </cell>
          <cell r="G64">
            <v>153.125</v>
          </cell>
          <cell r="H64">
            <v>152.375</v>
          </cell>
          <cell r="I64">
            <v>164.565</v>
          </cell>
          <cell r="J64">
            <v>159.82444444444445</v>
          </cell>
          <cell r="K64">
            <v>165.91944444444442</v>
          </cell>
          <cell r="L64">
            <v>177.77083333333331</v>
          </cell>
          <cell r="M64">
            <v>171.18672839506169</v>
          </cell>
          <cell r="N64">
            <v>168.55308641975307</v>
          </cell>
          <cell r="O64">
            <v>163.28580246913577</v>
          </cell>
          <cell r="P64">
            <v>156.6195436244702</v>
          </cell>
          <cell r="Q64">
            <v>139.49433348542323</v>
          </cell>
          <cell r="R64">
            <v>137.08488590703863</v>
          </cell>
          <cell r="S64">
            <v>133.62200248477822</v>
          </cell>
        </row>
        <row r="65">
          <cell r="B65" t="str">
            <v>Expected payments forecast year 11</v>
          </cell>
          <cell r="C65">
            <v>54.100142857142849</v>
          </cell>
          <cell r="D65">
            <v>84.290285714285716</v>
          </cell>
          <cell r="E65">
            <v>76.133142857142857</v>
          </cell>
          <cell r="F65">
            <v>111.33333333333333</v>
          </cell>
          <cell r="G65">
            <v>153.125</v>
          </cell>
          <cell r="H65">
            <v>152.375</v>
          </cell>
          <cell r="I65">
            <v>164.565</v>
          </cell>
          <cell r="J65">
            <v>159.82444444444445</v>
          </cell>
          <cell r="K65">
            <v>165.91944444444442</v>
          </cell>
          <cell r="L65">
            <v>177.77083333333331</v>
          </cell>
          <cell r="M65">
            <v>171.18672839506169</v>
          </cell>
          <cell r="N65">
            <v>168.55308641975307</v>
          </cell>
          <cell r="O65">
            <v>163.28580246913577</v>
          </cell>
          <cell r="P65">
            <v>156.6195436244702</v>
          </cell>
          <cell r="Q65">
            <v>139.49433348542323</v>
          </cell>
          <cell r="R65">
            <v>137.08488590703863</v>
          </cell>
          <cell r="S65">
            <v>133.62200248477822</v>
          </cell>
        </row>
        <row r="66">
          <cell r="B66" t="str">
            <v>Expected payments forecast year 12</v>
          </cell>
          <cell r="C66">
            <v>54.100142857142849</v>
          </cell>
          <cell r="D66">
            <v>84.290285714285716</v>
          </cell>
          <cell r="E66">
            <v>76.133142857142857</v>
          </cell>
          <cell r="F66">
            <v>111.33333333333333</v>
          </cell>
          <cell r="G66">
            <v>153.125</v>
          </cell>
          <cell r="H66">
            <v>152.375</v>
          </cell>
          <cell r="I66">
            <v>164.565</v>
          </cell>
          <cell r="J66">
            <v>159.82444444444445</v>
          </cell>
          <cell r="K66">
            <v>165.91944444444442</v>
          </cell>
          <cell r="L66">
            <v>177.77083333333331</v>
          </cell>
          <cell r="M66">
            <v>171.18672839506169</v>
          </cell>
          <cell r="N66">
            <v>168.55308641975307</v>
          </cell>
          <cell r="O66">
            <v>163.28580246913577</v>
          </cell>
          <cell r="P66">
            <v>156.6195436244702</v>
          </cell>
          <cell r="Q66">
            <v>139.49433348542323</v>
          </cell>
          <cell r="R66">
            <v>137.08488590703863</v>
          </cell>
          <cell r="S66">
            <v>133.62200248477822</v>
          </cell>
        </row>
        <row r="67">
          <cell r="B67" t="str">
            <v>Expected payments forecast year 13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B68" t="str">
            <v>Expected payments forecast year 14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B69" t="str">
            <v>Expected payments forecast year 15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B70" t="str">
            <v>Expected payments forecast year 16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B71" t="str">
            <v>Expected payments forecast year 17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B72" t="str">
            <v>Expected payments forecast year 18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B73" t="str">
            <v>Expected payments forecast year 19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B74" t="str">
            <v>Expected payments forecast year 20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B75" t="str">
            <v>Expected payments forecast year 21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B76" t="str">
            <v>Expected payments forecast year 22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B77" t="str">
            <v>Expected payments forecast year 23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B78" t="str">
            <v>Expected payments forecast year 24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B79" t="str">
            <v>Expected payments forecast year 25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B80" t="str">
            <v>Expected payments forecast year 26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B81" t="str">
            <v>Expected payments forecast year 27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B82" t="str">
            <v>Expected payments forecast year 28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B83" t="str">
            <v>Expected payments forecast year 29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B84" t="str">
            <v>Expected payments forecast year 30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B85" t="str">
            <v>Rental Payments Schedule</v>
          </cell>
        </row>
        <row r="87">
          <cell r="D87" t="str">
            <v>PV of incremental payments</v>
          </cell>
        </row>
        <row r="88">
          <cell r="A88" t="str">
            <v>Period</v>
          </cell>
          <cell r="B88" t="str">
            <v>Present Value of Incremental Lease Payments</v>
          </cell>
          <cell r="C88">
            <v>2002</v>
          </cell>
          <cell r="D88">
            <v>2003</v>
          </cell>
          <cell r="E88">
            <v>2004</v>
          </cell>
          <cell r="F88">
            <v>2005</v>
          </cell>
          <cell r="G88">
            <v>2006</v>
          </cell>
          <cell r="H88">
            <v>2007</v>
          </cell>
          <cell r="I88">
            <v>2008</v>
          </cell>
          <cell r="J88">
            <v>2009</v>
          </cell>
          <cell r="K88">
            <v>2010</v>
          </cell>
          <cell r="L88">
            <v>2011</v>
          </cell>
          <cell r="M88">
            <v>2012</v>
          </cell>
          <cell r="N88">
            <v>2013</v>
          </cell>
          <cell r="O88">
            <v>2014</v>
          </cell>
          <cell r="P88">
            <v>2015</v>
          </cell>
          <cell r="Q88">
            <v>2016</v>
          </cell>
          <cell r="R88">
            <v>2017</v>
          </cell>
          <cell r="S88">
            <v>2018</v>
          </cell>
        </row>
        <row r="89">
          <cell r="A89">
            <v>1</v>
          </cell>
          <cell r="B89" t="str">
            <v>Increase in current year lease payments versus previous years expected</v>
          </cell>
          <cell r="C89">
            <v>61.900191938579653</v>
          </cell>
          <cell r="D89">
            <v>40.093719806763282</v>
          </cell>
          <cell r="E89">
            <v>22.37010469174098</v>
          </cell>
          <cell r="F89">
            <v>25.241431547055477</v>
          </cell>
          <cell r="G89">
            <v>30.841121495327101</v>
          </cell>
          <cell r="H89">
            <v>7.4976569821930648</v>
          </cell>
          <cell r="I89">
            <v>0</v>
          </cell>
          <cell r="J89">
            <v>12.183692596063731</v>
          </cell>
          <cell r="K89">
            <v>34.676663542642927</v>
          </cell>
          <cell r="L89">
            <v>45.454545454545453</v>
          </cell>
          <cell r="M89">
            <v>22.016929233424083</v>
          </cell>
          <cell r="N89">
            <v>26.331057258892319</v>
          </cell>
          <cell r="O89">
            <v>22.225197482929449</v>
          </cell>
          <cell r="P89">
            <v>19.366826775658883</v>
          </cell>
          <cell r="Q89">
            <v>3.7253959215673262</v>
          </cell>
          <cell r="R89">
            <v>21.091804408945166</v>
          </cell>
          <cell r="S89">
            <v>19.21204793052711</v>
          </cell>
        </row>
        <row r="90">
          <cell r="A90">
            <v>2</v>
          </cell>
          <cell r="B90" t="str">
            <v>PV of Increase in forecast year 1 lease commitments</v>
          </cell>
          <cell r="C90">
            <v>53.052965469475865</v>
          </cell>
          <cell r="D90">
            <v>37.57660622184882</v>
          </cell>
          <cell r="E90">
            <v>6.1097620729725426</v>
          </cell>
          <cell r="F90">
            <v>38.935656297844872</v>
          </cell>
          <cell r="G90">
            <v>54.153201152939118</v>
          </cell>
          <cell r="H90">
            <v>23.715644156421366</v>
          </cell>
          <cell r="I90">
            <v>5.2701431458714145</v>
          </cell>
          <cell r="J90">
            <v>6.1485003368499838</v>
          </cell>
          <cell r="K90">
            <v>20.202215392507089</v>
          </cell>
          <cell r="L90">
            <v>33.628532454608063</v>
          </cell>
          <cell r="M90">
            <v>14.186165743185615</v>
          </cell>
          <cell r="N90">
            <v>17.859929549897579</v>
          </cell>
          <cell r="O90">
            <v>14.555633450502013</v>
          </cell>
          <cell r="P90">
            <v>12.329408953473243</v>
          </cell>
          <cell r="Q90">
            <v>-0.33110802867956063</v>
          </cell>
          <cell r="R90">
            <v>14.255077089846671</v>
          </cell>
          <cell r="S90">
            <v>12.768278054303243</v>
          </cell>
        </row>
        <row r="91">
          <cell r="A91">
            <v>3</v>
          </cell>
          <cell r="B91" t="str">
            <v>PV of Increase in forecast year 2 lease commitments</v>
          </cell>
          <cell r="C91">
            <v>49.913109999457561</v>
          </cell>
          <cell r="D91">
            <v>40.227546615499477</v>
          </cell>
          <cell r="E91">
            <v>6.419953685368041</v>
          </cell>
          <cell r="F91">
            <v>48.648302653288056</v>
          </cell>
          <cell r="G91">
            <v>57.957149259250485</v>
          </cell>
          <cell r="H91">
            <v>22.226470624574851</v>
          </cell>
          <cell r="I91">
            <v>5.7624183100749615</v>
          </cell>
          <cell r="J91">
            <v>4.1160130786249729</v>
          </cell>
          <cell r="K91">
            <v>18.933660161674872</v>
          </cell>
          <cell r="L91">
            <v>33.45730631053727</v>
          </cell>
          <cell r="M91">
            <v>17.574722510319308</v>
          </cell>
          <cell r="N91">
            <v>20.436331603077626</v>
          </cell>
          <cell r="O91">
            <v>17.587789218505439</v>
          </cell>
          <cell r="P91">
            <v>15.556464117207017</v>
          </cell>
          <cell r="Q91">
            <v>4.7521482006807263</v>
          </cell>
          <cell r="R91">
            <v>16.403292433665435</v>
          </cell>
          <cell r="S91">
            <v>15.082247605483019</v>
          </cell>
        </row>
        <row r="92">
          <cell r="A92">
            <v>4</v>
          </cell>
          <cell r="B92" t="str">
            <v>PV of Increase in forecast year 3 lease commitments</v>
          </cell>
          <cell r="C92">
            <v>50.248393352029822</v>
          </cell>
          <cell r="D92">
            <v>41.112901418363244</v>
          </cell>
          <cell r="E92">
            <v>5.1336906323637628</v>
          </cell>
          <cell r="F92">
            <v>42.241253914480161</v>
          </cell>
          <cell r="G92">
            <v>46.536607934899038</v>
          </cell>
          <cell r="H92">
            <v>18.5162725186503</v>
          </cell>
          <cell r="I92">
            <v>5.4005794846063377</v>
          </cell>
          <cell r="J92">
            <v>1.5430227098875251</v>
          </cell>
          <cell r="K92">
            <v>18.5162725186503</v>
          </cell>
          <cell r="L92">
            <v>8.2661930886831758</v>
          </cell>
          <cell r="M92">
            <v>-5.8475662219943763</v>
          </cell>
          <cell r="N92">
            <v>-2.8043825441606369</v>
          </cell>
          <cell r="O92">
            <v>-4.800515097427839</v>
          </cell>
          <cell r="P92">
            <v>-5.8428614832414159</v>
          </cell>
          <cell r="Q92">
            <v>-13.787714832195624</v>
          </cell>
          <cell r="R92">
            <v>-2.4860480627655743</v>
          </cell>
          <cell r="S92">
            <v>-3.2781798685103349</v>
          </cell>
        </row>
        <row r="93">
          <cell r="A93">
            <v>5</v>
          </cell>
          <cell r="B93" t="str">
            <v>PV of Increase in forecast year 4 lease commitments</v>
          </cell>
          <cell r="C93">
            <v>48.306061323530479</v>
          </cell>
          <cell r="D93">
            <v>28.400596891304879</v>
          </cell>
          <cell r="E93">
            <v>4.4834138259418861</v>
          </cell>
          <cell r="F93">
            <v>30.81839275192992</v>
          </cell>
          <cell r="G93">
            <v>36.362295153667084</v>
          </cell>
          <cell r="H93">
            <v>14.461318743088333</v>
          </cell>
          <cell r="I93">
            <v>4.3383956229264999</v>
          </cell>
          <cell r="J93">
            <v>0.72306593715441669</v>
          </cell>
          <cell r="K93">
            <v>16.630516554551583</v>
          </cell>
          <cell r="L93">
            <v>4.906518859262107</v>
          </cell>
          <cell r="M93">
            <v>-8.6079278232668806</v>
          </cell>
          <cell r="N93">
            <v>-5.6238461778677014</v>
          </cell>
          <cell r="O93">
            <v>-7.4602041134979791</v>
          </cell>
          <cell r="P93">
            <v>-8.3513773137242993</v>
          </cell>
          <cell r="Q93">
            <v>-15.726725421908752</v>
          </cell>
          <cell r="R93">
            <v>-4.7720703878963802</v>
          </cell>
          <cell r="S93">
            <v>-5.477051910846197</v>
          </cell>
        </row>
        <row r="94">
          <cell r="A94">
            <v>6</v>
          </cell>
          <cell r="B94" t="str">
            <v>PV of Increase in forecast year 5 lease commitments</v>
          </cell>
          <cell r="C94">
            <v>45.418351077548273</v>
          </cell>
          <cell r="D94">
            <v>26.921874108343022</v>
          </cell>
          <cell r="E94">
            <v>3.4862499134321792</v>
          </cell>
          <cell r="F94">
            <v>30.8776801864345</v>
          </cell>
          <cell r="G94">
            <v>31.7623126685871</v>
          </cell>
          <cell r="H94">
            <v>4.6589300074382516</v>
          </cell>
          <cell r="I94">
            <v>-9.0637365599253261</v>
          </cell>
          <cell r="J94">
            <v>-15.291455362595512</v>
          </cell>
          <cell r="K94">
            <v>6.8955928902011276</v>
          </cell>
          <cell r="L94">
            <v>10.993999162718515</v>
          </cell>
          <cell r="M94">
            <v>-1.6087762637517562</v>
          </cell>
          <cell r="N94">
            <v>1.0244118345680648</v>
          </cell>
          <cell r="O94">
            <v>-0.84809407940435488</v>
          </cell>
          <cell r="P94">
            <v>-1.9072278915256002</v>
          </cell>
          <cell r="Q94">
            <v>-9.2802789169818567</v>
          </cell>
          <cell r="R94">
            <v>0.65188598017493193</v>
          </cell>
          <cell r="S94">
            <v>-0.11970099849691515</v>
          </cell>
        </row>
        <row r="95">
          <cell r="A95">
            <v>7</v>
          </cell>
          <cell r="B95" t="str">
            <v>PV of Increase in forecast year 6 lease commitments</v>
          </cell>
          <cell r="C95">
            <v>40.562468713305464</v>
          </cell>
          <cell r="D95">
            <v>23.729179387467465</v>
          </cell>
          <cell r="E95">
            <v>-6.5608292329640685</v>
          </cell>
          <cell r="F95">
            <v>24.006114405830015</v>
          </cell>
          <cell r="G95">
            <v>26.025749629593541</v>
          </cell>
          <cell r="H95">
            <v>-0.47633262408842997</v>
          </cell>
          <cell r="I95">
            <v>7.741992916850613</v>
          </cell>
          <cell r="J95">
            <v>-3.010775023219677</v>
          </cell>
          <cell r="K95">
            <v>3.8709964584252887</v>
          </cell>
          <cell r="L95">
            <v>7.5269375580492106</v>
          </cell>
          <cell r="M95">
            <v>-4.1816319766940158</v>
          </cell>
          <cell r="N95">
            <v>-1.6726527906775883</v>
          </cell>
          <cell r="O95">
            <v>-3.3453055813552126</v>
          </cell>
          <cell r="P95">
            <v>-4.2338087577763464</v>
          </cell>
          <cell r="Q95">
            <v>-10.876395044797373</v>
          </cell>
          <cell r="R95">
            <v>-1.5302646501539332</v>
          </cell>
          <cell r="S95">
            <v>-2.1993124632501613</v>
          </cell>
        </row>
        <row r="96">
          <cell r="A96">
            <v>8</v>
          </cell>
          <cell r="B96" t="str">
            <v>PV of Increase in forecast year 7 lease commitments</v>
          </cell>
          <cell r="C96">
            <v>38.927513160561858</v>
          </cell>
          <cell r="D96">
            <v>22.926743369533785</v>
          </cell>
          <cell r="E96">
            <v>-6.3598577287360119</v>
          </cell>
          <cell r="F96">
            <v>22.728758195256596</v>
          </cell>
          <cell r="G96">
            <v>24.323130494947232</v>
          </cell>
          <cell r="H96">
            <v>-0.44642232810537025</v>
          </cell>
          <cell r="I96">
            <v>7.2558509061392824</v>
          </cell>
          <cell r="J96">
            <v>-2.8217197968319376</v>
          </cell>
          <cell r="K96">
            <v>3.6279254530696243</v>
          </cell>
          <cell r="L96">
            <v>7.0542994920798607</v>
          </cell>
          <cell r="M96">
            <v>-3.91905527337771</v>
          </cell>
          <cell r="N96">
            <v>-1.5676221093510672</v>
          </cell>
          <cell r="O96">
            <v>-3.1352442187021681</v>
          </cell>
          <cell r="P96">
            <v>-3.9679557242514969</v>
          </cell>
          <cell r="Q96">
            <v>-10.193434906089387</v>
          </cell>
          <cell r="R96">
            <v>-1.4341749298537334</v>
          </cell>
          <cell r="S96">
            <v>-2.0612113057639752</v>
          </cell>
        </row>
        <row r="97">
          <cell r="A97">
            <v>9</v>
          </cell>
          <cell r="B97" t="str">
            <v>PV of Increase in forecast year 8 lease commitments</v>
          </cell>
          <cell r="C97">
            <v>37.358457927602551</v>
          </cell>
          <cell r="D97">
            <v>22.151442869114771</v>
          </cell>
          <cell r="E97">
            <v>-6.1650423892361488</v>
          </cell>
          <cell r="F97">
            <v>21.51936962247358</v>
          </cell>
          <cell r="G97">
            <v>22.731897658829187</v>
          </cell>
          <cell r="H97">
            <v>-0.41839018566576408</v>
          </cell>
          <cell r="I97">
            <v>6.8002351510208845</v>
          </cell>
          <cell r="J97">
            <v>-2.6445358920636717</v>
          </cell>
          <cell r="K97">
            <v>3.4001175755104263</v>
          </cell>
          <cell r="L97">
            <v>6.6113397301591954</v>
          </cell>
          <cell r="M97">
            <v>-3.6729665167551175</v>
          </cell>
          <cell r="N97">
            <v>-1.4691866067020312</v>
          </cell>
          <cell r="O97">
            <v>-2.9383732134040939</v>
          </cell>
          <cell r="P97">
            <v>-3.718796367620897</v>
          </cell>
          <cell r="Q97">
            <v>-9.5533597995214503</v>
          </cell>
          <cell r="R97">
            <v>-1.3441189595630116</v>
          </cell>
          <cell r="S97">
            <v>-1.9317819173045694</v>
          </cell>
        </row>
        <row r="98">
          <cell r="A98">
            <v>10</v>
          </cell>
          <cell r="B98" t="str">
            <v>PV of Increase in forecast year 9 lease commitments</v>
          </cell>
          <cell r="C98">
            <v>35.852646763534111</v>
          </cell>
          <cell r="D98">
            <v>21.402360260014273</v>
          </cell>
          <cell r="E98">
            <v>-5.9761946386546612</v>
          </cell>
          <cell r="F98">
            <v>20.374332155343286</v>
          </cell>
          <cell r="G98">
            <v>21.244764167130082</v>
          </cell>
          <cell r="H98">
            <v>-0.3921182621047461</v>
          </cell>
          <cell r="I98">
            <v>6.3732288200758056</v>
          </cell>
          <cell r="J98">
            <v>-2.4784778744739193</v>
          </cell>
          <cell r="K98">
            <v>3.1866144100378877</v>
          </cell>
          <cell r="L98">
            <v>6.1961946861848132</v>
          </cell>
          <cell r="M98">
            <v>-3.4423303812137935</v>
          </cell>
          <cell r="N98">
            <v>-1.3769321524855025</v>
          </cell>
          <cell r="O98">
            <v>-2.7538643049710347</v>
          </cell>
          <cell r="P98">
            <v>-3.4852824438808785</v>
          </cell>
          <cell r="Q98">
            <v>-8.9534768505355675</v>
          </cell>
          <cell r="R98">
            <v>-1.2597178627582115</v>
          </cell>
          <cell r="S98">
            <v>-1.8104797725441137</v>
          </cell>
        </row>
        <row r="99">
          <cell r="A99">
            <v>11</v>
          </cell>
          <cell r="B99" t="str">
            <v>PV of Increase in forecast year 10 lease commitments</v>
          </cell>
          <cell r="C99">
            <v>34.407530483238112</v>
          </cell>
          <cell r="D99">
            <v>20.678608946873695</v>
          </cell>
          <cell r="E99">
            <v>-5.7931316776411981</v>
          </cell>
          <cell r="F99">
            <v>19.290221696026592</v>
          </cell>
          <cell r="G99">
            <v>19.854919782364561</v>
          </cell>
          <cell r="H99">
            <v>-0.36749602821438254</v>
          </cell>
          <cell r="I99">
            <v>5.9730354452444292</v>
          </cell>
          <cell r="J99">
            <v>-2.3228471175950514</v>
          </cell>
          <cell r="K99">
            <v>2.9865177226222008</v>
          </cell>
          <cell r="L99">
            <v>5.8071177939876417</v>
          </cell>
          <cell r="M99">
            <v>-3.2261765522153643</v>
          </cell>
          <cell r="N99">
            <v>-1.2904706208861318</v>
          </cell>
          <cell r="O99">
            <v>-2.5809412417722917</v>
          </cell>
          <cell r="P99">
            <v>-3.2664315312847974</v>
          </cell>
          <cell r="Q99">
            <v>-8.3912622779152475</v>
          </cell>
          <cell r="R99">
            <v>-1.1806165536628039</v>
          </cell>
          <cell r="S99">
            <v>-1.6967945384668359</v>
          </cell>
        </row>
        <row r="100">
          <cell r="A100">
            <v>12</v>
          </cell>
          <cell r="B100" t="str">
            <v>PV of Increase in forecast year 11 lease commitments</v>
          </cell>
          <cell r="C100">
            <v>33.020662651859986</v>
          </cell>
          <cell r="D100">
            <v>19.979332315819995</v>
          </cell>
          <cell r="E100">
            <v>-5.615676306360216</v>
          </cell>
          <cell r="F100">
            <v>18.263796341627145</v>
          </cell>
          <cell r="G100">
            <v>18.555999796602396</v>
          </cell>
          <cell r="H100">
            <v>-0.34441989523372307</v>
          </cell>
          <cell r="I100">
            <v>5.5979713638654447</v>
          </cell>
          <cell r="J100">
            <v>-2.1769888637254464</v>
          </cell>
          <cell r="K100">
            <v>2.798985681932709</v>
          </cell>
          <cell r="L100">
            <v>5.4424721593136285</v>
          </cell>
          <cell r="M100">
            <v>-3.0235956440631342</v>
          </cell>
          <cell r="N100">
            <v>-1.2094382576252407</v>
          </cell>
          <cell r="O100">
            <v>-2.4188765152505076</v>
          </cell>
          <cell r="P100">
            <v>-3.0613228971741306</v>
          </cell>
          <cell r="Q100">
            <v>-7.8643507759280658</v>
          </cell>
          <cell r="R100">
            <v>-1.1064822433578292</v>
          </cell>
          <cell r="S100">
            <v>-1.5902479273353665</v>
          </cell>
        </row>
        <row r="101">
          <cell r="A101">
            <v>13</v>
          </cell>
          <cell r="B101" t="str">
            <v>PV of Increase in forecast year 12 lease commitments</v>
          </cell>
          <cell r="C101">
            <v>31.689695443243746</v>
          </cell>
          <cell r="D101">
            <v>53.895558737906342</v>
          </cell>
          <cell r="E101">
            <v>50.807335913694033</v>
          </cell>
          <cell r="F101">
            <v>54.692161947775368</v>
          </cell>
          <cell r="G101">
            <v>63.54143108293232</v>
          </cell>
          <cell r="H101">
            <v>65.580732941254055</v>
          </cell>
          <cell r="I101">
            <v>70.82719157655437</v>
          </cell>
          <cell r="J101">
            <v>68.786902107270919</v>
          </cell>
          <cell r="K101">
            <v>71.410131424921076</v>
          </cell>
          <cell r="L101">
            <v>76.510855098129724</v>
          </cell>
          <cell r="M101">
            <v>73.677119724124907</v>
          </cell>
          <cell r="N101">
            <v>72.543625574522991</v>
          </cell>
          <cell r="O101">
            <v>70.276637275319146</v>
          </cell>
          <cell r="P101">
            <v>67.40754365097601</v>
          </cell>
          <cell r="Q101">
            <v>60.037018087781938</v>
          </cell>
          <cell r="R101">
            <v>59.000015048083881</v>
          </cell>
          <cell r="S101">
            <v>57.509623363608377</v>
          </cell>
        </row>
        <row r="102">
          <cell r="A102">
            <v>14</v>
          </cell>
          <cell r="B102" t="str">
            <v>PV of Increase in forecast year 13 lease commitments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A103">
            <v>15</v>
          </cell>
          <cell r="B103" t="str">
            <v>PV of Increase in forecast year 14 lease commitments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A104">
            <v>16</v>
          </cell>
          <cell r="B104" t="str">
            <v>PV of Increase in forecast year 15 lease commitments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A105">
            <v>17</v>
          </cell>
          <cell r="B105" t="str">
            <v>PV of Increase in forecast year 16 lease commitments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A106">
            <v>18</v>
          </cell>
          <cell r="B106" t="str">
            <v>PV of Increase in forecast year 17 lease commitments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A107">
            <v>19</v>
          </cell>
          <cell r="B107" t="str">
            <v>PV of Increase in forecast year 18 lease commitments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A108">
            <v>20</v>
          </cell>
          <cell r="B108" t="str">
            <v>PV of Increase in forecast year 19 lease commitments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A109">
            <v>21</v>
          </cell>
          <cell r="B109" t="str">
            <v>PV of Increase in forecast year 20 lease commitments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A110">
            <v>22</v>
          </cell>
          <cell r="B110" t="str">
            <v>PV of Increase in forecast year 21 lease commitments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A111">
            <v>23</v>
          </cell>
          <cell r="B111" t="str">
            <v>PV of Increase in forecast year 22 lease commitments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A112">
            <v>24</v>
          </cell>
          <cell r="B112" t="str">
            <v>PV of Increase in forecast year 23 lease commitments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A113">
            <v>25</v>
          </cell>
          <cell r="B113" t="str">
            <v>PV of Increase in forecast year 24 lease commitments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A114">
            <v>26</v>
          </cell>
          <cell r="B114" t="str">
            <v>PV of Increase in forecast year 25 lease commitments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A115">
            <v>27</v>
          </cell>
          <cell r="B115" t="str">
            <v>PV of Increase in forecast year 26 lease commitments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A116">
            <v>28</v>
          </cell>
          <cell r="B116" t="str">
            <v>PV of Increase in forecast year 27 lease commitments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A117">
            <v>29</v>
          </cell>
          <cell r="B117" t="str">
            <v>PV of Increase in forecast year 28 lease commitments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</row>
        <row r="118">
          <cell r="A118">
            <v>30</v>
          </cell>
          <cell r="B118" t="str">
            <v>PV of Increase in forecast year 29 lease commitments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</row>
        <row r="120">
          <cell r="B120" t="str">
            <v>Estimated additions to leased assets in period</v>
          </cell>
          <cell r="C120">
            <v>560.65804830396746</v>
          </cell>
          <cell r="D120">
            <v>399.09647094885304</v>
          </cell>
          <cell r="E120">
            <v>62.339778761921131</v>
          </cell>
          <cell r="F120">
            <v>397.63747171536556</v>
          </cell>
          <cell r="G120">
            <v>453.89058027706926</v>
          </cell>
          <cell r="H120">
            <v>154.2118466502078</v>
          </cell>
          <cell r="I120">
            <v>122.27730618330472</v>
          </cell>
          <cell r="J120">
            <v>62.754396835346327</v>
          </cell>
          <cell r="K120">
            <v>207.13620978674712</v>
          </cell>
          <cell r="L120">
            <v>251.85631184825866</v>
          </cell>
          <cell r="M120">
            <v>89.924910557721773</v>
          </cell>
          <cell r="N120">
            <v>121.18082456120267</v>
          </cell>
          <cell r="O120">
            <v>94.363839061470557</v>
          </cell>
          <cell r="P120">
            <v>76.825179086835291</v>
          </cell>
          <cell r="Q120">
            <v>-26.443544644522881</v>
          </cell>
          <cell r="R120">
            <v>96.288581310704615</v>
          </cell>
          <cell r="S120">
            <v>84.407436251403283</v>
          </cell>
        </row>
        <row r="124">
          <cell r="B124" t="str">
            <v>Depreciation schedule</v>
          </cell>
          <cell r="C124">
            <v>2002</v>
          </cell>
          <cell r="D124">
            <v>2003</v>
          </cell>
          <cell r="E124">
            <v>2004</v>
          </cell>
          <cell r="F124">
            <v>2005</v>
          </cell>
          <cell r="G124">
            <v>2006</v>
          </cell>
          <cell r="H124">
            <v>2007</v>
          </cell>
          <cell r="I124">
            <v>2008</v>
          </cell>
          <cell r="J124">
            <v>2009</v>
          </cell>
          <cell r="K124">
            <v>2010</v>
          </cell>
          <cell r="L124">
            <v>2011</v>
          </cell>
          <cell r="M124">
            <v>2012</v>
          </cell>
          <cell r="N124">
            <v>2013</v>
          </cell>
          <cell r="O124">
            <v>2014</v>
          </cell>
          <cell r="P124">
            <v>2015</v>
          </cell>
          <cell r="Q124">
            <v>2016</v>
          </cell>
          <cell r="R124">
            <v>2017</v>
          </cell>
          <cell r="S124">
            <v>2018</v>
          </cell>
        </row>
        <row r="126">
          <cell r="B126" t="str">
            <v>Assumed Average Lease Life</v>
          </cell>
          <cell r="C126">
            <v>13</v>
          </cell>
          <cell r="D126">
            <v>13</v>
          </cell>
          <cell r="E126">
            <v>13</v>
          </cell>
          <cell r="F126">
            <v>15</v>
          </cell>
          <cell r="G126">
            <v>14</v>
          </cell>
          <cell r="H126">
            <v>14</v>
          </cell>
          <cell r="I126">
            <v>14</v>
          </cell>
          <cell r="J126">
            <v>14</v>
          </cell>
          <cell r="K126">
            <v>14</v>
          </cell>
          <cell r="L126">
            <v>14</v>
          </cell>
          <cell r="M126">
            <v>14</v>
          </cell>
          <cell r="N126">
            <v>14</v>
          </cell>
          <cell r="O126">
            <v>14</v>
          </cell>
          <cell r="P126">
            <v>14</v>
          </cell>
          <cell r="Q126">
            <v>14</v>
          </cell>
          <cell r="R126">
            <v>14</v>
          </cell>
          <cell r="S126">
            <v>14</v>
          </cell>
        </row>
        <row r="127">
          <cell r="B127" t="str">
            <v>Fade rate for depreciation of opening balance</v>
          </cell>
          <cell r="C127">
            <v>0.9</v>
          </cell>
        </row>
        <row r="128">
          <cell r="B128" t="str">
            <v>Depreciation of take on book value</v>
          </cell>
          <cell r="C128">
            <v>79.95472097426682</v>
          </cell>
          <cell r="D128">
            <v>71.959248876840135</v>
          </cell>
          <cell r="E128">
            <v>71.959248876840135</v>
          </cell>
          <cell r="F128">
            <v>64.76332398915612</v>
          </cell>
          <cell r="G128">
            <v>58.286991590240511</v>
          </cell>
          <cell r="H128">
            <v>52.458292431216464</v>
          </cell>
          <cell r="I128">
            <v>47.212463188094816</v>
          </cell>
          <cell r="J128">
            <v>42.491216869285338</v>
          </cell>
          <cell r="K128">
            <v>38.242095182356806</v>
          </cell>
          <cell r="L128">
            <v>34.41788566412113</v>
          </cell>
          <cell r="M128">
            <v>30.976097097709019</v>
          </cell>
          <cell r="N128">
            <v>6.9388225668737959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</row>
        <row r="129">
          <cell r="B129">
            <v>1991</v>
          </cell>
          <cell r="D129">
            <v>30.699728534527157</v>
          </cell>
          <cell r="E129">
            <v>30.699728534527157</v>
          </cell>
          <cell r="F129">
            <v>30.699728534527157</v>
          </cell>
          <cell r="G129">
            <v>30.699728534527157</v>
          </cell>
          <cell r="H129">
            <v>30.699728534527157</v>
          </cell>
          <cell r="I129">
            <v>30.699728534527157</v>
          </cell>
          <cell r="J129">
            <v>30.699728534527157</v>
          </cell>
          <cell r="K129">
            <v>30.699728534527157</v>
          </cell>
          <cell r="L129">
            <v>30.699728534527157</v>
          </cell>
          <cell r="M129">
            <v>30.699728534527157</v>
          </cell>
          <cell r="N129">
            <v>30.699728534527157</v>
          </cell>
          <cell r="O129">
            <v>30.699728534527157</v>
          </cell>
          <cell r="P129">
            <v>30.699728534527157</v>
          </cell>
          <cell r="Q129">
            <v>0</v>
          </cell>
          <cell r="R129">
            <v>0</v>
          </cell>
          <cell r="S129">
            <v>0</v>
          </cell>
        </row>
        <row r="130">
          <cell r="B130">
            <v>1992</v>
          </cell>
          <cell r="E130">
            <v>4.7953675970708565</v>
          </cell>
          <cell r="F130">
            <v>4.7953675970708565</v>
          </cell>
          <cell r="G130">
            <v>4.7953675970708565</v>
          </cell>
          <cell r="H130">
            <v>4.7953675970708565</v>
          </cell>
          <cell r="I130">
            <v>4.7953675970708565</v>
          </cell>
          <cell r="J130">
            <v>4.7953675970708565</v>
          </cell>
          <cell r="K130">
            <v>4.7953675970708565</v>
          </cell>
          <cell r="L130">
            <v>4.7953675970708565</v>
          </cell>
          <cell r="M130">
            <v>4.7953675970708565</v>
          </cell>
          <cell r="N130">
            <v>4.7953675970708565</v>
          </cell>
          <cell r="O130">
            <v>4.7953675970708565</v>
          </cell>
          <cell r="P130">
            <v>4.7953675970708565</v>
          </cell>
          <cell r="Q130">
            <v>4.7953675970708565</v>
          </cell>
          <cell r="R130">
            <v>0</v>
          </cell>
          <cell r="S130">
            <v>0</v>
          </cell>
        </row>
        <row r="131">
          <cell r="B131">
            <v>1993</v>
          </cell>
          <cell r="F131">
            <v>26.509164781024371</v>
          </cell>
          <cell r="G131">
            <v>26.509164781024371</v>
          </cell>
          <cell r="H131">
            <v>26.509164781024371</v>
          </cell>
          <cell r="I131">
            <v>26.509164781024371</v>
          </cell>
          <cell r="J131">
            <v>26.509164781024371</v>
          </cell>
          <cell r="K131">
            <v>26.509164781024371</v>
          </cell>
          <cell r="L131">
            <v>26.509164781024371</v>
          </cell>
          <cell r="M131">
            <v>26.509164781024371</v>
          </cell>
          <cell r="N131">
            <v>26.509164781024371</v>
          </cell>
          <cell r="O131">
            <v>26.509164781024371</v>
          </cell>
          <cell r="P131">
            <v>26.509164781024371</v>
          </cell>
          <cell r="Q131">
            <v>26.509164781024371</v>
          </cell>
          <cell r="R131">
            <v>26.509164781024371</v>
          </cell>
          <cell r="S131">
            <v>26.509164781024371</v>
          </cell>
        </row>
        <row r="132">
          <cell r="B132">
            <v>1994</v>
          </cell>
          <cell r="G132">
            <v>32.420755734076373</v>
          </cell>
          <cell r="H132">
            <v>32.420755734076373</v>
          </cell>
          <cell r="I132">
            <v>32.420755734076373</v>
          </cell>
          <cell r="J132">
            <v>32.420755734076373</v>
          </cell>
          <cell r="K132">
            <v>32.420755734076373</v>
          </cell>
          <cell r="L132">
            <v>32.420755734076373</v>
          </cell>
          <cell r="M132">
            <v>32.420755734076373</v>
          </cell>
          <cell r="N132">
            <v>32.420755734076373</v>
          </cell>
          <cell r="O132">
            <v>32.420755734076373</v>
          </cell>
          <cell r="P132">
            <v>32.420755734076373</v>
          </cell>
          <cell r="Q132">
            <v>32.420755734076373</v>
          </cell>
          <cell r="R132">
            <v>32.420755734076373</v>
          </cell>
          <cell r="S132">
            <v>32.420755734076373</v>
          </cell>
        </row>
        <row r="133">
          <cell r="B133">
            <v>1995</v>
          </cell>
          <cell r="H133">
            <v>11.015131903586271</v>
          </cell>
          <cell r="I133">
            <v>11.015131903586271</v>
          </cell>
          <cell r="J133">
            <v>11.015131903586271</v>
          </cell>
          <cell r="K133">
            <v>11.015131903586271</v>
          </cell>
          <cell r="L133">
            <v>11.015131903586271</v>
          </cell>
          <cell r="M133">
            <v>11.015131903586271</v>
          </cell>
          <cell r="N133">
            <v>11.015131903586271</v>
          </cell>
          <cell r="O133">
            <v>11.015131903586271</v>
          </cell>
          <cell r="P133">
            <v>11.015131903586271</v>
          </cell>
          <cell r="Q133">
            <v>11.015131903586271</v>
          </cell>
          <cell r="R133">
            <v>11.015131903586271</v>
          </cell>
          <cell r="S133">
            <v>11.015131903586271</v>
          </cell>
        </row>
        <row r="134">
          <cell r="B134">
            <v>1996</v>
          </cell>
          <cell r="I134">
            <v>8.7340932988074798</v>
          </cell>
          <cell r="J134">
            <v>8.7340932988074798</v>
          </cell>
          <cell r="K134">
            <v>8.7340932988074798</v>
          </cell>
          <cell r="L134">
            <v>8.7340932988074798</v>
          </cell>
          <cell r="M134">
            <v>8.7340932988074798</v>
          </cell>
          <cell r="N134">
            <v>8.7340932988074798</v>
          </cell>
          <cell r="O134">
            <v>8.7340932988074798</v>
          </cell>
          <cell r="P134">
            <v>8.7340932988074798</v>
          </cell>
          <cell r="Q134">
            <v>8.7340932988074798</v>
          </cell>
          <cell r="R134">
            <v>8.7340932988074798</v>
          </cell>
          <cell r="S134">
            <v>8.7340932988074798</v>
          </cell>
        </row>
        <row r="135">
          <cell r="B135">
            <v>1997</v>
          </cell>
          <cell r="J135">
            <v>4.4824569168104516</v>
          </cell>
          <cell r="K135">
            <v>4.4824569168104516</v>
          </cell>
          <cell r="L135">
            <v>4.4824569168104516</v>
          </cell>
          <cell r="M135">
            <v>4.4824569168104516</v>
          </cell>
          <cell r="N135">
            <v>4.4824569168104516</v>
          </cell>
          <cell r="O135">
            <v>4.4824569168104516</v>
          </cell>
          <cell r="P135">
            <v>4.4824569168104516</v>
          </cell>
          <cell r="Q135">
            <v>4.4824569168104516</v>
          </cell>
          <cell r="R135">
            <v>4.4824569168104516</v>
          </cell>
          <cell r="S135">
            <v>4.4824569168104516</v>
          </cell>
        </row>
        <row r="136">
          <cell r="B136">
            <v>1998</v>
          </cell>
          <cell r="K136">
            <v>14.795443556196222</v>
          </cell>
          <cell r="L136">
            <v>14.795443556196222</v>
          </cell>
          <cell r="M136">
            <v>14.795443556196222</v>
          </cell>
          <cell r="N136">
            <v>14.795443556196222</v>
          </cell>
          <cell r="O136">
            <v>14.795443556196222</v>
          </cell>
          <cell r="P136">
            <v>14.795443556196222</v>
          </cell>
          <cell r="Q136">
            <v>14.795443556196222</v>
          </cell>
          <cell r="R136">
            <v>14.795443556196222</v>
          </cell>
          <cell r="S136">
            <v>14.795443556196222</v>
          </cell>
        </row>
        <row r="137">
          <cell r="B137">
            <v>1999</v>
          </cell>
          <cell r="L137">
            <v>17.989736560589904</v>
          </cell>
          <cell r="M137">
            <v>6.4232078969801263</v>
          </cell>
          <cell r="N137">
            <v>8.6557731829430473</v>
          </cell>
          <cell r="O137">
            <v>6.7402742186764684</v>
          </cell>
          <cell r="P137">
            <v>5.4875127919168065</v>
          </cell>
          <cell r="Q137">
            <v>-1.88882461746592</v>
          </cell>
          <cell r="R137">
            <v>6.8777558079074721</v>
          </cell>
          <cell r="S137">
            <v>6.0291025893859489</v>
          </cell>
        </row>
        <row r="138">
          <cell r="B138">
            <v>2000</v>
          </cell>
        </row>
        <row r="139">
          <cell r="B139">
            <v>2001</v>
          </cell>
        </row>
        <row r="140">
          <cell r="B140">
            <v>2002</v>
          </cell>
        </row>
        <row r="141">
          <cell r="B141">
            <v>2003</v>
          </cell>
        </row>
        <row r="142">
          <cell r="B142">
            <v>2004</v>
          </cell>
        </row>
        <row r="143">
          <cell r="B143">
            <v>2005</v>
          </cell>
        </row>
        <row r="144">
          <cell r="B144">
            <v>2006</v>
          </cell>
        </row>
        <row r="145">
          <cell r="B145">
            <v>2007</v>
          </cell>
        </row>
        <row r="146">
          <cell r="B146">
            <v>2008</v>
          </cell>
        </row>
        <row r="147">
          <cell r="B147">
            <v>2009</v>
          </cell>
        </row>
        <row r="148">
          <cell r="B148">
            <v>2010</v>
          </cell>
        </row>
        <row r="149">
          <cell r="B149">
            <v>2011</v>
          </cell>
        </row>
        <row r="150">
          <cell r="B150">
            <v>2012</v>
          </cell>
        </row>
        <row r="151">
          <cell r="B151">
            <v>2013</v>
          </cell>
        </row>
        <row r="152">
          <cell r="B152">
            <v>2014</v>
          </cell>
        </row>
        <row r="153">
          <cell r="B153">
            <v>2015</v>
          </cell>
        </row>
        <row r="154">
          <cell r="B154">
            <v>2016</v>
          </cell>
        </row>
        <row r="155">
          <cell r="B155">
            <v>2017</v>
          </cell>
        </row>
        <row r="159">
          <cell r="C159">
            <v>79.95472097426682</v>
          </cell>
          <cell r="D159">
            <v>102.65897741136729</v>
          </cell>
          <cell r="E159">
            <v>107.45434500843814</v>
          </cell>
          <cell r="F159">
            <v>126.76758490177849</v>
          </cell>
          <cell r="G159">
            <v>152.71200823693925</v>
          </cell>
          <cell r="H159">
            <v>157.89844098150149</v>
          </cell>
          <cell r="I159">
            <v>161.38670503718731</v>
          </cell>
          <cell r="J159">
            <v>161.14791563518833</v>
          </cell>
          <cell r="K159">
            <v>171.694237504456</v>
          </cell>
          <cell r="L159">
            <v>185.85976454681025</v>
          </cell>
          <cell r="M159">
            <v>170.85144731678835</v>
          </cell>
          <cell r="N159">
            <v>149.04673807191602</v>
          </cell>
          <cell r="O159">
            <v>140.19241654077564</v>
          </cell>
          <cell r="P159">
            <v>138.93965511401598</v>
          </cell>
          <cell r="Q159">
            <v>100.8635891701061</v>
          </cell>
          <cell r="R159">
            <v>104.83480199840864</v>
          </cell>
          <cell r="S159">
            <v>103.9861487798871</v>
          </cell>
        </row>
        <row r="160">
          <cell r="B160" t="str">
            <v>Depreciation Schedule</v>
          </cell>
        </row>
        <row r="169">
          <cell r="D169" t="str">
            <v>2003-FY</v>
          </cell>
          <cell r="E169" t="str">
            <v>2004-FY</v>
          </cell>
          <cell r="F169" t="str">
            <v>2005-FY</v>
          </cell>
          <cell r="G169" t="str">
            <v>2006-FY</v>
          </cell>
          <cell r="H169" t="str">
            <v>2007-FY</v>
          </cell>
          <cell r="I169" t="str">
            <v>2008-FY</v>
          </cell>
          <cell r="J169" t="str">
            <v>2009-FY</v>
          </cell>
          <cell r="K169" t="str">
            <v>2010-FY</v>
          </cell>
          <cell r="L169" t="str">
            <v>2011-FY</v>
          </cell>
          <cell r="M169" t="str">
            <v>2012-FY</v>
          </cell>
          <cell r="N169" t="str">
            <v>2013-FY</v>
          </cell>
          <cell r="O169" t="str">
            <v>2014-FY</v>
          </cell>
          <cell r="P169" t="str">
            <v>2015-FY</v>
          </cell>
          <cell r="Q169" t="str">
            <v>2016-FY</v>
          </cell>
          <cell r="R169" t="str">
            <v>2017-FY</v>
          </cell>
          <cell r="S169" t="str">
            <v>2018-FY</v>
          </cell>
        </row>
      </sheetData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Cover"/>
      <sheetName val="Valuation"/>
      <sheetName val="Financial"/>
      <sheetName val="AFOSHEET"/>
      <sheetName val="SRE"/>
      <sheetName val="SDG&amp;E"/>
      <sheetName val="SoCalGas"/>
      <sheetName val="Mexico"/>
      <sheetName val="South America"/>
      <sheetName val="Renewables"/>
      <sheetName val="Natural Gas"/>
      <sheetName val="Parent"/>
      <sheetName val="LNG Export"/>
      <sheetName val="Debt"/>
      <sheetName val="PTCs"/>
      <sheetName val="Market Prices"/>
      <sheetName val="mwareDates"/>
      <sheetName val="MW-Cache"/>
      <sheetName val="mwareSettings"/>
      <sheetName val="MWA RR"/>
      <sheetName val="Sheet1"/>
      <sheetName val="SRE Model"/>
      <sheetName val="Associated"/>
      <sheetName val="Input-Notes"/>
      <sheetName val="Corp_Elims"/>
      <sheetName val="FBO"/>
      <sheetName val="Garrett"/>
      <sheetName val="PH"/>
      <sheetName val="PHHI"/>
      <sheetName val="MWA Lease"/>
    </sheetNames>
    <sheetDataSet>
      <sheetData sheetId="0"/>
      <sheetData sheetId="1"/>
      <sheetData sheetId="2">
        <row r="37">
          <cell r="BE37">
            <v>127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B_Blank"/>
      <sheetName val="mwareTaxoPres"/>
      <sheetName val="Model_Template"/>
      <sheetName val="mwareValPrintout"/>
      <sheetName val="mwarePreview"/>
      <sheetName val="CENMODEL"/>
      <sheetName val="Metrics"/>
      <sheetName val="Valuation"/>
      <sheetName val="Assumptions"/>
      <sheetName val="Variance"/>
      <sheetName val="New Pension Sheet"/>
      <sheetName val="Acqs"/>
      <sheetName val="HRS"/>
      <sheetName val="Options"/>
      <sheetName val="OPEBs"/>
      <sheetName val="mwareDates"/>
      <sheetName val="mwareSettings"/>
      <sheetName val="NY UPLOAD shadow"/>
      <sheetName val="BizJet Deliv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Consol_Income"/>
      <sheetName val="Rate Case"/>
      <sheetName val="Balance Sheet"/>
      <sheetName val="Sheet9"/>
      <sheetName val="Leases"/>
      <sheetName val="Graph"/>
      <sheetName val="Income"/>
      <sheetName val="Financial Summary"/>
      <sheetName val="BizJet Deliveries"/>
      <sheetName val="Exclusion List"/>
      <sheetName val="CFOld"/>
      <sheetName val="PLOld"/>
      <sheetName val="Headline"/>
      <sheetName val="MTT old"/>
      <sheetName val="CENMODEL"/>
      <sheetName val="Monthly figures"/>
      <sheetName val="Consolidated"/>
      <sheetName val="Customize Your Statement"/>
      <sheetName val="DOMNETREV1002B"/>
      <sheetName val="Cash flow"/>
      <sheetName val="Profit &amp; Loss"/>
      <sheetName val="Inputs, sensitivity &amp; val"/>
      <sheetName val="c1"/>
      <sheetName val="KQ"/>
      <sheetName val="Sainsbury"/>
    </sheetNames>
    <definedNames>
      <definedName name="Update_Thi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4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897" customWidth="1"/>
    <col min="2" max="5" width="9.140625" style="897"/>
    <col min="6" max="6" width="18.7109375" style="897" customWidth="1"/>
    <col min="7" max="256" width="9.140625" style="897"/>
    <col min="257" max="257" width="100.7109375" style="897" customWidth="1"/>
    <col min="258" max="512" width="9.140625" style="897"/>
    <col min="513" max="513" width="100.7109375" style="897" customWidth="1"/>
    <col min="514" max="768" width="9.140625" style="897"/>
    <col min="769" max="769" width="100.7109375" style="897" customWidth="1"/>
    <col min="770" max="1024" width="9.140625" style="897"/>
    <col min="1025" max="1025" width="100.7109375" style="897" customWidth="1"/>
    <col min="1026" max="1280" width="9.140625" style="897"/>
    <col min="1281" max="1281" width="100.7109375" style="897" customWidth="1"/>
    <col min="1282" max="1536" width="9.140625" style="897"/>
    <col min="1537" max="1537" width="100.7109375" style="897" customWidth="1"/>
    <col min="1538" max="1792" width="9.140625" style="897"/>
    <col min="1793" max="1793" width="100.7109375" style="897" customWidth="1"/>
    <col min="1794" max="2048" width="9.140625" style="897"/>
    <col min="2049" max="2049" width="100.7109375" style="897" customWidth="1"/>
    <col min="2050" max="2304" width="9.140625" style="897"/>
    <col min="2305" max="2305" width="100.7109375" style="897" customWidth="1"/>
    <col min="2306" max="2560" width="9.140625" style="897"/>
    <col min="2561" max="2561" width="100.7109375" style="897" customWidth="1"/>
    <col min="2562" max="2816" width="9.140625" style="897"/>
    <col min="2817" max="2817" width="100.7109375" style="897" customWidth="1"/>
    <col min="2818" max="3072" width="9.140625" style="897"/>
    <col min="3073" max="3073" width="100.7109375" style="897" customWidth="1"/>
    <col min="3074" max="3328" width="9.140625" style="897"/>
    <col min="3329" max="3329" width="100.7109375" style="897" customWidth="1"/>
    <col min="3330" max="3584" width="9.140625" style="897"/>
    <col min="3585" max="3585" width="100.7109375" style="897" customWidth="1"/>
    <col min="3586" max="3840" width="9.140625" style="897"/>
    <col min="3841" max="3841" width="100.7109375" style="897" customWidth="1"/>
    <col min="3842" max="4096" width="9.140625" style="897"/>
    <col min="4097" max="4097" width="100.7109375" style="897" customWidth="1"/>
    <col min="4098" max="4352" width="9.140625" style="897"/>
    <col min="4353" max="4353" width="100.7109375" style="897" customWidth="1"/>
    <col min="4354" max="4608" width="9.140625" style="897"/>
    <col min="4609" max="4609" width="100.7109375" style="897" customWidth="1"/>
    <col min="4610" max="4864" width="9.140625" style="897"/>
    <col min="4865" max="4865" width="100.7109375" style="897" customWidth="1"/>
    <col min="4866" max="5120" width="9.140625" style="897"/>
    <col min="5121" max="5121" width="100.7109375" style="897" customWidth="1"/>
    <col min="5122" max="5376" width="9.140625" style="897"/>
    <col min="5377" max="5377" width="100.7109375" style="897" customWidth="1"/>
    <col min="5378" max="5632" width="9.140625" style="897"/>
    <col min="5633" max="5633" width="100.7109375" style="897" customWidth="1"/>
    <col min="5634" max="5888" width="9.140625" style="897"/>
    <col min="5889" max="5889" width="100.7109375" style="897" customWidth="1"/>
    <col min="5890" max="6144" width="9.140625" style="897"/>
    <col min="6145" max="6145" width="100.7109375" style="897" customWidth="1"/>
    <col min="6146" max="6400" width="9.140625" style="897"/>
    <col min="6401" max="6401" width="100.7109375" style="897" customWidth="1"/>
    <col min="6402" max="6656" width="9.140625" style="897"/>
    <col min="6657" max="6657" width="100.7109375" style="897" customWidth="1"/>
    <col min="6658" max="6912" width="9.140625" style="897"/>
    <col min="6913" max="6913" width="100.7109375" style="897" customWidth="1"/>
    <col min="6914" max="7168" width="9.140625" style="897"/>
    <col min="7169" max="7169" width="100.7109375" style="897" customWidth="1"/>
    <col min="7170" max="7424" width="9.140625" style="897"/>
    <col min="7425" max="7425" width="100.7109375" style="897" customWidth="1"/>
    <col min="7426" max="7680" width="9.140625" style="897"/>
    <col min="7681" max="7681" width="100.7109375" style="897" customWidth="1"/>
    <col min="7682" max="7936" width="9.140625" style="897"/>
    <col min="7937" max="7937" width="100.7109375" style="897" customWidth="1"/>
    <col min="7938" max="8192" width="9.140625" style="897"/>
    <col min="8193" max="8193" width="100.7109375" style="897" customWidth="1"/>
    <col min="8194" max="8448" width="9.140625" style="897"/>
    <col min="8449" max="8449" width="100.7109375" style="897" customWidth="1"/>
    <col min="8450" max="8704" width="9.140625" style="897"/>
    <col min="8705" max="8705" width="100.7109375" style="897" customWidth="1"/>
    <col min="8706" max="8960" width="9.140625" style="897"/>
    <col min="8961" max="8961" width="100.7109375" style="897" customWidth="1"/>
    <col min="8962" max="9216" width="9.140625" style="897"/>
    <col min="9217" max="9217" width="100.7109375" style="897" customWidth="1"/>
    <col min="9218" max="9472" width="9.140625" style="897"/>
    <col min="9473" max="9473" width="100.7109375" style="897" customWidth="1"/>
    <col min="9474" max="9728" width="9.140625" style="897"/>
    <col min="9729" max="9729" width="100.7109375" style="897" customWidth="1"/>
    <col min="9730" max="9984" width="9.140625" style="897"/>
    <col min="9985" max="9985" width="100.7109375" style="897" customWidth="1"/>
    <col min="9986" max="10240" width="9.140625" style="897"/>
    <col min="10241" max="10241" width="100.7109375" style="897" customWidth="1"/>
    <col min="10242" max="10496" width="9.140625" style="897"/>
    <col min="10497" max="10497" width="100.7109375" style="897" customWidth="1"/>
    <col min="10498" max="10752" width="9.140625" style="897"/>
    <col min="10753" max="10753" width="100.7109375" style="897" customWidth="1"/>
    <col min="10754" max="11008" width="9.140625" style="897"/>
    <col min="11009" max="11009" width="100.7109375" style="897" customWidth="1"/>
    <col min="11010" max="11264" width="9.140625" style="897"/>
    <col min="11265" max="11265" width="100.7109375" style="897" customWidth="1"/>
    <col min="11266" max="11520" width="9.140625" style="897"/>
    <col min="11521" max="11521" width="100.7109375" style="897" customWidth="1"/>
    <col min="11522" max="11776" width="9.140625" style="897"/>
    <col min="11777" max="11777" width="100.7109375" style="897" customWidth="1"/>
    <col min="11778" max="12032" width="9.140625" style="897"/>
    <col min="12033" max="12033" width="100.7109375" style="897" customWidth="1"/>
    <col min="12034" max="12288" width="9.140625" style="897"/>
    <col min="12289" max="12289" width="100.7109375" style="897" customWidth="1"/>
    <col min="12290" max="12544" width="9.140625" style="897"/>
    <col min="12545" max="12545" width="100.7109375" style="897" customWidth="1"/>
    <col min="12546" max="12800" width="9.140625" style="897"/>
    <col min="12801" max="12801" width="100.7109375" style="897" customWidth="1"/>
    <col min="12802" max="13056" width="9.140625" style="897"/>
    <col min="13057" max="13057" width="100.7109375" style="897" customWidth="1"/>
    <col min="13058" max="13312" width="9.140625" style="897"/>
    <col min="13313" max="13313" width="100.7109375" style="897" customWidth="1"/>
    <col min="13314" max="13568" width="9.140625" style="897"/>
    <col min="13569" max="13569" width="100.7109375" style="897" customWidth="1"/>
    <col min="13570" max="13824" width="9.140625" style="897"/>
    <col min="13825" max="13825" width="100.7109375" style="897" customWidth="1"/>
    <col min="13826" max="14080" width="9.140625" style="897"/>
    <col min="14081" max="14081" width="100.7109375" style="897" customWidth="1"/>
    <col min="14082" max="14336" width="9.140625" style="897"/>
    <col min="14337" max="14337" width="100.7109375" style="897" customWidth="1"/>
    <col min="14338" max="14592" width="9.140625" style="897"/>
    <col min="14593" max="14593" width="100.7109375" style="897" customWidth="1"/>
    <col min="14594" max="14848" width="9.140625" style="897"/>
    <col min="14849" max="14849" width="100.7109375" style="897" customWidth="1"/>
    <col min="14850" max="15104" width="9.140625" style="897"/>
    <col min="15105" max="15105" width="100.7109375" style="897" customWidth="1"/>
    <col min="15106" max="15360" width="9.140625" style="897"/>
    <col min="15361" max="15361" width="100.7109375" style="897" customWidth="1"/>
    <col min="15362" max="15616" width="9.140625" style="897"/>
    <col min="15617" max="15617" width="100.7109375" style="897" customWidth="1"/>
    <col min="15618" max="15872" width="9.140625" style="897"/>
    <col min="15873" max="15873" width="100.7109375" style="897" customWidth="1"/>
    <col min="15874" max="16128" width="9.140625" style="897"/>
    <col min="16129" max="16129" width="100.7109375" style="897" customWidth="1"/>
    <col min="16130" max="16384" width="9.140625" style="897"/>
  </cols>
  <sheetData>
    <row r="1" spans="1:8" ht="30" customHeight="1" x14ac:dyDescent="0.2">
      <c r="A1" s="895"/>
      <c r="B1" s="896"/>
      <c r="C1" s="896"/>
      <c r="D1" s="896"/>
      <c r="E1" s="896"/>
      <c r="F1" s="896"/>
      <c r="G1" s="896"/>
      <c r="H1" s="896"/>
    </row>
    <row r="2" spans="1:8" ht="14.25" x14ac:dyDescent="0.2">
      <c r="A2" s="898" t="s">
        <v>543</v>
      </c>
      <c r="B2" s="896"/>
      <c r="C2" s="896"/>
      <c r="D2" s="896"/>
      <c r="E2" s="896"/>
      <c r="F2" s="896"/>
      <c r="G2" s="896"/>
      <c r="H2" s="896"/>
    </row>
    <row r="3" spans="1:8" ht="14.25" x14ac:dyDescent="0.2">
      <c r="A3" s="898" t="s">
        <v>544</v>
      </c>
      <c r="B3" s="896"/>
      <c r="C3" s="896"/>
      <c r="D3" s="896"/>
      <c r="E3" s="896"/>
      <c r="F3" s="896"/>
      <c r="G3" s="896"/>
      <c r="H3" s="896"/>
    </row>
    <row r="4" spans="1:8" ht="14.25" x14ac:dyDescent="0.2">
      <c r="A4" s="898" t="s">
        <v>545</v>
      </c>
      <c r="B4" s="896"/>
      <c r="C4" s="896"/>
      <c r="D4" s="896"/>
      <c r="E4" s="896"/>
      <c r="F4" s="896"/>
      <c r="G4" s="896"/>
      <c r="H4" s="896"/>
    </row>
    <row r="5" spans="1:8" ht="14.25" x14ac:dyDescent="0.2">
      <c r="A5" s="898" t="s">
        <v>546</v>
      </c>
      <c r="B5" s="896"/>
      <c r="C5" s="896"/>
      <c r="D5" s="896"/>
      <c r="E5" s="896"/>
      <c r="F5" s="896"/>
      <c r="G5" s="896"/>
      <c r="H5" s="896"/>
    </row>
    <row r="6" spans="1:8" ht="14.25" x14ac:dyDescent="0.2">
      <c r="A6" s="898"/>
      <c r="B6" s="896"/>
      <c r="C6" s="896"/>
      <c r="D6" s="896"/>
      <c r="E6" s="896"/>
      <c r="F6" s="896"/>
      <c r="G6" s="896"/>
      <c r="H6" s="896"/>
    </row>
    <row r="7" spans="1:8" x14ac:dyDescent="0.2">
      <c r="A7" s="895" t="s">
        <v>547</v>
      </c>
      <c r="B7" s="896"/>
      <c r="C7" s="896"/>
      <c r="D7" s="896"/>
      <c r="E7" s="896"/>
      <c r="F7" s="896"/>
      <c r="G7" s="896"/>
      <c r="H7" s="896"/>
    </row>
    <row r="8" spans="1:8" x14ac:dyDescent="0.2">
      <c r="A8" s="895" t="s">
        <v>548</v>
      </c>
      <c r="B8" s="896"/>
      <c r="C8" s="896"/>
      <c r="D8" s="896"/>
      <c r="E8" s="896"/>
      <c r="F8" s="896"/>
      <c r="G8" s="896"/>
      <c r="H8" s="896"/>
    </row>
    <row r="9" spans="1:8" x14ac:dyDescent="0.2">
      <c r="A9" s="895"/>
      <c r="B9" s="896"/>
      <c r="C9" s="896"/>
      <c r="D9" s="896"/>
      <c r="E9" s="896"/>
      <c r="F9" s="896"/>
      <c r="G9" s="896"/>
      <c r="H9" s="896"/>
    </row>
    <row r="10" spans="1:8" x14ac:dyDescent="0.2">
      <c r="A10" s="899" t="s">
        <v>549</v>
      </c>
      <c r="B10" s="896"/>
      <c r="C10" s="896"/>
      <c r="D10" s="896"/>
      <c r="E10" s="896"/>
      <c r="F10" s="896"/>
      <c r="G10" s="896"/>
      <c r="H10" s="896"/>
    </row>
    <row r="11" spans="1:8" x14ac:dyDescent="0.2">
      <c r="A11" s="899" t="s">
        <v>550</v>
      </c>
      <c r="B11" s="896"/>
      <c r="C11" s="896"/>
      <c r="D11" s="896"/>
      <c r="E11" s="896"/>
      <c r="F11" s="896"/>
      <c r="G11" s="896"/>
      <c r="H11" s="896"/>
    </row>
    <row r="12" spans="1:8" x14ac:dyDescent="0.2">
      <c r="A12" s="899" t="s">
        <v>551</v>
      </c>
      <c r="B12" s="896"/>
      <c r="C12" s="896"/>
      <c r="D12" s="896"/>
      <c r="E12" s="896"/>
      <c r="F12" s="896"/>
      <c r="G12" s="896"/>
      <c r="H12" s="896"/>
    </row>
    <row r="13" spans="1:8" x14ac:dyDescent="0.2">
      <c r="A13" s="899" t="s">
        <v>552</v>
      </c>
      <c r="B13" s="896"/>
      <c r="C13" s="896"/>
      <c r="D13" s="896"/>
      <c r="E13" s="896"/>
      <c r="F13" s="896"/>
      <c r="G13" s="896"/>
      <c r="H13" s="896"/>
    </row>
    <row r="14" spans="1:8" x14ac:dyDescent="0.2">
      <c r="A14" s="899" t="s">
        <v>553</v>
      </c>
      <c r="B14" s="896"/>
      <c r="C14" s="896"/>
      <c r="D14" s="896"/>
      <c r="E14" s="896"/>
      <c r="F14" s="896"/>
      <c r="G14" s="896"/>
      <c r="H14" s="896"/>
    </row>
    <row r="15" spans="1:8" x14ac:dyDescent="0.2">
      <c r="A15" s="899" t="s">
        <v>554</v>
      </c>
      <c r="B15" s="896"/>
      <c r="C15" s="896"/>
      <c r="D15" s="896"/>
      <c r="E15" s="896"/>
      <c r="F15" s="896"/>
      <c r="G15" s="896"/>
      <c r="H15" s="896"/>
    </row>
    <row r="16" spans="1:8" x14ac:dyDescent="0.2">
      <c r="A16" s="899"/>
      <c r="B16" s="896"/>
      <c r="C16" s="896"/>
      <c r="D16" s="896"/>
      <c r="E16" s="896"/>
      <c r="F16" s="896"/>
      <c r="G16" s="896"/>
      <c r="H16" s="896"/>
    </row>
    <row r="17" spans="1:8" x14ac:dyDescent="0.2">
      <c r="A17" s="899" t="s">
        <v>540</v>
      </c>
      <c r="B17" s="896"/>
      <c r="C17" s="896"/>
      <c r="D17" s="896"/>
      <c r="E17" s="896"/>
      <c r="F17" s="896"/>
      <c r="G17" s="896"/>
      <c r="H17" s="896"/>
    </row>
    <row r="18" spans="1:8" x14ac:dyDescent="0.2">
      <c r="A18" s="899"/>
      <c r="B18" s="896"/>
      <c r="C18" s="896"/>
      <c r="D18" s="896"/>
      <c r="E18" s="896"/>
      <c r="F18" s="896"/>
      <c r="G18" s="896"/>
      <c r="H18" s="896"/>
    </row>
    <row r="19" spans="1:8" x14ac:dyDescent="0.2">
      <c r="A19" s="899" t="s">
        <v>541</v>
      </c>
      <c r="B19" s="896"/>
      <c r="C19" s="896"/>
      <c r="D19" s="896"/>
      <c r="E19" s="896"/>
      <c r="F19" s="896"/>
      <c r="G19" s="896"/>
      <c r="H19" s="896"/>
    </row>
    <row r="20" spans="1:8" x14ac:dyDescent="0.2">
      <c r="A20" s="895"/>
      <c r="B20" s="896"/>
      <c r="C20" s="896"/>
      <c r="D20" s="896"/>
      <c r="E20" s="896"/>
      <c r="F20" s="896"/>
      <c r="G20" s="896"/>
      <c r="H20" s="896"/>
    </row>
    <row r="21" spans="1:8" x14ac:dyDescent="0.2">
      <c r="A21" s="900" t="s">
        <v>542</v>
      </c>
      <c r="B21" s="896"/>
      <c r="C21" s="896"/>
      <c r="D21" s="896"/>
      <c r="E21" s="896"/>
      <c r="F21" s="896"/>
      <c r="G21" s="896"/>
      <c r="H21" s="896"/>
    </row>
    <row r="22" spans="1:8" x14ac:dyDescent="0.2">
      <c r="A22" s="901"/>
      <c r="B22" s="901"/>
      <c r="C22" s="901"/>
      <c r="D22" s="901"/>
      <c r="E22" s="901"/>
      <c r="F22" s="901"/>
      <c r="G22" s="901"/>
      <c r="H22" s="901"/>
    </row>
    <row r="23" spans="1:8" x14ac:dyDescent="0.2">
      <c r="A23" s="902" t="s">
        <v>835</v>
      </c>
      <c r="B23" s="901"/>
      <c r="C23" s="901"/>
      <c r="D23" s="901"/>
      <c r="E23" s="901"/>
      <c r="F23" s="901"/>
      <c r="G23" s="901"/>
      <c r="H23" s="901"/>
    </row>
    <row r="24" spans="1:8" x14ac:dyDescent="0.2">
      <c r="A24" s="902" t="s">
        <v>836</v>
      </c>
      <c r="B24" s="901"/>
      <c r="C24" s="901"/>
      <c r="D24" s="901"/>
      <c r="E24" s="901"/>
      <c r="F24" s="901"/>
      <c r="G24" s="901"/>
      <c r="H24" s="901"/>
    </row>
    <row r="25" spans="1:8" x14ac:dyDescent="0.2">
      <c r="A25" s="902" t="s">
        <v>837</v>
      </c>
      <c r="B25" s="901"/>
      <c r="C25" s="901"/>
      <c r="D25" s="901"/>
      <c r="E25" s="901"/>
      <c r="F25" s="901"/>
      <c r="G25" s="901"/>
      <c r="H25" s="901"/>
    </row>
    <row r="26" spans="1:8" x14ac:dyDescent="0.2">
      <c r="A26" s="902" t="s">
        <v>838</v>
      </c>
      <c r="B26" s="901"/>
      <c r="C26" s="901"/>
      <c r="D26" s="901"/>
      <c r="E26" s="901"/>
      <c r="F26" s="901"/>
      <c r="G26" s="901"/>
      <c r="H26" s="901"/>
    </row>
    <row r="27" spans="1:8" x14ac:dyDescent="0.2">
      <c r="A27" s="901"/>
      <c r="B27" s="901"/>
      <c r="C27" s="901"/>
      <c r="D27" s="901"/>
      <c r="E27" s="901"/>
      <c r="F27" s="901"/>
      <c r="G27" s="901"/>
      <c r="H27" s="901"/>
    </row>
    <row r="28" spans="1:8" x14ac:dyDescent="0.2">
      <c r="A28" s="901"/>
      <c r="B28" s="901"/>
      <c r="C28" s="901"/>
      <c r="D28" s="901"/>
      <c r="E28" s="901"/>
      <c r="F28" s="901"/>
      <c r="G28" s="901"/>
      <c r="H28" s="901"/>
    </row>
    <row r="29" spans="1:8" x14ac:dyDescent="0.2">
      <c r="A29" s="902" t="s">
        <v>830</v>
      </c>
      <c r="B29" s="901"/>
      <c r="C29" s="901"/>
      <c r="D29" s="901"/>
      <c r="E29" s="901"/>
      <c r="F29" s="901"/>
      <c r="G29" s="901"/>
      <c r="H29" s="901"/>
    </row>
    <row r="30" spans="1:8" x14ac:dyDescent="0.2">
      <c r="A30" s="902" t="s">
        <v>831</v>
      </c>
      <c r="B30" s="901"/>
      <c r="C30" s="901"/>
      <c r="D30" s="901"/>
      <c r="E30" s="901"/>
      <c r="F30" s="901"/>
      <c r="G30" s="901"/>
      <c r="H30" s="901"/>
    </row>
    <row r="31" spans="1:8" x14ac:dyDescent="0.2">
      <c r="A31" s="902" t="s">
        <v>832</v>
      </c>
      <c r="B31" s="901"/>
      <c r="C31" s="901"/>
      <c r="D31" s="901"/>
      <c r="E31" s="901"/>
      <c r="F31" s="901"/>
      <c r="G31" s="901"/>
      <c r="H31" s="901"/>
    </row>
    <row r="32" spans="1:8" x14ac:dyDescent="0.2">
      <c r="A32" s="902" t="s">
        <v>833</v>
      </c>
      <c r="B32" s="901"/>
      <c r="C32" s="901"/>
      <c r="D32" s="901"/>
      <c r="E32" s="901"/>
      <c r="F32" s="901"/>
      <c r="G32" s="901"/>
      <c r="H32" s="901"/>
    </row>
    <row r="33" spans="1:8" x14ac:dyDescent="0.2">
      <c r="A33" s="902" t="s">
        <v>834</v>
      </c>
      <c r="B33" s="901"/>
      <c r="C33" s="901"/>
      <c r="D33" s="901"/>
      <c r="E33" s="901"/>
      <c r="F33" s="901"/>
      <c r="G33" s="901"/>
      <c r="H33" s="901"/>
    </row>
    <row r="34" spans="1:8" x14ac:dyDescent="0.2">
      <c r="A34" s="901"/>
      <c r="B34" s="901"/>
      <c r="C34" s="901"/>
      <c r="D34" s="901"/>
      <c r="E34" s="901"/>
      <c r="F34" s="901"/>
      <c r="G34" s="901"/>
      <c r="H34" s="901"/>
    </row>
    <row r="35" spans="1:8" x14ac:dyDescent="0.2">
      <c r="A35" s="902" t="s">
        <v>826</v>
      </c>
      <c r="B35" s="901"/>
      <c r="C35" s="901"/>
      <c r="D35" s="901"/>
      <c r="E35" s="901"/>
      <c r="F35" s="901"/>
      <c r="G35" s="901"/>
      <c r="H35" s="901"/>
    </row>
    <row r="36" spans="1:8" x14ac:dyDescent="0.2">
      <c r="A36" s="902" t="s">
        <v>827</v>
      </c>
      <c r="B36" s="901"/>
      <c r="C36" s="901"/>
      <c r="D36" s="901"/>
      <c r="E36" s="901"/>
      <c r="F36" s="901"/>
      <c r="G36" s="901"/>
      <c r="H36" s="901"/>
    </row>
    <row r="37" spans="1:8" x14ac:dyDescent="0.2">
      <c r="A37" s="902" t="s">
        <v>828</v>
      </c>
      <c r="B37" s="901"/>
      <c r="C37" s="901"/>
      <c r="D37" s="901"/>
      <c r="E37" s="901"/>
      <c r="F37" s="901"/>
      <c r="G37" s="901"/>
      <c r="H37" s="901"/>
    </row>
    <row r="38" spans="1:8" x14ac:dyDescent="0.2">
      <c r="A38" s="902" t="s">
        <v>829</v>
      </c>
      <c r="B38" s="901"/>
      <c r="C38" s="901"/>
      <c r="D38" s="901"/>
      <c r="E38" s="901"/>
      <c r="F38" s="901"/>
      <c r="G38" s="901"/>
      <c r="H38" s="901"/>
    </row>
    <row r="39" spans="1:8" x14ac:dyDescent="0.2">
      <c r="A39" s="901"/>
      <c r="B39" s="901"/>
      <c r="C39" s="901"/>
      <c r="D39" s="901"/>
      <c r="E39" s="901"/>
      <c r="F39" s="901"/>
      <c r="G39" s="901"/>
      <c r="H39" s="901"/>
    </row>
    <row r="40" spans="1:8" x14ac:dyDescent="0.2">
      <c r="A40" s="902" t="s">
        <v>820</v>
      </c>
      <c r="B40" s="901"/>
      <c r="C40" s="901"/>
      <c r="D40" s="901"/>
      <c r="E40" s="901"/>
      <c r="F40" s="901"/>
      <c r="G40" s="901"/>
      <c r="H40" s="901"/>
    </row>
    <row r="41" spans="1:8" x14ac:dyDescent="0.2">
      <c r="A41" s="902" t="s">
        <v>821</v>
      </c>
      <c r="B41" s="901"/>
      <c r="C41" s="901"/>
      <c r="D41" s="901"/>
      <c r="E41" s="901"/>
      <c r="F41" s="901"/>
      <c r="G41" s="901"/>
      <c r="H41" s="901"/>
    </row>
    <row r="42" spans="1:8" x14ac:dyDescent="0.2">
      <c r="A42" s="902" t="s">
        <v>822</v>
      </c>
      <c r="B42" s="901"/>
      <c r="C42" s="901"/>
      <c r="D42" s="901"/>
      <c r="E42" s="901"/>
      <c r="F42" s="901"/>
      <c r="G42" s="901"/>
      <c r="H42" s="901"/>
    </row>
    <row r="43" spans="1:8" x14ac:dyDescent="0.2">
      <c r="A43" s="902" t="s">
        <v>823</v>
      </c>
      <c r="B43" s="901"/>
      <c r="C43" s="901"/>
      <c r="D43" s="901"/>
      <c r="E43" s="901"/>
      <c r="F43" s="901"/>
      <c r="G43" s="901"/>
      <c r="H43" s="901"/>
    </row>
    <row r="44" spans="1:8" x14ac:dyDescent="0.2">
      <c r="A44" s="902" t="s">
        <v>824</v>
      </c>
      <c r="B44" s="901"/>
      <c r="C44" s="901"/>
      <c r="D44" s="901"/>
      <c r="E44" s="901"/>
      <c r="F44" s="901"/>
      <c r="G44" s="901"/>
      <c r="H44" s="901"/>
    </row>
    <row r="45" spans="1:8" x14ac:dyDescent="0.2">
      <c r="A45" s="902" t="s">
        <v>825</v>
      </c>
      <c r="B45" s="901"/>
      <c r="C45" s="901"/>
      <c r="D45" s="901"/>
      <c r="E45" s="901"/>
      <c r="F45" s="901"/>
      <c r="G45" s="901"/>
      <c r="H45" s="901"/>
    </row>
    <row r="46" spans="1:8" x14ac:dyDescent="0.2">
      <c r="A46" s="901"/>
      <c r="B46" s="901"/>
      <c r="C46" s="901"/>
      <c r="D46" s="901"/>
      <c r="E46" s="901"/>
      <c r="F46" s="901"/>
      <c r="G46" s="901"/>
      <c r="H46" s="901"/>
    </row>
    <row r="47" spans="1:8" ht="15.75" x14ac:dyDescent="0.2">
      <c r="A47" s="903" t="s">
        <v>555</v>
      </c>
      <c r="B47" s="901"/>
      <c r="C47" s="901"/>
      <c r="D47" s="901"/>
      <c r="E47" s="901"/>
      <c r="F47" s="901"/>
      <c r="G47" s="901"/>
      <c r="H47" s="901"/>
    </row>
    <row r="48" spans="1:8" x14ac:dyDescent="0.2">
      <c r="A48" s="901"/>
      <c r="B48" s="901"/>
      <c r="C48" s="901"/>
      <c r="D48" s="901"/>
      <c r="E48" s="901"/>
      <c r="F48" s="901"/>
      <c r="G48" s="901"/>
      <c r="H48" s="901"/>
    </row>
    <row r="49" spans="1:8" x14ac:dyDescent="0.2">
      <c r="A49" s="902" t="s">
        <v>816</v>
      </c>
      <c r="B49" s="901"/>
      <c r="C49" s="901"/>
      <c r="D49" s="901"/>
      <c r="E49" s="901"/>
      <c r="F49" s="901"/>
      <c r="G49" s="901"/>
      <c r="H49" s="901"/>
    </row>
    <row r="50" spans="1:8" x14ac:dyDescent="0.2">
      <c r="A50" s="902" t="s">
        <v>817</v>
      </c>
      <c r="B50" s="901"/>
      <c r="C50" s="901"/>
      <c r="D50" s="901"/>
      <c r="E50" s="901"/>
      <c r="F50" s="901"/>
      <c r="G50" s="901"/>
      <c r="H50" s="901"/>
    </row>
    <row r="51" spans="1:8" x14ac:dyDescent="0.2">
      <c r="A51" s="902" t="s">
        <v>818</v>
      </c>
      <c r="B51" s="901"/>
      <c r="C51" s="901"/>
      <c r="D51" s="901"/>
      <c r="E51" s="901"/>
      <c r="F51" s="901"/>
      <c r="G51" s="901"/>
      <c r="H51" s="901"/>
    </row>
    <row r="52" spans="1:8" x14ac:dyDescent="0.2">
      <c r="A52" s="902" t="s">
        <v>819</v>
      </c>
      <c r="B52" s="901"/>
      <c r="C52" s="901"/>
      <c r="D52" s="901"/>
      <c r="E52" s="901"/>
      <c r="F52" s="901"/>
      <c r="G52" s="901"/>
      <c r="H52" s="901"/>
    </row>
    <row r="53" spans="1:8" x14ac:dyDescent="0.2">
      <c r="A53" s="901"/>
      <c r="B53" s="901"/>
      <c r="C53" s="901"/>
      <c r="D53" s="901"/>
      <c r="E53" s="901"/>
      <c r="F53" s="901"/>
      <c r="G53" s="901"/>
      <c r="H53" s="901"/>
    </row>
    <row r="54" spans="1:8" x14ac:dyDescent="0.2">
      <c r="A54" s="902" t="s">
        <v>556</v>
      </c>
      <c r="B54" s="901"/>
      <c r="C54" s="901"/>
      <c r="D54" s="901"/>
      <c r="E54" s="901"/>
      <c r="F54" s="901"/>
      <c r="G54" s="901"/>
      <c r="H54" s="901"/>
    </row>
    <row r="55" spans="1:8" x14ac:dyDescent="0.2">
      <c r="A55" s="901"/>
      <c r="B55" s="901"/>
      <c r="C55" s="901"/>
      <c r="D55" s="901"/>
      <c r="E55" s="901"/>
      <c r="F55" s="901"/>
      <c r="G55" s="901"/>
      <c r="H55" s="901"/>
    </row>
    <row r="56" spans="1:8" ht="15.75" x14ac:dyDescent="0.2">
      <c r="A56" s="903" t="s">
        <v>557</v>
      </c>
      <c r="B56" s="901"/>
      <c r="C56" s="901"/>
      <c r="D56" s="901"/>
      <c r="E56" s="901"/>
      <c r="F56" s="901"/>
      <c r="G56" s="901"/>
      <c r="H56" s="901"/>
    </row>
    <row r="57" spans="1:8" x14ac:dyDescent="0.2">
      <c r="A57" s="901"/>
      <c r="B57" s="901"/>
      <c r="C57" s="901"/>
      <c r="D57" s="901"/>
      <c r="E57" s="901"/>
      <c r="F57" s="901"/>
      <c r="G57" s="901"/>
      <c r="H57" s="901"/>
    </row>
    <row r="58" spans="1:8" x14ac:dyDescent="0.2">
      <c r="A58" s="902" t="s">
        <v>814</v>
      </c>
      <c r="B58" s="901"/>
      <c r="C58" s="901"/>
      <c r="D58" s="901"/>
      <c r="E58" s="901"/>
      <c r="F58" s="901"/>
      <c r="G58" s="901"/>
      <c r="H58" s="901"/>
    </row>
    <row r="59" spans="1:8" x14ac:dyDescent="0.2">
      <c r="A59" s="902" t="s">
        <v>815</v>
      </c>
      <c r="B59" s="901"/>
      <c r="C59" s="901"/>
      <c r="D59" s="901"/>
      <c r="E59" s="901"/>
      <c r="F59" s="901"/>
      <c r="G59" s="901"/>
      <c r="H59" s="901"/>
    </row>
    <row r="60" spans="1:8" x14ac:dyDescent="0.2">
      <c r="A60" s="901"/>
      <c r="B60" s="901"/>
      <c r="C60" s="901"/>
      <c r="D60" s="901"/>
      <c r="E60" s="901"/>
      <c r="F60" s="901"/>
      <c r="G60" s="901"/>
      <c r="H60" s="901"/>
    </row>
    <row r="61" spans="1:8" ht="15.75" x14ac:dyDescent="0.2">
      <c r="A61" s="903" t="s">
        <v>558</v>
      </c>
      <c r="B61" s="901"/>
      <c r="C61" s="901"/>
      <c r="D61" s="901"/>
      <c r="E61" s="901"/>
      <c r="F61" s="901"/>
      <c r="G61" s="901"/>
      <c r="H61" s="901"/>
    </row>
    <row r="62" spans="1:8" x14ac:dyDescent="0.2">
      <c r="A62" s="901"/>
      <c r="B62" s="901"/>
      <c r="C62" s="901"/>
      <c r="D62" s="901"/>
      <c r="E62" s="901"/>
      <c r="F62" s="901"/>
      <c r="G62" s="901"/>
      <c r="H62" s="901"/>
    </row>
    <row r="63" spans="1:8" x14ac:dyDescent="0.2">
      <c r="A63" s="902" t="s">
        <v>812</v>
      </c>
      <c r="B63" s="901"/>
      <c r="C63" s="901"/>
      <c r="D63" s="901"/>
      <c r="E63" s="901"/>
      <c r="F63" s="901"/>
      <c r="G63" s="901"/>
      <c r="H63" s="901"/>
    </row>
    <row r="64" spans="1:8" x14ac:dyDescent="0.2">
      <c r="A64" s="902" t="s">
        <v>813</v>
      </c>
      <c r="B64" s="901"/>
      <c r="C64" s="901"/>
      <c r="D64" s="901"/>
      <c r="E64" s="901"/>
      <c r="F64" s="901"/>
      <c r="G64" s="901"/>
      <c r="H64" s="901"/>
    </row>
    <row r="65" spans="1:8" x14ac:dyDescent="0.2">
      <c r="A65" s="901"/>
      <c r="B65" s="901"/>
      <c r="C65" s="901"/>
      <c r="D65" s="901"/>
      <c r="E65" s="901"/>
      <c r="F65" s="901"/>
      <c r="G65" s="901"/>
      <c r="H65" s="901"/>
    </row>
    <row r="66" spans="1:8" x14ac:dyDescent="0.2">
      <c r="A66" s="902" t="s">
        <v>810</v>
      </c>
      <c r="B66" s="901"/>
      <c r="C66" s="901"/>
      <c r="D66" s="901"/>
      <c r="E66" s="901"/>
      <c r="F66" s="901"/>
      <c r="G66" s="901"/>
      <c r="H66" s="901"/>
    </row>
    <row r="67" spans="1:8" x14ac:dyDescent="0.2">
      <c r="A67" s="902" t="s">
        <v>811</v>
      </c>
      <c r="B67" s="901"/>
      <c r="C67" s="901"/>
      <c r="D67" s="901"/>
      <c r="E67" s="901"/>
      <c r="F67" s="901"/>
      <c r="G67" s="901"/>
      <c r="H67" s="901"/>
    </row>
    <row r="68" spans="1:8" x14ac:dyDescent="0.2">
      <c r="A68" s="901"/>
      <c r="B68" s="901"/>
      <c r="C68" s="901"/>
      <c r="D68" s="901"/>
      <c r="E68" s="901"/>
      <c r="F68" s="901"/>
      <c r="G68" s="901"/>
      <c r="H68" s="901"/>
    </row>
    <row r="69" spans="1:8" x14ac:dyDescent="0.2">
      <c r="A69" s="902" t="s">
        <v>808</v>
      </c>
      <c r="B69" s="901"/>
      <c r="C69" s="901"/>
      <c r="D69" s="901"/>
      <c r="E69" s="901"/>
      <c r="F69" s="901"/>
      <c r="G69" s="901"/>
      <c r="H69" s="901"/>
    </row>
    <row r="70" spans="1:8" x14ac:dyDescent="0.2">
      <c r="A70" s="902" t="s">
        <v>809</v>
      </c>
      <c r="B70" s="901"/>
      <c r="C70" s="901"/>
      <c r="D70" s="901"/>
      <c r="E70" s="901"/>
      <c r="F70" s="901"/>
      <c r="G70" s="901"/>
      <c r="H70" s="901"/>
    </row>
    <row r="71" spans="1:8" x14ac:dyDescent="0.2">
      <c r="A71" s="901"/>
      <c r="B71" s="901"/>
      <c r="C71" s="901"/>
      <c r="D71" s="901"/>
      <c r="E71" s="901"/>
      <c r="F71" s="901"/>
      <c r="G71" s="901"/>
      <c r="H71" s="901"/>
    </row>
    <row r="72" spans="1:8" x14ac:dyDescent="0.2">
      <c r="A72" s="902" t="s">
        <v>806</v>
      </c>
      <c r="B72" s="901"/>
      <c r="C72" s="901"/>
      <c r="D72" s="901"/>
      <c r="E72" s="901"/>
      <c r="F72" s="901"/>
      <c r="G72" s="901"/>
      <c r="H72" s="901"/>
    </row>
    <row r="73" spans="1:8" x14ac:dyDescent="0.2">
      <c r="A73" s="902" t="s">
        <v>807</v>
      </c>
      <c r="B73" s="901"/>
      <c r="C73" s="901"/>
      <c r="D73" s="901"/>
      <c r="E73" s="901"/>
      <c r="F73" s="901"/>
      <c r="G73" s="901"/>
      <c r="H73" s="901"/>
    </row>
    <row r="74" spans="1:8" x14ac:dyDescent="0.2">
      <c r="A74" s="901"/>
      <c r="B74" s="901"/>
      <c r="C74" s="901"/>
      <c r="D74" s="901"/>
      <c r="E74" s="901"/>
      <c r="F74" s="901"/>
      <c r="G74" s="901"/>
      <c r="H74" s="901"/>
    </row>
    <row r="75" spans="1:8" x14ac:dyDescent="0.2">
      <c r="A75" s="902" t="s">
        <v>804</v>
      </c>
      <c r="B75" s="901"/>
      <c r="C75" s="901"/>
      <c r="D75" s="901"/>
      <c r="E75" s="901"/>
      <c r="F75" s="901"/>
      <c r="G75" s="901"/>
      <c r="H75" s="901"/>
    </row>
    <row r="76" spans="1:8" x14ac:dyDescent="0.2">
      <c r="A76" s="902" t="s">
        <v>805</v>
      </c>
      <c r="B76" s="901"/>
      <c r="C76" s="901"/>
      <c r="D76" s="901"/>
      <c r="E76" s="901"/>
      <c r="F76" s="901"/>
      <c r="G76" s="901"/>
      <c r="H76" s="901"/>
    </row>
    <row r="77" spans="1:8" x14ac:dyDescent="0.2">
      <c r="A77" s="901"/>
      <c r="B77" s="901"/>
      <c r="C77" s="901"/>
      <c r="D77" s="901"/>
      <c r="E77" s="901"/>
      <c r="F77" s="901"/>
      <c r="G77" s="901"/>
      <c r="H77" s="901"/>
    </row>
    <row r="78" spans="1:8" x14ac:dyDescent="0.2">
      <c r="A78" s="902" t="s">
        <v>801</v>
      </c>
      <c r="B78" s="901"/>
      <c r="C78" s="901"/>
      <c r="D78" s="901"/>
      <c r="E78" s="901"/>
      <c r="F78" s="901"/>
      <c r="G78" s="901"/>
      <c r="H78" s="901"/>
    </row>
    <row r="79" spans="1:8" x14ac:dyDescent="0.2">
      <c r="A79" s="902" t="s">
        <v>802</v>
      </c>
      <c r="B79" s="901"/>
      <c r="C79" s="901"/>
      <c r="D79" s="901"/>
      <c r="E79" s="901"/>
      <c r="F79" s="901"/>
      <c r="G79" s="901"/>
      <c r="H79" s="901"/>
    </row>
    <row r="80" spans="1:8" x14ac:dyDescent="0.2">
      <c r="A80" s="902" t="s">
        <v>803</v>
      </c>
      <c r="B80" s="901"/>
      <c r="C80" s="901"/>
      <c r="D80" s="901"/>
      <c r="E80" s="901"/>
      <c r="F80" s="901"/>
      <c r="G80" s="901"/>
      <c r="H80" s="901"/>
    </row>
    <row r="81" spans="1:8" x14ac:dyDescent="0.2">
      <c r="A81" s="901"/>
      <c r="B81" s="901"/>
      <c r="C81" s="901"/>
      <c r="D81" s="901"/>
      <c r="E81" s="901"/>
      <c r="F81" s="901"/>
      <c r="G81" s="901"/>
      <c r="H81" s="901"/>
    </row>
    <row r="82" spans="1:8" x14ac:dyDescent="0.2">
      <c r="A82" s="902" t="s">
        <v>559</v>
      </c>
      <c r="B82" s="901"/>
      <c r="C82" s="901"/>
      <c r="D82" s="901"/>
      <c r="E82" s="901"/>
      <c r="F82" s="901"/>
      <c r="G82" s="901"/>
      <c r="H82" s="901"/>
    </row>
    <row r="83" spans="1:8" x14ac:dyDescent="0.2">
      <c r="A83" s="901"/>
      <c r="B83" s="901"/>
      <c r="C83" s="901"/>
      <c r="D83" s="901"/>
      <c r="E83" s="901"/>
      <c r="F83" s="901"/>
      <c r="G83" s="901"/>
      <c r="H83" s="901"/>
    </row>
    <row r="84" spans="1:8" x14ac:dyDescent="0.2">
      <c r="A84" s="902" t="s">
        <v>796</v>
      </c>
      <c r="B84" s="901"/>
      <c r="C84" s="901"/>
      <c r="D84" s="901"/>
      <c r="E84" s="901"/>
      <c r="F84" s="901"/>
      <c r="G84" s="901"/>
      <c r="H84" s="901"/>
    </row>
    <row r="85" spans="1:8" x14ac:dyDescent="0.2">
      <c r="A85" s="902" t="s">
        <v>797</v>
      </c>
      <c r="B85" s="901"/>
      <c r="C85" s="901"/>
      <c r="D85" s="901"/>
      <c r="E85" s="901"/>
      <c r="F85" s="901"/>
      <c r="G85" s="901"/>
      <c r="H85" s="901"/>
    </row>
    <row r="86" spans="1:8" x14ac:dyDescent="0.2">
      <c r="A86" s="902" t="s">
        <v>798</v>
      </c>
      <c r="B86" s="901"/>
      <c r="C86" s="901"/>
      <c r="D86" s="901"/>
      <c r="E86" s="901"/>
      <c r="F86" s="901"/>
      <c r="G86" s="901"/>
      <c r="H86" s="901"/>
    </row>
    <row r="87" spans="1:8" x14ac:dyDescent="0.2">
      <c r="A87" s="902" t="s">
        <v>799</v>
      </c>
      <c r="B87" s="901"/>
      <c r="C87" s="901"/>
      <c r="D87" s="901"/>
      <c r="E87" s="901"/>
      <c r="F87" s="901"/>
      <c r="G87" s="901"/>
      <c r="H87" s="901"/>
    </row>
    <row r="88" spans="1:8" x14ac:dyDescent="0.2">
      <c r="A88" s="902" t="s">
        <v>800</v>
      </c>
      <c r="B88" s="901"/>
      <c r="C88" s="901"/>
      <c r="D88" s="901"/>
      <c r="E88" s="901"/>
      <c r="F88" s="901"/>
      <c r="G88" s="901"/>
      <c r="H88" s="901"/>
    </row>
    <row r="89" spans="1:8" x14ac:dyDescent="0.2">
      <c r="A89" s="902" t="s">
        <v>685</v>
      </c>
      <c r="B89" s="901"/>
      <c r="C89" s="901"/>
      <c r="D89" s="901"/>
      <c r="E89" s="901"/>
      <c r="F89" s="901"/>
      <c r="G89" s="901"/>
      <c r="H89" s="901"/>
    </row>
    <row r="90" spans="1:8" x14ac:dyDescent="0.2">
      <c r="A90" s="901"/>
      <c r="B90" s="901"/>
      <c r="C90" s="901"/>
      <c r="D90" s="901"/>
      <c r="E90" s="901"/>
      <c r="F90" s="901"/>
      <c r="G90" s="901"/>
      <c r="H90" s="901"/>
    </row>
    <row r="91" spans="1:8" x14ac:dyDescent="0.2">
      <c r="A91" s="902" t="s">
        <v>789</v>
      </c>
      <c r="B91" s="901"/>
      <c r="C91" s="901"/>
      <c r="D91" s="901"/>
      <c r="E91" s="901"/>
      <c r="F91" s="901"/>
      <c r="G91" s="901"/>
      <c r="H91" s="901"/>
    </row>
    <row r="92" spans="1:8" x14ac:dyDescent="0.2">
      <c r="A92" s="902" t="s">
        <v>790</v>
      </c>
      <c r="B92" s="901"/>
      <c r="C92" s="901"/>
      <c r="D92" s="901"/>
      <c r="E92" s="901"/>
      <c r="F92" s="901"/>
      <c r="G92" s="901"/>
      <c r="H92" s="901"/>
    </row>
    <row r="93" spans="1:8" x14ac:dyDescent="0.2">
      <c r="A93" s="902" t="s">
        <v>791</v>
      </c>
      <c r="B93" s="901"/>
      <c r="C93" s="901"/>
      <c r="D93" s="901"/>
      <c r="E93" s="901"/>
      <c r="F93" s="901"/>
      <c r="G93" s="901"/>
      <c r="H93" s="901"/>
    </row>
    <row r="94" spans="1:8" x14ac:dyDescent="0.2">
      <c r="A94" s="902" t="s">
        <v>792</v>
      </c>
      <c r="B94" s="901"/>
      <c r="C94" s="901"/>
      <c r="D94" s="901"/>
      <c r="E94" s="901"/>
      <c r="F94" s="901"/>
      <c r="G94" s="901"/>
      <c r="H94" s="901"/>
    </row>
    <row r="95" spans="1:8" x14ac:dyDescent="0.2">
      <c r="A95" s="902" t="s">
        <v>793</v>
      </c>
      <c r="B95" s="901"/>
      <c r="C95" s="901"/>
      <c r="D95" s="901"/>
      <c r="E95" s="901"/>
      <c r="F95" s="901"/>
      <c r="G95" s="901"/>
      <c r="H95" s="901"/>
    </row>
    <row r="96" spans="1:8" x14ac:dyDescent="0.2">
      <c r="A96" s="902" t="s">
        <v>794</v>
      </c>
      <c r="B96" s="901"/>
      <c r="C96" s="901"/>
      <c r="D96" s="901"/>
      <c r="E96" s="901"/>
      <c r="F96" s="901"/>
      <c r="G96" s="901"/>
      <c r="H96" s="901"/>
    </row>
    <row r="97" spans="1:8" x14ac:dyDescent="0.2">
      <c r="A97" s="902" t="s">
        <v>795</v>
      </c>
      <c r="B97" s="901"/>
      <c r="C97" s="901"/>
      <c r="D97" s="901"/>
      <c r="E97" s="901"/>
      <c r="F97" s="901"/>
      <c r="G97" s="901"/>
      <c r="H97" s="901"/>
    </row>
    <row r="98" spans="1:8" x14ac:dyDescent="0.2">
      <c r="A98" s="901"/>
      <c r="B98" s="901"/>
      <c r="C98" s="901"/>
      <c r="D98" s="901"/>
      <c r="E98" s="901"/>
      <c r="F98" s="901"/>
      <c r="G98" s="901"/>
      <c r="H98" s="901"/>
    </row>
    <row r="99" spans="1:8" x14ac:dyDescent="0.2">
      <c r="A99" s="902" t="s">
        <v>787</v>
      </c>
      <c r="B99" s="901"/>
      <c r="C99" s="901"/>
      <c r="D99" s="901"/>
      <c r="E99" s="901"/>
      <c r="F99" s="901"/>
      <c r="G99" s="901"/>
      <c r="H99" s="901"/>
    </row>
    <row r="100" spans="1:8" x14ac:dyDescent="0.2">
      <c r="A100" s="902" t="s">
        <v>788</v>
      </c>
      <c r="B100" s="901"/>
      <c r="C100" s="901"/>
      <c r="D100" s="901"/>
      <c r="E100" s="901"/>
      <c r="F100" s="901"/>
      <c r="G100" s="901"/>
      <c r="H100" s="901"/>
    </row>
    <row r="101" spans="1:8" x14ac:dyDescent="0.2">
      <c r="A101" s="901"/>
      <c r="B101" s="901"/>
      <c r="C101" s="901"/>
      <c r="D101" s="901"/>
      <c r="E101" s="901"/>
      <c r="F101" s="901"/>
      <c r="G101" s="901"/>
      <c r="H101" s="901"/>
    </row>
    <row r="102" spans="1:8" ht="15.75" x14ac:dyDescent="0.2">
      <c r="A102" s="903" t="s">
        <v>560</v>
      </c>
      <c r="B102" s="901"/>
      <c r="C102" s="901"/>
      <c r="D102" s="901"/>
      <c r="E102" s="901"/>
      <c r="F102" s="901"/>
      <c r="G102" s="901"/>
      <c r="H102" s="901"/>
    </row>
    <row r="103" spans="1:8" x14ac:dyDescent="0.2">
      <c r="A103" s="901"/>
      <c r="B103" s="901"/>
      <c r="C103" s="901"/>
      <c r="D103" s="901"/>
      <c r="E103" s="901"/>
      <c r="F103" s="901"/>
      <c r="G103" s="901"/>
      <c r="H103" s="901"/>
    </row>
    <row r="104" spans="1:8" x14ac:dyDescent="0.2">
      <c r="A104" s="902" t="s">
        <v>778</v>
      </c>
      <c r="B104" s="901"/>
      <c r="C104" s="901"/>
      <c r="D104" s="901"/>
      <c r="E104" s="901"/>
      <c r="F104" s="901"/>
      <c r="G104" s="901"/>
      <c r="H104" s="901"/>
    </row>
    <row r="105" spans="1:8" x14ac:dyDescent="0.2">
      <c r="A105" s="902" t="s">
        <v>779</v>
      </c>
      <c r="B105" s="901"/>
      <c r="C105" s="901"/>
      <c r="D105" s="901"/>
      <c r="E105" s="901"/>
      <c r="F105" s="901"/>
      <c r="G105" s="901"/>
      <c r="H105" s="901"/>
    </row>
    <row r="106" spans="1:8" x14ac:dyDescent="0.2">
      <c r="A106" s="902" t="s">
        <v>780</v>
      </c>
      <c r="B106" s="901"/>
      <c r="C106" s="901"/>
      <c r="D106" s="901"/>
      <c r="E106" s="901"/>
      <c r="F106" s="901"/>
      <c r="G106" s="901"/>
      <c r="H106" s="901"/>
    </row>
    <row r="107" spans="1:8" x14ac:dyDescent="0.2">
      <c r="A107" s="902" t="s">
        <v>781</v>
      </c>
      <c r="B107" s="901"/>
      <c r="C107" s="901"/>
      <c r="D107" s="901"/>
      <c r="E107" s="901"/>
      <c r="F107" s="901"/>
      <c r="G107" s="901"/>
      <c r="H107" s="901"/>
    </row>
    <row r="108" spans="1:8" x14ac:dyDescent="0.2">
      <c r="A108" s="902" t="s">
        <v>782</v>
      </c>
      <c r="B108" s="901"/>
      <c r="C108" s="901"/>
      <c r="D108" s="901"/>
      <c r="E108" s="901"/>
      <c r="F108" s="901"/>
      <c r="G108" s="901"/>
      <c r="H108" s="901"/>
    </row>
    <row r="109" spans="1:8" x14ac:dyDescent="0.2">
      <c r="A109" s="902" t="s">
        <v>783</v>
      </c>
      <c r="B109" s="901"/>
      <c r="C109" s="901"/>
      <c r="D109" s="901"/>
      <c r="E109" s="901"/>
      <c r="F109" s="901"/>
      <c r="G109" s="901"/>
      <c r="H109" s="901"/>
    </row>
    <row r="110" spans="1:8" x14ac:dyDescent="0.2">
      <c r="A110" s="902" t="s">
        <v>784</v>
      </c>
      <c r="B110" s="901"/>
      <c r="C110" s="901"/>
      <c r="D110" s="901"/>
      <c r="E110" s="901"/>
      <c r="F110" s="901"/>
      <c r="G110" s="901"/>
      <c r="H110" s="901"/>
    </row>
    <row r="111" spans="1:8" x14ac:dyDescent="0.2">
      <c r="A111" s="902" t="s">
        <v>785</v>
      </c>
      <c r="B111" s="901"/>
      <c r="C111" s="901"/>
      <c r="D111" s="901"/>
      <c r="E111" s="901"/>
      <c r="F111" s="901"/>
      <c r="G111" s="901"/>
      <c r="H111" s="901"/>
    </row>
    <row r="112" spans="1:8" x14ac:dyDescent="0.2">
      <c r="A112" s="902" t="s">
        <v>786</v>
      </c>
      <c r="B112" s="901"/>
      <c r="C112" s="901"/>
      <c r="D112" s="901"/>
      <c r="E112" s="901"/>
      <c r="F112" s="901"/>
      <c r="G112" s="901"/>
      <c r="H112" s="901"/>
    </row>
    <row r="113" spans="1:8" x14ac:dyDescent="0.2">
      <c r="A113" s="901"/>
      <c r="B113" s="901"/>
      <c r="C113" s="901"/>
      <c r="D113" s="901"/>
      <c r="E113" s="901"/>
      <c r="F113" s="901"/>
      <c r="G113" s="901"/>
      <c r="H113" s="901"/>
    </row>
    <row r="114" spans="1:8" ht="15.75" x14ac:dyDescent="0.2">
      <c r="A114" s="922" t="s">
        <v>561</v>
      </c>
      <c r="B114" s="922"/>
      <c r="C114" s="922"/>
      <c r="D114" s="922"/>
      <c r="E114" s="922"/>
      <c r="F114" s="922"/>
      <c r="G114" s="922"/>
      <c r="H114" s="922"/>
    </row>
    <row r="115" spans="1:8" x14ac:dyDescent="0.2">
      <c r="A115" s="918" t="s">
        <v>562</v>
      </c>
      <c r="B115" s="918"/>
      <c r="C115" s="918"/>
      <c r="D115" s="918"/>
      <c r="E115" s="918"/>
      <c r="F115" s="918"/>
      <c r="G115" s="918"/>
      <c r="H115" s="918"/>
    </row>
    <row r="116" spans="1:8" x14ac:dyDescent="0.2">
      <c r="A116" s="923"/>
      <c r="B116" s="923"/>
      <c r="C116" s="923"/>
      <c r="D116" s="923"/>
      <c r="E116" s="923"/>
      <c r="F116" s="923"/>
      <c r="G116" s="923"/>
      <c r="H116" s="923"/>
    </row>
    <row r="117" spans="1:8" x14ac:dyDescent="0.2">
      <c r="A117" s="918" t="s">
        <v>776</v>
      </c>
      <c r="B117" s="918"/>
      <c r="C117" s="918"/>
      <c r="D117" s="918"/>
      <c r="E117" s="918"/>
      <c r="F117" s="918"/>
      <c r="G117" s="918"/>
      <c r="H117" s="918"/>
    </row>
    <row r="118" spans="1:8" x14ac:dyDescent="0.2">
      <c r="A118" s="902" t="s">
        <v>777</v>
      </c>
      <c r="B118" s="902"/>
      <c r="C118" s="902"/>
      <c r="D118" s="902"/>
      <c r="E118" s="902"/>
      <c r="F118" s="902"/>
      <c r="G118" s="902"/>
      <c r="H118" s="902"/>
    </row>
    <row r="119" spans="1:8" x14ac:dyDescent="0.2">
      <c r="A119" s="923"/>
      <c r="B119" s="923"/>
      <c r="C119" s="923"/>
      <c r="D119" s="923"/>
      <c r="E119" s="923"/>
      <c r="F119" s="923"/>
      <c r="G119" s="923"/>
      <c r="H119" s="923"/>
    </row>
    <row r="120" spans="1:8" x14ac:dyDescent="0.2">
      <c r="A120" s="918" t="s">
        <v>769</v>
      </c>
      <c r="B120" s="918"/>
      <c r="C120" s="918"/>
      <c r="D120" s="918"/>
      <c r="E120" s="918"/>
      <c r="F120" s="918"/>
      <c r="G120" s="918"/>
      <c r="H120" s="918"/>
    </row>
    <row r="121" spans="1:8" x14ac:dyDescent="0.2">
      <c r="A121" s="902" t="s">
        <v>770</v>
      </c>
      <c r="B121" s="902"/>
      <c r="C121" s="902"/>
      <c r="D121" s="902"/>
      <c r="E121" s="902"/>
      <c r="F121" s="902"/>
      <c r="G121" s="902"/>
      <c r="H121" s="902"/>
    </row>
    <row r="122" spans="1:8" x14ac:dyDescent="0.2">
      <c r="A122" s="902" t="s">
        <v>771</v>
      </c>
      <c r="B122" s="902"/>
      <c r="C122" s="902"/>
      <c r="D122" s="902"/>
      <c r="E122" s="902"/>
      <c r="F122" s="902"/>
      <c r="G122" s="902"/>
      <c r="H122" s="902"/>
    </row>
    <row r="123" spans="1:8" x14ac:dyDescent="0.2">
      <c r="A123" s="902" t="s">
        <v>772</v>
      </c>
      <c r="B123" s="902"/>
      <c r="C123" s="902"/>
      <c r="D123" s="902"/>
      <c r="E123" s="902"/>
      <c r="F123" s="902"/>
      <c r="G123" s="902"/>
      <c r="H123" s="902"/>
    </row>
    <row r="124" spans="1:8" x14ac:dyDescent="0.2">
      <c r="A124" s="902" t="s">
        <v>773</v>
      </c>
      <c r="B124" s="902"/>
      <c r="C124" s="902"/>
      <c r="D124" s="902"/>
      <c r="E124" s="902"/>
      <c r="F124" s="902"/>
      <c r="G124" s="902"/>
      <c r="H124" s="902"/>
    </row>
    <row r="125" spans="1:8" x14ac:dyDescent="0.2">
      <c r="A125" s="902" t="s">
        <v>774</v>
      </c>
      <c r="B125" s="902"/>
      <c r="C125" s="902"/>
      <c r="D125" s="902"/>
      <c r="E125" s="902"/>
      <c r="F125" s="902"/>
      <c r="G125" s="902"/>
      <c r="H125" s="902"/>
    </row>
    <row r="126" spans="1:8" x14ac:dyDescent="0.2">
      <c r="A126" s="902" t="s">
        <v>775</v>
      </c>
      <c r="B126" s="902"/>
      <c r="C126" s="902"/>
      <c r="D126" s="902"/>
      <c r="E126" s="902"/>
      <c r="F126" s="902"/>
      <c r="G126" s="902"/>
      <c r="H126" s="902"/>
    </row>
    <row r="127" spans="1:8" x14ac:dyDescent="0.2">
      <c r="A127" s="924"/>
      <c r="B127" s="924"/>
      <c r="C127" s="924"/>
      <c r="D127" s="924"/>
      <c r="E127" s="924"/>
      <c r="F127" s="924"/>
      <c r="G127" s="924"/>
      <c r="H127" s="924"/>
    </row>
    <row r="128" spans="1:8" x14ac:dyDescent="0.2">
      <c r="A128" s="904"/>
      <c r="B128" s="919" t="s">
        <v>563</v>
      </c>
      <c r="C128" s="920"/>
      <c r="D128" s="919" t="s">
        <v>564</v>
      </c>
      <c r="E128" s="921"/>
      <c r="F128" s="920"/>
      <c r="G128" s="919" t="s">
        <v>565</v>
      </c>
      <c r="H128" s="920"/>
    </row>
    <row r="129" spans="1:8" x14ac:dyDescent="0.2">
      <c r="A129" s="904" t="s">
        <v>566</v>
      </c>
      <c r="B129" s="904" t="s">
        <v>97</v>
      </c>
      <c r="C129" s="904" t="s">
        <v>567</v>
      </c>
      <c r="D129" s="904" t="s">
        <v>97</v>
      </c>
      <c r="E129" s="904" t="s">
        <v>568</v>
      </c>
      <c r="F129" s="904" t="s">
        <v>569</v>
      </c>
      <c r="G129" s="904" t="s">
        <v>97</v>
      </c>
      <c r="H129" s="904" t="s">
        <v>570</v>
      </c>
    </row>
    <row r="130" spans="1:8" x14ac:dyDescent="0.2">
      <c r="A130" s="904" t="s">
        <v>571</v>
      </c>
      <c r="B130" s="904">
        <v>1189</v>
      </c>
      <c r="C130" s="905">
        <v>0.38</v>
      </c>
      <c r="D130" s="904">
        <v>315</v>
      </c>
      <c r="E130" s="905">
        <v>0.41</v>
      </c>
      <c r="F130" s="905">
        <v>0.26</v>
      </c>
      <c r="G130" s="904">
        <v>555</v>
      </c>
      <c r="H130" s="905">
        <v>0.39</v>
      </c>
    </row>
    <row r="131" spans="1:8" x14ac:dyDescent="0.2">
      <c r="A131" s="904" t="s">
        <v>572</v>
      </c>
      <c r="B131" s="904">
        <v>1355</v>
      </c>
      <c r="C131" s="905">
        <v>0.43</v>
      </c>
      <c r="D131" s="904">
        <v>364</v>
      </c>
      <c r="E131" s="905">
        <v>0.47</v>
      </c>
      <c r="F131" s="905">
        <v>0.27</v>
      </c>
      <c r="G131" s="904">
        <v>644</v>
      </c>
      <c r="H131" s="905">
        <v>0.45</v>
      </c>
    </row>
    <row r="132" spans="1:8" x14ac:dyDescent="0.2">
      <c r="A132" s="904" t="s">
        <v>573</v>
      </c>
      <c r="B132" s="904">
        <v>53</v>
      </c>
      <c r="C132" s="905">
        <v>0.02</v>
      </c>
      <c r="D132" s="904">
        <v>4</v>
      </c>
      <c r="E132" s="905">
        <v>0.01</v>
      </c>
      <c r="F132" s="905">
        <v>0.08</v>
      </c>
      <c r="G132" s="904">
        <v>7</v>
      </c>
      <c r="H132" s="905">
        <v>0</v>
      </c>
    </row>
    <row r="133" spans="1:8" x14ac:dyDescent="0.2">
      <c r="A133" s="904" t="s">
        <v>574</v>
      </c>
      <c r="B133" s="904">
        <v>545</v>
      </c>
      <c r="C133" s="905">
        <v>0.17</v>
      </c>
      <c r="D133" s="904">
        <v>84</v>
      </c>
      <c r="E133" s="905">
        <v>0.11</v>
      </c>
      <c r="F133" s="905">
        <v>0.15</v>
      </c>
      <c r="G133" s="904">
        <v>214</v>
      </c>
      <c r="H133" s="905">
        <v>0.15</v>
      </c>
    </row>
    <row r="134" spans="1:8" x14ac:dyDescent="0.2">
      <c r="A134" s="904" t="s">
        <v>440</v>
      </c>
      <c r="B134" s="906">
        <v>3142</v>
      </c>
      <c r="C134" s="904"/>
      <c r="D134" s="904">
        <v>767</v>
      </c>
      <c r="E134" s="904"/>
      <c r="F134" s="904"/>
      <c r="G134" s="904">
        <v>1420</v>
      </c>
      <c r="H134" s="904"/>
    </row>
    <row r="135" spans="1:8" x14ac:dyDescent="0.2">
      <c r="A135" s="917"/>
      <c r="B135" s="917"/>
      <c r="C135" s="917"/>
      <c r="D135" s="917"/>
      <c r="E135" s="917"/>
      <c r="F135" s="917"/>
      <c r="G135" s="917"/>
      <c r="H135" s="917"/>
    </row>
    <row r="136" spans="1:8" x14ac:dyDescent="0.2">
      <c r="A136" s="918" t="s">
        <v>765</v>
      </c>
      <c r="B136" s="918"/>
      <c r="C136" s="918"/>
      <c r="D136" s="918"/>
      <c r="E136" s="918"/>
      <c r="F136" s="918"/>
      <c r="G136" s="918"/>
      <c r="H136" s="918"/>
    </row>
    <row r="137" spans="1:8" x14ac:dyDescent="0.2">
      <c r="A137" s="902" t="s">
        <v>766</v>
      </c>
      <c r="B137" s="902"/>
      <c r="C137" s="902"/>
      <c r="D137" s="902"/>
      <c r="E137" s="902"/>
      <c r="F137" s="902"/>
      <c r="G137" s="902"/>
      <c r="H137" s="902"/>
    </row>
    <row r="138" spans="1:8" x14ac:dyDescent="0.2">
      <c r="A138" s="902" t="s">
        <v>767</v>
      </c>
      <c r="B138" s="902"/>
      <c r="C138" s="902"/>
      <c r="D138" s="902"/>
      <c r="E138" s="902"/>
      <c r="F138" s="902"/>
      <c r="G138" s="902"/>
      <c r="H138" s="902"/>
    </row>
    <row r="139" spans="1:8" x14ac:dyDescent="0.2">
      <c r="A139" s="902" t="s">
        <v>768</v>
      </c>
      <c r="B139" s="902"/>
      <c r="C139" s="902"/>
      <c r="D139" s="902"/>
      <c r="E139" s="902"/>
      <c r="F139" s="902"/>
      <c r="G139" s="902"/>
      <c r="H139" s="902"/>
    </row>
    <row r="140" spans="1:8" x14ac:dyDescent="0.2">
      <c r="A140" s="901"/>
      <c r="B140" s="901"/>
      <c r="C140" s="901"/>
      <c r="D140" s="901"/>
      <c r="E140" s="901"/>
      <c r="F140" s="901"/>
      <c r="G140" s="901"/>
      <c r="H140" s="901"/>
    </row>
    <row r="141" spans="1:8" ht="15.75" x14ac:dyDescent="0.2">
      <c r="A141" s="903" t="s">
        <v>575</v>
      </c>
      <c r="B141" s="901"/>
      <c r="C141" s="901"/>
      <c r="D141" s="901"/>
      <c r="E141" s="901"/>
      <c r="F141" s="901"/>
      <c r="G141" s="901"/>
      <c r="H141" s="901"/>
    </row>
    <row r="142" spans="1:8" x14ac:dyDescent="0.2">
      <c r="A142" s="901"/>
      <c r="B142" s="901"/>
      <c r="C142" s="901"/>
      <c r="D142" s="901"/>
      <c r="E142" s="901"/>
      <c r="F142" s="901"/>
      <c r="G142" s="901"/>
      <c r="H142" s="901"/>
    </row>
    <row r="143" spans="1:8" x14ac:dyDescent="0.2">
      <c r="A143" s="902" t="s">
        <v>763</v>
      </c>
      <c r="B143" s="901"/>
      <c r="C143" s="901"/>
      <c r="D143" s="901"/>
      <c r="E143" s="901"/>
      <c r="F143" s="901"/>
      <c r="G143" s="901"/>
      <c r="H143" s="901"/>
    </row>
    <row r="144" spans="1:8" x14ac:dyDescent="0.2">
      <c r="A144" s="902" t="s">
        <v>764</v>
      </c>
      <c r="B144" s="901"/>
      <c r="C144" s="901"/>
      <c r="D144" s="901"/>
      <c r="E144" s="901"/>
      <c r="F144" s="901"/>
      <c r="G144" s="901"/>
      <c r="H144" s="901"/>
    </row>
    <row r="145" spans="1:8" x14ac:dyDescent="0.2">
      <c r="A145" s="901"/>
      <c r="B145" s="901"/>
      <c r="C145" s="901"/>
      <c r="D145" s="901"/>
      <c r="E145" s="901"/>
      <c r="F145" s="901"/>
      <c r="G145" s="901"/>
      <c r="H145" s="901"/>
    </row>
    <row r="146" spans="1:8" x14ac:dyDescent="0.2">
      <c r="A146" s="902" t="s">
        <v>760</v>
      </c>
      <c r="B146" s="901"/>
      <c r="C146" s="901"/>
      <c r="D146" s="901"/>
      <c r="E146" s="901"/>
      <c r="F146" s="901"/>
      <c r="G146" s="901"/>
      <c r="H146" s="901"/>
    </row>
    <row r="147" spans="1:8" x14ac:dyDescent="0.2">
      <c r="A147" s="902" t="s">
        <v>761</v>
      </c>
      <c r="B147" s="901"/>
      <c r="C147" s="901"/>
      <c r="D147" s="901"/>
      <c r="E147" s="901"/>
      <c r="F147" s="901"/>
      <c r="G147" s="901"/>
      <c r="H147" s="901"/>
    </row>
    <row r="148" spans="1:8" x14ac:dyDescent="0.2">
      <c r="A148" s="902" t="s">
        <v>762</v>
      </c>
      <c r="B148" s="901"/>
      <c r="C148" s="901"/>
      <c r="D148" s="901"/>
      <c r="E148" s="901"/>
      <c r="F148" s="901"/>
      <c r="G148" s="901"/>
      <c r="H148" s="901"/>
    </row>
    <row r="149" spans="1:8" x14ac:dyDescent="0.2">
      <c r="A149" s="901"/>
      <c r="B149" s="901"/>
      <c r="C149" s="901"/>
      <c r="D149" s="901"/>
      <c r="E149" s="901"/>
      <c r="F149" s="901"/>
      <c r="G149" s="901"/>
      <c r="H149" s="901"/>
    </row>
    <row r="150" spans="1:8" x14ac:dyDescent="0.2">
      <c r="A150" s="902" t="s">
        <v>757</v>
      </c>
      <c r="B150" s="901"/>
      <c r="C150" s="901"/>
      <c r="D150" s="901"/>
      <c r="E150" s="901"/>
      <c r="F150" s="901"/>
      <c r="G150" s="901"/>
      <c r="H150" s="901"/>
    </row>
    <row r="151" spans="1:8" x14ac:dyDescent="0.2">
      <c r="A151" s="902" t="s">
        <v>758</v>
      </c>
      <c r="B151" s="901"/>
      <c r="C151" s="901"/>
      <c r="D151" s="901"/>
      <c r="E151" s="901"/>
      <c r="F151" s="901"/>
      <c r="G151" s="901"/>
      <c r="H151" s="901"/>
    </row>
    <row r="152" spans="1:8" x14ac:dyDescent="0.2">
      <c r="A152" s="902" t="s">
        <v>759</v>
      </c>
      <c r="B152" s="901"/>
      <c r="C152" s="901"/>
      <c r="D152" s="901"/>
      <c r="E152" s="901"/>
      <c r="F152" s="901"/>
      <c r="G152" s="901"/>
      <c r="H152" s="901"/>
    </row>
    <row r="153" spans="1:8" x14ac:dyDescent="0.2">
      <c r="A153" s="901"/>
      <c r="B153" s="901"/>
      <c r="C153" s="901"/>
      <c r="D153" s="901"/>
      <c r="E153" s="901"/>
      <c r="F153" s="901"/>
      <c r="G153" s="901"/>
      <c r="H153" s="901"/>
    </row>
    <row r="154" spans="1:8" x14ac:dyDescent="0.2">
      <c r="A154" s="902" t="s">
        <v>754</v>
      </c>
      <c r="B154" s="901"/>
      <c r="C154" s="901"/>
      <c r="D154" s="901"/>
      <c r="E154" s="901"/>
      <c r="F154" s="901"/>
      <c r="G154" s="901"/>
      <c r="H154" s="901"/>
    </row>
    <row r="155" spans="1:8" x14ac:dyDescent="0.2">
      <c r="A155" s="902" t="s">
        <v>755</v>
      </c>
      <c r="B155" s="901"/>
      <c r="C155" s="901"/>
      <c r="D155" s="901"/>
      <c r="E155" s="901"/>
      <c r="F155" s="901"/>
      <c r="G155" s="901"/>
      <c r="H155" s="901"/>
    </row>
    <row r="156" spans="1:8" x14ac:dyDescent="0.2">
      <c r="A156" s="902" t="s">
        <v>756</v>
      </c>
      <c r="B156" s="901"/>
      <c r="C156" s="901"/>
      <c r="D156" s="901"/>
      <c r="E156" s="901"/>
      <c r="F156" s="901"/>
      <c r="G156" s="901"/>
      <c r="H156" s="901"/>
    </row>
    <row r="157" spans="1:8" x14ac:dyDescent="0.2">
      <c r="A157" s="901"/>
      <c r="B157" s="901"/>
      <c r="C157" s="901"/>
      <c r="D157" s="901"/>
      <c r="E157" s="901"/>
      <c r="F157" s="901"/>
      <c r="G157" s="901"/>
      <c r="H157" s="901"/>
    </row>
    <row r="158" spans="1:8" x14ac:dyDescent="0.2">
      <c r="A158" s="902" t="s">
        <v>752</v>
      </c>
      <c r="B158" s="901"/>
      <c r="C158" s="901"/>
      <c r="D158" s="901"/>
      <c r="E158" s="901"/>
      <c r="F158" s="901"/>
      <c r="G158" s="901"/>
      <c r="H158" s="901"/>
    </row>
    <row r="159" spans="1:8" x14ac:dyDescent="0.2">
      <c r="A159" s="902" t="s">
        <v>753</v>
      </c>
      <c r="B159" s="901"/>
      <c r="C159" s="901"/>
      <c r="D159" s="901"/>
      <c r="E159" s="901"/>
      <c r="F159" s="901"/>
      <c r="G159" s="901"/>
      <c r="H159" s="901"/>
    </row>
    <row r="160" spans="1:8" x14ac:dyDescent="0.2">
      <c r="A160" s="901"/>
      <c r="B160" s="901"/>
      <c r="C160" s="901"/>
      <c r="D160" s="901"/>
      <c r="E160" s="901"/>
      <c r="F160" s="901"/>
      <c r="G160" s="901"/>
      <c r="H160" s="901"/>
    </row>
    <row r="161" spans="1:8" ht="15.75" x14ac:dyDescent="0.2">
      <c r="A161" s="903" t="s">
        <v>576</v>
      </c>
      <c r="B161" s="901"/>
      <c r="C161" s="901"/>
      <c r="D161" s="901"/>
      <c r="E161" s="901"/>
      <c r="F161" s="901"/>
      <c r="G161" s="901"/>
      <c r="H161" s="901"/>
    </row>
    <row r="162" spans="1:8" x14ac:dyDescent="0.2">
      <c r="A162" s="901"/>
      <c r="B162" s="901"/>
      <c r="C162" s="901"/>
      <c r="D162" s="901"/>
      <c r="E162" s="901"/>
      <c r="F162" s="901"/>
      <c r="G162" s="901"/>
      <c r="H162" s="901"/>
    </row>
    <row r="163" spans="1:8" x14ac:dyDescent="0.2">
      <c r="A163" s="902" t="s">
        <v>750</v>
      </c>
      <c r="B163" s="901"/>
      <c r="C163" s="901"/>
      <c r="D163" s="901"/>
      <c r="E163" s="901"/>
      <c r="F163" s="901"/>
      <c r="G163" s="901"/>
      <c r="H163" s="901"/>
    </row>
    <row r="164" spans="1:8" x14ac:dyDescent="0.2">
      <c r="A164" s="902" t="s">
        <v>751</v>
      </c>
      <c r="B164" s="901"/>
      <c r="C164" s="901"/>
      <c r="D164" s="901"/>
      <c r="E164" s="901"/>
      <c r="F164" s="901"/>
      <c r="G164" s="901"/>
      <c r="H164" s="901"/>
    </row>
    <row r="165" spans="1:8" x14ac:dyDescent="0.2">
      <c r="A165" s="901"/>
      <c r="B165" s="901"/>
      <c r="C165" s="901"/>
      <c r="D165" s="901"/>
      <c r="E165" s="901"/>
      <c r="F165" s="901"/>
      <c r="G165" s="901"/>
      <c r="H165" s="901"/>
    </row>
    <row r="166" spans="1:8" x14ac:dyDescent="0.2">
      <c r="A166" s="902" t="s">
        <v>748</v>
      </c>
      <c r="B166" s="901"/>
      <c r="C166" s="901"/>
      <c r="D166" s="901"/>
      <c r="E166" s="901"/>
      <c r="F166" s="901"/>
      <c r="G166" s="901"/>
      <c r="H166" s="901"/>
    </row>
    <row r="167" spans="1:8" x14ac:dyDescent="0.2">
      <c r="A167" s="902" t="s">
        <v>749</v>
      </c>
      <c r="B167" s="901"/>
      <c r="C167" s="901"/>
      <c r="D167" s="901"/>
      <c r="E167" s="901"/>
      <c r="F167" s="901"/>
      <c r="G167" s="901"/>
      <c r="H167" s="901"/>
    </row>
    <row r="168" spans="1:8" x14ac:dyDescent="0.2">
      <c r="A168" s="901"/>
      <c r="B168" s="901"/>
      <c r="C168" s="901"/>
      <c r="D168" s="901"/>
      <c r="E168" s="901"/>
      <c r="F168" s="901"/>
      <c r="G168" s="901"/>
      <c r="H168" s="901"/>
    </row>
    <row r="169" spans="1:8" x14ac:dyDescent="0.2">
      <c r="A169" s="902" t="s">
        <v>746</v>
      </c>
      <c r="B169" s="901"/>
      <c r="C169" s="901"/>
      <c r="D169" s="901"/>
      <c r="E169" s="901"/>
      <c r="F169" s="901"/>
      <c r="G169" s="901"/>
      <c r="H169" s="901"/>
    </row>
    <row r="170" spans="1:8" x14ac:dyDescent="0.2">
      <c r="A170" s="902" t="s">
        <v>747</v>
      </c>
      <c r="B170" s="901"/>
      <c r="C170" s="901"/>
      <c r="D170" s="901"/>
      <c r="E170" s="901"/>
      <c r="F170" s="901"/>
      <c r="G170" s="901"/>
      <c r="H170" s="901"/>
    </row>
    <row r="171" spans="1:8" x14ac:dyDescent="0.2">
      <c r="A171" s="901"/>
      <c r="B171" s="901"/>
      <c r="C171" s="901"/>
      <c r="D171" s="901"/>
      <c r="E171" s="901"/>
      <c r="F171" s="901"/>
      <c r="G171" s="901"/>
      <c r="H171" s="901"/>
    </row>
    <row r="172" spans="1:8" x14ac:dyDescent="0.2">
      <c r="A172" s="902" t="s">
        <v>743</v>
      </c>
      <c r="B172" s="901"/>
      <c r="C172" s="901"/>
      <c r="D172" s="901"/>
      <c r="E172" s="901"/>
      <c r="F172" s="901"/>
      <c r="G172" s="901"/>
      <c r="H172" s="901"/>
    </row>
    <row r="173" spans="1:8" x14ac:dyDescent="0.2">
      <c r="A173" s="902" t="s">
        <v>744</v>
      </c>
      <c r="B173" s="901"/>
      <c r="C173" s="901"/>
      <c r="D173" s="901"/>
      <c r="E173" s="901"/>
      <c r="F173" s="901"/>
      <c r="G173" s="901"/>
      <c r="H173" s="901"/>
    </row>
    <row r="174" spans="1:8" x14ac:dyDescent="0.2">
      <c r="A174" s="902" t="s">
        <v>745</v>
      </c>
      <c r="B174" s="901"/>
      <c r="C174" s="901"/>
      <c r="D174" s="901"/>
      <c r="E174" s="901"/>
      <c r="F174" s="901"/>
      <c r="G174" s="901"/>
      <c r="H174" s="901"/>
    </row>
    <row r="175" spans="1:8" x14ac:dyDescent="0.2">
      <c r="A175" s="901"/>
      <c r="B175" s="901"/>
      <c r="C175" s="901"/>
      <c r="D175" s="901"/>
      <c r="E175" s="901"/>
      <c r="F175" s="901"/>
      <c r="G175" s="901"/>
      <c r="H175" s="901"/>
    </row>
    <row r="176" spans="1:8" x14ac:dyDescent="0.2">
      <c r="A176" s="901"/>
      <c r="B176" s="901"/>
      <c r="C176" s="901"/>
      <c r="D176" s="901"/>
      <c r="E176" s="901"/>
      <c r="F176" s="901"/>
      <c r="G176" s="901"/>
      <c r="H176" s="901"/>
    </row>
    <row r="177" spans="1:8" x14ac:dyDescent="0.2">
      <c r="A177" s="902" t="s">
        <v>577</v>
      </c>
      <c r="B177" s="901"/>
      <c r="C177" s="901"/>
      <c r="D177" s="901"/>
      <c r="E177" s="901"/>
      <c r="F177" s="901"/>
      <c r="G177" s="901"/>
      <c r="H177" s="901"/>
    </row>
    <row r="178" spans="1:8" x14ac:dyDescent="0.2">
      <c r="A178" s="901"/>
      <c r="B178" s="901"/>
      <c r="C178" s="901"/>
      <c r="D178" s="901"/>
      <c r="E178" s="901"/>
      <c r="F178" s="901"/>
      <c r="G178" s="901"/>
      <c r="H178" s="901"/>
    </row>
    <row r="179" spans="1:8" ht="15.75" x14ac:dyDescent="0.2">
      <c r="A179" s="903" t="s">
        <v>578</v>
      </c>
      <c r="B179" s="901"/>
      <c r="C179" s="901"/>
      <c r="D179" s="901"/>
      <c r="E179" s="901"/>
      <c r="F179" s="901"/>
      <c r="G179" s="901"/>
      <c r="H179" s="901"/>
    </row>
    <row r="180" spans="1:8" x14ac:dyDescent="0.2">
      <c r="A180" s="901"/>
      <c r="B180" s="901"/>
      <c r="C180" s="901"/>
      <c r="D180" s="901"/>
      <c r="E180" s="901"/>
      <c r="F180" s="901"/>
      <c r="G180" s="901"/>
      <c r="H180" s="901"/>
    </row>
    <row r="181" spans="1:8" x14ac:dyDescent="0.2">
      <c r="A181" s="901"/>
      <c r="B181" s="901"/>
      <c r="C181" s="901"/>
      <c r="D181" s="901"/>
      <c r="E181" s="901"/>
      <c r="F181" s="901"/>
      <c r="G181" s="901"/>
      <c r="H181" s="901"/>
    </row>
    <row r="182" spans="1:8" x14ac:dyDescent="0.2">
      <c r="A182" s="901"/>
      <c r="B182" s="901"/>
      <c r="C182" s="901"/>
      <c r="D182" s="901"/>
      <c r="E182" s="901"/>
      <c r="F182" s="901"/>
      <c r="G182" s="901"/>
      <c r="H182" s="901"/>
    </row>
    <row r="183" spans="1:8" x14ac:dyDescent="0.2">
      <c r="A183" s="901"/>
      <c r="B183" s="901"/>
      <c r="C183" s="901"/>
      <c r="D183" s="901"/>
      <c r="E183" s="901"/>
      <c r="F183" s="901"/>
      <c r="G183" s="901"/>
      <c r="H183" s="901"/>
    </row>
    <row r="184" spans="1:8" x14ac:dyDescent="0.2">
      <c r="A184" s="901"/>
      <c r="B184" s="901"/>
      <c r="C184" s="901"/>
      <c r="D184" s="901"/>
      <c r="E184" s="901"/>
      <c r="F184" s="901"/>
      <c r="G184" s="901"/>
      <c r="H184" s="901"/>
    </row>
    <row r="185" spans="1:8" x14ac:dyDescent="0.2">
      <c r="A185" s="901"/>
      <c r="B185" s="901"/>
      <c r="C185" s="901"/>
      <c r="D185" s="901"/>
      <c r="E185" s="901"/>
      <c r="F185" s="901"/>
      <c r="G185" s="901"/>
      <c r="H185" s="901"/>
    </row>
    <row r="186" spans="1:8" x14ac:dyDescent="0.2">
      <c r="A186" s="901"/>
      <c r="B186" s="901"/>
      <c r="C186" s="901"/>
      <c r="D186" s="901"/>
      <c r="E186" s="901"/>
      <c r="F186" s="901"/>
      <c r="G186" s="901"/>
      <c r="H186" s="901"/>
    </row>
    <row r="187" spans="1:8" x14ac:dyDescent="0.2">
      <c r="A187" s="901"/>
      <c r="B187" s="901"/>
      <c r="C187" s="901"/>
      <c r="D187" s="901"/>
      <c r="E187" s="901"/>
      <c r="F187" s="901"/>
      <c r="G187" s="901"/>
      <c r="H187" s="901"/>
    </row>
    <row r="188" spans="1:8" x14ac:dyDescent="0.2">
      <c r="A188" s="901"/>
      <c r="B188" s="901"/>
      <c r="C188" s="901"/>
      <c r="D188" s="901"/>
      <c r="E188" s="901"/>
      <c r="F188" s="901"/>
      <c r="G188" s="901"/>
      <c r="H188" s="901"/>
    </row>
    <row r="189" spans="1:8" x14ac:dyDescent="0.2">
      <c r="A189" s="901"/>
      <c r="B189" s="901"/>
      <c r="C189" s="901"/>
      <c r="D189" s="901"/>
      <c r="E189" s="901"/>
      <c r="F189" s="901"/>
      <c r="G189" s="901"/>
      <c r="H189" s="901"/>
    </row>
    <row r="190" spans="1:8" x14ac:dyDescent="0.2">
      <c r="A190" s="901"/>
      <c r="B190" s="901"/>
      <c r="C190" s="901"/>
      <c r="D190" s="901"/>
      <c r="E190" s="901"/>
      <c r="F190" s="901"/>
      <c r="G190" s="901"/>
      <c r="H190" s="901"/>
    </row>
    <row r="191" spans="1:8" x14ac:dyDescent="0.2">
      <c r="A191" s="901"/>
      <c r="B191" s="901"/>
      <c r="C191" s="901"/>
      <c r="D191" s="901"/>
      <c r="E191" s="901"/>
      <c r="F191" s="901"/>
      <c r="G191" s="901"/>
      <c r="H191" s="901"/>
    </row>
    <row r="192" spans="1:8" x14ac:dyDescent="0.2">
      <c r="A192" s="901"/>
      <c r="B192" s="901"/>
      <c r="C192" s="901"/>
      <c r="D192" s="901"/>
      <c r="E192" s="901"/>
      <c r="F192" s="901"/>
      <c r="G192" s="901"/>
      <c r="H192" s="901"/>
    </row>
    <row r="193" spans="1:8" x14ac:dyDescent="0.2">
      <c r="A193" s="901"/>
      <c r="B193" s="901"/>
      <c r="C193" s="901"/>
      <c r="D193" s="901"/>
      <c r="E193" s="901"/>
      <c r="F193" s="901"/>
      <c r="G193" s="901"/>
      <c r="H193" s="901"/>
    </row>
    <row r="194" spans="1:8" x14ac:dyDescent="0.2">
      <c r="A194" s="901"/>
      <c r="B194" s="901"/>
      <c r="C194" s="901"/>
      <c r="D194" s="901"/>
      <c r="E194" s="901"/>
      <c r="F194" s="901"/>
      <c r="G194" s="901"/>
      <c r="H194" s="901"/>
    </row>
    <row r="195" spans="1:8" x14ac:dyDescent="0.2">
      <c r="A195" s="901"/>
      <c r="B195" s="901"/>
      <c r="C195" s="901"/>
      <c r="D195" s="901"/>
      <c r="E195" s="901"/>
      <c r="F195" s="901"/>
      <c r="G195" s="901"/>
      <c r="H195" s="901"/>
    </row>
    <row r="196" spans="1:8" x14ac:dyDescent="0.2">
      <c r="A196" s="901"/>
      <c r="B196" s="901"/>
      <c r="C196" s="901"/>
      <c r="D196" s="901"/>
      <c r="E196" s="901"/>
      <c r="F196" s="901"/>
      <c r="G196" s="901"/>
      <c r="H196" s="901"/>
    </row>
    <row r="197" spans="1:8" x14ac:dyDescent="0.2">
      <c r="A197" s="901"/>
      <c r="B197" s="901"/>
      <c r="C197" s="901"/>
      <c r="D197" s="901"/>
      <c r="E197" s="901"/>
      <c r="F197" s="901"/>
      <c r="G197" s="901"/>
      <c r="H197" s="901"/>
    </row>
    <row r="198" spans="1:8" x14ac:dyDescent="0.2">
      <c r="A198" s="901"/>
      <c r="B198" s="901"/>
      <c r="C198" s="901"/>
      <c r="D198" s="901"/>
      <c r="E198" s="901"/>
      <c r="F198" s="901"/>
      <c r="G198" s="901"/>
      <c r="H198" s="901"/>
    </row>
    <row r="199" spans="1:8" x14ac:dyDescent="0.2">
      <c r="A199" s="901"/>
      <c r="B199" s="901"/>
      <c r="C199" s="901"/>
      <c r="D199" s="901"/>
      <c r="E199" s="901"/>
      <c r="F199" s="901"/>
      <c r="G199" s="901"/>
      <c r="H199" s="901"/>
    </row>
    <row r="200" spans="1:8" x14ac:dyDescent="0.2">
      <c r="A200" s="901"/>
      <c r="B200" s="901"/>
      <c r="C200" s="901"/>
      <c r="D200" s="901"/>
      <c r="E200" s="901"/>
      <c r="F200" s="901"/>
      <c r="G200" s="901"/>
      <c r="H200" s="901"/>
    </row>
    <row r="201" spans="1:8" x14ac:dyDescent="0.2">
      <c r="A201" s="901"/>
      <c r="B201" s="901"/>
      <c r="C201" s="901"/>
      <c r="D201" s="901"/>
      <c r="E201" s="901"/>
      <c r="F201" s="901"/>
      <c r="G201" s="901"/>
      <c r="H201" s="901"/>
    </row>
    <row r="202" spans="1:8" x14ac:dyDescent="0.2">
      <c r="A202" s="901"/>
      <c r="B202" s="901"/>
      <c r="C202" s="901"/>
      <c r="D202" s="901"/>
      <c r="E202" s="901"/>
      <c r="F202" s="901"/>
      <c r="G202" s="901"/>
      <c r="H202" s="901"/>
    </row>
    <row r="203" spans="1:8" x14ac:dyDescent="0.2">
      <c r="A203" s="901"/>
      <c r="B203" s="901"/>
      <c r="C203" s="901"/>
      <c r="D203" s="901"/>
      <c r="E203" s="901"/>
      <c r="F203" s="901"/>
      <c r="G203" s="901"/>
      <c r="H203" s="901"/>
    </row>
    <row r="204" spans="1:8" x14ac:dyDescent="0.2">
      <c r="A204" s="901"/>
      <c r="B204" s="901"/>
      <c r="C204" s="901"/>
      <c r="D204" s="901"/>
      <c r="E204" s="901"/>
      <c r="F204" s="901"/>
      <c r="G204" s="901"/>
      <c r="H204" s="901"/>
    </row>
    <row r="205" spans="1:8" x14ac:dyDescent="0.2">
      <c r="A205" s="901"/>
      <c r="B205" s="901"/>
      <c r="C205" s="901"/>
      <c r="D205" s="901"/>
      <c r="E205" s="901"/>
      <c r="F205" s="901"/>
      <c r="G205" s="901"/>
      <c r="H205" s="901"/>
    </row>
    <row r="206" spans="1:8" ht="15.75" x14ac:dyDescent="0.2">
      <c r="A206" s="903" t="s">
        <v>579</v>
      </c>
      <c r="B206" s="901"/>
      <c r="C206" s="901"/>
      <c r="D206" s="901"/>
      <c r="E206" s="901"/>
      <c r="F206" s="901"/>
      <c r="G206" s="901"/>
      <c r="H206" s="901"/>
    </row>
    <row r="207" spans="1:8" x14ac:dyDescent="0.2">
      <c r="A207" s="901"/>
      <c r="B207" s="901"/>
      <c r="C207" s="901"/>
      <c r="D207" s="901"/>
      <c r="E207" s="901"/>
      <c r="F207" s="901"/>
      <c r="G207" s="901"/>
      <c r="H207" s="901"/>
    </row>
    <row r="208" spans="1:8" x14ac:dyDescent="0.2">
      <c r="A208" s="902" t="s">
        <v>738</v>
      </c>
      <c r="B208" s="901"/>
      <c r="C208" s="901"/>
      <c r="D208" s="901"/>
      <c r="E208" s="901"/>
      <c r="F208" s="901"/>
      <c r="G208" s="901"/>
      <c r="H208" s="901"/>
    </row>
    <row r="209" spans="1:8" x14ac:dyDescent="0.2">
      <c r="A209" s="902" t="s">
        <v>739</v>
      </c>
      <c r="B209" s="901"/>
      <c r="C209" s="901"/>
      <c r="D209" s="901"/>
      <c r="E209" s="901"/>
      <c r="F209" s="901"/>
      <c r="G209" s="901"/>
      <c r="H209" s="901"/>
    </row>
    <row r="210" spans="1:8" x14ac:dyDescent="0.2">
      <c r="A210" s="902" t="s">
        <v>740</v>
      </c>
      <c r="B210" s="901"/>
      <c r="C210" s="901"/>
      <c r="D210" s="901"/>
      <c r="E210" s="901"/>
      <c r="F210" s="901"/>
      <c r="G210" s="901"/>
      <c r="H210" s="901"/>
    </row>
    <row r="211" spans="1:8" x14ac:dyDescent="0.2">
      <c r="A211" s="902" t="s">
        <v>741</v>
      </c>
      <c r="B211" s="901"/>
      <c r="C211" s="901"/>
      <c r="D211" s="901"/>
      <c r="E211" s="901"/>
      <c r="F211" s="901"/>
      <c r="G211" s="901"/>
      <c r="H211" s="901"/>
    </row>
    <row r="212" spans="1:8" x14ac:dyDescent="0.2">
      <c r="A212" s="902" t="s">
        <v>742</v>
      </c>
      <c r="B212" s="901"/>
      <c r="C212" s="901"/>
      <c r="D212" s="901"/>
      <c r="E212" s="901"/>
      <c r="F212" s="901"/>
      <c r="G212" s="901"/>
      <c r="H212" s="901"/>
    </row>
    <row r="213" spans="1:8" x14ac:dyDescent="0.2">
      <c r="A213" s="901"/>
      <c r="B213" s="901"/>
      <c r="C213" s="901"/>
      <c r="D213" s="901"/>
      <c r="E213" s="901"/>
      <c r="F213" s="901"/>
      <c r="G213" s="901"/>
      <c r="H213" s="901"/>
    </row>
    <row r="214" spans="1:8" x14ac:dyDescent="0.2">
      <c r="A214" s="902" t="s">
        <v>735</v>
      </c>
      <c r="B214" s="901"/>
      <c r="C214" s="901"/>
      <c r="D214" s="901"/>
      <c r="E214" s="901"/>
      <c r="F214" s="901"/>
      <c r="G214" s="901"/>
      <c r="H214" s="901"/>
    </row>
    <row r="215" spans="1:8" x14ac:dyDescent="0.2">
      <c r="A215" s="902" t="s">
        <v>736</v>
      </c>
      <c r="B215" s="901"/>
      <c r="C215" s="901"/>
      <c r="D215" s="901"/>
      <c r="E215" s="901"/>
      <c r="F215" s="901"/>
      <c r="G215" s="901"/>
      <c r="H215" s="901"/>
    </row>
    <row r="216" spans="1:8" x14ac:dyDescent="0.2">
      <c r="A216" s="902" t="s">
        <v>737</v>
      </c>
      <c r="B216" s="901"/>
      <c r="C216" s="901"/>
      <c r="D216" s="901"/>
      <c r="E216" s="901"/>
      <c r="F216" s="901"/>
      <c r="G216" s="901"/>
      <c r="H216" s="901"/>
    </row>
    <row r="217" spans="1:8" ht="15.75" x14ac:dyDescent="0.2">
      <c r="A217" s="903" t="s">
        <v>580</v>
      </c>
      <c r="B217" s="901"/>
      <c r="C217" s="901"/>
      <c r="D217" s="901"/>
      <c r="E217" s="901"/>
      <c r="F217" s="901"/>
      <c r="G217" s="901"/>
      <c r="H217" s="901"/>
    </row>
    <row r="218" spans="1:8" x14ac:dyDescent="0.2">
      <c r="A218" s="901"/>
      <c r="B218" s="901"/>
      <c r="C218" s="901"/>
      <c r="D218" s="901"/>
      <c r="E218" s="901"/>
      <c r="F218" s="901"/>
      <c r="G218" s="901"/>
      <c r="H218" s="901"/>
    </row>
    <row r="219" spans="1:8" x14ac:dyDescent="0.2">
      <c r="A219" s="902" t="s">
        <v>728</v>
      </c>
      <c r="B219" s="901"/>
      <c r="C219" s="901"/>
      <c r="D219" s="901"/>
      <c r="E219" s="901"/>
      <c r="F219" s="901"/>
      <c r="G219" s="901"/>
      <c r="H219" s="901"/>
    </row>
    <row r="220" spans="1:8" x14ac:dyDescent="0.2">
      <c r="A220" s="902" t="s">
        <v>729</v>
      </c>
      <c r="B220" s="901"/>
      <c r="C220" s="901"/>
      <c r="D220" s="901"/>
      <c r="E220" s="901"/>
      <c r="F220" s="901"/>
      <c r="G220" s="901"/>
      <c r="H220" s="901"/>
    </row>
    <row r="221" spans="1:8" x14ac:dyDescent="0.2">
      <c r="A221" s="902" t="s">
        <v>730</v>
      </c>
      <c r="B221" s="901"/>
      <c r="C221" s="901"/>
      <c r="D221" s="901"/>
      <c r="E221" s="901"/>
      <c r="F221" s="901"/>
      <c r="G221" s="901"/>
      <c r="H221" s="901"/>
    </row>
    <row r="222" spans="1:8" x14ac:dyDescent="0.2">
      <c r="A222" s="902" t="s">
        <v>731</v>
      </c>
      <c r="B222" s="901"/>
      <c r="C222" s="901"/>
      <c r="D222" s="901"/>
      <c r="E222" s="901"/>
      <c r="F222" s="901"/>
      <c r="G222" s="901"/>
      <c r="H222" s="901"/>
    </row>
    <row r="223" spans="1:8" x14ac:dyDescent="0.2">
      <c r="A223" s="902" t="s">
        <v>732</v>
      </c>
      <c r="B223" s="901"/>
      <c r="C223" s="901"/>
      <c r="D223" s="901"/>
      <c r="E223" s="901"/>
      <c r="F223" s="901"/>
      <c r="G223" s="901"/>
      <c r="H223" s="901"/>
    </row>
    <row r="224" spans="1:8" x14ac:dyDescent="0.2">
      <c r="A224" s="902" t="s">
        <v>733</v>
      </c>
      <c r="B224" s="901"/>
      <c r="C224" s="901"/>
      <c r="D224" s="901"/>
      <c r="E224" s="901"/>
      <c r="F224" s="901"/>
      <c r="G224" s="901"/>
      <c r="H224" s="901"/>
    </row>
    <row r="225" spans="1:8" x14ac:dyDescent="0.2">
      <c r="A225" s="902" t="s">
        <v>734</v>
      </c>
      <c r="B225" s="901"/>
      <c r="C225" s="901"/>
      <c r="D225" s="901"/>
      <c r="E225" s="901"/>
      <c r="F225" s="901"/>
      <c r="G225" s="901"/>
      <c r="H225" s="901"/>
    </row>
    <row r="226" spans="1:8" x14ac:dyDescent="0.2">
      <c r="A226" s="901"/>
      <c r="B226" s="901"/>
      <c r="C226" s="901"/>
      <c r="D226" s="901"/>
      <c r="E226" s="901"/>
      <c r="F226" s="901"/>
      <c r="G226" s="901"/>
      <c r="H226" s="901"/>
    </row>
    <row r="227" spans="1:8" x14ac:dyDescent="0.2">
      <c r="A227" s="902" t="s">
        <v>725</v>
      </c>
      <c r="B227" s="901"/>
      <c r="C227" s="901"/>
      <c r="D227" s="901"/>
      <c r="E227" s="901"/>
      <c r="F227" s="901"/>
      <c r="G227" s="901"/>
      <c r="H227" s="901"/>
    </row>
    <row r="228" spans="1:8" x14ac:dyDescent="0.2">
      <c r="A228" s="902" t="s">
        <v>726</v>
      </c>
      <c r="B228" s="901"/>
      <c r="C228" s="901"/>
      <c r="D228" s="901"/>
      <c r="E228" s="901"/>
      <c r="F228" s="901"/>
      <c r="G228" s="901"/>
      <c r="H228" s="901"/>
    </row>
    <row r="229" spans="1:8" x14ac:dyDescent="0.2">
      <c r="A229" s="902" t="s">
        <v>727</v>
      </c>
      <c r="B229" s="901"/>
      <c r="C229" s="901"/>
      <c r="D229" s="901"/>
      <c r="E229" s="901"/>
      <c r="F229" s="901"/>
      <c r="G229" s="901"/>
      <c r="H229" s="901"/>
    </row>
    <row r="230" spans="1:8" x14ac:dyDescent="0.2">
      <c r="A230" s="901"/>
      <c r="B230" s="901"/>
      <c r="C230" s="901"/>
      <c r="D230" s="901"/>
      <c r="E230" s="901"/>
      <c r="F230" s="901"/>
      <c r="G230" s="901"/>
      <c r="H230" s="901"/>
    </row>
    <row r="231" spans="1:8" x14ac:dyDescent="0.2">
      <c r="A231" s="902" t="s">
        <v>720</v>
      </c>
      <c r="B231" s="901"/>
      <c r="C231" s="901"/>
      <c r="D231" s="901"/>
      <c r="E231" s="901"/>
      <c r="F231" s="901"/>
      <c r="G231" s="901"/>
      <c r="H231" s="901"/>
    </row>
    <row r="232" spans="1:8" x14ac:dyDescent="0.2">
      <c r="A232" s="902" t="s">
        <v>721</v>
      </c>
      <c r="B232" s="901"/>
      <c r="C232" s="901"/>
      <c r="D232" s="901"/>
      <c r="E232" s="901"/>
      <c r="F232" s="901"/>
      <c r="G232" s="901"/>
      <c r="H232" s="901"/>
    </row>
    <row r="233" spans="1:8" x14ac:dyDescent="0.2">
      <c r="A233" s="902" t="s">
        <v>722</v>
      </c>
      <c r="B233" s="901"/>
      <c r="C233" s="901"/>
      <c r="D233" s="901"/>
      <c r="E233" s="901"/>
      <c r="F233" s="901"/>
      <c r="G233" s="901"/>
      <c r="H233" s="901"/>
    </row>
    <row r="234" spans="1:8" x14ac:dyDescent="0.2">
      <c r="A234" s="902" t="s">
        <v>723</v>
      </c>
      <c r="B234" s="901"/>
      <c r="C234" s="901"/>
      <c r="D234" s="901"/>
      <c r="E234" s="901"/>
      <c r="F234" s="901"/>
      <c r="G234" s="901"/>
      <c r="H234" s="901"/>
    </row>
    <row r="235" spans="1:8" x14ac:dyDescent="0.2">
      <c r="A235" s="902" t="s">
        <v>724</v>
      </c>
      <c r="B235" s="901"/>
      <c r="C235" s="901"/>
      <c r="D235" s="901"/>
      <c r="E235" s="901"/>
      <c r="F235" s="901"/>
      <c r="G235" s="901"/>
      <c r="H235" s="901"/>
    </row>
    <row r="236" spans="1:8" x14ac:dyDescent="0.2">
      <c r="A236" s="901"/>
      <c r="B236" s="901"/>
      <c r="C236" s="901"/>
      <c r="D236" s="901"/>
      <c r="E236" s="901"/>
      <c r="F236" s="901"/>
      <c r="G236" s="901"/>
      <c r="H236" s="901"/>
    </row>
    <row r="237" spans="1:8" x14ac:dyDescent="0.2">
      <c r="A237" s="902" t="s">
        <v>714</v>
      </c>
      <c r="B237" s="901"/>
      <c r="C237" s="901"/>
      <c r="D237" s="901"/>
      <c r="E237" s="901"/>
      <c r="F237" s="901"/>
      <c r="G237" s="901"/>
      <c r="H237" s="901"/>
    </row>
    <row r="238" spans="1:8" x14ac:dyDescent="0.2">
      <c r="A238" s="902" t="s">
        <v>715</v>
      </c>
      <c r="B238" s="901"/>
      <c r="C238" s="901"/>
      <c r="D238" s="901"/>
      <c r="E238" s="901"/>
      <c r="F238" s="901"/>
      <c r="G238" s="901"/>
      <c r="H238" s="901"/>
    </row>
    <row r="239" spans="1:8" x14ac:dyDescent="0.2">
      <c r="A239" s="902" t="s">
        <v>716</v>
      </c>
      <c r="B239" s="901"/>
      <c r="C239" s="901"/>
      <c r="D239" s="901"/>
      <c r="E239" s="901"/>
      <c r="F239" s="901"/>
      <c r="G239" s="901"/>
      <c r="H239" s="901"/>
    </row>
    <row r="240" spans="1:8" x14ac:dyDescent="0.2">
      <c r="A240" s="902" t="s">
        <v>717</v>
      </c>
      <c r="B240" s="901"/>
      <c r="C240" s="901"/>
      <c r="D240" s="901"/>
      <c r="E240" s="901"/>
      <c r="F240" s="901"/>
      <c r="G240" s="901"/>
      <c r="H240" s="901"/>
    </row>
    <row r="241" spans="1:8" x14ac:dyDescent="0.2">
      <c r="A241" s="902" t="s">
        <v>718</v>
      </c>
      <c r="B241" s="901"/>
      <c r="C241" s="901"/>
      <c r="D241" s="901"/>
      <c r="E241" s="901"/>
      <c r="F241" s="901"/>
      <c r="G241" s="901"/>
      <c r="H241" s="901"/>
    </row>
    <row r="242" spans="1:8" x14ac:dyDescent="0.2">
      <c r="A242" s="902" t="s">
        <v>719</v>
      </c>
      <c r="B242" s="901"/>
      <c r="C242" s="901"/>
      <c r="D242" s="901"/>
      <c r="E242" s="901"/>
      <c r="F242" s="901"/>
      <c r="G242" s="901"/>
      <c r="H242" s="901"/>
    </row>
    <row r="243" spans="1:8" x14ac:dyDescent="0.2">
      <c r="A243" s="901"/>
      <c r="B243" s="901"/>
      <c r="C243" s="901"/>
      <c r="D243" s="901"/>
      <c r="E243" s="901"/>
      <c r="F243" s="901"/>
      <c r="G243" s="901"/>
      <c r="H243" s="901"/>
    </row>
    <row r="244" spans="1:8" x14ac:dyDescent="0.2">
      <c r="A244" s="902" t="s">
        <v>704</v>
      </c>
      <c r="B244" s="901"/>
      <c r="C244" s="901"/>
      <c r="D244" s="901"/>
      <c r="E244" s="901"/>
      <c r="F244" s="901"/>
      <c r="G244" s="901"/>
      <c r="H244" s="901"/>
    </row>
    <row r="245" spans="1:8" x14ac:dyDescent="0.2">
      <c r="A245" s="902" t="s">
        <v>705</v>
      </c>
      <c r="B245" s="901"/>
      <c r="C245" s="901"/>
      <c r="D245" s="901"/>
      <c r="E245" s="901"/>
      <c r="F245" s="901"/>
      <c r="G245" s="901"/>
      <c r="H245" s="901"/>
    </row>
    <row r="246" spans="1:8" x14ac:dyDescent="0.2">
      <c r="A246" s="902" t="s">
        <v>706</v>
      </c>
      <c r="B246" s="901"/>
      <c r="C246" s="901"/>
      <c r="D246" s="901"/>
      <c r="E246" s="901"/>
      <c r="F246" s="901"/>
      <c r="G246" s="901"/>
      <c r="H246" s="901"/>
    </row>
    <row r="247" spans="1:8" x14ac:dyDescent="0.2">
      <c r="A247" s="902" t="s">
        <v>707</v>
      </c>
      <c r="B247" s="901"/>
      <c r="C247" s="901"/>
      <c r="D247" s="901"/>
      <c r="E247" s="901"/>
      <c r="F247" s="901"/>
      <c r="G247" s="901"/>
      <c r="H247" s="901"/>
    </row>
    <row r="248" spans="1:8" x14ac:dyDescent="0.2">
      <c r="A248" s="902" t="s">
        <v>708</v>
      </c>
      <c r="B248" s="901"/>
      <c r="C248" s="901"/>
      <c r="D248" s="901"/>
      <c r="E248" s="901"/>
      <c r="F248" s="901"/>
      <c r="G248" s="901"/>
      <c r="H248" s="901"/>
    </row>
    <row r="249" spans="1:8" x14ac:dyDescent="0.2">
      <c r="A249" s="902" t="s">
        <v>709</v>
      </c>
      <c r="B249" s="901"/>
      <c r="C249" s="901"/>
      <c r="D249" s="901"/>
      <c r="E249" s="901"/>
      <c r="F249" s="901"/>
      <c r="G249" s="901"/>
      <c r="H249" s="901"/>
    </row>
    <row r="250" spans="1:8" x14ac:dyDescent="0.2">
      <c r="A250" s="902" t="s">
        <v>710</v>
      </c>
      <c r="B250" s="901"/>
      <c r="C250" s="901"/>
      <c r="D250" s="901"/>
      <c r="E250" s="901"/>
      <c r="F250" s="901"/>
      <c r="G250" s="901"/>
      <c r="H250" s="901"/>
    </row>
    <row r="251" spans="1:8" x14ac:dyDescent="0.2">
      <c r="A251" s="902" t="s">
        <v>711</v>
      </c>
      <c r="B251" s="901"/>
      <c r="C251" s="901"/>
      <c r="D251" s="901"/>
      <c r="E251" s="901"/>
      <c r="F251" s="901"/>
      <c r="G251" s="901"/>
      <c r="H251" s="901"/>
    </row>
    <row r="252" spans="1:8" x14ac:dyDescent="0.2">
      <c r="A252" s="902" t="s">
        <v>712</v>
      </c>
      <c r="B252" s="901"/>
      <c r="C252" s="901"/>
      <c r="D252" s="901"/>
      <c r="E252" s="901"/>
      <c r="F252" s="901"/>
      <c r="G252" s="901"/>
      <c r="H252" s="901"/>
    </row>
    <row r="253" spans="1:8" x14ac:dyDescent="0.2">
      <c r="A253" s="902" t="s">
        <v>713</v>
      </c>
      <c r="B253" s="901"/>
      <c r="C253" s="901"/>
      <c r="D253" s="901"/>
      <c r="E253" s="901"/>
      <c r="F253" s="901"/>
      <c r="G253" s="901"/>
      <c r="H253" s="901"/>
    </row>
    <row r="254" spans="1:8" x14ac:dyDescent="0.2">
      <c r="A254" s="901"/>
      <c r="B254" s="901"/>
      <c r="C254" s="901"/>
      <c r="D254" s="901"/>
      <c r="E254" s="901"/>
      <c r="F254" s="901"/>
      <c r="G254" s="901"/>
      <c r="H254" s="901"/>
    </row>
    <row r="255" spans="1:8" x14ac:dyDescent="0.2">
      <c r="A255" s="902" t="s">
        <v>702</v>
      </c>
      <c r="B255" s="901"/>
      <c r="C255" s="901"/>
      <c r="D255" s="901"/>
      <c r="E255" s="901"/>
      <c r="F255" s="901"/>
      <c r="G255" s="901"/>
      <c r="H255" s="901"/>
    </row>
    <row r="256" spans="1:8" x14ac:dyDescent="0.2">
      <c r="A256" s="902" t="s">
        <v>703</v>
      </c>
      <c r="B256" s="901"/>
      <c r="C256" s="901"/>
      <c r="D256" s="901"/>
      <c r="E256" s="901"/>
      <c r="F256" s="901"/>
      <c r="G256" s="901"/>
      <c r="H256" s="901"/>
    </row>
    <row r="257" spans="1:8" x14ac:dyDescent="0.2">
      <c r="A257" s="901"/>
      <c r="B257" s="901"/>
      <c r="C257" s="901"/>
      <c r="D257" s="901"/>
      <c r="E257" s="901"/>
      <c r="F257" s="901"/>
      <c r="G257" s="901"/>
      <c r="H257" s="901"/>
    </row>
    <row r="258" spans="1:8" x14ac:dyDescent="0.2">
      <c r="A258" s="902" t="s">
        <v>686</v>
      </c>
      <c r="B258" s="901"/>
      <c r="C258" s="901"/>
      <c r="D258" s="901"/>
      <c r="E258" s="901"/>
      <c r="F258" s="901"/>
      <c r="G258" s="901"/>
      <c r="H258" s="901"/>
    </row>
    <row r="259" spans="1:8" x14ac:dyDescent="0.2">
      <c r="A259" s="902" t="s">
        <v>687</v>
      </c>
      <c r="B259" s="901"/>
      <c r="C259" s="901"/>
      <c r="D259" s="901"/>
      <c r="E259" s="901"/>
      <c r="F259" s="901"/>
      <c r="G259" s="901"/>
      <c r="H259" s="901"/>
    </row>
    <row r="260" spans="1:8" x14ac:dyDescent="0.2">
      <c r="A260" s="902" t="s">
        <v>688</v>
      </c>
      <c r="B260" s="901"/>
      <c r="C260" s="901"/>
      <c r="D260" s="901"/>
      <c r="E260" s="901"/>
      <c r="F260" s="901"/>
      <c r="G260" s="901"/>
      <c r="H260" s="901"/>
    </row>
    <row r="261" spans="1:8" x14ac:dyDescent="0.2">
      <c r="A261" s="902" t="s">
        <v>689</v>
      </c>
      <c r="B261" s="901"/>
      <c r="C261" s="901"/>
      <c r="D261" s="901"/>
      <c r="E261" s="901"/>
      <c r="F261" s="901"/>
      <c r="G261" s="901"/>
      <c r="H261" s="901"/>
    </row>
    <row r="262" spans="1:8" x14ac:dyDescent="0.2">
      <c r="A262" s="902" t="s">
        <v>690</v>
      </c>
      <c r="B262" s="901"/>
      <c r="C262" s="901"/>
      <c r="D262" s="901"/>
      <c r="E262" s="901"/>
      <c r="F262" s="901"/>
      <c r="G262" s="901"/>
      <c r="H262" s="901"/>
    </row>
    <row r="263" spans="1:8" x14ac:dyDescent="0.2">
      <c r="A263" s="902" t="s">
        <v>691</v>
      </c>
      <c r="B263" s="901"/>
      <c r="C263" s="901"/>
      <c r="D263" s="901"/>
      <c r="E263" s="901"/>
      <c r="F263" s="901"/>
      <c r="G263" s="901"/>
      <c r="H263" s="901"/>
    </row>
    <row r="264" spans="1:8" x14ac:dyDescent="0.2">
      <c r="A264" s="902" t="s">
        <v>692</v>
      </c>
      <c r="B264" s="901"/>
      <c r="C264" s="901"/>
      <c r="D264" s="901"/>
      <c r="E264" s="901"/>
      <c r="F264" s="901"/>
      <c r="G264" s="901"/>
      <c r="H264" s="901"/>
    </row>
    <row r="265" spans="1:8" x14ac:dyDescent="0.2">
      <c r="A265" s="902" t="s">
        <v>693</v>
      </c>
      <c r="B265" s="901"/>
      <c r="C265" s="901"/>
      <c r="D265" s="901"/>
      <c r="E265" s="901"/>
      <c r="F265" s="901"/>
      <c r="G265" s="901"/>
      <c r="H265" s="901"/>
    </row>
    <row r="266" spans="1:8" x14ac:dyDescent="0.2">
      <c r="A266" s="902" t="s">
        <v>694</v>
      </c>
      <c r="B266" s="901"/>
      <c r="C266" s="901"/>
      <c r="D266" s="901"/>
      <c r="E266" s="901"/>
      <c r="F266" s="901"/>
      <c r="G266" s="901"/>
      <c r="H266" s="901"/>
    </row>
    <row r="267" spans="1:8" x14ac:dyDescent="0.2">
      <c r="A267" s="902" t="s">
        <v>695</v>
      </c>
      <c r="B267" s="901"/>
      <c r="C267" s="901"/>
      <c r="D267" s="901"/>
      <c r="E267" s="901"/>
      <c r="F267" s="901"/>
      <c r="G267" s="901"/>
      <c r="H267" s="901"/>
    </row>
    <row r="268" spans="1:8" x14ac:dyDescent="0.2">
      <c r="A268" s="902" t="s">
        <v>696</v>
      </c>
      <c r="B268" s="901"/>
      <c r="C268" s="901"/>
      <c r="D268" s="901"/>
      <c r="E268" s="901"/>
      <c r="F268" s="901"/>
      <c r="G268" s="901"/>
      <c r="H268" s="901"/>
    </row>
    <row r="269" spans="1:8" x14ac:dyDescent="0.2">
      <c r="A269" s="902" t="s">
        <v>697</v>
      </c>
      <c r="B269" s="901"/>
      <c r="C269" s="901"/>
      <c r="D269" s="901"/>
      <c r="E269" s="901"/>
      <c r="F269" s="901"/>
      <c r="G269" s="901"/>
      <c r="H269" s="901"/>
    </row>
    <row r="270" spans="1:8" x14ac:dyDescent="0.2">
      <c r="A270" s="902" t="s">
        <v>698</v>
      </c>
      <c r="B270" s="901"/>
      <c r="C270" s="901"/>
      <c r="D270" s="901"/>
      <c r="E270" s="901"/>
      <c r="F270" s="901"/>
      <c r="G270" s="901"/>
      <c r="H270" s="901"/>
    </row>
    <row r="271" spans="1:8" x14ac:dyDescent="0.2">
      <c r="A271" s="902" t="s">
        <v>699</v>
      </c>
      <c r="B271" s="901"/>
      <c r="C271" s="901"/>
      <c r="D271" s="901"/>
      <c r="E271" s="901"/>
      <c r="F271" s="901"/>
      <c r="G271" s="901"/>
      <c r="H271" s="901"/>
    </row>
    <row r="272" spans="1:8" x14ac:dyDescent="0.2">
      <c r="A272" s="902" t="s">
        <v>700</v>
      </c>
      <c r="B272" s="901"/>
      <c r="C272" s="901"/>
      <c r="D272" s="901"/>
      <c r="E272" s="901"/>
      <c r="F272" s="901"/>
      <c r="G272" s="901"/>
      <c r="H272" s="901"/>
    </row>
    <row r="273" spans="1:8" x14ac:dyDescent="0.2">
      <c r="A273" s="902" t="s">
        <v>701</v>
      </c>
      <c r="B273" s="901"/>
      <c r="C273" s="901"/>
      <c r="D273" s="901"/>
      <c r="E273" s="901"/>
      <c r="F273" s="901"/>
      <c r="G273" s="901"/>
      <c r="H273" s="901"/>
    </row>
    <row r="274" spans="1:8" x14ac:dyDescent="0.2">
      <c r="A274" s="901"/>
      <c r="B274" s="901"/>
      <c r="C274" s="901"/>
      <c r="D274" s="901"/>
      <c r="E274" s="901"/>
      <c r="F274" s="901"/>
      <c r="G274" s="901"/>
      <c r="H274" s="901"/>
    </row>
    <row r="275" spans="1:8" x14ac:dyDescent="0.2">
      <c r="A275" s="902" t="s">
        <v>679</v>
      </c>
      <c r="B275" s="901"/>
      <c r="C275" s="901"/>
      <c r="D275" s="901"/>
      <c r="E275" s="901"/>
      <c r="F275" s="901"/>
      <c r="G275" s="901"/>
      <c r="H275" s="901"/>
    </row>
    <row r="276" spans="1:8" x14ac:dyDescent="0.2">
      <c r="A276" s="902" t="s">
        <v>680</v>
      </c>
      <c r="B276" s="901"/>
      <c r="C276" s="901"/>
      <c r="D276" s="901"/>
      <c r="E276" s="901"/>
      <c r="F276" s="901"/>
      <c r="G276" s="901"/>
      <c r="H276" s="901"/>
    </row>
    <row r="277" spans="1:8" x14ac:dyDescent="0.2">
      <c r="A277" s="902" t="s">
        <v>681</v>
      </c>
      <c r="B277" s="901"/>
      <c r="C277" s="901"/>
      <c r="D277" s="901"/>
      <c r="E277" s="901"/>
      <c r="F277" s="901"/>
      <c r="G277" s="901"/>
      <c r="H277" s="901"/>
    </row>
    <row r="278" spans="1:8" x14ac:dyDescent="0.2">
      <c r="A278" s="902" t="s">
        <v>682</v>
      </c>
      <c r="B278" s="901"/>
      <c r="C278" s="901"/>
      <c r="D278" s="901"/>
      <c r="E278" s="901"/>
      <c r="F278" s="901"/>
      <c r="G278" s="901"/>
      <c r="H278" s="901"/>
    </row>
    <row r="279" spans="1:8" x14ac:dyDescent="0.2">
      <c r="A279" s="902" t="s">
        <v>683</v>
      </c>
      <c r="B279" s="901"/>
      <c r="C279" s="901"/>
      <c r="D279" s="901"/>
      <c r="E279" s="901"/>
      <c r="F279" s="901"/>
      <c r="G279" s="901"/>
      <c r="H279" s="901"/>
    </row>
    <row r="280" spans="1:8" x14ac:dyDescent="0.2">
      <c r="A280" s="902" t="s">
        <v>684</v>
      </c>
      <c r="B280" s="901"/>
      <c r="C280" s="901"/>
      <c r="D280" s="901"/>
      <c r="E280" s="901"/>
      <c r="F280" s="901"/>
      <c r="G280" s="901"/>
      <c r="H280" s="901"/>
    </row>
    <row r="281" spans="1:8" x14ac:dyDescent="0.2">
      <c r="A281" s="902" t="s">
        <v>685</v>
      </c>
      <c r="B281" s="901"/>
      <c r="C281" s="901"/>
      <c r="D281" s="901"/>
      <c r="E281" s="901"/>
      <c r="F281" s="901"/>
      <c r="G281" s="901"/>
      <c r="H281" s="901"/>
    </row>
    <row r="282" spans="1:8" x14ac:dyDescent="0.2">
      <c r="A282" s="901"/>
      <c r="B282" s="901"/>
      <c r="C282" s="901"/>
      <c r="D282" s="901"/>
      <c r="E282" s="901"/>
      <c r="F282" s="901"/>
      <c r="G282" s="901"/>
      <c r="H282" s="901"/>
    </row>
    <row r="283" spans="1:8" x14ac:dyDescent="0.2">
      <c r="A283" s="902" t="s">
        <v>670</v>
      </c>
      <c r="B283" s="901"/>
      <c r="C283" s="901"/>
      <c r="D283" s="901"/>
      <c r="E283" s="901"/>
      <c r="F283" s="901"/>
      <c r="G283" s="901"/>
      <c r="H283" s="901"/>
    </row>
    <row r="284" spans="1:8" x14ac:dyDescent="0.2">
      <c r="A284" s="902" t="s">
        <v>671</v>
      </c>
      <c r="B284" s="901"/>
      <c r="C284" s="901"/>
      <c r="D284" s="901"/>
      <c r="E284" s="901"/>
      <c r="F284" s="901"/>
      <c r="G284" s="901"/>
      <c r="H284" s="901"/>
    </row>
    <row r="285" spans="1:8" x14ac:dyDescent="0.2">
      <c r="A285" s="902" t="s">
        <v>672</v>
      </c>
      <c r="B285" s="901"/>
      <c r="C285" s="901"/>
      <c r="D285" s="901"/>
      <c r="E285" s="901"/>
      <c r="F285" s="901"/>
      <c r="G285" s="901"/>
      <c r="H285" s="901"/>
    </row>
    <row r="286" spans="1:8" x14ac:dyDescent="0.2">
      <c r="A286" s="902" t="s">
        <v>673</v>
      </c>
      <c r="B286" s="901"/>
      <c r="C286" s="901"/>
      <c r="D286" s="901"/>
      <c r="E286" s="901"/>
      <c r="F286" s="901"/>
      <c r="G286" s="901"/>
      <c r="H286" s="901"/>
    </row>
    <row r="287" spans="1:8" x14ac:dyDescent="0.2">
      <c r="A287" s="902" t="s">
        <v>674</v>
      </c>
      <c r="B287" s="901"/>
      <c r="C287" s="901"/>
      <c r="D287" s="901"/>
      <c r="E287" s="901"/>
      <c r="F287" s="901"/>
      <c r="G287" s="901"/>
      <c r="H287" s="901"/>
    </row>
    <row r="288" spans="1:8" x14ac:dyDescent="0.2">
      <c r="A288" s="902" t="s">
        <v>675</v>
      </c>
      <c r="B288" s="901"/>
      <c r="C288" s="901"/>
      <c r="D288" s="901"/>
      <c r="E288" s="901"/>
      <c r="F288" s="901"/>
      <c r="G288" s="901"/>
      <c r="H288" s="901"/>
    </row>
    <row r="289" spans="1:8" x14ac:dyDescent="0.2">
      <c r="A289" s="902" t="s">
        <v>676</v>
      </c>
      <c r="B289" s="901"/>
      <c r="C289" s="901"/>
      <c r="D289" s="901"/>
      <c r="E289" s="901"/>
      <c r="F289" s="901"/>
      <c r="G289" s="901"/>
      <c r="H289" s="901"/>
    </row>
    <row r="290" spans="1:8" x14ac:dyDescent="0.2">
      <c r="A290" s="902" t="s">
        <v>677</v>
      </c>
      <c r="B290" s="901"/>
      <c r="C290" s="901"/>
      <c r="D290" s="901"/>
      <c r="E290" s="901"/>
      <c r="F290" s="901"/>
      <c r="G290" s="901"/>
      <c r="H290" s="901"/>
    </row>
    <row r="291" spans="1:8" x14ac:dyDescent="0.2">
      <c r="A291" s="902" t="s">
        <v>678</v>
      </c>
      <c r="B291" s="901"/>
      <c r="C291" s="901"/>
      <c r="D291" s="901"/>
      <c r="E291" s="901"/>
      <c r="F291" s="901"/>
      <c r="G291" s="901"/>
      <c r="H291" s="901"/>
    </row>
    <row r="292" spans="1:8" x14ac:dyDescent="0.2">
      <c r="A292" s="901"/>
      <c r="B292" s="901"/>
      <c r="C292" s="901"/>
      <c r="D292" s="901"/>
      <c r="E292" s="901"/>
      <c r="F292" s="901"/>
      <c r="G292" s="901"/>
      <c r="H292" s="901"/>
    </row>
    <row r="293" spans="1:8" x14ac:dyDescent="0.2">
      <c r="A293" s="902" t="s">
        <v>663</v>
      </c>
      <c r="B293" s="901"/>
      <c r="C293" s="901"/>
      <c r="D293" s="901"/>
      <c r="E293" s="901"/>
      <c r="F293" s="901"/>
      <c r="G293" s="901"/>
      <c r="H293" s="901"/>
    </row>
    <row r="294" spans="1:8" x14ac:dyDescent="0.2">
      <c r="A294" s="902" t="s">
        <v>664</v>
      </c>
      <c r="B294" s="901"/>
      <c r="C294" s="901"/>
      <c r="D294" s="901"/>
      <c r="E294" s="901"/>
      <c r="F294" s="901"/>
      <c r="G294" s="901"/>
      <c r="H294" s="901"/>
    </row>
    <row r="295" spans="1:8" x14ac:dyDescent="0.2">
      <c r="A295" s="902" t="s">
        <v>665</v>
      </c>
      <c r="B295" s="901"/>
      <c r="C295" s="901"/>
      <c r="D295" s="901"/>
      <c r="E295" s="901"/>
      <c r="F295" s="901"/>
      <c r="G295" s="901"/>
      <c r="H295" s="901"/>
    </row>
    <row r="296" spans="1:8" x14ac:dyDescent="0.2">
      <c r="A296" s="902" t="s">
        <v>666</v>
      </c>
      <c r="B296" s="901"/>
      <c r="C296" s="901"/>
      <c r="D296" s="901"/>
      <c r="E296" s="901"/>
      <c r="F296" s="901"/>
      <c r="G296" s="901"/>
      <c r="H296" s="901"/>
    </row>
    <row r="297" spans="1:8" x14ac:dyDescent="0.2">
      <c r="A297" s="902" t="s">
        <v>667</v>
      </c>
      <c r="B297" s="901"/>
      <c r="C297" s="901"/>
      <c r="D297" s="901"/>
      <c r="E297" s="901"/>
      <c r="F297" s="901"/>
      <c r="G297" s="901"/>
      <c r="H297" s="901"/>
    </row>
    <row r="298" spans="1:8" x14ac:dyDescent="0.2">
      <c r="A298" s="902" t="s">
        <v>668</v>
      </c>
      <c r="B298" s="901"/>
      <c r="C298" s="901"/>
      <c r="D298" s="901"/>
      <c r="E298" s="901"/>
      <c r="F298" s="901"/>
      <c r="G298" s="901"/>
      <c r="H298" s="901"/>
    </row>
    <row r="299" spans="1:8" x14ac:dyDescent="0.2">
      <c r="A299" s="902" t="s">
        <v>669</v>
      </c>
      <c r="B299" s="901"/>
      <c r="C299" s="901"/>
      <c r="D299" s="901"/>
      <c r="E299" s="901"/>
      <c r="F299" s="901"/>
      <c r="G299" s="901"/>
      <c r="H299" s="901"/>
    </row>
    <row r="300" spans="1:8" x14ac:dyDescent="0.2">
      <c r="A300" s="901"/>
      <c r="B300" s="901"/>
      <c r="C300" s="901"/>
      <c r="D300" s="901"/>
      <c r="E300" s="901"/>
      <c r="F300" s="901"/>
      <c r="G300" s="901"/>
      <c r="H300" s="901"/>
    </row>
    <row r="301" spans="1:8" x14ac:dyDescent="0.2">
      <c r="A301" s="902" t="s">
        <v>660</v>
      </c>
      <c r="B301" s="901"/>
      <c r="C301" s="901"/>
      <c r="D301" s="901"/>
      <c r="E301" s="901"/>
      <c r="F301" s="901"/>
      <c r="G301" s="901"/>
      <c r="H301" s="901"/>
    </row>
    <row r="302" spans="1:8" x14ac:dyDescent="0.2">
      <c r="A302" s="902" t="s">
        <v>661</v>
      </c>
      <c r="B302" s="901"/>
      <c r="C302" s="901"/>
      <c r="D302" s="901"/>
      <c r="E302" s="901"/>
      <c r="F302" s="901"/>
      <c r="G302" s="901"/>
      <c r="H302" s="901"/>
    </row>
    <row r="303" spans="1:8" x14ac:dyDescent="0.2">
      <c r="A303" s="902" t="s">
        <v>662</v>
      </c>
      <c r="B303" s="901"/>
      <c r="C303" s="901"/>
      <c r="D303" s="901"/>
      <c r="E303" s="901"/>
      <c r="F303" s="901"/>
      <c r="G303" s="901"/>
      <c r="H303" s="901"/>
    </row>
    <row r="304" spans="1:8" x14ac:dyDescent="0.2">
      <c r="A304" s="901"/>
      <c r="B304" s="901"/>
      <c r="C304" s="901"/>
      <c r="D304" s="901"/>
      <c r="E304" s="901"/>
      <c r="F304" s="901"/>
      <c r="G304" s="901"/>
      <c r="H304" s="901"/>
    </row>
    <row r="305" spans="1:8" x14ac:dyDescent="0.2">
      <c r="A305" s="902" t="s">
        <v>658</v>
      </c>
      <c r="B305" s="901"/>
      <c r="C305" s="901"/>
      <c r="D305" s="901"/>
      <c r="E305" s="901"/>
      <c r="F305" s="901"/>
      <c r="G305" s="901"/>
      <c r="H305" s="901"/>
    </row>
    <row r="306" spans="1:8" x14ac:dyDescent="0.2">
      <c r="A306" s="902" t="s">
        <v>659</v>
      </c>
      <c r="B306" s="901"/>
      <c r="C306" s="901"/>
      <c r="D306" s="901"/>
      <c r="E306" s="901"/>
      <c r="F306" s="901"/>
      <c r="G306" s="901"/>
      <c r="H306" s="901"/>
    </row>
    <row r="307" spans="1:8" x14ac:dyDescent="0.2">
      <c r="A307" s="901"/>
      <c r="B307" s="901"/>
      <c r="C307" s="901"/>
      <c r="D307" s="901"/>
      <c r="E307" s="901"/>
      <c r="F307" s="901"/>
      <c r="G307" s="901"/>
      <c r="H307" s="901"/>
    </row>
    <row r="308" spans="1:8" x14ac:dyDescent="0.2">
      <c r="A308" s="902" t="s">
        <v>645</v>
      </c>
      <c r="B308" s="901"/>
      <c r="C308" s="901"/>
      <c r="D308" s="901"/>
      <c r="E308" s="901"/>
      <c r="F308" s="901"/>
      <c r="G308" s="901"/>
      <c r="H308" s="901"/>
    </row>
    <row r="309" spans="1:8" x14ac:dyDescent="0.2">
      <c r="A309" s="902" t="s">
        <v>646</v>
      </c>
      <c r="B309" s="901"/>
      <c r="C309" s="901"/>
      <c r="D309" s="901"/>
      <c r="E309" s="901"/>
      <c r="F309" s="901"/>
      <c r="G309" s="901"/>
      <c r="H309" s="901"/>
    </row>
    <row r="310" spans="1:8" x14ac:dyDescent="0.2">
      <c r="A310" s="902" t="s">
        <v>647</v>
      </c>
      <c r="B310" s="901"/>
      <c r="C310" s="901"/>
      <c r="D310" s="901"/>
      <c r="E310" s="901"/>
      <c r="F310" s="901"/>
      <c r="G310" s="901"/>
      <c r="H310" s="901"/>
    </row>
    <row r="311" spans="1:8" x14ac:dyDescent="0.2">
      <c r="A311" s="902" t="s">
        <v>648</v>
      </c>
      <c r="B311" s="901"/>
      <c r="C311" s="901"/>
      <c r="D311" s="901"/>
      <c r="E311" s="901"/>
      <c r="F311" s="901"/>
      <c r="G311" s="901"/>
      <c r="H311" s="901"/>
    </row>
    <row r="312" spans="1:8" x14ac:dyDescent="0.2">
      <c r="A312" s="902" t="s">
        <v>649</v>
      </c>
      <c r="B312" s="901"/>
      <c r="C312" s="901"/>
      <c r="D312" s="901"/>
      <c r="E312" s="901"/>
      <c r="F312" s="901"/>
      <c r="G312" s="901"/>
      <c r="H312" s="901"/>
    </row>
    <row r="313" spans="1:8" x14ac:dyDescent="0.2">
      <c r="A313" s="902" t="s">
        <v>650</v>
      </c>
      <c r="B313" s="901"/>
      <c r="C313" s="901"/>
      <c r="D313" s="901"/>
      <c r="E313" s="901"/>
      <c r="F313" s="901"/>
      <c r="G313" s="901"/>
      <c r="H313" s="901"/>
    </row>
    <row r="314" spans="1:8" x14ac:dyDescent="0.2">
      <c r="A314" s="902" t="s">
        <v>651</v>
      </c>
      <c r="B314" s="901"/>
      <c r="C314" s="901"/>
      <c r="D314" s="901"/>
      <c r="E314" s="901"/>
      <c r="F314" s="901"/>
      <c r="G314" s="901"/>
      <c r="H314" s="901"/>
    </row>
    <row r="315" spans="1:8" x14ac:dyDescent="0.2">
      <c r="A315" s="902" t="s">
        <v>652</v>
      </c>
      <c r="B315" s="901"/>
      <c r="C315" s="901"/>
      <c r="D315" s="901"/>
      <c r="E315" s="901"/>
      <c r="F315" s="901"/>
      <c r="G315" s="901"/>
      <c r="H315" s="901"/>
    </row>
    <row r="316" spans="1:8" x14ac:dyDescent="0.2">
      <c r="A316" s="902" t="s">
        <v>653</v>
      </c>
      <c r="B316" s="901"/>
      <c r="C316" s="901"/>
      <c r="D316" s="901"/>
      <c r="E316" s="901"/>
      <c r="F316" s="901"/>
      <c r="G316" s="901"/>
      <c r="H316" s="901"/>
    </row>
    <row r="317" spans="1:8" x14ac:dyDescent="0.2">
      <c r="A317" s="902" t="s">
        <v>654</v>
      </c>
      <c r="B317" s="901"/>
      <c r="C317" s="901"/>
      <c r="D317" s="901"/>
      <c r="E317" s="901"/>
      <c r="F317" s="901"/>
      <c r="G317" s="901"/>
      <c r="H317" s="901"/>
    </row>
    <row r="318" spans="1:8" x14ac:dyDescent="0.2">
      <c r="A318" s="902" t="s">
        <v>655</v>
      </c>
      <c r="B318" s="901"/>
      <c r="C318" s="901"/>
      <c r="D318" s="901"/>
      <c r="E318" s="901"/>
      <c r="F318" s="901"/>
      <c r="G318" s="901"/>
      <c r="H318" s="901"/>
    </row>
    <row r="319" spans="1:8" x14ac:dyDescent="0.2">
      <c r="A319" s="902" t="s">
        <v>656</v>
      </c>
      <c r="B319" s="901"/>
      <c r="C319" s="901"/>
      <c r="D319" s="901"/>
      <c r="E319" s="901"/>
      <c r="F319" s="901"/>
      <c r="G319" s="901"/>
      <c r="H319" s="901"/>
    </row>
    <row r="320" spans="1:8" x14ac:dyDescent="0.2">
      <c r="A320" s="902" t="s">
        <v>657</v>
      </c>
      <c r="B320" s="901"/>
      <c r="C320" s="901"/>
      <c r="D320" s="901"/>
      <c r="E320" s="901"/>
      <c r="F320" s="901"/>
      <c r="G320" s="901"/>
      <c r="H320" s="901"/>
    </row>
    <row r="321" spans="1:8" x14ac:dyDescent="0.2">
      <c r="A321" s="901"/>
      <c r="B321" s="901"/>
      <c r="C321" s="901"/>
      <c r="D321" s="901"/>
      <c r="E321" s="901"/>
      <c r="F321" s="901"/>
      <c r="G321" s="901"/>
      <c r="H321" s="901"/>
    </row>
    <row r="322" spans="1:8" x14ac:dyDescent="0.2">
      <c r="A322" s="902" t="s">
        <v>637</v>
      </c>
      <c r="B322" s="901"/>
      <c r="C322" s="901"/>
      <c r="D322" s="901"/>
      <c r="E322" s="901"/>
      <c r="F322" s="901"/>
      <c r="G322" s="901"/>
      <c r="H322" s="901"/>
    </row>
    <row r="323" spans="1:8" x14ac:dyDescent="0.2">
      <c r="A323" s="902" t="s">
        <v>638</v>
      </c>
      <c r="B323" s="901"/>
      <c r="C323" s="901"/>
      <c r="D323" s="901"/>
      <c r="E323" s="901"/>
      <c r="F323" s="901"/>
      <c r="G323" s="901"/>
      <c r="H323" s="901"/>
    </row>
    <row r="324" spans="1:8" x14ac:dyDescent="0.2">
      <c r="A324" s="902" t="s">
        <v>639</v>
      </c>
      <c r="B324" s="901"/>
      <c r="C324" s="901"/>
      <c r="D324" s="901"/>
      <c r="E324" s="901"/>
      <c r="F324" s="901"/>
      <c r="G324" s="901"/>
      <c r="H324" s="901"/>
    </row>
    <row r="325" spans="1:8" x14ac:dyDescent="0.2">
      <c r="A325" s="902" t="s">
        <v>640</v>
      </c>
      <c r="B325" s="901"/>
      <c r="C325" s="901"/>
      <c r="D325" s="901"/>
      <c r="E325" s="901"/>
      <c r="F325" s="901"/>
      <c r="G325" s="901"/>
      <c r="H325" s="901"/>
    </row>
    <row r="326" spans="1:8" x14ac:dyDescent="0.2">
      <c r="A326" s="902" t="s">
        <v>641</v>
      </c>
      <c r="B326" s="901"/>
      <c r="C326" s="901"/>
      <c r="D326" s="901"/>
      <c r="E326" s="901"/>
      <c r="F326" s="901"/>
      <c r="G326" s="901"/>
      <c r="H326" s="901"/>
    </row>
    <row r="327" spans="1:8" x14ac:dyDescent="0.2">
      <c r="A327" s="902" t="s">
        <v>642</v>
      </c>
      <c r="B327" s="901"/>
      <c r="C327" s="901"/>
      <c r="D327" s="901"/>
      <c r="E327" s="901"/>
      <c r="F327" s="901"/>
      <c r="G327" s="901"/>
      <c r="H327" s="901"/>
    </row>
    <row r="328" spans="1:8" x14ac:dyDescent="0.2">
      <c r="A328" s="902" t="s">
        <v>643</v>
      </c>
      <c r="B328" s="901"/>
      <c r="C328" s="901"/>
      <c r="D328" s="901"/>
      <c r="E328" s="901"/>
      <c r="F328" s="901"/>
      <c r="G328" s="901"/>
      <c r="H328" s="901"/>
    </row>
    <row r="329" spans="1:8" x14ac:dyDescent="0.2">
      <c r="A329" s="902" t="s">
        <v>644</v>
      </c>
      <c r="B329" s="901"/>
      <c r="C329" s="901"/>
      <c r="D329" s="901"/>
      <c r="E329" s="901"/>
      <c r="F329" s="901"/>
      <c r="G329" s="901"/>
      <c r="H329" s="901"/>
    </row>
    <row r="330" spans="1:8" x14ac:dyDescent="0.2">
      <c r="A330" s="901"/>
      <c r="B330" s="901"/>
      <c r="C330" s="901"/>
      <c r="D330" s="901"/>
      <c r="E330" s="901"/>
      <c r="F330" s="901"/>
      <c r="G330" s="901"/>
      <c r="H330" s="901"/>
    </row>
    <row r="331" spans="1:8" x14ac:dyDescent="0.2">
      <c r="A331" s="902" t="s">
        <v>602</v>
      </c>
      <c r="B331" s="901"/>
      <c r="C331" s="901"/>
      <c r="D331" s="901"/>
      <c r="E331" s="901"/>
      <c r="F331" s="901"/>
      <c r="G331" s="901"/>
      <c r="H331" s="901"/>
    </row>
    <row r="332" spans="1:8" x14ac:dyDescent="0.2">
      <c r="A332" s="902" t="s">
        <v>603</v>
      </c>
      <c r="B332" s="901"/>
      <c r="C332" s="901"/>
      <c r="D332" s="901"/>
      <c r="E332" s="901"/>
      <c r="F332" s="901"/>
      <c r="G332" s="901"/>
      <c r="H332" s="901"/>
    </row>
    <row r="333" spans="1:8" x14ac:dyDescent="0.2">
      <c r="A333" s="902" t="s">
        <v>604</v>
      </c>
      <c r="B333" s="901"/>
      <c r="C333" s="901"/>
      <c r="D333" s="901"/>
      <c r="E333" s="901"/>
      <c r="F333" s="901"/>
      <c r="G333" s="901"/>
      <c r="H333" s="901"/>
    </row>
    <row r="334" spans="1:8" x14ac:dyDescent="0.2">
      <c r="A334" s="902" t="s">
        <v>605</v>
      </c>
      <c r="B334" s="901"/>
      <c r="C334" s="901"/>
      <c r="D334" s="901"/>
      <c r="E334" s="901"/>
      <c r="F334" s="901"/>
      <c r="G334" s="901"/>
      <c r="H334" s="901"/>
    </row>
    <row r="335" spans="1:8" x14ac:dyDescent="0.2">
      <c r="A335" s="902" t="s">
        <v>606</v>
      </c>
      <c r="B335" s="901"/>
      <c r="C335" s="901"/>
      <c r="D335" s="901"/>
      <c r="E335" s="901"/>
      <c r="F335" s="901"/>
      <c r="G335" s="901"/>
      <c r="H335" s="901"/>
    </row>
    <row r="336" spans="1:8" x14ac:dyDescent="0.2">
      <c r="A336" s="902" t="s">
        <v>607</v>
      </c>
      <c r="B336" s="901"/>
      <c r="C336" s="901"/>
      <c r="D336" s="901"/>
      <c r="E336" s="901"/>
      <c r="F336" s="901"/>
      <c r="G336" s="901"/>
      <c r="H336" s="901"/>
    </row>
    <row r="337" spans="1:8" x14ac:dyDescent="0.2">
      <c r="A337" s="902" t="s">
        <v>608</v>
      </c>
      <c r="B337" s="901"/>
      <c r="C337" s="901"/>
      <c r="D337" s="901"/>
      <c r="E337" s="901"/>
      <c r="F337" s="901"/>
      <c r="G337" s="901"/>
      <c r="H337" s="901"/>
    </row>
    <row r="338" spans="1:8" x14ac:dyDescent="0.2">
      <c r="A338" s="902" t="s">
        <v>609</v>
      </c>
      <c r="B338" s="901"/>
      <c r="C338" s="901"/>
      <c r="D338" s="901"/>
      <c r="E338" s="901"/>
      <c r="F338" s="901"/>
      <c r="G338" s="901"/>
      <c r="H338" s="901"/>
    </row>
    <row r="339" spans="1:8" x14ac:dyDescent="0.2">
      <c r="A339" s="902" t="s">
        <v>610</v>
      </c>
      <c r="B339" s="901"/>
      <c r="C339" s="901"/>
      <c r="D339" s="901"/>
      <c r="E339" s="901"/>
      <c r="F339" s="901"/>
      <c r="G339" s="901"/>
      <c r="H339" s="901"/>
    </row>
    <row r="340" spans="1:8" x14ac:dyDescent="0.2">
      <c r="A340" s="902" t="s">
        <v>611</v>
      </c>
      <c r="B340" s="901"/>
      <c r="C340" s="901"/>
      <c r="D340" s="901"/>
      <c r="E340" s="901"/>
      <c r="F340" s="901"/>
      <c r="G340" s="901"/>
      <c r="H340" s="901"/>
    </row>
    <row r="341" spans="1:8" x14ac:dyDescent="0.2">
      <c r="A341" s="902" t="s">
        <v>612</v>
      </c>
      <c r="B341" s="901"/>
      <c r="C341" s="901"/>
      <c r="D341" s="901"/>
      <c r="E341" s="901"/>
      <c r="F341" s="901"/>
      <c r="G341" s="901"/>
      <c r="H341" s="901"/>
    </row>
    <row r="342" spans="1:8" x14ac:dyDescent="0.2">
      <c r="A342" s="902" t="s">
        <v>613</v>
      </c>
      <c r="B342" s="901"/>
      <c r="C342" s="901"/>
      <c r="D342" s="901"/>
      <c r="E342" s="901"/>
      <c r="F342" s="901"/>
      <c r="G342" s="901"/>
      <c r="H342" s="901"/>
    </row>
    <row r="343" spans="1:8" x14ac:dyDescent="0.2">
      <c r="A343" s="902" t="s">
        <v>614</v>
      </c>
      <c r="B343" s="901"/>
      <c r="C343" s="901"/>
      <c r="D343" s="901"/>
      <c r="E343" s="901"/>
      <c r="F343" s="901"/>
      <c r="G343" s="901"/>
      <c r="H343" s="901"/>
    </row>
    <row r="344" spans="1:8" x14ac:dyDescent="0.2">
      <c r="A344" s="902" t="s">
        <v>615</v>
      </c>
      <c r="B344" s="901"/>
      <c r="C344" s="901"/>
      <c r="D344" s="901"/>
      <c r="E344" s="901"/>
      <c r="F344" s="901"/>
      <c r="G344" s="901"/>
      <c r="H344" s="901"/>
    </row>
    <row r="345" spans="1:8" x14ac:dyDescent="0.2">
      <c r="A345" s="902" t="s">
        <v>616</v>
      </c>
      <c r="B345" s="901"/>
      <c r="C345" s="901"/>
      <c r="D345" s="901"/>
      <c r="E345" s="901"/>
      <c r="F345" s="901"/>
      <c r="G345" s="901"/>
      <c r="H345" s="901"/>
    </row>
    <row r="346" spans="1:8" x14ac:dyDescent="0.2">
      <c r="A346" s="902" t="s">
        <v>617</v>
      </c>
      <c r="B346" s="901"/>
      <c r="C346" s="901"/>
      <c r="D346" s="901"/>
      <c r="E346" s="901"/>
      <c r="F346" s="901"/>
      <c r="G346" s="901"/>
      <c r="H346" s="901"/>
    </row>
    <row r="347" spans="1:8" x14ac:dyDescent="0.2">
      <c r="A347" s="902" t="s">
        <v>618</v>
      </c>
      <c r="B347" s="901"/>
      <c r="C347" s="901"/>
      <c r="D347" s="901"/>
      <c r="E347" s="901"/>
      <c r="F347" s="901"/>
      <c r="G347" s="901"/>
      <c r="H347" s="901"/>
    </row>
    <row r="348" spans="1:8" x14ac:dyDescent="0.2">
      <c r="A348" s="902" t="s">
        <v>619</v>
      </c>
      <c r="B348" s="901"/>
      <c r="C348" s="901"/>
      <c r="D348" s="901"/>
      <c r="E348" s="901"/>
      <c r="F348" s="901"/>
      <c r="G348" s="901"/>
      <c r="H348" s="901"/>
    </row>
    <row r="349" spans="1:8" x14ac:dyDescent="0.2">
      <c r="A349" s="902" t="s">
        <v>620</v>
      </c>
      <c r="B349" s="901"/>
      <c r="C349" s="901"/>
      <c r="D349" s="901"/>
      <c r="E349" s="901"/>
      <c r="F349" s="901"/>
      <c r="G349" s="901"/>
      <c r="H349" s="901"/>
    </row>
    <row r="350" spans="1:8" x14ac:dyDescent="0.2">
      <c r="A350" s="902" t="s">
        <v>621</v>
      </c>
      <c r="B350" s="901"/>
      <c r="C350" s="901"/>
      <c r="D350" s="901"/>
      <c r="E350" s="901"/>
      <c r="F350" s="901"/>
      <c r="G350" s="901"/>
      <c r="H350" s="901"/>
    </row>
    <row r="351" spans="1:8" x14ac:dyDescent="0.2">
      <c r="A351" s="902" t="s">
        <v>622</v>
      </c>
      <c r="B351" s="901"/>
      <c r="C351" s="901"/>
      <c r="D351" s="901"/>
      <c r="E351" s="901"/>
      <c r="F351" s="901"/>
      <c r="G351" s="901"/>
      <c r="H351" s="901"/>
    </row>
    <row r="352" spans="1:8" x14ac:dyDescent="0.2">
      <c r="A352" s="902" t="s">
        <v>623</v>
      </c>
      <c r="B352" s="901"/>
      <c r="C352" s="901"/>
      <c r="D352" s="901"/>
      <c r="E352" s="901"/>
      <c r="F352" s="901"/>
      <c r="G352" s="901"/>
      <c r="H352" s="901"/>
    </row>
    <row r="353" spans="1:8" x14ac:dyDescent="0.2">
      <c r="A353" s="902" t="s">
        <v>624</v>
      </c>
      <c r="B353" s="901"/>
      <c r="C353" s="901"/>
      <c r="D353" s="901"/>
      <c r="E353" s="901"/>
      <c r="F353" s="901"/>
      <c r="G353" s="901"/>
      <c r="H353" s="901"/>
    </row>
    <row r="354" spans="1:8" x14ac:dyDescent="0.2">
      <c r="A354" s="902" t="s">
        <v>625</v>
      </c>
      <c r="B354" s="901"/>
      <c r="C354" s="901"/>
      <c r="D354" s="901"/>
      <c r="E354" s="901"/>
      <c r="F354" s="901"/>
      <c r="G354" s="901"/>
      <c r="H354" s="901"/>
    </row>
    <row r="355" spans="1:8" x14ac:dyDescent="0.2">
      <c r="A355" s="902" t="s">
        <v>626</v>
      </c>
      <c r="B355" s="901"/>
      <c r="C355" s="901"/>
      <c r="D355" s="901"/>
      <c r="E355" s="901"/>
      <c r="F355" s="901"/>
      <c r="G355" s="901"/>
      <c r="H355" s="901"/>
    </row>
    <row r="356" spans="1:8" x14ac:dyDescent="0.2">
      <c r="A356" s="902" t="s">
        <v>627</v>
      </c>
      <c r="B356" s="901"/>
      <c r="C356" s="901"/>
      <c r="D356" s="901"/>
      <c r="E356" s="901"/>
      <c r="F356" s="901"/>
      <c r="G356" s="901"/>
      <c r="H356" s="901"/>
    </row>
    <row r="357" spans="1:8" x14ac:dyDescent="0.2">
      <c r="A357" s="902" t="s">
        <v>628</v>
      </c>
      <c r="B357" s="901"/>
      <c r="C357" s="901"/>
      <c r="D357" s="901"/>
      <c r="E357" s="901"/>
      <c r="F357" s="901"/>
      <c r="G357" s="901"/>
      <c r="H357" s="901"/>
    </row>
    <row r="358" spans="1:8" x14ac:dyDescent="0.2">
      <c r="A358" s="902" t="s">
        <v>629</v>
      </c>
      <c r="B358" s="901"/>
      <c r="C358" s="901"/>
      <c r="D358" s="901"/>
      <c r="E358" s="901"/>
      <c r="F358" s="901"/>
      <c r="G358" s="901"/>
      <c r="H358" s="901"/>
    </row>
    <row r="359" spans="1:8" x14ac:dyDescent="0.2">
      <c r="A359" s="902" t="s">
        <v>630</v>
      </c>
      <c r="B359" s="901"/>
      <c r="C359" s="901"/>
      <c r="D359" s="901"/>
      <c r="E359" s="901"/>
      <c r="F359" s="901"/>
      <c r="G359" s="901"/>
      <c r="H359" s="901"/>
    </row>
    <row r="360" spans="1:8" x14ac:dyDescent="0.2">
      <c r="A360" s="902" t="s">
        <v>631</v>
      </c>
      <c r="B360" s="901"/>
      <c r="C360" s="901"/>
      <c r="D360" s="901"/>
      <c r="E360" s="901"/>
      <c r="F360" s="901"/>
      <c r="G360" s="901"/>
      <c r="H360" s="901"/>
    </row>
    <row r="361" spans="1:8" x14ac:dyDescent="0.2">
      <c r="A361" s="902" t="s">
        <v>632</v>
      </c>
      <c r="B361" s="901"/>
      <c r="C361" s="901"/>
      <c r="D361" s="901"/>
      <c r="E361" s="901"/>
      <c r="F361" s="901"/>
      <c r="G361" s="901"/>
      <c r="H361" s="901"/>
    </row>
    <row r="362" spans="1:8" x14ac:dyDescent="0.2">
      <c r="A362" s="902" t="s">
        <v>633</v>
      </c>
      <c r="B362" s="901"/>
      <c r="C362" s="901"/>
      <c r="D362" s="901"/>
      <c r="E362" s="901"/>
      <c r="F362" s="901"/>
      <c r="G362" s="901"/>
      <c r="H362" s="901"/>
    </row>
    <row r="363" spans="1:8" x14ac:dyDescent="0.2">
      <c r="A363" s="902" t="s">
        <v>634</v>
      </c>
      <c r="B363" s="901"/>
      <c r="C363" s="901"/>
      <c r="D363" s="901"/>
      <c r="E363" s="901"/>
      <c r="F363" s="901"/>
      <c r="G363" s="901"/>
      <c r="H363" s="901"/>
    </row>
    <row r="364" spans="1:8" x14ac:dyDescent="0.2">
      <c r="A364" s="902" t="s">
        <v>635</v>
      </c>
      <c r="B364" s="901"/>
      <c r="C364" s="901"/>
      <c r="D364" s="901"/>
      <c r="E364" s="901"/>
      <c r="F364" s="901"/>
      <c r="G364" s="901"/>
      <c r="H364" s="901"/>
    </row>
    <row r="365" spans="1:8" x14ac:dyDescent="0.2">
      <c r="A365" s="902" t="s">
        <v>636</v>
      </c>
      <c r="B365" s="901"/>
      <c r="C365" s="901"/>
      <c r="D365" s="901"/>
      <c r="E365" s="901"/>
      <c r="F365" s="901"/>
      <c r="G365" s="901"/>
      <c r="H365" s="901"/>
    </row>
    <row r="366" spans="1:8" x14ac:dyDescent="0.2">
      <c r="A366" s="901"/>
      <c r="B366" s="901"/>
      <c r="C366" s="901"/>
      <c r="D366" s="901"/>
      <c r="E366" s="901"/>
      <c r="F366" s="901"/>
      <c r="G366" s="901"/>
      <c r="H366" s="901"/>
    </row>
    <row r="367" spans="1:8" x14ac:dyDescent="0.2">
      <c r="A367" s="902" t="s">
        <v>594</v>
      </c>
      <c r="B367" s="901"/>
      <c r="C367" s="901"/>
      <c r="D367" s="901"/>
      <c r="E367" s="901"/>
      <c r="F367" s="901"/>
      <c r="G367" s="901"/>
      <c r="H367" s="901"/>
    </row>
    <row r="368" spans="1:8" x14ac:dyDescent="0.2">
      <c r="A368" s="902" t="s">
        <v>598</v>
      </c>
      <c r="B368" s="901"/>
      <c r="C368" s="901"/>
      <c r="D368" s="901"/>
      <c r="E368" s="901"/>
      <c r="F368" s="901"/>
      <c r="G368" s="901"/>
      <c r="H368" s="901"/>
    </row>
    <row r="369" spans="1:8" x14ac:dyDescent="0.2">
      <c r="A369" s="902" t="s">
        <v>599</v>
      </c>
      <c r="B369" s="901"/>
      <c r="C369" s="901"/>
      <c r="D369" s="901"/>
      <c r="E369" s="901"/>
      <c r="F369" s="901"/>
      <c r="G369" s="901"/>
      <c r="H369" s="901"/>
    </row>
    <row r="370" spans="1:8" x14ac:dyDescent="0.2">
      <c r="A370" s="902" t="s">
        <v>600</v>
      </c>
      <c r="B370" s="901"/>
      <c r="C370" s="901"/>
      <c r="D370" s="901"/>
      <c r="E370" s="901"/>
      <c r="F370" s="901"/>
      <c r="G370" s="901"/>
      <c r="H370" s="901"/>
    </row>
    <row r="371" spans="1:8" x14ac:dyDescent="0.2">
      <c r="A371" s="902" t="s">
        <v>601</v>
      </c>
      <c r="B371" s="901"/>
      <c r="C371" s="901"/>
      <c r="D371" s="901"/>
      <c r="E371" s="901"/>
      <c r="F371" s="901"/>
      <c r="G371" s="901"/>
      <c r="H371" s="901"/>
    </row>
    <row r="372" spans="1:8" x14ac:dyDescent="0.2">
      <c r="A372" s="901"/>
      <c r="B372" s="901"/>
      <c r="C372" s="901"/>
      <c r="D372" s="901"/>
      <c r="E372" s="901"/>
      <c r="F372" s="901"/>
      <c r="G372" s="901"/>
      <c r="H372" s="901"/>
    </row>
    <row r="373" spans="1:8" x14ac:dyDescent="0.2">
      <c r="A373" s="902" t="s">
        <v>594</v>
      </c>
      <c r="B373" s="901"/>
      <c r="C373" s="901"/>
      <c r="D373" s="901"/>
      <c r="E373" s="901"/>
      <c r="F373" s="901"/>
      <c r="G373" s="901"/>
      <c r="H373" s="901"/>
    </row>
    <row r="374" spans="1:8" x14ac:dyDescent="0.2">
      <c r="A374" s="902" t="s">
        <v>595</v>
      </c>
      <c r="B374" s="901"/>
      <c r="C374" s="901"/>
      <c r="D374" s="901"/>
      <c r="E374" s="901"/>
      <c r="F374" s="901"/>
      <c r="G374" s="901"/>
      <c r="H374" s="901"/>
    </row>
    <row r="375" spans="1:8" x14ac:dyDescent="0.2">
      <c r="A375" s="902" t="s">
        <v>596</v>
      </c>
      <c r="B375" s="901"/>
      <c r="C375" s="901"/>
      <c r="D375" s="901"/>
      <c r="E375" s="901"/>
      <c r="F375" s="901"/>
      <c r="G375" s="901"/>
      <c r="H375" s="901"/>
    </row>
    <row r="376" spans="1:8" x14ac:dyDescent="0.2">
      <c r="A376" s="902" t="s">
        <v>597</v>
      </c>
      <c r="B376" s="901"/>
      <c r="C376" s="901"/>
      <c r="D376" s="901"/>
      <c r="E376" s="901"/>
      <c r="F376" s="901"/>
      <c r="G376" s="901"/>
      <c r="H376" s="901"/>
    </row>
    <row r="377" spans="1:8" x14ac:dyDescent="0.2">
      <c r="A377" s="901"/>
      <c r="B377" s="901"/>
      <c r="C377" s="901"/>
      <c r="D377" s="901"/>
      <c r="E377" s="901"/>
      <c r="F377" s="901"/>
      <c r="G377" s="901"/>
      <c r="H377" s="901"/>
    </row>
    <row r="378" spans="1:8" x14ac:dyDescent="0.2">
      <c r="A378" s="902" t="s">
        <v>588</v>
      </c>
      <c r="B378" s="901"/>
      <c r="C378" s="901"/>
      <c r="D378" s="901"/>
      <c r="E378" s="901"/>
      <c r="F378" s="901"/>
      <c r="G378" s="901"/>
      <c r="H378" s="901"/>
    </row>
    <row r="379" spans="1:8" x14ac:dyDescent="0.2">
      <c r="A379" s="902" t="s">
        <v>589</v>
      </c>
      <c r="B379" s="901"/>
      <c r="C379" s="901"/>
      <c r="D379" s="901"/>
      <c r="E379" s="901"/>
      <c r="F379" s="901"/>
      <c r="G379" s="901"/>
      <c r="H379" s="901"/>
    </row>
    <row r="380" spans="1:8" x14ac:dyDescent="0.2">
      <c r="A380" s="902" t="s">
        <v>590</v>
      </c>
      <c r="B380" s="901"/>
      <c r="C380" s="901"/>
      <c r="D380" s="901"/>
      <c r="E380" s="901"/>
      <c r="F380" s="901"/>
      <c r="G380" s="901"/>
      <c r="H380" s="901"/>
    </row>
    <row r="381" spans="1:8" x14ac:dyDescent="0.2">
      <c r="A381" s="902" t="s">
        <v>591</v>
      </c>
      <c r="B381" s="901"/>
      <c r="C381" s="901"/>
      <c r="D381" s="901"/>
      <c r="E381" s="901"/>
      <c r="F381" s="901"/>
      <c r="G381" s="901"/>
      <c r="H381" s="901"/>
    </row>
    <row r="382" spans="1:8" x14ac:dyDescent="0.2">
      <c r="A382" s="902" t="s">
        <v>592</v>
      </c>
      <c r="B382" s="901"/>
      <c r="C382" s="901"/>
      <c r="D382" s="901"/>
      <c r="E382" s="901"/>
      <c r="F382" s="901"/>
      <c r="G382" s="901"/>
      <c r="H382" s="901"/>
    </row>
    <row r="383" spans="1:8" x14ac:dyDescent="0.2">
      <c r="A383" s="902" t="s">
        <v>593</v>
      </c>
      <c r="B383" s="901"/>
      <c r="C383" s="901"/>
      <c r="D383" s="901"/>
      <c r="E383" s="901"/>
      <c r="F383" s="901"/>
      <c r="G383" s="901"/>
      <c r="H383" s="901"/>
    </row>
    <row r="384" spans="1:8" x14ac:dyDescent="0.2">
      <c r="A384" s="901"/>
      <c r="B384" s="901"/>
      <c r="C384" s="901"/>
      <c r="D384" s="901"/>
      <c r="E384" s="901"/>
      <c r="F384" s="901"/>
      <c r="G384" s="901"/>
      <c r="H384" s="901"/>
    </row>
    <row r="385" spans="1:8" x14ac:dyDescent="0.2">
      <c r="A385" s="902" t="s">
        <v>583</v>
      </c>
      <c r="B385" s="901"/>
      <c r="C385" s="901"/>
      <c r="D385" s="901"/>
      <c r="E385" s="901"/>
      <c r="F385" s="901"/>
      <c r="G385" s="901"/>
      <c r="H385" s="901"/>
    </row>
    <row r="386" spans="1:8" x14ac:dyDescent="0.2">
      <c r="A386" s="902" t="s">
        <v>584</v>
      </c>
      <c r="B386" s="901"/>
      <c r="C386" s="901"/>
      <c r="D386" s="901"/>
      <c r="E386" s="901"/>
      <c r="F386" s="901"/>
      <c r="G386" s="901"/>
      <c r="H386" s="901"/>
    </row>
    <row r="387" spans="1:8" x14ac:dyDescent="0.2">
      <c r="A387" s="902" t="s">
        <v>585</v>
      </c>
      <c r="B387" s="901"/>
      <c r="C387" s="901"/>
      <c r="D387" s="901"/>
      <c r="E387" s="901"/>
      <c r="F387" s="901"/>
      <c r="G387" s="901"/>
      <c r="H387" s="901"/>
    </row>
    <row r="388" spans="1:8" x14ac:dyDescent="0.2">
      <c r="A388" s="902" t="s">
        <v>586</v>
      </c>
      <c r="B388" s="901"/>
      <c r="C388" s="901"/>
      <c r="D388" s="901"/>
      <c r="E388" s="901"/>
      <c r="F388" s="901"/>
      <c r="G388" s="901"/>
      <c r="H388" s="901"/>
    </row>
    <row r="389" spans="1:8" x14ac:dyDescent="0.2">
      <c r="A389" s="902" t="s">
        <v>587</v>
      </c>
      <c r="B389" s="901"/>
      <c r="C389" s="901"/>
      <c r="D389" s="901"/>
      <c r="E389" s="901"/>
      <c r="F389" s="901"/>
      <c r="G389" s="901"/>
      <c r="H389" s="901"/>
    </row>
    <row r="390" spans="1:8" x14ac:dyDescent="0.2">
      <c r="A390" s="901"/>
      <c r="B390" s="901"/>
      <c r="C390" s="901"/>
      <c r="D390" s="901"/>
      <c r="E390" s="901"/>
      <c r="F390" s="901"/>
      <c r="G390" s="901"/>
      <c r="H390" s="901"/>
    </row>
    <row r="391" spans="1:8" x14ac:dyDescent="0.2">
      <c r="A391" s="902" t="s">
        <v>581</v>
      </c>
      <c r="B391" s="901"/>
      <c r="C391" s="901"/>
      <c r="D391" s="901"/>
      <c r="E391" s="901"/>
      <c r="F391" s="901"/>
      <c r="G391" s="901"/>
      <c r="H391" s="901"/>
    </row>
    <row r="392" spans="1:8" x14ac:dyDescent="0.2">
      <c r="A392" s="902" t="s">
        <v>582</v>
      </c>
      <c r="B392" s="901"/>
      <c r="C392" s="901"/>
      <c r="D392" s="901"/>
      <c r="E392" s="901"/>
      <c r="F392" s="901"/>
      <c r="G392" s="901"/>
      <c r="H392" s="901"/>
    </row>
    <row r="394" spans="1:8" x14ac:dyDescent="0.2">
      <c r="A394" s="897" t="s">
        <v>839</v>
      </c>
    </row>
  </sheetData>
  <mergeCells count="12">
    <mergeCell ref="A120:H120"/>
    <mergeCell ref="A127:H127"/>
    <mergeCell ref="A114:H114"/>
    <mergeCell ref="A115:H115"/>
    <mergeCell ref="A116:H116"/>
    <mergeCell ref="A117:H117"/>
    <mergeCell ref="A119:H119"/>
    <mergeCell ref="A135:H135"/>
    <mergeCell ref="A136:H136"/>
    <mergeCell ref="B128:C128"/>
    <mergeCell ref="D128:F128"/>
    <mergeCell ref="G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B11"/>
  <sheetViews>
    <sheetView showGridLines="0" showRowColHeaders="0" workbookViewId="0">
      <selection activeCell="N1" sqref="N1"/>
    </sheetView>
  </sheetViews>
  <sheetFormatPr defaultRowHeight="12.75" x14ac:dyDescent="0.2"/>
  <cols>
    <col min="1" max="1" width="9.140625" style="1"/>
    <col min="2" max="2" width="88.28515625" style="1" customWidth="1"/>
    <col min="3" max="257" width="9.140625" style="1"/>
    <col min="258" max="258" width="88.28515625" style="1" customWidth="1"/>
    <col min="259" max="513" width="9.140625" style="1"/>
    <col min="514" max="514" width="88.28515625" style="1" customWidth="1"/>
    <col min="515" max="769" width="9.140625" style="1"/>
    <col min="770" max="770" width="88.28515625" style="1" customWidth="1"/>
    <col min="771" max="1025" width="9.140625" style="1"/>
    <col min="1026" max="1026" width="88.28515625" style="1" customWidth="1"/>
    <col min="1027" max="1281" width="9.140625" style="1"/>
    <col min="1282" max="1282" width="88.28515625" style="1" customWidth="1"/>
    <col min="1283" max="1537" width="9.140625" style="1"/>
    <col min="1538" max="1538" width="88.28515625" style="1" customWidth="1"/>
    <col min="1539" max="1793" width="9.140625" style="1"/>
    <col min="1794" max="1794" width="88.28515625" style="1" customWidth="1"/>
    <col min="1795" max="2049" width="9.140625" style="1"/>
    <col min="2050" max="2050" width="88.28515625" style="1" customWidth="1"/>
    <col min="2051" max="2305" width="9.140625" style="1"/>
    <col min="2306" max="2306" width="88.28515625" style="1" customWidth="1"/>
    <col min="2307" max="2561" width="9.140625" style="1"/>
    <col min="2562" max="2562" width="88.28515625" style="1" customWidth="1"/>
    <col min="2563" max="2817" width="9.140625" style="1"/>
    <col min="2818" max="2818" width="88.28515625" style="1" customWidth="1"/>
    <col min="2819" max="3073" width="9.140625" style="1"/>
    <col min="3074" max="3074" width="88.28515625" style="1" customWidth="1"/>
    <col min="3075" max="3329" width="9.140625" style="1"/>
    <col min="3330" max="3330" width="88.28515625" style="1" customWidth="1"/>
    <col min="3331" max="3585" width="9.140625" style="1"/>
    <col min="3586" max="3586" width="88.28515625" style="1" customWidth="1"/>
    <col min="3587" max="3841" width="9.140625" style="1"/>
    <col min="3842" max="3842" width="88.28515625" style="1" customWidth="1"/>
    <col min="3843" max="4097" width="9.140625" style="1"/>
    <col min="4098" max="4098" width="88.28515625" style="1" customWidth="1"/>
    <col min="4099" max="4353" width="9.140625" style="1"/>
    <col min="4354" max="4354" width="88.28515625" style="1" customWidth="1"/>
    <col min="4355" max="4609" width="9.140625" style="1"/>
    <col min="4610" max="4610" width="88.28515625" style="1" customWidth="1"/>
    <col min="4611" max="4865" width="9.140625" style="1"/>
    <col min="4866" max="4866" width="88.28515625" style="1" customWidth="1"/>
    <col min="4867" max="5121" width="9.140625" style="1"/>
    <col min="5122" max="5122" width="88.28515625" style="1" customWidth="1"/>
    <col min="5123" max="5377" width="9.140625" style="1"/>
    <col min="5378" max="5378" width="88.28515625" style="1" customWidth="1"/>
    <col min="5379" max="5633" width="9.140625" style="1"/>
    <col min="5634" max="5634" width="88.28515625" style="1" customWidth="1"/>
    <col min="5635" max="5889" width="9.140625" style="1"/>
    <col min="5890" max="5890" width="88.28515625" style="1" customWidth="1"/>
    <col min="5891" max="6145" width="9.140625" style="1"/>
    <col min="6146" max="6146" width="88.28515625" style="1" customWidth="1"/>
    <col min="6147" max="6401" width="9.140625" style="1"/>
    <col min="6402" max="6402" width="88.28515625" style="1" customWidth="1"/>
    <col min="6403" max="6657" width="9.140625" style="1"/>
    <col min="6658" max="6658" width="88.28515625" style="1" customWidth="1"/>
    <col min="6659" max="6913" width="9.140625" style="1"/>
    <col min="6914" max="6914" width="88.28515625" style="1" customWidth="1"/>
    <col min="6915" max="7169" width="9.140625" style="1"/>
    <col min="7170" max="7170" width="88.28515625" style="1" customWidth="1"/>
    <col min="7171" max="7425" width="9.140625" style="1"/>
    <col min="7426" max="7426" width="88.28515625" style="1" customWidth="1"/>
    <col min="7427" max="7681" width="9.140625" style="1"/>
    <col min="7682" max="7682" width="88.28515625" style="1" customWidth="1"/>
    <col min="7683" max="7937" width="9.140625" style="1"/>
    <col min="7938" max="7938" width="88.28515625" style="1" customWidth="1"/>
    <col min="7939" max="8193" width="9.140625" style="1"/>
    <col min="8194" max="8194" width="88.28515625" style="1" customWidth="1"/>
    <col min="8195" max="8449" width="9.140625" style="1"/>
    <col min="8450" max="8450" width="88.28515625" style="1" customWidth="1"/>
    <col min="8451" max="8705" width="9.140625" style="1"/>
    <col min="8706" max="8706" width="88.28515625" style="1" customWidth="1"/>
    <col min="8707" max="8961" width="9.140625" style="1"/>
    <col min="8962" max="8962" width="88.28515625" style="1" customWidth="1"/>
    <col min="8963" max="9217" width="9.140625" style="1"/>
    <col min="9218" max="9218" width="88.28515625" style="1" customWidth="1"/>
    <col min="9219" max="9473" width="9.140625" style="1"/>
    <col min="9474" max="9474" width="88.28515625" style="1" customWidth="1"/>
    <col min="9475" max="9729" width="9.140625" style="1"/>
    <col min="9730" max="9730" width="88.28515625" style="1" customWidth="1"/>
    <col min="9731" max="9985" width="9.140625" style="1"/>
    <col min="9986" max="9986" width="88.28515625" style="1" customWidth="1"/>
    <col min="9987" max="10241" width="9.140625" style="1"/>
    <col min="10242" max="10242" width="88.28515625" style="1" customWidth="1"/>
    <col min="10243" max="10497" width="9.140625" style="1"/>
    <col min="10498" max="10498" width="88.28515625" style="1" customWidth="1"/>
    <col min="10499" max="10753" width="9.140625" style="1"/>
    <col min="10754" max="10754" width="88.28515625" style="1" customWidth="1"/>
    <col min="10755" max="11009" width="9.140625" style="1"/>
    <col min="11010" max="11010" width="88.28515625" style="1" customWidth="1"/>
    <col min="11011" max="11265" width="9.140625" style="1"/>
    <col min="11266" max="11266" width="88.28515625" style="1" customWidth="1"/>
    <col min="11267" max="11521" width="9.140625" style="1"/>
    <col min="11522" max="11522" width="88.28515625" style="1" customWidth="1"/>
    <col min="11523" max="11777" width="9.140625" style="1"/>
    <col min="11778" max="11778" width="88.28515625" style="1" customWidth="1"/>
    <col min="11779" max="12033" width="9.140625" style="1"/>
    <col min="12034" max="12034" width="88.28515625" style="1" customWidth="1"/>
    <col min="12035" max="12289" width="9.140625" style="1"/>
    <col min="12290" max="12290" width="88.28515625" style="1" customWidth="1"/>
    <col min="12291" max="12545" width="9.140625" style="1"/>
    <col min="12546" max="12546" width="88.28515625" style="1" customWidth="1"/>
    <col min="12547" max="12801" width="9.140625" style="1"/>
    <col min="12802" max="12802" width="88.28515625" style="1" customWidth="1"/>
    <col min="12803" max="13057" width="9.140625" style="1"/>
    <col min="13058" max="13058" width="88.28515625" style="1" customWidth="1"/>
    <col min="13059" max="13313" width="9.140625" style="1"/>
    <col min="13314" max="13314" width="88.28515625" style="1" customWidth="1"/>
    <col min="13315" max="13569" width="9.140625" style="1"/>
    <col min="13570" max="13570" width="88.28515625" style="1" customWidth="1"/>
    <col min="13571" max="13825" width="9.140625" style="1"/>
    <col min="13826" max="13826" width="88.28515625" style="1" customWidth="1"/>
    <col min="13827" max="14081" width="9.140625" style="1"/>
    <col min="14082" max="14082" width="88.28515625" style="1" customWidth="1"/>
    <col min="14083" max="14337" width="9.140625" style="1"/>
    <col min="14338" max="14338" width="88.28515625" style="1" customWidth="1"/>
    <col min="14339" max="14593" width="9.140625" style="1"/>
    <col min="14594" max="14594" width="88.28515625" style="1" customWidth="1"/>
    <col min="14595" max="14849" width="9.140625" style="1"/>
    <col min="14850" max="14850" width="88.28515625" style="1" customWidth="1"/>
    <col min="14851" max="15105" width="9.140625" style="1"/>
    <col min="15106" max="15106" width="88.28515625" style="1" customWidth="1"/>
    <col min="15107" max="15361" width="9.140625" style="1"/>
    <col min="15362" max="15362" width="88.28515625" style="1" customWidth="1"/>
    <col min="15363" max="15617" width="9.140625" style="1"/>
    <col min="15618" max="15618" width="88.28515625" style="1" customWidth="1"/>
    <col min="15619" max="15873" width="9.140625" style="1"/>
    <col min="15874" max="15874" width="88.28515625" style="1" customWidth="1"/>
    <col min="15875" max="16129" width="9.140625" style="1"/>
    <col min="16130" max="16130" width="88.28515625" style="1" customWidth="1"/>
    <col min="16131" max="16384" width="9.140625" style="1"/>
  </cols>
  <sheetData>
    <row r="1" spans="2:2" ht="32.25" customHeight="1" x14ac:dyDescent="0.2"/>
    <row r="2" spans="2:2" ht="72" hidden="1" x14ac:dyDescent="0.25">
      <c r="B2" s="913" t="s">
        <v>906</v>
      </c>
    </row>
    <row r="3" spans="2:2" ht="72" x14ac:dyDescent="0.25">
      <c r="B3" s="913" t="s">
        <v>907</v>
      </c>
    </row>
    <row r="4" spans="2:2" ht="18" hidden="1" x14ac:dyDescent="0.25">
      <c r="B4" s="913"/>
    </row>
    <row r="5" spans="2:2" ht="54" hidden="1" x14ac:dyDescent="0.25">
      <c r="B5" s="913" t="s">
        <v>908</v>
      </c>
    </row>
    <row r="6" spans="2:2" ht="7.5" customHeight="1" x14ac:dyDescent="0.25">
      <c r="B6" s="913"/>
    </row>
    <row r="7" spans="2:2" ht="18" x14ac:dyDescent="0.25">
      <c r="B7" s="914" t="s">
        <v>909</v>
      </c>
    </row>
    <row r="8" spans="2:2" ht="18" x14ac:dyDescent="0.25">
      <c r="B8" s="914" t="s">
        <v>911</v>
      </c>
    </row>
    <row r="9" spans="2:2" ht="18" x14ac:dyDescent="0.25">
      <c r="B9" s="914" t="s">
        <v>912</v>
      </c>
    </row>
    <row r="10" spans="2:2" ht="18" x14ac:dyDescent="0.25">
      <c r="B10" s="915"/>
    </row>
    <row r="11" spans="2:2" ht="54" x14ac:dyDescent="0.25">
      <c r="B11" s="916" t="s">
        <v>910</v>
      </c>
    </row>
  </sheetData>
  <dataConsolidate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73"/>
  <sheetViews>
    <sheetView zoomScaleNormal="100" workbookViewId="0"/>
  </sheetViews>
  <sheetFormatPr defaultRowHeight="12.75" x14ac:dyDescent="0.2"/>
  <cols>
    <col min="1" max="1" width="9.140625" style="620"/>
    <col min="2" max="2" width="38.42578125" style="620" customWidth="1"/>
    <col min="3" max="3" width="12.85546875" style="620" customWidth="1"/>
    <col min="4" max="16384" width="9.140625" style="620"/>
  </cols>
  <sheetData>
    <row r="1" spans="1:29" s="631" customFormat="1" x14ac:dyDescent="0.2">
      <c r="A1" s="632"/>
      <c r="B1" s="632"/>
      <c r="C1" s="632"/>
      <c r="D1" s="632"/>
      <c r="E1" s="632"/>
      <c r="F1" s="632"/>
      <c r="G1" s="632"/>
      <c r="H1" s="632"/>
      <c r="I1" s="632"/>
      <c r="J1" s="632"/>
      <c r="K1" s="632"/>
      <c r="L1" s="632"/>
      <c r="M1" s="632"/>
      <c r="N1" s="632"/>
      <c r="O1" s="632"/>
      <c r="P1" s="632"/>
      <c r="Q1" s="632"/>
      <c r="R1" s="632"/>
      <c r="S1" s="632"/>
      <c r="T1" s="632"/>
      <c r="U1" s="632"/>
      <c r="V1" s="632"/>
      <c r="W1" s="632"/>
      <c r="X1" s="632"/>
      <c r="Y1" s="632"/>
      <c r="Z1" s="632"/>
      <c r="AA1" s="632"/>
      <c r="AB1" s="632"/>
      <c r="AC1" s="632"/>
    </row>
    <row r="2" spans="1:29" s="631" customFormat="1" ht="28.5" customHeight="1" x14ac:dyDescent="0.35">
      <c r="A2" s="632"/>
      <c r="B2" s="636" t="s">
        <v>374</v>
      </c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632"/>
      <c r="Q2" s="632"/>
      <c r="R2" s="632"/>
      <c r="S2" s="632"/>
      <c r="T2" s="632"/>
      <c r="U2" s="632"/>
      <c r="V2" s="632"/>
      <c r="W2" s="632"/>
      <c r="X2" s="632"/>
      <c r="Y2" s="632"/>
      <c r="Z2" s="632"/>
      <c r="AA2" s="632"/>
      <c r="AB2" s="632"/>
      <c r="AC2" s="632"/>
    </row>
    <row r="3" spans="1:29" s="631" customFormat="1" ht="15.75" x14ac:dyDescent="0.25">
      <c r="A3" s="632"/>
      <c r="B3" s="634" t="s">
        <v>94</v>
      </c>
      <c r="C3" s="634" t="s">
        <v>1</v>
      </c>
      <c r="D3" s="632"/>
      <c r="E3" s="632"/>
      <c r="F3" s="632"/>
      <c r="G3" s="632"/>
      <c r="H3" s="632"/>
      <c r="I3" s="632"/>
      <c r="J3" s="632"/>
      <c r="K3" s="632"/>
      <c r="L3" s="632"/>
      <c r="M3" s="632"/>
      <c r="N3" s="632"/>
      <c r="O3" s="632"/>
      <c r="P3" s="632"/>
      <c r="Q3" s="632"/>
      <c r="R3" s="632"/>
      <c r="S3" s="632"/>
      <c r="T3" s="632"/>
      <c r="U3" s="632"/>
      <c r="V3" s="632"/>
      <c r="W3" s="632"/>
      <c r="X3" s="632"/>
      <c r="Y3" s="632"/>
      <c r="Z3" s="632"/>
      <c r="AA3" s="632"/>
      <c r="AB3" s="632"/>
      <c r="AC3" s="632"/>
    </row>
    <row r="4" spans="1:29" s="631" customFormat="1" ht="15.75" x14ac:dyDescent="0.25">
      <c r="A4" s="632"/>
      <c r="B4" s="634" t="s">
        <v>373</v>
      </c>
      <c r="C4" s="634" t="s">
        <v>438</v>
      </c>
      <c r="D4" s="632"/>
      <c r="E4" s="632"/>
      <c r="F4" s="632"/>
      <c r="G4" s="632"/>
      <c r="H4" s="632"/>
      <c r="I4" s="632"/>
      <c r="J4" s="632"/>
      <c r="K4" s="632"/>
      <c r="L4" s="632"/>
      <c r="M4" s="632"/>
      <c r="N4" s="632"/>
      <c r="O4" s="632"/>
      <c r="P4" s="632"/>
      <c r="Q4" s="632"/>
      <c r="R4" s="632"/>
      <c r="S4" s="632"/>
      <c r="T4" s="632"/>
      <c r="U4" s="632"/>
      <c r="V4" s="632"/>
      <c r="W4" s="632"/>
      <c r="X4" s="632"/>
      <c r="Y4" s="632"/>
      <c r="Z4" s="632"/>
      <c r="AA4" s="632"/>
      <c r="AB4" s="632"/>
      <c r="AC4" s="632"/>
    </row>
    <row r="5" spans="1:29" s="631" customFormat="1" ht="15.75" x14ac:dyDescent="0.25">
      <c r="A5" s="632"/>
      <c r="B5" s="634" t="s">
        <v>372</v>
      </c>
      <c r="C5" s="635">
        <f>+Valuation!G9</f>
        <v>44</v>
      </c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632"/>
      <c r="AB5" s="632"/>
      <c r="AC5" s="632"/>
    </row>
    <row r="6" spans="1:29" s="631" customFormat="1" ht="15.75" x14ac:dyDescent="0.25">
      <c r="A6" s="632"/>
      <c r="B6" s="634" t="s">
        <v>371</v>
      </c>
      <c r="C6" s="633">
        <f ca="1">NOW()</f>
        <v>43201.429517476849</v>
      </c>
      <c r="D6" s="632"/>
      <c r="E6" s="632"/>
      <c r="F6" s="632"/>
      <c r="G6" s="632"/>
      <c r="H6" s="632"/>
      <c r="I6" s="632"/>
      <c r="J6" s="632"/>
      <c r="K6" s="632"/>
      <c r="L6" s="632"/>
      <c r="M6" s="632"/>
      <c r="N6" s="632"/>
      <c r="O6" s="632"/>
      <c r="P6" s="632"/>
      <c r="Q6" s="632"/>
      <c r="R6" s="632"/>
      <c r="S6" s="632"/>
      <c r="T6" s="632"/>
      <c r="U6" s="632"/>
      <c r="V6" s="632"/>
      <c r="W6" s="632"/>
      <c r="X6" s="632"/>
      <c r="Y6" s="632"/>
      <c r="Z6" s="632"/>
      <c r="AA6" s="632"/>
      <c r="AB6" s="632"/>
      <c r="AC6" s="632"/>
    </row>
    <row r="7" spans="1:29" s="631" customFormat="1" x14ac:dyDescent="0.2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</row>
    <row r="8" spans="1:29" x14ac:dyDescent="0.2">
      <c r="A8" s="621"/>
      <c r="B8" s="630"/>
      <c r="C8" s="630"/>
      <c r="D8" s="630"/>
      <c r="E8" s="630"/>
      <c r="F8" s="630"/>
      <c r="G8" s="630"/>
      <c r="H8" s="630"/>
      <c r="I8" s="630"/>
      <c r="J8" s="630"/>
      <c r="K8" s="630"/>
      <c r="L8" s="630"/>
      <c r="M8" s="630"/>
      <c r="N8" s="630"/>
      <c r="O8" s="630"/>
      <c r="P8" s="630"/>
      <c r="Q8" s="630"/>
      <c r="R8" s="630"/>
      <c r="S8" s="621"/>
      <c r="T8" s="621"/>
      <c r="U8" s="621"/>
      <c r="V8" s="621"/>
      <c r="W8" s="621"/>
      <c r="X8" s="621"/>
      <c r="Y8" s="621"/>
      <c r="Z8" s="621"/>
      <c r="AA8" s="621"/>
      <c r="AB8" s="621"/>
      <c r="AC8" s="621"/>
    </row>
    <row r="9" spans="1:29" x14ac:dyDescent="0.2">
      <c r="A9" s="621"/>
      <c r="B9" s="630"/>
      <c r="C9" s="630"/>
      <c r="D9" s="630"/>
      <c r="E9" s="630"/>
      <c r="F9" s="630"/>
      <c r="G9" s="630"/>
      <c r="H9" s="630"/>
      <c r="I9" s="630"/>
      <c r="J9" s="630"/>
      <c r="K9" s="630"/>
      <c r="L9" s="630"/>
      <c r="M9" s="630"/>
      <c r="N9" s="630"/>
      <c r="O9" s="630"/>
      <c r="P9" s="630"/>
      <c r="Q9" s="630"/>
      <c r="R9" s="630"/>
      <c r="S9" s="621"/>
      <c r="T9" s="621"/>
      <c r="U9" s="621"/>
      <c r="V9" s="621"/>
      <c r="W9" s="621"/>
      <c r="X9" s="621"/>
      <c r="Y9" s="621"/>
      <c r="Z9" s="621"/>
      <c r="AA9" s="621"/>
      <c r="AB9" s="621"/>
      <c r="AC9" s="621"/>
    </row>
    <row r="10" spans="1:29" s="625" customFormat="1" ht="15" x14ac:dyDescent="0.25">
      <c r="A10" s="626"/>
      <c r="B10" s="628" t="s">
        <v>370</v>
      </c>
      <c r="C10" s="628" t="s">
        <v>520</v>
      </c>
      <c r="D10" s="628"/>
      <c r="E10" s="628"/>
      <c r="F10" s="628"/>
      <c r="G10" s="628"/>
      <c r="H10" s="628"/>
      <c r="I10" s="629"/>
      <c r="J10" s="629"/>
      <c r="K10" s="629"/>
      <c r="L10" s="628"/>
      <c r="M10" s="628"/>
      <c r="N10" s="628"/>
      <c r="O10" s="628"/>
      <c r="P10" s="628"/>
      <c r="Q10" s="627"/>
      <c r="R10" s="627"/>
      <c r="S10" s="626"/>
      <c r="T10" s="626"/>
      <c r="U10" s="626"/>
      <c r="V10" s="626"/>
      <c r="W10" s="626"/>
      <c r="X10" s="626"/>
      <c r="Y10" s="626"/>
      <c r="Z10" s="626"/>
      <c r="AA10" s="626"/>
      <c r="AB10" s="626"/>
      <c r="AC10" s="626"/>
    </row>
    <row r="11" spans="1:29" s="625" customFormat="1" ht="15" x14ac:dyDescent="0.25">
      <c r="A11" s="626"/>
      <c r="B11" s="628" t="s">
        <v>369</v>
      </c>
      <c r="C11" s="628" t="s">
        <v>521</v>
      </c>
      <c r="D11" s="628"/>
      <c r="E11" s="628"/>
      <c r="F11" s="628"/>
      <c r="G11" s="628"/>
      <c r="H11" s="628"/>
      <c r="I11" s="629"/>
      <c r="J11" s="629"/>
      <c r="K11" s="629"/>
      <c r="L11" s="628"/>
      <c r="M11" s="628"/>
      <c r="N11" s="628"/>
      <c r="O11" s="628"/>
      <c r="P11" s="628"/>
      <c r="Q11" s="627"/>
      <c r="R11" s="627"/>
      <c r="S11" s="626"/>
      <c r="T11" s="626"/>
      <c r="U11" s="626"/>
      <c r="V11" s="626"/>
      <c r="W11" s="626"/>
      <c r="X11" s="626"/>
      <c r="Y11" s="626"/>
      <c r="Z11" s="626"/>
      <c r="AA11" s="626"/>
      <c r="AB11" s="626"/>
      <c r="AC11" s="626"/>
    </row>
    <row r="12" spans="1:29" s="625" customFormat="1" ht="15" x14ac:dyDescent="0.25">
      <c r="A12" s="626"/>
      <c r="B12" s="628" t="s">
        <v>368</v>
      </c>
      <c r="C12" s="628" t="s">
        <v>522</v>
      </c>
      <c r="D12" s="628"/>
      <c r="E12" s="628"/>
      <c r="F12" s="628"/>
      <c r="G12" s="628"/>
      <c r="H12" s="628"/>
      <c r="I12" s="629"/>
      <c r="J12" s="629"/>
      <c r="K12" s="629"/>
      <c r="L12" s="628"/>
      <c r="M12" s="628"/>
      <c r="N12" s="628"/>
      <c r="O12" s="628"/>
      <c r="P12" s="628"/>
      <c r="Q12" s="627"/>
      <c r="R12" s="627"/>
      <c r="S12" s="626"/>
      <c r="T12" s="626"/>
      <c r="U12" s="626"/>
      <c r="V12" s="626"/>
      <c r="W12" s="626"/>
      <c r="X12" s="626"/>
      <c r="Y12" s="626"/>
      <c r="Z12" s="626"/>
      <c r="AA12" s="626"/>
      <c r="AB12" s="626"/>
      <c r="AC12" s="626"/>
    </row>
    <row r="13" spans="1:29" x14ac:dyDescent="0.2">
      <c r="A13" s="621"/>
      <c r="B13" s="624"/>
      <c r="C13" s="624"/>
      <c r="D13" s="624"/>
      <c r="E13" s="624"/>
      <c r="F13" s="624"/>
      <c r="G13" s="624"/>
      <c r="H13" s="624"/>
      <c r="I13" s="624"/>
      <c r="J13" s="624"/>
      <c r="K13" s="624"/>
      <c r="L13" s="624"/>
      <c r="M13" s="624"/>
      <c r="N13" s="624"/>
      <c r="O13" s="624"/>
      <c r="P13" s="624"/>
      <c r="Q13" s="624"/>
      <c r="R13" s="624"/>
      <c r="S13" s="621"/>
      <c r="T13" s="621"/>
      <c r="U13" s="621"/>
      <c r="V13" s="621"/>
      <c r="W13" s="621"/>
      <c r="X13" s="621"/>
      <c r="Y13" s="621"/>
      <c r="Z13" s="621"/>
      <c r="AA13" s="621"/>
      <c r="AB13" s="621"/>
      <c r="AC13" s="621"/>
    </row>
    <row r="14" spans="1:29" ht="15" x14ac:dyDescent="0.25">
      <c r="A14" s="621"/>
      <c r="B14" s="623"/>
      <c r="C14" s="623"/>
      <c r="D14" s="623"/>
      <c r="E14" s="623"/>
      <c r="F14" s="623"/>
      <c r="G14" s="622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1"/>
      <c r="T14" s="621"/>
      <c r="U14" s="621"/>
      <c r="V14" s="621"/>
      <c r="W14" s="621"/>
      <c r="X14" s="621"/>
      <c r="Y14" s="621"/>
      <c r="Z14" s="621"/>
      <c r="AA14" s="621"/>
      <c r="AB14" s="621"/>
      <c r="AC14" s="621"/>
    </row>
    <row r="15" spans="1:29" ht="15" x14ac:dyDescent="0.25">
      <c r="A15" s="621"/>
      <c r="B15" s="621"/>
      <c r="C15" s="621"/>
      <c r="D15" s="621"/>
      <c r="E15" s="621"/>
      <c r="F15" s="621"/>
      <c r="G15" s="622"/>
      <c r="H15" s="621"/>
      <c r="I15" s="621"/>
      <c r="J15" s="621"/>
      <c r="K15" s="621"/>
      <c r="L15" s="621"/>
      <c r="M15" s="621"/>
      <c r="N15" s="621"/>
      <c r="O15" s="621"/>
      <c r="P15" s="621"/>
      <c r="Q15" s="621"/>
      <c r="R15" s="621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21"/>
    </row>
    <row r="16" spans="1:29" ht="15" x14ac:dyDescent="0.25">
      <c r="A16" s="621"/>
      <c r="B16" s="621"/>
      <c r="C16" s="621"/>
      <c r="D16" s="621"/>
      <c r="E16" s="621"/>
      <c r="F16" s="621"/>
      <c r="G16" s="622"/>
      <c r="H16" s="621"/>
      <c r="I16" s="621"/>
      <c r="J16" s="621"/>
      <c r="K16" s="621"/>
      <c r="L16" s="621"/>
      <c r="M16" s="621"/>
      <c r="N16" s="621"/>
      <c r="O16" s="621"/>
      <c r="P16" s="621"/>
      <c r="Q16" s="621"/>
      <c r="R16" s="621"/>
      <c r="S16" s="621"/>
      <c r="T16" s="621"/>
      <c r="U16" s="621"/>
      <c r="V16" s="621"/>
      <c r="W16" s="621"/>
      <c r="X16" s="621"/>
      <c r="Y16" s="621"/>
      <c r="Z16" s="621"/>
      <c r="AA16" s="621"/>
      <c r="AB16" s="621"/>
      <c r="AC16" s="621"/>
    </row>
    <row r="17" spans="1:29" x14ac:dyDescent="0.2">
      <c r="A17" s="621"/>
      <c r="B17" s="621"/>
      <c r="C17" s="621"/>
      <c r="D17" s="621"/>
      <c r="E17" s="621"/>
      <c r="F17" s="621"/>
      <c r="G17" s="621"/>
      <c r="H17" s="621"/>
      <c r="I17" s="621"/>
      <c r="J17" s="621"/>
      <c r="K17" s="621"/>
      <c r="L17" s="621"/>
      <c r="M17" s="621"/>
      <c r="N17" s="621"/>
      <c r="O17" s="621"/>
      <c r="P17" s="621"/>
      <c r="Q17" s="621"/>
      <c r="R17" s="621"/>
      <c r="S17" s="621"/>
      <c r="T17" s="621"/>
      <c r="U17" s="621"/>
      <c r="V17" s="621"/>
      <c r="W17" s="621"/>
      <c r="X17" s="621"/>
      <c r="Y17" s="621"/>
      <c r="Z17" s="621"/>
      <c r="AA17" s="621"/>
      <c r="AB17" s="621"/>
      <c r="AC17" s="621"/>
    </row>
    <row r="18" spans="1:29" x14ac:dyDescent="0.2">
      <c r="A18" s="621"/>
      <c r="B18" s="621"/>
      <c r="C18" s="621"/>
      <c r="D18" s="621"/>
      <c r="E18" s="621"/>
      <c r="F18" s="621"/>
      <c r="G18" s="621"/>
      <c r="H18" s="621"/>
      <c r="I18" s="621"/>
      <c r="J18" s="621"/>
      <c r="K18" s="621"/>
      <c r="L18" s="621"/>
      <c r="M18" s="621"/>
      <c r="N18" s="621"/>
      <c r="O18" s="621"/>
      <c r="P18" s="621"/>
      <c r="Q18" s="621"/>
      <c r="R18" s="621"/>
      <c r="S18" s="621"/>
      <c r="T18" s="621"/>
      <c r="U18" s="621"/>
      <c r="V18" s="621"/>
      <c r="W18" s="621"/>
      <c r="X18" s="621"/>
      <c r="Y18" s="621"/>
      <c r="Z18" s="621"/>
      <c r="AA18" s="621"/>
      <c r="AB18" s="621"/>
      <c r="AC18" s="621"/>
    </row>
    <row r="19" spans="1:29" x14ac:dyDescent="0.2">
      <c r="A19" s="621"/>
      <c r="B19" s="621"/>
      <c r="C19" s="621"/>
      <c r="D19" s="621"/>
      <c r="E19" s="621"/>
      <c r="F19" s="621"/>
      <c r="G19" s="621"/>
      <c r="H19" s="621"/>
      <c r="I19" s="621"/>
      <c r="J19" s="621"/>
      <c r="K19" s="621"/>
      <c r="L19" s="621"/>
      <c r="M19" s="621"/>
      <c r="N19" s="621"/>
      <c r="O19" s="621"/>
      <c r="P19" s="621"/>
      <c r="Q19" s="621"/>
      <c r="R19" s="621"/>
      <c r="S19" s="621"/>
      <c r="T19" s="621"/>
      <c r="U19" s="621"/>
      <c r="V19" s="621"/>
      <c r="W19" s="621"/>
      <c r="X19" s="621"/>
      <c r="Y19" s="621"/>
      <c r="Z19" s="621"/>
      <c r="AA19" s="621"/>
      <c r="AB19" s="621"/>
      <c r="AC19" s="621"/>
    </row>
    <row r="20" spans="1:29" x14ac:dyDescent="0.2">
      <c r="A20" s="621"/>
      <c r="B20" s="621"/>
      <c r="C20" s="621"/>
      <c r="D20" s="621"/>
      <c r="E20" s="621"/>
      <c r="F20" s="621"/>
      <c r="G20" s="621"/>
      <c r="H20" s="621"/>
      <c r="I20" s="621"/>
      <c r="J20" s="621"/>
      <c r="K20" s="621"/>
      <c r="L20" s="621"/>
      <c r="M20" s="621"/>
      <c r="N20" s="621"/>
      <c r="O20" s="621"/>
      <c r="P20" s="621"/>
      <c r="Q20" s="621"/>
      <c r="R20" s="621"/>
      <c r="S20" s="621"/>
      <c r="T20" s="621"/>
      <c r="U20" s="621"/>
      <c r="V20" s="621"/>
      <c r="W20" s="621"/>
      <c r="X20" s="621"/>
      <c r="Y20" s="621"/>
      <c r="Z20" s="621"/>
      <c r="AA20" s="621"/>
      <c r="AB20" s="621"/>
      <c r="AC20" s="621"/>
    </row>
    <row r="21" spans="1:29" x14ac:dyDescent="0.2">
      <c r="A21" s="621"/>
      <c r="B21" s="621"/>
      <c r="C21" s="621"/>
      <c r="D21" s="621"/>
      <c r="E21" s="621"/>
      <c r="F21" s="621"/>
      <c r="G21" s="621"/>
      <c r="H21" s="621"/>
      <c r="I21" s="621"/>
      <c r="J21" s="621"/>
      <c r="K21" s="621"/>
      <c r="L21" s="621"/>
      <c r="M21" s="621"/>
      <c r="N21" s="621"/>
      <c r="O21" s="621"/>
      <c r="P21" s="621"/>
      <c r="Q21" s="621"/>
      <c r="R21" s="621"/>
      <c r="S21" s="621"/>
      <c r="T21" s="621"/>
      <c r="U21" s="621"/>
      <c r="V21" s="621"/>
      <c r="W21" s="621"/>
      <c r="X21" s="621"/>
      <c r="Y21" s="621"/>
      <c r="Z21" s="621"/>
      <c r="AA21" s="621"/>
      <c r="AB21" s="621"/>
      <c r="AC21" s="621"/>
    </row>
    <row r="22" spans="1:29" x14ac:dyDescent="0.2">
      <c r="A22" s="621"/>
      <c r="B22" s="621"/>
      <c r="C22" s="621"/>
      <c r="D22" s="621"/>
      <c r="E22" s="621"/>
      <c r="F22" s="621"/>
      <c r="G22" s="621"/>
      <c r="H22" s="621"/>
      <c r="I22" s="621"/>
      <c r="J22" s="621"/>
      <c r="K22" s="621"/>
      <c r="L22" s="621"/>
      <c r="M22" s="621"/>
      <c r="N22" s="621"/>
      <c r="O22" s="621"/>
      <c r="P22" s="621"/>
      <c r="Q22" s="621"/>
      <c r="R22" s="621"/>
      <c r="S22" s="621"/>
      <c r="T22" s="621"/>
      <c r="U22" s="621"/>
      <c r="V22" s="621"/>
      <c r="W22" s="621"/>
      <c r="X22" s="621"/>
      <c r="Y22" s="621"/>
      <c r="Z22" s="621"/>
      <c r="AA22" s="621"/>
      <c r="AB22" s="621"/>
      <c r="AC22" s="621"/>
    </row>
    <row r="23" spans="1:29" x14ac:dyDescent="0.2">
      <c r="A23" s="621"/>
      <c r="B23" s="621"/>
      <c r="C23" s="621"/>
      <c r="D23" s="621"/>
      <c r="E23" s="621"/>
      <c r="F23" s="621"/>
      <c r="G23" s="621"/>
      <c r="H23" s="621"/>
      <c r="I23" s="621"/>
      <c r="J23" s="621"/>
      <c r="K23" s="621"/>
      <c r="L23" s="621"/>
      <c r="M23" s="621"/>
      <c r="N23" s="621"/>
      <c r="O23" s="621"/>
      <c r="P23" s="621"/>
      <c r="Q23" s="621"/>
      <c r="R23" s="621"/>
      <c r="S23" s="621"/>
      <c r="T23" s="621"/>
      <c r="U23" s="621"/>
      <c r="V23" s="621"/>
      <c r="W23" s="621"/>
      <c r="X23" s="621"/>
      <c r="Y23" s="621"/>
      <c r="Z23" s="621"/>
      <c r="AA23" s="621"/>
      <c r="AB23" s="621"/>
      <c r="AC23" s="621"/>
    </row>
    <row r="24" spans="1:29" x14ac:dyDescent="0.2">
      <c r="A24" s="621"/>
      <c r="B24" s="621"/>
      <c r="C24" s="621"/>
      <c r="D24" s="621"/>
      <c r="E24" s="621"/>
      <c r="F24" s="621"/>
      <c r="G24" s="621"/>
      <c r="H24" s="621"/>
      <c r="I24" s="621"/>
      <c r="J24" s="621"/>
      <c r="K24" s="621"/>
      <c r="L24" s="621"/>
      <c r="M24" s="621"/>
      <c r="N24" s="621"/>
      <c r="O24" s="621"/>
      <c r="P24" s="621"/>
      <c r="Q24" s="621"/>
      <c r="R24" s="621"/>
      <c r="S24" s="621"/>
      <c r="T24" s="621"/>
      <c r="U24" s="621"/>
      <c r="V24" s="621"/>
      <c r="W24" s="621"/>
      <c r="X24" s="621"/>
      <c r="Y24" s="621"/>
      <c r="Z24" s="621"/>
      <c r="AA24" s="621"/>
      <c r="AB24" s="621"/>
      <c r="AC24" s="621"/>
    </row>
    <row r="25" spans="1:29" x14ac:dyDescent="0.2">
      <c r="A25" s="621"/>
      <c r="B25" s="621"/>
      <c r="C25" s="621"/>
      <c r="D25" s="621"/>
      <c r="E25" s="621"/>
      <c r="F25" s="621"/>
      <c r="G25" s="621"/>
      <c r="H25" s="621"/>
      <c r="I25" s="621"/>
      <c r="J25" s="621"/>
      <c r="K25" s="621"/>
      <c r="L25" s="621"/>
      <c r="M25" s="621"/>
      <c r="N25" s="621"/>
      <c r="O25" s="621"/>
      <c r="P25" s="621"/>
      <c r="Q25" s="621"/>
      <c r="R25" s="621"/>
      <c r="S25" s="621"/>
      <c r="T25" s="621"/>
      <c r="U25" s="621"/>
      <c r="V25" s="621"/>
      <c r="W25" s="621"/>
      <c r="X25" s="621"/>
      <c r="Y25" s="621"/>
      <c r="Z25" s="621"/>
      <c r="AA25" s="621"/>
      <c r="AB25" s="621"/>
      <c r="AC25" s="621"/>
    </row>
    <row r="26" spans="1:29" x14ac:dyDescent="0.2">
      <c r="A26" s="621"/>
      <c r="B26" s="621"/>
      <c r="C26" s="621"/>
      <c r="D26" s="621"/>
      <c r="E26" s="621"/>
      <c r="F26" s="621"/>
      <c r="G26" s="621"/>
      <c r="H26" s="621"/>
      <c r="I26" s="621"/>
      <c r="J26" s="621"/>
      <c r="K26" s="621"/>
      <c r="L26" s="621"/>
      <c r="M26" s="621"/>
      <c r="N26" s="621"/>
      <c r="O26" s="621"/>
      <c r="P26" s="621"/>
      <c r="Q26" s="621"/>
      <c r="R26" s="621"/>
      <c r="S26" s="621"/>
      <c r="T26" s="621"/>
      <c r="U26" s="621"/>
      <c r="V26" s="621"/>
      <c r="W26" s="621"/>
      <c r="X26" s="621"/>
      <c r="Y26" s="621"/>
      <c r="Z26" s="621"/>
      <c r="AA26" s="621"/>
      <c r="AB26" s="621"/>
      <c r="AC26" s="621"/>
    </row>
    <row r="27" spans="1:29" x14ac:dyDescent="0.2">
      <c r="A27" s="621"/>
      <c r="B27" s="621"/>
      <c r="C27" s="621"/>
      <c r="D27" s="621"/>
      <c r="E27" s="621"/>
      <c r="F27" s="621"/>
      <c r="G27" s="621"/>
      <c r="H27" s="621"/>
      <c r="I27" s="621"/>
      <c r="J27" s="621"/>
      <c r="K27" s="621"/>
      <c r="L27" s="621"/>
      <c r="M27" s="621"/>
      <c r="N27" s="621"/>
      <c r="O27" s="621"/>
      <c r="P27" s="621"/>
      <c r="Q27" s="621"/>
      <c r="R27" s="621"/>
      <c r="S27" s="621"/>
      <c r="T27" s="621"/>
      <c r="U27" s="621"/>
      <c r="V27" s="621"/>
      <c r="W27" s="621"/>
      <c r="X27" s="621"/>
      <c r="Y27" s="621"/>
      <c r="Z27" s="621"/>
      <c r="AA27" s="621"/>
      <c r="AB27" s="621"/>
      <c r="AC27" s="621"/>
    </row>
    <row r="28" spans="1:29" x14ac:dyDescent="0.2">
      <c r="A28" s="621"/>
      <c r="B28" s="621"/>
      <c r="C28" s="621"/>
      <c r="D28" s="621"/>
      <c r="E28" s="621"/>
      <c r="F28" s="621"/>
      <c r="G28" s="621"/>
      <c r="H28" s="621"/>
      <c r="I28" s="621"/>
      <c r="J28" s="621"/>
      <c r="K28" s="621"/>
      <c r="L28" s="621"/>
      <c r="M28" s="621"/>
      <c r="N28" s="621"/>
      <c r="O28" s="621"/>
      <c r="P28" s="621"/>
      <c r="Q28" s="621"/>
      <c r="R28" s="621"/>
      <c r="S28" s="621"/>
      <c r="T28" s="621"/>
      <c r="U28" s="621"/>
      <c r="V28" s="621"/>
      <c r="W28" s="621"/>
      <c r="X28" s="621"/>
      <c r="Y28" s="621"/>
      <c r="Z28" s="621"/>
      <c r="AA28" s="621"/>
      <c r="AB28" s="621"/>
      <c r="AC28" s="621"/>
    </row>
    <row r="29" spans="1:29" x14ac:dyDescent="0.2">
      <c r="A29" s="621"/>
      <c r="B29" s="621"/>
      <c r="C29" s="621"/>
      <c r="D29" s="621"/>
      <c r="E29" s="621"/>
      <c r="F29" s="621"/>
      <c r="G29" s="621"/>
      <c r="H29" s="621"/>
      <c r="I29" s="621"/>
      <c r="J29" s="621"/>
      <c r="K29" s="621"/>
      <c r="L29" s="621"/>
      <c r="M29" s="621"/>
      <c r="N29" s="621"/>
      <c r="O29" s="621"/>
      <c r="P29" s="621"/>
      <c r="Q29" s="621"/>
      <c r="R29" s="621"/>
      <c r="S29" s="621"/>
      <c r="T29" s="621"/>
      <c r="U29" s="621"/>
      <c r="V29" s="621"/>
      <c r="W29" s="621"/>
      <c r="X29" s="621"/>
      <c r="Y29" s="621"/>
      <c r="Z29" s="621"/>
      <c r="AA29" s="621"/>
      <c r="AB29" s="621"/>
      <c r="AC29" s="621"/>
    </row>
    <row r="30" spans="1:29" x14ac:dyDescent="0.2">
      <c r="A30" s="621"/>
      <c r="B30" s="621"/>
      <c r="C30" s="621"/>
      <c r="D30" s="621"/>
      <c r="E30" s="621"/>
      <c r="F30" s="621"/>
      <c r="G30" s="621"/>
      <c r="H30" s="621"/>
      <c r="I30" s="621"/>
      <c r="J30" s="621"/>
      <c r="K30" s="621"/>
      <c r="L30" s="621"/>
      <c r="M30" s="621"/>
      <c r="N30" s="621"/>
      <c r="O30" s="621"/>
      <c r="P30" s="621"/>
      <c r="Q30" s="621"/>
      <c r="R30" s="621"/>
      <c r="S30" s="621"/>
      <c r="T30" s="621"/>
      <c r="U30" s="621"/>
      <c r="V30" s="621"/>
      <c r="W30" s="621"/>
      <c r="X30" s="621"/>
      <c r="Y30" s="621"/>
      <c r="Z30" s="621"/>
      <c r="AA30" s="621"/>
      <c r="AB30" s="621"/>
      <c r="AC30" s="621"/>
    </row>
    <row r="31" spans="1:29" x14ac:dyDescent="0.2">
      <c r="A31" s="621"/>
      <c r="B31" s="621"/>
      <c r="C31" s="621"/>
      <c r="D31" s="621"/>
      <c r="E31" s="621"/>
      <c r="F31" s="621"/>
      <c r="G31" s="621"/>
      <c r="H31" s="621"/>
      <c r="I31" s="621"/>
      <c r="J31" s="621"/>
      <c r="K31" s="621"/>
      <c r="L31" s="621"/>
      <c r="M31" s="621"/>
      <c r="N31" s="621"/>
      <c r="O31" s="621"/>
      <c r="P31" s="621"/>
      <c r="Q31" s="621"/>
      <c r="R31" s="621"/>
      <c r="S31" s="621"/>
      <c r="T31" s="621"/>
      <c r="U31" s="621"/>
      <c r="V31" s="621"/>
      <c r="W31" s="621"/>
      <c r="X31" s="621"/>
      <c r="Y31" s="621"/>
      <c r="Z31" s="621"/>
      <c r="AA31" s="621"/>
      <c r="AB31" s="621"/>
      <c r="AC31" s="621"/>
    </row>
    <row r="32" spans="1:29" x14ac:dyDescent="0.2">
      <c r="A32" s="621"/>
      <c r="B32" s="621"/>
      <c r="C32" s="621"/>
      <c r="D32" s="621"/>
      <c r="E32" s="621"/>
      <c r="F32" s="621"/>
      <c r="G32" s="621"/>
      <c r="H32" s="621"/>
      <c r="I32" s="621"/>
      <c r="J32" s="621"/>
      <c r="K32" s="621"/>
      <c r="L32" s="621"/>
      <c r="M32" s="621"/>
      <c r="N32" s="621"/>
      <c r="O32" s="621"/>
      <c r="P32" s="621"/>
      <c r="Q32" s="621"/>
      <c r="R32" s="621"/>
      <c r="S32" s="621"/>
      <c r="T32" s="621"/>
      <c r="U32" s="621"/>
      <c r="V32" s="621"/>
      <c r="W32" s="621"/>
      <c r="X32" s="621"/>
      <c r="Y32" s="621"/>
      <c r="Z32" s="621"/>
      <c r="AA32" s="621"/>
      <c r="AB32" s="621"/>
      <c r="AC32" s="621"/>
    </row>
    <row r="33" spans="1:29" x14ac:dyDescent="0.2">
      <c r="A33" s="621"/>
      <c r="B33" s="621"/>
      <c r="C33" s="621"/>
      <c r="D33" s="621"/>
      <c r="E33" s="621"/>
      <c r="F33" s="621"/>
      <c r="G33" s="621"/>
      <c r="H33" s="621"/>
      <c r="I33" s="621"/>
      <c r="J33" s="621"/>
      <c r="K33" s="621"/>
      <c r="L33" s="621"/>
      <c r="M33" s="621"/>
      <c r="N33" s="621"/>
      <c r="O33" s="621"/>
      <c r="P33" s="621"/>
      <c r="Q33" s="621"/>
      <c r="R33" s="621"/>
      <c r="S33" s="621"/>
      <c r="T33" s="621"/>
      <c r="U33" s="621"/>
      <c r="V33" s="621"/>
      <c r="W33" s="621"/>
      <c r="X33" s="621"/>
      <c r="Y33" s="621"/>
      <c r="Z33" s="621"/>
      <c r="AA33" s="621"/>
      <c r="AB33" s="621"/>
      <c r="AC33" s="621"/>
    </row>
    <row r="34" spans="1:29" x14ac:dyDescent="0.2">
      <c r="A34" s="621"/>
      <c r="B34" s="621"/>
      <c r="C34" s="621"/>
      <c r="D34" s="621"/>
      <c r="E34" s="621"/>
      <c r="F34" s="621"/>
      <c r="G34" s="621"/>
      <c r="H34" s="621"/>
      <c r="I34" s="621"/>
      <c r="J34" s="621"/>
      <c r="K34" s="621"/>
      <c r="L34" s="621"/>
      <c r="M34" s="621"/>
      <c r="N34" s="621"/>
      <c r="O34" s="621"/>
      <c r="P34" s="621"/>
      <c r="Q34" s="621"/>
      <c r="R34" s="621"/>
      <c r="S34" s="621"/>
      <c r="T34" s="621"/>
      <c r="U34" s="621"/>
      <c r="V34" s="621"/>
      <c r="W34" s="621"/>
      <c r="X34" s="621"/>
      <c r="Y34" s="621"/>
      <c r="Z34" s="621"/>
      <c r="AA34" s="621"/>
      <c r="AB34" s="621"/>
      <c r="AC34" s="621"/>
    </row>
    <row r="35" spans="1:29" x14ac:dyDescent="0.2">
      <c r="A35" s="621"/>
      <c r="B35" s="621"/>
      <c r="C35" s="621"/>
      <c r="D35" s="621"/>
      <c r="E35" s="621"/>
      <c r="F35" s="621"/>
      <c r="G35" s="621"/>
      <c r="H35" s="621"/>
      <c r="I35" s="621"/>
      <c r="J35" s="621"/>
      <c r="K35" s="621"/>
      <c r="L35" s="621"/>
      <c r="M35" s="621"/>
      <c r="N35" s="621"/>
      <c r="O35" s="621"/>
      <c r="P35" s="621"/>
      <c r="Q35" s="621"/>
      <c r="R35" s="621"/>
      <c r="S35" s="621"/>
      <c r="T35" s="621"/>
      <c r="U35" s="621"/>
      <c r="V35" s="621"/>
      <c r="W35" s="621"/>
      <c r="X35" s="621"/>
      <c r="Y35" s="621"/>
      <c r="Z35" s="621"/>
      <c r="AA35" s="621"/>
      <c r="AB35" s="621"/>
      <c r="AC35" s="621"/>
    </row>
    <row r="36" spans="1:29" x14ac:dyDescent="0.2">
      <c r="A36" s="621"/>
      <c r="B36" s="621"/>
      <c r="C36" s="621"/>
      <c r="D36" s="621"/>
      <c r="E36" s="621"/>
      <c r="F36" s="621"/>
      <c r="G36" s="621"/>
      <c r="H36" s="621"/>
      <c r="I36" s="621"/>
      <c r="J36" s="621"/>
      <c r="K36" s="621"/>
      <c r="L36" s="621"/>
      <c r="M36" s="621"/>
      <c r="N36" s="621"/>
      <c r="O36" s="621"/>
      <c r="P36" s="621"/>
      <c r="Q36" s="621"/>
      <c r="R36" s="621"/>
      <c r="S36" s="621"/>
      <c r="T36" s="621"/>
      <c r="U36" s="621"/>
      <c r="V36" s="621"/>
      <c r="W36" s="621"/>
      <c r="X36" s="621"/>
      <c r="Y36" s="621"/>
      <c r="Z36" s="621"/>
      <c r="AA36" s="621"/>
      <c r="AB36" s="621"/>
      <c r="AC36" s="621"/>
    </row>
    <row r="37" spans="1:29" x14ac:dyDescent="0.2">
      <c r="A37" s="621"/>
      <c r="B37" s="621"/>
      <c r="C37" s="621"/>
      <c r="D37" s="621"/>
      <c r="E37" s="621"/>
      <c r="F37" s="621"/>
      <c r="G37" s="621"/>
      <c r="H37" s="621"/>
      <c r="I37" s="621"/>
      <c r="J37" s="621"/>
      <c r="K37" s="621"/>
      <c r="L37" s="621"/>
      <c r="M37" s="621"/>
      <c r="N37" s="621"/>
      <c r="O37" s="621"/>
      <c r="P37" s="621"/>
      <c r="Q37" s="621"/>
      <c r="R37" s="621"/>
      <c r="S37" s="621"/>
      <c r="T37" s="621"/>
      <c r="U37" s="621"/>
      <c r="V37" s="621"/>
      <c r="W37" s="621"/>
      <c r="X37" s="621"/>
      <c r="Y37" s="621"/>
      <c r="Z37" s="621"/>
      <c r="AA37" s="621"/>
      <c r="AB37" s="621"/>
      <c r="AC37" s="621"/>
    </row>
    <row r="38" spans="1:29" x14ac:dyDescent="0.2">
      <c r="A38" s="621"/>
      <c r="B38" s="621"/>
      <c r="C38" s="621"/>
      <c r="D38" s="621"/>
      <c r="E38" s="621"/>
      <c r="F38" s="621"/>
      <c r="G38" s="621"/>
      <c r="H38" s="621"/>
      <c r="I38" s="621"/>
      <c r="J38" s="621"/>
      <c r="K38" s="621"/>
      <c r="L38" s="621"/>
      <c r="M38" s="621"/>
      <c r="N38" s="621"/>
      <c r="O38" s="621"/>
      <c r="P38" s="621"/>
      <c r="Q38" s="621"/>
      <c r="R38" s="621"/>
      <c r="S38" s="621"/>
      <c r="T38" s="621"/>
      <c r="U38" s="621"/>
      <c r="V38" s="621"/>
      <c r="W38" s="621"/>
      <c r="X38" s="621"/>
      <c r="Y38" s="621"/>
      <c r="Z38" s="621"/>
      <c r="AA38" s="621"/>
      <c r="AB38" s="621"/>
      <c r="AC38" s="621"/>
    </row>
    <row r="39" spans="1:29" x14ac:dyDescent="0.2">
      <c r="A39" s="621"/>
      <c r="B39" s="621"/>
      <c r="C39" s="621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1"/>
      <c r="Y39" s="621"/>
      <c r="Z39" s="621"/>
      <c r="AA39" s="621"/>
      <c r="AB39" s="621"/>
      <c r="AC39" s="621"/>
    </row>
    <row r="40" spans="1:29" x14ac:dyDescent="0.2">
      <c r="A40" s="621"/>
      <c r="B40" s="621"/>
      <c r="C40" s="621"/>
      <c r="D40" s="621"/>
      <c r="E40" s="621"/>
      <c r="F40" s="621"/>
      <c r="G40" s="621"/>
      <c r="H40" s="621"/>
      <c r="I40" s="621"/>
      <c r="J40" s="621"/>
      <c r="K40" s="621"/>
      <c r="L40" s="621"/>
      <c r="M40" s="621"/>
      <c r="N40" s="621"/>
      <c r="O40" s="621"/>
      <c r="P40" s="621"/>
      <c r="Q40" s="621"/>
      <c r="R40" s="621"/>
      <c r="S40" s="621"/>
      <c r="T40" s="621"/>
      <c r="U40" s="621"/>
      <c r="V40" s="621"/>
      <c r="W40" s="621"/>
      <c r="X40" s="621"/>
      <c r="Y40" s="621"/>
      <c r="Z40" s="621"/>
      <c r="AA40" s="621"/>
      <c r="AB40" s="621"/>
      <c r="AC40" s="621"/>
    </row>
    <row r="41" spans="1:29" x14ac:dyDescent="0.2">
      <c r="A41" s="621"/>
      <c r="B41" s="621"/>
      <c r="C41" s="621"/>
      <c r="D41" s="621"/>
      <c r="E41" s="621"/>
      <c r="F41" s="621"/>
      <c r="G41" s="621"/>
      <c r="H41" s="621"/>
      <c r="I41" s="621"/>
      <c r="J41" s="621"/>
      <c r="K41" s="621"/>
      <c r="L41" s="621"/>
      <c r="M41" s="621"/>
      <c r="N41" s="621"/>
      <c r="O41" s="621"/>
      <c r="P41" s="621"/>
      <c r="Q41" s="621"/>
      <c r="R41" s="621"/>
      <c r="S41" s="621"/>
      <c r="T41" s="621"/>
      <c r="U41" s="621"/>
      <c r="V41" s="621"/>
      <c r="W41" s="621"/>
      <c r="X41" s="621"/>
      <c r="Y41" s="621"/>
      <c r="Z41" s="621"/>
      <c r="AA41" s="621"/>
      <c r="AB41" s="621"/>
      <c r="AC41" s="621"/>
    </row>
    <row r="42" spans="1:29" x14ac:dyDescent="0.2">
      <c r="A42" s="621"/>
      <c r="B42" s="621"/>
      <c r="C42" s="621"/>
      <c r="D42" s="621"/>
      <c r="E42" s="621"/>
      <c r="F42" s="621"/>
      <c r="G42" s="621"/>
      <c r="H42" s="621"/>
      <c r="I42" s="621"/>
      <c r="J42" s="621"/>
      <c r="K42" s="621"/>
      <c r="L42" s="621"/>
      <c r="M42" s="621"/>
      <c r="N42" s="621"/>
      <c r="O42" s="621"/>
      <c r="P42" s="621"/>
      <c r="Q42" s="621"/>
      <c r="R42" s="621"/>
      <c r="S42" s="621"/>
      <c r="T42" s="621"/>
      <c r="U42" s="621"/>
      <c r="V42" s="621"/>
      <c r="W42" s="621"/>
      <c r="X42" s="621"/>
      <c r="Y42" s="621"/>
      <c r="Z42" s="621"/>
      <c r="AA42" s="621"/>
      <c r="AB42" s="621"/>
      <c r="AC42" s="621"/>
    </row>
    <row r="43" spans="1:29" x14ac:dyDescent="0.2">
      <c r="A43" s="621"/>
      <c r="B43" s="621"/>
      <c r="C43" s="621"/>
      <c r="D43" s="621"/>
      <c r="E43" s="621"/>
      <c r="F43" s="621"/>
      <c r="G43" s="621"/>
      <c r="H43" s="621"/>
      <c r="I43" s="621"/>
      <c r="J43" s="621"/>
      <c r="K43" s="621"/>
      <c r="L43" s="621"/>
      <c r="M43" s="621"/>
      <c r="N43" s="621"/>
      <c r="O43" s="621"/>
      <c r="P43" s="621"/>
      <c r="Q43" s="621"/>
      <c r="R43" s="621"/>
      <c r="S43" s="621"/>
      <c r="T43" s="621"/>
      <c r="U43" s="621"/>
      <c r="V43" s="621"/>
      <c r="W43" s="621"/>
      <c r="X43" s="621"/>
      <c r="Y43" s="621"/>
      <c r="Z43" s="621"/>
      <c r="AA43" s="621"/>
      <c r="AB43" s="621"/>
      <c r="AC43" s="621"/>
    </row>
    <row r="44" spans="1:29" x14ac:dyDescent="0.2">
      <c r="A44" s="621"/>
      <c r="B44" s="621"/>
      <c r="C44" s="621"/>
      <c r="D44" s="621"/>
      <c r="E44" s="621"/>
      <c r="F44" s="621"/>
      <c r="G44" s="621"/>
      <c r="H44" s="621"/>
      <c r="I44" s="621"/>
      <c r="J44" s="621"/>
      <c r="K44" s="621"/>
      <c r="L44" s="621"/>
      <c r="M44" s="621"/>
      <c r="N44" s="621"/>
      <c r="O44" s="621"/>
      <c r="P44" s="621"/>
      <c r="Q44" s="621"/>
      <c r="R44" s="621"/>
      <c r="S44" s="621"/>
      <c r="T44" s="621"/>
      <c r="U44" s="621"/>
      <c r="V44" s="621"/>
      <c r="W44" s="621"/>
      <c r="X44" s="621"/>
      <c r="Y44" s="621"/>
      <c r="Z44" s="621"/>
      <c r="AA44" s="621"/>
      <c r="AB44" s="621"/>
      <c r="AC44" s="621"/>
    </row>
    <row r="45" spans="1:29" x14ac:dyDescent="0.2">
      <c r="A45" s="621"/>
      <c r="B45" s="621"/>
      <c r="C45" s="621"/>
      <c r="D45" s="621"/>
      <c r="E45" s="621"/>
      <c r="F45" s="621"/>
      <c r="G45" s="621"/>
      <c r="H45" s="621"/>
      <c r="I45" s="621"/>
      <c r="J45" s="621"/>
      <c r="K45" s="621"/>
      <c r="L45" s="621"/>
      <c r="M45" s="621"/>
      <c r="N45" s="621"/>
      <c r="O45" s="621"/>
      <c r="P45" s="621"/>
      <c r="Q45" s="621"/>
      <c r="R45" s="621"/>
      <c r="S45" s="621"/>
      <c r="T45" s="621"/>
      <c r="U45" s="621"/>
      <c r="V45" s="621"/>
      <c r="W45" s="621"/>
      <c r="X45" s="621"/>
      <c r="Y45" s="621"/>
      <c r="Z45" s="621"/>
      <c r="AA45" s="621"/>
      <c r="AB45" s="621"/>
      <c r="AC45" s="621"/>
    </row>
    <row r="46" spans="1:29" x14ac:dyDescent="0.2">
      <c r="A46" s="621"/>
      <c r="B46" s="621"/>
      <c r="C46" s="621"/>
      <c r="D46" s="621"/>
      <c r="E46" s="621"/>
      <c r="F46" s="621"/>
      <c r="G46" s="621"/>
      <c r="H46" s="621"/>
      <c r="I46" s="621"/>
      <c r="J46" s="621"/>
      <c r="K46" s="621"/>
      <c r="L46" s="621"/>
      <c r="M46" s="621"/>
      <c r="N46" s="621"/>
      <c r="O46" s="621"/>
      <c r="P46" s="621"/>
      <c r="Q46" s="621"/>
      <c r="R46" s="621"/>
      <c r="S46" s="621"/>
      <c r="T46" s="621"/>
      <c r="U46" s="621"/>
      <c r="V46" s="621"/>
      <c r="W46" s="621"/>
      <c r="X46" s="621"/>
      <c r="Y46" s="621"/>
      <c r="Z46" s="621"/>
      <c r="AA46" s="621"/>
      <c r="AB46" s="621"/>
      <c r="AC46" s="621"/>
    </row>
    <row r="47" spans="1:29" x14ac:dyDescent="0.2">
      <c r="A47" s="621"/>
      <c r="B47" s="621"/>
      <c r="C47" s="621"/>
      <c r="D47" s="621"/>
      <c r="E47" s="621"/>
      <c r="F47" s="621"/>
      <c r="G47" s="621"/>
      <c r="H47" s="621"/>
      <c r="I47" s="621"/>
      <c r="J47" s="621"/>
      <c r="K47" s="621"/>
      <c r="L47" s="621"/>
      <c r="M47" s="621"/>
      <c r="N47" s="621"/>
      <c r="O47" s="621"/>
      <c r="P47" s="621"/>
      <c r="Q47" s="621"/>
      <c r="R47" s="621"/>
      <c r="S47" s="621"/>
      <c r="T47" s="621"/>
      <c r="U47" s="621"/>
      <c r="V47" s="621"/>
      <c r="W47" s="621"/>
      <c r="X47" s="621"/>
      <c r="Y47" s="621"/>
      <c r="Z47" s="621"/>
      <c r="AA47" s="621"/>
      <c r="AB47" s="621"/>
      <c r="AC47" s="621"/>
    </row>
    <row r="48" spans="1:29" x14ac:dyDescent="0.2">
      <c r="A48" s="621"/>
      <c r="B48" s="621"/>
      <c r="C48" s="621"/>
      <c r="D48" s="621"/>
      <c r="E48" s="621"/>
      <c r="F48" s="621"/>
      <c r="G48" s="621"/>
      <c r="H48" s="621"/>
      <c r="I48" s="621"/>
      <c r="J48" s="621"/>
      <c r="K48" s="621"/>
      <c r="L48" s="621"/>
      <c r="M48" s="621"/>
      <c r="N48" s="621"/>
      <c r="O48" s="621"/>
      <c r="P48" s="621"/>
      <c r="Q48" s="621"/>
      <c r="R48" s="621"/>
      <c r="S48" s="621"/>
      <c r="T48" s="621"/>
      <c r="U48" s="621"/>
      <c r="V48" s="621"/>
      <c r="W48" s="621"/>
      <c r="X48" s="621"/>
      <c r="Y48" s="621"/>
      <c r="Z48" s="621"/>
      <c r="AA48" s="621"/>
      <c r="AB48" s="621"/>
      <c r="AC48" s="621"/>
    </row>
    <row r="49" spans="1:29" x14ac:dyDescent="0.2">
      <c r="A49" s="621"/>
      <c r="B49" s="621"/>
      <c r="C49" s="621"/>
      <c r="D49" s="621"/>
      <c r="E49" s="621"/>
      <c r="F49" s="621"/>
      <c r="G49" s="621"/>
      <c r="H49" s="621"/>
      <c r="I49" s="621"/>
      <c r="J49" s="621"/>
      <c r="K49" s="621"/>
      <c r="L49" s="621"/>
      <c r="M49" s="621"/>
      <c r="N49" s="621"/>
      <c r="O49" s="621"/>
      <c r="P49" s="621"/>
      <c r="Q49" s="621"/>
      <c r="R49" s="621"/>
      <c r="S49" s="621"/>
      <c r="T49" s="621"/>
      <c r="U49" s="621"/>
      <c r="V49" s="621"/>
      <c r="W49" s="621"/>
      <c r="X49" s="621"/>
      <c r="Y49" s="621"/>
      <c r="Z49" s="621"/>
      <c r="AA49" s="621"/>
      <c r="AB49" s="621"/>
      <c r="AC49" s="621"/>
    </row>
    <row r="50" spans="1:29" x14ac:dyDescent="0.2">
      <c r="A50" s="621"/>
      <c r="B50" s="621"/>
      <c r="C50" s="621"/>
      <c r="D50" s="621"/>
      <c r="E50" s="621"/>
      <c r="F50" s="621"/>
      <c r="G50" s="621"/>
      <c r="H50" s="621"/>
      <c r="I50" s="621"/>
      <c r="J50" s="621"/>
      <c r="K50" s="621"/>
      <c r="L50" s="621"/>
      <c r="M50" s="621"/>
      <c r="N50" s="621"/>
      <c r="O50" s="621"/>
      <c r="P50" s="621"/>
      <c r="Q50" s="621"/>
      <c r="R50" s="621"/>
      <c r="S50" s="621"/>
      <c r="T50" s="621"/>
      <c r="U50" s="621"/>
      <c r="V50" s="621"/>
      <c r="W50" s="621"/>
      <c r="X50" s="621"/>
      <c r="Y50" s="621"/>
      <c r="Z50" s="621"/>
      <c r="AA50" s="621"/>
      <c r="AB50" s="621"/>
      <c r="AC50" s="621"/>
    </row>
    <row r="51" spans="1:29" x14ac:dyDescent="0.2">
      <c r="A51" s="621"/>
      <c r="B51" s="621"/>
      <c r="C51" s="621"/>
      <c r="D51" s="621"/>
      <c r="E51" s="621"/>
      <c r="F51" s="621"/>
      <c r="G51" s="621"/>
      <c r="H51" s="621"/>
      <c r="I51" s="621"/>
      <c r="J51" s="621"/>
      <c r="K51" s="621"/>
      <c r="L51" s="621"/>
      <c r="M51" s="621"/>
      <c r="N51" s="621"/>
      <c r="O51" s="621"/>
      <c r="P51" s="621"/>
      <c r="Q51" s="621"/>
      <c r="R51" s="621"/>
      <c r="S51" s="621"/>
      <c r="T51" s="621"/>
      <c r="U51" s="621"/>
      <c r="V51" s="621"/>
      <c r="W51" s="621"/>
      <c r="X51" s="621"/>
      <c r="Y51" s="621"/>
      <c r="Z51" s="621"/>
      <c r="AA51" s="621"/>
      <c r="AB51" s="621"/>
      <c r="AC51" s="621"/>
    </row>
    <row r="52" spans="1:29" x14ac:dyDescent="0.2">
      <c r="A52" s="621"/>
      <c r="B52" s="621"/>
      <c r="C52" s="621"/>
      <c r="D52" s="621"/>
      <c r="E52" s="621"/>
      <c r="F52" s="621"/>
      <c r="G52" s="621"/>
      <c r="H52" s="621"/>
      <c r="I52" s="621"/>
      <c r="J52" s="621"/>
      <c r="K52" s="621"/>
      <c r="L52" s="621"/>
      <c r="M52" s="621"/>
      <c r="N52" s="621"/>
      <c r="O52" s="621"/>
      <c r="P52" s="621"/>
      <c r="Q52" s="621"/>
      <c r="R52" s="621"/>
      <c r="S52" s="621"/>
      <c r="T52" s="621"/>
      <c r="U52" s="621"/>
      <c r="V52" s="621"/>
      <c r="W52" s="621"/>
      <c r="X52" s="621"/>
      <c r="Y52" s="621"/>
      <c r="Z52" s="621"/>
      <c r="AA52" s="621"/>
      <c r="AB52" s="621"/>
      <c r="AC52" s="621"/>
    </row>
    <row r="53" spans="1:29" x14ac:dyDescent="0.2">
      <c r="A53" s="621"/>
      <c r="B53" s="621"/>
      <c r="C53" s="621"/>
      <c r="D53" s="621"/>
      <c r="E53" s="621"/>
      <c r="F53" s="621"/>
      <c r="G53" s="621"/>
      <c r="H53" s="621"/>
      <c r="I53" s="621"/>
      <c r="J53" s="621"/>
      <c r="K53" s="621"/>
      <c r="L53" s="621"/>
      <c r="M53" s="621"/>
      <c r="N53" s="621"/>
      <c r="O53" s="621"/>
      <c r="P53" s="621"/>
      <c r="Q53" s="621"/>
      <c r="R53" s="621"/>
      <c r="S53" s="621"/>
      <c r="T53" s="621"/>
      <c r="U53" s="621"/>
      <c r="V53" s="621"/>
      <c r="W53" s="621"/>
      <c r="X53" s="621"/>
      <c r="Y53" s="621"/>
      <c r="Z53" s="621"/>
      <c r="AA53" s="621"/>
      <c r="AB53" s="621"/>
      <c r="AC53" s="621"/>
    </row>
    <row r="54" spans="1:29" x14ac:dyDescent="0.2">
      <c r="A54" s="621"/>
      <c r="B54" s="621"/>
      <c r="C54" s="621"/>
      <c r="D54" s="621"/>
      <c r="E54" s="621"/>
      <c r="F54" s="621"/>
      <c r="G54" s="621"/>
      <c r="H54" s="621"/>
      <c r="I54" s="621"/>
      <c r="J54" s="621"/>
      <c r="K54" s="621"/>
      <c r="L54" s="621"/>
      <c r="M54" s="621"/>
      <c r="N54" s="621"/>
      <c r="O54" s="621"/>
      <c r="P54" s="621"/>
      <c r="Q54" s="621"/>
      <c r="R54" s="621"/>
      <c r="S54" s="621"/>
      <c r="T54" s="621"/>
      <c r="U54" s="621"/>
      <c r="V54" s="621"/>
      <c r="W54" s="621"/>
      <c r="X54" s="621"/>
      <c r="Y54" s="621"/>
      <c r="Z54" s="621"/>
      <c r="AA54" s="621"/>
      <c r="AB54" s="621"/>
      <c r="AC54" s="621"/>
    </row>
    <row r="55" spans="1:29" x14ac:dyDescent="0.2">
      <c r="A55" s="621"/>
      <c r="B55" s="621"/>
      <c r="C55" s="621"/>
      <c r="D55" s="621"/>
      <c r="E55" s="621"/>
      <c r="F55" s="621"/>
      <c r="G55" s="621"/>
      <c r="H55" s="621"/>
      <c r="I55" s="621"/>
      <c r="J55" s="621"/>
      <c r="K55" s="621"/>
      <c r="L55" s="621"/>
      <c r="M55" s="621"/>
      <c r="N55" s="621"/>
      <c r="O55" s="621"/>
      <c r="P55" s="621"/>
      <c r="Q55" s="621"/>
      <c r="R55" s="621"/>
      <c r="S55" s="621"/>
      <c r="T55" s="621"/>
      <c r="U55" s="621"/>
      <c r="V55" s="621"/>
      <c r="W55" s="621"/>
      <c r="X55" s="621"/>
      <c r="Y55" s="621"/>
      <c r="Z55" s="621"/>
      <c r="AA55" s="621"/>
      <c r="AB55" s="621"/>
      <c r="AC55" s="621"/>
    </row>
    <row r="56" spans="1:29" x14ac:dyDescent="0.2">
      <c r="A56" s="621"/>
      <c r="B56" s="621"/>
      <c r="C56" s="621"/>
      <c r="D56" s="621"/>
      <c r="E56" s="621"/>
      <c r="F56" s="621"/>
      <c r="G56" s="621"/>
      <c r="H56" s="621"/>
      <c r="I56" s="621"/>
      <c r="J56" s="621"/>
      <c r="K56" s="621"/>
      <c r="L56" s="621"/>
      <c r="M56" s="621"/>
      <c r="N56" s="621"/>
      <c r="O56" s="621"/>
      <c r="P56" s="621"/>
      <c r="Q56" s="621"/>
      <c r="R56" s="621"/>
      <c r="S56" s="621"/>
      <c r="T56" s="621"/>
      <c r="U56" s="621"/>
      <c r="V56" s="621"/>
      <c r="W56" s="621"/>
      <c r="X56" s="621"/>
      <c r="Y56" s="621"/>
      <c r="Z56" s="621"/>
      <c r="AA56" s="621"/>
      <c r="AB56" s="621"/>
      <c r="AC56" s="621"/>
    </row>
    <row r="57" spans="1:29" x14ac:dyDescent="0.2">
      <c r="A57" s="621"/>
      <c r="B57" s="621"/>
      <c r="C57" s="621"/>
      <c r="D57" s="621"/>
      <c r="E57" s="621"/>
      <c r="F57" s="621"/>
      <c r="G57" s="621"/>
      <c r="H57" s="621"/>
      <c r="I57" s="621"/>
      <c r="J57" s="621"/>
      <c r="K57" s="621"/>
      <c r="L57" s="621"/>
      <c r="M57" s="621"/>
      <c r="N57" s="621"/>
      <c r="O57" s="621"/>
      <c r="P57" s="621"/>
      <c r="Q57" s="621"/>
      <c r="R57" s="621"/>
      <c r="S57" s="621"/>
      <c r="T57" s="621"/>
      <c r="U57" s="621"/>
      <c r="V57" s="621"/>
      <c r="W57" s="621"/>
      <c r="X57" s="621"/>
      <c r="Y57" s="621"/>
      <c r="Z57" s="621"/>
      <c r="AA57" s="621"/>
      <c r="AB57" s="621"/>
      <c r="AC57" s="621"/>
    </row>
    <row r="58" spans="1:29" x14ac:dyDescent="0.2">
      <c r="A58" s="621"/>
      <c r="B58" s="621"/>
      <c r="C58" s="621"/>
      <c r="D58" s="621"/>
      <c r="E58" s="621"/>
      <c r="F58" s="621"/>
      <c r="G58" s="621"/>
      <c r="H58" s="621"/>
      <c r="I58" s="621"/>
      <c r="J58" s="621"/>
      <c r="K58" s="621"/>
      <c r="L58" s="621"/>
      <c r="M58" s="621"/>
      <c r="N58" s="621"/>
      <c r="O58" s="621"/>
      <c r="P58" s="621"/>
      <c r="Q58" s="621"/>
      <c r="R58" s="621"/>
      <c r="S58" s="621"/>
      <c r="T58" s="621"/>
      <c r="U58" s="621"/>
      <c r="V58" s="621"/>
      <c r="W58" s="621"/>
      <c r="X58" s="621"/>
      <c r="Y58" s="621"/>
      <c r="Z58" s="621"/>
      <c r="AA58" s="621"/>
      <c r="AB58" s="621"/>
      <c r="AC58" s="621"/>
    </row>
    <row r="59" spans="1:29" x14ac:dyDescent="0.2">
      <c r="A59" s="621"/>
      <c r="B59" s="621"/>
      <c r="C59" s="621"/>
      <c r="D59" s="621"/>
      <c r="E59" s="621"/>
      <c r="F59" s="621"/>
      <c r="G59" s="621"/>
      <c r="H59" s="621"/>
      <c r="I59" s="621"/>
      <c r="J59" s="621"/>
      <c r="K59" s="621"/>
      <c r="L59" s="621"/>
      <c r="M59" s="621"/>
      <c r="N59" s="621"/>
      <c r="O59" s="621"/>
      <c r="P59" s="621"/>
      <c r="Q59" s="621"/>
      <c r="R59" s="621"/>
      <c r="S59" s="621"/>
      <c r="T59" s="621"/>
      <c r="U59" s="621"/>
      <c r="V59" s="621"/>
      <c r="W59" s="621"/>
      <c r="X59" s="621"/>
      <c r="Y59" s="621"/>
      <c r="Z59" s="621"/>
      <c r="AA59" s="621"/>
      <c r="AB59" s="621"/>
      <c r="AC59" s="621"/>
    </row>
    <row r="60" spans="1:29" x14ac:dyDescent="0.2">
      <c r="A60" s="621"/>
      <c r="B60" s="621"/>
      <c r="C60" s="621"/>
      <c r="D60" s="621"/>
      <c r="E60" s="621"/>
      <c r="F60" s="621"/>
      <c r="G60" s="621"/>
      <c r="H60" s="621"/>
      <c r="I60" s="621"/>
      <c r="J60" s="621"/>
      <c r="K60" s="621"/>
      <c r="L60" s="621"/>
      <c r="M60" s="621"/>
      <c r="N60" s="621"/>
      <c r="O60" s="621"/>
      <c r="P60" s="621"/>
      <c r="Q60" s="621"/>
      <c r="R60" s="621"/>
      <c r="S60" s="621"/>
      <c r="T60" s="621"/>
      <c r="U60" s="621"/>
      <c r="V60" s="621"/>
      <c r="W60" s="621"/>
      <c r="X60" s="621"/>
      <c r="Y60" s="621"/>
      <c r="Z60" s="621"/>
      <c r="AA60" s="621"/>
      <c r="AB60" s="621"/>
      <c r="AC60" s="621"/>
    </row>
    <row r="61" spans="1:29" x14ac:dyDescent="0.2">
      <c r="A61" s="621"/>
      <c r="B61" s="621"/>
      <c r="C61" s="621"/>
      <c r="D61" s="621"/>
      <c r="E61" s="621"/>
      <c r="F61" s="621"/>
      <c r="G61" s="621"/>
      <c r="H61" s="621"/>
      <c r="I61" s="621"/>
      <c r="J61" s="621"/>
      <c r="K61" s="621"/>
      <c r="L61" s="621"/>
      <c r="M61" s="621"/>
      <c r="N61" s="621"/>
      <c r="O61" s="621"/>
      <c r="P61" s="621"/>
      <c r="Q61" s="621"/>
      <c r="R61" s="621"/>
      <c r="S61" s="621"/>
      <c r="T61" s="621"/>
      <c r="U61" s="621"/>
      <c r="V61" s="621"/>
      <c r="W61" s="621"/>
      <c r="X61" s="621"/>
      <c r="Y61" s="621"/>
      <c r="Z61" s="621"/>
      <c r="AA61" s="621"/>
      <c r="AB61" s="621"/>
      <c r="AC61" s="621"/>
    </row>
    <row r="62" spans="1:29" x14ac:dyDescent="0.2">
      <c r="A62" s="621"/>
      <c r="B62" s="621"/>
      <c r="C62" s="621"/>
      <c r="D62" s="621"/>
      <c r="E62" s="621"/>
      <c r="F62" s="621"/>
      <c r="G62" s="621"/>
      <c r="H62" s="621"/>
      <c r="I62" s="621"/>
      <c r="J62" s="621"/>
      <c r="K62" s="621"/>
      <c r="L62" s="621"/>
      <c r="M62" s="621"/>
      <c r="N62" s="621"/>
      <c r="O62" s="621"/>
      <c r="P62" s="621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</row>
    <row r="63" spans="1:29" x14ac:dyDescent="0.2">
      <c r="A63" s="621"/>
      <c r="B63" s="621"/>
      <c r="C63" s="621"/>
      <c r="D63" s="621"/>
      <c r="E63" s="621"/>
      <c r="F63" s="621"/>
      <c r="G63" s="621"/>
      <c r="H63" s="621"/>
      <c r="I63" s="621"/>
      <c r="J63" s="621"/>
      <c r="K63" s="621"/>
      <c r="L63" s="621"/>
      <c r="M63" s="621"/>
      <c r="N63" s="621"/>
      <c r="O63" s="621"/>
      <c r="P63" s="621"/>
      <c r="Q63" s="621"/>
      <c r="R63" s="621"/>
      <c r="S63" s="621"/>
      <c r="T63" s="621"/>
      <c r="U63" s="621"/>
      <c r="V63" s="621"/>
      <c r="W63" s="621"/>
      <c r="X63" s="621"/>
      <c r="Y63" s="621"/>
      <c r="Z63" s="621"/>
      <c r="AA63" s="621"/>
      <c r="AB63" s="621"/>
      <c r="AC63" s="621"/>
    </row>
    <row r="64" spans="1:29" x14ac:dyDescent="0.2">
      <c r="A64" s="621"/>
      <c r="B64" s="621"/>
      <c r="C64" s="621"/>
      <c r="D64" s="621"/>
      <c r="E64" s="621"/>
      <c r="F64" s="621"/>
      <c r="G64" s="621"/>
      <c r="H64" s="621"/>
      <c r="I64" s="621"/>
      <c r="J64" s="621"/>
      <c r="K64" s="621"/>
      <c r="L64" s="621"/>
      <c r="M64" s="621"/>
      <c r="N64" s="621"/>
      <c r="O64" s="621"/>
      <c r="P64" s="621"/>
      <c r="Q64" s="621"/>
      <c r="R64" s="621"/>
      <c r="S64" s="621"/>
      <c r="T64" s="621"/>
      <c r="U64" s="621"/>
      <c r="V64" s="621"/>
      <c r="W64" s="621"/>
      <c r="X64" s="621"/>
      <c r="Y64" s="621"/>
      <c r="Z64" s="621"/>
      <c r="AA64" s="621"/>
      <c r="AB64" s="621"/>
      <c r="AC64" s="621"/>
    </row>
    <row r="65" spans="1:29" x14ac:dyDescent="0.2">
      <c r="A65" s="621"/>
      <c r="B65" s="621"/>
      <c r="C65" s="621"/>
      <c r="D65" s="621"/>
      <c r="E65" s="621"/>
      <c r="F65" s="621"/>
      <c r="G65" s="621"/>
      <c r="H65" s="621"/>
      <c r="I65" s="621"/>
      <c r="J65" s="621"/>
      <c r="K65" s="621"/>
      <c r="L65" s="621"/>
      <c r="M65" s="621"/>
      <c r="N65" s="621"/>
      <c r="O65" s="621"/>
      <c r="P65" s="621"/>
      <c r="Q65" s="621"/>
      <c r="R65" s="621"/>
      <c r="S65" s="621"/>
      <c r="T65" s="621"/>
      <c r="U65" s="621"/>
      <c r="V65" s="621"/>
      <c r="W65" s="621"/>
      <c r="X65" s="621"/>
      <c r="Y65" s="621"/>
      <c r="Z65" s="621"/>
      <c r="AA65" s="621"/>
      <c r="AB65" s="621"/>
      <c r="AC65" s="621"/>
    </row>
    <row r="66" spans="1:29" x14ac:dyDescent="0.2">
      <c r="A66" s="621"/>
      <c r="B66" s="621"/>
      <c r="C66" s="621"/>
      <c r="D66" s="621"/>
      <c r="E66" s="621"/>
      <c r="F66" s="621"/>
      <c r="G66" s="621"/>
      <c r="H66" s="621"/>
      <c r="I66" s="621"/>
      <c r="J66" s="621"/>
      <c r="K66" s="621"/>
      <c r="L66" s="621"/>
      <c r="M66" s="621"/>
      <c r="N66" s="621"/>
      <c r="O66" s="621"/>
      <c r="P66" s="621"/>
      <c r="Q66" s="621"/>
      <c r="R66" s="621"/>
      <c r="S66" s="621"/>
      <c r="T66" s="621"/>
      <c r="U66" s="621"/>
      <c r="V66" s="621"/>
      <c r="W66" s="621"/>
      <c r="X66" s="621"/>
      <c r="Y66" s="621"/>
      <c r="Z66" s="621"/>
      <c r="AA66" s="621"/>
      <c r="AB66" s="621"/>
      <c r="AC66" s="621"/>
    </row>
    <row r="67" spans="1:29" x14ac:dyDescent="0.2">
      <c r="A67" s="621"/>
      <c r="B67" s="621"/>
      <c r="C67" s="621"/>
      <c r="D67" s="621"/>
      <c r="E67" s="621"/>
      <c r="F67" s="621"/>
      <c r="G67" s="621"/>
      <c r="H67" s="621"/>
      <c r="I67" s="621"/>
      <c r="J67" s="621"/>
      <c r="K67" s="621"/>
      <c r="L67" s="621"/>
      <c r="M67" s="621"/>
      <c r="N67" s="621"/>
      <c r="O67" s="621"/>
      <c r="P67" s="621"/>
      <c r="Q67" s="621"/>
      <c r="R67" s="621"/>
      <c r="S67" s="621"/>
      <c r="T67" s="621"/>
      <c r="U67" s="621"/>
      <c r="V67" s="621"/>
      <c r="W67" s="621"/>
      <c r="X67" s="621"/>
      <c r="Y67" s="621"/>
      <c r="Z67" s="621"/>
      <c r="AA67" s="621"/>
      <c r="AB67" s="621"/>
      <c r="AC67" s="621"/>
    </row>
    <row r="68" spans="1:29" x14ac:dyDescent="0.2">
      <c r="A68" s="621"/>
      <c r="B68" s="621"/>
      <c r="C68" s="621"/>
      <c r="D68" s="621"/>
      <c r="E68" s="621"/>
      <c r="F68" s="621"/>
      <c r="G68" s="621"/>
      <c r="H68" s="621"/>
      <c r="I68" s="621"/>
      <c r="J68" s="621"/>
      <c r="K68" s="621"/>
      <c r="L68" s="621"/>
      <c r="M68" s="621"/>
      <c r="N68" s="621"/>
      <c r="O68" s="621"/>
      <c r="P68" s="621"/>
      <c r="Q68" s="621"/>
      <c r="R68" s="621"/>
      <c r="S68" s="621"/>
      <c r="T68" s="621"/>
      <c r="U68" s="621"/>
      <c r="V68" s="621"/>
      <c r="W68" s="621"/>
      <c r="X68" s="621"/>
      <c r="Y68" s="621"/>
      <c r="Z68" s="621"/>
      <c r="AA68" s="621"/>
      <c r="AB68" s="621"/>
      <c r="AC68" s="621"/>
    </row>
    <row r="69" spans="1:29" x14ac:dyDescent="0.2">
      <c r="A69" s="621"/>
      <c r="B69" s="621"/>
      <c r="C69" s="621"/>
      <c r="D69" s="621"/>
      <c r="E69" s="621"/>
      <c r="F69" s="621"/>
      <c r="G69" s="621"/>
      <c r="H69" s="621"/>
      <c r="I69" s="621"/>
      <c r="J69" s="621"/>
      <c r="K69" s="621"/>
      <c r="L69" s="621"/>
      <c r="M69" s="621"/>
      <c r="N69" s="621"/>
      <c r="O69" s="621"/>
      <c r="P69" s="621"/>
      <c r="Q69" s="621"/>
      <c r="R69" s="621"/>
      <c r="S69" s="621"/>
      <c r="T69" s="621"/>
      <c r="U69" s="621"/>
      <c r="V69" s="621"/>
      <c r="W69" s="621"/>
      <c r="X69" s="621"/>
      <c r="Y69" s="621"/>
      <c r="Z69" s="621"/>
      <c r="AA69" s="621"/>
      <c r="AB69" s="621"/>
      <c r="AC69" s="621"/>
    </row>
    <row r="70" spans="1:29" x14ac:dyDescent="0.2">
      <c r="A70" s="621"/>
      <c r="B70" s="621"/>
      <c r="C70" s="621"/>
      <c r="D70" s="621"/>
      <c r="E70" s="621"/>
      <c r="F70" s="621"/>
      <c r="G70" s="621"/>
      <c r="H70" s="621"/>
      <c r="I70" s="621"/>
      <c r="J70" s="621"/>
      <c r="K70" s="621"/>
      <c r="L70" s="621"/>
      <c r="M70" s="621"/>
      <c r="N70" s="621"/>
      <c r="O70" s="621"/>
      <c r="P70" s="621"/>
      <c r="Q70" s="621"/>
      <c r="R70" s="621"/>
      <c r="S70" s="621"/>
      <c r="T70" s="621"/>
      <c r="U70" s="621"/>
      <c r="V70" s="621"/>
      <c r="W70" s="621"/>
      <c r="X70" s="621"/>
      <c r="Y70" s="621"/>
      <c r="Z70" s="621"/>
      <c r="AA70" s="621"/>
      <c r="AB70" s="621"/>
      <c r="AC70" s="621"/>
    </row>
    <row r="71" spans="1:29" x14ac:dyDescent="0.2">
      <c r="A71" s="621"/>
      <c r="B71" s="621"/>
      <c r="C71" s="621"/>
      <c r="D71" s="621"/>
      <c r="E71" s="621"/>
      <c r="F71" s="621"/>
      <c r="G71" s="621"/>
      <c r="H71" s="621"/>
      <c r="I71" s="621"/>
      <c r="J71" s="621"/>
      <c r="K71" s="621"/>
      <c r="L71" s="621"/>
      <c r="M71" s="621"/>
      <c r="N71" s="621"/>
      <c r="O71" s="621"/>
      <c r="P71" s="621"/>
      <c r="Q71" s="621"/>
      <c r="R71" s="621"/>
      <c r="S71" s="621"/>
      <c r="T71" s="621"/>
      <c r="U71" s="621"/>
      <c r="V71" s="621"/>
      <c r="W71" s="621"/>
      <c r="X71" s="621"/>
      <c r="Y71" s="621"/>
      <c r="Z71" s="621"/>
      <c r="AA71" s="621"/>
      <c r="AB71" s="621"/>
      <c r="AC71" s="621"/>
    </row>
    <row r="72" spans="1:29" x14ac:dyDescent="0.2">
      <c r="A72" s="621"/>
      <c r="B72" s="621"/>
      <c r="C72" s="621"/>
      <c r="D72" s="621"/>
      <c r="E72" s="621"/>
      <c r="F72" s="621"/>
      <c r="G72" s="621"/>
      <c r="H72" s="621"/>
      <c r="I72" s="621"/>
      <c r="J72" s="621"/>
      <c r="K72" s="621"/>
      <c r="L72" s="621"/>
      <c r="M72" s="621"/>
      <c r="N72" s="621"/>
      <c r="O72" s="621"/>
      <c r="P72" s="621"/>
      <c r="Q72" s="621"/>
      <c r="R72" s="621"/>
      <c r="S72" s="621"/>
      <c r="T72" s="621"/>
      <c r="U72" s="621"/>
      <c r="V72" s="621"/>
      <c r="W72" s="621"/>
      <c r="X72" s="621"/>
      <c r="Y72" s="621"/>
      <c r="Z72" s="621"/>
      <c r="AA72" s="621"/>
      <c r="AB72" s="621"/>
      <c r="AC72" s="621"/>
    </row>
    <row r="73" spans="1:29" x14ac:dyDescent="0.2">
      <c r="A73" s="621"/>
      <c r="B73" s="621"/>
      <c r="C73" s="621"/>
      <c r="D73" s="621"/>
      <c r="E73" s="621"/>
      <c r="F73" s="621"/>
      <c r="G73" s="621"/>
      <c r="H73" s="621"/>
      <c r="I73" s="621"/>
      <c r="J73" s="621"/>
      <c r="K73" s="621"/>
      <c r="L73" s="621"/>
      <c r="M73" s="621"/>
      <c r="N73" s="621"/>
      <c r="O73" s="621"/>
      <c r="P73" s="621"/>
      <c r="Q73" s="621"/>
      <c r="R73" s="621"/>
      <c r="S73" s="621"/>
      <c r="T73" s="621"/>
      <c r="U73" s="621"/>
      <c r="V73" s="621"/>
      <c r="W73" s="621"/>
      <c r="X73" s="621"/>
      <c r="Y73" s="621"/>
      <c r="Z73" s="621"/>
      <c r="AA73" s="621"/>
      <c r="AB73" s="621"/>
      <c r="AC73" s="621"/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DR116"/>
  <sheetViews>
    <sheetView showGridLines="0" zoomScale="90" zoomScaleNormal="90" workbookViewId="0"/>
  </sheetViews>
  <sheetFormatPr defaultRowHeight="12.75" x14ac:dyDescent="0.2"/>
  <cols>
    <col min="1" max="2" width="2.42578125" style="637" customWidth="1"/>
    <col min="3" max="3" width="40.7109375" style="637" customWidth="1"/>
    <col min="4" max="4" width="2.42578125" style="637" customWidth="1"/>
    <col min="5" max="9" width="8.140625" style="637" customWidth="1"/>
    <col min="10" max="11" width="2.42578125" style="637" customWidth="1"/>
    <col min="12" max="12" width="40.7109375" style="637" customWidth="1"/>
    <col min="13" max="13" width="2.42578125" style="637" customWidth="1"/>
    <col min="14" max="14" width="7.7109375" style="637" hidden="1" customWidth="1"/>
    <col min="15" max="16" width="8.140625" style="637" hidden="1" customWidth="1"/>
    <col min="17" max="21" width="8.140625" style="637" customWidth="1"/>
    <col min="22" max="22" width="9.140625" style="715"/>
    <col min="23" max="16384" width="9.140625" style="637"/>
  </cols>
  <sheetData>
    <row r="1" spans="1:122" s="671" customFormat="1" ht="15" customHeight="1" x14ac:dyDescent="0.25">
      <c r="A1" s="678"/>
      <c r="B1" s="678"/>
      <c r="C1" s="678"/>
      <c r="D1" s="678"/>
      <c r="E1" s="675"/>
      <c r="F1" s="675"/>
      <c r="G1" s="675"/>
      <c r="H1" s="675"/>
      <c r="I1" s="675"/>
      <c r="J1" s="678"/>
      <c r="K1" s="678"/>
      <c r="L1" s="678"/>
      <c r="M1" s="678"/>
      <c r="N1" s="675"/>
      <c r="O1" s="675"/>
      <c r="P1" s="675"/>
      <c r="Q1" s="675"/>
      <c r="R1" s="675"/>
      <c r="S1" s="675"/>
      <c r="T1" s="675"/>
      <c r="U1" s="675"/>
      <c r="V1" s="713"/>
      <c r="W1" s="675"/>
      <c r="X1" s="675"/>
      <c r="Y1" s="675"/>
      <c r="Z1" s="675"/>
      <c r="AA1" s="675"/>
      <c r="AB1" s="675"/>
      <c r="AC1" s="675"/>
      <c r="AD1" s="675"/>
      <c r="AE1" s="675"/>
      <c r="AF1" s="675"/>
      <c r="AG1" s="675"/>
      <c r="AH1" s="675"/>
      <c r="AI1" s="675"/>
      <c r="AJ1" s="675"/>
      <c r="AK1" s="675"/>
      <c r="AL1" s="675"/>
      <c r="AM1" s="675"/>
      <c r="AN1" s="675"/>
      <c r="AO1" s="675"/>
      <c r="AP1" s="675"/>
      <c r="AQ1" s="675"/>
      <c r="AR1" s="675"/>
      <c r="AS1" s="675"/>
      <c r="AT1" s="675"/>
      <c r="AU1" s="675"/>
      <c r="AV1" s="675"/>
      <c r="AW1" s="675"/>
      <c r="AX1" s="675"/>
      <c r="AY1" s="675"/>
      <c r="AZ1" s="675"/>
      <c r="BA1" s="675"/>
      <c r="BB1" s="675"/>
      <c r="BC1" s="675"/>
      <c r="BD1" s="675"/>
      <c r="BE1" s="675"/>
      <c r="BF1" s="675"/>
      <c r="BG1" s="675"/>
      <c r="BH1" s="675"/>
      <c r="BI1" s="675"/>
      <c r="BJ1" s="675"/>
      <c r="BK1" s="675"/>
      <c r="BL1" s="675"/>
      <c r="BM1" s="675"/>
      <c r="BN1" s="675"/>
      <c r="BO1" s="675"/>
      <c r="DM1" s="679"/>
      <c r="DN1" s="679"/>
      <c r="DO1" s="679"/>
      <c r="DP1" s="679"/>
      <c r="DQ1" s="679"/>
      <c r="DR1" s="679"/>
    </row>
    <row r="2" spans="1:122" s="671" customFormat="1" ht="15" customHeight="1" x14ac:dyDescent="0.25">
      <c r="A2" s="678"/>
      <c r="B2" s="678" t="str">
        <f>+Cover!B2</f>
        <v>Spirit Airlines</v>
      </c>
      <c r="C2" s="678"/>
      <c r="D2" s="678"/>
      <c r="E2" s="675"/>
      <c r="F2" s="675"/>
      <c r="G2" s="675"/>
      <c r="H2" s="675"/>
      <c r="I2" s="675"/>
      <c r="J2" s="678"/>
      <c r="K2" s="678"/>
      <c r="L2" s="678"/>
      <c r="M2" s="678"/>
      <c r="N2" s="675"/>
      <c r="O2" s="675"/>
      <c r="P2" s="675"/>
      <c r="Q2" s="675"/>
      <c r="R2" s="675"/>
      <c r="S2" s="675"/>
      <c r="T2" s="675"/>
      <c r="U2" s="675"/>
      <c r="V2" s="713"/>
      <c r="W2" s="675"/>
      <c r="X2" s="675"/>
      <c r="Y2" s="675"/>
      <c r="Z2" s="675"/>
      <c r="AA2" s="675"/>
      <c r="AB2" s="675"/>
      <c r="AC2" s="675"/>
      <c r="AD2" s="675"/>
      <c r="AE2" s="675"/>
      <c r="AF2" s="675"/>
      <c r="AG2" s="675"/>
      <c r="AH2" s="675"/>
      <c r="AI2" s="675"/>
      <c r="AJ2" s="675"/>
      <c r="AK2" s="675"/>
      <c r="AL2" s="675"/>
      <c r="AM2" s="675"/>
      <c r="AN2" s="675"/>
      <c r="AO2" s="675"/>
      <c r="AP2" s="675"/>
      <c r="AQ2" s="675"/>
      <c r="AR2" s="675"/>
      <c r="AS2" s="675"/>
      <c r="AT2" s="675"/>
      <c r="AU2" s="675"/>
      <c r="AV2" s="675"/>
      <c r="AW2" s="675"/>
      <c r="AX2" s="675"/>
      <c r="AY2" s="675"/>
      <c r="AZ2" s="675"/>
      <c r="BA2" s="675"/>
      <c r="BB2" s="675"/>
      <c r="BC2" s="675"/>
      <c r="BD2" s="675"/>
      <c r="BE2" s="675"/>
      <c r="BF2" s="675"/>
      <c r="BG2" s="675"/>
      <c r="BH2" s="675"/>
      <c r="BI2" s="675"/>
      <c r="BJ2" s="675"/>
      <c r="BK2" s="675"/>
      <c r="BL2" s="675"/>
      <c r="BM2" s="675"/>
      <c r="BN2" s="675"/>
      <c r="BO2" s="675"/>
    </row>
    <row r="3" spans="1:122" s="671" customFormat="1" ht="15" customHeight="1" x14ac:dyDescent="0.25">
      <c r="A3" s="676"/>
      <c r="B3" s="677" t="s">
        <v>65</v>
      </c>
      <c r="C3" s="677"/>
      <c r="D3" s="676"/>
      <c r="E3" s="675"/>
      <c r="F3" s="675"/>
      <c r="G3" s="675"/>
      <c r="H3" s="675"/>
      <c r="I3" s="675"/>
      <c r="J3" s="676"/>
      <c r="K3" s="677"/>
      <c r="L3" s="677"/>
      <c r="M3" s="676"/>
      <c r="N3" s="675"/>
      <c r="O3" s="675"/>
      <c r="P3" s="675"/>
      <c r="Q3" s="675"/>
      <c r="R3" s="675"/>
      <c r="S3" s="675"/>
      <c r="T3" s="675"/>
      <c r="U3" s="675"/>
      <c r="V3" s="713"/>
      <c r="W3" s="675"/>
      <c r="X3" s="675"/>
      <c r="Y3" s="675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5"/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5"/>
      <c r="AW3" s="675"/>
      <c r="AX3" s="675"/>
      <c r="AY3" s="675"/>
      <c r="AZ3" s="675"/>
      <c r="BA3" s="675"/>
      <c r="BB3" s="675"/>
      <c r="BC3" s="675"/>
      <c r="BD3" s="675"/>
      <c r="BE3" s="675"/>
      <c r="BF3" s="675"/>
      <c r="BG3" s="675"/>
      <c r="BH3" s="675"/>
      <c r="BI3" s="675"/>
      <c r="BJ3" s="675"/>
      <c r="BK3" s="675"/>
      <c r="BL3" s="675"/>
      <c r="BM3" s="675"/>
      <c r="BN3" s="675"/>
      <c r="BO3" s="675"/>
    </row>
    <row r="4" spans="1:122" s="671" customFormat="1" x14ac:dyDescent="0.2">
      <c r="A4" s="673"/>
      <c r="B4" s="674" t="s">
        <v>422</v>
      </c>
      <c r="C4" s="674"/>
      <c r="D4" s="673"/>
      <c r="E4" s="672"/>
      <c r="F4" s="672"/>
      <c r="G4" s="672"/>
      <c r="H4" s="672"/>
      <c r="I4" s="672"/>
      <c r="J4" s="673"/>
      <c r="K4" s="674"/>
      <c r="L4" s="674"/>
      <c r="M4" s="673"/>
      <c r="N4" s="672"/>
      <c r="O4" s="672"/>
      <c r="P4" s="672"/>
      <c r="Q4" s="672"/>
      <c r="R4" s="672"/>
      <c r="S4" s="672"/>
      <c r="T4" s="672"/>
      <c r="U4" s="672"/>
      <c r="V4" s="714"/>
      <c r="W4" s="672"/>
      <c r="X4" s="672"/>
      <c r="Y4" s="672"/>
      <c r="Z4" s="672"/>
      <c r="AA4" s="672"/>
      <c r="AB4" s="672"/>
      <c r="AC4" s="672"/>
      <c r="AD4" s="672"/>
      <c r="AE4" s="672"/>
      <c r="AF4" s="672"/>
      <c r="AG4" s="672"/>
      <c r="AH4" s="672"/>
      <c r="AI4" s="672"/>
      <c r="AJ4" s="672"/>
      <c r="AK4" s="672"/>
      <c r="AL4" s="672"/>
      <c r="AM4" s="672"/>
      <c r="AN4" s="672"/>
      <c r="AO4" s="672"/>
      <c r="AP4" s="672"/>
      <c r="AQ4" s="672"/>
      <c r="AR4" s="672"/>
      <c r="AS4" s="672"/>
      <c r="AT4" s="672"/>
      <c r="AU4" s="672"/>
      <c r="AV4" s="672"/>
      <c r="AW4" s="672"/>
      <c r="AX4" s="672"/>
      <c r="AY4" s="672"/>
      <c r="AZ4" s="672"/>
      <c r="BA4" s="672"/>
      <c r="BB4" s="672"/>
      <c r="BC4" s="672"/>
      <c r="BD4" s="672"/>
      <c r="BE4" s="672"/>
      <c r="BF4" s="672"/>
      <c r="BG4" s="672"/>
      <c r="BH4" s="672"/>
      <c r="BI4" s="672"/>
      <c r="BJ4" s="672"/>
      <c r="BK4" s="672"/>
      <c r="BL4" s="672"/>
      <c r="BM4" s="672"/>
      <c r="BN4" s="672"/>
      <c r="BO4" s="672"/>
    </row>
    <row r="5" spans="1:122" x14ac:dyDescent="0.2">
      <c r="G5" s="708"/>
    </row>
    <row r="6" spans="1:122" x14ac:dyDescent="0.2">
      <c r="B6" s="660" t="s">
        <v>421</v>
      </c>
      <c r="C6" s="659"/>
      <c r="D6" s="659"/>
      <c r="E6" s="670"/>
      <c r="F6" s="670" t="s">
        <v>420</v>
      </c>
      <c r="G6" s="670" t="s">
        <v>419</v>
      </c>
      <c r="H6" s="670" t="s">
        <v>418</v>
      </c>
      <c r="K6" s="660" t="s">
        <v>400</v>
      </c>
      <c r="L6" s="659"/>
      <c r="M6" s="659"/>
      <c r="N6" s="669">
        <f>+O6-1</f>
        <v>2013</v>
      </c>
      <c r="O6" s="669">
        <f>+P6-1</f>
        <v>2014</v>
      </c>
      <c r="P6" s="669">
        <f>+Q6-1</f>
        <v>2015</v>
      </c>
      <c r="Q6" s="669">
        <f>+R6-1</f>
        <v>2016</v>
      </c>
      <c r="R6" s="669">
        <f>+S6-1</f>
        <v>2017</v>
      </c>
      <c r="S6" s="710">
        <v>2018</v>
      </c>
      <c r="T6" s="710">
        <v>2019</v>
      </c>
      <c r="U6" s="710">
        <v>2020</v>
      </c>
    </row>
    <row r="7" spans="1:122" x14ac:dyDescent="0.2">
      <c r="C7" s="637" t="s">
        <v>417</v>
      </c>
      <c r="E7" s="656"/>
      <c r="F7" s="656">
        <v>2019</v>
      </c>
      <c r="G7" s="656">
        <v>2019</v>
      </c>
      <c r="H7" s="656">
        <v>2019</v>
      </c>
      <c r="K7" s="647"/>
      <c r="N7" s="645"/>
      <c r="O7" s="645"/>
      <c r="P7" s="645"/>
      <c r="Q7" s="645"/>
      <c r="R7" s="645"/>
      <c r="S7" s="645"/>
      <c r="T7" s="645"/>
      <c r="U7" s="645"/>
    </row>
    <row r="8" spans="1:122" x14ac:dyDescent="0.2">
      <c r="E8" s="656"/>
      <c r="F8" s="656"/>
      <c r="G8" s="656"/>
      <c r="H8" s="656"/>
      <c r="L8" s="705" t="s">
        <v>53</v>
      </c>
    </row>
    <row r="9" spans="1:122" x14ac:dyDescent="0.2">
      <c r="C9" s="668" t="s">
        <v>414</v>
      </c>
      <c r="D9" s="667"/>
      <c r="E9" s="666"/>
      <c r="F9" s="880">
        <f>MROUND(F34+F61,1)</f>
        <v>16</v>
      </c>
      <c r="G9" s="880">
        <f>MROUND(G34+G61,1)</f>
        <v>44</v>
      </c>
      <c r="H9" s="881">
        <f>MROUND(H34+H61,1)</f>
        <v>61</v>
      </c>
      <c r="L9" s="637" t="s">
        <v>398</v>
      </c>
      <c r="N9" s="638">
        <f>+Model!AJ29</f>
        <v>986.01800000000003</v>
      </c>
      <c r="O9" s="638">
        <f>+Model!AO29</f>
        <v>1144.972</v>
      </c>
      <c r="P9" s="638">
        <f>+Model!AT29</f>
        <v>1169.338</v>
      </c>
      <c r="Q9" s="638">
        <f>+Model!AY29</f>
        <v>1200.6210000000001</v>
      </c>
      <c r="R9" s="638">
        <f>+Model!BD29</f>
        <v>1366.0340000000001</v>
      </c>
      <c r="S9" s="638">
        <f>+Model!BI29</f>
        <v>1647.8931803200001</v>
      </c>
      <c r="T9" s="638">
        <f>+Model!BN29</f>
        <v>1835.3410295813999</v>
      </c>
      <c r="U9" s="638">
        <f>+Model!BS29</f>
        <v>2044.1110716962844</v>
      </c>
      <c r="Y9" s="645"/>
    </row>
    <row r="10" spans="1:122" x14ac:dyDescent="0.2">
      <c r="C10" s="637" t="s">
        <v>96</v>
      </c>
      <c r="E10" s="663"/>
      <c r="F10" s="882">
        <f>+G10</f>
        <v>35.840000000000003</v>
      </c>
      <c r="G10" s="883">
        <v>35.840000000000003</v>
      </c>
      <c r="H10" s="882">
        <f>+G10</f>
        <v>35.840000000000003</v>
      </c>
      <c r="L10" s="637" t="s">
        <v>396</v>
      </c>
      <c r="N10" s="638">
        <f t="shared" ref="N10:S10" si="0">+N11-N9</f>
        <v>668.36699999999996</v>
      </c>
      <c r="O10" s="638">
        <f t="shared" si="0"/>
        <v>786.60799999999995</v>
      </c>
      <c r="P10" s="638">
        <f t="shared" si="0"/>
        <v>972.12500000000023</v>
      </c>
      <c r="Q10" s="638">
        <f t="shared" si="0"/>
        <v>1121.335</v>
      </c>
      <c r="R10" s="638">
        <f t="shared" si="0"/>
        <v>1281.6320000000001</v>
      </c>
      <c r="S10" s="638">
        <f t="shared" si="0"/>
        <v>1544.5228235084112</v>
      </c>
      <c r="T10" s="638">
        <f t="shared" ref="T10:U10" si="1">+T11-T9</f>
        <v>1772.3399399759021</v>
      </c>
      <c r="U10" s="638">
        <f t="shared" si="1"/>
        <v>2033.7600811223469</v>
      </c>
      <c r="X10" s="887"/>
    </row>
    <row r="11" spans="1:122" s="652" customFormat="1" x14ac:dyDescent="0.2">
      <c r="C11" s="652" t="s">
        <v>412</v>
      </c>
      <c r="E11" s="664"/>
      <c r="F11" s="664">
        <f>+F9/F10-1</f>
        <v>-0.5535714285714286</v>
      </c>
      <c r="G11" s="664">
        <f>+G9/G10-1</f>
        <v>0.2276785714285714</v>
      </c>
      <c r="H11" s="664">
        <f>+H9/H10-1</f>
        <v>0.70200892857142838</v>
      </c>
      <c r="I11" s="637"/>
      <c r="K11" s="637"/>
      <c r="L11" s="647" t="s">
        <v>395</v>
      </c>
      <c r="M11" s="647"/>
      <c r="N11" s="646">
        <f>+Model!AJ43</f>
        <v>1654.385</v>
      </c>
      <c r="O11" s="646">
        <f>+Model!AO43</f>
        <v>1931.58</v>
      </c>
      <c r="P11" s="646">
        <f>+Model!AT43</f>
        <v>2141.4630000000002</v>
      </c>
      <c r="Q11" s="646">
        <f>+Model!AY43</f>
        <v>2321.9560000000001</v>
      </c>
      <c r="R11" s="646">
        <f>+Model!BD43</f>
        <v>2647.6660000000002</v>
      </c>
      <c r="S11" s="646">
        <f>+Model!BI43</f>
        <v>3192.4160038284112</v>
      </c>
      <c r="T11" s="646">
        <f>+Model!BN43</f>
        <v>3607.680969557302</v>
      </c>
      <c r="U11" s="646">
        <f>+Model!BS43</f>
        <v>4077.8711528186313</v>
      </c>
      <c r="V11" s="704"/>
      <c r="X11" s="887"/>
    </row>
    <row r="12" spans="1:122" x14ac:dyDescent="0.2">
      <c r="P12" s="645"/>
      <c r="Q12" s="645"/>
      <c r="R12" s="645"/>
      <c r="S12" s="773"/>
      <c r="T12" s="645"/>
      <c r="U12" s="645"/>
      <c r="X12" s="887"/>
    </row>
    <row r="13" spans="1:122" s="652" customFormat="1" x14ac:dyDescent="0.2">
      <c r="C13" s="688" t="s">
        <v>429</v>
      </c>
      <c r="D13" s="689"/>
      <c r="E13" s="690"/>
      <c r="F13" s="690">
        <f>(F9*F32-F29)/(F17+F18+F19+F20)</f>
        <v>5.7755711576302389</v>
      </c>
      <c r="G13" s="690">
        <f>(G9*G32-G29)/G17</f>
        <v>6.6520229116012999</v>
      </c>
      <c r="H13" s="691">
        <f>(H9*H32-H29)/(H17+H18+H19+H20)</f>
        <v>7.7023669085622801</v>
      </c>
      <c r="K13" s="637"/>
      <c r="L13" s="637" t="s">
        <v>392</v>
      </c>
      <c r="M13" s="637"/>
      <c r="N13" s="638">
        <f>+Model!AJ53</f>
        <v>262.14999999999998</v>
      </c>
      <c r="O13" s="638">
        <f>+Model!AO53</f>
        <v>313.988</v>
      </c>
      <c r="P13" s="638">
        <f>+Model!AT53</f>
        <v>378.21000000000004</v>
      </c>
      <c r="Q13" s="638">
        <f>+Model!AY53</f>
        <v>472.471</v>
      </c>
      <c r="R13" s="638">
        <f>+Model!BD53</f>
        <v>527.95900000000006</v>
      </c>
      <c r="S13" s="638">
        <f>+Model!BI53</f>
        <v>726.77408539999999</v>
      </c>
      <c r="T13" s="638">
        <f>+Model!BN53</f>
        <v>842.14947145725</v>
      </c>
      <c r="U13" s="638">
        <f>+Model!BS53</f>
        <v>947.41815538940614</v>
      </c>
      <c r="V13" s="733"/>
      <c r="X13" s="887"/>
    </row>
    <row r="14" spans="1:122" s="652" customFormat="1" x14ac:dyDescent="0.2">
      <c r="C14" s="692" t="s">
        <v>409</v>
      </c>
      <c r="D14" s="693"/>
      <c r="E14" s="694"/>
      <c r="F14" s="694">
        <f>F9/($T$29+((F18+F19+F20)*(1-38%))/T28)</f>
        <v>6.9824753402803488</v>
      </c>
      <c r="G14" s="694">
        <f>G9/$T$29</f>
        <v>10.758999407329824</v>
      </c>
      <c r="H14" s="695">
        <f>H9/($T$29+((H18+H19+H20)*(1-38%))/T28)</f>
        <v>13.949782761068773</v>
      </c>
      <c r="I14" s="707"/>
      <c r="K14" s="637"/>
      <c r="L14" s="637" t="s">
        <v>391</v>
      </c>
      <c r="M14" s="637"/>
      <c r="N14" s="638">
        <f>+Model!AJ57</f>
        <v>551.48099999999999</v>
      </c>
      <c r="O14" s="638">
        <f>+Model!AO57</f>
        <v>599.75099999999998</v>
      </c>
      <c r="P14" s="638">
        <f>+Model!AT57</f>
        <v>465.327</v>
      </c>
      <c r="Q14" s="638">
        <f>+Model!AY57</f>
        <v>447.553</v>
      </c>
      <c r="R14" s="638">
        <f>+Model!BD57</f>
        <v>615.58100000000002</v>
      </c>
      <c r="S14" s="638">
        <f>+Model!BI57</f>
        <v>897.51082166999981</v>
      </c>
      <c r="T14" s="638">
        <f>+Model!BN57</f>
        <v>957.9232143321185</v>
      </c>
      <c r="U14" s="638">
        <f>+Model!BS57</f>
        <v>1019.9691859433559</v>
      </c>
      <c r="V14" s="715"/>
      <c r="X14" s="888"/>
    </row>
    <row r="15" spans="1:122" x14ac:dyDescent="0.2">
      <c r="B15" s="652"/>
      <c r="C15" s="696" t="s">
        <v>431</v>
      </c>
      <c r="D15" s="697"/>
      <c r="E15" s="698"/>
      <c r="F15" s="699">
        <f>($T$44/$T$28+((F18+F19+F20)*(1-38%))/T28)/F9</f>
        <v>-0.44636525351982309</v>
      </c>
      <c r="G15" s="699">
        <f>($T$44/$T$28)/G9</f>
        <v>-0.12144762298702685</v>
      </c>
      <c r="H15" s="700">
        <f>($T$44/$T$28+((H18+H19+H20)*(1-38%))/T28)/H9</f>
        <v>-8.2958476861681868E-2</v>
      </c>
      <c r="I15" s="652"/>
      <c r="K15" s="652"/>
      <c r="L15" s="637" t="s">
        <v>130</v>
      </c>
      <c r="N15" s="640">
        <f t="shared" ref="N15:S15" si="2">+N19-N16-N17-N14-N13-N18</f>
        <v>295.67099999999994</v>
      </c>
      <c r="O15" s="640">
        <f t="shared" si="2"/>
        <v>328.26400000000007</v>
      </c>
      <c r="P15" s="640">
        <f t="shared" si="2"/>
        <v>424.5200000000001</v>
      </c>
      <c r="Q15" s="640">
        <f t="shared" si="2"/>
        <v>515.49699999999984</v>
      </c>
      <c r="R15" s="640">
        <f t="shared" si="2"/>
        <v>646.1809999999997</v>
      </c>
      <c r="S15" s="640">
        <f t="shared" si="2"/>
        <v>717.72148980000009</v>
      </c>
      <c r="T15" s="640">
        <f t="shared" ref="T15:U15" si="3">+T19-T16-T17-T14-T13-T18</f>
        <v>799.36230926475037</v>
      </c>
      <c r="U15" s="640">
        <f t="shared" si="3"/>
        <v>912.77183689168635</v>
      </c>
      <c r="V15" s="733"/>
      <c r="W15" s="663"/>
      <c r="X15" s="887"/>
    </row>
    <row r="16" spans="1:122" x14ac:dyDescent="0.2">
      <c r="L16" s="637" t="s">
        <v>66</v>
      </c>
      <c r="N16" s="638">
        <f>+Model!AJ92</f>
        <v>31.946999999999999</v>
      </c>
      <c r="O16" s="638">
        <f>+Model!AO92</f>
        <v>46.970999999999997</v>
      </c>
      <c r="P16" s="638">
        <f>+Model!AT92</f>
        <v>73.907999999999987</v>
      </c>
      <c r="Q16" s="638">
        <f>+Model!AY92</f>
        <v>101.136</v>
      </c>
      <c r="R16" s="638">
        <f>+Model!BD92</f>
        <v>140.15200000000002</v>
      </c>
      <c r="S16" s="638">
        <f>+Model!BI92</f>
        <v>198.73139999999998</v>
      </c>
      <c r="T16" s="638">
        <f>+Model!BN92</f>
        <v>238.47767999999996</v>
      </c>
      <c r="U16" s="638">
        <f>+Model!BS92</f>
        <v>268.28738999999996</v>
      </c>
      <c r="V16" s="733"/>
      <c r="X16" s="887"/>
    </row>
    <row r="17" spans="2:25" x14ac:dyDescent="0.2">
      <c r="C17" s="647" t="s">
        <v>405</v>
      </c>
      <c r="D17" s="647"/>
      <c r="E17" s="653"/>
      <c r="F17" s="653">
        <f>+G17</f>
        <v>876.64613922408307</v>
      </c>
      <c r="G17" s="646">
        <f>+T22</f>
        <v>876.64613922408307</v>
      </c>
      <c r="H17" s="653">
        <f>+G17</f>
        <v>876.64613922408307</v>
      </c>
      <c r="L17" s="637" t="s">
        <v>68</v>
      </c>
      <c r="N17" s="638">
        <f>+Model!AJ81</f>
        <v>169.73699999999999</v>
      </c>
      <c r="O17" s="638">
        <f>+Model!AO81</f>
        <v>195.827</v>
      </c>
      <c r="P17" s="638">
        <f>+Model!AT81</f>
        <v>211.53100000000001</v>
      </c>
      <c r="Q17" s="638">
        <f>+Model!AY81</f>
        <v>201.67499999999998</v>
      </c>
      <c r="R17" s="638">
        <f>+Model!BD81</f>
        <v>205.85199999999998</v>
      </c>
      <c r="S17" s="638">
        <f>+Model!BI81</f>
        <v>185.65337039919649</v>
      </c>
      <c r="T17" s="638">
        <f>+Model!BN81</f>
        <v>184.93931897458421</v>
      </c>
      <c r="U17" s="638">
        <f>+Model!BS81</f>
        <v>187.22428353334354</v>
      </c>
      <c r="V17" s="733"/>
      <c r="W17" s="663"/>
    </row>
    <row r="18" spans="2:25" x14ac:dyDescent="0.2">
      <c r="C18" s="701" t="s">
        <v>435</v>
      </c>
      <c r="F18" s="704">
        <f>-2%*$T$9*0.85</f>
        <v>-31.200797502883795</v>
      </c>
      <c r="G18" s="703">
        <v>0</v>
      </c>
      <c r="H18" s="704">
        <f>2%*$T$9*0.85</f>
        <v>31.200797502883795</v>
      </c>
      <c r="L18" s="637" t="s">
        <v>390</v>
      </c>
      <c r="N18" s="638">
        <f>+Model!AJ86</f>
        <v>60.143000000000001</v>
      </c>
      <c r="O18" s="638">
        <f>+Model!AO86</f>
        <v>73.956000000000003</v>
      </c>
      <c r="P18" s="638">
        <f>+Model!AT86</f>
        <v>80.447999999999993</v>
      </c>
      <c r="Q18" s="638">
        <f>+Model!AY86</f>
        <v>98.587000000000003</v>
      </c>
      <c r="R18" s="638">
        <f>+Model!BD86</f>
        <v>110.43899999999999</v>
      </c>
      <c r="S18" s="638">
        <f>+Model!BI86</f>
        <v>124.44428868</v>
      </c>
      <c r="T18" s="638">
        <f>+Model!BN86</f>
        <v>131.59983527909998</v>
      </c>
      <c r="U18" s="638">
        <f>+Model!BS86</f>
        <v>140.64732395453811</v>
      </c>
      <c r="V18" s="733"/>
    </row>
    <row r="19" spans="2:25" s="647" customFormat="1" x14ac:dyDescent="0.2">
      <c r="B19" s="637"/>
      <c r="C19" s="701" t="s">
        <v>436</v>
      </c>
      <c r="D19" s="637"/>
      <c r="E19" s="637"/>
      <c r="F19" s="702">
        <f>-1%*$T$9*0</f>
        <v>0</v>
      </c>
      <c r="G19" s="703">
        <v>0</v>
      </c>
      <c r="H19" s="704">
        <f>1%*$T$9*0</f>
        <v>0</v>
      </c>
      <c r="I19" s="637"/>
      <c r="K19" s="637"/>
      <c r="L19" s="647" t="s">
        <v>389</v>
      </c>
      <c r="N19" s="646">
        <f>+Model!AJ106</f>
        <v>1371.1289999999999</v>
      </c>
      <c r="O19" s="646">
        <f>+Model!AO106</f>
        <v>1558.7570000000001</v>
      </c>
      <c r="P19" s="646">
        <f>+Model!AT106</f>
        <v>1633.944</v>
      </c>
      <c r="Q19" s="646">
        <f>+Model!AY106</f>
        <v>1836.9189999999999</v>
      </c>
      <c r="R19" s="646">
        <f>+Model!BD106</f>
        <v>2246.1639999999998</v>
      </c>
      <c r="S19" s="646">
        <f>+Model!BI106</f>
        <v>2850.8354559491963</v>
      </c>
      <c r="T19" s="646">
        <f>+Model!BN106</f>
        <v>3154.4518293078031</v>
      </c>
      <c r="U19" s="646">
        <f>+Model!BS106</f>
        <v>3476.3181757123302</v>
      </c>
      <c r="V19" s="716"/>
    </row>
    <row r="20" spans="2:25" x14ac:dyDescent="0.2">
      <c r="C20" s="701" t="s">
        <v>432</v>
      </c>
      <c r="F20" s="702">
        <f>-(15/42)*Model!BN73</f>
        <v>-166.88557740977677</v>
      </c>
      <c r="G20" s="703">
        <v>0</v>
      </c>
      <c r="H20" s="702">
        <f>(0)*Model!BN73</f>
        <v>0</v>
      </c>
      <c r="O20" s="656"/>
      <c r="Y20" s="773"/>
    </row>
    <row r="21" spans="2:25" x14ac:dyDescent="0.2">
      <c r="B21" s="647"/>
      <c r="C21" s="647" t="s">
        <v>403</v>
      </c>
      <c r="D21" s="647"/>
      <c r="E21" s="646"/>
      <c r="F21" s="646">
        <f>SUM(F17:F20)</f>
        <v>678.55976431142244</v>
      </c>
      <c r="G21" s="646">
        <f>SUM(G17:G20)</f>
        <v>876.64613922408307</v>
      </c>
      <c r="H21" s="646">
        <f>SUM(H17:H20)</f>
        <v>907.84693672696687</v>
      </c>
      <c r="I21" s="647"/>
      <c r="L21" s="647" t="s">
        <v>144</v>
      </c>
      <c r="M21" s="647"/>
      <c r="N21" s="646">
        <f t="shared" ref="N21:S21" si="4">+N11-N19</f>
        <v>283.25600000000009</v>
      </c>
      <c r="O21" s="646">
        <f t="shared" si="4"/>
        <v>372.82299999999987</v>
      </c>
      <c r="P21" s="646">
        <f t="shared" si="4"/>
        <v>507.51900000000023</v>
      </c>
      <c r="Q21" s="646">
        <f t="shared" si="4"/>
        <v>485.03700000000026</v>
      </c>
      <c r="R21" s="646">
        <f t="shared" si="4"/>
        <v>401.50200000000041</v>
      </c>
      <c r="S21" s="646">
        <f t="shared" si="4"/>
        <v>341.58054787921492</v>
      </c>
      <c r="T21" s="646">
        <f t="shared" ref="T21:U21" si="5">+T11-T19</f>
        <v>453.22914024949887</v>
      </c>
      <c r="U21" s="646">
        <f t="shared" si="5"/>
        <v>601.55297710630111</v>
      </c>
    </row>
    <row r="22" spans="2:25" s="647" customFormat="1" x14ac:dyDescent="0.2">
      <c r="B22" s="637"/>
      <c r="C22" s="637"/>
      <c r="D22" s="637"/>
      <c r="E22" s="637"/>
      <c r="F22" s="637"/>
      <c r="G22" s="638"/>
      <c r="H22" s="637"/>
      <c r="I22" s="637"/>
      <c r="K22" s="637"/>
      <c r="L22" s="647" t="s">
        <v>62</v>
      </c>
      <c r="N22" s="646">
        <f t="shared" ref="N22:S22" si="6">+N21+N16+N17</f>
        <v>484.94000000000005</v>
      </c>
      <c r="O22" s="646">
        <f t="shared" si="6"/>
        <v>615.62099999999987</v>
      </c>
      <c r="P22" s="646">
        <f t="shared" si="6"/>
        <v>792.95800000000031</v>
      </c>
      <c r="Q22" s="646">
        <f t="shared" si="6"/>
        <v>787.84800000000018</v>
      </c>
      <c r="R22" s="646">
        <f t="shared" si="6"/>
        <v>747.50600000000043</v>
      </c>
      <c r="S22" s="646">
        <f t="shared" si="6"/>
        <v>725.96531827841136</v>
      </c>
      <c r="T22" s="646">
        <f t="shared" ref="T22:U22" si="7">+T21+T16+T17</f>
        <v>876.64613922408307</v>
      </c>
      <c r="U22" s="646">
        <f t="shared" si="7"/>
        <v>1057.0646506396447</v>
      </c>
      <c r="V22" s="716"/>
      <c r="W22" s="653"/>
    </row>
    <row r="23" spans="2:25" x14ac:dyDescent="0.2">
      <c r="C23" s="637" t="s">
        <v>401</v>
      </c>
      <c r="E23" s="661"/>
      <c r="F23" s="661">
        <v>4.5</v>
      </c>
      <c r="G23" s="661">
        <v>6.65</v>
      </c>
      <c r="H23" s="661">
        <v>8</v>
      </c>
      <c r="O23" s="656"/>
      <c r="P23" s="656"/>
      <c r="Q23" s="656"/>
      <c r="R23" s="656"/>
      <c r="S23" s="656"/>
      <c r="T23" s="656"/>
      <c r="U23" s="656"/>
    </row>
    <row r="24" spans="2:25" x14ac:dyDescent="0.2">
      <c r="B24" s="647"/>
      <c r="C24" s="647" t="s">
        <v>385</v>
      </c>
      <c r="D24" s="647"/>
      <c r="E24" s="646"/>
      <c r="F24" s="646">
        <f>+F17*F23</f>
        <v>3944.9076265083741</v>
      </c>
      <c r="G24" s="646">
        <f>+G21*G23</f>
        <v>5829.696825840153</v>
      </c>
      <c r="H24" s="646">
        <f>+H17*H23</f>
        <v>7013.1691137926646</v>
      </c>
      <c r="I24" s="647"/>
      <c r="L24" s="637" t="s">
        <v>388</v>
      </c>
      <c r="N24" s="638">
        <f>-Model!AJ142</f>
        <v>-0.11799999999999999</v>
      </c>
      <c r="O24" s="638">
        <f>-Model!AO142</f>
        <v>2.1029999999999993</v>
      </c>
      <c r="P24" s="638">
        <f>-Model!AT142</f>
        <v>6.7189999999999985</v>
      </c>
      <c r="Q24" s="638">
        <f>-Model!AY142</f>
        <v>24.201000000000001</v>
      </c>
      <c r="R24" s="638">
        <f>-Model!BD142</f>
        <v>35.139000000000003</v>
      </c>
      <c r="S24" s="638">
        <f>-Model!BI142</f>
        <v>61.5</v>
      </c>
      <c r="T24" s="638">
        <f>-Model!BN142</f>
        <v>85.703278725434714</v>
      </c>
      <c r="U24" s="638">
        <f>-Model!BS142</f>
        <v>100.09026567594341</v>
      </c>
    </row>
    <row r="25" spans="2:25" x14ac:dyDescent="0.2">
      <c r="L25" s="637" t="s">
        <v>387</v>
      </c>
      <c r="N25" s="638">
        <f>+Model!AJ146</f>
        <v>105.893</v>
      </c>
      <c r="O25" s="638">
        <f>+Model!AO146</f>
        <v>133.60300000000001</v>
      </c>
      <c r="P25" s="638">
        <f>+Model!AT146</f>
        <v>184.596</v>
      </c>
      <c r="Q25" s="638">
        <f>+Model!AY146</f>
        <v>169.858</v>
      </c>
      <c r="R25" s="638">
        <f>+Model!BD146</f>
        <v>135.83999999999997</v>
      </c>
      <c r="S25" s="638">
        <f>+Model!BI146</f>
        <v>67.21933149101153</v>
      </c>
      <c r="T25" s="638">
        <f>+Model!BN146</f>
        <v>88.206206765775391</v>
      </c>
      <c r="U25" s="638">
        <f>+Model!BS146</f>
        <v>120.35105074328584</v>
      </c>
    </row>
    <row r="26" spans="2:25" x14ac:dyDescent="0.2">
      <c r="C26" s="637" t="s">
        <v>430</v>
      </c>
      <c r="E26" s="640"/>
      <c r="F26" s="640">
        <f>+G26</f>
        <v>-2398.4279999999999</v>
      </c>
      <c r="G26" s="638">
        <f>-T50</f>
        <v>-2398.4279999999999</v>
      </c>
      <c r="H26" s="640">
        <f>+G26</f>
        <v>-2398.4279999999999</v>
      </c>
    </row>
    <row r="27" spans="2:25" x14ac:dyDescent="0.2">
      <c r="C27" s="637" t="s">
        <v>399</v>
      </c>
      <c r="E27" s="640"/>
      <c r="F27" s="640">
        <f>+G27</f>
        <v>-1294.5752328220894</v>
      </c>
      <c r="G27" s="638">
        <f>-T51</f>
        <v>-1294.5752328220894</v>
      </c>
      <c r="H27" s="640">
        <f>+G27</f>
        <v>-1294.5752328220894</v>
      </c>
      <c r="L27" s="647" t="s">
        <v>67</v>
      </c>
      <c r="N27" s="653">
        <f t="shared" ref="N27:S27" si="8">+N21-N24-N25</f>
        <v>177.48100000000008</v>
      </c>
      <c r="O27" s="653">
        <f t="shared" si="8"/>
        <v>237.11699999999985</v>
      </c>
      <c r="P27" s="653">
        <f t="shared" si="8"/>
        <v>316.20400000000024</v>
      </c>
      <c r="Q27" s="653">
        <f t="shared" si="8"/>
        <v>290.97800000000024</v>
      </c>
      <c r="R27" s="653">
        <f t="shared" si="8"/>
        <v>230.52300000000042</v>
      </c>
      <c r="S27" s="653">
        <f t="shared" si="8"/>
        <v>212.86121638820339</v>
      </c>
      <c r="T27" s="653">
        <f t="shared" ref="T27:U27" si="9">+T21-T24-T25</f>
        <v>279.31965475828878</v>
      </c>
      <c r="U27" s="653">
        <f t="shared" si="9"/>
        <v>381.11166068707183</v>
      </c>
    </row>
    <row r="28" spans="2:25" x14ac:dyDescent="0.2">
      <c r="C28" s="637" t="s">
        <v>36</v>
      </c>
      <c r="E28" s="640"/>
      <c r="F28" s="640">
        <f>+G28</f>
        <v>866.73302933666537</v>
      </c>
      <c r="G28" s="638">
        <f>T47</f>
        <v>866.73302933666537</v>
      </c>
      <c r="H28" s="640">
        <f>+G28</f>
        <v>866.73302933666537</v>
      </c>
      <c r="L28" s="637" t="s">
        <v>2</v>
      </c>
      <c r="N28" s="638">
        <f>+Model!AJ155</f>
        <v>72.998999999999995</v>
      </c>
      <c r="O28" s="638">
        <f>+Model!AO155</f>
        <v>73.293999999999997</v>
      </c>
      <c r="P28" s="638">
        <f>+Model!AT155</f>
        <v>72.426000000000002</v>
      </c>
      <c r="Q28" s="638">
        <f>+Model!AY155</f>
        <v>70.507999999999996</v>
      </c>
      <c r="R28" s="638">
        <f>+Model!BD155</f>
        <v>69.378</v>
      </c>
      <c r="S28" s="638">
        <f>+Model!BI155</f>
        <v>68.3</v>
      </c>
      <c r="T28" s="638">
        <f>+Model!BN155</f>
        <v>68.3</v>
      </c>
      <c r="U28" s="638">
        <f>+Model!BS155</f>
        <v>68.3</v>
      </c>
    </row>
    <row r="29" spans="2:25" x14ac:dyDescent="0.2">
      <c r="C29" s="647" t="s">
        <v>397</v>
      </c>
      <c r="E29" s="646"/>
      <c r="F29" s="646">
        <f>+SUM(F26:F28)</f>
        <v>-2826.2702034854242</v>
      </c>
      <c r="G29" s="646">
        <f>+SUM(G26:G28)</f>
        <v>-2826.2702034854242</v>
      </c>
      <c r="H29" s="646">
        <f>+SUM(H26:H28)</f>
        <v>-2826.2702034854242</v>
      </c>
      <c r="K29" s="652"/>
      <c r="L29" s="647" t="s">
        <v>386</v>
      </c>
      <c r="M29" s="647"/>
      <c r="N29" s="655">
        <f>+Model!AJ152</f>
        <v>2.4312798805463101</v>
      </c>
      <c r="O29" s="655">
        <f>+Model!AO152</f>
        <v>3.2351488525663745</v>
      </c>
      <c r="P29" s="655">
        <f>+Model!AT152</f>
        <v>4.3658907022340072</v>
      </c>
      <c r="Q29" s="655">
        <f>+Model!AY152</f>
        <v>4.1268792193793651</v>
      </c>
      <c r="R29" s="655">
        <f>+Model!BD152</f>
        <v>3.3227103692813347</v>
      </c>
      <c r="S29" s="655">
        <f>+Model!BI152</f>
        <v>3.1165624654202548</v>
      </c>
      <c r="T29" s="655">
        <f>+Model!BN152</f>
        <v>4.0895996304288253</v>
      </c>
      <c r="U29" s="655">
        <f>+Model!BS152</f>
        <v>5.5799657494446828</v>
      </c>
    </row>
    <row r="30" spans="2:25" x14ac:dyDescent="0.2">
      <c r="G30" s="638"/>
      <c r="N30" s="646"/>
      <c r="O30" s="646"/>
      <c r="P30" s="646"/>
      <c r="Q30" s="655"/>
      <c r="R30" s="655"/>
      <c r="S30" s="655"/>
      <c r="T30" s="655"/>
      <c r="U30" s="655"/>
      <c r="W30" s="663"/>
    </row>
    <row r="31" spans="2:25" s="652" customFormat="1" x14ac:dyDescent="0.2">
      <c r="B31" s="637"/>
      <c r="C31" s="647" t="s">
        <v>394</v>
      </c>
      <c r="D31" s="637"/>
      <c r="E31" s="653"/>
      <c r="F31" s="653">
        <f>+F24+F29</f>
        <v>1118.6374230229499</v>
      </c>
      <c r="G31" s="653">
        <f>+G24+G29</f>
        <v>3003.4266223547288</v>
      </c>
      <c r="H31" s="653">
        <f>+H24+H29</f>
        <v>4186.8989103072399</v>
      </c>
      <c r="I31" s="637"/>
      <c r="K31" s="637"/>
      <c r="L31" s="705" t="s">
        <v>384</v>
      </c>
      <c r="M31" s="637"/>
      <c r="N31" s="637"/>
      <c r="O31" s="637"/>
      <c r="P31" s="637"/>
      <c r="Q31" s="776"/>
      <c r="R31" s="776"/>
      <c r="S31" s="776"/>
      <c r="T31" s="776"/>
      <c r="U31" s="776"/>
      <c r="V31" s="704"/>
    </row>
    <row r="32" spans="2:25" x14ac:dyDescent="0.2">
      <c r="B32" s="652"/>
      <c r="C32" s="652" t="s">
        <v>393</v>
      </c>
      <c r="D32" s="652"/>
      <c r="E32" s="657"/>
      <c r="F32" s="657">
        <f>+G32</f>
        <v>68.3</v>
      </c>
      <c r="G32" s="658">
        <f>+T28</f>
        <v>68.3</v>
      </c>
      <c r="H32" s="657">
        <f>+G32</f>
        <v>68.3</v>
      </c>
      <c r="I32" s="652"/>
      <c r="L32" s="647" t="s">
        <v>383</v>
      </c>
      <c r="N32" s="646">
        <f>+Model!AJ225</f>
        <v>195.37600000000003</v>
      </c>
      <c r="O32" s="646">
        <f>+Model!AO225</f>
        <v>260.512</v>
      </c>
      <c r="P32" s="646">
        <f>+Model!AT225</f>
        <v>472.98500000000001</v>
      </c>
      <c r="Q32" s="646">
        <f>+Model!AY225</f>
        <v>473.678</v>
      </c>
      <c r="R32" s="646">
        <f>+Model!BD225</f>
        <v>425.24000000000046</v>
      </c>
      <c r="S32" s="646">
        <f>+Model!BI225</f>
        <v>468.35842593727807</v>
      </c>
      <c r="T32" s="646">
        <f>+Model!BN225</f>
        <v>598.02560339938691</v>
      </c>
      <c r="U32" s="646">
        <f>+Model!BS225</f>
        <v>766.67336665572884</v>
      </c>
      <c r="W32" s="645"/>
    </row>
    <row r="34" spans="2:30" x14ac:dyDescent="0.2">
      <c r="C34" s="650" t="s">
        <v>473</v>
      </c>
      <c r="D34" s="649"/>
      <c r="E34" s="648"/>
      <c r="F34" s="648">
        <f>+F31/F$32</f>
        <v>16.37829316285432</v>
      </c>
      <c r="G34" s="648">
        <f>+G31/G$32</f>
        <v>43.974035466394277</v>
      </c>
      <c r="H34" s="687">
        <f>+H31/H$32</f>
        <v>61.301594587221672</v>
      </c>
      <c r="L34" s="637" t="s">
        <v>382</v>
      </c>
      <c r="N34" s="638">
        <f>+Model!AJ227</f>
        <v>-90.039999999999992</v>
      </c>
      <c r="O34" s="638">
        <f>+Model!AO227</f>
        <v>-302.37099999999998</v>
      </c>
      <c r="P34" s="638">
        <f>+Model!AT227</f>
        <v>-701.28200000000004</v>
      </c>
      <c r="Q34" s="638">
        <f>+Model!AY227</f>
        <v>-826.26900000000001</v>
      </c>
      <c r="R34" s="638">
        <f>+Model!BD227</f>
        <v>-792.00300000000004</v>
      </c>
      <c r="S34" s="638">
        <f>+Model!BI227</f>
        <v>-933</v>
      </c>
      <c r="T34" s="638">
        <f>+Model!BN227</f>
        <v>-963</v>
      </c>
      <c r="U34" s="638">
        <f>+Model!BS227</f>
        <v>-963</v>
      </c>
    </row>
    <row r="35" spans="2:30" x14ac:dyDescent="0.2">
      <c r="L35" s="637" t="s">
        <v>130</v>
      </c>
      <c r="N35" s="638">
        <f>+Model!AJ235</f>
        <v>-6.0000000000002274E-2</v>
      </c>
      <c r="O35" s="638">
        <f>+Model!AO235</f>
        <v>0</v>
      </c>
      <c r="P35" s="638">
        <f>+Model!AT235</f>
        <v>0</v>
      </c>
      <c r="Q35" s="638">
        <f>+Model!AY235</f>
        <v>0</v>
      </c>
      <c r="R35" s="638">
        <f>+Model!BD235</f>
        <v>0</v>
      </c>
      <c r="S35" s="638">
        <f>+Model!BI235</f>
        <v>0</v>
      </c>
      <c r="T35" s="638">
        <f>+Model!BN235</f>
        <v>0</v>
      </c>
      <c r="U35" s="638">
        <f>+Model!BS235</f>
        <v>0</v>
      </c>
    </row>
    <row r="36" spans="2:30" x14ac:dyDescent="0.2">
      <c r="B36" s="660" t="s">
        <v>17</v>
      </c>
      <c r="C36" s="659"/>
      <c r="D36" s="659"/>
      <c r="E36" s="669">
        <f>+F36-1</f>
        <v>2016</v>
      </c>
      <c r="F36" s="669">
        <f>+G36-1</f>
        <v>2017</v>
      </c>
      <c r="G36" s="710">
        <v>2018</v>
      </c>
      <c r="H36" s="710">
        <v>2019</v>
      </c>
      <c r="I36" s="710">
        <v>2020</v>
      </c>
      <c r="L36" s="647" t="s">
        <v>381</v>
      </c>
      <c r="M36" s="652"/>
      <c r="N36" s="646">
        <f t="shared" ref="N36:S36" si="10">+N34+N35</f>
        <v>-90.1</v>
      </c>
      <c r="O36" s="646">
        <f t="shared" si="10"/>
        <v>-302.37099999999998</v>
      </c>
      <c r="P36" s="646">
        <f t="shared" si="10"/>
        <v>-701.28200000000004</v>
      </c>
      <c r="Q36" s="646">
        <f t="shared" si="10"/>
        <v>-826.26900000000001</v>
      </c>
      <c r="R36" s="646">
        <f t="shared" si="10"/>
        <v>-792.00300000000004</v>
      </c>
      <c r="S36" s="646">
        <f t="shared" si="10"/>
        <v>-933</v>
      </c>
      <c r="T36" s="646">
        <f t="shared" ref="T36:U36" si="11">+T34+T35</f>
        <v>-963</v>
      </c>
      <c r="U36" s="646">
        <f t="shared" si="11"/>
        <v>-963</v>
      </c>
    </row>
    <row r="37" spans="2:30" x14ac:dyDescent="0.2">
      <c r="C37" s="637" t="s">
        <v>416</v>
      </c>
      <c r="E37" s="645">
        <f>+Model!AY9</f>
        <v>0.19929085971339999</v>
      </c>
      <c r="F37" s="645">
        <f>+Model!BD9</f>
        <v>0.14011469578824776</v>
      </c>
      <c r="G37" s="645">
        <f>+Model!BI9</f>
        <v>0.23418040548880259</v>
      </c>
      <c r="H37" s="645">
        <f>+Model!BN9</f>
        <v>0.12499999999999978</v>
      </c>
      <c r="I37" s="645">
        <f>+Model!BS9</f>
        <v>0.125</v>
      </c>
    </row>
    <row r="38" spans="2:30" x14ac:dyDescent="0.2">
      <c r="C38" s="637" t="s">
        <v>415</v>
      </c>
      <c r="E38" s="645">
        <f>+Model!AY12</f>
        <v>0.19996505721011082</v>
      </c>
      <c r="F38" s="645">
        <f>+Model!BD12</f>
        <v>0.16074641711047888</v>
      </c>
      <c r="G38" s="645">
        <f>+Model!BI12</f>
        <v>0.23148245481446028</v>
      </c>
      <c r="H38" s="645">
        <f>+Model!BN12</f>
        <v>0.125</v>
      </c>
      <c r="I38" s="645">
        <f>+Model!BS12</f>
        <v>0.125</v>
      </c>
      <c r="L38" s="637" t="s">
        <v>380</v>
      </c>
      <c r="N38" s="638">
        <f>+Model!AJ245</f>
        <v>0</v>
      </c>
      <c r="O38" s="638">
        <f>+Model!AO245</f>
        <v>148</v>
      </c>
      <c r="P38" s="638">
        <f>+Model!AT245</f>
        <v>510.41600000000005</v>
      </c>
      <c r="Q38" s="638">
        <f>+Model!AY245</f>
        <v>352.85399999999998</v>
      </c>
      <c r="R38" s="638">
        <f>+Model!BD245</f>
        <v>526.98700000000008</v>
      </c>
      <c r="S38" s="638">
        <f>+Model!BI245</f>
        <v>536</v>
      </c>
      <c r="T38" s="638">
        <f>+Model!BN245</f>
        <v>359.5</v>
      </c>
      <c r="U38" s="638">
        <f>+Model!BS245</f>
        <v>359.5</v>
      </c>
    </row>
    <row r="39" spans="2:30" x14ac:dyDescent="0.2">
      <c r="C39" s="637" t="s">
        <v>413</v>
      </c>
      <c r="E39" s="645">
        <f>+Model!AY14</f>
        <v>0.84651546054022497</v>
      </c>
      <c r="F39" s="645">
        <f>+Model!BD14</f>
        <v>0.83146904659539189</v>
      </c>
      <c r="G39" s="645">
        <f>+Model!BI14</f>
        <v>0.83329064175185286</v>
      </c>
      <c r="H39" s="645">
        <f>+Model!BN14</f>
        <v>0.83329064175185286</v>
      </c>
      <c r="I39" s="645">
        <f>+Model!BS14</f>
        <v>0.83329064175185286</v>
      </c>
      <c r="L39" s="637" t="s">
        <v>379</v>
      </c>
      <c r="N39" s="638">
        <f>+Model!AJ239+Model!AJ240</f>
        <v>-0.28800000000000003</v>
      </c>
      <c r="O39" s="638">
        <f>+Model!AO239+Model!AO240</f>
        <v>-1.456</v>
      </c>
      <c r="P39" s="638">
        <f>+Model!AT239+Model!AT240</f>
        <v>-112.229</v>
      </c>
      <c r="Q39" s="638">
        <f>+Model!AY239+Model!AY240</f>
        <v>-102.41800000000001</v>
      </c>
      <c r="R39" s="638">
        <f>+Model!BD239+Model!BD240</f>
        <v>-46.58</v>
      </c>
      <c r="S39" s="638">
        <f>+Model!BI239+Model!BI240</f>
        <v>0</v>
      </c>
      <c r="T39" s="638">
        <f>+Model!BN239+Model!BN240</f>
        <v>0</v>
      </c>
      <c r="U39" s="638">
        <f>+Model!BS239+Model!BS240</f>
        <v>0</v>
      </c>
    </row>
    <row r="40" spans="2:30" x14ac:dyDescent="0.2">
      <c r="L40" s="637" t="s">
        <v>225</v>
      </c>
      <c r="N40" s="638">
        <f>+Model!AJ238</f>
        <v>0</v>
      </c>
      <c r="O40" s="638">
        <f>+Model!AO238</f>
        <v>0</v>
      </c>
      <c r="P40" s="638">
        <f>+Model!AT238</f>
        <v>0</v>
      </c>
      <c r="Q40" s="638">
        <f>+Model!AY238</f>
        <v>0</v>
      </c>
      <c r="R40" s="638">
        <f>+Model!BD238</f>
        <v>0</v>
      </c>
      <c r="S40" s="638">
        <f>+Model!BI238</f>
        <v>0</v>
      </c>
      <c r="T40" s="638">
        <f>+Model!BN238</f>
        <v>0</v>
      </c>
      <c r="U40" s="638">
        <f>+Model!BS238</f>
        <v>0</v>
      </c>
    </row>
    <row r="41" spans="2:30" x14ac:dyDescent="0.2">
      <c r="B41" s="652"/>
      <c r="C41" s="637" t="s">
        <v>411</v>
      </c>
      <c r="E41" s="662">
        <f>+Model!AY32</f>
        <v>-0.1443477977205635</v>
      </c>
      <c r="F41" s="662">
        <f>+Model!BD32</f>
        <v>-1.9792047224936993E-2</v>
      </c>
      <c r="G41" s="662">
        <f>+Model!BI32</f>
        <v>-2.042133249576239E-2</v>
      </c>
      <c r="H41" s="662">
        <f>+Model!BN32</f>
        <v>-0.01</v>
      </c>
      <c r="I41" s="662">
        <f>+Model!BS32</f>
        <v>-0.01</v>
      </c>
      <c r="L41" s="637" t="s">
        <v>130</v>
      </c>
      <c r="N41" s="638">
        <f>+Model!AJ246</f>
        <v>8.8269999999999982</v>
      </c>
      <c r="O41" s="638">
        <f>+Model!AO246</f>
        <v>-2.5320000000000094</v>
      </c>
      <c r="P41" s="638">
        <f>+Model!AT246</f>
        <v>0.95799999999995578</v>
      </c>
      <c r="Q41" s="638">
        <f>+Model!AY246</f>
        <v>-0.57699999999996798</v>
      </c>
      <c r="R41" s="638">
        <f>+Model!BD246</f>
        <v>-13.695000000000121</v>
      </c>
      <c r="S41" s="638">
        <f>+Model!BI246</f>
        <v>0</v>
      </c>
      <c r="T41" s="638">
        <f>+Model!BN246</f>
        <v>0</v>
      </c>
      <c r="U41" s="638">
        <f>+Model!BS246</f>
        <v>0</v>
      </c>
    </row>
    <row r="42" spans="2:30" x14ac:dyDescent="0.2">
      <c r="C42" s="637" t="s">
        <v>410</v>
      </c>
      <c r="E42" s="662">
        <f>+Model!AY46</f>
        <v>-9.6402936144557971E-2</v>
      </c>
      <c r="F42" s="662">
        <f>+Model!BD46</f>
        <v>-1.7637307255207402E-2</v>
      </c>
      <c r="G42" s="662">
        <f>+Model!BI46</f>
        <v>-2.0897742124196483E-2</v>
      </c>
      <c r="H42" s="662">
        <f>+Model!BN46</f>
        <v>4.5143003448442354E-3</v>
      </c>
      <c r="I42" s="662">
        <f>+Model!BS46</f>
        <v>4.7380543479156323E-3</v>
      </c>
      <c r="L42" s="647" t="s">
        <v>378</v>
      </c>
      <c r="N42" s="646">
        <f t="shared" ref="N42:S42" si="12">SUM(N38:N41)</f>
        <v>8.5389999999999979</v>
      </c>
      <c r="O42" s="646">
        <f t="shared" si="12"/>
        <v>144.012</v>
      </c>
      <c r="P42" s="646">
        <f t="shared" si="12"/>
        <v>399.14500000000004</v>
      </c>
      <c r="Q42" s="646">
        <f t="shared" si="12"/>
        <v>249.85900000000001</v>
      </c>
      <c r="R42" s="646">
        <f t="shared" si="12"/>
        <v>466.71199999999999</v>
      </c>
      <c r="S42" s="646">
        <f t="shared" si="12"/>
        <v>536</v>
      </c>
      <c r="T42" s="646">
        <f t="shared" ref="T42:U42" si="13">SUM(T38:T41)</f>
        <v>359.5</v>
      </c>
      <c r="U42" s="646">
        <f t="shared" si="13"/>
        <v>359.5</v>
      </c>
    </row>
    <row r="43" spans="2:30" x14ac:dyDescent="0.2">
      <c r="B43" s="652"/>
      <c r="E43" s="664"/>
      <c r="F43" s="664"/>
      <c r="G43" s="664"/>
      <c r="H43" s="664"/>
      <c r="I43" s="664"/>
    </row>
    <row r="44" spans="2:30" s="652" customFormat="1" x14ac:dyDescent="0.2">
      <c r="C44" s="637" t="s">
        <v>408</v>
      </c>
      <c r="D44" s="637"/>
      <c r="E44" s="662">
        <f>+Model!AY110</f>
        <v>-6.3119415972190951E-2</v>
      </c>
      <c r="F44" s="662">
        <f>+Model!BD110</f>
        <v>5.3450428984446852E-2</v>
      </c>
      <c r="G44" s="662">
        <f>+Model!BI110</f>
        <v>3.0629241655159456E-2</v>
      </c>
      <c r="H44" s="662">
        <f>+Model!BN110</f>
        <v>-1.6443696967649801E-2</v>
      </c>
      <c r="I44" s="662">
        <f>+Model!BS110</f>
        <v>-2.0412810896766831E-2</v>
      </c>
      <c r="K44" s="637"/>
      <c r="L44" s="644" t="s">
        <v>221</v>
      </c>
      <c r="M44" s="643"/>
      <c r="N44" s="642">
        <f t="shared" ref="N44:S44" si="14">+N32+N34</f>
        <v>105.33600000000004</v>
      </c>
      <c r="O44" s="642">
        <f t="shared" si="14"/>
        <v>-41.85899999999998</v>
      </c>
      <c r="P44" s="642">
        <f t="shared" si="14"/>
        <v>-228.29700000000003</v>
      </c>
      <c r="Q44" s="642">
        <f t="shared" si="14"/>
        <v>-352.59100000000001</v>
      </c>
      <c r="R44" s="642">
        <f t="shared" si="14"/>
        <v>-366.76299999999958</v>
      </c>
      <c r="S44" s="642">
        <f t="shared" si="14"/>
        <v>-464.64157406272193</v>
      </c>
      <c r="T44" s="642">
        <f t="shared" ref="T44:U44" si="15">+T32+T34</f>
        <v>-364.97439660061309</v>
      </c>
      <c r="U44" s="641">
        <f t="shared" si="15"/>
        <v>-196.32663334427116</v>
      </c>
      <c r="V44" s="717"/>
      <c r="W44" s="637"/>
      <c r="X44" s="637"/>
      <c r="Y44" s="637"/>
      <c r="Z44" s="637"/>
      <c r="AA44" s="637"/>
      <c r="AB44" s="637"/>
      <c r="AC44" s="637"/>
      <c r="AD44" s="637"/>
    </row>
    <row r="45" spans="2:30" x14ac:dyDescent="0.2">
      <c r="C45" s="637" t="s">
        <v>407</v>
      </c>
      <c r="E45" s="662">
        <f>+Model!AY112</f>
        <v>-9.2231115106238271E-3</v>
      </c>
      <c r="F45" s="662">
        <f>+Model!BD112</f>
        <v>1.108784996071166E-2</v>
      </c>
      <c r="G45" s="662">
        <f>+Model!BI112</f>
        <v>-2.7245411009251819E-2</v>
      </c>
      <c r="H45" s="662">
        <f>+Model!BN112</f>
        <v>-4.3758947479066723E-4</v>
      </c>
      <c r="I45" s="662">
        <f>+Model!BS112</f>
        <v>-5.9672752028960829E-3</v>
      </c>
    </row>
    <row r="46" spans="2:30" x14ac:dyDescent="0.2">
      <c r="C46" s="637" t="s">
        <v>406</v>
      </c>
      <c r="E46" s="663">
        <f>+Model!AY59</f>
        <v>1.4781409665731997</v>
      </c>
      <c r="F46" s="663">
        <f>+Model!BD59</f>
        <v>1.7908904980376985</v>
      </c>
      <c r="G46" s="663">
        <f>+Model!BI59</f>
        <v>2.1499999999999995</v>
      </c>
      <c r="H46" s="663">
        <f>+Model!BN59</f>
        <v>2.0499999999999998</v>
      </c>
      <c r="I46" s="663">
        <f>+Model!BS59</f>
        <v>1.95</v>
      </c>
      <c r="L46" s="705" t="s">
        <v>63</v>
      </c>
    </row>
    <row r="47" spans="2:30" x14ac:dyDescent="0.2">
      <c r="G47" s="663"/>
      <c r="L47" s="637" t="s">
        <v>36</v>
      </c>
      <c r="N47" s="638">
        <f>+Model!AJ256</f>
        <v>530.63100000000009</v>
      </c>
      <c r="O47" s="638">
        <f>+Model!AO256</f>
        <v>632.78400000000011</v>
      </c>
      <c r="P47" s="638">
        <f>+Model!AT256</f>
        <v>803.63200000000006</v>
      </c>
      <c r="Q47" s="638">
        <f>+Model!AY256</f>
        <v>700.90000000000009</v>
      </c>
      <c r="R47" s="891">
        <f>+Model!BD256</f>
        <v>800.84900000000039</v>
      </c>
      <c r="S47" s="891">
        <f>+Model!BI256</f>
        <v>872.20742593727846</v>
      </c>
      <c r="T47" s="891">
        <f>+Model!BN256</f>
        <v>866.73302933666537</v>
      </c>
      <c r="U47" s="891">
        <f>+Model!BS256</f>
        <v>1029.9063959923942</v>
      </c>
    </row>
    <row r="48" spans="2:30" x14ac:dyDescent="0.2">
      <c r="C48" s="637" t="s">
        <v>404</v>
      </c>
      <c r="E48" s="662">
        <f>+Model!AY124</f>
        <v>0.20889155522326877</v>
      </c>
      <c r="F48" s="662">
        <f>+Model!BD124</f>
        <v>0.15164374962703014</v>
      </c>
      <c r="G48" s="662">
        <f>+Model!BI124</f>
        <v>0.10699750517150161</v>
      </c>
      <c r="H48" s="662">
        <f>+Model!BN124</f>
        <v>0.12562894116025858</v>
      </c>
      <c r="I48" s="662">
        <f>+Model!BS124</f>
        <v>0.14751642574349283</v>
      </c>
      <c r="L48" s="680" t="s">
        <v>423</v>
      </c>
      <c r="M48" s="680"/>
      <c r="N48" s="681">
        <f t="shared" ref="N48:S48" si="16">N47/N11</f>
        <v>0.32074214889520886</v>
      </c>
      <c r="O48" s="681">
        <f t="shared" si="16"/>
        <v>0.32759916752088969</v>
      </c>
      <c r="P48" s="681">
        <f t="shared" si="16"/>
        <v>0.37527241890240459</v>
      </c>
      <c r="Q48" s="681">
        <f t="shared" si="16"/>
        <v>0.30185757180583961</v>
      </c>
      <c r="R48" s="892">
        <f t="shared" si="16"/>
        <v>0.30247357483912257</v>
      </c>
      <c r="S48" s="892">
        <f t="shared" si="16"/>
        <v>0.27321233350895036</v>
      </c>
      <c r="T48" s="892">
        <f>T47/T11</f>
        <v>0.24024658406616869</v>
      </c>
      <c r="U48" s="892">
        <f>U47/U11</f>
        <v>0.25255981795317911</v>
      </c>
    </row>
    <row r="49" spans="2:21" x14ac:dyDescent="0.2">
      <c r="B49" s="647"/>
      <c r="C49" s="637" t="s">
        <v>402</v>
      </c>
      <c r="E49" s="662">
        <f>+Model!AY127</f>
        <v>0.33930358714807696</v>
      </c>
      <c r="F49" s="662">
        <f>+Model!BD127</f>
        <v>0.28232639615419786</v>
      </c>
      <c r="G49" s="662">
        <f>+Model!BI127</f>
        <v>0.22740310705366054</v>
      </c>
      <c r="H49" s="662">
        <f>+Model!BN127</f>
        <v>0.24299436303306393</v>
      </c>
      <c r="I49" s="662">
        <f>+Model!BS127</f>
        <v>0.25921972789871006</v>
      </c>
      <c r="K49" s="638">
        <f>(Model!CI259+Model!CI260+Model!CI266)</f>
        <v>0</v>
      </c>
      <c r="R49" s="893"/>
      <c r="S49" s="893"/>
      <c r="T49" s="893"/>
      <c r="U49" s="893"/>
    </row>
    <row r="50" spans="2:21" x14ac:dyDescent="0.2">
      <c r="C50" s="637" t="s">
        <v>433</v>
      </c>
      <c r="D50" s="662"/>
      <c r="E50" s="662">
        <f>((Q21+Q17)*(1-38%))/(Q50+Q51+Q53)</f>
        <v>0.11239608821964894</v>
      </c>
      <c r="F50" s="662">
        <f>((R21+R17)*(1-38%))/(R50+R51+R53)</f>
        <v>7.976310815588232E-2</v>
      </c>
      <c r="G50" s="662">
        <f>((S21+S17)*(1-38%))/(S50+S51+S53)</f>
        <v>6.1347185226817945E-2</v>
      </c>
      <c r="H50" s="662">
        <f>((T21+T17)*(1-38%))/(T50+T51+T53)</f>
        <v>6.6361431070143237E-2</v>
      </c>
      <c r="I50" s="662">
        <f>((U21+U17)*(1-38%))/(U50+U51+U53)</f>
        <v>7.278631543864636E-2</v>
      </c>
      <c r="L50" s="637" t="s">
        <v>377</v>
      </c>
      <c r="N50" s="638">
        <f>+Model!AJ274+Model!AJ280</f>
        <v>0</v>
      </c>
      <c r="O50" s="638">
        <f>+Model!AO274+Model!AO280</f>
        <v>146.24800000000002</v>
      </c>
      <c r="P50" s="638">
        <f>+Model!AT274+Model!AT280</f>
        <v>646.32999999999993</v>
      </c>
      <c r="Q50" s="638">
        <f>+Model!AY274+Model!AY280</f>
        <v>981.71300000000008</v>
      </c>
      <c r="R50" s="891">
        <f>+Model!BD274+Model!BD280</f>
        <v>1502.9280000000001</v>
      </c>
      <c r="S50" s="891">
        <f>+Model!BI274+Model!BI280</f>
        <v>2038.9280000000001</v>
      </c>
      <c r="T50" s="891">
        <f>+Model!BN274+Model!BN280</f>
        <v>2398.4279999999999</v>
      </c>
      <c r="U50" s="891">
        <f>+Model!BS274+Model!BS280</f>
        <v>2757.9279999999999</v>
      </c>
    </row>
    <row r="51" spans="2:21" x14ac:dyDescent="0.2">
      <c r="C51" s="637" t="s">
        <v>434</v>
      </c>
      <c r="E51" s="662">
        <f>((Q21+Q17)*(1-38%))/(Q50+Q51+Q53-Q47)</f>
        <v>0.13791429945791342</v>
      </c>
      <c r="F51" s="662">
        <f>((R21+R17)*(1-38%))/(R50+R51+R53-R47)</f>
        <v>9.6058053265662066E-2</v>
      </c>
      <c r="G51" s="662">
        <f>((S21+S17)*(1-38%))/(S50+S51+S53-S47)</f>
        <v>7.3354508428154261E-2</v>
      </c>
      <c r="H51" s="662">
        <f>((T21+T17)*(1-38%))/(T50+T51+T53-T47)</f>
        <v>7.7649289401737862E-2</v>
      </c>
      <c r="I51" s="662">
        <f>((U21+U17)*(1-38%))/(U50+U51+U53-U47)</f>
        <v>8.5963244848860546E-2</v>
      </c>
      <c r="L51" s="637" t="s">
        <v>376</v>
      </c>
      <c r="N51" s="638">
        <f t="shared" ref="N51:S51" si="17">7*N17</f>
        <v>1188.1589999999999</v>
      </c>
      <c r="O51" s="638">
        <f t="shared" si="17"/>
        <v>1370.789</v>
      </c>
      <c r="P51" s="638">
        <f t="shared" si="17"/>
        <v>1480.7170000000001</v>
      </c>
      <c r="Q51" s="638">
        <f t="shared" si="17"/>
        <v>1411.7249999999999</v>
      </c>
      <c r="R51" s="891">
        <f t="shared" si="17"/>
        <v>1440.9639999999999</v>
      </c>
      <c r="S51" s="891">
        <f t="shared" si="17"/>
        <v>1299.5735927943754</v>
      </c>
      <c r="T51" s="891">
        <f t="shared" ref="T51:U51" si="18">7*T17</f>
        <v>1294.5752328220894</v>
      </c>
      <c r="U51" s="891">
        <f t="shared" si="18"/>
        <v>1310.5699847334047</v>
      </c>
    </row>
    <row r="52" spans="2:21" x14ac:dyDescent="0.2">
      <c r="E52" s="654"/>
      <c r="F52" s="654"/>
      <c r="G52" s="654"/>
      <c r="R52" s="893"/>
      <c r="S52" s="893"/>
      <c r="T52" s="893"/>
      <c r="U52" s="893"/>
    </row>
    <row r="53" spans="2:21" x14ac:dyDescent="0.2">
      <c r="B53" s="682" t="s">
        <v>425</v>
      </c>
      <c r="C53" s="683"/>
      <c r="D53" s="683"/>
      <c r="E53" s="669">
        <f>+F53-1</f>
        <v>2016</v>
      </c>
      <c r="F53" s="669">
        <f>+G53-1</f>
        <v>2017</v>
      </c>
      <c r="G53" s="710">
        <v>2018</v>
      </c>
      <c r="H53" s="710">
        <v>2019</v>
      </c>
      <c r="I53" s="710">
        <v>2020</v>
      </c>
      <c r="L53" s="637" t="s">
        <v>375</v>
      </c>
      <c r="N53" s="638">
        <f>+Model!AJ293</f>
        <v>769.11699999999996</v>
      </c>
      <c r="O53" s="638">
        <f>+Model!AO293</f>
        <v>1003.0749999999999</v>
      </c>
      <c r="P53" s="638">
        <f>+Model!AT293</f>
        <v>1225.3100000000002</v>
      </c>
      <c r="Q53" s="638">
        <f>+Model!AY293</f>
        <v>1394.607</v>
      </c>
      <c r="R53" s="891">
        <f>+Model!BD293</f>
        <v>1777.0810000000001</v>
      </c>
      <c r="S53" s="891">
        <f>+Model!BI293</f>
        <v>1989.9422163882036</v>
      </c>
      <c r="T53" s="891">
        <f>+Model!BN293</f>
        <v>2269.2618711464925</v>
      </c>
      <c r="U53" s="891">
        <f>+Model!BS293</f>
        <v>2650.3735318335644</v>
      </c>
    </row>
    <row r="54" spans="2:21" x14ac:dyDescent="0.2">
      <c r="B54" s="684"/>
      <c r="C54" s="684" t="s">
        <v>426</v>
      </c>
      <c r="D54" s="684"/>
      <c r="E54" s="685">
        <f>(Q44/Q28)/$H$10</f>
        <v>-0.13952911055179149</v>
      </c>
      <c r="F54" s="685">
        <f>(R44/R28)/$H$10</f>
        <v>-0.14750126313714088</v>
      </c>
      <c r="G54" s="685">
        <f>(S44/S28)/$H$10</f>
        <v>-0.18981448950873325</v>
      </c>
      <c r="H54" s="685">
        <f>(T44/T28)/$H$10</f>
        <v>-0.14909864429210884</v>
      </c>
      <c r="I54" s="685">
        <f>(U44/U28)/$H$10</f>
        <v>-8.0202981750790533E-2</v>
      </c>
      <c r="R54" s="893"/>
      <c r="S54" s="893"/>
      <c r="T54" s="893"/>
      <c r="U54" s="893"/>
    </row>
    <row r="55" spans="2:21" x14ac:dyDescent="0.2">
      <c r="B55" s="684"/>
      <c r="C55" s="684" t="s">
        <v>427</v>
      </c>
      <c r="D55" s="684"/>
      <c r="E55" s="686">
        <f>$H$10/Q29</f>
        <v>8.6845284523228479</v>
      </c>
      <c r="F55" s="686">
        <f>$H$10/R29</f>
        <v>10.786374982105887</v>
      </c>
      <c r="G55" s="686">
        <f>$H$10/S29</f>
        <v>11.499849721499849</v>
      </c>
      <c r="H55" s="686">
        <f>$H$10/T29</f>
        <v>8.7636940626977484</v>
      </c>
      <c r="I55" s="686">
        <f>$H$10/U29</f>
        <v>6.4229784929355151</v>
      </c>
      <c r="L55" s="604" t="s">
        <v>447</v>
      </c>
      <c r="N55" s="639">
        <f t="shared" ref="N55:S55" si="19">((N50+N51)-N47)/N22</f>
        <v>1.3558955747102728</v>
      </c>
      <c r="O55" s="639">
        <f t="shared" si="19"/>
        <v>1.4363593834518318</v>
      </c>
      <c r="P55" s="639">
        <f t="shared" si="19"/>
        <v>1.6689597683609969</v>
      </c>
      <c r="Q55" s="639">
        <f t="shared" si="19"/>
        <v>2.1483052568515748</v>
      </c>
      <c r="R55" s="894">
        <f t="shared" si="19"/>
        <v>2.8669241450904721</v>
      </c>
      <c r="S55" s="894">
        <f t="shared" si="19"/>
        <v>3.3972616938585776</v>
      </c>
      <c r="T55" s="894">
        <f t="shared" ref="T55:U55" si="20">((T50+T51)-T47)/T22</f>
        <v>3.2239578514392906</v>
      </c>
      <c r="U55" s="894">
        <f t="shared" si="20"/>
        <v>2.874556051895516</v>
      </c>
    </row>
    <row r="56" spans="2:21" x14ac:dyDescent="0.2">
      <c r="B56" s="684"/>
      <c r="C56" s="684" t="s">
        <v>428</v>
      </c>
      <c r="D56" s="684"/>
      <c r="E56" s="686">
        <f>($H$10+(Q50+Q51-Q47)/Q28)/(Q22/Q28)</f>
        <v>5.3557852783785691</v>
      </c>
      <c r="F56" s="686">
        <f>($H$10+(R50+R51-R47)/R28)/(R22/R28)</f>
        <v>6.1933289097344995</v>
      </c>
      <c r="G56" s="686">
        <f>($H$10+(S50+S51-S47)/S28)/(S22/S28)</f>
        <v>6.7691472899983482</v>
      </c>
      <c r="H56" s="686">
        <f>($H$10+(T50+T51-T47)/T28)/(T22/T28)</f>
        <v>6.0162726640803452</v>
      </c>
      <c r="I56" s="686">
        <f>($H$10+(U50+U51-U47)/U28)/(U22/U28)</f>
        <v>5.1902819618658835</v>
      </c>
      <c r="L56" s="604" t="s">
        <v>424</v>
      </c>
      <c r="N56" s="639">
        <f t="shared" ref="N56:S56" si="21">((N50+N51))/N22</f>
        <v>2.4501154782034886</v>
      </c>
      <c r="O56" s="639">
        <f t="shared" si="21"/>
        <v>2.464238549367225</v>
      </c>
      <c r="P56" s="639">
        <f t="shared" si="21"/>
        <v>2.6824207587287083</v>
      </c>
      <c r="Q56" s="639">
        <f t="shared" si="21"/>
        <v>3.0379438673449695</v>
      </c>
      <c r="R56" s="894">
        <f t="shared" si="21"/>
        <v>3.9382854452004374</v>
      </c>
      <c r="S56" s="894">
        <f t="shared" si="21"/>
        <v>4.5987067270809252</v>
      </c>
      <c r="T56" s="894">
        <f t="shared" ref="T56:U56" si="22">((T50+T51))/T22</f>
        <v>4.212649856749219</v>
      </c>
      <c r="U56" s="894">
        <f t="shared" si="22"/>
        <v>3.8488639103308384</v>
      </c>
    </row>
    <row r="58" spans="2:21" x14ac:dyDescent="0.2">
      <c r="C58" s="652"/>
      <c r="D58" s="652"/>
      <c r="E58" s="651"/>
      <c r="F58" s="651"/>
      <c r="G58" s="651"/>
      <c r="H58" s="651"/>
      <c r="N58" s="669"/>
      <c r="O58" s="669"/>
    </row>
    <row r="59" spans="2:21" x14ac:dyDescent="0.2">
      <c r="C59" s="647"/>
      <c r="E59" s="646"/>
      <c r="F59" s="646"/>
      <c r="G59" s="646"/>
      <c r="H59" s="646"/>
      <c r="N59" s="645"/>
      <c r="O59" s="645"/>
    </row>
    <row r="60" spans="2:21" x14ac:dyDescent="0.2">
      <c r="C60" s="652"/>
      <c r="D60" s="652"/>
      <c r="E60" s="651"/>
      <c r="F60" s="651"/>
      <c r="G60" s="651"/>
      <c r="H60" s="651"/>
      <c r="N60" s="645"/>
      <c r="O60" s="645"/>
    </row>
    <row r="61" spans="2:21" x14ac:dyDescent="0.2">
      <c r="C61" s="647"/>
      <c r="E61" s="646"/>
      <c r="F61" s="646"/>
      <c r="G61" s="646"/>
      <c r="H61" s="646"/>
      <c r="N61" s="645"/>
      <c r="O61" s="645"/>
    </row>
    <row r="63" spans="2:21" x14ac:dyDescent="0.2">
      <c r="E63" s="645"/>
      <c r="F63" s="645"/>
      <c r="G63" s="645"/>
      <c r="H63" s="645"/>
      <c r="N63" s="645"/>
      <c r="O63" s="645"/>
    </row>
    <row r="64" spans="2:21" x14ac:dyDescent="0.2">
      <c r="E64" s="645"/>
      <c r="F64" s="645"/>
      <c r="G64" s="645"/>
      <c r="H64" s="645"/>
      <c r="N64" s="645"/>
      <c r="O64" s="645"/>
    </row>
    <row r="65" spans="5:21" x14ac:dyDescent="0.2">
      <c r="N65" s="664"/>
      <c r="O65" s="664"/>
    </row>
    <row r="66" spans="5:21" x14ac:dyDescent="0.2">
      <c r="N66" s="662"/>
      <c r="O66" s="662"/>
    </row>
    <row r="67" spans="5:21" x14ac:dyDescent="0.2">
      <c r="N67" s="662"/>
      <c r="O67" s="662"/>
    </row>
    <row r="68" spans="5:21" x14ac:dyDescent="0.2">
      <c r="N68" s="663"/>
      <c r="O68" s="663"/>
    </row>
    <row r="70" spans="5:21" x14ac:dyDescent="0.2">
      <c r="N70" s="662"/>
      <c r="O70" s="662"/>
    </row>
    <row r="71" spans="5:21" x14ac:dyDescent="0.2">
      <c r="E71" s="665"/>
      <c r="F71" s="665"/>
      <c r="G71" s="665"/>
      <c r="H71" s="665"/>
      <c r="I71" s="665"/>
      <c r="N71" s="662"/>
      <c r="O71" s="662"/>
    </row>
    <row r="72" spans="5:21" x14ac:dyDescent="0.2">
      <c r="G72" s="663"/>
      <c r="H72" s="663"/>
      <c r="I72" s="663"/>
      <c r="N72" s="662"/>
      <c r="O72" s="662"/>
    </row>
    <row r="73" spans="5:21" x14ac:dyDescent="0.2">
      <c r="G73" s="645"/>
      <c r="H73" s="645"/>
      <c r="I73" s="645"/>
      <c r="N73" s="662"/>
      <c r="O73" s="662"/>
    </row>
    <row r="74" spans="5:21" x14ac:dyDescent="0.2">
      <c r="K74" s="647"/>
      <c r="N74" s="647"/>
      <c r="O74" s="647"/>
      <c r="P74" s="647"/>
      <c r="Q74" s="647"/>
      <c r="R74" s="647"/>
      <c r="S74" s="647"/>
      <c r="T74" s="647"/>
      <c r="U74" s="647"/>
    </row>
    <row r="103" spans="14:21" x14ac:dyDescent="0.2">
      <c r="N103" s="638"/>
      <c r="O103" s="638"/>
      <c r="P103" s="638"/>
      <c r="Q103" s="638"/>
      <c r="R103" s="638"/>
      <c r="S103" s="638"/>
      <c r="T103" s="638"/>
      <c r="U103" s="638"/>
    </row>
    <row r="104" spans="14:21" x14ac:dyDescent="0.2">
      <c r="N104" s="638"/>
      <c r="O104" s="638"/>
      <c r="P104" s="638"/>
      <c r="Q104" s="638"/>
      <c r="R104" s="638"/>
      <c r="S104" s="638"/>
      <c r="T104" s="638"/>
      <c r="U104" s="638"/>
    </row>
    <row r="108" spans="14:21" x14ac:dyDescent="0.2">
      <c r="N108" s="638"/>
      <c r="O108" s="638"/>
      <c r="P108" s="638"/>
      <c r="Q108" s="638"/>
      <c r="R108" s="638"/>
      <c r="S108" s="638"/>
      <c r="T108" s="638"/>
      <c r="U108" s="638"/>
    </row>
    <row r="116" spans="14:21" x14ac:dyDescent="0.2">
      <c r="N116" s="638"/>
      <c r="O116" s="638"/>
      <c r="P116" s="638"/>
      <c r="Q116" s="638"/>
      <c r="R116" s="638"/>
      <c r="S116" s="638"/>
      <c r="T116" s="638"/>
      <c r="U116" s="638"/>
    </row>
  </sheetData>
  <pageMargins left="0" right="0" top="0" bottom="0" header="0" footer="0"/>
  <pageSetup paperSize="5" scale="6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Q65525"/>
  <sheetViews>
    <sheetView showGridLines="0" zoomScaleNormal="100" workbookViewId="0">
      <pane xSplit="1" ySplit="2" topLeftCell="AO3" activePane="bottomRight" state="frozen"/>
      <selection pane="topRight" activeCell="B1" sqref="B1"/>
      <selection pane="bottomLeft" activeCell="A3" sqref="A3"/>
      <selection pane="bottomRight" activeCell="BE2" sqref="BE2"/>
    </sheetView>
  </sheetViews>
  <sheetFormatPr defaultRowHeight="12.75" customHeight="1" outlineLevelCol="1" x14ac:dyDescent="0.2"/>
  <cols>
    <col min="1" max="1" width="38.42578125" style="2" customWidth="1"/>
    <col min="2" max="5" width="9.7109375" style="505" hidden="1" customWidth="1" outlineLevel="1"/>
    <col min="6" max="6" width="9.140625" style="506" collapsed="1"/>
    <col min="7" max="10" width="9.140625" style="505" hidden="1" customWidth="1" outlineLevel="1"/>
    <col min="11" max="11" width="9.140625" style="506" collapsed="1"/>
    <col min="12" max="15" width="9.140625" style="505" hidden="1" customWidth="1" outlineLevel="1"/>
    <col min="16" max="16" width="9.140625" style="506" collapsed="1"/>
    <col min="17" max="20" width="9.140625" style="258" hidden="1" customWidth="1" outlineLevel="1"/>
    <col min="21" max="21" width="9.140625" style="258" collapsed="1"/>
    <col min="22" max="25" width="9.140625" style="258" hidden="1" customWidth="1" outlineLevel="1"/>
    <col min="26" max="26" width="9.140625" style="511" collapsed="1"/>
    <col min="27" max="27" width="9.140625" style="258" hidden="1" customWidth="1" outlineLevel="1"/>
    <col min="28" max="30" width="9.140625" style="152" hidden="1" customWidth="1" outlineLevel="1"/>
    <col min="31" max="31" width="9.140625" style="152" collapsed="1"/>
    <col min="32" max="35" width="9.140625" style="152" hidden="1" customWidth="1" outlineLevel="1"/>
    <col min="36" max="36" width="9.140625" style="152" collapsed="1"/>
    <col min="37" max="39" width="9.140625" style="152" hidden="1" customWidth="1" outlineLevel="1"/>
    <col min="40" max="40" width="9.28515625" style="152" hidden="1" customWidth="1" outlineLevel="1"/>
    <col min="41" max="41" width="9.140625" style="152" collapsed="1"/>
    <col min="42" max="44" width="9.140625" style="152" hidden="1" customWidth="1" outlineLevel="1"/>
    <col min="45" max="45" width="9.42578125" style="152" hidden="1" customWidth="1" outlineLevel="1"/>
    <col min="46" max="46" width="9.140625" style="152" collapsed="1"/>
    <col min="47" max="50" width="9.140625" style="152" hidden="1" customWidth="1" outlineLevel="1"/>
    <col min="51" max="51" width="9.140625" style="152" collapsed="1"/>
    <col min="52" max="55" width="9.140625" style="152" customWidth="1" outlineLevel="1"/>
    <col min="56" max="56" width="9.140625" style="152"/>
    <col min="57" max="60" width="9.140625" style="152" customWidth="1" outlineLevel="1"/>
    <col min="61" max="61" width="9.140625" style="152"/>
    <col min="62" max="65" width="9.140625" style="152" hidden="1" customWidth="1" outlineLevel="1"/>
    <col min="66" max="66" width="9.140625" style="152" customWidth="1" collapsed="1"/>
    <col min="67" max="70" width="9.140625" style="152" hidden="1" customWidth="1" outlineLevel="1"/>
    <col min="71" max="71" width="9.140625" style="152" collapsed="1"/>
    <col min="72" max="72" width="1.7109375" style="152" customWidth="1"/>
    <col min="73" max="73" width="1.7109375" style="354" customWidth="1"/>
    <col min="74" max="74" width="9.140625" style="229" hidden="1" customWidth="1" outlineLevel="1"/>
    <col min="75" max="77" width="9.140625" style="152" hidden="1" customWidth="1" outlineLevel="1"/>
    <col min="78" max="78" width="8.42578125" style="336" customWidth="1" collapsed="1"/>
    <col min="79" max="79" width="2.7109375" style="319" customWidth="1"/>
    <col min="80" max="85" width="10.7109375" style="319" customWidth="1"/>
    <col min="86" max="86" width="1.7109375" style="354" customWidth="1"/>
    <col min="87" max="87" width="1.7109375" style="152" customWidth="1"/>
    <col min="88" max="88" width="40.85546875" bestFit="1" customWidth="1"/>
    <col min="94" max="94" width="9.140625" style="389"/>
    <col min="96" max="16384" width="9.140625" style="258"/>
  </cols>
  <sheetData>
    <row r="1" spans="1:94" s="3" customFormat="1" ht="12.75" customHeight="1" x14ac:dyDescent="0.2">
      <c r="A1" s="925" t="s">
        <v>1</v>
      </c>
      <c r="B1" s="142"/>
      <c r="C1" s="142"/>
      <c r="D1" s="142">
        <v>2007</v>
      </c>
      <c r="E1" s="142"/>
      <c r="F1" s="143" t="s">
        <v>93</v>
      </c>
      <c r="G1" s="142">
        <v>2008</v>
      </c>
      <c r="H1" s="142"/>
      <c r="I1" s="142"/>
      <c r="J1" s="142"/>
      <c r="K1" s="143" t="s">
        <v>93</v>
      </c>
      <c r="L1" s="142" t="s">
        <v>84</v>
      </c>
      <c r="M1" s="142"/>
      <c r="N1" s="142"/>
      <c r="O1" s="142"/>
      <c r="P1" s="143" t="s">
        <v>93</v>
      </c>
      <c r="Q1" s="142" t="s">
        <v>85</v>
      </c>
      <c r="R1" s="142"/>
      <c r="S1" s="142"/>
      <c r="T1" s="142"/>
      <c r="U1" s="143" t="s">
        <v>93</v>
      </c>
      <c r="V1" s="142" t="s">
        <v>88</v>
      </c>
      <c r="W1" s="142"/>
      <c r="X1" s="142"/>
      <c r="Y1" s="142"/>
      <c r="Z1" s="143" t="s">
        <v>93</v>
      </c>
      <c r="AA1" s="142">
        <v>2012</v>
      </c>
      <c r="AB1" s="142"/>
      <c r="AC1" s="142"/>
      <c r="AD1" s="142"/>
      <c r="AE1" s="143" t="s">
        <v>93</v>
      </c>
      <c r="AF1" s="142">
        <v>2013</v>
      </c>
      <c r="AG1" s="142"/>
      <c r="AH1" s="142"/>
      <c r="AI1" s="142"/>
      <c r="AJ1" s="143" t="s">
        <v>93</v>
      </c>
      <c r="AK1" s="142">
        <v>2014</v>
      </c>
      <c r="AL1" s="142"/>
      <c r="AM1" s="142"/>
      <c r="AN1" s="142"/>
      <c r="AO1" s="143" t="s">
        <v>93</v>
      </c>
      <c r="AP1" s="142">
        <v>2015</v>
      </c>
      <c r="AQ1" s="142"/>
      <c r="AR1" s="142"/>
      <c r="AS1" s="142"/>
      <c r="AT1" s="143" t="s">
        <v>93</v>
      </c>
      <c r="AU1" s="142">
        <v>2016</v>
      </c>
      <c r="AV1" s="142"/>
      <c r="AW1" s="142"/>
      <c r="AX1" s="142"/>
      <c r="AY1" s="143" t="s">
        <v>93</v>
      </c>
      <c r="AZ1" s="142">
        <v>2017</v>
      </c>
      <c r="BA1" s="142"/>
      <c r="BB1" s="142"/>
      <c r="BC1" s="142"/>
      <c r="BD1" s="143" t="s">
        <v>93</v>
      </c>
      <c r="BE1" s="142">
        <v>2018</v>
      </c>
      <c r="BF1" s="142"/>
      <c r="BG1" s="142"/>
      <c r="BH1" s="142"/>
      <c r="BI1" s="143" t="s">
        <v>93</v>
      </c>
      <c r="BJ1" s="142"/>
      <c r="BK1" s="142"/>
      <c r="BL1" s="142"/>
      <c r="BM1" s="142"/>
      <c r="BN1" s="143" t="s">
        <v>93</v>
      </c>
      <c r="BO1" s="142"/>
      <c r="BP1" s="142"/>
      <c r="BQ1" s="142"/>
      <c r="BR1" s="142"/>
      <c r="BS1" s="143" t="s">
        <v>93</v>
      </c>
      <c r="BT1" s="352"/>
      <c r="BU1" s="352"/>
      <c r="BV1" s="143" t="s">
        <v>26</v>
      </c>
      <c r="BW1" s="143" t="s">
        <v>27</v>
      </c>
      <c r="BX1" s="143" t="s">
        <v>28</v>
      </c>
      <c r="BY1" s="143" t="s">
        <v>29</v>
      </c>
      <c r="BZ1" s="385" t="s">
        <v>37</v>
      </c>
      <c r="CA1" s="386"/>
      <c r="CB1" s="386"/>
      <c r="CC1" s="386"/>
      <c r="CD1" s="386"/>
      <c r="CE1" s="386"/>
      <c r="CF1" s="386"/>
      <c r="CG1" s="386"/>
      <c r="CH1" s="352"/>
      <c r="CI1" s="79"/>
      <c r="CJ1"/>
      <c r="CK1"/>
      <c r="CL1"/>
      <c r="CM1"/>
      <c r="CN1"/>
      <c r="CO1"/>
      <c r="CP1" s="14"/>
    </row>
    <row r="2" spans="1:94" s="257" customFormat="1" ht="12.75" customHeight="1" x14ac:dyDescent="0.2">
      <c r="A2" s="926"/>
      <c r="B2" s="144" t="s">
        <v>71</v>
      </c>
      <c r="C2" s="144" t="s">
        <v>72</v>
      </c>
      <c r="D2" s="144" t="s">
        <v>73</v>
      </c>
      <c r="E2" s="144" t="s">
        <v>74</v>
      </c>
      <c r="F2" s="145" t="s">
        <v>75</v>
      </c>
      <c r="G2" s="144" t="s">
        <v>71</v>
      </c>
      <c r="H2" s="144" t="s">
        <v>72</v>
      </c>
      <c r="I2" s="144" t="s">
        <v>73</v>
      </c>
      <c r="J2" s="144" t="s">
        <v>74</v>
      </c>
      <c r="K2" s="145" t="s">
        <v>76</v>
      </c>
      <c r="L2" s="144" t="s">
        <v>71</v>
      </c>
      <c r="M2" s="144" t="s">
        <v>72</v>
      </c>
      <c r="N2" s="144" t="s">
        <v>73</v>
      </c>
      <c r="O2" s="144" t="s">
        <v>74</v>
      </c>
      <c r="P2" s="145" t="s">
        <v>87</v>
      </c>
      <c r="Q2" s="144" t="s">
        <v>71</v>
      </c>
      <c r="R2" s="144" t="s">
        <v>72</v>
      </c>
      <c r="S2" s="144" t="s">
        <v>73</v>
      </c>
      <c r="T2" s="144" t="s">
        <v>74</v>
      </c>
      <c r="U2" s="145" t="s">
        <v>89</v>
      </c>
      <c r="V2" s="144" t="s">
        <v>71</v>
      </c>
      <c r="W2" s="144" t="s">
        <v>72</v>
      </c>
      <c r="X2" s="144" t="s">
        <v>73</v>
      </c>
      <c r="Y2" s="144" t="s">
        <v>74</v>
      </c>
      <c r="Z2" s="145" t="s">
        <v>91</v>
      </c>
      <c r="AA2" s="144" t="s">
        <v>71</v>
      </c>
      <c r="AB2" s="144" t="s">
        <v>72</v>
      </c>
      <c r="AC2" s="144" t="s">
        <v>73</v>
      </c>
      <c r="AD2" s="144" t="s">
        <v>74</v>
      </c>
      <c r="AE2" s="145" t="s">
        <v>34</v>
      </c>
      <c r="AF2" s="144" t="s">
        <v>71</v>
      </c>
      <c r="AG2" s="144" t="s">
        <v>72</v>
      </c>
      <c r="AH2" s="144" t="s">
        <v>73</v>
      </c>
      <c r="AI2" s="144" t="s">
        <v>74</v>
      </c>
      <c r="AJ2" s="145" t="s">
        <v>32</v>
      </c>
      <c r="AK2" s="144" t="s">
        <v>71</v>
      </c>
      <c r="AL2" s="144" t="s">
        <v>72</v>
      </c>
      <c r="AM2" s="144" t="s">
        <v>73</v>
      </c>
      <c r="AN2" s="144" t="s">
        <v>74</v>
      </c>
      <c r="AO2" s="145" t="s">
        <v>357</v>
      </c>
      <c r="AP2" s="144" t="s">
        <v>71</v>
      </c>
      <c r="AQ2" s="144" t="s">
        <v>72</v>
      </c>
      <c r="AR2" s="144" t="s">
        <v>73</v>
      </c>
      <c r="AS2" s="144" t="s">
        <v>74</v>
      </c>
      <c r="AT2" s="145" t="s">
        <v>439</v>
      </c>
      <c r="AU2" s="144" t="s">
        <v>71</v>
      </c>
      <c r="AV2" s="144" t="s">
        <v>72</v>
      </c>
      <c r="AW2" s="144" t="s">
        <v>73</v>
      </c>
      <c r="AX2" s="144" t="s">
        <v>74</v>
      </c>
      <c r="AY2" s="145" t="s">
        <v>471</v>
      </c>
      <c r="AZ2" s="144" t="s">
        <v>71</v>
      </c>
      <c r="BA2" s="144" t="s">
        <v>72</v>
      </c>
      <c r="BB2" s="144" t="s">
        <v>73</v>
      </c>
      <c r="BC2" s="144" t="s">
        <v>74</v>
      </c>
      <c r="BD2" s="145" t="s">
        <v>496</v>
      </c>
      <c r="BE2" s="144" t="s">
        <v>475</v>
      </c>
      <c r="BF2" s="144" t="s">
        <v>476</v>
      </c>
      <c r="BG2" s="144" t="s">
        <v>477</v>
      </c>
      <c r="BH2" s="144" t="s">
        <v>77</v>
      </c>
      <c r="BI2" s="145" t="s">
        <v>437</v>
      </c>
      <c r="BJ2" s="144"/>
      <c r="BK2" s="144"/>
      <c r="BL2" s="144"/>
      <c r="BM2" s="144"/>
      <c r="BN2" s="145" t="s">
        <v>448</v>
      </c>
      <c r="BO2" s="144"/>
      <c r="BP2" s="144"/>
      <c r="BQ2" s="144"/>
      <c r="BR2" s="144"/>
      <c r="BS2" s="145" t="s">
        <v>472</v>
      </c>
      <c r="BT2" s="353"/>
      <c r="BU2" s="353"/>
      <c r="BV2" s="143" t="s">
        <v>30</v>
      </c>
      <c r="BW2" s="143" t="s">
        <v>30</v>
      </c>
      <c r="BX2" s="143" t="s">
        <v>30</v>
      </c>
      <c r="BY2" s="143" t="s">
        <v>30</v>
      </c>
      <c r="BZ2" s="387"/>
      <c r="CA2" s="381"/>
      <c r="CB2" s="381"/>
      <c r="CC2" s="381"/>
      <c r="CD2" s="381"/>
      <c r="CE2" s="381"/>
      <c r="CF2" s="381"/>
      <c r="CG2" s="381"/>
      <c r="CH2" s="353"/>
      <c r="CI2" s="252"/>
      <c r="CJ2"/>
      <c r="CK2"/>
      <c r="CL2"/>
      <c r="CM2"/>
      <c r="CN2"/>
      <c r="CO2"/>
      <c r="CP2" s="388"/>
    </row>
    <row r="3" spans="1:94" ht="12.75" customHeight="1" x14ac:dyDescent="0.2">
      <c r="A3" s="8" t="s">
        <v>17</v>
      </c>
      <c r="B3" s="15"/>
      <c r="C3" s="15"/>
      <c r="D3" s="15"/>
      <c r="E3" s="15"/>
      <c r="F3" s="164"/>
      <c r="G3" s="15"/>
      <c r="H3" s="15"/>
      <c r="I3" s="15"/>
      <c r="J3" s="15"/>
      <c r="K3" s="164"/>
      <c r="L3" s="15"/>
      <c r="M3" s="15"/>
      <c r="N3" s="15"/>
      <c r="O3" s="15"/>
      <c r="P3" s="164"/>
      <c r="Q3" s="15"/>
      <c r="R3" s="15"/>
      <c r="S3" s="15"/>
      <c r="T3" s="15"/>
      <c r="U3" s="164"/>
      <c r="V3" s="15"/>
      <c r="W3" s="15"/>
      <c r="X3" s="15"/>
      <c r="Y3" s="15"/>
      <c r="Z3" s="164"/>
      <c r="AA3" s="15"/>
      <c r="AB3" s="15"/>
      <c r="AC3" s="15"/>
      <c r="AD3" s="15"/>
      <c r="AE3" s="164"/>
      <c r="AF3" s="15"/>
      <c r="AG3" s="15"/>
      <c r="AH3" s="15"/>
      <c r="AI3" s="15"/>
      <c r="AJ3" s="164"/>
      <c r="AK3" s="15"/>
      <c r="AL3" s="15"/>
      <c r="AM3" s="15"/>
      <c r="AN3" s="15"/>
      <c r="AO3" s="164"/>
      <c r="AP3" s="15"/>
      <c r="AQ3" s="15"/>
      <c r="AR3" s="15"/>
      <c r="AS3" s="15"/>
      <c r="AT3" s="164"/>
      <c r="AU3" s="15"/>
      <c r="AV3" s="15"/>
      <c r="AW3" s="15"/>
      <c r="AX3" s="15"/>
      <c r="AY3" s="164"/>
      <c r="AZ3" s="15"/>
      <c r="BA3" s="15"/>
      <c r="BB3" s="15"/>
      <c r="BC3" s="15"/>
      <c r="BD3" s="164"/>
      <c r="BE3" s="15"/>
      <c r="BF3" s="15"/>
      <c r="BG3" s="15"/>
      <c r="BH3" s="15"/>
      <c r="BI3" s="164"/>
      <c r="BJ3" s="15"/>
      <c r="BK3" s="15"/>
      <c r="BL3" s="15"/>
      <c r="BM3" s="15"/>
      <c r="BN3" s="164"/>
      <c r="BO3" s="15"/>
      <c r="BP3" s="15"/>
      <c r="BQ3" s="15"/>
      <c r="BR3" s="15"/>
      <c r="BS3" s="164"/>
      <c r="BT3" s="354"/>
      <c r="BV3" s="278"/>
      <c r="BW3" s="279"/>
      <c r="BX3" s="279"/>
      <c r="BY3" s="279"/>
      <c r="BZ3" s="531"/>
    </row>
    <row r="4" spans="1:94" s="254" customFormat="1" ht="12.75" customHeight="1" x14ac:dyDescent="0.2">
      <c r="A4" s="9" t="s">
        <v>40</v>
      </c>
      <c r="B4" s="9"/>
      <c r="C4" s="9"/>
      <c r="D4" s="9"/>
      <c r="E4" s="9"/>
      <c r="F4" s="165"/>
      <c r="G4" s="9"/>
      <c r="H4" s="9"/>
      <c r="I4" s="9"/>
      <c r="J4" s="9"/>
      <c r="K4" s="165"/>
      <c r="L4" s="9"/>
      <c r="M4" s="9"/>
      <c r="N4" s="9"/>
      <c r="O4" s="9"/>
      <c r="P4" s="165"/>
      <c r="Q4" s="9"/>
      <c r="R4" s="9"/>
      <c r="S4" s="9"/>
      <c r="T4" s="9"/>
      <c r="U4" s="165"/>
      <c r="V4" s="9"/>
      <c r="W4" s="9"/>
      <c r="X4" s="9"/>
      <c r="Y4" s="443"/>
      <c r="Z4" s="165"/>
      <c r="AA4" s="9"/>
      <c r="AB4" s="452"/>
      <c r="AC4" s="9"/>
      <c r="AD4" s="9"/>
      <c r="AE4" s="165"/>
      <c r="AF4" s="9"/>
      <c r="AG4" s="9"/>
      <c r="AH4" s="9"/>
      <c r="AI4" s="9"/>
      <c r="AJ4" s="165"/>
      <c r="AK4" s="9"/>
      <c r="AL4" s="9"/>
      <c r="AM4" s="9"/>
      <c r="AN4" s="9"/>
      <c r="AO4" s="165"/>
      <c r="AP4" s="9"/>
      <c r="AQ4" s="9"/>
      <c r="AR4" s="9"/>
      <c r="AS4" s="9"/>
      <c r="AT4" s="165"/>
      <c r="AU4" s="9"/>
      <c r="AV4" s="9"/>
      <c r="AW4" s="9"/>
      <c r="AX4" s="9"/>
      <c r="AY4" s="165"/>
      <c r="AZ4" s="9"/>
      <c r="BA4" s="9"/>
      <c r="BB4" s="9"/>
      <c r="BC4" s="9"/>
      <c r="BD4" s="165"/>
      <c r="BE4" s="9"/>
      <c r="BF4" s="9"/>
      <c r="BG4" s="9"/>
      <c r="BH4" s="9"/>
      <c r="BI4" s="165"/>
      <c r="BJ4" s="9"/>
      <c r="BK4" s="9"/>
      <c r="BL4" s="9"/>
      <c r="BM4" s="9"/>
      <c r="BN4" s="165"/>
      <c r="BO4" s="9"/>
      <c r="BP4" s="9"/>
      <c r="BQ4" s="9"/>
      <c r="BR4" s="9"/>
      <c r="BS4" s="165"/>
      <c r="BT4" s="9"/>
      <c r="BU4" s="8"/>
      <c r="BV4" s="280"/>
      <c r="BW4" s="249"/>
      <c r="BX4" s="249"/>
      <c r="BY4" s="249"/>
      <c r="BZ4" s="534"/>
      <c r="CA4" s="320"/>
      <c r="CB4" s="320"/>
      <c r="CC4" s="320"/>
      <c r="CD4" s="320"/>
      <c r="CE4" s="320"/>
      <c r="CF4" s="320"/>
      <c r="CG4" s="320"/>
      <c r="CH4" s="8"/>
      <c r="CI4" s="249"/>
      <c r="CJ4"/>
      <c r="CK4"/>
      <c r="CL4"/>
      <c r="CM4"/>
      <c r="CN4"/>
      <c r="CO4"/>
      <c r="CP4" s="320"/>
    </row>
    <row r="5" spans="1:94" s="259" customFormat="1" ht="12.75" customHeight="1" x14ac:dyDescent="0.2">
      <c r="A5" s="16" t="s">
        <v>83</v>
      </c>
      <c r="B5" s="286"/>
      <c r="C5" s="286"/>
      <c r="D5" s="286"/>
      <c r="E5" s="286"/>
      <c r="F5" s="537"/>
      <c r="G5" s="851">
        <v>1.7612049999999999</v>
      </c>
      <c r="H5" s="851">
        <v>1.8790880000000001</v>
      </c>
      <c r="I5" s="851">
        <v>1.8134170000000001</v>
      </c>
      <c r="J5" s="851">
        <v>1.5227250000000001</v>
      </c>
      <c r="K5" s="537">
        <f>SUM(G5:J5)</f>
        <v>6.9764350000000004</v>
      </c>
      <c r="L5" s="851">
        <v>1.4826699999999999</v>
      </c>
      <c r="M5" s="851">
        <v>1.6297250000000001</v>
      </c>
      <c r="N5" s="851">
        <v>1.6916739999999999</v>
      </c>
      <c r="O5" s="851">
        <v>1.4547589999999999</v>
      </c>
      <c r="P5" s="537">
        <f>SUM(L5:O5)</f>
        <v>6.2588280000000003</v>
      </c>
      <c r="Q5" s="851">
        <v>1.5255460000000001</v>
      </c>
      <c r="R5" s="851">
        <v>1.611272</v>
      </c>
      <c r="S5" s="851">
        <v>1.9097379999999999</v>
      </c>
      <c r="T5" s="851">
        <v>1.9051720000000001</v>
      </c>
      <c r="U5" s="537">
        <f>SUM(Q5:T5)</f>
        <v>6.9517280000000001</v>
      </c>
      <c r="V5" s="851">
        <v>1.8625320000000001</v>
      </c>
      <c r="W5" s="851">
        <v>2.2000000000000002</v>
      </c>
      <c r="X5" s="851">
        <v>2.2850000000000001</v>
      </c>
      <c r="Y5" s="851">
        <v>2.17</v>
      </c>
      <c r="Z5" s="537">
        <f>SUM(V5:Y5)</f>
        <v>8.5175319999999992</v>
      </c>
      <c r="AA5" s="851">
        <v>2.3490000000000002</v>
      </c>
      <c r="AB5" s="851">
        <v>2.613</v>
      </c>
      <c r="AC5" s="851">
        <v>2.8140000000000001</v>
      </c>
      <c r="AD5" s="851">
        <v>2.6469999999999998</v>
      </c>
      <c r="AE5" s="537">
        <f>SUM(AA5:AD5)</f>
        <v>10.423</v>
      </c>
      <c r="AF5" s="851">
        <v>2.7679999999999998</v>
      </c>
      <c r="AG5" s="851">
        <v>3.1110000000000002</v>
      </c>
      <c r="AH5" s="851">
        <v>3.3740000000000001</v>
      </c>
      <c r="AI5" s="851">
        <v>3.161</v>
      </c>
      <c r="AJ5" s="537">
        <f>SUM(AF5:AI5)</f>
        <v>12.414</v>
      </c>
      <c r="AK5" s="851">
        <v>3.2639999999999998</v>
      </c>
      <c r="AL5" s="851">
        <v>3.569</v>
      </c>
      <c r="AM5" s="851">
        <v>3.7519999999999998</v>
      </c>
      <c r="AN5" s="851">
        <v>3.7090000000000001</v>
      </c>
      <c r="AO5" s="537">
        <f>SUM(AK5:AN5)</f>
        <v>14.294</v>
      </c>
      <c r="AP5" s="851">
        <v>3.98</v>
      </c>
      <c r="AQ5" s="851">
        <v>4.5140000000000002</v>
      </c>
      <c r="AR5" s="851">
        <v>4.7759999999999998</v>
      </c>
      <c r="AS5" s="851">
        <v>4.6506740000000004</v>
      </c>
      <c r="AT5" s="537">
        <f>SUM(AP5:AS5)</f>
        <v>17.920673999999998</v>
      </c>
      <c r="AU5" s="851">
        <v>4.9881599999999997</v>
      </c>
      <c r="AV5" s="851">
        <v>5.6062830000000003</v>
      </c>
      <c r="AW5" s="851">
        <v>5.6740000000000004</v>
      </c>
      <c r="AX5" s="851">
        <v>5.35</v>
      </c>
      <c r="AY5" s="537">
        <f>SUM(AU5:AX5)</f>
        <v>21.618442999999999</v>
      </c>
      <c r="AZ5" s="851">
        <v>5.57</v>
      </c>
      <c r="BA5" s="851">
        <v>6.2060000000000004</v>
      </c>
      <c r="BB5" s="851">
        <v>6.3070000000000004</v>
      </c>
      <c r="BC5" s="851">
        <v>6.1</v>
      </c>
      <c r="BD5" s="537">
        <f>SUM(AZ5:BC5)</f>
        <v>24.183</v>
      </c>
      <c r="BE5" s="536">
        <f t="shared" ref="BE5" si="0">BE8/BE19</f>
        <v>6.5627263969171494</v>
      </c>
      <c r="BF5" s="536">
        <f t="shared" ref="BF5:BH5" si="1">BF8/BF19</f>
        <v>7.494037735849056</v>
      </c>
      <c r="BG5" s="536">
        <f t="shared" si="1"/>
        <v>7.6866546504656732</v>
      </c>
      <c r="BH5" s="536">
        <f t="shared" si="1"/>
        <v>6.820057581573896</v>
      </c>
      <c r="BI5" s="537">
        <f>SUM(BE5:BH5)</f>
        <v>28.563476364805773</v>
      </c>
      <c r="BJ5" s="536"/>
      <c r="BK5" s="536"/>
      <c r="BL5" s="536"/>
      <c r="BM5" s="536"/>
      <c r="BN5" s="537">
        <f>BN8/BN19</f>
        <v>32.133910910406492</v>
      </c>
      <c r="BO5" s="536"/>
      <c r="BP5" s="536"/>
      <c r="BQ5" s="536"/>
      <c r="BR5" s="536"/>
      <c r="BS5" s="537">
        <f>BS8/BS19</f>
        <v>36.150649774207295</v>
      </c>
      <c r="BT5" s="147"/>
      <c r="BU5" s="355"/>
      <c r="BV5" s="223"/>
      <c r="BW5" s="147"/>
      <c r="BX5" s="147"/>
      <c r="BY5" s="147"/>
      <c r="BZ5" s="531"/>
      <c r="CA5" s="321"/>
      <c r="CB5" s="599"/>
      <c r="CC5" s="599"/>
      <c r="CD5" s="599"/>
      <c r="CE5" s="599"/>
      <c r="CF5" s="321"/>
      <c r="CG5" s="321"/>
      <c r="CH5" s="355"/>
      <c r="CI5" s="147"/>
      <c r="CJ5"/>
      <c r="CK5"/>
      <c r="CL5"/>
      <c r="CM5"/>
      <c r="CN5"/>
      <c r="CO5"/>
      <c r="CP5" s="390"/>
    </row>
    <row r="6" spans="1:94" s="260" customFormat="1" ht="12.75" customHeight="1" x14ac:dyDescent="0.2">
      <c r="A6" s="117" t="s">
        <v>21</v>
      </c>
      <c r="B6" s="18"/>
      <c r="C6" s="18"/>
      <c r="D6" s="18"/>
      <c r="E6" s="18"/>
      <c r="F6" s="166"/>
      <c r="G6" s="18"/>
      <c r="H6" s="18"/>
      <c r="I6" s="18"/>
      <c r="J6" s="18"/>
      <c r="K6" s="166"/>
      <c r="L6" s="18">
        <f t="shared" ref="L6:AM6" si="2">L5/G5-1</f>
        <v>-0.15815024372517683</v>
      </c>
      <c r="M6" s="18">
        <f t="shared" si="2"/>
        <v>-0.1327042693051097</v>
      </c>
      <c r="N6" s="18">
        <f t="shared" si="2"/>
        <v>-6.7134586253465245E-2</v>
      </c>
      <c r="O6" s="18">
        <f t="shared" si="2"/>
        <v>-4.4634454678290636E-2</v>
      </c>
      <c r="P6" s="166">
        <f t="shared" si="2"/>
        <v>-0.10286156181488115</v>
      </c>
      <c r="Q6" s="18">
        <f>Q5/L5-1</f>
        <v>2.8918100453910967E-2</v>
      </c>
      <c r="R6" s="18">
        <f>R5/M5-1</f>
        <v>-1.1322769178849224E-2</v>
      </c>
      <c r="S6" s="18">
        <f>S5/N5-1</f>
        <v>0.12890426878937666</v>
      </c>
      <c r="T6" s="18">
        <f t="shared" si="2"/>
        <v>0.30961348237061959</v>
      </c>
      <c r="U6" s="166">
        <f t="shared" si="2"/>
        <v>0.11070762769004028</v>
      </c>
      <c r="V6" s="18">
        <f t="shared" si="2"/>
        <v>0.22089533845587095</v>
      </c>
      <c r="W6" s="18">
        <f t="shared" si="2"/>
        <v>0.36538089161854748</v>
      </c>
      <c r="X6" s="18">
        <f>X5/S5-1</f>
        <v>0.19649920565019929</v>
      </c>
      <c r="Y6" s="18">
        <f t="shared" si="2"/>
        <v>0.13900477227252961</v>
      </c>
      <c r="Z6" s="166">
        <f t="shared" si="2"/>
        <v>0.22523953756533621</v>
      </c>
      <c r="AA6" s="18">
        <f t="shared" si="2"/>
        <v>0.26118638498560021</v>
      </c>
      <c r="AB6" s="18">
        <f t="shared" si="2"/>
        <v>0.18772727272727252</v>
      </c>
      <c r="AC6" s="18">
        <f t="shared" si="2"/>
        <v>0.23150984682713349</v>
      </c>
      <c r="AD6" s="18">
        <f t="shared" si="2"/>
        <v>0.21981566820276499</v>
      </c>
      <c r="AE6" s="166">
        <f>AE5/Z5-1</f>
        <v>0.22371128162477127</v>
      </c>
      <c r="AF6" s="18">
        <f t="shared" si="2"/>
        <v>0.17837377607492533</v>
      </c>
      <c r="AG6" s="18">
        <f t="shared" si="2"/>
        <v>0.19058553386911603</v>
      </c>
      <c r="AH6" s="18">
        <f t="shared" si="2"/>
        <v>0.19900497512437809</v>
      </c>
      <c r="AI6" s="18">
        <f t="shared" si="2"/>
        <v>0.19418209293539856</v>
      </c>
      <c r="AJ6" s="166">
        <f>AJ5/AE5-1</f>
        <v>0.19101985992516557</v>
      </c>
      <c r="AK6" s="18">
        <f t="shared" si="2"/>
        <v>0.17919075144508678</v>
      </c>
      <c r="AL6" s="18">
        <f t="shared" si="2"/>
        <v>0.1472195435551269</v>
      </c>
      <c r="AM6" s="18">
        <f t="shared" si="2"/>
        <v>0.11203319502074671</v>
      </c>
      <c r="AN6" s="18">
        <f>AN5/AI5-1</f>
        <v>0.17336285985447653</v>
      </c>
      <c r="AO6" s="166">
        <f>AO5/AJ5-1</f>
        <v>0.15144192041243754</v>
      </c>
      <c r="AP6" s="18">
        <f>AP5/AK5-1</f>
        <v>0.21936274509803932</v>
      </c>
      <c r="AQ6" s="18">
        <f>AQ5/AL5-1</f>
        <v>0.26478005043429542</v>
      </c>
      <c r="AR6" s="18">
        <f>AR5/AM5-1</f>
        <v>0.27292110874200426</v>
      </c>
      <c r="AS6" s="18">
        <f t="shared" ref="AS6:AT6" si="3">AS5/AN5-1</f>
        <v>0.25388891884605025</v>
      </c>
      <c r="AT6" s="166">
        <f t="shared" si="3"/>
        <v>0.2537200223870153</v>
      </c>
      <c r="AU6" s="18">
        <f>AU5/AP5-1</f>
        <v>0.2533065326633166</v>
      </c>
      <c r="AV6" s="18">
        <f>AV5/AQ5-1</f>
        <v>0.2419767390341161</v>
      </c>
      <c r="AW6" s="18">
        <f>AW5/AR5-1</f>
        <v>0.1880234505862648</v>
      </c>
      <c r="AX6" s="18">
        <f t="shared" ref="AX6" si="4">AX5/AS5-1</f>
        <v>0.15037089247709035</v>
      </c>
      <c r="AY6" s="166">
        <f t="shared" ref="AY6" si="5">AY5/AT5-1</f>
        <v>0.2063409557028939</v>
      </c>
      <c r="AZ6" s="18">
        <f>AZ5/AU5-1</f>
        <v>0.11664421349756227</v>
      </c>
      <c r="BA6" s="18">
        <f>BA5/AV5-1</f>
        <v>0.10697230232580135</v>
      </c>
      <c r="BB6" s="18">
        <f>BB5/AW5-1</f>
        <v>0.11156150863588299</v>
      </c>
      <c r="BC6" s="18">
        <f t="shared" ref="BC6" si="6">BC5/AX5-1</f>
        <v>0.14018691588785037</v>
      </c>
      <c r="BD6" s="166">
        <f t="shared" ref="BD6" si="7">BD5/AY5-1</f>
        <v>0.11862820093010407</v>
      </c>
      <c r="BE6" s="18">
        <f t="shared" ref="BE6:BI6" si="8">BE5/AZ5-1</f>
        <v>0.17822736030828534</v>
      </c>
      <c r="BF6" s="18">
        <f t="shared" si="8"/>
        <v>0.20754716981132049</v>
      </c>
      <c r="BG6" s="18">
        <f t="shared" si="8"/>
        <v>0.21874974638745415</v>
      </c>
      <c r="BH6" s="18">
        <f t="shared" si="8"/>
        <v>0.11804222648752405</v>
      </c>
      <c r="BI6" s="166">
        <f t="shared" si="8"/>
        <v>0.18113866620377017</v>
      </c>
      <c r="BJ6" s="18"/>
      <c r="BK6" s="18"/>
      <c r="BL6" s="18"/>
      <c r="BM6" s="18"/>
      <c r="BN6" s="166">
        <f>BN5/BI5-1</f>
        <v>0.125</v>
      </c>
      <c r="BO6" s="18"/>
      <c r="BP6" s="18"/>
      <c r="BQ6" s="18"/>
      <c r="BR6" s="18"/>
      <c r="BS6" s="166">
        <f>BS5/BN5-1</f>
        <v>0.12499999999999978</v>
      </c>
      <c r="BT6" s="148"/>
      <c r="BU6" s="356"/>
      <c r="BV6" s="224"/>
      <c r="BW6" s="148"/>
      <c r="BX6" s="148"/>
      <c r="BY6" s="148"/>
      <c r="BZ6" s="531"/>
      <c r="CA6" s="531"/>
      <c r="CB6" s="755"/>
      <c r="CC6" s="755"/>
      <c r="CD6" s="755"/>
      <c r="CE6" s="755"/>
      <c r="CF6" s="321"/>
      <c r="CG6" s="322"/>
      <c r="CH6" s="356"/>
      <c r="CI6" s="148"/>
      <c r="CJ6"/>
      <c r="CK6"/>
      <c r="CL6"/>
      <c r="CM6"/>
      <c r="CN6"/>
      <c r="CO6"/>
      <c r="CP6" s="391"/>
    </row>
    <row r="7" spans="1:94" s="254" customFormat="1" ht="12.75" customHeight="1" x14ac:dyDescent="0.2">
      <c r="A7" s="9" t="s">
        <v>78</v>
      </c>
      <c r="B7" s="9"/>
      <c r="C7" s="9"/>
      <c r="D7" s="9"/>
      <c r="E7" s="9"/>
      <c r="F7" s="165"/>
      <c r="G7" s="451"/>
      <c r="H7" s="451"/>
      <c r="I7" s="451"/>
      <c r="J7" s="451"/>
      <c r="K7" s="165"/>
      <c r="L7" s="451"/>
      <c r="M7" s="451"/>
      <c r="N7" s="451"/>
      <c r="O7" s="451"/>
      <c r="P7" s="165"/>
      <c r="Q7" s="451"/>
      <c r="R7" s="451"/>
      <c r="S7" s="451"/>
      <c r="T7" s="451"/>
      <c r="U7" s="165"/>
      <c r="V7" s="451"/>
      <c r="W7" s="451"/>
      <c r="X7" s="451"/>
      <c r="Y7" s="451"/>
      <c r="Z7" s="165"/>
      <c r="AA7" s="451"/>
      <c r="AB7" s="451"/>
      <c r="AC7" s="451"/>
      <c r="AD7" s="451"/>
      <c r="AE7" s="165"/>
      <c r="AF7" s="451"/>
      <c r="AG7" s="451"/>
      <c r="AH7" s="451"/>
      <c r="AI7" s="451"/>
      <c r="AJ7" s="165"/>
      <c r="AK7" s="451"/>
      <c r="AL7" s="451"/>
      <c r="AM7" s="451"/>
      <c r="AN7" s="451"/>
      <c r="AO7" s="165"/>
      <c r="AP7" s="451"/>
      <c r="AQ7" s="451"/>
      <c r="AR7" s="451"/>
      <c r="AS7" s="451"/>
      <c r="AT7" s="165"/>
      <c r="AU7" s="451"/>
      <c r="AV7" s="451"/>
      <c r="AW7" s="451"/>
      <c r="AX7" s="451"/>
      <c r="AY7" s="165"/>
      <c r="AZ7" s="451"/>
      <c r="BA7" s="451"/>
      <c r="BB7" s="451"/>
      <c r="BC7" s="451"/>
      <c r="BD7" s="165"/>
      <c r="BE7" s="9"/>
      <c r="BF7" s="9"/>
      <c r="BG7" s="9"/>
      <c r="BH7" s="9"/>
      <c r="BI7" s="165"/>
      <c r="BJ7" s="9"/>
      <c r="BK7" s="9"/>
      <c r="BL7" s="9"/>
      <c r="BM7" s="9"/>
      <c r="BN7" s="165"/>
      <c r="BO7" s="9"/>
      <c r="BP7" s="9"/>
      <c r="BQ7" s="9"/>
      <c r="BR7" s="9"/>
      <c r="BS7" s="165"/>
      <c r="BT7" s="249"/>
      <c r="BU7" s="8"/>
      <c r="BV7" s="280"/>
      <c r="BW7" s="249"/>
      <c r="BX7" s="249"/>
      <c r="BY7" s="249"/>
      <c r="BZ7" s="432"/>
      <c r="CA7" s="320"/>
      <c r="CB7" s="755"/>
      <c r="CC7" s="755"/>
      <c r="CD7" s="755"/>
      <c r="CE7" s="755"/>
      <c r="CF7" s="321"/>
      <c r="CG7" s="320"/>
      <c r="CH7" s="8"/>
      <c r="CI7" s="249"/>
      <c r="CJ7"/>
      <c r="CK7"/>
      <c r="CL7"/>
      <c r="CM7"/>
      <c r="CN7"/>
      <c r="CO7"/>
      <c r="CP7" s="320"/>
    </row>
    <row r="8" spans="1:94" s="261" customFormat="1" ht="12.75" customHeight="1" x14ac:dyDescent="0.2">
      <c r="A8" s="19" t="s">
        <v>41</v>
      </c>
      <c r="B8" s="20"/>
      <c r="C8" s="20"/>
      <c r="D8" s="20"/>
      <c r="E8" s="20"/>
      <c r="F8" s="167"/>
      <c r="G8" s="852">
        <v>1678.4059999999999</v>
      </c>
      <c r="H8" s="852">
        <v>1746.837</v>
      </c>
      <c r="I8" s="852">
        <v>1711.4110000000001</v>
      </c>
      <c r="J8" s="852">
        <v>1463.155</v>
      </c>
      <c r="K8" s="167">
        <f>SUM(G8:J8)</f>
        <v>6599.8090000000002</v>
      </c>
      <c r="L8" s="852">
        <v>1414.086</v>
      </c>
      <c r="M8" s="852">
        <v>1552.41</v>
      </c>
      <c r="N8" s="852">
        <v>1617.809</v>
      </c>
      <c r="O8" s="852">
        <v>1454.759</v>
      </c>
      <c r="P8" s="167">
        <f>SUM(L8:O8)</f>
        <v>6039.0640000000003</v>
      </c>
      <c r="Q8" s="852">
        <v>1464.645</v>
      </c>
      <c r="R8" s="852">
        <f>R11*R14</f>
        <v>1520.2322940000001</v>
      </c>
      <c r="S8" s="852">
        <v>1824.7950000000001</v>
      </c>
      <c r="T8" s="852">
        <v>1854.723</v>
      </c>
      <c r="U8" s="167">
        <f>SUM(Q8:T8)</f>
        <v>6664.3952939999999</v>
      </c>
      <c r="V8" s="852">
        <v>1848.0809999999999</v>
      </c>
      <c r="W8" s="852">
        <v>2083.8040000000001</v>
      </c>
      <c r="X8" s="852">
        <v>2109.1190000000001</v>
      </c>
      <c r="Y8" s="852">
        <v>1966.5450000000001</v>
      </c>
      <c r="Z8" s="167">
        <f>SUM(V8:Y8)</f>
        <v>8007.5490000000009</v>
      </c>
      <c r="AA8" s="852">
        <v>2194.35</v>
      </c>
      <c r="AB8" s="852">
        <v>2397.663</v>
      </c>
      <c r="AC8" s="852">
        <v>2552.3159999999998</v>
      </c>
      <c r="AD8" s="852">
        <v>2519.3919999999998</v>
      </c>
      <c r="AE8" s="167">
        <f>SUM(AA8:AD8)</f>
        <v>9663.7209999999995</v>
      </c>
      <c r="AF8" s="852">
        <v>2661.491</v>
      </c>
      <c r="AG8" s="852">
        <v>2930.9119999999998</v>
      </c>
      <c r="AH8" s="852">
        <v>3241.3090000000002</v>
      </c>
      <c r="AI8" s="852">
        <v>3167.3760000000002</v>
      </c>
      <c r="AJ8" s="167">
        <f>SUM(AF8:AI8)</f>
        <v>12001.088</v>
      </c>
      <c r="AK8" s="852">
        <v>3289.2869999999998</v>
      </c>
      <c r="AL8" s="852">
        <v>3506.4589999999998</v>
      </c>
      <c r="AM8" s="852">
        <v>3656.8420000000001</v>
      </c>
      <c r="AN8" s="852">
        <v>3707.2710000000002</v>
      </c>
      <c r="AO8" s="167">
        <f>SUM(AK8:AN8)</f>
        <v>14159.859</v>
      </c>
      <c r="AP8" s="852">
        <v>4017.5590000000002</v>
      </c>
      <c r="AQ8" s="852">
        <v>4481.0640000000003</v>
      </c>
      <c r="AR8" s="852">
        <v>4768.692</v>
      </c>
      <c r="AS8" s="852">
        <v>4727.9960000000001</v>
      </c>
      <c r="AT8" s="167">
        <f>SUM(AP8:AS8)</f>
        <v>17995.310999999998</v>
      </c>
      <c r="AU8" s="852">
        <v>5070.3130000000001</v>
      </c>
      <c r="AV8" s="852">
        <v>5549.4110000000001</v>
      </c>
      <c r="AW8" s="852">
        <v>5599.37</v>
      </c>
      <c r="AX8" s="852">
        <v>5362.518</v>
      </c>
      <c r="AY8" s="167">
        <f>SUM(AU8:AX8)</f>
        <v>21581.612000000001</v>
      </c>
      <c r="AZ8" s="852">
        <v>5613.4219999999996</v>
      </c>
      <c r="BA8" s="852">
        <v>6219.6379999999999</v>
      </c>
      <c r="BB8" s="852">
        <v>6452.5290000000005</v>
      </c>
      <c r="BC8" s="852">
        <v>6319.924</v>
      </c>
      <c r="BD8" s="167">
        <f>SUM(AZ8:BC8)</f>
        <v>24605.512999999999</v>
      </c>
      <c r="BE8" s="20">
        <f t="shared" ref="BE8" si="9">BE11*BE14</f>
        <v>6865.2151060000006</v>
      </c>
      <c r="BF8" s="20">
        <f t="shared" ref="BF8:BH8" si="10">BF11*BF14</f>
        <v>7961.1366399999997</v>
      </c>
      <c r="BG8" s="20">
        <f t="shared" si="10"/>
        <v>8178.578805600001</v>
      </c>
      <c r="BH8" s="20">
        <f t="shared" si="10"/>
        <v>7362.7114600000004</v>
      </c>
      <c r="BI8" s="167">
        <f>SUM(BE8:BH8)</f>
        <v>30367.642011600001</v>
      </c>
      <c r="BJ8" s="20"/>
      <c r="BK8" s="20"/>
      <c r="BL8" s="20"/>
      <c r="BM8" s="20"/>
      <c r="BN8" s="167">
        <f>BN11*BN14</f>
        <v>34163.597263049996</v>
      </c>
      <c r="BO8" s="20"/>
      <c r="BP8" s="20"/>
      <c r="BQ8" s="20"/>
      <c r="BR8" s="20"/>
      <c r="BS8" s="167">
        <f>BS11*BS14</f>
        <v>38434.046920931243</v>
      </c>
      <c r="BT8" s="149"/>
      <c r="BU8" s="357"/>
      <c r="BV8" s="225"/>
      <c r="BW8" s="149"/>
      <c r="BX8" s="149"/>
      <c r="BY8" s="149"/>
      <c r="BZ8" s="531"/>
      <c r="CA8" s="750"/>
      <c r="CB8" s="751" t="s">
        <v>449</v>
      </c>
      <c r="CC8" s="751" t="s">
        <v>449</v>
      </c>
      <c r="CD8" s="751" t="s">
        <v>449</v>
      </c>
      <c r="CE8" s="751" t="s">
        <v>449</v>
      </c>
      <c r="CF8" s="751" t="s">
        <v>459</v>
      </c>
      <c r="CG8" s="751" t="s">
        <v>450</v>
      </c>
      <c r="CH8" s="357"/>
      <c r="CI8" s="149"/>
      <c r="CJ8"/>
      <c r="CK8"/>
      <c r="CL8"/>
      <c r="CM8"/>
      <c r="CN8"/>
      <c r="CO8"/>
      <c r="CP8" s="392"/>
    </row>
    <row r="9" spans="1:94" s="260" customFormat="1" ht="12.75" customHeight="1" x14ac:dyDescent="0.2">
      <c r="A9" s="117" t="s">
        <v>21</v>
      </c>
      <c r="B9" s="18"/>
      <c r="C9" s="18"/>
      <c r="D9" s="18"/>
      <c r="E9" s="18"/>
      <c r="F9" s="166"/>
      <c r="G9" s="18"/>
      <c r="H9" s="18"/>
      <c r="I9" s="18"/>
      <c r="J9" s="18"/>
      <c r="K9" s="166"/>
      <c r="L9" s="18">
        <f t="shared" ref="L9:AM9" si="11">L8/G8-1</f>
        <v>-0.15748275447061078</v>
      </c>
      <c r="M9" s="18">
        <f t="shared" si="11"/>
        <v>-0.11130231383924194</v>
      </c>
      <c r="N9" s="18">
        <f t="shared" si="11"/>
        <v>-5.4692882072161608E-2</v>
      </c>
      <c r="O9" s="18">
        <f t="shared" si="11"/>
        <v>-5.7382847340164966E-3</v>
      </c>
      <c r="P9" s="166">
        <f t="shared" si="11"/>
        <v>-8.496382243789169E-2</v>
      </c>
      <c r="Q9" s="18">
        <f t="shared" si="11"/>
        <v>3.5753836753917412E-2</v>
      </c>
      <c r="R9" s="18">
        <f t="shared" si="11"/>
        <v>-2.0727582275300915E-2</v>
      </c>
      <c r="S9" s="18">
        <f t="shared" si="11"/>
        <v>0.12794217364348959</v>
      </c>
      <c r="T9" s="18">
        <f t="shared" si="11"/>
        <v>0.2749348861220311</v>
      </c>
      <c r="U9" s="166">
        <f t="shared" si="11"/>
        <v>0.10354771765955784</v>
      </c>
      <c r="V9" s="18">
        <f t="shared" si="11"/>
        <v>0.26179449627725493</v>
      </c>
      <c r="W9" s="18">
        <f t="shared" si="11"/>
        <v>0.37071420481217587</v>
      </c>
      <c r="X9" s="18">
        <f t="shared" si="11"/>
        <v>0.15581147471359791</v>
      </c>
      <c r="Y9" s="18">
        <f t="shared" si="11"/>
        <v>6.0290404550976229E-2</v>
      </c>
      <c r="Z9" s="166">
        <f t="shared" si="11"/>
        <v>0.20154172235390222</v>
      </c>
      <c r="AA9" s="18">
        <f t="shared" si="11"/>
        <v>0.18736678749470403</v>
      </c>
      <c r="AB9" s="18">
        <f t="shared" si="11"/>
        <v>0.15061829231540003</v>
      </c>
      <c r="AC9" s="18">
        <f t="shared" si="11"/>
        <v>0.21013370985705393</v>
      </c>
      <c r="AD9" s="18">
        <f t="shared" si="11"/>
        <v>0.28112603576322925</v>
      </c>
      <c r="AE9" s="166">
        <f>AE8/Z8-1</f>
        <v>0.20682633350104984</v>
      </c>
      <c r="AF9" s="18">
        <f t="shared" si="11"/>
        <v>0.21288354182331903</v>
      </c>
      <c r="AG9" s="18">
        <f t="shared" si="11"/>
        <v>0.22240364888643649</v>
      </c>
      <c r="AH9" s="18">
        <f t="shared" si="11"/>
        <v>0.26994815688966423</v>
      </c>
      <c r="AI9" s="18">
        <f t="shared" si="11"/>
        <v>0.25719856219278325</v>
      </c>
      <c r="AJ9" s="166">
        <f>AJ8/AE8-1</f>
        <v>0.24187028992248427</v>
      </c>
      <c r="AK9" s="18">
        <f t="shared" si="11"/>
        <v>0.23588131614948149</v>
      </c>
      <c r="AL9" s="18">
        <f t="shared" si="11"/>
        <v>0.19637130012774184</v>
      </c>
      <c r="AM9" s="18">
        <f t="shared" si="11"/>
        <v>0.1281991318939355</v>
      </c>
      <c r="AN9" s="18">
        <f>AN8/AI8-1</f>
        <v>0.17045497598011727</v>
      </c>
      <c r="AO9" s="166">
        <f>AO8/AJ8-1</f>
        <v>0.17988127409781529</v>
      </c>
      <c r="AP9" s="18">
        <f>AP8/AK8-1</f>
        <v>0.22140725330443956</v>
      </c>
      <c r="AQ9" s="18">
        <f>AQ8/AL8-1</f>
        <v>0.27794564259841636</v>
      </c>
      <c r="AR9" s="18">
        <f>AR8/AM8-1</f>
        <v>0.30404649695010066</v>
      </c>
      <c r="AS9" s="18">
        <f t="shared" ref="AS9:AT9" si="12">AS8/AN8-1</f>
        <v>0.27533055986465516</v>
      </c>
      <c r="AT9" s="166">
        <f t="shared" si="12"/>
        <v>0.27086795143934683</v>
      </c>
      <c r="AU9" s="18">
        <f>AU8/AP8-1</f>
        <v>0.2620382177337035</v>
      </c>
      <c r="AV9" s="18">
        <f>AV8/AQ8-1</f>
        <v>0.23841368924880335</v>
      </c>
      <c r="AW9" s="18">
        <f>AW8/AR8-1</f>
        <v>0.17419409766871086</v>
      </c>
      <c r="AX9" s="18">
        <f t="shared" ref="AX9" si="13">AX8/AS8-1</f>
        <v>0.13420527428534212</v>
      </c>
      <c r="AY9" s="166">
        <f t="shared" ref="AY9" si="14">AY8/AT8-1</f>
        <v>0.19929085971339999</v>
      </c>
      <c r="AZ9" s="18">
        <f>AZ8/AU8-1</f>
        <v>0.10711547788075393</v>
      </c>
      <c r="BA9" s="18">
        <f>BA8/AV8-1</f>
        <v>0.12077443894496187</v>
      </c>
      <c r="BB9" s="18">
        <f>BB8/AW8-1</f>
        <v>0.15236696271187666</v>
      </c>
      <c r="BC9" s="18">
        <f t="shared" ref="BC9" si="15">BC8/AX8-1</f>
        <v>0.17853665013338893</v>
      </c>
      <c r="BD9" s="166">
        <f t="shared" ref="BD9" si="16">BD8/AY8-1</f>
        <v>0.14011469578824776</v>
      </c>
      <c r="BE9" s="18">
        <f t="shared" ref="BE9:BI9" si="17">BE8/AZ8-1</f>
        <v>0.22300000000000009</v>
      </c>
      <c r="BF9" s="18">
        <f t="shared" si="17"/>
        <v>0.28000000000000003</v>
      </c>
      <c r="BG9" s="18">
        <f t="shared" si="17"/>
        <v>0.26749973624295231</v>
      </c>
      <c r="BH9" s="18">
        <f t="shared" si="17"/>
        <v>0.16500000000000004</v>
      </c>
      <c r="BI9" s="166">
        <f t="shared" si="17"/>
        <v>0.23418040548880259</v>
      </c>
      <c r="BJ9" s="18"/>
      <c r="BK9" s="18"/>
      <c r="BL9" s="18"/>
      <c r="BM9" s="18"/>
      <c r="BN9" s="166">
        <f>BN8/BI8-1</f>
        <v>0.12499999999999978</v>
      </c>
      <c r="BO9" s="18"/>
      <c r="BP9" s="18"/>
      <c r="BQ9" s="18"/>
      <c r="BR9" s="18"/>
      <c r="BS9" s="166">
        <f>BS8/BN8-1</f>
        <v>0.125</v>
      </c>
      <c r="BT9" s="148"/>
      <c r="BU9" s="356"/>
      <c r="BV9" s="224"/>
      <c r="BW9" s="148"/>
      <c r="BX9" s="148"/>
      <c r="BY9" s="148"/>
      <c r="BZ9" s="531"/>
      <c r="CA9" s="752" t="s">
        <v>35</v>
      </c>
      <c r="CB9" s="753" t="s">
        <v>497</v>
      </c>
      <c r="CC9" s="753" t="s">
        <v>498</v>
      </c>
      <c r="CD9" s="753" t="s">
        <v>499</v>
      </c>
      <c r="CE9" s="753" t="s">
        <v>500</v>
      </c>
      <c r="CF9" s="772">
        <v>2018</v>
      </c>
      <c r="CG9" s="753" t="s">
        <v>451</v>
      </c>
      <c r="CH9" s="356"/>
      <c r="CI9" s="148"/>
      <c r="CJ9"/>
      <c r="CK9"/>
      <c r="CL9"/>
      <c r="CM9"/>
      <c r="CN9"/>
      <c r="CO9"/>
      <c r="CP9" s="391"/>
    </row>
    <row r="10" spans="1:94" s="254" customFormat="1" ht="12.75" customHeight="1" x14ac:dyDescent="0.2">
      <c r="A10" s="9" t="s">
        <v>42</v>
      </c>
      <c r="B10" s="9"/>
      <c r="C10" s="9"/>
      <c r="D10" s="9"/>
      <c r="E10" s="9"/>
      <c r="F10" s="165"/>
      <c r="G10" s="9"/>
      <c r="H10" s="9"/>
      <c r="I10" s="9"/>
      <c r="J10" s="9"/>
      <c r="K10" s="165"/>
      <c r="L10" s="9"/>
      <c r="M10" s="9"/>
      <c r="N10" s="9"/>
      <c r="O10" s="9"/>
      <c r="P10" s="165"/>
      <c r="Q10" s="9"/>
      <c r="R10" s="9"/>
      <c r="S10" s="9"/>
      <c r="T10" s="9"/>
      <c r="U10" s="165"/>
      <c r="V10" s="9"/>
      <c r="W10" s="9"/>
      <c r="X10" s="9"/>
      <c r="Y10" s="9"/>
      <c r="Z10" s="165"/>
      <c r="AA10" s="9"/>
      <c r="AB10" s="9"/>
      <c r="AC10" s="9"/>
      <c r="AD10" s="9"/>
      <c r="AE10" s="165"/>
      <c r="AF10" s="9"/>
      <c r="AG10" s="9"/>
      <c r="AH10" s="9"/>
      <c r="AI10" s="9"/>
      <c r="AJ10" s="165"/>
      <c r="AK10" s="9"/>
      <c r="AL10" s="9"/>
      <c r="AM10" s="9"/>
      <c r="AN10" s="9"/>
      <c r="AO10" s="165"/>
      <c r="AP10" s="9"/>
      <c r="AQ10" s="9"/>
      <c r="AR10" s="9"/>
      <c r="AS10" s="9"/>
      <c r="AT10" s="165"/>
      <c r="AU10" s="9"/>
      <c r="AV10" s="9"/>
      <c r="AW10" s="9"/>
      <c r="AX10" s="9"/>
      <c r="AY10" s="165"/>
      <c r="AZ10" s="9"/>
      <c r="BA10" s="9"/>
      <c r="BB10" s="9"/>
      <c r="BC10" s="9"/>
      <c r="BD10" s="165"/>
      <c r="BE10" s="9"/>
      <c r="BF10" s="9"/>
      <c r="BG10" s="9"/>
      <c r="BH10" s="9"/>
      <c r="BI10" s="165"/>
      <c r="BJ10" s="9"/>
      <c r="BK10" s="9"/>
      <c r="BL10" s="9"/>
      <c r="BM10" s="9"/>
      <c r="BN10" s="165"/>
      <c r="BO10" s="9"/>
      <c r="BP10" s="9"/>
      <c r="BQ10" s="9"/>
      <c r="BR10" s="9"/>
      <c r="BS10" s="165"/>
      <c r="BT10" s="249"/>
      <c r="BU10" s="8"/>
      <c r="BV10" s="280"/>
      <c r="BW10" s="249"/>
      <c r="BX10" s="249"/>
      <c r="BY10" s="249"/>
      <c r="BZ10" s="432"/>
      <c r="CA10" s="754" t="s">
        <v>452</v>
      </c>
      <c r="CB10" s="755">
        <v>0.217</v>
      </c>
      <c r="CC10" s="755">
        <v>0.28000000000000003</v>
      </c>
      <c r="CD10" s="755">
        <v>0.26</v>
      </c>
      <c r="CE10" s="755">
        <v>0.16500000000000001</v>
      </c>
      <c r="CF10" s="755">
        <v>0.23</v>
      </c>
      <c r="CG10" s="755">
        <f>+AVERAGE(11%,16%)</f>
        <v>0.13500000000000001</v>
      </c>
      <c r="CH10" s="8"/>
      <c r="CI10" s="249"/>
      <c r="CJ10"/>
      <c r="CK10"/>
      <c r="CL10"/>
      <c r="CM10"/>
      <c r="CN10"/>
      <c r="CO10"/>
      <c r="CP10" s="320"/>
    </row>
    <row r="11" spans="1:94" s="261" customFormat="1" ht="12.75" customHeight="1" x14ac:dyDescent="0.2">
      <c r="A11" s="19" t="s">
        <v>43</v>
      </c>
      <c r="B11" s="20"/>
      <c r="C11" s="20"/>
      <c r="D11" s="20"/>
      <c r="E11" s="20"/>
      <c r="F11" s="868">
        <v>8461.9</v>
      </c>
      <c r="G11" s="852">
        <v>2118.4740000000002</v>
      </c>
      <c r="H11" s="852">
        <v>2210.8620000000001</v>
      </c>
      <c r="I11" s="852">
        <v>2116.5810000000001</v>
      </c>
      <c r="J11" s="852">
        <v>1816.3140000000001</v>
      </c>
      <c r="K11" s="167">
        <f>SUM(G11:J11)</f>
        <v>8262.2309999999998</v>
      </c>
      <c r="L11" s="852">
        <v>1804.4570000000001</v>
      </c>
      <c r="M11" s="852">
        <v>1918.5050000000001</v>
      </c>
      <c r="N11" s="852">
        <v>1929.99</v>
      </c>
      <c r="O11" s="852">
        <v>1832.1890000000001</v>
      </c>
      <c r="P11" s="167">
        <f>SUM(L11:O11)</f>
        <v>7485.1410000000005</v>
      </c>
      <c r="Q11" s="852">
        <v>1820.1310000000001</v>
      </c>
      <c r="R11" s="852">
        <v>1905.0530000000001</v>
      </c>
      <c r="S11" s="852">
        <v>2194.0990000000002</v>
      </c>
      <c r="T11" s="852">
        <v>2200.64</v>
      </c>
      <c r="U11" s="167">
        <f>SUM(Q11:T11)</f>
        <v>8119.9230000000007</v>
      </c>
      <c r="V11" s="852">
        <v>2200.0970000000002</v>
      </c>
      <c r="W11" s="852">
        <v>2425.6419999999998</v>
      </c>
      <c r="X11" s="852">
        <v>2422.962</v>
      </c>
      <c r="Y11" s="852">
        <v>2303.8519999999999</v>
      </c>
      <c r="Z11" s="167">
        <f>SUM(V11:Y11)</f>
        <v>9352.5529999999999</v>
      </c>
      <c r="AA11" s="852">
        <v>2589.0140000000001</v>
      </c>
      <c r="AB11" s="852">
        <v>2826.9160000000002</v>
      </c>
      <c r="AC11" s="852">
        <v>2972.6509999999998</v>
      </c>
      <c r="AD11" s="852">
        <v>2956.15</v>
      </c>
      <c r="AE11" s="167">
        <f>SUM(AA11:AD11)</f>
        <v>11344.731</v>
      </c>
      <c r="AF11" s="852">
        <v>3127.2139999999999</v>
      </c>
      <c r="AG11" s="852">
        <v>3420.2570000000001</v>
      </c>
      <c r="AH11" s="852">
        <v>3637.951</v>
      </c>
      <c r="AI11" s="852">
        <v>3675.9720000000002</v>
      </c>
      <c r="AJ11" s="167">
        <f>SUM(AF11:AI11)</f>
        <v>13861.393999999998</v>
      </c>
      <c r="AK11" s="852">
        <v>3784.7269999999999</v>
      </c>
      <c r="AL11" s="852">
        <v>4008.5070000000001</v>
      </c>
      <c r="AM11" s="852">
        <v>4174.3969999999999</v>
      </c>
      <c r="AN11" s="852">
        <v>4372.5110000000004</v>
      </c>
      <c r="AO11" s="167">
        <f>SUM(AK11:AN11)</f>
        <v>16340.142000000002</v>
      </c>
      <c r="AP11" s="852">
        <v>4729.4629999999997</v>
      </c>
      <c r="AQ11" s="852">
        <v>5213.299</v>
      </c>
      <c r="AR11" s="852">
        <v>5597.9970000000003</v>
      </c>
      <c r="AS11" s="852">
        <v>5705.3980000000001</v>
      </c>
      <c r="AT11" s="167">
        <f>SUM(AP11:AS11)</f>
        <v>21246.156999999999</v>
      </c>
      <c r="AU11" s="852">
        <v>5983.0050000000001</v>
      </c>
      <c r="AV11" s="852">
        <v>6419.4189999999999</v>
      </c>
      <c r="AW11" s="852">
        <v>6507.2039999999997</v>
      </c>
      <c r="AX11" s="852">
        <v>6585.018</v>
      </c>
      <c r="AY11" s="167">
        <f>SUM(AU11:AX11)</f>
        <v>25494.645999999997</v>
      </c>
      <c r="AZ11" s="852">
        <v>6875.8990000000003</v>
      </c>
      <c r="BA11" s="852">
        <v>7294.5780000000004</v>
      </c>
      <c r="BB11" s="852">
        <v>7681.3119999999999</v>
      </c>
      <c r="BC11" s="852">
        <v>7741.03</v>
      </c>
      <c r="BD11" s="167">
        <f>SUM(AZ11:BC11)</f>
        <v>29592.819</v>
      </c>
      <c r="BE11" s="20">
        <f t="shared" ref="BE11:BH11" si="18">AZ11*(1+BE12)</f>
        <v>8409.2244770000016</v>
      </c>
      <c r="BF11" s="20">
        <f t="shared" si="18"/>
        <v>9337.0598399999999</v>
      </c>
      <c r="BG11" s="20">
        <f t="shared" si="18"/>
        <v>9678.4531200000001</v>
      </c>
      <c r="BH11" s="20">
        <f t="shared" si="18"/>
        <v>9018.2999500000005</v>
      </c>
      <c r="BI11" s="167">
        <f>SUM(BE11:BH11)</f>
        <v>36443.037387000004</v>
      </c>
      <c r="BJ11" s="20"/>
      <c r="BK11" s="20"/>
      <c r="BL11" s="20"/>
      <c r="BM11" s="20"/>
      <c r="BN11" s="167">
        <f>BI11*(1+BN12)</f>
        <v>40998.417060375003</v>
      </c>
      <c r="BO11" s="20"/>
      <c r="BP11" s="20"/>
      <c r="BQ11" s="20"/>
      <c r="BR11" s="20"/>
      <c r="BS11" s="167">
        <f>BN11*(1+BS12)</f>
        <v>46123.219192921875</v>
      </c>
      <c r="BT11" s="149"/>
      <c r="BU11" s="357"/>
      <c r="BV11" s="225"/>
      <c r="BW11" s="149"/>
      <c r="BX11" s="149"/>
      <c r="BY11" s="149"/>
      <c r="BZ11" s="531"/>
      <c r="CA11" s="531"/>
      <c r="CB11" s="320"/>
      <c r="CC11" s="320"/>
      <c r="CD11" s="320"/>
      <c r="CE11" s="320"/>
      <c r="CF11" s="320"/>
      <c r="CG11" s="320"/>
      <c r="CH11" s="357"/>
      <c r="CI11" s="149"/>
      <c r="CJ11"/>
      <c r="CK11"/>
      <c r="CL11"/>
      <c r="CM11"/>
      <c r="CN11"/>
      <c r="CO11"/>
      <c r="CP11" s="392"/>
    </row>
    <row r="12" spans="1:94" s="260" customFormat="1" ht="12.75" customHeight="1" x14ac:dyDescent="0.2">
      <c r="A12" s="480" t="s">
        <v>21</v>
      </c>
      <c r="B12" s="481"/>
      <c r="C12" s="481"/>
      <c r="D12" s="481"/>
      <c r="E12" s="481"/>
      <c r="F12" s="482"/>
      <c r="G12" s="481"/>
      <c r="H12" s="481"/>
      <c r="I12" s="481"/>
      <c r="J12" s="481"/>
      <c r="K12" s="482">
        <f t="shared" ref="K12:P12" si="19">K11/F11-1</f>
        <v>-2.3596237251681029E-2</v>
      </c>
      <c r="L12" s="481">
        <f t="shared" si="19"/>
        <v>-0.14822792255179906</v>
      </c>
      <c r="M12" s="481">
        <f t="shared" si="19"/>
        <v>-0.13223665701432286</v>
      </c>
      <c r="N12" s="481">
        <f t="shared" si="19"/>
        <v>-8.8156796267187532E-2</v>
      </c>
      <c r="O12" s="481">
        <f t="shared" si="19"/>
        <v>8.7402288370843628E-3</v>
      </c>
      <c r="P12" s="482">
        <f t="shared" si="19"/>
        <v>-9.4053288996640116E-2</v>
      </c>
      <c r="Q12" s="481">
        <f t="shared" ref="Q12:AM12" si="20">Q11/L11-1</f>
        <v>8.6862696090845848E-3</v>
      </c>
      <c r="R12" s="481">
        <f t="shared" si="20"/>
        <v>-7.0117096384945121E-3</v>
      </c>
      <c r="S12" s="481">
        <f t="shared" si="20"/>
        <v>0.13684475049093536</v>
      </c>
      <c r="T12" s="481">
        <f t="shared" si="20"/>
        <v>0.20109879493873173</v>
      </c>
      <c r="U12" s="482">
        <f t="shared" si="20"/>
        <v>8.4805616888178781E-2</v>
      </c>
      <c r="V12" s="481">
        <f t="shared" si="20"/>
        <v>0.20875750152049499</v>
      </c>
      <c r="W12" s="481">
        <f t="shared" si="20"/>
        <v>0.27326746289998205</v>
      </c>
      <c r="X12" s="481">
        <f t="shared" si="20"/>
        <v>0.10430841999381069</v>
      </c>
      <c r="Y12" s="481">
        <f t="shared" si="20"/>
        <v>4.6900901555910979E-2</v>
      </c>
      <c r="Z12" s="482">
        <f>Z11/U11-1</f>
        <v>0.15180316365068958</v>
      </c>
      <c r="AA12" s="481">
        <f t="shared" si="20"/>
        <v>0.17677266047815166</v>
      </c>
      <c r="AB12" s="481">
        <f t="shared" si="20"/>
        <v>0.16543001811479208</v>
      </c>
      <c r="AC12" s="481">
        <f t="shared" si="20"/>
        <v>0.22686653773356746</v>
      </c>
      <c r="AD12" s="481">
        <f t="shared" si="20"/>
        <v>0.28313363879276987</v>
      </c>
      <c r="AE12" s="482">
        <f>AE11/Z11-1</f>
        <v>0.21300900406552081</v>
      </c>
      <c r="AF12" s="481">
        <f t="shared" si="20"/>
        <v>0.20787836604977805</v>
      </c>
      <c r="AG12" s="481">
        <f t="shared" si="20"/>
        <v>0.20988985877189137</v>
      </c>
      <c r="AH12" s="481">
        <f t="shared" si="20"/>
        <v>0.22380696556709823</v>
      </c>
      <c r="AI12" s="481">
        <f t="shared" si="20"/>
        <v>0.24349982240414048</v>
      </c>
      <c r="AJ12" s="482">
        <f>AJ11/AE11-1</f>
        <v>0.22183540535249358</v>
      </c>
      <c r="AK12" s="481">
        <f t="shared" si="20"/>
        <v>0.21025519839703954</v>
      </c>
      <c r="AL12" s="481">
        <f t="shared" si="20"/>
        <v>0.17198999958190275</v>
      </c>
      <c r="AM12" s="481">
        <f t="shared" si="20"/>
        <v>0.14745828077398504</v>
      </c>
      <c r="AN12" s="481">
        <f t="shared" ref="AN12:AW12" si="21">AN11/AI11-1</f>
        <v>0.18948430510352088</v>
      </c>
      <c r="AO12" s="482">
        <f t="shared" si="21"/>
        <v>0.1788238614384674</v>
      </c>
      <c r="AP12" s="481">
        <f t="shared" si="21"/>
        <v>0.24961800415195068</v>
      </c>
      <c r="AQ12" s="481">
        <f t="shared" si="21"/>
        <v>0.30055878660059721</v>
      </c>
      <c r="AR12" s="481">
        <f t="shared" si="21"/>
        <v>0.34103129146556976</v>
      </c>
      <c r="AS12" s="481">
        <f t="shared" si="21"/>
        <v>0.30483330973895773</v>
      </c>
      <c r="AT12" s="482">
        <f t="shared" si="21"/>
        <v>0.30024310682244981</v>
      </c>
      <c r="AU12" s="481">
        <f t="shared" si="21"/>
        <v>0.26504954156528981</v>
      </c>
      <c r="AV12" s="481">
        <f t="shared" si="21"/>
        <v>0.23135446480242172</v>
      </c>
      <c r="AW12" s="481">
        <f t="shared" si="21"/>
        <v>0.16241648575374357</v>
      </c>
      <c r="AX12" s="481">
        <f t="shared" ref="AX12" si="22">AX11/AS11-1</f>
        <v>0.15417329343193931</v>
      </c>
      <c r="AY12" s="482">
        <f t="shared" ref="AY12:BB12" si="23">AY11/AT11-1</f>
        <v>0.19996505721011082</v>
      </c>
      <c r="AZ12" s="481">
        <f t="shared" si="23"/>
        <v>0.14923838439045256</v>
      </c>
      <c r="BA12" s="481">
        <f t="shared" si="23"/>
        <v>0.13632993889322398</v>
      </c>
      <c r="BB12" s="481">
        <f t="shared" si="23"/>
        <v>0.18043202579786954</v>
      </c>
      <c r="BC12" s="481">
        <f t="shared" ref="BC12" si="24">BC11/AX11-1</f>
        <v>0.17555183600105573</v>
      </c>
      <c r="BD12" s="482">
        <f t="shared" ref="BD12" si="25">BD11/AY11-1</f>
        <v>0.16074641711047888</v>
      </c>
      <c r="BE12" s="747">
        <v>0.223</v>
      </c>
      <c r="BF12" s="747">
        <v>0.28000000000000003</v>
      </c>
      <c r="BG12" s="747">
        <v>0.26</v>
      </c>
      <c r="BH12" s="747">
        <v>0.16500000000000001</v>
      </c>
      <c r="BI12" s="482">
        <f>BI11/BD11-1</f>
        <v>0.23148245481446028</v>
      </c>
      <c r="BJ12" s="481"/>
      <c r="BK12" s="481"/>
      <c r="BL12" s="747"/>
      <c r="BM12" s="747"/>
      <c r="BN12" s="794">
        <v>0.125</v>
      </c>
      <c r="BO12" s="481"/>
      <c r="BP12" s="481"/>
      <c r="BQ12" s="747"/>
      <c r="BR12" s="747"/>
      <c r="BS12" s="794">
        <v>0.125</v>
      </c>
      <c r="BT12" s="148"/>
      <c r="BU12" s="356"/>
      <c r="BV12" s="224"/>
      <c r="BW12" s="148"/>
      <c r="BX12" s="148"/>
      <c r="BY12" s="148"/>
      <c r="BZ12" s="531" t="s">
        <v>530</v>
      </c>
      <c r="CA12" s="531"/>
      <c r="CB12" s="320"/>
      <c r="CC12" s="320"/>
      <c r="CD12" s="320"/>
      <c r="CE12" s="320"/>
      <c r="CF12" s="320"/>
      <c r="CG12" s="320"/>
      <c r="CH12" s="356"/>
      <c r="CI12" s="148"/>
      <c r="CJ12"/>
      <c r="CK12"/>
      <c r="CL12"/>
      <c r="CM12"/>
      <c r="CN12"/>
      <c r="CO12"/>
      <c r="CP12" s="393"/>
    </row>
    <row r="13" spans="1:94" s="254" customFormat="1" ht="12.75" customHeight="1" x14ac:dyDescent="0.2">
      <c r="A13" s="9" t="s">
        <v>44</v>
      </c>
      <c r="B13" s="9"/>
      <c r="C13" s="9"/>
      <c r="D13" s="9"/>
      <c r="E13" s="9"/>
      <c r="F13" s="165"/>
      <c r="G13" s="9"/>
      <c r="H13" s="9"/>
      <c r="I13" s="9"/>
      <c r="J13" s="9"/>
      <c r="K13" s="165"/>
      <c r="L13" s="9"/>
      <c r="M13" s="9"/>
      <c r="N13" s="9"/>
      <c r="O13" s="9"/>
      <c r="P13" s="165"/>
      <c r="Q13" s="9"/>
      <c r="R13" s="9"/>
      <c r="S13" s="9"/>
      <c r="T13" s="9"/>
      <c r="U13" s="165"/>
      <c r="V13" s="9"/>
      <c r="W13" s="9"/>
      <c r="X13" s="9"/>
      <c r="Y13" s="9"/>
      <c r="Z13" s="165"/>
      <c r="AA13" s="9"/>
      <c r="AB13" s="9"/>
      <c r="AC13" s="9"/>
      <c r="AD13" s="9"/>
      <c r="AE13" s="165"/>
      <c r="AF13" s="9"/>
      <c r="AG13" s="9"/>
      <c r="AH13" s="9"/>
      <c r="AI13" s="9"/>
      <c r="AJ13" s="165"/>
      <c r="AK13" s="9"/>
      <c r="AL13" s="9"/>
      <c r="AM13" s="9"/>
      <c r="AN13" s="9"/>
      <c r="AO13" s="165"/>
      <c r="AP13" s="9"/>
      <c r="AQ13" s="9"/>
      <c r="AR13" s="9"/>
      <c r="AS13" s="9"/>
      <c r="AT13" s="165"/>
      <c r="AU13" s="9"/>
      <c r="AV13" s="9"/>
      <c r="AW13" s="9"/>
      <c r="AX13" s="9"/>
      <c r="AY13" s="165"/>
      <c r="AZ13" s="9"/>
      <c r="BA13" s="9"/>
      <c r="BB13" s="9"/>
      <c r="BC13" s="9"/>
      <c r="BD13" s="165"/>
      <c r="BE13" s="9"/>
      <c r="BF13" s="9"/>
      <c r="BG13" s="9"/>
      <c r="BH13" s="9"/>
      <c r="BI13" s="165"/>
      <c r="BJ13" s="9"/>
      <c r="BK13" s="9"/>
      <c r="BL13" s="9"/>
      <c r="BM13" s="9"/>
      <c r="BN13" s="165"/>
      <c r="BO13" s="9"/>
      <c r="BP13" s="9"/>
      <c r="BQ13" s="9"/>
      <c r="BR13" s="9"/>
      <c r="BS13" s="165"/>
      <c r="BT13" s="249"/>
      <c r="BU13" s="8"/>
      <c r="BV13" s="280"/>
      <c r="BW13" s="249"/>
      <c r="BX13" s="249"/>
      <c r="BY13" s="249"/>
      <c r="BZ13" s="531"/>
      <c r="CA13" s="531"/>
      <c r="CB13" s="320"/>
      <c r="CC13" s="320"/>
      <c r="CD13" s="320"/>
      <c r="CE13" s="320"/>
      <c r="CF13" s="320"/>
      <c r="CG13" s="320"/>
      <c r="CH13" s="8"/>
      <c r="CI13" s="249"/>
      <c r="CJ13"/>
      <c r="CK13"/>
      <c r="CL13"/>
      <c r="CM13"/>
      <c r="CN13"/>
      <c r="CO13"/>
      <c r="CP13" s="320"/>
    </row>
    <row r="14" spans="1:94" s="260" customFormat="1" ht="12.75" customHeight="1" x14ac:dyDescent="0.2">
      <c r="A14" s="118" t="s">
        <v>45</v>
      </c>
      <c r="B14" s="18"/>
      <c r="C14" s="18"/>
      <c r="D14" s="18"/>
      <c r="E14" s="18"/>
      <c r="F14" s="166"/>
      <c r="G14" s="18">
        <f>G8/G11</f>
        <v>0.79227122919610993</v>
      </c>
      <c r="H14" s="18">
        <f t="shared" ref="H14:P14" si="26">H8/H11</f>
        <v>0.79011580098622158</v>
      </c>
      <c r="I14" s="18">
        <f t="shared" si="26"/>
        <v>0.80857335485861392</v>
      </c>
      <c r="J14" s="18">
        <f t="shared" si="26"/>
        <v>0.80556280466923669</v>
      </c>
      <c r="K14" s="166">
        <f t="shared" si="26"/>
        <v>0.7987926021434163</v>
      </c>
      <c r="L14" s="18">
        <f t="shared" si="26"/>
        <v>0.78366289692688706</v>
      </c>
      <c r="M14" s="18">
        <f t="shared" si="26"/>
        <v>0.80917693725061957</v>
      </c>
      <c r="N14" s="18">
        <f t="shared" si="26"/>
        <v>0.83824734843185711</v>
      </c>
      <c r="O14" s="18">
        <f t="shared" si="26"/>
        <v>0.79400050977273628</v>
      </c>
      <c r="P14" s="166">
        <f t="shared" si="26"/>
        <v>0.80680697932076362</v>
      </c>
      <c r="Q14" s="18">
        <f>Q8/Q11</f>
        <v>0.8046920798557905</v>
      </c>
      <c r="R14" s="18">
        <v>0.79800000000000004</v>
      </c>
      <c r="S14" s="18">
        <f t="shared" ref="S14:X14" si="27">S8/S11</f>
        <v>0.83168307355319882</v>
      </c>
      <c r="T14" s="18">
        <f t="shared" si="27"/>
        <v>0.84281072778827981</v>
      </c>
      <c r="U14" s="166">
        <f t="shared" si="27"/>
        <v>0.82074611963684874</v>
      </c>
      <c r="V14" s="18">
        <f t="shared" si="27"/>
        <v>0.83999978182780111</v>
      </c>
      <c r="W14" s="18">
        <f t="shared" si="27"/>
        <v>0.85907318557313905</v>
      </c>
      <c r="X14" s="18">
        <f t="shared" si="27"/>
        <v>0.87047134870460208</v>
      </c>
      <c r="Y14" s="18">
        <f t="shared" ref="Y14:AE14" si="28">Y8/Y11</f>
        <v>0.85358998755128379</v>
      </c>
      <c r="Z14" s="166">
        <f t="shared" si="28"/>
        <v>0.85618857225401457</v>
      </c>
      <c r="AA14" s="18">
        <f t="shared" si="28"/>
        <v>0.84756204485568631</v>
      </c>
      <c r="AB14" s="18">
        <f t="shared" si="28"/>
        <v>0.84815502123161768</v>
      </c>
      <c r="AC14" s="18">
        <f t="shared" si="28"/>
        <v>0.85859927721081286</v>
      </c>
      <c r="AD14" s="18">
        <f t="shared" si="28"/>
        <v>0.85225445258190546</v>
      </c>
      <c r="AE14" s="166">
        <f t="shared" si="28"/>
        <v>0.85182460474382338</v>
      </c>
      <c r="AF14" s="18">
        <f t="shared" ref="AF14:AK14" si="29">AF8/AF11</f>
        <v>0.85107415098550976</v>
      </c>
      <c r="AG14" s="18">
        <f t="shared" si="29"/>
        <v>0.85692741802735872</v>
      </c>
      <c r="AH14" s="18">
        <f t="shared" si="29"/>
        <v>0.89097104386507686</v>
      </c>
      <c r="AI14" s="18">
        <f t="shared" si="29"/>
        <v>0.86164312459398495</v>
      </c>
      <c r="AJ14" s="166">
        <f t="shared" si="29"/>
        <v>0.86579228611494641</v>
      </c>
      <c r="AK14" s="18">
        <f t="shared" si="29"/>
        <v>0.86909491754623247</v>
      </c>
      <c r="AL14" s="18">
        <f t="shared" ref="AL14:AQ14" si="30">AL8/AL11</f>
        <v>0.87475436615178659</v>
      </c>
      <c r="AM14" s="18">
        <f t="shared" si="30"/>
        <v>0.87601682350768273</v>
      </c>
      <c r="AN14" s="18">
        <f t="shared" si="30"/>
        <v>0.84785858743408526</v>
      </c>
      <c r="AO14" s="166">
        <f t="shared" si="30"/>
        <v>0.86656890741830761</v>
      </c>
      <c r="AP14" s="18">
        <f t="shared" si="30"/>
        <v>0.84947466551699435</v>
      </c>
      <c r="AQ14" s="18">
        <f t="shared" si="30"/>
        <v>0.8595447911197881</v>
      </c>
      <c r="AR14" s="18">
        <f>AR8/AR11</f>
        <v>0.85185683379251542</v>
      </c>
      <c r="AS14" s="18">
        <f>AS8/AS11</f>
        <v>0.82868820019216893</v>
      </c>
      <c r="AT14" s="166">
        <f>AT8/AT11</f>
        <v>0.84699134059867853</v>
      </c>
      <c r="AU14" s="18">
        <f>AU8/AU11</f>
        <v>0.84745257608843716</v>
      </c>
      <c r="AV14" s="18">
        <f t="shared" ref="AV14" si="31">AV8/AV11</f>
        <v>0.8644724701721449</v>
      </c>
      <c r="AW14" s="18">
        <f>AW8/AW11</f>
        <v>0.86048785315474974</v>
      </c>
      <c r="AX14" s="18">
        <f>AX8/AX11</f>
        <v>0.81435130473447448</v>
      </c>
      <c r="AY14" s="166">
        <f>AY8/AY11</f>
        <v>0.84651546054022497</v>
      </c>
      <c r="AZ14" s="18">
        <f>AZ8/AZ11</f>
        <v>0.8163909911998416</v>
      </c>
      <c r="BA14" s="18">
        <f t="shared" ref="BA14" si="32">BA8/BA11</f>
        <v>0.85263849396085689</v>
      </c>
      <c r="BB14" s="18">
        <f>BB8/BB11</f>
        <v>0.84002954182827105</v>
      </c>
      <c r="BC14" s="18">
        <f>BC8/BC11</f>
        <v>0.81641900367263787</v>
      </c>
      <c r="BD14" s="166">
        <f>BD8/BD11</f>
        <v>0.83146904659539189</v>
      </c>
      <c r="BE14" s="18">
        <f t="shared" ref="BE14:BH14" si="33">AZ14+(BE15/100)</f>
        <v>0.8163909911998416</v>
      </c>
      <c r="BF14" s="18">
        <f t="shared" si="33"/>
        <v>0.85263849396085689</v>
      </c>
      <c r="BG14" s="18">
        <f t="shared" si="33"/>
        <v>0.84502954182827106</v>
      </c>
      <c r="BH14" s="18">
        <f t="shared" si="33"/>
        <v>0.81641900367263787</v>
      </c>
      <c r="BI14" s="166">
        <f>BI8/BI11</f>
        <v>0.83329064175185286</v>
      </c>
      <c r="BJ14" s="18"/>
      <c r="BK14" s="18"/>
      <c r="BL14" s="18"/>
      <c r="BM14" s="18"/>
      <c r="BN14" s="166">
        <f>BI14+(BN15/100)</f>
        <v>0.83329064175185286</v>
      </c>
      <c r="BO14" s="18"/>
      <c r="BP14" s="18"/>
      <c r="BQ14" s="18"/>
      <c r="BR14" s="18"/>
      <c r="BS14" s="166">
        <f>BN14+(BS15/100)</f>
        <v>0.83329064175185286</v>
      </c>
      <c r="BT14" s="148"/>
      <c r="BU14" s="356"/>
      <c r="BV14" s="224"/>
      <c r="BW14" s="148"/>
      <c r="BX14" s="148"/>
      <c r="BY14" s="148"/>
      <c r="BZ14" s="531"/>
      <c r="CA14" s="531"/>
      <c r="CB14" s="322"/>
      <c r="CC14" s="322"/>
      <c r="CD14" s="322"/>
      <c r="CE14" s="793"/>
      <c r="CF14" s="793"/>
      <c r="CG14" s="322"/>
      <c r="CH14" s="356"/>
      <c r="CI14" s="148"/>
      <c r="CJ14"/>
      <c r="CK14"/>
      <c r="CL14"/>
      <c r="CM14"/>
      <c r="CN14"/>
      <c r="CO14"/>
      <c r="CP14" s="391"/>
    </row>
    <row r="15" spans="1:94" s="262" customFormat="1" ht="12.75" customHeight="1" x14ac:dyDescent="0.2">
      <c r="A15" s="483" t="s">
        <v>22</v>
      </c>
      <c r="B15" s="484"/>
      <c r="C15" s="484"/>
      <c r="D15" s="484"/>
      <c r="E15" s="484"/>
      <c r="F15" s="485"/>
      <c r="G15" s="484"/>
      <c r="H15" s="484"/>
      <c r="I15" s="484"/>
      <c r="J15" s="484"/>
      <c r="K15" s="485"/>
      <c r="L15" s="484">
        <f t="shared" ref="L15:T15" si="34">(L14-G14)*100</f>
        <v>-0.86083322692228625</v>
      </c>
      <c r="M15" s="484">
        <f t="shared" si="34"/>
        <v>1.9061136264397982</v>
      </c>
      <c r="N15" s="484">
        <f t="shared" si="34"/>
        <v>2.9673993573243185</v>
      </c>
      <c r="O15" s="484">
        <f t="shared" si="34"/>
        <v>-1.1562294896500402</v>
      </c>
      <c r="P15" s="485">
        <f t="shared" si="34"/>
        <v>0.80143771773473205</v>
      </c>
      <c r="Q15" s="484">
        <f t="shared" si="34"/>
        <v>2.1029182928903434</v>
      </c>
      <c r="R15" s="484">
        <f t="shared" si="34"/>
        <v>-1.1176937250619523</v>
      </c>
      <c r="S15" s="484">
        <f t="shared" si="34"/>
        <v>-0.65642748786582938</v>
      </c>
      <c r="T15" s="484">
        <f t="shared" si="34"/>
        <v>4.8810218015543523</v>
      </c>
      <c r="U15" s="485">
        <f t="shared" ref="U15:AM15" si="35">(U14-P14)*100</f>
        <v>1.3939140316085119</v>
      </c>
      <c r="V15" s="484">
        <f t="shared" si="35"/>
        <v>3.5307701972010608</v>
      </c>
      <c r="W15" s="484">
        <f t="shared" si="35"/>
        <v>6.1073185573139011</v>
      </c>
      <c r="X15" s="484">
        <f t="shared" si="35"/>
        <v>3.8788275151403262</v>
      </c>
      <c r="Y15" s="484">
        <f t="shared" si="35"/>
        <v>1.0779259763003979</v>
      </c>
      <c r="Z15" s="485">
        <f t="shared" si="35"/>
        <v>3.5442452617165832</v>
      </c>
      <c r="AA15" s="484">
        <f t="shared" si="35"/>
        <v>0.75622630278852077</v>
      </c>
      <c r="AB15" s="484">
        <f t="shared" si="35"/>
        <v>-1.0918164341521375</v>
      </c>
      <c r="AC15" s="484">
        <f t="shared" si="35"/>
        <v>-1.1872071493789216</v>
      </c>
      <c r="AD15" s="484">
        <f t="shared" si="35"/>
        <v>-0.13355349693783269</v>
      </c>
      <c r="AE15" s="485">
        <f>(AE14-Z14)*100</f>
        <v>-0.43639675101911912</v>
      </c>
      <c r="AF15" s="484">
        <f t="shared" si="35"/>
        <v>0.35121061298234446</v>
      </c>
      <c r="AG15" s="484">
        <f t="shared" si="35"/>
        <v>0.87723967957410443</v>
      </c>
      <c r="AH15" s="484">
        <f t="shared" si="35"/>
        <v>3.2371766654264</v>
      </c>
      <c r="AI15" s="484">
        <f t="shared" si="35"/>
        <v>0.93886720120794909</v>
      </c>
      <c r="AJ15" s="485">
        <f>(AJ14-AE14)*100</f>
        <v>1.3967681371123031</v>
      </c>
      <c r="AK15" s="484">
        <f t="shared" si="35"/>
        <v>1.8020766560722712</v>
      </c>
      <c r="AL15" s="484">
        <f t="shared" si="35"/>
        <v>1.7826948124427866</v>
      </c>
      <c r="AM15" s="484">
        <f t="shared" si="35"/>
        <v>-1.4954220357394132</v>
      </c>
      <c r="AN15" s="484">
        <f t="shared" ref="AN15:AW15" si="36">(AN14-AI14)*100</f>
        <v>-1.378453715989969</v>
      </c>
      <c r="AO15" s="485">
        <f t="shared" si="36"/>
        <v>7.7662130336120239E-2</v>
      </c>
      <c r="AP15" s="484">
        <f t="shared" si="36"/>
        <v>-1.9620252029238117</v>
      </c>
      <c r="AQ15" s="484">
        <f t="shared" si="36"/>
        <v>-1.520957503199849</v>
      </c>
      <c r="AR15" s="484">
        <f t="shared" si="36"/>
        <v>-2.4159989715167307</v>
      </c>
      <c r="AS15" s="484">
        <f t="shared" si="36"/>
        <v>-1.9170387241916331</v>
      </c>
      <c r="AT15" s="485">
        <f t="shared" si="36"/>
        <v>-1.9577566819629078</v>
      </c>
      <c r="AU15" s="484">
        <f t="shared" si="36"/>
        <v>-0.20220894285571944</v>
      </c>
      <c r="AV15" s="484">
        <f t="shared" si="36"/>
        <v>0.49276790523568037</v>
      </c>
      <c r="AW15" s="484">
        <f t="shared" si="36"/>
        <v>0.86310193622343157</v>
      </c>
      <c r="AX15" s="484">
        <f t="shared" ref="AX15" si="37">(AX14-AS14)*100</f>
        <v>-1.4336895457694454</v>
      </c>
      <c r="AY15" s="485">
        <f t="shared" ref="AY15:BB15" si="38">(AY14-AT14)*100</f>
        <v>-4.7588005845355941E-2</v>
      </c>
      <c r="AZ15" s="484">
        <f t="shared" si="38"/>
        <v>-3.1061584888595561</v>
      </c>
      <c r="BA15" s="484">
        <f t="shared" si="38"/>
        <v>-1.1833976211288011</v>
      </c>
      <c r="BB15" s="484">
        <f t="shared" si="38"/>
        <v>-2.0458311326478684</v>
      </c>
      <c r="BC15" s="484">
        <f t="shared" ref="BC15" si="39">(BC14-AX14)*100</f>
        <v>0.2067698938163387</v>
      </c>
      <c r="BD15" s="485">
        <f t="shared" ref="BD15" si="40">(BD14-AY14)*100</f>
        <v>-1.5046413944833081</v>
      </c>
      <c r="BE15" s="777">
        <v>0</v>
      </c>
      <c r="BF15" s="777">
        <v>0</v>
      </c>
      <c r="BG15" s="777">
        <v>0.5</v>
      </c>
      <c r="BH15" s="777">
        <v>0</v>
      </c>
      <c r="BI15" s="485">
        <f>(BI14-BD14)*100</f>
        <v>0.18215951564609645</v>
      </c>
      <c r="BJ15" s="484"/>
      <c r="BK15" s="484"/>
      <c r="BL15" s="777"/>
      <c r="BM15" s="777"/>
      <c r="BN15" s="795">
        <v>0</v>
      </c>
      <c r="BO15" s="484"/>
      <c r="BP15" s="484"/>
      <c r="BQ15" s="777"/>
      <c r="BR15" s="777"/>
      <c r="BS15" s="795">
        <v>0</v>
      </c>
      <c r="BT15" s="150"/>
      <c r="BU15" s="358"/>
      <c r="BV15" s="226"/>
      <c r="BW15" s="150"/>
      <c r="BX15" s="150"/>
      <c r="BY15" s="150"/>
      <c r="BZ15" s="324"/>
      <c r="CA15" s="324"/>
      <c r="CB15" s="324"/>
      <c r="CC15" s="324"/>
      <c r="CD15" s="324"/>
      <c r="CE15" s="793"/>
      <c r="CF15" s="793"/>
      <c r="CG15" s="324"/>
      <c r="CH15" s="358"/>
      <c r="CI15" s="150"/>
      <c r="CJ15"/>
      <c r="CK15"/>
      <c r="CL15"/>
      <c r="CM15"/>
      <c r="CN15"/>
      <c r="CO15"/>
      <c r="CP15" s="394"/>
    </row>
    <row r="16" spans="1:94" s="254" customFormat="1" ht="12.75" customHeight="1" x14ac:dyDescent="0.2">
      <c r="A16" s="9" t="s">
        <v>46</v>
      </c>
      <c r="B16" s="9"/>
      <c r="C16" s="9"/>
      <c r="D16" s="9"/>
      <c r="E16" s="9"/>
      <c r="F16" s="165"/>
      <c r="G16" s="9"/>
      <c r="H16" s="9"/>
      <c r="I16" s="9"/>
      <c r="J16" s="9"/>
      <c r="K16" s="165"/>
      <c r="L16" s="9"/>
      <c r="M16" s="9"/>
      <c r="N16" s="9"/>
      <c r="O16" s="9"/>
      <c r="P16" s="165"/>
      <c r="Q16" s="9"/>
      <c r="R16" s="9"/>
      <c r="S16" s="9"/>
      <c r="T16" s="9"/>
      <c r="U16" s="165"/>
      <c r="V16" s="9"/>
      <c r="W16" s="9"/>
      <c r="X16" s="9"/>
      <c r="Y16" s="9"/>
      <c r="Z16" s="165"/>
      <c r="AA16" s="9"/>
      <c r="AB16" s="9"/>
      <c r="AC16" s="9"/>
      <c r="AD16" s="9"/>
      <c r="AE16" s="165"/>
      <c r="AF16" s="9"/>
      <c r="AG16" s="9"/>
      <c r="AH16" s="9"/>
      <c r="AI16" s="9"/>
      <c r="AJ16" s="165"/>
      <c r="AK16" s="9"/>
      <c r="AL16" s="9"/>
      <c r="AM16" s="9"/>
      <c r="AN16" s="9"/>
      <c r="AO16" s="165"/>
      <c r="AP16" s="9"/>
      <c r="AQ16" s="9"/>
      <c r="AR16" s="9"/>
      <c r="AS16" s="9"/>
      <c r="AT16" s="165"/>
      <c r="AU16" s="9"/>
      <c r="AV16" s="9"/>
      <c r="AW16" s="9"/>
      <c r="AX16" s="9"/>
      <c r="AY16" s="165"/>
      <c r="AZ16" s="9"/>
      <c r="BA16" s="9"/>
      <c r="BB16" s="9"/>
      <c r="BC16" s="9"/>
      <c r="BD16" s="165"/>
      <c r="BE16" s="9"/>
      <c r="BF16" s="9"/>
      <c r="BG16" s="9"/>
      <c r="BH16" s="9"/>
      <c r="BI16" s="165"/>
      <c r="BJ16" s="9"/>
      <c r="BK16" s="9"/>
      <c r="BL16" s="9"/>
      <c r="BM16" s="9"/>
      <c r="BN16" s="165"/>
      <c r="BO16" s="9"/>
      <c r="BP16" s="9"/>
      <c r="BQ16" s="9"/>
      <c r="BR16" s="9"/>
      <c r="BS16" s="165"/>
      <c r="BT16" s="249"/>
      <c r="BU16" s="8"/>
      <c r="BV16" s="280"/>
      <c r="BW16" s="249"/>
      <c r="BX16" s="249"/>
      <c r="BY16" s="249"/>
      <c r="BZ16" s="432"/>
      <c r="CA16" s="320"/>
      <c r="CB16" s="320"/>
      <c r="CC16" s="320"/>
      <c r="CD16" s="320"/>
      <c r="CE16" s="792"/>
      <c r="CF16" s="792"/>
      <c r="CG16" s="320"/>
      <c r="CH16" s="8"/>
      <c r="CI16" s="249"/>
      <c r="CJ16"/>
      <c r="CK16"/>
      <c r="CL16"/>
      <c r="CM16"/>
      <c r="CN16"/>
      <c r="CO16"/>
      <c r="CP16" s="320"/>
    </row>
    <row r="17" spans="1:94" s="261" customFormat="1" ht="12.75" customHeight="1" x14ac:dyDescent="0.2">
      <c r="A17" s="19" t="s">
        <v>47</v>
      </c>
      <c r="B17" s="20"/>
      <c r="C17" s="20"/>
      <c r="D17" s="20"/>
      <c r="E17" s="20"/>
      <c r="F17" s="167"/>
      <c r="G17" s="852">
        <v>923</v>
      </c>
      <c r="H17" s="852">
        <v>911</v>
      </c>
      <c r="I17" s="852">
        <v>929</v>
      </c>
      <c r="J17" s="852">
        <v>942</v>
      </c>
      <c r="K17" s="167">
        <f>AVERAGE(G17:J17)</f>
        <v>926.25</v>
      </c>
      <c r="L17" s="852">
        <v>921</v>
      </c>
      <c r="M17" s="852">
        <v>933</v>
      </c>
      <c r="N17" s="852">
        <v>933</v>
      </c>
      <c r="O17" s="852">
        <v>937</v>
      </c>
      <c r="P17" s="167">
        <f>AVERAGE(L17:O17)</f>
        <v>931</v>
      </c>
      <c r="Q17" s="852">
        <v>942</v>
      </c>
      <c r="R17" s="852">
        <v>928</v>
      </c>
      <c r="S17" s="852">
        <v>940</v>
      </c>
      <c r="T17" s="852">
        <v>952</v>
      </c>
      <c r="U17" s="167">
        <f>AVERAGE(Q17:T17)</f>
        <v>940.5</v>
      </c>
      <c r="V17" s="852">
        <v>961</v>
      </c>
      <c r="W17" s="852">
        <v>932</v>
      </c>
      <c r="X17" s="852">
        <v>909</v>
      </c>
      <c r="Y17" s="852">
        <v>885</v>
      </c>
      <c r="Z17" s="167">
        <f>AVERAGE(V17:Y17)</f>
        <v>921.75</v>
      </c>
      <c r="AA17" s="852">
        <v>912</v>
      </c>
      <c r="AB17" s="852">
        <v>902</v>
      </c>
      <c r="AC17" s="852">
        <v>892</v>
      </c>
      <c r="AD17" s="852">
        <v>932</v>
      </c>
      <c r="AE17" s="167">
        <f>AVERAGE(AA17:AD17)</f>
        <v>909.5</v>
      </c>
      <c r="AF17" s="852">
        <v>941</v>
      </c>
      <c r="AG17" s="852">
        <v>935</v>
      </c>
      <c r="AH17" s="852">
        <v>956</v>
      </c>
      <c r="AI17" s="852">
        <v>998</v>
      </c>
      <c r="AJ17" s="167">
        <f>AVERAGE(AF17:AI17)</f>
        <v>957.5</v>
      </c>
      <c r="AK17" s="852">
        <v>1000</v>
      </c>
      <c r="AL17" s="852">
        <v>976</v>
      </c>
      <c r="AM17" s="852">
        <v>964</v>
      </c>
      <c r="AN17" s="852">
        <v>983</v>
      </c>
      <c r="AO17" s="167">
        <f>AVERAGE(AK17:AN17)</f>
        <v>980.75</v>
      </c>
      <c r="AP17" s="852">
        <v>991</v>
      </c>
      <c r="AQ17" s="852">
        <v>974</v>
      </c>
      <c r="AR17" s="852">
        <v>983</v>
      </c>
      <c r="AS17" s="852">
        <v>1000</v>
      </c>
      <c r="AT17" s="167">
        <f>AVERAGE(AP17:AS17)</f>
        <v>987</v>
      </c>
      <c r="AU17" s="852">
        <v>995</v>
      </c>
      <c r="AV17" s="852">
        <v>971</v>
      </c>
      <c r="AW17" s="852">
        <v>968</v>
      </c>
      <c r="AX17" s="852">
        <v>981</v>
      </c>
      <c r="AY17" s="167">
        <f>AVERAGE(AU17:AX17)</f>
        <v>978.75</v>
      </c>
      <c r="AZ17" s="852">
        <v>985</v>
      </c>
      <c r="BA17" s="852">
        <v>982</v>
      </c>
      <c r="BB17" s="852">
        <v>1006</v>
      </c>
      <c r="BC17" s="852">
        <v>1023</v>
      </c>
      <c r="BD17" s="167">
        <f>AVERAGE(AZ17:BC17)</f>
        <v>999</v>
      </c>
      <c r="BE17" s="852">
        <v>1025</v>
      </c>
      <c r="BF17" s="20">
        <f t="shared" ref="BF17:BH17" si="41">BF19/BF21</f>
        <v>1048.9452370867807</v>
      </c>
      <c r="BG17" s="20">
        <f t="shared" si="41"/>
        <v>1050.5919926676063</v>
      </c>
      <c r="BH17" s="20">
        <f t="shared" si="41"/>
        <v>1065.9659999999999</v>
      </c>
      <c r="BI17" s="167">
        <f>AVERAGE(BE17:BH17)</f>
        <v>1047.6258074385969</v>
      </c>
      <c r="BJ17" s="20"/>
      <c r="BK17" s="20"/>
      <c r="BL17" s="20"/>
      <c r="BM17" s="20"/>
      <c r="BN17" s="167">
        <f>BN19/BN21</f>
        <v>1047.6258074385969</v>
      </c>
      <c r="BO17" s="20"/>
      <c r="BP17" s="20"/>
      <c r="BQ17" s="20"/>
      <c r="BR17" s="20"/>
      <c r="BS17" s="167">
        <f>BS19/BS21</f>
        <v>1047.6258074385969</v>
      </c>
      <c r="BT17" s="149"/>
      <c r="BU17" s="357"/>
      <c r="BV17" s="225"/>
      <c r="BW17" s="149"/>
      <c r="BX17" s="149"/>
      <c r="BY17" s="149"/>
      <c r="BZ17" s="531" t="s">
        <v>523</v>
      </c>
      <c r="CA17" s="323"/>
      <c r="CB17" s="323"/>
      <c r="CC17" s="323"/>
      <c r="CD17" s="323"/>
      <c r="CE17" s="323"/>
      <c r="CF17" s="323"/>
      <c r="CG17" s="323"/>
      <c r="CH17" s="357"/>
      <c r="CI17" s="149"/>
      <c r="CJ17"/>
      <c r="CK17"/>
      <c r="CL17"/>
      <c r="CM17"/>
      <c r="CN17"/>
      <c r="CO17"/>
      <c r="CP17" s="392"/>
    </row>
    <row r="18" spans="1:94" s="260" customFormat="1" ht="12.75" customHeight="1" x14ac:dyDescent="0.2">
      <c r="A18" s="117" t="s">
        <v>21</v>
      </c>
      <c r="B18" s="18"/>
      <c r="C18" s="18"/>
      <c r="D18" s="18"/>
      <c r="E18" s="18"/>
      <c r="F18" s="166"/>
      <c r="G18" s="18"/>
      <c r="H18" s="18"/>
      <c r="I18" s="18"/>
      <c r="J18" s="18"/>
      <c r="K18" s="166"/>
      <c r="L18" s="18">
        <f t="shared" ref="L18:AM18" si="42">L17/G17-1</f>
        <v>-2.1668472372697867E-3</v>
      </c>
      <c r="M18" s="18">
        <f t="shared" si="42"/>
        <v>2.4149286498353462E-2</v>
      </c>
      <c r="N18" s="18">
        <f t="shared" si="42"/>
        <v>4.3057050592034685E-3</v>
      </c>
      <c r="O18" s="18">
        <f t="shared" si="42"/>
        <v>-5.3078556263269627E-3</v>
      </c>
      <c r="P18" s="166">
        <f t="shared" si="42"/>
        <v>5.12820512820511E-3</v>
      </c>
      <c r="Q18" s="18">
        <f t="shared" si="42"/>
        <v>2.2801302931596101E-2</v>
      </c>
      <c r="R18" s="18">
        <f t="shared" si="42"/>
        <v>-5.3590568060021271E-3</v>
      </c>
      <c r="S18" s="18">
        <f t="shared" si="42"/>
        <v>7.5026795284030001E-3</v>
      </c>
      <c r="T18" s="18">
        <f t="shared" si="42"/>
        <v>1.6008537886873064E-2</v>
      </c>
      <c r="U18" s="166">
        <f t="shared" si="42"/>
        <v>1.0204081632652962E-2</v>
      </c>
      <c r="V18" s="18">
        <f t="shared" si="42"/>
        <v>2.0169851380042569E-2</v>
      </c>
      <c r="W18" s="18">
        <f t="shared" si="42"/>
        <v>4.3103448275862988E-3</v>
      </c>
      <c r="X18" s="18">
        <f t="shared" si="42"/>
        <v>-3.2978723404255339E-2</v>
      </c>
      <c r="Y18" s="18">
        <f t="shared" si="42"/>
        <v>-7.0378151260504174E-2</v>
      </c>
      <c r="Z18" s="166">
        <f t="shared" si="42"/>
        <v>-1.9936204146730474E-2</v>
      </c>
      <c r="AA18" s="18">
        <f t="shared" si="42"/>
        <v>-5.0988553590010421E-2</v>
      </c>
      <c r="AB18" s="18">
        <f t="shared" si="42"/>
        <v>-3.2188841201716722E-2</v>
      </c>
      <c r="AC18" s="18">
        <f t="shared" si="42"/>
        <v>-1.8701870187018743E-2</v>
      </c>
      <c r="AD18" s="18">
        <f t="shared" si="42"/>
        <v>5.3107344632768338E-2</v>
      </c>
      <c r="AE18" s="166">
        <f>AE17/Z17-1</f>
        <v>-1.3289937618660153E-2</v>
      </c>
      <c r="AF18" s="18">
        <f t="shared" si="42"/>
        <v>3.1798245614035103E-2</v>
      </c>
      <c r="AG18" s="18">
        <f t="shared" si="42"/>
        <v>3.6585365853658569E-2</v>
      </c>
      <c r="AH18" s="18">
        <f t="shared" si="42"/>
        <v>7.1748878923766801E-2</v>
      </c>
      <c r="AI18" s="18">
        <f t="shared" si="42"/>
        <v>7.0815450643776812E-2</v>
      </c>
      <c r="AJ18" s="166">
        <f>AJ17/AE17-1</f>
        <v>5.2776250687190718E-2</v>
      </c>
      <c r="AK18" s="18">
        <f t="shared" si="42"/>
        <v>6.2699256110520629E-2</v>
      </c>
      <c r="AL18" s="18">
        <f t="shared" si="42"/>
        <v>4.3850267379679231E-2</v>
      </c>
      <c r="AM18" s="18">
        <f t="shared" si="42"/>
        <v>8.3682008368199945E-3</v>
      </c>
      <c r="AN18" s="18">
        <f>AN17/AI17-1</f>
        <v>-1.503006012024044E-2</v>
      </c>
      <c r="AO18" s="166">
        <f>AO17/AJ17-1</f>
        <v>2.4281984334203699E-2</v>
      </c>
      <c r="AP18" s="18">
        <f>AP17/AK17-1</f>
        <v>-9.000000000000008E-3</v>
      </c>
      <c r="AQ18" s="18">
        <f>AQ17/AL17-1</f>
        <v>-2.049180327868827E-3</v>
      </c>
      <c r="AR18" s="18">
        <f>AR17/AM17-1</f>
        <v>1.970954356846466E-2</v>
      </c>
      <c r="AS18" s="18">
        <f t="shared" ref="AS18:AT18" si="43">AS17/AN17-1</f>
        <v>1.7293997965412089E-2</v>
      </c>
      <c r="AT18" s="166">
        <f t="shared" si="43"/>
        <v>6.3726739739995431E-3</v>
      </c>
      <c r="AU18" s="18">
        <f>AU17/AP17-1</f>
        <v>4.0363269424823489E-3</v>
      </c>
      <c r="AV18" s="18">
        <f>AV17/AQ17-1</f>
        <v>-3.0800821355235763E-3</v>
      </c>
      <c r="AW18" s="18">
        <f>AW17/AR17-1</f>
        <v>-1.5259409969481164E-2</v>
      </c>
      <c r="AX18" s="18">
        <f t="shared" ref="AX18" si="44">AX17/AS17-1</f>
        <v>-1.9000000000000017E-2</v>
      </c>
      <c r="AY18" s="166">
        <f t="shared" ref="AY18" si="45">AY17/AT17-1</f>
        <v>-8.358662613981771E-3</v>
      </c>
      <c r="AZ18" s="18">
        <f>AZ17/AU17-1</f>
        <v>-1.0050251256281451E-2</v>
      </c>
      <c r="BA18" s="18">
        <f>BA17/AV17-1</f>
        <v>1.1328527291452062E-2</v>
      </c>
      <c r="BB18" s="18">
        <f>BB17/AW17-1</f>
        <v>3.9256198347107363E-2</v>
      </c>
      <c r="BC18" s="18">
        <f t="shared" ref="BC18" si="46">BC17/AX17-1</f>
        <v>4.2813455657492394E-2</v>
      </c>
      <c r="BD18" s="166">
        <f t="shared" ref="BD18" si="47">BD17/AY17-1</f>
        <v>2.0689655172413834E-2</v>
      </c>
      <c r="BE18" s="18">
        <f t="shared" ref="BE18:BI18" si="48">BE17/AZ17-1</f>
        <v>4.0609137055837463E-2</v>
      </c>
      <c r="BF18" s="18">
        <f t="shared" si="48"/>
        <v>6.8172339192241083E-2</v>
      </c>
      <c r="BG18" s="18">
        <f t="shared" si="48"/>
        <v>4.4326036448912864E-2</v>
      </c>
      <c r="BH18" s="18">
        <f t="shared" si="48"/>
        <v>4.1999999999999815E-2</v>
      </c>
      <c r="BI18" s="166">
        <f t="shared" si="48"/>
        <v>4.8674481920517376E-2</v>
      </c>
      <c r="BJ18" s="18"/>
      <c r="BK18" s="18"/>
      <c r="BL18" s="18"/>
      <c r="BM18" s="18"/>
      <c r="BN18" s="166">
        <f>BN17/BI17-1</f>
        <v>0</v>
      </c>
      <c r="BO18" s="18"/>
      <c r="BP18" s="18"/>
      <c r="BQ18" s="18"/>
      <c r="BR18" s="18"/>
      <c r="BS18" s="166">
        <f>BS17/BN17-1</f>
        <v>0</v>
      </c>
      <c r="BT18" s="148"/>
      <c r="BU18" s="356"/>
      <c r="BV18" s="224"/>
      <c r="BW18" s="148"/>
      <c r="BX18" s="148"/>
      <c r="BY18" s="148"/>
      <c r="BZ18" s="531"/>
      <c r="CA18" s="531"/>
      <c r="CB18" s="322"/>
      <c r="CC18" s="554" t="s">
        <v>102</v>
      </c>
      <c r="CD18" s="554" t="s">
        <v>453</v>
      </c>
      <c r="CE18" s="554" t="s">
        <v>454</v>
      </c>
      <c r="CF18" s="554" t="s">
        <v>455</v>
      </c>
      <c r="CG18" s="554" t="s">
        <v>440</v>
      </c>
      <c r="CH18" s="356"/>
      <c r="CI18" s="148"/>
      <c r="CJ18"/>
      <c r="CK18"/>
      <c r="CL18"/>
      <c r="CM18"/>
      <c r="CN18"/>
      <c r="CO18"/>
      <c r="CP18" s="391"/>
    </row>
    <row r="19" spans="1:94" s="261" customFormat="1" ht="12.75" customHeight="1" x14ac:dyDescent="0.2">
      <c r="A19" s="119" t="s">
        <v>48</v>
      </c>
      <c r="B19" s="20"/>
      <c r="C19" s="20"/>
      <c r="D19" s="20"/>
      <c r="E19" s="20"/>
      <c r="F19" s="167"/>
      <c r="G19" s="20">
        <f t="shared" ref="G19:W19" si="49">G8/G5</f>
        <v>952.98730130791137</v>
      </c>
      <c r="H19" s="20">
        <f t="shared" si="49"/>
        <v>929.61958141396246</v>
      </c>
      <c r="I19" s="20">
        <f t="shared" si="49"/>
        <v>943.74928656784402</v>
      </c>
      <c r="J19" s="20">
        <f t="shared" si="49"/>
        <v>960.87934459603662</v>
      </c>
      <c r="K19" s="167">
        <f t="shared" si="49"/>
        <v>946.01454754469864</v>
      </c>
      <c r="L19" s="20">
        <f t="shared" si="49"/>
        <v>953.74290975065264</v>
      </c>
      <c r="M19" s="20">
        <f t="shared" si="49"/>
        <v>952.55948089401591</v>
      </c>
      <c r="N19" s="20">
        <f t="shared" si="49"/>
        <v>956.33614987284784</v>
      </c>
      <c r="O19" s="20">
        <f t="shared" si="49"/>
        <v>1000.0000000000001</v>
      </c>
      <c r="P19" s="167">
        <f t="shared" si="49"/>
        <v>964.88735590752776</v>
      </c>
      <c r="Q19" s="20">
        <f t="shared" si="49"/>
        <v>960.07921098413283</v>
      </c>
      <c r="R19" s="20">
        <f t="shared" si="49"/>
        <v>943.49823865864983</v>
      </c>
      <c r="S19" s="20">
        <f t="shared" si="49"/>
        <v>955.52112384002419</v>
      </c>
      <c r="T19" s="20">
        <f t="shared" si="49"/>
        <v>973.519976149135</v>
      </c>
      <c r="U19" s="167">
        <f t="shared" si="49"/>
        <v>958.6674412462628</v>
      </c>
      <c r="V19" s="20">
        <f t="shared" si="49"/>
        <v>992.24120713093782</v>
      </c>
      <c r="W19" s="20">
        <f t="shared" si="49"/>
        <v>947.18363636363631</v>
      </c>
      <c r="X19" s="20">
        <f t="shared" ref="X19:AC19" si="50">X8/X5</f>
        <v>923.02800875273522</v>
      </c>
      <c r="Y19" s="20">
        <f t="shared" si="50"/>
        <v>906.24193548387098</v>
      </c>
      <c r="Z19" s="167">
        <f t="shared" si="50"/>
        <v>940.12549644662352</v>
      </c>
      <c r="AA19" s="20">
        <f t="shared" si="50"/>
        <v>934.16347381864614</v>
      </c>
      <c r="AB19" s="20">
        <f t="shared" si="50"/>
        <v>917.59012629161884</v>
      </c>
      <c r="AC19" s="20">
        <f t="shared" si="50"/>
        <v>907.00639658848604</v>
      </c>
      <c r="AD19" s="20">
        <f t="shared" ref="AD19:AJ19" si="51">AD8/AD5</f>
        <v>951.79146203248956</v>
      </c>
      <c r="AE19" s="167">
        <f t="shared" si="51"/>
        <v>927.15350666794586</v>
      </c>
      <c r="AF19" s="20">
        <f t="shared" si="51"/>
        <v>961.52131502890177</v>
      </c>
      <c r="AG19" s="20">
        <f t="shared" si="51"/>
        <v>942.11250401800055</v>
      </c>
      <c r="AH19" s="20">
        <f t="shared" si="51"/>
        <v>960.67249555423837</v>
      </c>
      <c r="AI19" s="20">
        <f t="shared" si="51"/>
        <v>1002.0170832015185</v>
      </c>
      <c r="AJ19" s="167">
        <f t="shared" si="51"/>
        <v>966.73819880779763</v>
      </c>
      <c r="AK19" s="20">
        <f t="shared" ref="AK19:AP19" si="52">AK8/AK5</f>
        <v>1007.7472426470588</v>
      </c>
      <c r="AL19" s="20">
        <f t="shared" si="52"/>
        <v>982.47660409078173</v>
      </c>
      <c r="AM19" s="20">
        <f t="shared" si="52"/>
        <v>974.63805970149258</v>
      </c>
      <c r="AN19" s="20">
        <f t="shared" si="52"/>
        <v>999.53383661364251</v>
      </c>
      <c r="AO19" s="167">
        <f t="shared" si="52"/>
        <v>990.61557296767876</v>
      </c>
      <c r="AP19" s="20">
        <f t="shared" si="52"/>
        <v>1009.4369346733669</v>
      </c>
      <c r="AQ19" s="20">
        <f t="shared" ref="AQ19:AV19" si="53">AQ8/AQ5</f>
        <v>992.70358883473637</v>
      </c>
      <c r="AR19" s="20">
        <f t="shared" si="53"/>
        <v>998.46984924623121</v>
      </c>
      <c r="AS19" s="20">
        <f t="shared" si="53"/>
        <v>1016.6259772239464</v>
      </c>
      <c r="AT19" s="167">
        <f t="shared" si="53"/>
        <v>1004.1648545138424</v>
      </c>
      <c r="AU19" s="20">
        <f t="shared" si="53"/>
        <v>1016.4696000128305</v>
      </c>
      <c r="AV19" s="20">
        <f t="shared" si="53"/>
        <v>989.85566729328502</v>
      </c>
      <c r="AW19" s="20">
        <f t="shared" ref="AW19:BA19" si="54">AW8/AW5</f>
        <v>986.84702150158614</v>
      </c>
      <c r="AX19" s="20">
        <f t="shared" si="54"/>
        <v>1002.3398130841122</v>
      </c>
      <c r="AY19" s="167">
        <f t="shared" si="54"/>
        <v>998.29631578925466</v>
      </c>
      <c r="AZ19" s="20">
        <f t="shared" si="54"/>
        <v>1007.7956912028724</v>
      </c>
      <c r="BA19" s="20">
        <f t="shared" si="54"/>
        <v>1002.1975507573316</v>
      </c>
      <c r="BB19" s="20">
        <f t="shared" ref="BB19:BD19" si="55">BB8/BB5</f>
        <v>1023.0742032662122</v>
      </c>
      <c r="BC19" s="20">
        <f t="shared" si="55"/>
        <v>1036.0531147540985</v>
      </c>
      <c r="BD19" s="167">
        <f t="shared" si="55"/>
        <v>1017.4714882355373</v>
      </c>
      <c r="BE19" s="20">
        <f t="shared" ref="BE19:BH19" si="56">AZ19*(1+BE20)</f>
        <v>1046.0919274685816</v>
      </c>
      <c r="BF19" s="20">
        <f t="shared" si="56"/>
        <v>1062.3294038027716</v>
      </c>
      <c r="BG19" s="20">
        <f t="shared" si="56"/>
        <v>1063.9971713968607</v>
      </c>
      <c r="BH19" s="20">
        <f t="shared" si="56"/>
        <v>1079.5673455737706</v>
      </c>
      <c r="BI19" s="167">
        <f>BI8/BI5</f>
        <v>1063.1633777258714</v>
      </c>
      <c r="BJ19" s="20"/>
      <c r="BK19" s="20"/>
      <c r="BL19" s="20"/>
      <c r="BM19" s="20"/>
      <c r="BN19" s="167">
        <f>BI19*(1+BN20)</f>
        <v>1063.1633777258714</v>
      </c>
      <c r="BO19" s="20"/>
      <c r="BP19" s="20"/>
      <c r="BQ19" s="20"/>
      <c r="BR19" s="20"/>
      <c r="BS19" s="167">
        <f>BN19*(1+BS20)</f>
        <v>1063.1633777258714</v>
      </c>
      <c r="BT19" s="149"/>
      <c r="BU19" s="357"/>
      <c r="BV19" s="225"/>
      <c r="BW19" s="149"/>
      <c r="BX19" s="149"/>
      <c r="BY19" s="149"/>
      <c r="BZ19" s="531"/>
      <c r="CA19" s="540" t="s">
        <v>503</v>
      </c>
      <c r="CB19" s="322"/>
      <c r="CC19" s="737">
        <v>31</v>
      </c>
      <c r="CD19" s="737">
        <v>51</v>
      </c>
      <c r="CE19" s="737">
        <v>5</v>
      </c>
      <c r="CF19" s="737">
        <v>25</v>
      </c>
      <c r="CG19" s="737">
        <f>+SUM(CC19:CF19)</f>
        <v>112</v>
      </c>
      <c r="CH19" s="357"/>
      <c r="CI19" s="149"/>
      <c r="CJ19"/>
      <c r="CK19"/>
      <c r="CL19"/>
      <c r="CM19"/>
      <c r="CN19"/>
      <c r="CO19"/>
      <c r="CP19" s="392"/>
    </row>
    <row r="20" spans="1:94" s="260" customFormat="1" ht="12.75" customHeight="1" x14ac:dyDescent="0.2">
      <c r="A20" s="483" t="s">
        <v>21</v>
      </c>
      <c r="B20" s="489"/>
      <c r="C20" s="489"/>
      <c r="D20" s="489"/>
      <c r="E20" s="489"/>
      <c r="F20" s="490"/>
      <c r="G20" s="489"/>
      <c r="H20" s="489"/>
      <c r="I20" s="489"/>
      <c r="J20" s="489"/>
      <c r="K20" s="490"/>
      <c r="L20" s="489">
        <f t="shared" ref="L20:T20" si="57">L19/G19-1</f>
        <v>7.9288406225797026E-4</v>
      </c>
      <c r="M20" s="489">
        <f t="shared" si="57"/>
        <v>2.4676652620808204E-2</v>
      </c>
      <c r="N20" s="489">
        <f t="shared" si="57"/>
        <v>1.3337083782896109E-2</v>
      </c>
      <c r="O20" s="489">
        <f t="shared" si="57"/>
        <v>4.0713389900591812E-2</v>
      </c>
      <c r="P20" s="490">
        <f t="shared" si="57"/>
        <v>1.9949807761214577E-2</v>
      </c>
      <c r="Q20" s="489">
        <f t="shared" si="57"/>
        <v>6.6436155579250311E-3</v>
      </c>
      <c r="R20" s="489">
        <f t="shared" si="57"/>
        <v>-9.5125211780598962E-3</v>
      </c>
      <c r="S20" s="489">
        <f t="shared" si="57"/>
        <v>-8.5223802627565348E-4</v>
      </c>
      <c r="T20" s="489">
        <f t="shared" si="57"/>
        <v>-2.648002385086512E-2</v>
      </c>
      <c r="U20" s="490">
        <f t="shared" ref="U20:AM20" si="58">U19/P19-1</f>
        <v>-6.4462598905287161E-3</v>
      </c>
      <c r="V20" s="489">
        <f t="shared" si="58"/>
        <v>3.3499315242788263E-2</v>
      </c>
      <c r="W20" s="489">
        <f t="shared" si="58"/>
        <v>3.9060991891473051E-3</v>
      </c>
      <c r="X20" s="489">
        <f t="shared" si="58"/>
        <v>-3.4005648097769403E-2</v>
      </c>
      <c r="Y20" s="489">
        <f t="shared" si="58"/>
        <v>-6.9108022756132592E-2</v>
      </c>
      <c r="Z20" s="490">
        <f t="shared" si="58"/>
        <v>-1.9341373245694959E-2</v>
      </c>
      <c r="AA20" s="489">
        <f t="shared" si="58"/>
        <v>-5.8531869967609285E-2</v>
      </c>
      <c r="AB20" s="489">
        <f t="shared" si="58"/>
        <v>-3.1243688062043473E-2</v>
      </c>
      <c r="AC20" s="489">
        <f t="shared" si="58"/>
        <v>-1.73576663029964E-2</v>
      </c>
      <c r="AD20" s="489">
        <f t="shared" si="58"/>
        <v>5.0261993806651972E-2</v>
      </c>
      <c r="AE20" s="490">
        <f>AE19/Z19-1</f>
        <v>-1.3798146979001946E-2</v>
      </c>
      <c r="AF20" s="489">
        <f t="shared" si="58"/>
        <v>2.9285924762636029E-2</v>
      </c>
      <c r="AG20" s="489">
        <f t="shared" si="58"/>
        <v>2.6724761986582468E-2</v>
      </c>
      <c r="AH20" s="489">
        <f t="shared" si="58"/>
        <v>5.9168379812541749E-2</v>
      </c>
      <c r="AI20" s="489">
        <f t="shared" si="58"/>
        <v>5.2769564734038932E-2</v>
      </c>
      <c r="AJ20" s="490">
        <f>AJ19/AE19-1</f>
        <v>4.2694863207834333E-2</v>
      </c>
      <c r="AK20" s="489">
        <f t="shared" si="58"/>
        <v>4.8075822028726956E-2</v>
      </c>
      <c r="AL20" s="489">
        <f t="shared" si="58"/>
        <v>4.2844246202691227E-2</v>
      </c>
      <c r="AM20" s="489">
        <f t="shared" si="58"/>
        <v>1.4537279053874697E-2</v>
      </c>
      <c r="AN20" s="489">
        <f t="shared" ref="AN20:AW20" si="59">AN19/AI19-1</f>
        <v>-2.4782477559582849E-3</v>
      </c>
      <c r="AO20" s="490">
        <f t="shared" si="59"/>
        <v>2.4698904201082783E-2</v>
      </c>
      <c r="AP20" s="489">
        <f t="shared" si="59"/>
        <v>1.676702207459968E-3</v>
      </c>
      <c r="AQ20" s="489">
        <f t="shared" si="59"/>
        <v>1.040939265258034E-2</v>
      </c>
      <c r="AR20" s="489">
        <f t="shared" si="59"/>
        <v>2.4451938140028773E-2</v>
      </c>
      <c r="AS20" s="489">
        <f t="shared" si="59"/>
        <v>1.7100112056447125E-2</v>
      </c>
      <c r="AT20" s="490">
        <f t="shared" si="59"/>
        <v>1.3677638345188647E-2</v>
      </c>
      <c r="AU20" s="489">
        <f t="shared" si="59"/>
        <v>6.966918980173098E-3</v>
      </c>
      <c r="AV20" s="489">
        <f t="shared" si="59"/>
        <v>-2.8688538789249929E-3</v>
      </c>
      <c r="AW20" s="489">
        <f t="shared" si="59"/>
        <v>-1.1640639678223041E-2</v>
      </c>
      <c r="AX20" s="489">
        <f t="shared" ref="AX20" si="60">AX19/AS19-1</f>
        <v>-1.405252714360572E-2</v>
      </c>
      <c r="AY20" s="490">
        <f t="shared" ref="AY20:BB20" si="61">AY19/AT19-1</f>
        <v>-5.8441984881346665E-3</v>
      </c>
      <c r="AZ20" s="489">
        <f t="shared" si="61"/>
        <v>-8.5333676578706052E-3</v>
      </c>
      <c r="BA20" s="489">
        <f t="shared" si="61"/>
        <v>1.246836672440832E-2</v>
      </c>
      <c r="BB20" s="489">
        <f t="shared" si="61"/>
        <v>3.6710027973234194E-2</v>
      </c>
      <c r="BC20" s="489">
        <f t="shared" ref="BC20" si="62">BC19/AX19-1</f>
        <v>3.36346029858412E-2</v>
      </c>
      <c r="BD20" s="490">
        <f t="shared" ref="BD20" si="63">BD19/AY19-1</f>
        <v>1.9207896636503907E-2</v>
      </c>
      <c r="BE20" s="778">
        <v>3.7999999999999999E-2</v>
      </c>
      <c r="BF20" s="778">
        <v>0.06</v>
      </c>
      <c r="BG20" s="778">
        <v>0.04</v>
      </c>
      <c r="BH20" s="778">
        <v>4.2000000000000003E-2</v>
      </c>
      <c r="BI20" s="490">
        <f>BI19/BD19-1</f>
        <v>4.4907292261890719E-2</v>
      </c>
      <c r="BJ20" s="489"/>
      <c r="BK20" s="489"/>
      <c r="BL20" s="778"/>
      <c r="BM20" s="778"/>
      <c r="BN20" s="796">
        <v>0</v>
      </c>
      <c r="BO20" s="489"/>
      <c r="BP20" s="489"/>
      <c r="BQ20" s="778"/>
      <c r="BR20" s="778"/>
      <c r="BS20" s="796">
        <v>0</v>
      </c>
      <c r="BT20" s="148"/>
      <c r="BU20" s="356"/>
      <c r="BV20" s="224"/>
      <c r="BW20" s="148"/>
      <c r="BX20" s="148"/>
      <c r="BY20" s="148"/>
      <c r="BZ20" s="531"/>
      <c r="CA20" s="433" t="s">
        <v>497</v>
      </c>
      <c r="CB20" s="322"/>
      <c r="CC20" s="758">
        <v>0</v>
      </c>
      <c r="CD20" s="758">
        <v>1</v>
      </c>
      <c r="CE20" s="758">
        <v>0</v>
      </c>
      <c r="CF20" s="758">
        <v>5</v>
      </c>
      <c r="CG20" s="757">
        <f>+SUM(CC20:CF20)</f>
        <v>6</v>
      </c>
      <c r="CH20" s="356"/>
      <c r="CI20" s="148"/>
      <c r="CJ20"/>
      <c r="CK20"/>
      <c r="CL20"/>
      <c r="CM20"/>
      <c r="CN20"/>
      <c r="CO20"/>
      <c r="CP20" s="391"/>
    </row>
    <row r="21" spans="1:94" s="263" customFormat="1" ht="12.75" customHeight="1" x14ac:dyDescent="0.2">
      <c r="A21" s="491" t="s">
        <v>49</v>
      </c>
      <c r="B21" s="492"/>
      <c r="C21" s="492"/>
      <c r="D21" s="492"/>
      <c r="E21" s="492"/>
      <c r="F21" s="493"/>
      <c r="G21" s="492">
        <f>G19/G17</f>
        <v>1.0324889504961119</v>
      </c>
      <c r="H21" s="492">
        <f t="shared" ref="H21:P21" si="64">H19/H17</f>
        <v>1.0204386184565999</v>
      </c>
      <c r="I21" s="492">
        <f t="shared" si="64"/>
        <v>1.0158765194487018</v>
      </c>
      <c r="J21" s="492">
        <f t="shared" si="64"/>
        <v>1.0200417670870876</v>
      </c>
      <c r="K21" s="493">
        <f t="shared" si="64"/>
        <v>1.0213382429632374</v>
      </c>
      <c r="L21" s="492">
        <f t="shared" si="64"/>
        <v>1.0355514763850735</v>
      </c>
      <c r="M21" s="492">
        <f t="shared" si="64"/>
        <v>1.020964073841389</v>
      </c>
      <c r="N21" s="492">
        <f t="shared" si="64"/>
        <v>1.0250119505603943</v>
      </c>
      <c r="O21" s="492">
        <f t="shared" si="64"/>
        <v>1.0672358591248667</v>
      </c>
      <c r="P21" s="493">
        <f t="shared" si="64"/>
        <v>1.0363988785258085</v>
      </c>
      <c r="Q21" s="492">
        <v>1.0149999999999999</v>
      </c>
      <c r="R21" s="492">
        <v>1.02</v>
      </c>
      <c r="S21" s="492">
        <f t="shared" ref="S21:X21" si="65">S19/S17</f>
        <v>1.0165118338723662</v>
      </c>
      <c r="T21" s="492">
        <f t="shared" si="65"/>
        <v>1.0226050169633771</v>
      </c>
      <c r="U21" s="493">
        <f t="shared" si="65"/>
        <v>1.0193167902671587</v>
      </c>
      <c r="V21" s="492">
        <f t="shared" si="65"/>
        <v>1.0325090604900498</v>
      </c>
      <c r="W21" s="492">
        <f t="shared" si="65"/>
        <v>1.01629145532579</v>
      </c>
      <c r="X21" s="492">
        <f t="shared" si="65"/>
        <v>1.0154323528632951</v>
      </c>
      <c r="Y21" s="492">
        <f t="shared" ref="Y21:AE21" si="66">Y19/Y17</f>
        <v>1.0240021869874247</v>
      </c>
      <c r="Z21" s="493">
        <f t="shared" si="66"/>
        <v>1.0199354450193909</v>
      </c>
      <c r="AA21" s="492">
        <f t="shared" si="66"/>
        <v>1.0243020546257084</v>
      </c>
      <c r="AB21" s="492">
        <f t="shared" si="66"/>
        <v>1.0172839537601095</v>
      </c>
      <c r="AC21" s="492">
        <f t="shared" si="66"/>
        <v>1.016823314561083</v>
      </c>
      <c r="AD21" s="492">
        <f t="shared" si="66"/>
        <v>1.021235474283787</v>
      </c>
      <c r="AE21" s="493">
        <f t="shared" si="66"/>
        <v>1.0194101227794896</v>
      </c>
      <c r="AF21" s="492">
        <f t="shared" ref="AF21:AK21" si="67">AF19/AF17</f>
        <v>1.0218079862156235</v>
      </c>
      <c r="AG21" s="492">
        <f t="shared" si="67"/>
        <v>1.0076069561689844</v>
      </c>
      <c r="AH21" s="492">
        <f t="shared" si="67"/>
        <v>1.004887547650877</v>
      </c>
      <c r="AI21" s="492">
        <f t="shared" si="67"/>
        <v>1.0040251334684553</v>
      </c>
      <c r="AJ21" s="493">
        <f t="shared" si="67"/>
        <v>1.0096482494076215</v>
      </c>
      <c r="AK21" s="492">
        <f t="shared" si="67"/>
        <v>1.0077472426470588</v>
      </c>
      <c r="AL21" s="492">
        <f t="shared" ref="AL21:AQ21" si="68">AL19/AL17</f>
        <v>1.0066358648471125</v>
      </c>
      <c r="AM21" s="492">
        <f t="shared" si="68"/>
        <v>1.0110353316405525</v>
      </c>
      <c r="AN21" s="492">
        <f t="shared" si="68"/>
        <v>1.0168197727503994</v>
      </c>
      <c r="AO21" s="493">
        <f t="shared" si="68"/>
        <v>1.0100592128143551</v>
      </c>
      <c r="AP21" s="492">
        <f t="shared" si="68"/>
        <v>1.0186043740397244</v>
      </c>
      <c r="AQ21" s="492">
        <f t="shared" si="68"/>
        <v>1.0192028632800167</v>
      </c>
      <c r="AR21" s="492">
        <f>AR19/AR17</f>
        <v>1.0157373847876208</v>
      </c>
      <c r="AS21" s="492">
        <f>AS19/AS17</f>
        <v>1.0166259772239463</v>
      </c>
      <c r="AT21" s="493">
        <f>AT19/AT17</f>
        <v>1.0173909366908231</v>
      </c>
      <c r="AU21" s="492">
        <f>AU19/AU17</f>
        <v>1.0215774874500809</v>
      </c>
      <c r="AV21" s="492">
        <f t="shared" ref="AV21" si="69">AV19/AV17</f>
        <v>1.019418812866411</v>
      </c>
      <c r="AW21" s="492">
        <f>AW19/AW17</f>
        <v>1.0194700635346965</v>
      </c>
      <c r="AX21" s="492">
        <f>AX19/AX17</f>
        <v>1.0217531224099003</v>
      </c>
      <c r="AY21" s="493">
        <f>AY19/AY17</f>
        <v>1.0199706930158412</v>
      </c>
      <c r="AZ21" s="492">
        <f>AZ19/AZ17</f>
        <v>1.0231428337084998</v>
      </c>
      <c r="BA21" s="492">
        <f t="shared" ref="BA21" si="70">BA19/BA17</f>
        <v>1.0205677706286471</v>
      </c>
      <c r="BB21" s="492">
        <f>BB19/BB17</f>
        <v>1.0169723690519008</v>
      </c>
      <c r="BC21" s="492">
        <f>BC19/BC17</f>
        <v>1.0127596429658832</v>
      </c>
      <c r="BD21" s="493">
        <f>BD19/BD17</f>
        <v>1.0184899782137511</v>
      </c>
      <c r="BE21" s="779">
        <f>BC21</f>
        <v>1.0127596429658832</v>
      </c>
      <c r="BF21" s="779">
        <f t="shared" ref="BF21:BH21" si="71">BE21</f>
        <v>1.0127596429658832</v>
      </c>
      <c r="BG21" s="779">
        <f t="shared" si="71"/>
        <v>1.0127596429658832</v>
      </c>
      <c r="BH21" s="779">
        <f t="shared" si="71"/>
        <v>1.0127596429658832</v>
      </c>
      <c r="BI21" s="493">
        <f>BI19/BI17</f>
        <v>1.0148312213931263</v>
      </c>
      <c r="BJ21" s="492"/>
      <c r="BK21" s="492"/>
      <c r="BL21" s="779"/>
      <c r="BM21" s="779"/>
      <c r="BN21" s="797">
        <f>BI21</f>
        <v>1.0148312213931263</v>
      </c>
      <c r="BO21" s="492"/>
      <c r="BP21" s="492"/>
      <c r="BQ21" s="779"/>
      <c r="BR21" s="779"/>
      <c r="BS21" s="797">
        <f>BN21</f>
        <v>1.0148312213931263</v>
      </c>
      <c r="BT21" s="151"/>
      <c r="BU21" s="359"/>
      <c r="BV21" s="227"/>
      <c r="BW21" s="151"/>
      <c r="BX21" s="151"/>
      <c r="BY21" s="151"/>
      <c r="BZ21" s="531"/>
      <c r="CA21" s="433" t="s">
        <v>498</v>
      </c>
      <c r="CB21" s="322"/>
      <c r="CC21" s="758">
        <v>0</v>
      </c>
      <c r="CD21" s="758">
        <v>1</v>
      </c>
      <c r="CE21" s="758">
        <v>0</v>
      </c>
      <c r="CF21" s="758">
        <v>0</v>
      </c>
      <c r="CG21" s="757">
        <f>+SUM(CC21:CF21)</f>
        <v>1</v>
      </c>
      <c r="CH21" s="359"/>
      <c r="CI21" s="151"/>
      <c r="CJ21"/>
      <c r="CK21"/>
      <c r="CL21"/>
      <c r="CM21"/>
      <c r="CN21"/>
      <c r="CO21"/>
      <c r="CP21" s="395"/>
    </row>
    <row r="22" spans="1:94" s="260" customFormat="1" ht="12.75" customHeight="1" x14ac:dyDescent="0.2">
      <c r="A22" s="120" t="s">
        <v>21</v>
      </c>
      <c r="B22" s="18"/>
      <c r="C22" s="18"/>
      <c r="D22" s="18"/>
      <c r="E22" s="18"/>
      <c r="F22" s="166"/>
      <c r="G22" s="18"/>
      <c r="H22" s="18"/>
      <c r="I22" s="18"/>
      <c r="J22" s="18"/>
      <c r="K22" s="166"/>
      <c r="L22" s="18">
        <f t="shared" ref="L22:AM22" si="72">L21/G21-1</f>
        <v>2.9661585119047373E-3</v>
      </c>
      <c r="M22" s="18">
        <f t="shared" si="72"/>
        <v>5.1493090842047451E-4</v>
      </c>
      <c r="N22" s="18">
        <f t="shared" si="72"/>
        <v>8.9926589863993378E-3</v>
      </c>
      <c r="O22" s="18">
        <f t="shared" si="72"/>
        <v>4.6266823144458513E-2</v>
      </c>
      <c r="P22" s="166">
        <f t="shared" si="72"/>
        <v>1.4745982211412434E-2</v>
      </c>
      <c r="Q22" s="18">
        <f t="shared" si="72"/>
        <v>-1.9845924469940601E-2</v>
      </c>
      <c r="R22" s="18">
        <f t="shared" si="72"/>
        <v>-9.4427792915541264E-4</v>
      </c>
      <c r="S22" s="18">
        <f t="shared" si="72"/>
        <v>-8.2927000835267828E-3</v>
      </c>
      <c r="T22" s="18">
        <f t="shared" si="72"/>
        <v>-4.1819099105315782E-2</v>
      </c>
      <c r="U22" s="166">
        <f t="shared" si="72"/>
        <v>-1.6482156255270719E-2</v>
      </c>
      <c r="V22" s="18">
        <f t="shared" si="72"/>
        <v>1.7250305901526986E-2</v>
      </c>
      <c r="W22" s="18">
        <f t="shared" si="72"/>
        <v>-3.6358281119706071E-3</v>
      </c>
      <c r="X22" s="18">
        <f t="shared" si="72"/>
        <v>-1.0619463277262708E-3</v>
      </c>
      <c r="Y22" s="18">
        <f t="shared" si="72"/>
        <v>1.3662851256064368E-3</v>
      </c>
      <c r="Z22" s="166">
        <f t="shared" si="72"/>
        <v>6.0693079731377608E-4</v>
      </c>
      <c r="AA22" s="18">
        <f t="shared" si="72"/>
        <v>-7.94860420929E-3</v>
      </c>
      <c r="AB22" s="18">
        <f t="shared" si="72"/>
        <v>9.7658838822112237E-4</v>
      </c>
      <c r="AC22" s="18">
        <f t="shared" si="72"/>
        <v>1.369822119480002E-3</v>
      </c>
      <c r="AD22" s="18">
        <f t="shared" si="72"/>
        <v>-2.701862104198538E-3</v>
      </c>
      <c r="AE22" s="166">
        <f>AE21/Z21-1</f>
        <v>-5.1505440120414026E-4</v>
      </c>
      <c r="AF22" s="18">
        <f t="shared" si="72"/>
        <v>-2.4348954479020968E-3</v>
      </c>
      <c r="AG22" s="18">
        <f t="shared" si="72"/>
        <v>-9.5125825541204634E-3</v>
      </c>
      <c r="AH22" s="18">
        <f t="shared" si="72"/>
        <v>-1.1738289965703808E-2</v>
      </c>
      <c r="AI22" s="18">
        <f t="shared" si="72"/>
        <v>-1.6852470609094006E-2</v>
      </c>
      <c r="AJ22" s="166">
        <f>AJ21/AE21-1</f>
        <v>-9.5760019973626376E-3</v>
      </c>
      <c r="AK22" s="18">
        <f t="shared" si="72"/>
        <v>-1.3760651470967833E-2</v>
      </c>
      <c r="AL22" s="18">
        <f t="shared" si="72"/>
        <v>-9.6376004147891159E-4</v>
      </c>
      <c r="AM22" s="18">
        <f t="shared" si="72"/>
        <v>6.1178825472036902E-3</v>
      </c>
      <c r="AN22" s="18">
        <f>AN21/AI21-1</f>
        <v>1.2743345615009005E-2</v>
      </c>
      <c r="AO22" s="166">
        <f>AO21/AJ21-1</f>
        <v>4.070362197672317E-4</v>
      </c>
      <c r="AP22" s="18">
        <f>AP21/AK21-1</f>
        <v>1.077366519420786E-2</v>
      </c>
      <c r="AQ22" s="18">
        <f>AQ21/AL21-1</f>
        <v>1.2484155265829688E-2</v>
      </c>
      <c r="AR22" s="18">
        <f>AR21/AM21-1</f>
        <v>4.6507307904251061E-3</v>
      </c>
      <c r="AS22" s="18">
        <f t="shared" ref="AS22:AT22" si="73">AS21/AN21-1</f>
        <v>-1.9058984851250127E-4</v>
      </c>
      <c r="AT22" s="166">
        <f t="shared" si="73"/>
        <v>7.2587069980178942E-3</v>
      </c>
      <c r="AU22" s="18">
        <f>AU21/AP21-1</f>
        <v>2.9188107631674676E-3</v>
      </c>
      <c r="AV22" s="18">
        <f>AV21/AQ21-1</f>
        <v>2.1188086707213394E-4</v>
      </c>
      <c r="AW22" s="18">
        <f>AW21/AR21-1</f>
        <v>3.6748462771765134E-3</v>
      </c>
      <c r="AX22" s="18">
        <f t="shared" ref="AX22" si="74">AX21/AS21-1</f>
        <v>5.0432954703307775E-3</v>
      </c>
      <c r="AY22" s="166">
        <f t="shared" ref="AY22" si="75">AY21/AT21-1</f>
        <v>2.5356588426166393E-3</v>
      </c>
      <c r="AZ22" s="18">
        <f>AZ21/AU21-1</f>
        <v>1.5322834318971523E-3</v>
      </c>
      <c r="BA22" s="18">
        <f>BA21/AV21-1</f>
        <v>1.1270713741347027E-3</v>
      </c>
      <c r="BB22" s="18">
        <f>BB21/AW21-1</f>
        <v>-2.4499929641246254E-3</v>
      </c>
      <c r="BC22" s="18">
        <f t="shared" ref="BC22" si="76">BC21/AX21-1</f>
        <v>-8.8020082804398658E-3</v>
      </c>
      <c r="BD22" s="166">
        <f t="shared" ref="BD22" si="77">BD21/AY21-1</f>
        <v>-1.4517228899115775E-3</v>
      </c>
      <c r="BE22" s="18">
        <f t="shared" ref="BE22:BI22" si="78">BE21/AZ21-1</f>
        <v>-1.01483296373992E-2</v>
      </c>
      <c r="BF22" s="18">
        <f t="shared" si="78"/>
        <v>-7.6507684129142328E-3</v>
      </c>
      <c r="BG22" s="18">
        <f t="shared" si="78"/>
        <v>-4.1424194149395355E-3</v>
      </c>
      <c r="BH22" s="18">
        <f t="shared" si="78"/>
        <v>0</v>
      </c>
      <c r="BI22" s="166">
        <f t="shared" si="78"/>
        <v>-3.592334631550842E-3</v>
      </c>
      <c r="BJ22" s="18"/>
      <c r="BK22" s="18"/>
      <c r="BL22" s="18"/>
      <c r="BM22" s="18"/>
      <c r="BN22" s="166">
        <f>BN21/BI21-1</f>
        <v>0</v>
      </c>
      <c r="BO22" s="18"/>
      <c r="BP22" s="18"/>
      <c r="BQ22" s="18"/>
      <c r="BR22" s="18"/>
      <c r="BS22" s="166">
        <f>BS21/BN21-1</f>
        <v>0</v>
      </c>
      <c r="BT22" s="148"/>
      <c r="BU22" s="356"/>
      <c r="BV22" s="224"/>
      <c r="BW22" s="148"/>
      <c r="BX22" s="148"/>
      <c r="BY22" s="148"/>
      <c r="BZ22" s="531"/>
      <c r="CA22" s="433" t="s">
        <v>499</v>
      </c>
      <c r="CB22" s="322"/>
      <c r="CC22" s="758">
        <v>0</v>
      </c>
      <c r="CD22" s="758">
        <v>2</v>
      </c>
      <c r="CE22" s="758">
        <v>0</v>
      </c>
      <c r="CF22" s="758">
        <v>0</v>
      </c>
      <c r="CG22" s="757">
        <f>+SUM(CC22:CF22)</f>
        <v>2</v>
      </c>
      <c r="CH22" s="356"/>
      <c r="CI22" s="148"/>
      <c r="CJ22"/>
      <c r="CK22"/>
      <c r="CL22"/>
      <c r="CM22"/>
      <c r="CN22"/>
      <c r="CO22"/>
      <c r="CP22" s="391"/>
    </row>
    <row r="23" spans="1:94" s="254" customFormat="1" ht="12.75" customHeight="1" x14ac:dyDescent="0.2">
      <c r="A23" s="9" t="s">
        <v>50</v>
      </c>
      <c r="B23" s="9"/>
      <c r="C23" s="9"/>
      <c r="D23" s="9"/>
      <c r="E23" s="9"/>
      <c r="F23" s="165"/>
      <c r="G23" s="9"/>
      <c r="H23" s="9"/>
      <c r="I23" s="9"/>
      <c r="J23" s="9"/>
      <c r="K23" s="165"/>
      <c r="L23" s="9"/>
      <c r="M23" s="9"/>
      <c r="N23" s="9"/>
      <c r="O23" s="9"/>
      <c r="P23" s="165"/>
      <c r="Q23" s="9"/>
      <c r="R23" s="9"/>
      <c r="S23" s="9"/>
      <c r="T23" s="9"/>
      <c r="U23" s="165"/>
      <c r="V23" s="9"/>
      <c r="W23" s="9"/>
      <c r="X23" s="9"/>
      <c r="Y23" s="9"/>
      <c r="Z23" s="165"/>
      <c r="AA23" s="9"/>
      <c r="AB23" s="9"/>
      <c r="AC23" s="9"/>
      <c r="AD23" s="9"/>
      <c r="AE23" s="165"/>
      <c r="AF23" s="9"/>
      <c r="AG23" s="9"/>
      <c r="AH23" s="9"/>
      <c r="AI23" s="9"/>
      <c r="AJ23" s="165"/>
      <c r="AK23" s="9"/>
      <c r="AL23" s="9"/>
      <c r="AM23" s="9"/>
      <c r="AN23" s="9"/>
      <c r="AO23" s="165"/>
      <c r="AP23" s="9"/>
      <c r="AQ23" s="9"/>
      <c r="AR23" s="9"/>
      <c r="AS23" s="9"/>
      <c r="AT23" s="165"/>
      <c r="AU23" s="9"/>
      <c r="AV23" s="9"/>
      <c r="AW23" s="9"/>
      <c r="AX23" s="9"/>
      <c r="AY23" s="165"/>
      <c r="AZ23" s="9"/>
      <c r="BA23" s="9"/>
      <c r="BB23" s="9"/>
      <c r="BC23" s="9"/>
      <c r="BD23" s="165"/>
      <c r="BE23" s="9"/>
      <c r="BF23" s="9"/>
      <c r="BG23" s="9"/>
      <c r="BH23" s="9"/>
      <c r="BI23" s="165"/>
      <c r="BJ23" s="9"/>
      <c r="BK23" s="9"/>
      <c r="BL23" s="9"/>
      <c r="BM23" s="9"/>
      <c r="BN23" s="165"/>
      <c r="BO23" s="9"/>
      <c r="BP23" s="9"/>
      <c r="BQ23" s="9"/>
      <c r="BR23" s="9"/>
      <c r="BS23" s="165"/>
      <c r="BT23" s="249"/>
      <c r="BU23" s="8"/>
      <c r="BV23" s="280"/>
      <c r="BW23" s="249"/>
      <c r="BX23" s="249"/>
      <c r="BY23" s="249"/>
      <c r="BZ23" s="531"/>
      <c r="CA23" s="838" t="s">
        <v>500</v>
      </c>
      <c r="CB23" s="839"/>
      <c r="CC23" s="840">
        <v>0</v>
      </c>
      <c r="CD23" s="840">
        <v>1</v>
      </c>
      <c r="CE23" s="840">
        <v>0</v>
      </c>
      <c r="CF23" s="840">
        <v>0</v>
      </c>
      <c r="CG23" s="841">
        <f>+SUM(CC23:CF23)</f>
        <v>1</v>
      </c>
      <c r="CH23" s="8"/>
      <c r="CI23" s="249"/>
      <c r="CJ23"/>
      <c r="CK23"/>
      <c r="CL23"/>
      <c r="CM23"/>
      <c r="CN23"/>
      <c r="CO23"/>
      <c r="CP23" s="320"/>
    </row>
    <row r="24" spans="1:94" ht="12.75" customHeight="1" x14ac:dyDescent="0.2">
      <c r="A24" s="486" t="s">
        <v>51</v>
      </c>
      <c r="B24" s="487"/>
      <c r="C24" s="487"/>
      <c r="D24" s="487"/>
      <c r="E24" s="487"/>
      <c r="F24" s="488"/>
      <c r="G24" s="853">
        <v>36</v>
      </c>
      <c r="H24" s="853">
        <v>35</v>
      </c>
      <c r="I24" s="853">
        <v>28</v>
      </c>
      <c r="J24" s="853">
        <v>28</v>
      </c>
      <c r="K24" s="488">
        <v>28</v>
      </c>
      <c r="L24" s="853">
        <v>28</v>
      </c>
      <c r="M24" s="853">
        <v>28</v>
      </c>
      <c r="N24" s="853">
        <v>28</v>
      </c>
      <c r="O24" s="853">
        <v>28</v>
      </c>
      <c r="P24" s="488">
        <v>28</v>
      </c>
      <c r="Q24" s="853">
        <v>29</v>
      </c>
      <c r="R24" s="853">
        <v>31</v>
      </c>
      <c r="S24" s="853">
        <v>32</v>
      </c>
      <c r="T24" s="853">
        <v>32</v>
      </c>
      <c r="U24" s="488">
        <f>T24</f>
        <v>32</v>
      </c>
      <c r="V24" s="853">
        <v>35</v>
      </c>
      <c r="W24" s="853">
        <v>35</v>
      </c>
      <c r="X24" s="853">
        <v>35</v>
      </c>
      <c r="Y24" s="853">
        <v>37</v>
      </c>
      <c r="Z24" s="488">
        <f>Y24</f>
        <v>37</v>
      </c>
      <c r="AA24" s="853">
        <v>40</v>
      </c>
      <c r="AB24" s="853">
        <v>42</v>
      </c>
      <c r="AC24" s="853">
        <v>42</v>
      </c>
      <c r="AD24" s="853">
        <v>45</v>
      </c>
      <c r="AE24" s="488">
        <f>AD24</f>
        <v>45</v>
      </c>
      <c r="AF24" s="853">
        <v>49</v>
      </c>
      <c r="AG24" s="853">
        <v>50</v>
      </c>
      <c r="AH24" s="853">
        <v>51</v>
      </c>
      <c r="AI24" s="853">
        <v>54</v>
      </c>
      <c r="AJ24" s="488">
        <f>AI24</f>
        <v>54</v>
      </c>
      <c r="AK24" s="853">
        <v>56</v>
      </c>
      <c r="AL24" s="853">
        <v>57</v>
      </c>
      <c r="AM24" s="853">
        <v>58</v>
      </c>
      <c r="AN24" s="853">
        <v>65</v>
      </c>
      <c r="AO24" s="488">
        <f>AN24</f>
        <v>65</v>
      </c>
      <c r="AP24" s="853">
        <v>70</v>
      </c>
      <c r="AQ24" s="853">
        <v>73</v>
      </c>
      <c r="AR24" s="853">
        <v>76</v>
      </c>
      <c r="AS24" s="853">
        <v>79</v>
      </c>
      <c r="AT24" s="488">
        <f>AS24</f>
        <v>79</v>
      </c>
      <c r="AU24" s="853">
        <v>83</v>
      </c>
      <c r="AV24" s="853">
        <v>87</v>
      </c>
      <c r="AW24" s="853">
        <v>89</v>
      </c>
      <c r="AX24" s="853">
        <v>95</v>
      </c>
      <c r="AY24" s="488">
        <f>AX24</f>
        <v>95</v>
      </c>
      <c r="AZ24" s="853">
        <v>100</v>
      </c>
      <c r="BA24" s="853">
        <v>104</v>
      </c>
      <c r="BB24" s="853">
        <v>107</v>
      </c>
      <c r="BC24" s="853">
        <v>112</v>
      </c>
      <c r="BD24" s="488">
        <f>BC24</f>
        <v>112</v>
      </c>
      <c r="BE24" s="780">
        <f>+BD24+6</f>
        <v>118</v>
      </c>
      <c r="BF24" s="780">
        <f>+BE24+1</f>
        <v>119</v>
      </c>
      <c r="BG24" s="780">
        <f>+BF24+2</f>
        <v>121</v>
      </c>
      <c r="BH24" s="780">
        <f>+BG24+1</f>
        <v>122</v>
      </c>
      <c r="BI24" s="488">
        <f>BH24</f>
        <v>122</v>
      </c>
      <c r="BJ24" s="798"/>
      <c r="BK24" s="798"/>
      <c r="BL24" s="798"/>
      <c r="BM24" s="798"/>
      <c r="BN24" s="799">
        <f>BI24+15</f>
        <v>137</v>
      </c>
      <c r="BO24" s="798"/>
      <c r="BP24" s="798"/>
      <c r="BQ24" s="798"/>
      <c r="BR24" s="798"/>
      <c r="BS24" s="799">
        <f>BN24+11</f>
        <v>148</v>
      </c>
      <c r="BZ24" s="531"/>
      <c r="CA24" s="842" t="s">
        <v>502</v>
      </c>
      <c r="CB24" s="843"/>
      <c r="CC24" s="844">
        <f>+SUM(CC19:CC23)</f>
        <v>31</v>
      </c>
      <c r="CD24" s="844">
        <f>+SUM(CD19:CD23)</f>
        <v>56</v>
      </c>
      <c r="CE24" s="844">
        <f>+SUM(CE19:CE23)</f>
        <v>5</v>
      </c>
      <c r="CF24" s="844">
        <f>+SUM(CF19:CF23)</f>
        <v>30</v>
      </c>
      <c r="CG24" s="844">
        <f>+SUM(CG19:CG23)</f>
        <v>122</v>
      </c>
      <c r="CP24" s="396"/>
    </row>
    <row r="25" spans="1:94" s="262" customFormat="1" ht="12.75" customHeight="1" x14ac:dyDescent="0.2">
      <c r="A25" s="26" t="s">
        <v>52</v>
      </c>
      <c r="B25" s="23"/>
      <c r="C25" s="23"/>
      <c r="D25" s="23"/>
      <c r="E25" s="23"/>
      <c r="F25" s="168"/>
      <c r="G25" s="23"/>
      <c r="H25" s="23">
        <f>AVERAGE(H24,G24)</f>
        <v>35.5</v>
      </c>
      <c r="I25" s="23">
        <f>AVERAGE(I24,H24)</f>
        <v>31.5</v>
      </c>
      <c r="J25" s="23">
        <f>AVERAGE(J24,I24)</f>
        <v>28</v>
      </c>
      <c r="K25" s="168"/>
      <c r="L25" s="23">
        <f>AVERAGE(L24,K24)</f>
        <v>28</v>
      </c>
      <c r="M25" s="23">
        <f>AVERAGE(M24,L24)</f>
        <v>28</v>
      </c>
      <c r="N25" s="23">
        <f>AVERAGE(N24,M24)</f>
        <v>28</v>
      </c>
      <c r="O25" s="23">
        <f>AVERAGE(O24,N24)</f>
        <v>28</v>
      </c>
      <c r="P25" s="168">
        <f>AVERAGE(P24,K24)</f>
        <v>28</v>
      </c>
      <c r="Q25" s="23">
        <f>AVERAGE(Q24,P24)</f>
        <v>28.5</v>
      </c>
      <c r="R25" s="23">
        <f>AVERAGE(R24,Q24)</f>
        <v>30</v>
      </c>
      <c r="S25" s="23">
        <f>AVERAGE(S24,R24)</f>
        <v>31.5</v>
      </c>
      <c r="T25" s="23">
        <f>AVERAGE(T24,S24)</f>
        <v>32</v>
      </c>
      <c r="U25" s="168">
        <f>AVERAGE(U24,P24)</f>
        <v>30</v>
      </c>
      <c r="V25" s="23">
        <f>AVERAGE(V24,U24)</f>
        <v>33.5</v>
      </c>
      <c r="W25" s="23">
        <f>AVERAGE(W24,V24)</f>
        <v>35</v>
      </c>
      <c r="X25" s="23">
        <f>AVERAGE(X24,W24)</f>
        <v>35</v>
      </c>
      <c r="Y25" s="23">
        <f>AVERAGE(Y24,X24)</f>
        <v>36</v>
      </c>
      <c r="Z25" s="168">
        <f>AVERAGE(Z24,U24)</f>
        <v>34.5</v>
      </c>
      <c r="AA25" s="23">
        <f>AVERAGE(AA24,Z24)</f>
        <v>38.5</v>
      </c>
      <c r="AB25" s="23">
        <f>AVERAGE(AB24,AA24)</f>
        <v>41</v>
      </c>
      <c r="AC25" s="23">
        <f>AVERAGE(AC24,AB24)</f>
        <v>42</v>
      </c>
      <c r="AD25" s="23">
        <f>AVERAGE(AD24,AC24)</f>
        <v>43.5</v>
      </c>
      <c r="AE25" s="168">
        <f>AVERAGE(AE24,Z24)</f>
        <v>41</v>
      </c>
      <c r="AF25" s="23">
        <f>AVERAGE(AF24,AE24)</f>
        <v>47</v>
      </c>
      <c r="AG25" s="23">
        <f>AVERAGE(AG24,AF24)</f>
        <v>49.5</v>
      </c>
      <c r="AH25" s="23">
        <f>AVERAGE(AH24,AG24)</f>
        <v>50.5</v>
      </c>
      <c r="AI25" s="23">
        <f>AVERAGE(AI24,AH24)</f>
        <v>52.5</v>
      </c>
      <c r="AJ25" s="168">
        <f>AVERAGE(AJ24,AE24)</f>
        <v>49.5</v>
      </c>
      <c r="AK25" s="23">
        <f>AVERAGE(AK24,AJ24)</f>
        <v>55</v>
      </c>
      <c r="AL25" s="23">
        <f>AVERAGE(AL24,AK24)</f>
        <v>56.5</v>
      </c>
      <c r="AM25" s="23">
        <f>AVERAGE(AM24,AL24)</f>
        <v>57.5</v>
      </c>
      <c r="AN25" s="23">
        <f>AVERAGE(AN24,AM24)</f>
        <v>61.5</v>
      </c>
      <c r="AO25" s="168">
        <f>AVERAGE(AO24,AJ24)</f>
        <v>59.5</v>
      </c>
      <c r="AP25" s="23">
        <f>AVERAGE(AP24,AO24)</f>
        <v>67.5</v>
      </c>
      <c r="AQ25" s="23">
        <f>AVERAGE(AQ24,AP24)</f>
        <v>71.5</v>
      </c>
      <c r="AR25" s="23">
        <f>AVERAGE(AR24,AQ24)</f>
        <v>74.5</v>
      </c>
      <c r="AS25" s="23">
        <f>AVERAGE(AS24,AR24)</f>
        <v>77.5</v>
      </c>
      <c r="AT25" s="168">
        <f>AVERAGE(AT24,AO24)</f>
        <v>72</v>
      </c>
      <c r="AU25" s="23">
        <f>AVERAGE(AU24,AT24)</f>
        <v>81</v>
      </c>
      <c r="AV25" s="23">
        <f>AVERAGE(AV24,AU24)</f>
        <v>85</v>
      </c>
      <c r="AW25" s="23">
        <f>AVERAGE(AW24,AV24)</f>
        <v>88</v>
      </c>
      <c r="AX25" s="23">
        <f>AVERAGE(AX24,AW24)</f>
        <v>92</v>
      </c>
      <c r="AY25" s="168">
        <f>AVERAGE(AY24,AT24)</f>
        <v>87</v>
      </c>
      <c r="AZ25" s="23">
        <f>AVERAGE(AZ24,AY24)</f>
        <v>97.5</v>
      </c>
      <c r="BA25" s="23">
        <f>AVERAGE(BA24,AZ24)</f>
        <v>102</v>
      </c>
      <c r="BB25" s="23">
        <f>AVERAGE(BB24,BA24)</f>
        <v>105.5</v>
      </c>
      <c r="BC25" s="23">
        <f>AVERAGE(BC24,BB24)</f>
        <v>109.5</v>
      </c>
      <c r="BD25" s="168">
        <f>AVERAGE(BD24,AY24)</f>
        <v>103.5</v>
      </c>
      <c r="BE25" s="23">
        <f>AVERAGE(BE24,BC24)</f>
        <v>115</v>
      </c>
      <c r="BF25" s="23">
        <f t="shared" ref="BF25:BH25" si="79">AVERAGE(BF24,BE24)</f>
        <v>118.5</v>
      </c>
      <c r="BG25" s="23">
        <f t="shared" si="79"/>
        <v>120</v>
      </c>
      <c r="BH25" s="23">
        <f t="shared" si="79"/>
        <v>121.5</v>
      </c>
      <c r="BI25" s="168">
        <f>AVERAGE(BI24,BD24)</f>
        <v>117</v>
      </c>
      <c r="BJ25" s="23"/>
      <c r="BK25" s="23"/>
      <c r="BL25" s="23"/>
      <c r="BM25" s="23"/>
      <c r="BN25" s="168">
        <f>AVERAGE(BN24,BI24)</f>
        <v>129.5</v>
      </c>
      <c r="BO25" s="23"/>
      <c r="BP25" s="23"/>
      <c r="BQ25" s="23"/>
      <c r="BR25" s="23"/>
      <c r="BS25" s="168">
        <f>AVERAGE(BS24,BN24)</f>
        <v>142.5</v>
      </c>
      <c r="BT25" s="150"/>
      <c r="BU25" s="358"/>
      <c r="BV25" s="226"/>
      <c r="BW25" s="150"/>
      <c r="BX25" s="150"/>
      <c r="BY25" s="150"/>
      <c r="BZ25" s="531"/>
      <c r="CA25" s="433" t="s">
        <v>504</v>
      </c>
      <c r="CB25" s="322"/>
      <c r="CC25" s="758">
        <v>0</v>
      </c>
      <c r="CD25" s="758">
        <v>2</v>
      </c>
      <c r="CE25" s="758">
        <v>0</v>
      </c>
      <c r="CF25" s="758">
        <v>0</v>
      </c>
      <c r="CG25" s="757">
        <f>+SUM(CC25:CF25)</f>
        <v>2</v>
      </c>
      <c r="CH25" s="358"/>
      <c r="CI25" s="150"/>
      <c r="CJ25"/>
      <c r="CK25"/>
      <c r="CL25"/>
      <c r="CM25"/>
      <c r="CN25"/>
      <c r="CO25"/>
      <c r="CP25" s="394"/>
    </row>
    <row r="26" spans="1:94" s="260" customFormat="1" ht="12.75" customHeight="1" x14ac:dyDescent="0.2">
      <c r="A26" s="117" t="s">
        <v>21</v>
      </c>
      <c r="B26" s="27"/>
      <c r="C26" s="27"/>
      <c r="D26" s="27"/>
      <c r="E26" s="27"/>
      <c r="F26" s="192"/>
      <c r="G26" s="27"/>
      <c r="H26" s="27"/>
      <c r="I26" s="27"/>
      <c r="J26" s="27"/>
      <c r="K26" s="192"/>
      <c r="L26" s="27"/>
      <c r="M26" s="27">
        <f>M25/H25-1</f>
        <v>-0.21126760563380287</v>
      </c>
      <c r="N26" s="27">
        <f>N25/I25-1</f>
        <v>-0.11111111111111116</v>
      </c>
      <c r="O26" s="27">
        <f>O25/J25-1</f>
        <v>0</v>
      </c>
      <c r="P26" s="192"/>
      <c r="Q26" s="27">
        <f t="shared" ref="Q26:AM26" si="80">Q25/L25-1</f>
        <v>1.7857142857142794E-2</v>
      </c>
      <c r="R26" s="27">
        <f t="shared" si="80"/>
        <v>7.1428571428571397E-2</v>
      </c>
      <c r="S26" s="27">
        <f t="shared" si="80"/>
        <v>0.125</v>
      </c>
      <c r="T26" s="27">
        <f t="shared" si="80"/>
        <v>0.14285714285714279</v>
      </c>
      <c r="U26" s="192">
        <f t="shared" si="80"/>
        <v>7.1428571428571397E-2</v>
      </c>
      <c r="V26" s="27">
        <f t="shared" si="80"/>
        <v>0.17543859649122817</v>
      </c>
      <c r="W26" s="27">
        <f t="shared" si="80"/>
        <v>0.16666666666666674</v>
      </c>
      <c r="X26" s="27">
        <f t="shared" si="80"/>
        <v>0.11111111111111116</v>
      </c>
      <c r="Y26" s="27">
        <f t="shared" si="80"/>
        <v>0.125</v>
      </c>
      <c r="Z26" s="192">
        <f t="shared" si="80"/>
        <v>0.14999999999999991</v>
      </c>
      <c r="AA26" s="27">
        <f t="shared" si="80"/>
        <v>0.14925373134328357</v>
      </c>
      <c r="AB26" s="27">
        <f t="shared" si="80"/>
        <v>0.17142857142857149</v>
      </c>
      <c r="AC26" s="27">
        <f t="shared" si="80"/>
        <v>0.19999999999999996</v>
      </c>
      <c r="AD26" s="27">
        <f t="shared" si="80"/>
        <v>0.20833333333333326</v>
      </c>
      <c r="AE26" s="192">
        <f>AE25/Z25-1</f>
        <v>0.18840579710144922</v>
      </c>
      <c r="AF26" s="27">
        <f t="shared" si="80"/>
        <v>0.22077922077922074</v>
      </c>
      <c r="AG26" s="27">
        <f t="shared" si="80"/>
        <v>0.20731707317073167</v>
      </c>
      <c r="AH26" s="27">
        <f t="shared" si="80"/>
        <v>0.20238095238095233</v>
      </c>
      <c r="AI26" s="27">
        <f t="shared" si="80"/>
        <v>0.2068965517241379</v>
      </c>
      <c r="AJ26" s="192">
        <f>AJ25/AE25-1</f>
        <v>0.20731707317073167</v>
      </c>
      <c r="AK26" s="27">
        <f t="shared" si="80"/>
        <v>0.17021276595744683</v>
      </c>
      <c r="AL26" s="27">
        <f t="shared" si="80"/>
        <v>0.14141414141414144</v>
      </c>
      <c r="AM26" s="27">
        <f t="shared" si="80"/>
        <v>0.13861386138613851</v>
      </c>
      <c r="AN26" s="27">
        <f>AN25/AI25-1</f>
        <v>0.17142857142857149</v>
      </c>
      <c r="AO26" s="192">
        <f>AO25/AJ25-1</f>
        <v>0.20202020202020199</v>
      </c>
      <c r="AP26" s="27">
        <f>AP25/AK25-1</f>
        <v>0.22727272727272729</v>
      </c>
      <c r="AQ26" s="27">
        <f>AQ25/AL25-1</f>
        <v>0.26548672566371678</v>
      </c>
      <c r="AR26" s="27">
        <f>AR25/AM25-1</f>
        <v>0.29565217391304355</v>
      </c>
      <c r="AS26" s="27">
        <f t="shared" ref="AS26:AT26" si="81">AS25/AN25-1</f>
        <v>0.26016260162601634</v>
      </c>
      <c r="AT26" s="192">
        <f t="shared" si="81"/>
        <v>0.2100840336134453</v>
      </c>
      <c r="AU26" s="27">
        <f>AU25/AP25-1</f>
        <v>0.19999999999999996</v>
      </c>
      <c r="AV26" s="27">
        <f>AV25/AQ25-1</f>
        <v>0.18881118881118875</v>
      </c>
      <c r="AW26" s="27">
        <f>AW25/AR25-1</f>
        <v>0.18120805369127524</v>
      </c>
      <c r="AX26" s="27">
        <f t="shared" ref="AX26" si="82">AX25/AS25-1</f>
        <v>0.18709677419354831</v>
      </c>
      <c r="AY26" s="192">
        <f t="shared" ref="AY26" si="83">AY25/AT25-1</f>
        <v>0.20833333333333326</v>
      </c>
      <c r="AZ26" s="27">
        <f>AZ25/AU25-1</f>
        <v>0.20370370370370372</v>
      </c>
      <c r="BA26" s="27">
        <f>BA25/AV25-1</f>
        <v>0.19999999999999996</v>
      </c>
      <c r="BB26" s="27">
        <f>BB25/AW25-1</f>
        <v>0.19886363636363646</v>
      </c>
      <c r="BC26" s="27">
        <f t="shared" ref="BC26" si="84">BC25/AX25-1</f>
        <v>0.19021739130434789</v>
      </c>
      <c r="BD26" s="192">
        <f t="shared" ref="BD26" si="85">BD25/AY25-1</f>
        <v>0.18965517241379315</v>
      </c>
      <c r="BE26" s="27">
        <f t="shared" ref="BE26:BH26" si="86">BE25/AZ25-1</f>
        <v>0.17948717948717952</v>
      </c>
      <c r="BF26" s="27">
        <f t="shared" si="86"/>
        <v>0.16176470588235303</v>
      </c>
      <c r="BG26" s="27">
        <f t="shared" si="86"/>
        <v>0.13744075829383884</v>
      </c>
      <c r="BH26" s="27">
        <f t="shared" si="86"/>
        <v>0.1095890410958904</v>
      </c>
      <c r="BI26" s="192">
        <f>BI25/BD25-1</f>
        <v>0.13043478260869557</v>
      </c>
      <c r="BJ26" s="27"/>
      <c r="BK26" s="27"/>
      <c r="BL26" s="27"/>
      <c r="BM26" s="27"/>
      <c r="BN26" s="192">
        <f>BN25/BI25-1</f>
        <v>0.1068376068376069</v>
      </c>
      <c r="BO26" s="27"/>
      <c r="BP26" s="27"/>
      <c r="BQ26" s="27"/>
      <c r="BR26" s="27"/>
      <c r="BS26" s="192">
        <f>BS25/BN25-1</f>
        <v>0.10038610038610041</v>
      </c>
      <c r="BT26" s="148"/>
      <c r="BU26" s="356"/>
      <c r="BV26" s="224"/>
      <c r="BW26" s="148"/>
      <c r="BX26" s="148"/>
      <c r="BY26" s="148"/>
      <c r="BZ26" s="531"/>
      <c r="CA26" s="433" t="s">
        <v>505</v>
      </c>
      <c r="CB26" s="322"/>
      <c r="CC26" s="758">
        <v>0</v>
      </c>
      <c r="CD26" s="758">
        <v>4</v>
      </c>
      <c r="CE26" s="758">
        <v>0</v>
      </c>
      <c r="CF26" s="758">
        <v>0</v>
      </c>
      <c r="CG26" s="757">
        <f>+SUM(CC26:CF26)</f>
        <v>4</v>
      </c>
      <c r="CH26" s="356"/>
      <c r="CI26" s="148"/>
      <c r="CJ26"/>
      <c r="CK26"/>
      <c r="CL26"/>
      <c r="CM26"/>
      <c r="CN26"/>
      <c r="CO26"/>
      <c r="CP26" s="397"/>
    </row>
    <row r="27" spans="1:94" ht="12.75" customHeight="1" x14ac:dyDescent="0.2">
      <c r="A27" s="428" t="s">
        <v>18</v>
      </c>
      <c r="B27" s="15"/>
      <c r="C27" s="15"/>
      <c r="D27" s="15"/>
      <c r="E27" s="15"/>
      <c r="F27" s="164"/>
      <c r="G27" s="15"/>
      <c r="H27" s="15"/>
      <c r="I27" s="15"/>
      <c r="J27" s="15"/>
      <c r="K27" s="164"/>
      <c r="L27" s="15"/>
      <c r="M27" s="15"/>
      <c r="N27" s="15"/>
      <c r="O27" s="15"/>
      <c r="P27" s="164"/>
      <c r="Q27" s="15"/>
      <c r="R27" s="15"/>
      <c r="S27" s="15"/>
      <c r="T27" s="15"/>
      <c r="U27" s="164"/>
      <c r="V27" s="15"/>
      <c r="W27" s="15"/>
      <c r="X27" s="15"/>
      <c r="Y27" s="15"/>
      <c r="Z27" s="304"/>
      <c r="AA27" s="15"/>
      <c r="AB27" s="15"/>
      <c r="AC27" s="15"/>
      <c r="AD27" s="15"/>
      <c r="AE27" s="304"/>
      <c r="AF27" s="15"/>
      <c r="AG27" s="15"/>
      <c r="AH27" s="15"/>
      <c r="AI27" s="15"/>
      <c r="AJ27" s="304"/>
      <c r="AK27" s="15"/>
      <c r="AL27" s="15"/>
      <c r="AM27" s="15"/>
      <c r="AN27" s="15"/>
      <c r="AO27" s="304"/>
      <c r="AP27" s="15"/>
      <c r="AQ27" s="15"/>
      <c r="AR27" s="15"/>
      <c r="AS27" s="15"/>
      <c r="AT27" s="304"/>
      <c r="AU27" s="15"/>
      <c r="AV27" s="15"/>
      <c r="AW27" s="15"/>
      <c r="AX27" s="15"/>
      <c r="AY27" s="304"/>
      <c r="AZ27" s="15"/>
      <c r="BA27" s="15"/>
      <c r="BB27" s="15"/>
      <c r="BC27" s="15"/>
      <c r="BD27" s="304"/>
      <c r="BE27" s="543"/>
      <c r="BF27" s="850"/>
      <c r="BG27" s="850"/>
      <c r="BH27" s="543"/>
      <c r="BI27" s="800"/>
      <c r="BJ27" s="15"/>
      <c r="BK27" s="15"/>
      <c r="BL27" s="15"/>
      <c r="BM27" s="543"/>
      <c r="BN27" s="800"/>
      <c r="BO27" s="15"/>
      <c r="BP27" s="15"/>
      <c r="BQ27" s="15"/>
      <c r="BR27" s="543"/>
      <c r="BS27" s="800"/>
      <c r="BZ27" s="531"/>
      <c r="CA27" s="433" t="s">
        <v>506</v>
      </c>
      <c r="CB27" s="322"/>
      <c r="CC27" s="758">
        <v>0</v>
      </c>
      <c r="CD27" s="758">
        <v>0</v>
      </c>
      <c r="CE27" s="758">
        <v>3</v>
      </c>
      <c r="CF27" s="758">
        <v>0</v>
      </c>
      <c r="CG27" s="757">
        <f>+SUM(CC27:CF27)</f>
        <v>3</v>
      </c>
    </row>
    <row r="28" spans="1:94" s="254" customFormat="1" ht="12.75" customHeight="1" x14ac:dyDescent="0.2">
      <c r="A28" s="9" t="s">
        <v>19</v>
      </c>
      <c r="B28" s="719"/>
      <c r="C28" s="719"/>
      <c r="D28" s="719"/>
      <c r="E28" s="719"/>
      <c r="F28" s="165"/>
      <c r="G28" s="719"/>
      <c r="H28" s="719"/>
      <c r="I28" s="719"/>
      <c r="J28" s="719"/>
      <c r="K28" s="165"/>
      <c r="L28" s="719"/>
      <c r="M28" s="719"/>
      <c r="N28" s="719"/>
      <c r="O28" s="719"/>
      <c r="P28" s="165"/>
      <c r="Q28" s="719"/>
      <c r="R28" s="719"/>
      <c r="S28" s="719"/>
      <c r="T28" s="719"/>
      <c r="U28" s="706"/>
      <c r="V28" s="719"/>
      <c r="W28" s="719"/>
      <c r="X28" s="719"/>
      <c r="Y28" s="719"/>
      <c r="Z28" s="706"/>
      <c r="AA28" s="719"/>
      <c r="AB28" s="719"/>
      <c r="AC28" s="719"/>
      <c r="AD28" s="719"/>
      <c r="AE28" s="706"/>
      <c r="AF28" s="719"/>
      <c r="AG28" s="719"/>
      <c r="AH28" s="719"/>
      <c r="AI28" s="719"/>
      <c r="AJ28" s="706"/>
      <c r="AK28" s="719"/>
      <c r="AL28" s="719"/>
      <c r="AM28" s="719"/>
      <c r="AN28" s="719"/>
      <c r="AO28" s="706"/>
      <c r="AP28" s="719"/>
      <c r="AQ28" s="719"/>
      <c r="AR28" s="719"/>
      <c r="AS28" s="719"/>
      <c r="AT28" s="706"/>
      <c r="AU28" s="719"/>
      <c r="AV28" s="719"/>
      <c r="AW28" s="719"/>
      <c r="AX28" s="719"/>
      <c r="AY28" s="706"/>
      <c r="AZ28" s="719"/>
      <c r="BA28" s="719"/>
      <c r="BB28" s="719"/>
      <c r="BC28" s="719"/>
      <c r="BD28" s="706"/>
      <c r="BE28" s="719"/>
      <c r="BF28" s="719"/>
      <c r="BG28" s="719"/>
      <c r="BH28" s="719"/>
      <c r="BI28" s="706"/>
      <c r="BJ28" s="9"/>
      <c r="BK28" s="9"/>
      <c r="BL28" s="9"/>
      <c r="BM28" s="9"/>
      <c r="BN28" s="706"/>
      <c r="BO28" s="9"/>
      <c r="BP28" s="9"/>
      <c r="BQ28" s="9"/>
      <c r="BR28" s="9"/>
      <c r="BS28" s="706"/>
      <c r="BT28" s="249"/>
      <c r="BU28" s="8"/>
      <c r="BV28" s="280"/>
      <c r="BW28" s="249"/>
      <c r="BX28" s="249"/>
      <c r="BY28" s="249"/>
      <c r="BZ28" s="531"/>
      <c r="CA28" s="433" t="s">
        <v>507</v>
      </c>
      <c r="CB28" s="322"/>
      <c r="CC28" s="758">
        <v>0</v>
      </c>
      <c r="CD28" s="758">
        <v>0</v>
      </c>
      <c r="CE28" s="758">
        <v>6</v>
      </c>
      <c r="CF28" s="758">
        <v>0</v>
      </c>
      <c r="CG28" s="757">
        <f>+SUM(CC28:CF28)</f>
        <v>6</v>
      </c>
      <c r="CH28" s="8"/>
      <c r="CI28" s="249"/>
      <c r="CJ28"/>
      <c r="CK28"/>
      <c r="CL28"/>
      <c r="CM28"/>
      <c r="CN28"/>
      <c r="CO28"/>
      <c r="CP28" s="320"/>
    </row>
    <row r="29" spans="1:94" s="140" customFormat="1" ht="12.75" customHeight="1" x14ac:dyDescent="0.2">
      <c r="A29" s="10" t="s">
        <v>54</v>
      </c>
      <c r="B29" s="11"/>
      <c r="C29" s="11"/>
      <c r="D29" s="11"/>
      <c r="E29" s="11"/>
      <c r="F29" s="869">
        <v>686.12400000000002</v>
      </c>
      <c r="G29" s="854">
        <v>178.489</v>
      </c>
      <c r="H29" s="854">
        <v>174.374</v>
      </c>
      <c r="I29" s="854">
        <v>164.84800000000001</v>
      </c>
      <c r="J29" s="854">
        <v>141.316</v>
      </c>
      <c r="K29" s="12">
        <f>SUM(G29:J29)</f>
        <v>659.02700000000004</v>
      </c>
      <c r="L29" s="854">
        <v>133.62799999999999</v>
      </c>
      <c r="M29" s="854">
        <v>137.33500000000001</v>
      </c>
      <c r="N29" s="854">
        <v>136.31899999999999</v>
      </c>
      <c r="O29" s="854">
        <v>128.898</v>
      </c>
      <c r="P29" s="12">
        <f>SUM(L29:O29)</f>
        <v>536.17999999999995</v>
      </c>
      <c r="Q29" s="854">
        <v>136.90899999999999</v>
      </c>
      <c r="R29" s="854">
        <v>126.372</v>
      </c>
      <c r="S29" s="854">
        <v>138.233</v>
      </c>
      <c r="T29" s="854">
        <v>136.45500000000001</v>
      </c>
      <c r="U29" s="12">
        <f>SUM(Q29:T29)</f>
        <v>537.96900000000005</v>
      </c>
      <c r="V29" s="854">
        <v>153.28</v>
      </c>
      <c r="W29" s="854">
        <v>180.41800000000001</v>
      </c>
      <c r="X29" s="854">
        <v>186.68199999999999</v>
      </c>
      <c r="Y29" s="854">
        <v>169.27</v>
      </c>
      <c r="Z29" s="12">
        <f>SUM(V29:Y29)</f>
        <v>689.65</v>
      </c>
      <c r="AA29" s="854">
        <v>180.078</v>
      </c>
      <c r="AB29" s="854">
        <v>211.81200000000001</v>
      </c>
      <c r="AC29" s="854">
        <v>202.18100000000001</v>
      </c>
      <c r="AD29" s="854">
        <v>188.721</v>
      </c>
      <c r="AE29" s="12">
        <f>SUM(AA29:AD29)</f>
        <v>782.79200000000003</v>
      </c>
      <c r="AF29" s="854">
        <v>218.89699999999999</v>
      </c>
      <c r="AG29" s="854">
        <v>241.119</v>
      </c>
      <c r="AH29" s="854">
        <v>279.49900000000002</v>
      </c>
      <c r="AI29" s="854">
        <v>246.50299999999999</v>
      </c>
      <c r="AJ29" s="12">
        <f>SUM(AF29:AI29)</f>
        <v>986.01800000000003</v>
      </c>
      <c r="AK29" s="854">
        <v>253.87799999999999</v>
      </c>
      <c r="AL29" s="854">
        <v>302.48700000000002</v>
      </c>
      <c r="AM29" s="854">
        <v>317.03800000000001</v>
      </c>
      <c r="AN29" s="854">
        <v>271.56900000000002</v>
      </c>
      <c r="AO29" s="12">
        <f>SUM(AK29:AN29)</f>
        <v>1144.972</v>
      </c>
      <c r="AP29" s="854">
        <v>273.46600000000001</v>
      </c>
      <c r="AQ29" s="854">
        <v>308.57299999999998</v>
      </c>
      <c r="AR29" s="854">
        <v>319.81200000000001</v>
      </c>
      <c r="AS29" s="854">
        <v>267.48700000000002</v>
      </c>
      <c r="AT29" s="12">
        <f>SUM(AP29:AS29)</f>
        <v>1169.338</v>
      </c>
      <c r="AU29" s="854">
        <v>272.62599999999998</v>
      </c>
      <c r="AV29" s="854">
        <v>296.40100000000001</v>
      </c>
      <c r="AW29" s="854">
        <v>331.00400000000002</v>
      </c>
      <c r="AX29" s="854">
        <v>300.58999999999997</v>
      </c>
      <c r="AY29" s="12">
        <f>SUM(AU29:AX29)</f>
        <v>1200.6210000000001</v>
      </c>
      <c r="AZ29" s="854">
        <v>299.762</v>
      </c>
      <c r="BA29" s="854">
        <v>371.92200000000003</v>
      </c>
      <c r="BB29" s="854">
        <v>356.20699999999999</v>
      </c>
      <c r="BC29" s="854">
        <v>338.14299999999997</v>
      </c>
      <c r="BD29" s="12">
        <f>SUM(AZ29:BC29)</f>
        <v>1366.0340000000001</v>
      </c>
      <c r="BE29" s="11">
        <f t="shared" ref="BE29" si="87">BE31*BE11/100</f>
        <v>355.61065822000006</v>
      </c>
      <c r="BF29" s="11">
        <f t="shared" ref="BF29:BH29" si="88">BF31*BF11/100</f>
        <v>423.69354240000001</v>
      </c>
      <c r="BG29" s="11">
        <f t="shared" si="88"/>
        <v>466.77365279999998</v>
      </c>
      <c r="BH29" s="11">
        <f t="shared" si="88"/>
        <v>401.8153269</v>
      </c>
      <c r="BI29" s="12">
        <f>SUM(BE29:BH29)</f>
        <v>1647.8931803200001</v>
      </c>
      <c r="BJ29" s="11"/>
      <c r="BK29" s="11"/>
      <c r="BL29" s="11"/>
      <c r="BM29" s="11"/>
      <c r="BN29" s="12">
        <f>BN31*BN11/100</f>
        <v>1835.3410295813999</v>
      </c>
      <c r="BO29" s="11"/>
      <c r="BP29" s="11"/>
      <c r="BQ29" s="11"/>
      <c r="BR29" s="11"/>
      <c r="BS29" s="12">
        <f>BS31*BS11/100</f>
        <v>2044.1110716962844</v>
      </c>
      <c r="BT29" s="250"/>
      <c r="BU29" s="360"/>
      <c r="BV29" s="281"/>
      <c r="BW29" s="250"/>
      <c r="BX29" s="250"/>
      <c r="BY29" s="250"/>
      <c r="BZ29" s="531"/>
      <c r="CA29" s="842" t="s">
        <v>508</v>
      </c>
      <c r="CB29" s="843"/>
      <c r="CC29" s="844">
        <f>+SUM(CC24:CC28)</f>
        <v>31</v>
      </c>
      <c r="CD29" s="844">
        <f>+SUM(CD24:CD28)</f>
        <v>62</v>
      </c>
      <c r="CE29" s="844">
        <f>+SUM(CE24:CE28)</f>
        <v>14</v>
      </c>
      <c r="CF29" s="844">
        <f>+SUM(CF24:CF28)</f>
        <v>30</v>
      </c>
      <c r="CG29" s="844">
        <f>+SUM(CG24:CG28)</f>
        <v>137</v>
      </c>
      <c r="CH29" s="360"/>
      <c r="CI29" s="250"/>
      <c r="CJ29"/>
      <c r="CK29"/>
      <c r="CL29"/>
      <c r="CM29"/>
      <c r="CN29"/>
      <c r="CO29"/>
      <c r="CP29" s="11"/>
    </row>
    <row r="30" spans="1:94" s="260" customFormat="1" ht="12.75" customHeight="1" x14ac:dyDescent="0.2">
      <c r="A30" s="117" t="s">
        <v>21</v>
      </c>
      <c r="B30" s="18"/>
      <c r="C30" s="18"/>
      <c r="D30" s="18"/>
      <c r="E30" s="18"/>
      <c r="F30" s="166"/>
      <c r="G30" s="18"/>
      <c r="H30" s="18"/>
      <c r="I30" s="18"/>
      <c r="J30" s="18"/>
      <c r="K30" s="166">
        <f t="shared" ref="K30:Z30" si="89">K29/F29-1</f>
        <v>-3.9492861348677466E-2</v>
      </c>
      <c r="L30" s="18">
        <f t="shared" si="89"/>
        <v>-0.25133761744421235</v>
      </c>
      <c r="M30" s="18">
        <f t="shared" si="89"/>
        <v>-0.21241125397134886</v>
      </c>
      <c r="N30" s="18">
        <f t="shared" si="89"/>
        <v>-0.17306245753663996</v>
      </c>
      <c r="O30" s="18">
        <f t="shared" si="89"/>
        <v>-8.7873984545274508E-2</v>
      </c>
      <c r="P30" s="166">
        <f t="shared" si="89"/>
        <v>-0.18640662673911701</v>
      </c>
      <c r="Q30" s="18">
        <f>Q29/L29-1</f>
        <v>2.4553237345466661E-2</v>
      </c>
      <c r="R30" s="18">
        <f>R29/M29-1</f>
        <v>-7.9826701132267863E-2</v>
      </c>
      <c r="S30" s="18">
        <f t="shared" si="89"/>
        <v>1.4040595955076007E-2</v>
      </c>
      <c r="T30" s="18">
        <f t="shared" si="89"/>
        <v>5.8627752176139358E-2</v>
      </c>
      <c r="U30" s="166">
        <f t="shared" si="89"/>
        <v>3.3365660785558138E-3</v>
      </c>
      <c r="V30" s="18">
        <f>V29/Q29-1</f>
        <v>0.11957577661074148</v>
      </c>
      <c r="W30" s="18">
        <f>W29/R29-1</f>
        <v>0.42767385180261464</v>
      </c>
      <c r="X30" s="18">
        <f t="shared" si="89"/>
        <v>0.35048794426801111</v>
      </c>
      <c r="Y30" s="18">
        <f t="shared" si="89"/>
        <v>0.24048221025246419</v>
      </c>
      <c r="Z30" s="166">
        <f t="shared" si="89"/>
        <v>0.28195119049610651</v>
      </c>
      <c r="AA30" s="18">
        <f t="shared" ref="AA30:AM30" si="90">AA29/V29-1</f>
        <v>0.17483037578288108</v>
      </c>
      <c r="AB30" s="18">
        <f t="shared" si="90"/>
        <v>0.17400702812357971</v>
      </c>
      <c r="AC30" s="18">
        <f t="shared" si="90"/>
        <v>8.3023537352288956E-2</v>
      </c>
      <c r="AD30" s="18">
        <f t="shared" si="90"/>
        <v>0.11491108879305245</v>
      </c>
      <c r="AE30" s="166">
        <f t="shared" si="90"/>
        <v>0.13505691292684707</v>
      </c>
      <c r="AF30" s="18">
        <f t="shared" si="90"/>
        <v>0.21556769844178625</v>
      </c>
      <c r="AG30" s="18">
        <f t="shared" si="90"/>
        <v>0.13836326553736322</v>
      </c>
      <c r="AH30" s="18">
        <f t="shared" si="90"/>
        <v>0.38241971302941424</v>
      </c>
      <c r="AI30" s="18">
        <f t="shared" si="90"/>
        <v>0.30617684306462967</v>
      </c>
      <c r="AJ30" s="166">
        <f t="shared" si="90"/>
        <v>0.2596168586291121</v>
      </c>
      <c r="AK30" s="18">
        <f t="shared" si="90"/>
        <v>0.15980575339086411</v>
      </c>
      <c r="AL30" s="18">
        <f t="shared" si="90"/>
        <v>0.25451333159145495</v>
      </c>
      <c r="AM30" s="18">
        <f t="shared" si="90"/>
        <v>0.1343081728378277</v>
      </c>
      <c r="AN30" s="18">
        <f>AN29/AI29-1</f>
        <v>0.10168638921230189</v>
      </c>
      <c r="AO30" s="166">
        <f>AO29/AJ29-1</f>
        <v>0.16120801040143284</v>
      </c>
      <c r="AP30" s="18">
        <f>AP29/AK29-1</f>
        <v>7.7155169018189973E-2</v>
      </c>
      <c r="AQ30" s="18">
        <f>AQ29/AL29-1</f>
        <v>2.0119872920158377E-2</v>
      </c>
      <c r="AR30" s="18">
        <f>AR29/AM29-1</f>
        <v>8.7497397788278697E-3</v>
      </c>
      <c r="AS30" s="18">
        <f t="shared" ref="AS30:AT30" si="91">AS29/AN29-1</f>
        <v>-1.5031170715361419E-2</v>
      </c>
      <c r="AT30" s="166">
        <f t="shared" si="91"/>
        <v>2.1280869750526676E-2</v>
      </c>
      <c r="AU30" s="18">
        <f>AU29/AP29-1</f>
        <v>-3.0716798431982273E-3</v>
      </c>
      <c r="AV30" s="18">
        <f>AV29/AQ29-1</f>
        <v>-3.9446095413402937E-2</v>
      </c>
      <c r="AW30" s="18">
        <f>AW29/AR29-1</f>
        <v>3.4995559891436212E-2</v>
      </c>
      <c r="AX30" s="18">
        <f t="shared" ref="AX30" si="92">AX29/AS29-1</f>
        <v>0.12375554699854563</v>
      </c>
      <c r="AY30" s="166">
        <f t="shared" ref="AY30" si="93">AY29/AT29-1</f>
        <v>2.6752743860201322E-2</v>
      </c>
      <c r="AZ30" s="18">
        <f>AZ29/AU29-1</f>
        <v>9.9535627563035245E-2</v>
      </c>
      <c r="BA30" s="18">
        <f>BA29/AV29-1</f>
        <v>0.25479333740439469</v>
      </c>
      <c r="BB30" s="18">
        <f>BB29/AW29-1</f>
        <v>7.6141073823881245E-2</v>
      </c>
      <c r="BC30" s="18">
        <f t="shared" ref="BC30" si="94">BC29/AX29-1</f>
        <v>0.12493096909411494</v>
      </c>
      <c r="BD30" s="166">
        <f t="shared" ref="BD30" si="95">BD29/AY29-1</f>
        <v>0.13777286920685206</v>
      </c>
      <c r="BE30" s="18">
        <f t="shared" ref="BE30:BI30" si="96">BE29/AZ29-1</f>
        <v>0.1863100000000002</v>
      </c>
      <c r="BF30" s="18">
        <f t="shared" si="96"/>
        <v>0.13919999999999999</v>
      </c>
      <c r="BG30" s="18">
        <f t="shared" si="96"/>
        <v>0.31040000000000001</v>
      </c>
      <c r="BH30" s="18">
        <f t="shared" si="96"/>
        <v>0.18830000000000013</v>
      </c>
      <c r="BI30" s="166">
        <f t="shared" si="96"/>
        <v>0.20633394214199652</v>
      </c>
      <c r="BJ30" s="18"/>
      <c r="BK30" s="18"/>
      <c r="BL30" s="18"/>
      <c r="BM30" s="18"/>
      <c r="BN30" s="166">
        <f>BN29/BI29-1</f>
        <v>0.1137499999999998</v>
      </c>
      <c r="BO30" s="18"/>
      <c r="BP30" s="18"/>
      <c r="BQ30" s="18"/>
      <c r="BR30" s="18"/>
      <c r="BS30" s="166">
        <f>BS29/BN29-1</f>
        <v>0.11375000000000024</v>
      </c>
      <c r="BT30" s="148"/>
      <c r="BU30" s="356"/>
      <c r="BV30" s="224"/>
      <c r="BW30" s="148"/>
      <c r="BX30" s="148"/>
      <c r="BY30" s="148"/>
      <c r="BZ30" s="531"/>
      <c r="CA30" s="531" t="s">
        <v>456</v>
      </c>
      <c r="CB30" s="532"/>
      <c r="CC30" s="758">
        <v>-5</v>
      </c>
      <c r="CD30" s="758">
        <v>0</v>
      </c>
      <c r="CE30" s="758">
        <v>16</v>
      </c>
      <c r="CF30" s="758">
        <v>0</v>
      </c>
      <c r="CG30" s="757">
        <f>+SUM(CC30:CF30)</f>
        <v>11</v>
      </c>
      <c r="CH30" s="356"/>
      <c r="CI30" s="148"/>
      <c r="CJ30"/>
      <c r="CK30"/>
      <c r="CL30"/>
      <c r="CM30"/>
      <c r="CN30"/>
      <c r="CO30"/>
      <c r="CP30" s="391"/>
    </row>
    <row r="31" spans="1:94" s="263" customFormat="1" ht="12.75" customHeight="1" x14ac:dyDescent="0.2">
      <c r="A31" s="121" t="s">
        <v>86</v>
      </c>
      <c r="B31" s="25"/>
      <c r="C31" s="25"/>
      <c r="D31" s="25"/>
      <c r="E31" s="25"/>
      <c r="F31" s="169">
        <f t="shared" ref="F31:W31" si="97">F29/F11*100</f>
        <v>8.1083917323532546</v>
      </c>
      <c r="G31" s="25">
        <f t="shared" si="97"/>
        <v>8.4253571202667583</v>
      </c>
      <c r="H31" s="25">
        <f t="shared" si="97"/>
        <v>7.8871498989986701</v>
      </c>
      <c r="I31" s="25">
        <f t="shared" si="97"/>
        <v>7.7884097041407818</v>
      </c>
      <c r="J31" s="25">
        <f t="shared" si="97"/>
        <v>7.7803727769537643</v>
      </c>
      <c r="K31" s="169">
        <f t="shared" si="97"/>
        <v>7.9763807136353382</v>
      </c>
      <c r="L31" s="25">
        <f t="shared" si="97"/>
        <v>7.4054410828299027</v>
      </c>
      <c r="M31" s="25">
        <f t="shared" si="97"/>
        <v>7.1584384716224356</v>
      </c>
      <c r="N31" s="25">
        <f t="shared" si="97"/>
        <v>7.0631972186384377</v>
      </c>
      <c r="O31" s="25">
        <f t="shared" si="97"/>
        <v>7.0351912384584772</v>
      </c>
      <c r="P31" s="169">
        <f t="shared" si="97"/>
        <v>7.1632585144354648</v>
      </c>
      <c r="Q31" s="25">
        <f t="shared" si="97"/>
        <v>7.5219311137495044</v>
      </c>
      <c r="R31" s="25">
        <f t="shared" si="97"/>
        <v>6.6335162328817088</v>
      </c>
      <c r="S31" s="25">
        <f t="shared" si="97"/>
        <v>6.3002170822738623</v>
      </c>
      <c r="T31" s="25">
        <f t="shared" si="97"/>
        <v>6.2006961611167668</v>
      </c>
      <c r="U31" s="169">
        <f t="shared" si="97"/>
        <v>6.6252968162382828</v>
      </c>
      <c r="V31" s="25">
        <f t="shared" si="97"/>
        <v>6.9669655474281358</v>
      </c>
      <c r="W31" s="25">
        <f t="shared" si="97"/>
        <v>7.4379483864477942</v>
      </c>
      <c r="X31" s="25">
        <f t="shared" ref="X31:AC31" si="98">X29/X11*100</f>
        <v>7.7047019309423748</v>
      </c>
      <c r="Y31" s="25">
        <f t="shared" si="98"/>
        <v>7.3472601538640507</v>
      </c>
      <c r="Z31" s="169">
        <f t="shared" si="98"/>
        <v>7.3739223931690097</v>
      </c>
      <c r="AA31" s="25">
        <f t="shared" si="98"/>
        <v>6.9554664439821483</v>
      </c>
      <c r="AB31" s="25">
        <f t="shared" si="98"/>
        <v>7.4926881449607974</v>
      </c>
      <c r="AC31" s="25">
        <f t="shared" si="98"/>
        <v>6.8013702247589789</v>
      </c>
      <c r="AD31" s="25">
        <f t="shared" ref="AD31:AI31" si="99">AD29/AD11*100</f>
        <v>6.3840129898685785</v>
      </c>
      <c r="AE31" s="169">
        <f t="shared" si="99"/>
        <v>6.9000490183504573</v>
      </c>
      <c r="AF31" s="25">
        <f t="shared" si="99"/>
        <v>6.9997448207893669</v>
      </c>
      <c r="AG31" s="25">
        <f t="shared" si="99"/>
        <v>7.0497333972271674</v>
      </c>
      <c r="AH31" s="25">
        <f t="shared" si="99"/>
        <v>7.6828687357251386</v>
      </c>
      <c r="AI31" s="25">
        <f t="shared" si="99"/>
        <v>6.7057910125539575</v>
      </c>
      <c r="AJ31" s="169">
        <f t="shared" ref="AJ31:AO31" si="100">AJ29/AJ11*100</f>
        <v>7.1134115371080293</v>
      </c>
      <c r="AK31" s="25">
        <f t="shared" si="100"/>
        <v>6.7079607062807964</v>
      </c>
      <c r="AL31" s="25">
        <f t="shared" si="100"/>
        <v>7.5461262759426395</v>
      </c>
      <c r="AM31" s="25">
        <f t="shared" si="100"/>
        <v>7.5948214796053186</v>
      </c>
      <c r="AN31" s="25">
        <f t="shared" si="100"/>
        <v>6.2108248555578252</v>
      </c>
      <c r="AO31" s="169">
        <f t="shared" si="100"/>
        <v>7.0071116885030733</v>
      </c>
      <c r="AP31" s="25">
        <f t="shared" ref="AP31:AU31" si="101">AP29/AP11*100</f>
        <v>5.7821786532635953</v>
      </c>
      <c r="AQ31" s="25">
        <f t="shared" si="101"/>
        <v>5.9189584176929033</v>
      </c>
      <c r="AR31" s="25">
        <f t="shared" si="101"/>
        <v>5.7129719790846618</v>
      </c>
      <c r="AS31" s="25">
        <f t="shared" si="101"/>
        <v>4.6883144699107762</v>
      </c>
      <c r="AT31" s="169">
        <f t="shared" si="101"/>
        <v>5.5037623980656836</v>
      </c>
      <c r="AU31" s="25">
        <f t="shared" si="101"/>
        <v>4.5566734441973553</v>
      </c>
      <c r="AV31" s="25">
        <f t="shared" ref="AV31:AZ31" si="102">AV29/AV11*100</f>
        <v>4.6172558606939358</v>
      </c>
      <c r="AW31" s="25">
        <f t="shared" si="102"/>
        <v>5.0867315670447715</v>
      </c>
      <c r="AX31" s="25">
        <f t="shared" si="102"/>
        <v>4.5647559353672227</v>
      </c>
      <c r="AY31" s="169">
        <f t="shared" si="102"/>
        <v>4.7093064167276548</v>
      </c>
      <c r="AZ31" s="25">
        <f t="shared" si="102"/>
        <v>4.3596044677212387</v>
      </c>
      <c r="BA31" s="25">
        <f t="shared" ref="BA31:BD31" si="103">BA29/BA11*100</f>
        <v>5.0986088571539021</v>
      </c>
      <c r="BB31" s="25">
        <f t="shared" si="103"/>
        <v>4.637319770372561</v>
      </c>
      <c r="BC31" s="25">
        <f t="shared" si="103"/>
        <v>4.3681913130423213</v>
      </c>
      <c r="BD31" s="169">
        <f t="shared" si="103"/>
        <v>4.616099601731082</v>
      </c>
      <c r="BE31" s="25">
        <f>AZ31*(1+BE32)</f>
        <v>4.2288163336896014</v>
      </c>
      <c r="BF31" s="25">
        <f t="shared" ref="BF31:BH31" si="104">BA31*(1+BF32)</f>
        <v>4.537761882866973</v>
      </c>
      <c r="BG31" s="25">
        <f t="shared" si="104"/>
        <v>4.8228125611874635</v>
      </c>
      <c r="BH31" s="25">
        <f t="shared" si="104"/>
        <v>4.4555551393031676</v>
      </c>
      <c r="BI31" s="169">
        <f>BI29/BI11*100</f>
        <v>4.5218326969305753</v>
      </c>
      <c r="BJ31" s="25"/>
      <c r="BK31" s="25"/>
      <c r="BL31" s="25"/>
      <c r="BM31" s="25"/>
      <c r="BN31" s="169">
        <f>BI31*(1+BN32)</f>
        <v>4.4766143699612693</v>
      </c>
      <c r="BO31" s="25"/>
      <c r="BP31" s="25"/>
      <c r="BQ31" s="25"/>
      <c r="BR31" s="25"/>
      <c r="BS31" s="169">
        <f>BN31*(1+BS32)</f>
        <v>4.431848226261657</v>
      </c>
      <c r="BT31" s="151"/>
      <c r="BU31" s="359"/>
      <c r="BV31" s="227"/>
      <c r="BW31" s="748"/>
      <c r="BX31" s="151"/>
      <c r="BY31" s="151"/>
      <c r="BZ31" s="531"/>
      <c r="CA31" s="531" t="s">
        <v>457</v>
      </c>
      <c r="CB31" s="322"/>
      <c r="CC31" s="758">
        <v>-5</v>
      </c>
      <c r="CD31" s="758">
        <v>0</v>
      </c>
      <c r="CE31" s="758">
        <v>18</v>
      </c>
      <c r="CF31" s="758">
        <v>0</v>
      </c>
      <c r="CG31" s="757">
        <f>+SUM(CC31:CF31)</f>
        <v>13</v>
      </c>
      <c r="CH31" s="359"/>
      <c r="CI31" s="151"/>
      <c r="CJ31"/>
      <c r="CK31"/>
      <c r="CL31"/>
      <c r="CM31"/>
      <c r="CN31"/>
      <c r="CO31"/>
      <c r="CP31" s="395"/>
    </row>
    <row r="32" spans="1:94" s="260" customFormat="1" ht="12.75" customHeight="1" x14ac:dyDescent="0.2">
      <c r="A32" s="120" t="s">
        <v>21</v>
      </c>
      <c r="B32" s="18"/>
      <c r="C32" s="18"/>
      <c r="D32" s="18"/>
      <c r="E32" s="18"/>
      <c r="F32" s="166"/>
      <c r="G32" s="18"/>
      <c r="H32" s="18"/>
      <c r="I32" s="18"/>
      <c r="J32" s="18"/>
      <c r="K32" s="166">
        <f t="shared" ref="K32:T32" si="105">K31/F31-1</f>
        <v>-1.6280789467926216E-2</v>
      </c>
      <c r="L32" s="18">
        <f t="shared" si="105"/>
        <v>-0.12105315215464285</v>
      </c>
      <c r="M32" s="18">
        <f t="shared" si="105"/>
        <v>-9.2392237590000592E-2</v>
      </c>
      <c r="N32" s="18">
        <f t="shared" si="105"/>
        <v>-9.3114321543302681E-2</v>
      </c>
      <c r="O32" s="18">
        <f t="shared" si="105"/>
        <v>-9.577709961437697E-2</v>
      </c>
      <c r="P32" s="166">
        <f t="shared" si="105"/>
        <v>-0.10194124733914345</v>
      </c>
      <c r="Q32" s="18">
        <f t="shared" si="105"/>
        <v>1.5730329850262903E-2</v>
      </c>
      <c r="R32" s="18">
        <f t="shared" si="105"/>
        <v>-7.3329154231279614E-2</v>
      </c>
      <c r="S32" s="18">
        <f t="shared" si="105"/>
        <v>-0.10802192162371105</v>
      </c>
      <c r="T32" s="18">
        <f t="shared" si="105"/>
        <v>-0.11861725560207537</v>
      </c>
      <c r="U32" s="166">
        <f t="shared" ref="U32:AM32" si="106">U31/P31-1</f>
        <v>-7.51001373345771E-2</v>
      </c>
      <c r="V32" s="18">
        <f t="shared" si="106"/>
        <v>-7.3779666142772093E-2</v>
      </c>
      <c r="W32" s="18">
        <f t="shared" si="106"/>
        <v>0.12126783523624951</v>
      </c>
      <c r="X32" s="18">
        <f t="shared" si="106"/>
        <v>0.22292642147524355</v>
      </c>
      <c r="Y32" s="18">
        <f t="shared" si="106"/>
        <v>0.18490891392762321</v>
      </c>
      <c r="Z32" s="166">
        <f t="shared" si="106"/>
        <v>0.11299502462982214</v>
      </c>
      <c r="AA32" s="18">
        <f t="shared" si="106"/>
        <v>-1.6505182016053332E-3</v>
      </c>
      <c r="AB32" s="18">
        <f t="shared" si="106"/>
        <v>7.3595238456805046E-3</v>
      </c>
      <c r="AC32" s="18">
        <f t="shared" si="106"/>
        <v>-0.11724421194745793</v>
      </c>
      <c r="AD32" s="18">
        <f t="shared" si="106"/>
        <v>-0.13110290690998383</v>
      </c>
      <c r="AE32" s="166">
        <f t="shared" si="106"/>
        <v>-6.4263406848102278E-2</v>
      </c>
      <c r="AF32" s="18">
        <f t="shared" si="106"/>
        <v>6.3659823771455848E-3</v>
      </c>
      <c r="AG32" s="18">
        <f t="shared" si="106"/>
        <v>-5.9118268258840923E-2</v>
      </c>
      <c r="AH32" s="18">
        <f t="shared" si="106"/>
        <v>0.12960601788110981</v>
      </c>
      <c r="AI32" s="18">
        <f t="shared" si="106"/>
        <v>5.0403723049442517E-2</v>
      </c>
      <c r="AJ32" s="166">
        <f t="shared" si="106"/>
        <v>3.0921884495333396E-2</v>
      </c>
      <c r="AK32" s="18">
        <f t="shared" si="106"/>
        <v>-4.1684964520701695E-2</v>
      </c>
      <c r="AL32" s="18">
        <f t="shared" si="106"/>
        <v>7.0413000144192051E-2</v>
      </c>
      <c r="AM32" s="18">
        <f t="shared" si="106"/>
        <v>-1.1460205705507209E-2</v>
      </c>
      <c r="AN32" s="18">
        <f t="shared" ref="AN32:AW32" si="107">AN31/AI31-1</f>
        <v>-7.3811748094967933E-2</v>
      </c>
      <c r="AO32" s="166">
        <f t="shared" si="107"/>
        <v>-1.4943582000061295E-2</v>
      </c>
      <c r="AP32" s="18">
        <f t="shared" si="107"/>
        <v>-0.13801244425155523</v>
      </c>
      <c r="AQ32" s="18">
        <f t="shared" si="107"/>
        <v>-0.21562955597989586</v>
      </c>
      <c r="AR32" s="18">
        <f t="shared" si="107"/>
        <v>-0.24778061019262443</v>
      </c>
      <c r="AS32" s="18">
        <f t="shared" si="107"/>
        <v>-0.24513819356612732</v>
      </c>
      <c r="AT32" s="166">
        <f t="shared" si="107"/>
        <v>-0.21454621494103077</v>
      </c>
      <c r="AU32" s="18">
        <f t="shared" si="107"/>
        <v>-0.21194523423701839</v>
      </c>
      <c r="AV32" s="18">
        <f t="shared" si="107"/>
        <v>-0.21992088221264217</v>
      </c>
      <c r="AW32" s="18">
        <f t="shared" si="107"/>
        <v>-0.10961727351938233</v>
      </c>
      <c r="AX32" s="18">
        <f t="shared" ref="AX32" si="108">AX31/AS31-1</f>
        <v>-2.635457483420578E-2</v>
      </c>
      <c r="AY32" s="166">
        <f t="shared" ref="AY32:BB32" si="109">AY31/AT31-1</f>
        <v>-0.1443477977205635</v>
      </c>
      <c r="AZ32" s="18">
        <f t="shared" si="109"/>
        <v>-4.3248430876053234E-2</v>
      </c>
      <c r="BA32" s="18">
        <f t="shared" si="109"/>
        <v>0.10425088212192413</v>
      </c>
      <c r="BB32" s="18">
        <f t="shared" si="109"/>
        <v>-8.8349815740975779E-2</v>
      </c>
      <c r="BC32" s="18">
        <f t="shared" ref="BC32" si="110">BC31/AX31-1</f>
        <v>-4.3061365187553768E-2</v>
      </c>
      <c r="BD32" s="166">
        <f t="shared" ref="BD32" si="111">BD31/AY31-1</f>
        <v>-1.9792047224936993E-2</v>
      </c>
      <c r="BE32" s="139">
        <v>-0.03</v>
      </c>
      <c r="BF32" s="139">
        <v>-0.11</v>
      </c>
      <c r="BG32" s="139">
        <v>0.04</v>
      </c>
      <c r="BH32" s="139">
        <v>0.02</v>
      </c>
      <c r="BI32" s="166">
        <f>BI31/BD31-1</f>
        <v>-2.042133249576239E-2</v>
      </c>
      <c r="BJ32" s="18"/>
      <c r="BK32" s="18"/>
      <c r="BL32" s="139"/>
      <c r="BM32" s="139"/>
      <c r="BN32" s="801">
        <v>-0.01</v>
      </c>
      <c r="BO32" s="18"/>
      <c r="BP32" s="18"/>
      <c r="BQ32" s="139"/>
      <c r="BR32" s="139"/>
      <c r="BS32" s="801">
        <v>-0.01</v>
      </c>
      <c r="BT32" s="148"/>
      <c r="BU32" s="356"/>
      <c r="BV32" s="224"/>
      <c r="BW32" s="148"/>
      <c r="BX32" s="148"/>
      <c r="BY32" s="148"/>
      <c r="BZ32" s="531"/>
      <c r="CA32" s="842" t="s">
        <v>509</v>
      </c>
      <c r="CB32" s="843"/>
      <c r="CC32" s="844">
        <f>+SUM(CC27:CC31)</f>
        <v>21</v>
      </c>
      <c r="CD32" s="844">
        <f>+SUM(CD27:CD31)</f>
        <v>62</v>
      </c>
      <c r="CE32" s="844">
        <f>+SUM(CE27:CE31)</f>
        <v>57</v>
      </c>
      <c r="CF32" s="844">
        <f>+SUM(CF27:CF31)</f>
        <v>30</v>
      </c>
      <c r="CG32" s="844">
        <f>+SUM(CG27:CG31)</f>
        <v>170</v>
      </c>
      <c r="CH32" s="356"/>
      <c r="CI32" s="148"/>
      <c r="CJ32"/>
      <c r="CK32"/>
      <c r="CL32"/>
      <c r="CM32"/>
      <c r="CN32"/>
      <c r="CO32"/>
      <c r="CP32" s="391"/>
    </row>
    <row r="33" spans="1:94" s="260" customFormat="1" ht="12.75" customHeight="1" x14ac:dyDescent="0.2">
      <c r="A33" s="541" t="s">
        <v>99</v>
      </c>
      <c r="B33" s="18"/>
      <c r="C33" s="18"/>
      <c r="D33" s="18"/>
      <c r="E33" s="18"/>
      <c r="F33" s="166"/>
      <c r="G33" s="18"/>
      <c r="H33" s="18"/>
      <c r="I33" s="18"/>
      <c r="J33" s="18"/>
      <c r="K33" s="166"/>
      <c r="L33" s="18"/>
      <c r="M33" s="18"/>
      <c r="N33" s="18"/>
      <c r="O33" s="18"/>
      <c r="P33" s="166"/>
      <c r="Q33" s="18">
        <f>Q31/G31-1</f>
        <v>-0.10722702831718667</v>
      </c>
      <c r="R33" s="18">
        <f t="shared" ref="R33:AR33" si="112">R31/H31-1</f>
        <v>-0.15894634718126999</v>
      </c>
      <c r="S33" s="18">
        <f t="shared" si="112"/>
        <v>-0.19107785522321818</v>
      </c>
      <c r="T33" s="18">
        <f t="shared" si="112"/>
        <v>-0.2030335385106683</v>
      </c>
      <c r="U33" s="166">
        <f t="shared" si="112"/>
        <v>-0.16938558299849271</v>
      </c>
      <c r="V33" s="18">
        <f t="shared" si="112"/>
        <v>-5.9209914777177408E-2</v>
      </c>
      <c r="W33" s="18">
        <f t="shared" si="112"/>
        <v>3.9046213211637593E-2</v>
      </c>
      <c r="X33" s="18">
        <f t="shared" si="112"/>
        <v>9.0823559423079292E-2</v>
      </c>
      <c r="Y33" s="18">
        <f t="shared" si="112"/>
        <v>4.4358270419092793E-2</v>
      </c>
      <c r="Z33" s="166">
        <f t="shared" si="112"/>
        <v>2.9408945427421562E-2</v>
      </c>
      <c r="AA33" s="18">
        <f t="shared" si="112"/>
        <v>-7.5308409662500519E-2</v>
      </c>
      <c r="AB33" s="18">
        <f t="shared" si="112"/>
        <v>0.12951983260706523</v>
      </c>
      <c r="AC33" s="18">
        <f t="shared" si="112"/>
        <v>7.954537691965391E-2</v>
      </c>
      <c r="AD33" s="18">
        <f t="shared" si="112"/>
        <v>2.9563910888160017E-2</v>
      </c>
      <c r="AE33" s="166">
        <f t="shared" si="112"/>
        <v>4.1470172542122263E-2</v>
      </c>
      <c r="AF33" s="18">
        <f t="shared" si="112"/>
        <v>4.7049570057557943E-3</v>
      </c>
      <c r="AG33" s="18">
        <f t="shared" si="112"/>
        <v>-5.2193826718126779E-2</v>
      </c>
      <c r="AH33" s="18">
        <f t="shared" si="112"/>
        <v>-2.8337494964669752E-3</v>
      </c>
      <c r="AI33" s="18">
        <f t="shared" si="112"/>
        <v>-8.7307258471409077E-2</v>
      </c>
      <c r="AJ33" s="166">
        <f t="shared" si="112"/>
        <v>-3.5328667996602503E-2</v>
      </c>
      <c r="AK33" s="18">
        <f t="shared" si="112"/>
        <v>-3.5584347893086732E-2</v>
      </c>
      <c r="AL33" s="18">
        <f t="shared" si="112"/>
        <v>7.1320372539169785E-3</v>
      </c>
      <c r="AM33" s="18">
        <f t="shared" si="112"/>
        <v>0.11666050055001342</v>
      </c>
      <c r="AN33" s="18">
        <f>AN31/AD31-1</f>
        <v>-2.7128411954299381E-2</v>
      </c>
      <c r="AO33" s="166">
        <f>AO31/AE31-1</f>
        <v>1.551621877871967E-2</v>
      </c>
      <c r="AP33" s="18">
        <f t="shared" si="112"/>
        <v>-0.17394436493021548</v>
      </c>
      <c r="AQ33" s="18">
        <f t="shared" si="112"/>
        <v>-0.1603996797920082</v>
      </c>
      <c r="AR33" s="18">
        <f t="shared" si="112"/>
        <v>-0.25640119913548809</v>
      </c>
      <c r="AS33" s="18">
        <f>AS31/AI31-1</f>
        <v>-0.3008558630691367</v>
      </c>
      <c r="AT33" s="166">
        <f>AT31/AJ31-1</f>
        <v>-0.22628370798531805</v>
      </c>
      <c r="AU33" s="18">
        <f>AU31/AK31-1</f>
        <v>-0.32070659866405427</v>
      </c>
      <c r="AV33" s="18">
        <f t="shared" ref="AV33:AW33" si="113">AV31/AL31-1</f>
        <v>-0.38812899601031892</v>
      </c>
      <c r="AW33" s="18">
        <f t="shared" si="113"/>
        <v>-0.33023684879172244</v>
      </c>
      <c r="AX33" s="18">
        <f>AX31/AN31-1</f>
        <v>-0.26503225553327259</v>
      </c>
      <c r="AY33" s="166">
        <f>AY31/AO31-1</f>
        <v>-0.32792473902557384</v>
      </c>
      <c r="AZ33" s="18">
        <f>AZ31/AP31-1</f>
        <v>-0.24602736630066291</v>
      </c>
      <c r="BA33" s="18">
        <f t="shared" ref="BA33:BS33" si="114">BA31/AQ31-1</f>
        <v>-0.13859694605841777</v>
      </c>
      <c r="BB33" s="18">
        <f t="shared" si="114"/>
        <v>-0.18828242334289247</v>
      </c>
      <c r="BC33" s="18">
        <f>BC31/AS31-1</f>
        <v>-6.8281076050461076E-2</v>
      </c>
      <c r="BD33" s="166">
        <f>BD31/AT31-1</f>
        <v>-0.16128290651619948</v>
      </c>
      <c r="BE33" s="18">
        <f t="shared" si="114"/>
        <v>-7.1950977949771677E-2</v>
      </c>
      <c r="BF33" s="18">
        <f t="shared" si="114"/>
        <v>-1.7216714911487574E-2</v>
      </c>
      <c r="BG33" s="18">
        <f t="shared" si="114"/>
        <v>-5.1883808370614792E-2</v>
      </c>
      <c r="BH33" s="18">
        <f t="shared" si="114"/>
        <v>-2.3922592491304795E-2</v>
      </c>
      <c r="BI33" s="166">
        <f t="shared" si="114"/>
        <v>-3.980919974354713E-2</v>
      </c>
      <c r="BJ33" s="18"/>
      <c r="BK33" s="18"/>
      <c r="BL33" s="18"/>
      <c r="BM33" s="18"/>
      <c r="BN33" s="166">
        <f t="shared" si="114"/>
        <v>-3.0217119170804829E-2</v>
      </c>
      <c r="BO33" s="18"/>
      <c r="BP33" s="18"/>
      <c r="BQ33" s="18"/>
      <c r="BR33" s="18"/>
      <c r="BS33" s="166">
        <f t="shared" si="114"/>
        <v>-1.9900000000000029E-2</v>
      </c>
      <c r="BT33" s="148"/>
      <c r="BU33" s="356"/>
      <c r="BV33" s="224"/>
      <c r="BW33" s="148"/>
      <c r="BX33" s="148"/>
      <c r="BY33" s="148"/>
      <c r="BZ33" s="531"/>
      <c r="CA33" s="322"/>
      <c r="CB33" s="322"/>
      <c r="CC33" s="759"/>
      <c r="CD33" s="759"/>
      <c r="CE33" s="759"/>
      <c r="CF33" s="759"/>
      <c r="CG33" s="322"/>
      <c r="CH33" s="356"/>
      <c r="CI33" s="148"/>
      <c r="CJ33"/>
      <c r="CK33"/>
      <c r="CL33"/>
      <c r="CM33"/>
      <c r="CN33"/>
      <c r="CO33"/>
      <c r="CP33" s="391"/>
    </row>
    <row r="34" spans="1:94" s="260" customFormat="1" ht="12.75" customHeight="1" x14ac:dyDescent="0.2">
      <c r="A34" s="123" t="s">
        <v>25</v>
      </c>
      <c r="B34" s="18"/>
      <c r="C34" s="18"/>
      <c r="D34" s="18"/>
      <c r="E34" s="18"/>
      <c r="F34" s="166"/>
      <c r="G34" s="18"/>
      <c r="H34" s="18"/>
      <c r="I34" s="18"/>
      <c r="J34" s="18"/>
      <c r="K34" s="166"/>
      <c r="L34" s="18">
        <f>L31/J31-1</f>
        <v>-4.8189425477715764E-2</v>
      </c>
      <c r="M34" s="18">
        <f>M31/L31-1</f>
        <v>-3.3354206514472406E-2</v>
      </c>
      <c r="N34" s="18">
        <f>N31/M31-1</f>
        <v>-1.3304752616307924E-2</v>
      </c>
      <c r="O34" s="18">
        <f>O31/N31-1</f>
        <v>-3.9650570857709955E-3</v>
      </c>
      <c r="P34" s="166"/>
      <c r="Q34" s="18">
        <f>Q31/O31-1</f>
        <v>6.9186445512699368E-2</v>
      </c>
      <c r="R34" s="18">
        <f>R31/Q31-1</f>
        <v>-0.11810994642636952</v>
      </c>
      <c r="S34" s="18">
        <f>S31/R31-1</f>
        <v>-5.0244717719346799E-2</v>
      </c>
      <c r="T34" s="18">
        <f>T31/S31-1</f>
        <v>-1.5796427306783656E-2</v>
      </c>
      <c r="U34" s="166"/>
      <c r="V34" s="18">
        <f>V31/T31-1</f>
        <v>0.12357796066778426</v>
      </c>
      <c r="W34" s="18">
        <f>W31/V31-1</f>
        <v>6.7602291961027738E-2</v>
      </c>
      <c r="X34" s="18">
        <f>X31/W31-1</f>
        <v>3.5863860655529045E-2</v>
      </c>
      <c r="Y34" s="18">
        <f>Y31/X31-1</f>
        <v>-4.6392680765861227E-2</v>
      </c>
      <c r="Z34" s="166"/>
      <c r="AA34" s="18">
        <f>AA31/Y31-1</f>
        <v>-5.3325144567781702E-2</v>
      </c>
      <c r="AB34" s="18">
        <f>AB31/AA31-1</f>
        <v>7.7237336317458993E-2</v>
      </c>
      <c r="AC34" s="18">
        <f>AC31/AB31-1</f>
        <v>-9.2265673791156466E-2</v>
      </c>
      <c r="AD34" s="18">
        <f>AD31/AC31-1</f>
        <v>-6.1363698945706258E-2</v>
      </c>
      <c r="AE34" s="166"/>
      <c r="AF34" s="18">
        <f>AF31/AD31-1</f>
        <v>9.6449025385436205E-2</v>
      </c>
      <c r="AG34" s="18">
        <f>AG31/AF31-1</f>
        <v>7.1414855423490575E-3</v>
      </c>
      <c r="AH34" s="18">
        <f>AH31/AG31-1</f>
        <v>8.9809827240700857E-2</v>
      </c>
      <c r="AI34" s="18">
        <f>AI31/AH31-1</f>
        <v>-0.12717615734182663</v>
      </c>
      <c r="AJ34" s="166"/>
      <c r="AK34" s="18">
        <f>AK31/AI31-1</f>
        <v>3.2355522603921827E-4</v>
      </c>
      <c r="AL34" s="18">
        <f>AL31/AK31-1</f>
        <v>0.12495087648278136</v>
      </c>
      <c r="AM34" s="18">
        <f>AM31/AL31-1</f>
        <v>6.4530067324637397E-3</v>
      </c>
      <c r="AN34" s="18">
        <f>AN31/AM31-1</f>
        <v>-0.18222898691746681</v>
      </c>
      <c r="AO34" s="166"/>
      <c r="AP34" s="18">
        <f>AP31/AN31-1</f>
        <v>-6.9015986163359799E-2</v>
      </c>
      <c r="AQ34" s="18">
        <f>AQ31/AP31-1</f>
        <v>2.3655402683226745E-2</v>
      </c>
      <c r="AR34" s="18">
        <f>AR31/AQ31-1</f>
        <v>-3.4801129535309561E-2</v>
      </c>
      <c r="AS34" s="18">
        <f>AS31/AR31-1</f>
        <v>-0.17935629877499548</v>
      </c>
      <c r="AT34" s="166"/>
      <c r="AU34" s="18">
        <f>AU31/AS31-1</f>
        <v>-2.8078540071977298E-2</v>
      </c>
      <c r="AV34" s="18">
        <f>AV31/AU31-1</f>
        <v>1.329531669067241E-2</v>
      </c>
      <c r="AW34" s="18">
        <f>AW31/AV31-1</f>
        <v>0.10167851219756252</v>
      </c>
      <c r="AX34" s="18">
        <f>AX31/AW31-1</f>
        <v>-0.10261513209371098</v>
      </c>
      <c r="AY34" s="166"/>
      <c r="AZ34" s="18">
        <f>AZ31/AX31-1</f>
        <v>-4.4942483355242091E-2</v>
      </c>
      <c r="BA34" s="18">
        <f>BA31/AZ31-1</f>
        <v>0.16951179743582112</v>
      </c>
      <c r="BB34" s="18">
        <f>BB31/BA31-1</f>
        <v>-9.0473519288325588E-2</v>
      </c>
      <c r="BC34" s="18">
        <f>BC31/BB31-1</f>
        <v>-5.8035345987930032E-2</v>
      </c>
      <c r="BD34" s="166"/>
      <c r="BE34" s="18">
        <f>BE31/BC31-1</f>
        <v>-3.1906793765323682E-2</v>
      </c>
      <c r="BF34" s="18">
        <f t="shared" ref="BF34:BH34" si="115">BF31/BE31-1</f>
        <v>7.3057216204000852E-2</v>
      </c>
      <c r="BG34" s="18">
        <f t="shared" si="115"/>
        <v>6.2817460606900521E-2</v>
      </c>
      <c r="BH34" s="18">
        <f t="shared" si="115"/>
        <v>-7.6150050872777486E-2</v>
      </c>
      <c r="BI34" s="166"/>
      <c r="BJ34" s="18"/>
      <c r="BK34" s="18"/>
      <c r="BL34" s="18"/>
      <c r="BM34" s="18"/>
      <c r="BN34" s="166"/>
      <c r="BO34" s="18"/>
      <c r="BP34" s="18"/>
      <c r="BQ34" s="18"/>
      <c r="BR34" s="18"/>
      <c r="BS34" s="166"/>
      <c r="BT34" s="148"/>
      <c r="BU34" s="356"/>
      <c r="BV34" s="822">
        <f t="shared" ref="BV34:BY34" si="116">AVERAGE(AK34,AP34,AU34,AA34,AZ34)</f>
        <v>-3.9007719786464334E-2</v>
      </c>
      <c r="BW34" s="822">
        <f t="shared" si="116"/>
        <v>8.1730145921992126E-2</v>
      </c>
      <c r="BX34" s="822">
        <f t="shared" si="116"/>
        <v>-2.1881760736953072E-2</v>
      </c>
      <c r="BY34" s="822">
        <f t="shared" si="116"/>
        <v>-0.11671989254396191</v>
      </c>
      <c r="BZ34" s="845" t="s">
        <v>458</v>
      </c>
      <c r="CA34" s="322"/>
      <c r="CB34" s="759"/>
      <c r="CC34" s="759" t="s">
        <v>26</v>
      </c>
      <c r="CD34" s="759" t="s">
        <v>27</v>
      </c>
      <c r="CE34" s="760" t="s">
        <v>28</v>
      </c>
      <c r="CF34" s="760" t="s">
        <v>29</v>
      </c>
      <c r="CG34" s="722"/>
      <c r="CH34" s="356"/>
      <c r="CI34" s="148"/>
      <c r="CJ34"/>
      <c r="CK34"/>
      <c r="CL34"/>
      <c r="CM34"/>
      <c r="CN34"/>
      <c r="CO34"/>
      <c r="CP34" s="391"/>
    </row>
    <row r="35" spans="1:94" s="264" customFormat="1" ht="12.75" customHeight="1" x14ac:dyDescent="0.2">
      <c r="A35" s="122" t="s">
        <v>79</v>
      </c>
      <c r="B35" s="29"/>
      <c r="C35" s="29"/>
      <c r="D35" s="29"/>
      <c r="E35" s="29"/>
      <c r="F35" s="171"/>
      <c r="G35" s="29">
        <f t="shared" ref="G35:Z35" si="117">G29/G5</f>
        <v>101.34481789456652</v>
      </c>
      <c r="H35" s="29">
        <f t="shared" si="117"/>
        <v>92.797144146522129</v>
      </c>
      <c r="I35" s="29">
        <f t="shared" si="117"/>
        <v>90.904629216556373</v>
      </c>
      <c r="J35" s="29">
        <f t="shared" si="117"/>
        <v>92.804675827874362</v>
      </c>
      <c r="K35" s="171">
        <f t="shared" si="117"/>
        <v>94.464723028308867</v>
      </c>
      <c r="L35" s="29">
        <f t="shared" si="117"/>
        <v>90.1265959384084</v>
      </c>
      <c r="M35" s="29">
        <f t="shared" si="117"/>
        <v>84.268818358925586</v>
      </c>
      <c r="N35" s="29">
        <f t="shared" si="117"/>
        <v>80.582310776189743</v>
      </c>
      <c r="O35" s="29">
        <f t="shared" si="117"/>
        <v>88.604366771403377</v>
      </c>
      <c r="P35" s="171">
        <f t="shared" si="117"/>
        <v>85.667795951574305</v>
      </c>
      <c r="Q35" s="29">
        <f t="shared" si="117"/>
        <v>89.744262054372655</v>
      </c>
      <c r="R35" s="29">
        <f t="shared" si="117"/>
        <v>78.429960925281392</v>
      </c>
      <c r="S35" s="29">
        <f t="shared" si="117"/>
        <v>72.383227437480954</v>
      </c>
      <c r="T35" s="29">
        <f t="shared" si="117"/>
        <v>71.623454470252554</v>
      </c>
      <c r="U35" s="171">
        <f t="shared" si="117"/>
        <v>77.386370698048026</v>
      </c>
      <c r="V35" s="29">
        <f t="shared" si="117"/>
        <v>82.296572622644874</v>
      </c>
      <c r="W35" s="29">
        <f t="shared" si="117"/>
        <v>82.008181818181811</v>
      </c>
      <c r="X35" s="29">
        <f>X29/X5</f>
        <v>81.698905908096265</v>
      </c>
      <c r="Y35" s="29">
        <f>Y29/Y5</f>
        <v>78.00460829493089</v>
      </c>
      <c r="Z35" s="171">
        <f t="shared" si="117"/>
        <v>80.968289875517939</v>
      </c>
      <c r="AA35" s="29">
        <f t="shared" ref="AA35:AI35" si="118">AA29/AA5</f>
        <v>76.661558109833962</v>
      </c>
      <c r="AB35" s="29">
        <f t="shared" si="118"/>
        <v>81.060849598163031</v>
      </c>
      <c r="AC35" s="29">
        <f t="shared" si="118"/>
        <v>71.848258706467661</v>
      </c>
      <c r="AD35" s="29">
        <f t="shared" si="118"/>
        <v>71.296184359652443</v>
      </c>
      <c r="AE35" s="171">
        <f t="shared" si="118"/>
        <v>75.102369759186416</v>
      </c>
      <c r="AF35" s="29">
        <f t="shared" si="118"/>
        <v>79.08128612716763</v>
      </c>
      <c r="AG35" s="29">
        <f t="shared" si="118"/>
        <v>77.505303760848591</v>
      </c>
      <c r="AH35" s="29">
        <f t="shared" si="118"/>
        <v>82.839063426200354</v>
      </c>
      <c r="AI35" s="29">
        <f t="shared" si="118"/>
        <v>77.982600442897805</v>
      </c>
      <c r="AJ35" s="171">
        <f t="shared" ref="AJ35:AO35" si="119">AJ29/AJ5</f>
        <v>79.427903979378129</v>
      </c>
      <c r="AK35" s="29">
        <f t="shared" si="119"/>
        <v>77.78125</v>
      </c>
      <c r="AL35" s="29">
        <f t="shared" si="119"/>
        <v>84.753992715046238</v>
      </c>
      <c r="AM35" s="29">
        <f t="shared" si="119"/>
        <v>84.498400852878476</v>
      </c>
      <c r="AN35" s="29">
        <f t="shared" si="119"/>
        <v>73.21892693448369</v>
      </c>
      <c r="AO35" s="171">
        <f t="shared" si="119"/>
        <v>80.101581082971876</v>
      </c>
      <c r="AP35" s="29">
        <f t="shared" ref="AP35:AU35" si="120">AP29/AP5</f>
        <v>68.710050251256277</v>
      </c>
      <c r="AQ35" s="29">
        <f t="shared" si="120"/>
        <v>68.359105006645976</v>
      </c>
      <c r="AR35" s="29">
        <f t="shared" si="120"/>
        <v>66.962311557788951</v>
      </c>
      <c r="AS35" s="29">
        <f t="shared" si="120"/>
        <v>57.515749330097101</v>
      </c>
      <c r="AT35" s="171">
        <f t="shared" si="120"/>
        <v>65.250782420348699</v>
      </c>
      <c r="AU35" s="29">
        <f t="shared" si="120"/>
        <v>54.654622145239927</v>
      </c>
      <c r="AV35" s="29">
        <f t="shared" ref="AV35:AZ35" si="121">AV29/AV5</f>
        <v>52.869432385057976</v>
      </c>
      <c r="AW35" s="29">
        <f t="shared" si="121"/>
        <v>58.336975678533662</v>
      </c>
      <c r="AX35" s="29">
        <f t="shared" si="121"/>
        <v>56.185046728971962</v>
      </c>
      <c r="AY35" s="171">
        <f t="shared" si="121"/>
        <v>55.536885797002128</v>
      </c>
      <c r="AZ35" s="29">
        <f t="shared" si="121"/>
        <v>53.817235188509869</v>
      </c>
      <c r="BA35" s="29">
        <f t="shared" ref="BA35:BD35" si="122">BA29/BA5</f>
        <v>59.929423138897839</v>
      </c>
      <c r="BB35" s="29">
        <f t="shared" si="122"/>
        <v>56.478040272712853</v>
      </c>
      <c r="BC35" s="29">
        <f t="shared" si="122"/>
        <v>55.433278688524588</v>
      </c>
      <c r="BD35" s="171">
        <f t="shared" si="122"/>
        <v>56.487367158747887</v>
      </c>
      <c r="BE35" s="29">
        <f t="shared" ref="BE35:BH35" si="123">BE29/BE5</f>
        <v>54.186421421903056</v>
      </c>
      <c r="BF35" s="29">
        <f t="shared" si="123"/>
        <v>56.53741778923623</v>
      </c>
      <c r="BG35" s="29">
        <f t="shared" si="123"/>
        <v>60.725201537670472</v>
      </c>
      <c r="BH35" s="29">
        <f t="shared" si="123"/>
        <v>58.916705921311483</v>
      </c>
      <c r="BI35" s="171">
        <f>BI29/BI5</f>
        <v>57.69231865454713</v>
      </c>
      <c r="BJ35" s="29"/>
      <c r="BK35" s="29"/>
      <c r="BL35" s="29"/>
      <c r="BM35" s="29"/>
      <c r="BN35" s="171">
        <f>BN29/BN5</f>
        <v>57.115395468001658</v>
      </c>
      <c r="BO35" s="29"/>
      <c r="BP35" s="29"/>
      <c r="BQ35" s="29"/>
      <c r="BR35" s="29"/>
      <c r="BS35" s="171">
        <f>BS29/BS5</f>
        <v>56.544241513321658</v>
      </c>
      <c r="BT35" s="153"/>
      <c r="BU35" s="361"/>
      <c r="BV35" s="823">
        <f>AVERAGE(AK35,AP35,AU35,AA35,AZ35)</f>
        <v>66.32494313896801</v>
      </c>
      <c r="BW35" s="823">
        <f>AVERAGE(AL35,AQ35,AV35,AB35,BA35)</f>
        <v>69.394560568762216</v>
      </c>
      <c r="BX35" s="823">
        <f>AVERAGE(AM35,AR35,AW35,AC35,BB35)</f>
        <v>67.624797413676319</v>
      </c>
      <c r="BY35" s="823">
        <f>AVERAGE(AN35,AS35,AX35,AD35,BC35)</f>
        <v>62.729837208345963</v>
      </c>
      <c r="BZ35" s="531"/>
      <c r="CA35" s="532"/>
      <c r="CB35" s="761" t="s">
        <v>459</v>
      </c>
      <c r="CC35" s="762">
        <f>+BE35</f>
        <v>54.186421421903056</v>
      </c>
      <c r="CD35" s="762">
        <f>+BF35</f>
        <v>56.53741778923623</v>
      </c>
      <c r="CE35" s="762">
        <f>+BG35</f>
        <v>60.725201537670472</v>
      </c>
      <c r="CF35" s="762">
        <f>+BH35</f>
        <v>58.916705921311483</v>
      </c>
      <c r="CG35" s="722"/>
      <c r="CH35" s="361"/>
      <c r="CI35" s="153"/>
      <c r="CJ35"/>
      <c r="CK35"/>
      <c r="CL35"/>
      <c r="CM35"/>
      <c r="CN35"/>
      <c r="CO35"/>
      <c r="CP35" s="398"/>
    </row>
    <row r="36" spans="1:94" s="260" customFormat="1" ht="12.75" customHeight="1" x14ac:dyDescent="0.2">
      <c r="A36" s="120" t="s">
        <v>21</v>
      </c>
      <c r="B36" s="18"/>
      <c r="C36" s="18"/>
      <c r="D36" s="18"/>
      <c r="E36" s="18"/>
      <c r="F36" s="166"/>
      <c r="G36" s="18"/>
      <c r="H36" s="18"/>
      <c r="I36" s="18"/>
      <c r="J36" s="18"/>
      <c r="K36" s="166"/>
      <c r="L36" s="18">
        <f t="shared" ref="L36:Z36" si="124">L35/G35-1</f>
        <v>-0.11069359232387121</v>
      </c>
      <c r="M36" s="18">
        <f t="shared" si="124"/>
        <v>-9.1902890611921584E-2</v>
      </c>
      <c r="N36" s="18">
        <f t="shared" si="124"/>
        <v>-0.11355107577389068</v>
      </c>
      <c r="O36" s="18">
        <f t="shared" si="124"/>
        <v>-4.5259670582345812E-2</v>
      </c>
      <c r="P36" s="166">
        <f t="shared" si="124"/>
        <v>-9.3123938701416886E-2</v>
      </c>
      <c r="Q36" s="18">
        <f>Q35/L35-1</f>
        <v>-4.2421871152997781E-3</v>
      </c>
      <c r="R36" s="18">
        <f>R35/M35-1</f>
        <v>-6.9288469298036115E-2</v>
      </c>
      <c r="S36" s="18">
        <f t="shared" si="124"/>
        <v>-0.10174793028064211</v>
      </c>
      <c r="T36" s="18">
        <f t="shared" si="124"/>
        <v>-0.19164870671623979</v>
      </c>
      <c r="U36" s="166">
        <f t="shared" si="124"/>
        <v>-9.6669059376846223E-2</v>
      </c>
      <c r="V36" s="18">
        <f>V35/Q35-1</f>
        <v>-8.2987917681193957E-2</v>
      </c>
      <c r="W36" s="18">
        <f>W35/R35-1</f>
        <v>4.5623137518955525E-2</v>
      </c>
      <c r="X36" s="18">
        <f t="shared" si="124"/>
        <v>0.12869940731313023</v>
      </c>
      <c r="Y36" s="18">
        <f t="shared" si="124"/>
        <v>8.9093075332307814E-2</v>
      </c>
      <c r="Z36" s="166">
        <f t="shared" si="124"/>
        <v>4.6286176043144778E-2</v>
      </c>
      <c r="AA36" s="18">
        <f t="shared" ref="AA36:AL36" si="125">AA35/V35-1</f>
        <v>-6.8472043649365433E-2</v>
      </c>
      <c r="AB36" s="18">
        <f t="shared" si="125"/>
        <v>-1.1551679344862009E-2</v>
      </c>
      <c r="AC36" s="18">
        <f t="shared" si="125"/>
        <v>-0.12057257183724923</v>
      </c>
      <c r="AD36" s="18">
        <f t="shared" si="125"/>
        <v>-8.6000354106186672E-2</v>
      </c>
      <c r="AE36" s="166">
        <f t="shared" si="125"/>
        <v>-7.2447128688896467E-2</v>
      </c>
      <c r="AF36" s="18">
        <f t="shared" si="125"/>
        <v>3.1563772991241468E-2</v>
      </c>
      <c r="AG36" s="18">
        <f t="shared" si="125"/>
        <v>-4.3862676679803925E-2</v>
      </c>
      <c r="AH36" s="18">
        <f>AH35/AC35-1</f>
        <v>0.1529724577548226</v>
      </c>
      <c r="AI36" s="18">
        <f t="shared" si="125"/>
        <v>9.3783645552696582E-2</v>
      </c>
      <c r="AJ36" s="166">
        <f t="shared" si="125"/>
        <v>5.7595176211635124E-2</v>
      </c>
      <c r="AK36" s="18">
        <f t="shared" si="125"/>
        <v>-1.6439238545982837E-2</v>
      </c>
      <c r="AL36" s="18">
        <f t="shared" si="125"/>
        <v>9.3525069930237237E-2</v>
      </c>
      <c r="AM36" s="18">
        <f t="shared" ref="AM36:AR36" si="126">AM35/AH35-1</f>
        <v>2.0030856917598872E-2</v>
      </c>
      <c r="AN36" s="18">
        <f t="shared" si="126"/>
        <v>-6.108636389860167E-2</v>
      </c>
      <c r="AO36" s="166">
        <f t="shared" si="126"/>
        <v>8.4816175404636152E-3</v>
      </c>
      <c r="AP36" s="18">
        <f t="shared" si="126"/>
        <v>-0.11662450460417806</v>
      </c>
      <c r="AQ36" s="18">
        <f t="shared" si="126"/>
        <v>-0.19344088913335289</v>
      </c>
      <c r="AR36" s="18">
        <f t="shared" si="126"/>
        <v>-0.20753161146353394</v>
      </c>
      <c r="AS36" s="18">
        <f t="shared" ref="AS36:AW36" si="127">AS35/AN35-1</f>
        <v>-0.21446883014876461</v>
      </c>
      <c r="AT36" s="166">
        <f t="shared" si="127"/>
        <v>-0.18539956966942051</v>
      </c>
      <c r="AU36" s="18">
        <f t="shared" si="127"/>
        <v>-0.20456145868936204</v>
      </c>
      <c r="AV36" s="18">
        <f t="shared" si="127"/>
        <v>-0.22659267730439225</v>
      </c>
      <c r="AW36" s="18">
        <f t="shared" si="127"/>
        <v>-0.12880881317562587</v>
      </c>
      <c r="AX36" s="18">
        <f t="shared" ref="AX36" si="128">AX35/AS35-1</f>
        <v>-2.3136316863193618E-2</v>
      </c>
      <c r="AY36" s="166">
        <f t="shared" ref="AY36:BI36" si="129">AY35/AT35-1</f>
        <v>-0.14887019378203281</v>
      </c>
      <c r="AZ36" s="18">
        <f t="shared" si="129"/>
        <v>-1.5321429805237208E-2</v>
      </c>
      <c r="BA36" s="18">
        <f t="shared" si="129"/>
        <v>0.13353634482815369</v>
      </c>
      <c r="BB36" s="18">
        <f t="shared" si="129"/>
        <v>-3.1865474413080408E-2</v>
      </c>
      <c r="BC36" s="18">
        <f t="shared" ref="BC36" si="130">BC35/AX35-1</f>
        <v>-1.3380215630571346E-2</v>
      </c>
      <c r="BD36" s="166">
        <f t="shared" ref="BD36" si="131">BD35/AY35-1</f>
        <v>1.7114415907653724E-2</v>
      </c>
      <c r="BE36" s="18">
        <f t="shared" si="129"/>
        <v>6.8600000000000882E-3</v>
      </c>
      <c r="BF36" s="18">
        <f t="shared" si="129"/>
        <v>-5.6599999999999873E-2</v>
      </c>
      <c r="BG36" s="18">
        <f t="shared" si="129"/>
        <v>7.5200223740936378E-2</v>
      </c>
      <c r="BH36" s="18">
        <f t="shared" si="129"/>
        <v>6.2840000000000229E-2</v>
      </c>
      <c r="BI36" s="166">
        <f t="shared" si="129"/>
        <v>2.1331344624594406E-2</v>
      </c>
      <c r="BJ36" s="18"/>
      <c r="BK36" s="18"/>
      <c r="BL36" s="18"/>
      <c r="BM36" s="18"/>
      <c r="BN36" s="166">
        <f>BN35/BI35-1</f>
        <v>-1.0000000000000009E-2</v>
      </c>
      <c r="BO36" s="18"/>
      <c r="BP36" s="18"/>
      <c r="BQ36" s="18"/>
      <c r="BR36" s="18"/>
      <c r="BS36" s="166">
        <f>BS35/BN35-1</f>
        <v>-9.9999999999996758E-3</v>
      </c>
      <c r="BT36" s="148"/>
      <c r="BU36" s="356"/>
      <c r="BV36" s="824">
        <f>+BV35/BY35-1</f>
        <v>5.731093990697822E-2</v>
      </c>
      <c r="BW36" s="824">
        <f>+BW35/BV35-1</f>
        <v>4.628149357569078E-2</v>
      </c>
      <c r="BX36" s="824">
        <f>+BX35/BW35-1</f>
        <v>-2.5502908881918196E-2</v>
      </c>
      <c r="BY36" s="824">
        <f>+BY35/BX35-1</f>
        <v>-7.238410158017583E-2</v>
      </c>
      <c r="BZ36" s="531"/>
      <c r="CA36" s="531"/>
      <c r="CB36" s="763" t="s">
        <v>460</v>
      </c>
      <c r="CC36" s="755">
        <f>+CC35/BC35-1</f>
        <v>-2.2492937385636735E-2</v>
      </c>
      <c r="CD36" s="755">
        <f>+CD35/CC35-1</f>
        <v>4.3387186413880174E-2</v>
      </c>
      <c r="CE36" s="755">
        <f>+CE35/CD35-1</f>
        <v>7.4071011945499921E-2</v>
      </c>
      <c r="CF36" s="755">
        <f>+CF35/CE35-1</f>
        <v>-2.9781632181773876E-2</v>
      </c>
      <c r="CG36" s="723"/>
      <c r="CH36" s="356"/>
      <c r="CI36" s="148"/>
      <c r="CJ36"/>
      <c r="CK36"/>
      <c r="CL36"/>
      <c r="CM36"/>
      <c r="CN36"/>
      <c r="CO36"/>
      <c r="CP36" s="391"/>
    </row>
    <row r="37" spans="1:94" s="140" customFormat="1" ht="12.75" customHeight="1" x14ac:dyDescent="0.2">
      <c r="A37" s="10" t="s">
        <v>81</v>
      </c>
      <c r="B37" s="11"/>
      <c r="C37" s="11"/>
      <c r="D37" s="11"/>
      <c r="E37" s="11"/>
      <c r="F37" s="869">
        <v>76.431999999999988</v>
      </c>
      <c r="G37" s="854">
        <v>25.59</v>
      </c>
      <c r="H37" s="854">
        <v>30.841999999999999</v>
      </c>
      <c r="I37" s="854">
        <v>38.388999999999996</v>
      </c>
      <c r="J37" s="854">
        <v>34.988</v>
      </c>
      <c r="K37" s="12">
        <f>SUM(G37:J37)</f>
        <v>129.809</v>
      </c>
      <c r="L37" s="854">
        <v>36.4</v>
      </c>
      <c r="M37" s="854">
        <v>43.072000000000003</v>
      </c>
      <c r="N37" s="854">
        <v>42.288999999999994</v>
      </c>
      <c r="O37" s="854">
        <v>42.094999999999999</v>
      </c>
      <c r="P37" s="12">
        <f>SUM(L37:O37)</f>
        <v>163.85599999999999</v>
      </c>
      <c r="Q37" s="854">
        <v>47.142000000000003</v>
      </c>
      <c r="R37" s="854">
        <v>50.987000000000002</v>
      </c>
      <c r="S37" s="854">
        <v>65.421999999999997</v>
      </c>
      <c r="T37" s="854">
        <v>79.745000000000005</v>
      </c>
      <c r="U37" s="12">
        <f>SUM(Q37:T37)</f>
        <v>243.29599999999999</v>
      </c>
      <c r="V37" s="854">
        <v>79.382000000000005</v>
      </c>
      <c r="W37" s="854">
        <v>95.472999999999999</v>
      </c>
      <c r="X37" s="854">
        <v>102.032</v>
      </c>
      <c r="Y37" s="854">
        <v>104.649</v>
      </c>
      <c r="Z37" s="12">
        <f>SUM(V37:Y37)</f>
        <v>381.536</v>
      </c>
      <c r="AA37" s="854">
        <v>121.417</v>
      </c>
      <c r="AB37" s="854">
        <v>134.49600000000001</v>
      </c>
      <c r="AC37" s="854">
        <v>140.136</v>
      </c>
      <c r="AD37" s="854">
        <v>139.547</v>
      </c>
      <c r="AE37" s="12">
        <f>SUM(AA37:AD37)</f>
        <v>535.596</v>
      </c>
      <c r="AF37" s="854">
        <v>151.54</v>
      </c>
      <c r="AG37" s="854">
        <v>166.22</v>
      </c>
      <c r="AH37" s="854">
        <v>177.126</v>
      </c>
      <c r="AI37" s="854">
        <v>173.48099999999999</v>
      </c>
      <c r="AJ37" s="12">
        <f>SUM(AF37:AI37)</f>
        <v>668.36699999999996</v>
      </c>
      <c r="AK37" s="854">
        <v>184.10900000000001</v>
      </c>
      <c r="AL37" s="854">
        <v>196.85</v>
      </c>
      <c r="AM37" s="854">
        <v>202.73099999999999</v>
      </c>
      <c r="AN37" s="854">
        <v>202.91800000000001</v>
      </c>
      <c r="AO37" s="12">
        <f>SUM(AK37:AN37)</f>
        <v>786.60800000000006</v>
      </c>
      <c r="AP37" s="854">
        <v>219.88900000000001</v>
      </c>
      <c r="AQ37" s="854">
        <v>244.84800000000001</v>
      </c>
      <c r="AR37" s="854">
        <v>255.029</v>
      </c>
      <c r="AS37" s="854">
        <v>252.35900000000001</v>
      </c>
      <c r="AT37" s="12">
        <f>SUM(AP37:AS37)</f>
        <v>972.12500000000011</v>
      </c>
      <c r="AU37" s="854">
        <v>265.517</v>
      </c>
      <c r="AV37" s="854">
        <v>287.73200000000003</v>
      </c>
      <c r="AW37" s="854">
        <v>290.32499999999999</v>
      </c>
      <c r="AX37" s="854">
        <v>277.76100000000002</v>
      </c>
      <c r="AY37" s="12">
        <f>SUM(AU37:AX37)</f>
        <v>1121.335</v>
      </c>
      <c r="AZ37" s="854">
        <v>291.98399999999998</v>
      </c>
      <c r="BA37" s="854">
        <v>329.76</v>
      </c>
      <c r="BB37" s="854">
        <v>331.024</v>
      </c>
      <c r="BC37" s="854">
        <v>328.86399999999998</v>
      </c>
      <c r="BD37" s="12">
        <f>SUM(AZ37:BC37)</f>
        <v>1281.6319999999998</v>
      </c>
      <c r="BE37" s="11">
        <f t="shared" ref="BE37" si="132">BE39*BE5</f>
        <v>351.76406716763</v>
      </c>
      <c r="BF37" s="11">
        <f t="shared" ref="BF37:BH37" si="133">BF39*BF5</f>
        <v>402.18276226415088</v>
      </c>
      <c r="BG37" s="11">
        <f t="shared" si="133"/>
        <v>415.53847852960547</v>
      </c>
      <c r="BH37" s="11">
        <f t="shared" si="133"/>
        <v>375.0375155470249</v>
      </c>
      <c r="BI37" s="12">
        <f>SUM(BE37:BH37)</f>
        <v>1544.5228235084112</v>
      </c>
      <c r="BJ37" s="11"/>
      <c r="BK37" s="11"/>
      <c r="BL37" s="11"/>
      <c r="BM37" s="11"/>
      <c r="BN37" s="12">
        <f>BN39*BN5</f>
        <v>1772.3399399759019</v>
      </c>
      <c r="BO37" s="11"/>
      <c r="BP37" s="11"/>
      <c r="BQ37" s="11"/>
      <c r="BR37" s="11"/>
      <c r="BS37" s="12">
        <f>BS39*BS5</f>
        <v>2033.7600811223467</v>
      </c>
      <c r="BT37" s="250"/>
      <c r="BU37" s="360"/>
      <c r="BV37" s="825"/>
      <c r="BW37" s="825"/>
      <c r="BX37" s="825"/>
      <c r="BY37" s="825"/>
      <c r="BZ37" s="538"/>
      <c r="CA37" s="531"/>
      <c r="CB37" s="761" t="s">
        <v>461</v>
      </c>
      <c r="CC37" s="762">
        <f t="shared" ref="CC37:CF38" si="134">+BV35</f>
        <v>66.32494313896801</v>
      </c>
      <c r="CD37" s="762">
        <f t="shared" si="134"/>
        <v>69.394560568762216</v>
      </c>
      <c r="CE37" s="762">
        <f t="shared" si="134"/>
        <v>67.624797413676319</v>
      </c>
      <c r="CF37" s="762">
        <f t="shared" si="134"/>
        <v>62.729837208345963</v>
      </c>
      <c r="CG37" s="721"/>
      <c r="CH37" s="360"/>
      <c r="CI37" s="250"/>
      <c r="CJ37"/>
      <c r="CK37"/>
      <c r="CL37"/>
      <c r="CM37"/>
      <c r="CN37"/>
      <c r="CO37"/>
      <c r="CP37" s="11"/>
    </row>
    <row r="38" spans="1:94" s="265" customFormat="1" ht="12.75" customHeight="1" x14ac:dyDescent="0.2">
      <c r="A38" s="117" t="s">
        <v>21</v>
      </c>
      <c r="B38" s="30"/>
      <c r="C38" s="30"/>
      <c r="D38" s="30"/>
      <c r="E38" s="30"/>
      <c r="F38" s="172"/>
      <c r="G38" s="18"/>
      <c r="H38" s="18"/>
      <c r="I38" s="18"/>
      <c r="J38" s="18"/>
      <c r="K38" s="166"/>
      <c r="L38" s="18">
        <f t="shared" ref="L38:Z38" si="135">L37/G37-1</f>
        <v>0.42243063696756544</v>
      </c>
      <c r="M38" s="18">
        <f t="shared" si="135"/>
        <v>0.39653718954672224</v>
      </c>
      <c r="N38" s="18">
        <f t="shared" si="135"/>
        <v>0.10159160176092108</v>
      </c>
      <c r="O38" s="18">
        <f t="shared" si="135"/>
        <v>0.20312678632674053</v>
      </c>
      <c r="P38" s="166">
        <f t="shared" si="135"/>
        <v>0.26228535771787787</v>
      </c>
      <c r="Q38" s="18">
        <f>Q37/L37-1</f>
        <v>0.2951098901098903</v>
      </c>
      <c r="R38" s="18">
        <f>R37/M37-1</f>
        <v>0.18376207280832091</v>
      </c>
      <c r="S38" s="18">
        <f t="shared" si="135"/>
        <v>0.54702168412589569</v>
      </c>
      <c r="T38" s="18">
        <f t="shared" si="135"/>
        <v>0.89440551134339019</v>
      </c>
      <c r="U38" s="166">
        <f t="shared" si="135"/>
        <v>0.4848159359437556</v>
      </c>
      <c r="V38" s="18">
        <f>V37/Q37-1</f>
        <v>0.68389122226464716</v>
      </c>
      <c r="W38" s="18">
        <f>W37/R37-1</f>
        <v>0.87249691097730775</v>
      </c>
      <c r="X38" s="18">
        <f t="shared" si="135"/>
        <v>0.55959768885084538</v>
      </c>
      <c r="Y38" s="18">
        <f t="shared" si="135"/>
        <v>0.31229544172048396</v>
      </c>
      <c r="Z38" s="166">
        <f t="shared" si="135"/>
        <v>0.56819676443509137</v>
      </c>
      <c r="AA38" s="18">
        <f t="shared" ref="AA38:AL38" si="136">AA37/V37-1</f>
        <v>0.52952810460809752</v>
      </c>
      <c r="AB38" s="18">
        <f t="shared" si="136"/>
        <v>0.40873335916960829</v>
      </c>
      <c r="AC38" s="18">
        <f t="shared" si="136"/>
        <v>0.37345146620668035</v>
      </c>
      <c r="AD38" s="18">
        <f t="shared" si="136"/>
        <v>0.33347666962895017</v>
      </c>
      <c r="AE38" s="166">
        <f t="shared" si="136"/>
        <v>0.4037888954122284</v>
      </c>
      <c r="AF38" s="18">
        <f t="shared" si="136"/>
        <v>0.24809540673875974</v>
      </c>
      <c r="AG38" s="18">
        <f t="shared" si="136"/>
        <v>0.23587318581965255</v>
      </c>
      <c r="AH38" s="18">
        <f>AH37/AC37-1</f>
        <v>0.26395786949820188</v>
      </c>
      <c r="AI38" s="18">
        <f t="shared" si="136"/>
        <v>0.24317255118347214</v>
      </c>
      <c r="AJ38" s="166">
        <f t="shared" si="136"/>
        <v>0.24789393498084378</v>
      </c>
      <c r="AK38" s="18">
        <f t="shared" si="136"/>
        <v>0.21492015309489254</v>
      </c>
      <c r="AL38" s="18">
        <f t="shared" si="136"/>
        <v>0.18427385392852846</v>
      </c>
      <c r="AM38" s="18">
        <f t="shared" ref="AM38:AR38" si="137">AM37/AH37-1</f>
        <v>0.14455811117509554</v>
      </c>
      <c r="AN38" s="18">
        <f t="shared" si="137"/>
        <v>0.16968428819294346</v>
      </c>
      <c r="AO38" s="166">
        <f t="shared" si="137"/>
        <v>0.17691029030457828</v>
      </c>
      <c r="AP38" s="18">
        <f t="shared" si="137"/>
        <v>0.19434139558631025</v>
      </c>
      <c r="AQ38" s="18">
        <f t="shared" si="137"/>
        <v>0.24383032766065549</v>
      </c>
      <c r="AR38" s="18">
        <f t="shared" si="137"/>
        <v>0.25796745441003099</v>
      </c>
      <c r="AS38" s="18">
        <f t="shared" ref="AS38:AW38" si="138">AS37/AN37-1</f>
        <v>0.24365014439330168</v>
      </c>
      <c r="AT38" s="166">
        <f t="shared" si="138"/>
        <v>0.23584428330248364</v>
      </c>
      <c r="AU38" s="18">
        <f t="shared" si="138"/>
        <v>0.20750469555093698</v>
      </c>
      <c r="AV38" s="18">
        <f t="shared" si="138"/>
        <v>0.17514539632751758</v>
      </c>
      <c r="AW38" s="18">
        <f t="shared" si="138"/>
        <v>0.13839994667273126</v>
      </c>
      <c r="AX38" s="18">
        <f t="shared" ref="AX38" si="139">AX37/AS37-1</f>
        <v>0.10065818932552451</v>
      </c>
      <c r="AY38" s="166">
        <f t="shared" ref="AY38:BI38" si="140">AY37/AT37-1</f>
        <v>0.15348849170631329</v>
      </c>
      <c r="AZ38" s="18">
        <f t="shared" si="140"/>
        <v>9.9680999709999663E-2</v>
      </c>
      <c r="BA38" s="18">
        <f t="shared" si="140"/>
        <v>0.14606647852863075</v>
      </c>
      <c r="BB38" s="18">
        <f t="shared" si="140"/>
        <v>0.14018427624214258</v>
      </c>
      <c r="BC38" s="18">
        <f t="shared" ref="BC38" si="141">BC37/AX37-1</f>
        <v>0.18398191250751528</v>
      </c>
      <c r="BD38" s="166">
        <f t="shared" ref="BD38" si="142">BD37/AY37-1</f>
        <v>0.14295192783601673</v>
      </c>
      <c r="BE38" s="18">
        <f t="shared" si="140"/>
        <v>0.2047374759152214</v>
      </c>
      <c r="BF38" s="18">
        <f t="shared" si="140"/>
        <v>0.21962264150943378</v>
      </c>
      <c r="BG38" s="18">
        <f t="shared" si="140"/>
        <v>0.25531223877907783</v>
      </c>
      <c r="BH38" s="18">
        <f t="shared" si="140"/>
        <v>0.14040307101727434</v>
      </c>
      <c r="BI38" s="166">
        <f t="shared" si="140"/>
        <v>0.20512192541104723</v>
      </c>
      <c r="BJ38" s="18"/>
      <c r="BK38" s="18"/>
      <c r="BL38" s="18"/>
      <c r="BM38" s="18"/>
      <c r="BN38" s="166">
        <f>BN37/BI37-1</f>
        <v>0.14749999999999996</v>
      </c>
      <c r="BO38" s="18"/>
      <c r="BP38" s="18"/>
      <c r="BQ38" s="18"/>
      <c r="BR38" s="18"/>
      <c r="BS38" s="166">
        <f>BS37/BN37-1</f>
        <v>0.14749999999999952</v>
      </c>
      <c r="BT38" s="24"/>
      <c r="BU38" s="362"/>
      <c r="BV38" s="826"/>
      <c r="BW38" s="826"/>
      <c r="BX38" s="826"/>
      <c r="BY38" s="826"/>
      <c r="BZ38" s="531"/>
      <c r="CA38" s="538"/>
      <c r="CB38" s="763" t="s">
        <v>460</v>
      </c>
      <c r="CC38" s="755">
        <f t="shared" si="134"/>
        <v>5.731093990697822E-2</v>
      </c>
      <c r="CD38" s="755">
        <f t="shared" si="134"/>
        <v>4.628149357569078E-2</v>
      </c>
      <c r="CE38" s="755">
        <f t="shared" si="134"/>
        <v>-2.5502908881918196E-2</v>
      </c>
      <c r="CF38" s="755">
        <f t="shared" si="134"/>
        <v>-7.238410158017583E-2</v>
      </c>
      <c r="CG38" s="322"/>
      <c r="CH38" s="362"/>
      <c r="CI38" s="24"/>
      <c r="CJ38"/>
      <c r="CK38"/>
      <c r="CL38"/>
      <c r="CM38"/>
      <c r="CN38"/>
      <c r="CO38"/>
      <c r="CP38" s="399"/>
    </row>
    <row r="39" spans="1:94" s="266" customFormat="1" ht="12.75" customHeight="1" x14ac:dyDescent="0.2">
      <c r="A39" s="476" t="s">
        <v>23</v>
      </c>
      <c r="B39" s="38"/>
      <c r="C39" s="38"/>
      <c r="D39" s="38"/>
      <c r="E39" s="38"/>
      <c r="F39" s="173"/>
      <c r="G39" s="38">
        <f t="shared" ref="G39:AQ39" si="143">G37/G5</f>
        <v>14.529824750667867</v>
      </c>
      <c r="H39" s="38">
        <f t="shared" si="143"/>
        <v>16.413281336478121</v>
      </c>
      <c r="I39" s="38">
        <f t="shared" si="143"/>
        <v>21.169427660598746</v>
      </c>
      <c r="J39" s="38">
        <f t="shared" si="143"/>
        <v>22.977228324221379</v>
      </c>
      <c r="K39" s="173">
        <f t="shared" si="143"/>
        <v>18.606781257189379</v>
      </c>
      <c r="L39" s="38">
        <f t="shared" si="143"/>
        <v>24.550304518200274</v>
      </c>
      <c r="M39" s="38">
        <f t="shared" si="143"/>
        <v>26.42899875745908</v>
      </c>
      <c r="N39" s="38">
        <f t="shared" si="143"/>
        <v>24.998315278239186</v>
      </c>
      <c r="O39" s="38">
        <f t="shared" si="143"/>
        <v>28.936064324056424</v>
      </c>
      <c r="P39" s="173">
        <f t="shared" si="143"/>
        <v>26.179981300013356</v>
      </c>
      <c r="Q39" s="38">
        <f t="shared" si="143"/>
        <v>30.901723055220884</v>
      </c>
      <c r="R39" s="38">
        <f t="shared" si="143"/>
        <v>31.643943418615851</v>
      </c>
      <c r="S39" s="38">
        <f t="shared" si="143"/>
        <v>34.257055156257039</v>
      </c>
      <c r="T39" s="38">
        <f t="shared" si="143"/>
        <v>41.857113163535892</v>
      </c>
      <c r="U39" s="173">
        <f t="shared" si="143"/>
        <v>34.997917064649251</v>
      </c>
      <c r="V39" s="38">
        <f t="shared" si="143"/>
        <v>42.620475782429509</v>
      </c>
      <c r="W39" s="38">
        <f t="shared" si="143"/>
        <v>43.396818181818176</v>
      </c>
      <c r="X39" s="38">
        <f t="shared" si="143"/>
        <v>44.652954048140039</v>
      </c>
      <c r="Y39" s="38">
        <f t="shared" si="143"/>
        <v>48.225345622119818</v>
      </c>
      <c r="Z39" s="173">
        <f t="shared" si="143"/>
        <v>44.794196253093034</v>
      </c>
      <c r="AA39" s="38">
        <f t="shared" si="143"/>
        <v>51.688803746275006</v>
      </c>
      <c r="AB39" s="38">
        <f t="shared" si="143"/>
        <v>51.471871412169925</v>
      </c>
      <c r="AC39" s="38">
        <f t="shared" si="143"/>
        <v>49.799573560767591</v>
      </c>
      <c r="AD39" s="38">
        <f t="shared" si="143"/>
        <v>52.718927087268611</v>
      </c>
      <c r="AE39" s="173">
        <f t="shared" si="143"/>
        <v>51.385973328216444</v>
      </c>
      <c r="AF39" s="38">
        <f t="shared" si="143"/>
        <v>54.747109826589593</v>
      </c>
      <c r="AG39" s="38">
        <f t="shared" si="143"/>
        <v>53.429765348762452</v>
      </c>
      <c r="AH39" s="38">
        <f t="shared" si="143"/>
        <v>52.497332542975698</v>
      </c>
      <c r="AI39" s="38">
        <f t="shared" si="143"/>
        <v>54.881683011705157</v>
      </c>
      <c r="AJ39" s="173">
        <f t="shared" si="143"/>
        <v>53.839777670372158</v>
      </c>
      <c r="AK39" s="38">
        <f t="shared" si="143"/>
        <v>56.405943627450988</v>
      </c>
      <c r="AL39" s="38">
        <f t="shared" si="143"/>
        <v>55.155505743905856</v>
      </c>
      <c r="AM39" s="38">
        <f t="shared" si="143"/>
        <v>54.032782515991471</v>
      </c>
      <c r="AN39" s="38">
        <f t="shared" si="143"/>
        <v>54.709625235912647</v>
      </c>
      <c r="AO39" s="173">
        <f t="shared" si="143"/>
        <v>55.030642227508046</v>
      </c>
      <c r="AP39" s="38">
        <f t="shared" si="143"/>
        <v>55.24849246231156</v>
      </c>
      <c r="AQ39" s="38">
        <f t="shared" si="143"/>
        <v>54.241914045192736</v>
      </c>
      <c r="AR39" s="38">
        <f>AR37/AR5</f>
        <v>53.398031825795648</v>
      </c>
      <c r="AS39" s="38">
        <f>AS37/AS5</f>
        <v>54.26288748684599</v>
      </c>
      <c r="AT39" s="173">
        <f>AT37/AT5</f>
        <v>54.24600659551087</v>
      </c>
      <c r="AU39" s="38">
        <f>AU37/AU5</f>
        <v>53.229447331280475</v>
      </c>
      <c r="AV39" s="38">
        <f t="shared" ref="AV39" si="144">AV37/AV5</f>
        <v>51.323131565067264</v>
      </c>
      <c r="AW39" s="38">
        <f>AW37/AW5</f>
        <v>51.16760662671836</v>
      </c>
      <c r="AX39" s="38">
        <f>AX37/AX5</f>
        <v>51.917943925233651</v>
      </c>
      <c r="AY39" s="173">
        <f>AY37/AY5</f>
        <v>51.869369130792634</v>
      </c>
      <c r="AZ39" s="38">
        <f>AZ37/AZ5</f>
        <v>52.420825852782755</v>
      </c>
      <c r="BA39" s="38">
        <f t="shared" ref="BA39" si="145">BA37/BA5</f>
        <v>53.135675153077663</v>
      </c>
      <c r="BB39" s="38">
        <f>BB37/BB5</f>
        <v>52.485175202156334</v>
      </c>
      <c r="BC39" s="38">
        <f>BC37/BC5</f>
        <v>53.912131147540983</v>
      </c>
      <c r="BD39" s="173">
        <f>BD37/BD5</f>
        <v>52.997229458710656</v>
      </c>
      <c r="BE39" s="155">
        <f t="shared" ref="BE39:BH39" si="146">AZ39*(1+BE40)</f>
        <v>53.600294434470364</v>
      </c>
      <c r="BF39" s="155">
        <f t="shared" si="146"/>
        <v>53.667031904608443</v>
      </c>
      <c r="BG39" s="155">
        <f t="shared" si="146"/>
        <v>54.059730458221026</v>
      </c>
      <c r="BH39" s="155">
        <f t="shared" si="146"/>
        <v>54.9903737704918</v>
      </c>
      <c r="BI39" s="176">
        <f>BI37/BI5</f>
        <v>54.073348908310088</v>
      </c>
      <c r="BJ39" s="155"/>
      <c r="BK39" s="155"/>
      <c r="BL39" s="155"/>
      <c r="BM39" s="155"/>
      <c r="BN39" s="176">
        <f>BI39*(1+BN40)</f>
        <v>55.154815886476293</v>
      </c>
      <c r="BO39" s="155"/>
      <c r="BP39" s="155"/>
      <c r="BQ39" s="155"/>
      <c r="BR39" s="155"/>
      <c r="BS39" s="176">
        <f>BN39*(1+BS40)</f>
        <v>56.257912204205816</v>
      </c>
      <c r="BT39" s="38"/>
      <c r="BU39" s="88"/>
      <c r="BV39" s="823">
        <f>AVERAGE(AF39,AK39,AP39)</f>
        <v>55.46718197211738</v>
      </c>
      <c r="BW39" s="823">
        <f t="shared" ref="BW39" si="147">AVERAGE(AG39,AL39,AQ39)</f>
        <v>54.275728379287017</v>
      </c>
      <c r="BX39" s="823">
        <f t="shared" ref="BX39" si="148">AVERAGE(AH39,AM39,AR39)</f>
        <v>53.309382294920937</v>
      </c>
      <c r="BY39" s="823">
        <f t="shared" ref="BY39" si="149">AVERAGE(AI39,AN39,AS39)</f>
        <v>54.61806524482126</v>
      </c>
      <c r="BZ39" s="531"/>
      <c r="CA39" s="538"/>
      <c r="CB39" s="538"/>
      <c r="CC39" s="532"/>
      <c r="CD39" s="532"/>
      <c r="CE39" s="538"/>
      <c r="CF39" s="538"/>
      <c r="CG39" s="327"/>
      <c r="CH39" s="88"/>
      <c r="CI39" s="38"/>
      <c r="CJ39"/>
      <c r="CK39"/>
      <c r="CL39"/>
      <c r="CM39"/>
      <c r="CN39"/>
      <c r="CO39"/>
      <c r="CP39" s="400"/>
    </row>
    <row r="40" spans="1:94" s="265" customFormat="1" ht="12.75" customHeight="1" x14ac:dyDescent="0.2">
      <c r="A40" s="120" t="s">
        <v>21</v>
      </c>
      <c r="B40" s="30"/>
      <c r="C40" s="30"/>
      <c r="D40" s="30"/>
      <c r="E40" s="30"/>
      <c r="F40" s="172"/>
      <c r="G40" s="18"/>
      <c r="H40" s="18"/>
      <c r="I40" s="18"/>
      <c r="J40" s="18"/>
      <c r="K40" s="166"/>
      <c r="L40" s="18">
        <f t="shared" ref="L40:U40" si="150">L39/G39-1</f>
        <v>0.68964904529022708</v>
      </c>
      <c r="M40" s="18">
        <f t="shared" si="150"/>
        <v>0.61022029755386376</v>
      </c>
      <c r="N40" s="18">
        <f t="shared" si="150"/>
        <v>0.18086873575552054</v>
      </c>
      <c r="O40" s="18">
        <f t="shared" si="150"/>
        <v>0.25933658819734817</v>
      </c>
      <c r="P40" s="166">
        <f t="shared" si="150"/>
        <v>0.40701290234697662</v>
      </c>
      <c r="Q40" s="18">
        <f>Q39/L39-1</f>
        <v>0.25871037698583366</v>
      </c>
      <c r="R40" s="18">
        <f>R39/M39-1</f>
        <v>0.19731903993089994</v>
      </c>
      <c r="S40" s="18">
        <f t="shared" si="150"/>
        <v>0.37037455424356147</v>
      </c>
      <c r="T40" s="18">
        <f t="shared" si="150"/>
        <v>0.4465378807143916</v>
      </c>
      <c r="U40" s="166">
        <f t="shared" si="150"/>
        <v>0.33681978850884042</v>
      </c>
      <c r="V40" s="18">
        <f t="shared" ref="V40:AL40" si="151">V39/Q39-1</f>
        <v>0.37922651453018985</v>
      </c>
      <c r="W40" s="18">
        <f t="shared" si="151"/>
        <v>0.37140992852010379</v>
      </c>
      <c r="X40" s="18">
        <f t="shared" si="151"/>
        <v>0.3034673834182211</v>
      </c>
      <c r="Y40" s="18">
        <f t="shared" si="151"/>
        <v>0.15214218031958437</v>
      </c>
      <c r="Z40" s="166">
        <f t="shared" si="151"/>
        <v>0.27991034924586478</v>
      </c>
      <c r="AA40" s="18">
        <f t="shared" si="151"/>
        <v>0.21276928043079146</v>
      </c>
      <c r="AB40" s="18">
        <f t="shared" si="151"/>
        <v>0.18607477618566359</v>
      </c>
      <c r="AC40" s="18">
        <f t="shared" si="151"/>
        <v>0.11525820905553119</v>
      </c>
      <c r="AD40" s="18">
        <f t="shared" si="151"/>
        <v>9.3178833809906214E-2</v>
      </c>
      <c r="AE40" s="166">
        <f t="shared" si="151"/>
        <v>0.14715694501758692</v>
      </c>
      <c r="AF40" s="18">
        <f t="shared" si="151"/>
        <v>5.9167669952798763E-2</v>
      </c>
      <c r="AG40" s="18">
        <f t="shared" si="151"/>
        <v>3.8038133894809256E-2</v>
      </c>
      <c r="AH40" s="18">
        <f>AH39/AC39-1</f>
        <v>5.4172330992276141E-2</v>
      </c>
      <c r="AI40" s="18">
        <f t="shared" si="151"/>
        <v>4.1024278071069453E-2</v>
      </c>
      <c r="AJ40" s="166">
        <f t="shared" si="151"/>
        <v>4.775241536211805E-2</v>
      </c>
      <c r="AK40" s="18">
        <f t="shared" si="151"/>
        <v>3.0299933752041319E-2</v>
      </c>
      <c r="AL40" s="18">
        <f t="shared" si="151"/>
        <v>3.2299232157930069E-2</v>
      </c>
      <c r="AM40" s="18">
        <f t="shared" ref="AM40:AR40" si="152">AM39/AH39-1</f>
        <v>2.9248152213425582E-2</v>
      </c>
      <c r="AN40" s="18">
        <f t="shared" si="152"/>
        <v>-3.1350674095729225E-3</v>
      </c>
      <c r="AO40" s="166">
        <f t="shared" si="152"/>
        <v>2.2118675237234875E-2</v>
      </c>
      <c r="AP40" s="18">
        <f t="shared" si="152"/>
        <v>-2.052002130811148E-2</v>
      </c>
      <c r="AQ40" s="18">
        <f t="shared" si="152"/>
        <v>-1.6563925693203529E-2</v>
      </c>
      <c r="AR40" s="18">
        <f t="shared" si="152"/>
        <v>-1.1747510689606999E-2</v>
      </c>
      <c r="AS40" s="18">
        <f>AS39/AN39-1</f>
        <v>-8.1656152302320706E-3</v>
      </c>
      <c r="AT40" s="166">
        <f>AT39/AO39-1</f>
        <v>-1.4258158731881188E-2</v>
      </c>
      <c r="AU40" s="18">
        <f>AU39/AP39-1</f>
        <v>-3.654480042886965E-2</v>
      </c>
      <c r="AV40" s="18">
        <f t="shared" ref="AV40:AW40" si="153">AV39/AQ39-1</f>
        <v>-5.3810462471763576E-2</v>
      </c>
      <c r="AW40" s="18">
        <f t="shared" si="153"/>
        <v>-4.1769801672724038E-2</v>
      </c>
      <c r="AX40" s="18">
        <f>AX39/AS39-1</f>
        <v>-4.3214500190038474E-2</v>
      </c>
      <c r="AY40" s="166">
        <f>AY39/AT39-1</f>
        <v>-4.3812210591644085E-2</v>
      </c>
      <c r="AZ40" s="18">
        <f>AZ39/AU39-1</f>
        <v>-1.5191243175326608E-2</v>
      </c>
      <c r="BA40" s="18">
        <f t="shared" ref="BA40:BB40" si="154">BA39/AV39-1</f>
        <v>3.5316309288579983E-2</v>
      </c>
      <c r="BB40" s="18">
        <f t="shared" si="154"/>
        <v>2.5750052861569062E-2</v>
      </c>
      <c r="BC40" s="18">
        <f>BC39/AX39-1</f>
        <v>3.8410365887738829E-2</v>
      </c>
      <c r="BD40" s="166">
        <f>BD39/AY39-1</f>
        <v>2.1744246109375975E-2</v>
      </c>
      <c r="BE40" s="139">
        <v>2.2499999999999999E-2</v>
      </c>
      <c r="BF40" s="139">
        <v>0.01</v>
      </c>
      <c r="BG40" s="139">
        <v>0.03</v>
      </c>
      <c r="BH40" s="139">
        <v>0.02</v>
      </c>
      <c r="BI40" s="166">
        <f>BI39/BD39-1</f>
        <v>2.030520199999919E-2</v>
      </c>
      <c r="BJ40" s="18"/>
      <c r="BK40" s="18"/>
      <c r="BL40" s="139"/>
      <c r="BM40" s="139"/>
      <c r="BN40" s="801">
        <v>0.02</v>
      </c>
      <c r="BO40" s="18"/>
      <c r="BP40" s="18"/>
      <c r="BQ40" s="139"/>
      <c r="BR40" s="139"/>
      <c r="BS40" s="801">
        <v>0.02</v>
      </c>
      <c r="BT40" s="24"/>
      <c r="BU40" s="362"/>
      <c r="BV40" s="824">
        <f>+BV39/BY39-1</f>
        <v>1.5546444633108392E-2</v>
      </c>
      <c r="BW40" s="824">
        <f>+BW39/BV39-1</f>
        <v>-2.1480333964492559E-2</v>
      </c>
      <c r="BX40" s="824">
        <f>+BX39/BW39-1</f>
        <v>-1.7804387213619766E-2</v>
      </c>
      <c r="BY40" s="824">
        <f>+BY39/BX39-1</f>
        <v>2.4548829747460976E-2</v>
      </c>
      <c r="BZ40" s="532"/>
      <c r="CA40" s="538"/>
      <c r="CB40" s="538"/>
      <c r="CC40" s="538"/>
      <c r="CD40" s="538"/>
      <c r="CE40" s="538"/>
      <c r="CF40" s="538"/>
      <c r="CG40" s="322"/>
      <c r="CH40" s="362"/>
      <c r="CI40" s="24"/>
      <c r="CJ40"/>
      <c r="CK40"/>
      <c r="CL40"/>
      <c r="CM40"/>
      <c r="CN40"/>
      <c r="CO40"/>
      <c r="CP40" s="399"/>
    </row>
    <row r="41" spans="1:94" s="265" customFormat="1" ht="12.75" customHeight="1" x14ac:dyDescent="0.2">
      <c r="A41" s="123" t="s">
        <v>25</v>
      </c>
      <c r="B41" s="18"/>
      <c r="C41" s="18"/>
      <c r="D41" s="18"/>
      <c r="E41" s="18"/>
      <c r="F41" s="166"/>
      <c r="G41" s="18"/>
      <c r="H41" s="18"/>
      <c r="I41" s="18"/>
      <c r="J41" s="18"/>
      <c r="K41" s="166"/>
      <c r="L41" s="18">
        <f>L39/J39-1</f>
        <v>6.8462399893578274E-2</v>
      </c>
      <c r="M41" s="18">
        <f>M39/L39-1</f>
        <v>7.6524274387963054E-2</v>
      </c>
      <c r="N41" s="18">
        <f>N39/M39-1</f>
        <v>-5.4133094195106812E-2</v>
      </c>
      <c r="O41" s="18">
        <f>O39/N39-1</f>
        <v>0.15752057696644117</v>
      </c>
      <c r="P41" s="166"/>
      <c r="Q41" s="18">
        <f>Q39/O39-1</f>
        <v>6.7931101795702054E-2</v>
      </c>
      <c r="R41" s="18">
        <f>R39/Q39-1</f>
        <v>2.4018737145130364E-2</v>
      </c>
      <c r="S41" s="18">
        <f>S39/R39-1</f>
        <v>8.2578574454911902E-2</v>
      </c>
      <c r="T41" s="18">
        <f>T39/S39-1</f>
        <v>0.22185380420507927</v>
      </c>
      <c r="U41" s="166"/>
      <c r="V41" s="18">
        <f>V39/T39-1</f>
        <v>1.8237345129635596E-2</v>
      </c>
      <c r="W41" s="18">
        <f>W39/V39-1</f>
        <v>1.8215244788720053E-2</v>
      </c>
      <c r="X41" s="18">
        <f>X39/W39-1</f>
        <v>2.8945344819038876E-2</v>
      </c>
      <c r="Y41" s="18">
        <f>Y39/X39-1</f>
        <v>8.0003476816526087E-2</v>
      </c>
      <c r="Z41" s="166"/>
      <c r="AA41" s="18">
        <f>AA39/Y39-1</f>
        <v>7.1818212590820441E-2</v>
      </c>
      <c r="AB41" s="18">
        <f>AB39/AA39-1</f>
        <v>-4.1968921387683933E-3</v>
      </c>
      <c r="AC41" s="18">
        <f>AC39/AB39-1</f>
        <v>-3.2489548281839586E-2</v>
      </c>
      <c r="AD41" s="18">
        <f>AD39/AC39-1</f>
        <v>5.8622058739894678E-2</v>
      </c>
      <c r="AE41" s="166"/>
      <c r="AF41" s="18">
        <f>AF39/AD39-1</f>
        <v>3.8471623976026992E-2</v>
      </c>
      <c r="AG41" s="18">
        <f>AG39/AF39-1</f>
        <v>-2.4062356570050958E-2</v>
      </c>
      <c r="AH41" s="18">
        <f>AH39/AG39-1</f>
        <v>-1.7451560936124322E-2</v>
      </c>
      <c r="AI41" s="18">
        <f>AI39/AH39-1</f>
        <v>4.5418507059907576E-2</v>
      </c>
      <c r="AJ41" s="166"/>
      <c r="AK41" s="18">
        <f>AK39/AI39-1</f>
        <v>2.7773576393798516E-2</v>
      </c>
      <c r="AL41" s="18">
        <f>AL39/AK39-1</f>
        <v>-2.2168548261580434E-2</v>
      </c>
      <c r="AM41" s="18">
        <f>AM39/AL39-1</f>
        <v>-2.0355596649359597E-2</v>
      </c>
      <c r="AN41" s="18">
        <f>AN39/AM39-1</f>
        <v>1.2526519797881219E-2</v>
      </c>
      <c r="AO41" s="166"/>
      <c r="AP41" s="18">
        <f>AP39/AN39-1</f>
        <v>9.8495872357975411E-3</v>
      </c>
      <c r="AQ41" s="18">
        <f>AQ39/AP39-1</f>
        <v>-1.821911100661211E-2</v>
      </c>
      <c r="AR41" s="18">
        <f>AR39/AQ39-1</f>
        <v>-1.5557751496268923E-2</v>
      </c>
      <c r="AS41" s="18">
        <f>AS39/AR39-1</f>
        <v>1.6196395849791267E-2</v>
      </c>
      <c r="AT41" s="166"/>
      <c r="AU41" s="18">
        <f>AU39/AS39-1</f>
        <v>-1.9045063825916642E-2</v>
      </c>
      <c r="AV41" s="18">
        <f>AV39/AU39-1</f>
        <v>-3.5813179767751557E-2</v>
      </c>
      <c r="AW41" s="18">
        <f>AW39/AV39-1</f>
        <v>-3.0303088218950336E-3</v>
      </c>
      <c r="AX41" s="18">
        <f>AX39/AW39-1</f>
        <v>1.4664303218034025E-2</v>
      </c>
      <c r="AY41" s="166"/>
      <c r="AZ41" s="18">
        <f>AZ39/AX39-1</f>
        <v>9.6860909644900239E-3</v>
      </c>
      <c r="BA41" s="18">
        <f>BA39/AZ39-1</f>
        <v>1.3636742433293048E-2</v>
      </c>
      <c r="BB41" s="18">
        <f>BB39/BA39-1</f>
        <v>-1.2242244952140213E-2</v>
      </c>
      <c r="BC41" s="18">
        <f>BC39/BB39-1</f>
        <v>2.71877904548945E-2</v>
      </c>
      <c r="BD41" s="166"/>
      <c r="BE41" s="18">
        <f>BE39/BC39-1</f>
        <v>-5.7841659461990158E-3</v>
      </c>
      <c r="BF41" s="18">
        <f t="shared" ref="BF41:BH41" si="155">BF39/BE39-1</f>
        <v>1.2450952152822659E-3</v>
      </c>
      <c r="BG41" s="18">
        <f t="shared" si="155"/>
        <v>7.3173145537579476E-3</v>
      </c>
      <c r="BH41" s="18">
        <f t="shared" si="155"/>
        <v>1.7215093460186681E-2</v>
      </c>
      <c r="BI41" s="166"/>
      <c r="BJ41" s="18"/>
      <c r="BK41" s="18"/>
      <c r="BL41" s="139"/>
      <c r="BM41" s="139"/>
      <c r="BN41" s="214"/>
      <c r="BO41" s="18"/>
      <c r="BP41" s="18"/>
      <c r="BQ41" s="139"/>
      <c r="BR41" s="139"/>
      <c r="BS41" s="214"/>
      <c r="BT41" s="24"/>
      <c r="BU41" s="362"/>
      <c r="BV41" s="822">
        <f>AVERAGE(AK41,AP41,AU41,AA41,AZ41)</f>
        <v>2.0016480671797975E-2</v>
      </c>
      <c r="BW41" s="822">
        <f>AVERAGE(AL41,AQ41,AV41,AB41,BA41)</f>
        <v>-1.3352197748283889E-2</v>
      </c>
      <c r="BX41" s="822">
        <f>AVERAGE(AM41,AR41,AW41,AC41,BB41)</f>
        <v>-1.673509004030067E-2</v>
      </c>
      <c r="BY41" s="822">
        <f>AVERAGE(AN41,AS41,AX41,AD41,BC41)</f>
        <v>2.5839413612099137E-2</v>
      </c>
      <c r="BZ41" s="532"/>
      <c r="CA41" s="538"/>
      <c r="CB41" s="761" t="s">
        <v>459</v>
      </c>
      <c r="CC41" s="762">
        <f>+BE39</f>
        <v>53.600294434470364</v>
      </c>
      <c r="CD41" s="762">
        <f>+BF39</f>
        <v>53.667031904608443</v>
      </c>
      <c r="CE41" s="762">
        <f>+BG39</f>
        <v>54.059730458221026</v>
      </c>
      <c r="CF41" s="762">
        <f>+BH39</f>
        <v>54.9903737704918</v>
      </c>
      <c r="CG41" s="322"/>
      <c r="CH41" s="362"/>
      <c r="CI41" s="24"/>
      <c r="CJ41"/>
      <c r="CK41"/>
      <c r="CL41"/>
      <c r="CM41"/>
      <c r="CN41"/>
      <c r="CO41"/>
      <c r="CP41" s="399"/>
    </row>
    <row r="42" spans="1:94" s="260" customFormat="1" ht="12.75" customHeight="1" x14ac:dyDescent="0.2">
      <c r="A42" s="42" t="s">
        <v>24</v>
      </c>
      <c r="B42" s="18"/>
      <c r="C42" s="18"/>
      <c r="D42" s="18"/>
      <c r="E42" s="18"/>
      <c r="F42" s="166">
        <f t="shared" ref="F42:Z42" si="156">F37/F43</f>
        <v>0.10023132727301337</v>
      </c>
      <c r="G42" s="18">
        <f t="shared" si="156"/>
        <v>0.12539261756476658</v>
      </c>
      <c r="H42" s="18">
        <f t="shared" si="156"/>
        <v>0.15029042569780132</v>
      </c>
      <c r="I42" s="18">
        <f t="shared" si="156"/>
        <v>0.18888785014539672</v>
      </c>
      <c r="J42" s="18">
        <f t="shared" si="156"/>
        <v>0.19845267265632088</v>
      </c>
      <c r="K42" s="166">
        <f t="shared" si="156"/>
        <v>0.16455765203413636</v>
      </c>
      <c r="L42" s="18">
        <f t="shared" si="156"/>
        <v>0.21408238643047028</v>
      </c>
      <c r="M42" s="18">
        <f t="shared" si="156"/>
        <v>0.23874905075745398</v>
      </c>
      <c r="N42" s="18">
        <f t="shared" si="156"/>
        <v>0.2367699095225298</v>
      </c>
      <c r="O42" s="18">
        <f t="shared" si="156"/>
        <v>0.24617966817355097</v>
      </c>
      <c r="P42" s="166">
        <f t="shared" si="156"/>
        <v>0.23406796221908588</v>
      </c>
      <c r="Q42" s="18">
        <f t="shared" si="156"/>
        <v>0.25613552765266151</v>
      </c>
      <c r="R42" s="18">
        <f t="shared" si="156"/>
        <v>0.28747906787927313</v>
      </c>
      <c r="S42" s="18">
        <f t="shared" si="156"/>
        <v>0.32123935086297906</v>
      </c>
      <c r="T42" s="18">
        <f t="shared" si="156"/>
        <v>0.36884828862164659</v>
      </c>
      <c r="U42" s="166">
        <f t="shared" si="156"/>
        <v>0.31141290087230322</v>
      </c>
      <c r="V42" s="18">
        <f t="shared" si="156"/>
        <v>0.34119022444576252</v>
      </c>
      <c r="W42" s="18">
        <f t="shared" si="156"/>
        <v>0.3460533326567376</v>
      </c>
      <c r="X42" s="18">
        <f>X37/X43</f>
        <v>0.35340163622131243</v>
      </c>
      <c r="Y42" s="18">
        <f>Y37/Y43</f>
        <v>0.38204359682971978</v>
      </c>
      <c r="Z42" s="166">
        <f t="shared" si="156"/>
        <v>0.35618090602379049</v>
      </c>
      <c r="AA42" s="18">
        <f t="shared" ref="AA42:AI42" si="157">AA37/AA43</f>
        <v>0.40271646295958474</v>
      </c>
      <c r="AB42" s="18">
        <f t="shared" si="157"/>
        <v>0.38837104542776951</v>
      </c>
      <c r="AC42" s="18">
        <f t="shared" si="157"/>
        <v>0.40937493609724318</v>
      </c>
      <c r="AD42" s="18">
        <f t="shared" si="157"/>
        <v>0.42510083224682266</v>
      </c>
      <c r="AE42" s="166">
        <f t="shared" si="157"/>
        <v>0.4062506636892933</v>
      </c>
      <c r="AF42" s="18">
        <f t="shared" si="157"/>
        <v>0.40908440571541177</v>
      </c>
      <c r="AG42" s="18">
        <f t="shared" si="157"/>
        <v>0.40806306295247941</v>
      </c>
      <c r="AH42" s="18">
        <f t="shared" si="157"/>
        <v>0.38790254585272382</v>
      </c>
      <c r="AI42" s="18">
        <f t="shared" si="157"/>
        <v>0.41306573583755574</v>
      </c>
      <c r="AJ42" s="166">
        <f t="shared" ref="AJ42:AT42" si="158">AJ37/AJ43</f>
        <v>0.4039972557778268</v>
      </c>
      <c r="AK42" s="18">
        <f t="shared" si="158"/>
        <v>0.42035265886887058</v>
      </c>
      <c r="AL42" s="18">
        <f t="shared" si="158"/>
        <v>0.39422273935238128</v>
      </c>
      <c r="AM42" s="18">
        <f t="shared" si="158"/>
        <v>0.39004057571728978</v>
      </c>
      <c r="AN42" s="18">
        <f t="shared" si="158"/>
        <v>0.42765765974621012</v>
      </c>
      <c r="AO42" s="166">
        <f t="shared" si="158"/>
        <v>0.40723552739208319</v>
      </c>
      <c r="AP42" s="18">
        <f t="shared" si="158"/>
        <v>0.44570137122356113</v>
      </c>
      <c r="AQ42" s="18">
        <f t="shared" si="158"/>
        <v>0.44242629029256209</v>
      </c>
      <c r="AR42" s="18">
        <f t="shared" si="158"/>
        <v>0.44365137490192941</v>
      </c>
      <c r="AS42" s="18">
        <f t="shared" si="158"/>
        <v>0.48544953697825893</v>
      </c>
      <c r="AT42" s="166">
        <f t="shared" si="158"/>
        <v>0.45395367559467525</v>
      </c>
      <c r="AU42" s="18">
        <f>AU37/AU43</f>
        <v>0.49339487831301343</v>
      </c>
      <c r="AV42" s="18">
        <f t="shared" ref="AV42:AY42" si="159">AV37/AV43</f>
        <v>0.49257960087856706</v>
      </c>
      <c r="AW42" s="18">
        <f t="shared" si="159"/>
        <v>0.46726452491353215</v>
      </c>
      <c r="AX42" s="18">
        <f t="shared" si="159"/>
        <v>0.4802637152870835</v>
      </c>
      <c r="AY42" s="166">
        <f t="shared" si="159"/>
        <v>0.48292689439420899</v>
      </c>
      <c r="AZ42" s="18">
        <f>AZ37/AZ43</f>
        <v>0.49342792346716324</v>
      </c>
      <c r="BA42" s="18">
        <f t="shared" ref="BA42:BD42" si="160">BA37/BA43</f>
        <v>0.46995647601050045</v>
      </c>
      <c r="BB42" s="18">
        <f t="shared" si="160"/>
        <v>0.48167792197965459</v>
      </c>
      <c r="BC42" s="18">
        <f t="shared" si="160"/>
        <v>0.49304430088439849</v>
      </c>
      <c r="BD42" s="166">
        <f t="shared" si="160"/>
        <v>0.48406105603954569</v>
      </c>
      <c r="BE42" s="18">
        <f t="shared" ref="BE42:BH42" si="161">BE37/BE43</f>
        <v>0.49728107966377921</v>
      </c>
      <c r="BF42" s="18">
        <f t="shared" si="161"/>
        <v>0.48697699642527176</v>
      </c>
      <c r="BG42" s="18">
        <f t="shared" si="161"/>
        <v>0.47096539169580193</v>
      </c>
      <c r="BH42" s="18">
        <f t="shared" si="161"/>
        <v>0.48276519702970572</v>
      </c>
      <c r="BI42" s="166">
        <f>BI37/BI43</f>
        <v>0.4838100114948013</v>
      </c>
      <c r="BJ42" s="18"/>
      <c r="BK42" s="18"/>
      <c r="BL42" s="18"/>
      <c r="BM42" s="18"/>
      <c r="BN42" s="166">
        <f>BN37/BN43</f>
        <v>0.49126847826385978</v>
      </c>
      <c r="BO42" s="18"/>
      <c r="BP42" s="18"/>
      <c r="BQ42" s="18"/>
      <c r="BR42" s="18"/>
      <c r="BS42" s="166">
        <f>BS37/BS43</f>
        <v>0.49873083403250945</v>
      </c>
      <c r="BT42" s="148"/>
      <c r="BU42" s="356"/>
      <c r="BV42" s="824"/>
      <c r="BW42" s="824"/>
      <c r="BX42" s="824"/>
      <c r="BY42" s="824"/>
      <c r="BZ42" s="532"/>
      <c r="CA42" s="532"/>
      <c r="CB42" s="763" t="s">
        <v>460</v>
      </c>
      <c r="CC42" s="755">
        <f>+CC41/BC39-1</f>
        <v>-5.7841659461990158E-3</v>
      </c>
      <c r="CD42" s="755">
        <f>+CD41/CC41-1</f>
        <v>1.2450952152822659E-3</v>
      </c>
      <c r="CE42" s="755">
        <f>+CE41/CD41-1</f>
        <v>7.3173145537579476E-3</v>
      </c>
      <c r="CF42" s="755">
        <f>+CF41/CE41-1</f>
        <v>1.7215093460186681E-2</v>
      </c>
      <c r="CG42" s="322"/>
      <c r="CH42" s="356"/>
      <c r="CI42" s="148"/>
      <c r="CJ42"/>
      <c r="CK42"/>
      <c r="CL42"/>
      <c r="CM42"/>
      <c r="CN42"/>
      <c r="CO42"/>
      <c r="CP42" s="391"/>
    </row>
    <row r="43" spans="1:94" s="140" customFormat="1" ht="12.75" customHeight="1" x14ac:dyDescent="0.2">
      <c r="A43" s="10" t="s">
        <v>55</v>
      </c>
      <c r="B43" s="11"/>
      <c r="C43" s="11"/>
      <c r="D43" s="11"/>
      <c r="E43" s="11"/>
      <c r="F43" s="12">
        <f t="shared" ref="F43:AQ43" si="162">F37+F29</f>
        <v>762.55600000000004</v>
      </c>
      <c r="G43" s="11">
        <f t="shared" si="162"/>
        <v>204.07900000000001</v>
      </c>
      <c r="H43" s="11">
        <f t="shared" si="162"/>
        <v>205.21600000000001</v>
      </c>
      <c r="I43" s="11">
        <f t="shared" si="162"/>
        <v>203.23700000000002</v>
      </c>
      <c r="J43" s="11">
        <f t="shared" si="162"/>
        <v>176.304</v>
      </c>
      <c r="K43" s="12">
        <f t="shared" si="162"/>
        <v>788.83600000000001</v>
      </c>
      <c r="L43" s="11">
        <f t="shared" si="162"/>
        <v>170.02799999999999</v>
      </c>
      <c r="M43" s="11">
        <f t="shared" si="162"/>
        <v>180.40700000000001</v>
      </c>
      <c r="N43" s="11">
        <f t="shared" si="162"/>
        <v>178.60799999999998</v>
      </c>
      <c r="O43" s="11">
        <f t="shared" si="162"/>
        <v>170.99299999999999</v>
      </c>
      <c r="P43" s="12">
        <f t="shared" si="162"/>
        <v>700.03599999999994</v>
      </c>
      <c r="Q43" s="11">
        <f t="shared" si="162"/>
        <v>184.05099999999999</v>
      </c>
      <c r="R43" s="11">
        <f t="shared" si="162"/>
        <v>177.35900000000001</v>
      </c>
      <c r="S43" s="11">
        <f t="shared" si="162"/>
        <v>203.655</v>
      </c>
      <c r="T43" s="11">
        <f t="shared" si="162"/>
        <v>216.20000000000002</v>
      </c>
      <c r="U43" s="12">
        <f t="shared" si="162"/>
        <v>781.2650000000001</v>
      </c>
      <c r="V43" s="11">
        <f t="shared" si="162"/>
        <v>232.66200000000001</v>
      </c>
      <c r="W43" s="11">
        <f t="shared" si="162"/>
        <v>275.89100000000002</v>
      </c>
      <c r="X43" s="11">
        <f t="shared" si="162"/>
        <v>288.714</v>
      </c>
      <c r="Y43" s="11">
        <f t="shared" si="162"/>
        <v>273.91899999999998</v>
      </c>
      <c r="Z43" s="12">
        <f t="shared" si="162"/>
        <v>1071.1859999999999</v>
      </c>
      <c r="AA43" s="11">
        <f t="shared" si="162"/>
        <v>301.495</v>
      </c>
      <c r="AB43" s="11">
        <f t="shared" si="162"/>
        <v>346.30799999999999</v>
      </c>
      <c r="AC43" s="11">
        <f t="shared" si="162"/>
        <v>342.31700000000001</v>
      </c>
      <c r="AD43" s="11">
        <f t="shared" si="162"/>
        <v>328.26800000000003</v>
      </c>
      <c r="AE43" s="12">
        <f t="shared" si="162"/>
        <v>1318.3879999999999</v>
      </c>
      <c r="AF43" s="11">
        <f t="shared" si="162"/>
        <v>370.43700000000001</v>
      </c>
      <c r="AG43" s="11">
        <f t="shared" si="162"/>
        <v>407.339</v>
      </c>
      <c r="AH43" s="11">
        <f t="shared" si="162"/>
        <v>456.625</v>
      </c>
      <c r="AI43" s="11">
        <f t="shared" si="162"/>
        <v>419.98399999999998</v>
      </c>
      <c r="AJ43" s="12">
        <f t="shared" si="162"/>
        <v>1654.385</v>
      </c>
      <c r="AK43" s="11">
        <f t="shared" si="162"/>
        <v>437.98699999999997</v>
      </c>
      <c r="AL43" s="11">
        <f t="shared" si="162"/>
        <v>499.33699999999999</v>
      </c>
      <c r="AM43" s="11">
        <f t="shared" si="162"/>
        <v>519.76900000000001</v>
      </c>
      <c r="AN43" s="11">
        <f t="shared" si="162"/>
        <v>474.48700000000002</v>
      </c>
      <c r="AO43" s="12">
        <f t="shared" si="162"/>
        <v>1931.58</v>
      </c>
      <c r="AP43" s="11">
        <f t="shared" si="162"/>
        <v>493.35500000000002</v>
      </c>
      <c r="AQ43" s="11">
        <f t="shared" si="162"/>
        <v>553.42100000000005</v>
      </c>
      <c r="AR43" s="11">
        <f t="shared" ref="AR43:AV43" si="163">AR37+AR29</f>
        <v>574.84100000000001</v>
      </c>
      <c r="AS43" s="11">
        <f t="shared" si="163"/>
        <v>519.846</v>
      </c>
      <c r="AT43" s="12">
        <f t="shared" si="163"/>
        <v>2141.4630000000002</v>
      </c>
      <c r="AU43" s="11">
        <f t="shared" si="163"/>
        <v>538.14300000000003</v>
      </c>
      <c r="AV43" s="11">
        <f t="shared" si="163"/>
        <v>584.13300000000004</v>
      </c>
      <c r="AW43" s="11">
        <f t="shared" ref="AW43:BA43" si="164">AW37+AW29</f>
        <v>621.32899999999995</v>
      </c>
      <c r="AX43" s="11">
        <f t="shared" si="164"/>
        <v>578.351</v>
      </c>
      <c r="AY43" s="12">
        <f t="shared" si="164"/>
        <v>2321.9560000000001</v>
      </c>
      <c r="AZ43" s="11">
        <f t="shared" si="164"/>
        <v>591.74599999999998</v>
      </c>
      <c r="BA43" s="11">
        <f t="shared" si="164"/>
        <v>701.68200000000002</v>
      </c>
      <c r="BB43" s="11">
        <f t="shared" ref="BB43:BD43" si="165">BB37+BB29</f>
        <v>687.23099999999999</v>
      </c>
      <c r="BC43" s="11">
        <f t="shared" si="165"/>
        <v>667.00699999999995</v>
      </c>
      <c r="BD43" s="12">
        <f t="shared" si="165"/>
        <v>2647.6660000000002</v>
      </c>
      <c r="BE43" s="11">
        <f t="shared" ref="BE43:BH43" si="166">BE37+BE29</f>
        <v>707.37472538763006</v>
      </c>
      <c r="BF43" s="11">
        <f t="shared" si="166"/>
        <v>825.87630466415089</v>
      </c>
      <c r="BG43" s="11">
        <f t="shared" si="166"/>
        <v>882.31213132960545</v>
      </c>
      <c r="BH43" s="11">
        <f t="shared" si="166"/>
        <v>776.85284244702484</v>
      </c>
      <c r="BI43" s="12">
        <f>BI37+BI29</f>
        <v>3192.4160038284112</v>
      </c>
      <c r="BJ43" s="11"/>
      <c r="BK43" s="11"/>
      <c r="BL43" s="11"/>
      <c r="BM43" s="11"/>
      <c r="BN43" s="12">
        <f>BN37+BN29</f>
        <v>3607.680969557302</v>
      </c>
      <c r="BO43" s="11"/>
      <c r="BP43" s="11"/>
      <c r="BQ43" s="11"/>
      <c r="BR43" s="11"/>
      <c r="BS43" s="12">
        <f>BS37+BS29</f>
        <v>4077.8711528186313</v>
      </c>
      <c r="BT43" s="250"/>
      <c r="BU43" s="360"/>
      <c r="BV43" s="825"/>
      <c r="BW43" s="825"/>
      <c r="BX43" s="825"/>
      <c r="BY43" s="825"/>
      <c r="BZ43" s="547"/>
      <c r="CA43" s="532"/>
      <c r="CB43" s="761" t="s">
        <v>461</v>
      </c>
      <c r="CC43" s="762">
        <f t="shared" ref="CC43:CF44" si="167">+BV39</f>
        <v>55.46718197211738</v>
      </c>
      <c r="CD43" s="762">
        <f t="shared" si="167"/>
        <v>54.275728379287017</v>
      </c>
      <c r="CE43" s="762">
        <f t="shared" si="167"/>
        <v>53.309382294920937</v>
      </c>
      <c r="CF43" s="762">
        <f t="shared" si="167"/>
        <v>54.61806524482126</v>
      </c>
      <c r="CG43" s="11"/>
      <c r="CH43" s="360"/>
      <c r="CI43" s="250"/>
      <c r="CJ43"/>
      <c r="CK43"/>
      <c r="CL43"/>
      <c r="CM43"/>
      <c r="CN43"/>
      <c r="CO43"/>
      <c r="CP43" s="11"/>
    </row>
    <row r="44" spans="1:94" s="260" customFormat="1" ht="12.75" customHeight="1" x14ac:dyDescent="0.2">
      <c r="A44" s="117" t="s">
        <v>21</v>
      </c>
      <c r="B44" s="18"/>
      <c r="C44" s="18"/>
      <c r="D44" s="18"/>
      <c r="E44" s="18"/>
      <c r="F44" s="166"/>
      <c r="G44" s="18"/>
      <c r="H44" s="18"/>
      <c r="I44" s="18"/>
      <c r="J44" s="18"/>
      <c r="K44" s="166">
        <f t="shared" ref="K44:U44" si="168">K43/F43-1</f>
        <v>3.4463042714240055E-2</v>
      </c>
      <c r="L44" s="18">
        <f t="shared" si="168"/>
        <v>-0.16685205239147594</v>
      </c>
      <c r="M44" s="18">
        <f t="shared" si="168"/>
        <v>-0.12089213316700453</v>
      </c>
      <c r="N44" s="18">
        <f t="shared" si="168"/>
        <v>-0.12118364274221738</v>
      </c>
      <c r="O44" s="18">
        <f t="shared" si="168"/>
        <v>-3.0124103820673431E-2</v>
      </c>
      <c r="P44" s="166">
        <f t="shared" si="168"/>
        <v>-0.11257092729033669</v>
      </c>
      <c r="Q44" s="18">
        <f t="shared" si="168"/>
        <v>8.2474651233914287E-2</v>
      </c>
      <c r="R44" s="18">
        <f t="shared" si="168"/>
        <v>-1.6895131563631094E-2</v>
      </c>
      <c r="S44" s="18">
        <f t="shared" si="168"/>
        <v>0.14023447997850047</v>
      </c>
      <c r="T44" s="18">
        <f t="shared" si="168"/>
        <v>0.26437924359476717</v>
      </c>
      <c r="U44" s="166">
        <f t="shared" si="168"/>
        <v>0.11603546103343287</v>
      </c>
      <c r="V44" s="18">
        <f t="shared" ref="V44:AL44" si="169">V43/Q43-1</f>
        <v>0.2641170110458515</v>
      </c>
      <c r="W44" s="18">
        <f t="shared" si="169"/>
        <v>0.55555117022536216</v>
      </c>
      <c r="X44" s="18">
        <f t="shared" si="169"/>
        <v>0.41766222287692423</v>
      </c>
      <c r="Y44" s="18">
        <f t="shared" si="169"/>
        <v>0.26697039777983322</v>
      </c>
      <c r="Z44" s="166">
        <f t="shared" si="169"/>
        <v>0.37109175503830305</v>
      </c>
      <c r="AA44" s="18">
        <f t="shared" si="169"/>
        <v>0.29584977349115893</v>
      </c>
      <c r="AB44" s="18">
        <f t="shared" si="169"/>
        <v>0.25523485724434636</v>
      </c>
      <c r="AC44" s="18">
        <f t="shared" si="169"/>
        <v>0.18566124261379779</v>
      </c>
      <c r="AD44" s="18">
        <f t="shared" si="169"/>
        <v>0.19841266943877578</v>
      </c>
      <c r="AE44" s="166">
        <f t="shared" si="169"/>
        <v>0.23077411392605951</v>
      </c>
      <c r="AF44" s="18">
        <f t="shared" si="169"/>
        <v>0.22866714207532457</v>
      </c>
      <c r="AG44" s="18">
        <f t="shared" si="169"/>
        <v>0.17623329521697451</v>
      </c>
      <c r="AH44" s="18">
        <f>AH43/AC43-1</f>
        <v>0.33392440340386242</v>
      </c>
      <c r="AI44" s="18">
        <f t="shared" si="169"/>
        <v>0.27939366615082784</v>
      </c>
      <c r="AJ44" s="166">
        <f t="shared" si="169"/>
        <v>0.25485441311662438</v>
      </c>
      <c r="AK44" s="18">
        <f>AK43/AF43-1</f>
        <v>0.18235219484014809</v>
      </c>
      <c r="AL44" s="18">
        <f t="shared" si="169"/>
        <v>0.22585119519613883</v>
      </c>
      <c r="AM44" s="18">
        <f t="shared" ref="AM44:AR44" si="170">AM43/AH43-1</f>
        <v>0.13828415001368732</v>
      </c>
      <c r="AN44" s="18">
        <f t="shared" si="170"/>
        <v>0.12977399139014834</v>
      </c>
      <c r="AO44" s="166">
        <f t="shared" si="170"/>
        <v>0.16755168839175894</v>
      </c>
      <c r="AP44" s="18">
        <f t="shared" si="170"/>
        <v>0.12641471093890932</v>
      </c>
      <c r="AQ44" s="18">
        <f t="shared" si="170"/>
        <v>0.10831162120972415</v>
      </c>
      <c r="AR44" s="18">
        <f t="shared" si="170"/>
        <v>0.10595476067252951</v>
      </c>
      <c r="AS44" s="18">
        <f t="shared" ref="AS44:AW44" si="171">AS43/AN43-1</f>
        <v>9.5595875124081298E-2</v>
      </c>
      <c r="AT44" s="166">
        <f t="shared" si="171"/>
        <v>0.10865871462740362</v>
      </c>
      <c r="AU44" s="18">
        <f t="shared" si="171"/>
        <v>9.0782499417255247E-2</v>
      </c>
      <c r="AV44" s="18">
        <f t="shared" si="171"/>
        <v>5.5494822205879313E-2</v>
      </c>
      <c r="AW44" s="18">
        <f t="shared" si="171"/>
        <v>8.0871058257848683E-2</v>
      </c>
      <c r="AX44" s="18">
        <f t="shared" ref="AX44" si="172">AX43/AS43-1</f>
        <v>0.11254294541075627</v>
      </c>
      <c r="AY44" s="166">
        <f t="shared" ref="AY44:BH44" si="173">AY43/AT43-1</f>
        <v>8.428490242418385E-2</v>
      </c>
      <c r="AZ44" s="18">
        <f t="shared" si="173"/>
        <v>9.9607353435796631E-2</v>
      </c>
      <c r="BA44" s="18">
        <f t="shared" si="173"/>
        <v>0.20123670465459065</v>
      </c>
      <c r="BB44" s="18">
        <f t="shared" si="173"/>
        <v>0.10606619037579135</v>
      </c>
      <c r="BC44" s="18">
        <f t="shared" ref="BC44" si="174">BC43/AX43-1</f>
        <v>0.15329099456904194</v>
      </c>
      <c r="BD44" s="166">
        <f t="shared" ref="BD44" si="175">BD43/AY43-1</f>
        <v>0.14027397590652013</v>
      </c>
      <c r="BE44" s="18">
        <f t="shared" si="173"/>
        <v>0.19540263117558898</v>
      </c>
      <c r="BF44" s="18">
        <f t="shared" si="173"/>
        <v>0.1769951411952293</v>
      </c>
      <c r="BG44" s="18">
        <f t="shared" si="173"/>
        <v>0.28386544164859484</v>
      </c>
      <c r="BH44" s="18">
        <f t="shared" si="173"/>
        <v>0.16468469213520232</v>
      </c>
      <c r="BI44" s="166">
        <f>BI43/BD43-1</f>
        <v>0.20574725204327549</v>
      </c>
      <c r="BJ44" s="18"/>
      <c r="BK44" s="18"/>
      <c r="BL44" s="18"/>
      <c r="BM44" s="18"/>
      <c r="BN44" s="166">
        <f>BN43/BI43-1</f>
        <v>0.13007858788794957</v>
      </c>
      <c r="BO44" s="18"/>
      <c r="BP44" s="18"/>
      <c r="BQ44" s="18"/>
      <c r="BR44" s="18"/>
      <c r="BS44" s="166">
        <f>BS43/BN43-1</f>
        <v>0.13033031114140514</v>
      </c>
      <c r="BT44" s="148"/>
      <c r="BU44" s="356"/>
      <c r="BV44" s="824"/>
      <c r="BW44" s="824"/>
      <c r="BX44" s="824"/>
      <c r="BY44" s="824"/>
      <c r="BZ44" s="532"/>
      <c r="CA44" s="11"/>
      <c r="CB44" s="763" t="s">
        <v>460</v>
      </c>
      <c r="CC44" s="755">
        <f t="shared" si="167"/>
        <v>1.5546444633108392E-2</v>
      </c>
      <c r="CD44" s="755">
        <f t="shared" si="167"/>
        <v>-2.1480333964492559E-2</v>
      </c>
      <c r="CE44" s="755">
        <f t="shared" si="167"/>
        <v>-1.7804387213619766E-2</v>
      </c>
      <c r="CF44" s="755">
        <f t="shared" si="167"/>
        <v>2.4548829747460976E-2</v>
      </c>
      <c r="CG44" s="322"/>
      <c r="CH44" s="356"/>
      <c r="CI44" s="148"/>
      <c r="CJ44"/>
      <c r="CK44"/>
      <c r="CL44"/>
      <c r="CM44"/>
      <c r="CN44"/>
      <c r="CO44"/>
      <c r="CP44" s="391"/>
    </row>
    <row r="45" spans="1:94" s="263" customFormat="1" ht="12.75" customHeight="1" x14ac:dyDescent="0.2">
      <c r="A45" s="124" t="s">
        <v>56</v>
      </c>
      <c r="B45" s="43"/>
      <c r="C45" s="43"/>
      <c r="D45" s="43"/>
      <c r="E45" s="43"/>
      <c r="F45" s="193">
        <f t="shared" ref="F45:AQ45" si="176">F43/F11*100</f>
        <v>9.0116404117278623</v>
      </c>
      <c r="G45" s="43">
        <f t="shared" si="176"/>
        <v>9.6333020844249209</v>
      </c>
      <c r="H45" s="43">
        <f t="shared" si="176"/>
        <v>9.2821713883544064</v>
      </c>
      <c r="I45" s="43">
        <f t="shared" si="176"/>
        <v>9.6021366534047132</v>
      </c>
      <c r="J45" s="43">
        <f t="shared" si="176"/>
        <v>9.7066916843673514</v>
      </c>
      <c r="K45" s="193">
        <f t="shared" si="176"/>
        <v>9.5474938911778189</v>
      </c>
      <c r="L45" s="43">
        <f t="shared" si="176"/>
        <v>9.422668426014031</v>
      </c>
      <c r="M45" s="43">
        <f t="shared" si="176"/>
        <v>9.4035199282774879</v>
      </c>
      <c r="N45" s="43">
        <f t="shared" si="176"/>
        <v>9.2543484681267767</v>
      </c>
      <c r="O45" s="43">
        <f t="shared" si="176"/>
        <v>9.3327162208702248</v>
      </c>
      <c r="P45" s="193">
        <f t="shared" si="176"/>
        <v>9.3523421936874662</v>
      </c>
      <c r="Q45" s="43">
        <f t="shared" si="176"/>
        <v>10.111964468491552</v>
      </c>
      <c r="R45" s="43">
        <f t="shared" si="176"/>
        <v>9.3099247107560785</v>
      </c>
      <c r="S45" s="43">
        <f t="shared" si="176"/>
        <v>9.2819421548435148</v>
      </c>
      <c r="T45" s="43">
        <f t="shared" si="176"/>
        <v>9.8244147157190653</v>
      </c>
      <c r="U45" s="193">
        <f t="shared" si="176"/>
        <v>9.621581386917093</v>
      </c>
      <c r="V45" s="43">
        <f t="shared" si="176"/>
        <v>10.575079189690271</v>
      </c>
      <c r="W45" s="43">
        <f t="shared" si="176"/>
        <v>11.373937291653098</v>
      </c>
      <c r="X45" s="43">
        <f t="shared" si="176"/>
        <v>11.915746099195943</v>
      </c>
      <c r="Y45" s="43">
        <f t="shared" si="176"/>
        <v>11.889609228370572</v>
      </c>
      <c r="Z45" s="193">
        <f t="shared" si="176"/>
        <v>11.453407427896959</v>
      </c>
      <c r="AA45" s="43">
        <f t="shared" si="176"/>
        <v>11.645166847301713</v>
      </c>
      <c r="AB45" s="43">
        <f t="shared" si="176"/>
        <v>12.250381688030346</v>
      </c>
      <c r="AC45" s="43">
        <f t="shared" si="176"/>
        <v>11.515546224565213</v>
      </c>
      <c r="AD45" s="43">
        <f t="shared" si="176"/>
        <v>11.104578590396292</v>
      </c>
      <c r="AE45" s="193">
        <f t="shared" si="176"/>
        <v>11.621148178832975</v>
      </c>
      <c r="AF45" s="43">
        <f t="shared" si="176"/>
        <v>11.845591635238268</v>
      </c>
      <c r="AG45" s="43">
        <f t="shared" si="176"/>
        <v>11.90960211469489</v>
      </c>
      <c r="AH45" s="43">
        <f t="shared" si="176"/>
        <v>12.551708365505748</v>
      </c>
      <c r="AI45" s="43">
        <f t="shared" si="176"/>
        <v>11.425114228291184</v>
      </c>
      <c r="AJ45" s="193">
        <f t="shared" si="176"/>
        <v>11.93519930246554</v>
      </c>
      <c r="AK45" s="43">
        <f t="shared" si="176"/>
        <v>11.572485941522334</v>
      </c>
      <c r="AL45" s="43">
        <f t="shared" si="176"/>
        <v>12.456932219402384</v>
      </c>
      <c r="AM45" s="43">
        <f t="shared" si="176"/>
        <v>12.451355249632462</v>
      </c>
      <c r="AN45" s="43">
        <f t="shared" si="176"/>
        <v>10.851590767867709</v>
      </c>
      <c r="AO45" s="193">
        <f t="shared" si="176"/>
        <v>11.821072301574857</v>
      </c>
      <c r="AP45" s="43">
        <f t="shared" si="176"/>
        <v>10.431522563978195</v>
      </c>
      <c r="AQ45" s="43">
        <f t="shared" si="176"/>
        <v>10.615562238037759</v>
      </c>
      <c r="AR45" s="43">
        <f t="shared" ref="AR45:AV45" si="177">AR43/AR11*100</f>
        <v>10.268690747779964</v>
      </c>
      <c r="AS45" s="43">
        <f t="shared" si="177"/>
        <v>9.111476535028757</v>
      </c>
      <c r="AT45" s="193">
        <f t="shared" si="177"/>
        <v>10.079295752168264</v>
      </c>
      <c r="AU45" s="43">
        <f t="shared" si="177"/>
        <v>8.994526997721044</v>
      </c>
      <c r="AV45" s="43">
        <f t="shared" si="177"/>
        <v>9.0994683475249101</v>
      </c>
      <c r="AW45" s="43">
        <f t="shared" ref="AW45:BA45" si="178">AW43/AW11*100</f>
        <v>9.5483252100287608</v>
      </c>
      <c r="AX45" s="43">
        <f t="shared" si="178"/>
        <v>8.7828309656860455</v>
      </c>
      <c r="AY45" s="193">
        <f t="shared" si="178"/>
        <v>9.1076220473898726</v>
      </c>
      <c r="AZ45" s="43">
        <f t="shared" si="178"/>
        <v>8.6060891819382448</v>
      </c>
      <c r="BA45" s="43">
        <f t="shared" si="178"/>
        <v>9.6192267736392694</v>
      </c>
      <c r="BB45" s="43">
        <f t="shared" ref="BB45:BD45" si="179">BB43/BB11*100</f>
        <v>8.9467919022167059</v>
      </c>
      <c r="BC45" s="43">
        <f t="shared" si="179"/>
        <v>8.6165148565500971</v>
      </c>
      <c r="BD45" s="193">
        <f t="shared" si="179"/>
        <v>8.9469881189757565</v>
      </c>
      <c r="BE45" s="43">
        <f t="shared" ref="BE45:BH45" si="180">BE43/BE11*100</f>
        <v>8.411890148994889</v>
      </c>
      <c r="BF45" s="43">
        <f t="shared" si="180"/>
        <v>8.8451431051785026</v>
      </c>
      <c r="BG45" s="43">
        <f t="shared" si="180"/>
        <v>9.1162515372043806</v>
      </c>
      <c r="BH45" s="43">
        <f t="shared" si="180"/>
        <v>8.6141827922570346</v>
      </c>
      <c r="BI45" s="193">
        <f>BI43/BI11*100</f>
        <v>8.7600162684771519</v>
      </c>
      <c r="BJ45" s="43"/>
      <c r="BK45" s="43"/>
      <c r="BL45" s="43"/>
      <c r="BM45" s="43"/>
      <c r="BN45" s="193">
        <f>BN43/BN11*100</f>
        <v>8.7995616129387795</v>
      </c>
      <c r="BO45" s="43"/>
      <c r="BP45" s="43"/>
      <c r="BQ45" s="43"/>
      <c r="BR45" s="43"/>
      <c r="BS45" s="193">
        <f>BS43/BS11*100</f>
        <v>8.8412544140987155</v>
      </c>
      <c r="BT45" s="151"/>
      <c r="BU45" s="359"/>
      <c r="BV45" s="827"/>
      <c r="BW45" s="827"/>
      <c r="BX45" s="827"/>
      <c r="BY45" s="827"/>
      <c r="BZ45" s="532"/>
      <c r="CA45" s="531"/>
      <c r="CB45" s="789"/>
      <c r="CC45" s="602"/>
      <c r="CD45" s="602"/>
      <c r="CE45" s="602"/>
      <c r="CF45" s="602"/>
      <c r="CG45" s="325"/>
      <c r="CH45" s="359"/>
      <c r="CI45" s="151"/>
      <c r="CJ45"/>
      <c r="CK45"/>
      <c r="CL45"/>
      <c r="CM45"/>
      <c r="CN45"/>
      <c r="CO45"/>
      <c r="CP45" s="401"/>
    </row>
    <row r="46" spans="1:94" s="260" customFormat="1" ht="12.75" customHeight="1" x14ac:dyDescent="0.2">
      <c r="A46" s="477" t="s">
        <v>21</v>
      </c>
      <c r="B46" s="478"/>
      <c r="C46" s="478"/>
      <c r="D46" s="478"/>
      <c r="E46" s="478"/>
      <c r="F46" s="479"/>
      <c r="G46" s="478"/>
      <c r="H46" s="478"/>
      <c r="I46" s="478"/>
      <c r="J46" s="478"/>
      <c r="K46" s="479">
        <f t="shared" ref="K46:U46" si="181">K45/F45-1</f>
        <v>5.9462368111425024E-2</v>
      </c>
      <c r="L46" s="478">
        <f t="shared" si="181"/>
        <v>-2.1865156575069045E-2</v>
      </c>
      <c r="M46" s="478">
        <f t="shared" si="181"/>
        <v>1.307329231986909E-2</v>
      </c>
      <c r="N46" s="478">
        <f t="shared" si="181"/>
        <v>-3.62198745791249E-2</v>
      </c>
      <c r="O46" s="478">
        <f t="shared" si="181"/>
        <v>-3.8527592681182554E-2</v>
      </c>
      <c r="P46" s="479">
        <f t="shared" si="181"/>
        <v>-2.0440096606993308E-2</v>
      </c>
      <c r="Q46" s="478">
        <f t="shared" si="181"/>
        <v>7.3152955332113523E-2</v>
      </c>
      <c r="R46" s="478">
        <f t="shared" si="181"/>
        <v>-9.9532109502907806E-3</v>
      </c>
      <c r="S46" s="478">
        <f t="shared" si="181"/>
        <v>2.9816995558114012E-3</v>
      </c>
      <c r="T46" s="478">
        <f t="shared" si="181"/>
        <v>5.2685465111355523E-2</v>
      </c>
      <c r="U46" s="479">
        <f t="shared" si="181"/>
        <v>2.8788424081761521E-2</v>
      </c>
      <c r="V46" s="478">
        <f t="shared" ref="V46:AL46" si="182">V45/Q45-1</f>
        <v>4.5798689526823866E-2</v>
      </c>
      <c r="W46" s="478">
        <f t="shared" si="182"/>
        <v>0.22170024409675348</v>
      </c>
      <c r="X46" s="478">
        <f t="shared" si="182"/>
        <v>0.28375569470426543</v>
      </c>
      <c r="Y46" s="478">
        <f t="shared" si="182"/>
        <v>0.21021043720265542</v>
      </c>
      <c r="Z46" s="479">
        <f t="shared" si="182"/>
        <v>0.19038721051309548</v>
      </c>
      <c r="AA46" s="478">
        <f t="shared" si="182"/>
        <v>0.10118956448616268</v>
      </c>
      <c r="AB46" s="478">
        <f t="shared" si="182"/>
        <v>7.7057255891540555E-2</v>
      </c>
      <c r="AC46" s="478">
        <f t="shared" si="182"/>
        <v>-3.3585800779838193E-2</v>
      </c>
      <c r="AD46" s="478">
        <f t="shared" si="182"/>
        <v>-6.6026613902588793E-2</v>
      </c>
      <c r="AE46" s="479">
        <f t="shared" si="182"/>
        <v>1.4645488863641587E-2</v>
      </c>
      <c r="AF46" s="478">
        <f t="shared" si="182"/>
        <v>1.7210984656951922E-2</v>
      </c>
      <c r="AG46" s="478">
        <f t="shared" si="182"/>
        <v>-2.7817873925383707E-2</v>
      </c>
      <c r="AH46" s="478">
        <f>AH45/AC45-1</f>
        <v>8.9979417453092347E-2</v>
      </c>
      <c r="AI46" s="478">
        <f t="shared" si="182"/>
        <v>2.8865178024144456E-2</v>
      </c>
      <c r="AJ46" s="479">
        <f t="shared" si="182"/>
        <v>2.7024104572092478E-2</v>
      </c>
      <c r="AK46" s="478">
        <f>AK45/AF45-1</f>
        <v>-2.3055470940218759E-2</v>
      </c>
      <c r="AL46" s="478">
        <f t="shared" si="182"/>
        <v>4.595704368932374E-2</v>
      </c>
      <c r="AM46" s="478">
        <f t="shared" ref="AM46:AR46" si="183">AM45/AH45-1</f>
        <v>-7.995175871762128E-3</v>
      </c>
      <c r="AN46" s="478">
        <f t="shared" si="183"/>
        <v>-5.0198488081922288E-2</v>
      </c>
      <c r="AO46" s="479">
        <f t="shared" si="183"/>
        <v>-9.5622199511244954E-3</v>
      </c>
      <c r="AP46" s="478">
        <f>AP45/AK45-1</f>
        <v>-9.8592764191688276E-2</v>
      </c>
      <c r="AQ46" s="478">
        <f t="shared" si="183"/>
        <v>-0.14781889705529472</v>
      </c>
      <c r="AR46" s="478">
        <f t="shared" si="183"/>
        <v>-0.17529533597693514</v>
      </c>
      <c r="AS46" s="478">
        <f t="shared" ref="AS46:AT46" si="184">AS45/AN45-1</f>
        <v>-0.16035568149063895</v>
      </c>
      <c r="AT46" s="479">
        <f t="shared" si="184"/>
        <v>-0.14734505508223184</v>
      </c>
      <c r="AU46" s="478">
        <f>AU45/AP45-1</f>
        <v>-0.13775511268310325</v>
      </c>
      <c r="AV46" s="478">
        <f t="shared" ref="AV46:AW46" si="185">AV45/AQ45-1</f>
        <v>-0.14281804924852404</v>
      </c>
      <c r="AW46" s="478">
        <f t="shared" si="185"/>
        <v>-7.0151644006509972E-2</v>
      </c>
      <c r="AX46" s="478">
        <f t="shared" ref="AX46" si="186">AX45/AS45-1</f>
        <v>-3.6069408517845014E-2</v>
      </c>
      <c r="AY46" s="479">
        <f t="shared" ref="AY46" si="187">AY45/AT45-1</f>
        <v>-9.6402936144557971E-2</v>
      </c>
      <c r="AZ46" s="478">
        <f>AZ45/AU45-1</f>
        <v>-4.3186019218266702E-2</v>
      </c>
      <c r="BA46" s="478">
        <f t="shared" ref="BA46:BH46" si="188">BA45/AV45-1</f>
        <v>5.711964768312372E-2</v>
      </c>
      <c r="BB46" s="478">
        <f t="shared" si="188"/>
        <v>-6.2998829070071372E-2</v>
      </c>
      <c r="BC46" s="478">
        <f t="shared" ref="BC46" si="189">BC45/AX45-1</f>
        <v>-1.8936503478859446E-2</v>
      </c>
      <c r="BD46" s="479">
        <f t="shared" ref="BD46" si="190">BD45/AY45-1</f>
        <v>-1.7637307255207402E-2</v>
      </c>
      <c r="BE46" s="478">
        <f t="shared" si="188"/>
        <v>-2.2565305661824242E-2</v>
      </c>
      <c r="BF46" s="478">
        <f t="shared" si="188"/>
        <v>-8.0472545941226992E-2</v>
      </c>
      <c r="BG46" s="478">
        <f t="shared" si="188"/>
        <v>1.8940826705233782E-2</v>
      </c>
      <c r="BH46" s="478">
        <f t="shared" si="188"/>
        <v>-2.7065052772345943E-4</v>
      </c>
      <c r="BI46" s="479">
        <f>BI45/BD45-1</f>
        <v>-2.0897742124196483E-2</v>
      </c>
      <c r="BJ46" s="478"/>
      <c r="BK46" s="478"/>
      <c r="BL46" s="478"/>
      <c r="BM46" s="478"/>
      <c r="BN46" s="479">
        <f>BN45/BI45-1</f>
        <v>4.5143003448442354E-3</v>
      </c>
      <c r="BO46" s="478"/>
      <c r="BP46" s="478"/>
      <c r="BQ46" s="478"/>
      <c r="BR46" s="478"/>
      <c r="BS46" s="479">
        <f>BS45/BN45-1</f>
        <v>4.7380543479156323E-3</v>
      </c>
      <c r="BT46" s="148"/>
      <c r="BU46" s="356"/>
      <c r="BV46" s="824"/>
      <c r="BW46" s="824"/>
      <c r="BX46" s="824"/>
      <c r="BY46" s="824"/>
      <c r="BZ46" s="531" t="s">
        <v>528</v>
      </c>
      <c r="CA46" s="322"/>
      <c r="CB46" s="789"/>
      <c r="CC46" s="532"/>
      <c r="CD46" s="532"/>
      <c r="CE46" s="532"/>
      <c r="CF46" s="532"/>
      <c r="CG46" s="599"/>
      <c r="CH46" s="356"/>
      <c r="CI46" s="148"/>
      <c r="CJ46"/>
      <c r="CK46"/>
      <c r="CL46"/>
      <c r="CM46"/>
      <c r="CN46"/>
      <c r="CO46"/>
      <c r="CP46" s="391"/>
    </row>
    <row r="47" spans="1:94" s="260" customFormat="1" ht="12.75" customHeight="1" x14ac:dyDescent="0.2">
      <c r="A47" s="123" t="s">
        <v>25</v>
      </c>
      <c r="B47" s="18"/>
      <c r="C47" s="18"/>
      <c r="D47" s="18"/>
      <c r="E47" s="18"/>
      <c r="F47" s="166"/>
      <c r="G47" s="18"/>
      <c r="H47" s="18"/>
      <c r="I47" s="18"/>
      <c r="J47" s="18"/>
      <c r="K47" s="166"/>
      <c r="L47" s="18">
        <f>L45/J45-1</f>
        <v>-2.9260562464422435E-2</v>
      </c>
      <c r="M47" s="18">
        <f>M45/L45-1</f>
        <v>-2.0321735702466537E-3</v>
      </c>
      <c r="N47" s="18">
        <f>N45/M45-1</f>
        <v>-1.5863364068824382E-2</v>
      </c>
      <c r="O47" s="18">
        <f>O45/N45-1</f>
        <v>8.4682085414611308E-3</v>
      </c>
      <c r="P47" s="166"/>
      <c r="Q47" s="18">
        <f>Q45/O45-1</f>
        <v>8.3496404388546441E-2</v>
      </c>
      <c r="R47" s="18">
        <f>R45/Q45-1</f>
        <v>-7.9315919298826087E-2</v>
      </c>
      <c r="S47" s="18">
        <f>S45/R45-1</f>
        <v>-3.0056694100044634E-3</v>
      </c>
      <c r="T47" s="18">
        <f>T45/S45-1</f>
        <v>5.8443863560653231E-2</v>
      </c>
      <c r="U47" s="166"/>
      <c r="V47" s="18">
        <f>V45/T45-1</f>
        <v>7.6408060499537189E-2</v>
      </c>
      <c r="W47" s="18">
        <f>W45/V45-1</f>
        <v>7.5541571616942527E-2</v>
      </c>
      <c r="X47" s="18">
        <f>X45/W45-1</f>
        <v>4.7635993908675456E-2</v>
      </c>
      <c r="Y47" s="18">
        <f>Y45/X45-1</f>
        <v>-2.1934732922124223E-3</v>
      </c>
      <c r="Z47" s="166"/>
      <c r="AA47" s="18">
        <f>AA45/Y45-1</f>
        <v>-2.0559328433232271E-2</v>
      </c>
      <c r="AB47" s="18">
        <f>AB45/AA45-1</f>
        <v>5.1971332713782958E-2</v>
      </c>
      <c r="AC47" s="18">
        <f>AC45/AB45-1</f>
        <v>-5.9984699430478128E-2</v>
      </c>
      <c r="AD47" s="18">
        <f>AD45/AC45-1</f>
        <v>-3.568807125208151E-2</v>
      </c>
      <c r="AE47" s="166"/>
      <c r="AF47" s="18">
        <f>AF45/AD45-1</f>
        <v>6.6730406634506245E-2</v>
      </c>
      <c r="AG47" s="18">
        <f>AG45/AF45-1</f>
        <v>5.4037384900389451E-3</v>
      </c>
      <c r="AH47" s="18">
        <f>AH45/AG45-1</f>
        <v>5.3915004433152669E-2</v>
      </c>
      <c r="AI47" s="18">
        <f>AI45/AH45-1</f>
        <v>-8.9756239103725433E-2</v>
      </c>
      <c r="AJ47" s="166"/>
      <c r="AK47" s="18">
        <f>AK45/AI45-1</f>
        <v>1.2898926897923157E-2</v>
      </c>
      <c r="AL47" s="18">
        <f>AL45/AK45-1</f>
        <v>7.642664526440579E-2</v>
      </c>
      <c r="AM47" s="18">
        <f>AM45/AL45-1</f>
        <v>-4.477000975597889E-4</v>
      </c>
      <c r="AN47" s="18">
        <f>AN45/AM45-1</f>
        <v>-0.12848115323124965</v>
      </c>
      <c r="AO47" s="166"/>
      <c r="AP47" s="18">
        <f>AP45/AN45-1</f>
        <v>-3.8710288000664783E-2</v>
      </c>
      <c r="AQ47" s="18">
        <f>AQ45/AP45-1</f>
        <v>1.7642647363394826E-2</v>
      </c>
      <c r="AR47" s="18">
        <f>AR45/AQ45-1</f>
        <v>-3.2675753057608503E-2</v>
      </c>
      <c r="AS47" s="18">
        <f>AS45/AR45-1</f>
        <v>-0.11269345247361651</v>
      </c>
      <c r="AT47" s="166"/>
      <c r="AU47" s="18">
        <f>AU45/AS45-1</f>
        <v>-1.283541003020805E-2</v>
      </c>
      <c r="AV47" s="18">
        <f>AV45/AU45-1</f>
        <v>1.1667244962459522E-2</v>
      </c>
      <c r="AW47" s="18">
        <f>AW45/AV45-1</f>
        <v>4.9327811841440417E-2</v>
      </c>
      <c r="AX47" s="18">
        <f>AX45/AW45-1</f>
        <v>-8.0170524935483378E-2</v>
      </c>
      <c r="AY47" s="166"/>
      <c r="AZ47" s="18">
        <f>AZ45/AX45-1</f>
        <v>-2.0123555199720866E-2</v>
      </c>
      <c r="BA47" s="18">
        <f>BA45/AZ45-1</f>
        <v>0.11772334335406542</v>
      </c>
      <c r="BB47" s="18">
        <f>BB45/BA45-1</f>
        <v>-6.9905293559074599E-2</v>
      </c>
      <c r="BC47" s="18">
        <f>BC45/BB45-1</f>
        <v>-3.6915695511457902E-2</v>
      </c>
      <c r="BD47" s="166"/>
      <c r="BE47" s="18">
        <f>BE45/BC45-1</f>
        <v>-2.374796666191048E-2</v>
      </c>
      <c r="BF47" s="18">
        <f t="shared" ref="BF47:BH47" si="191">BF45/BE45-1</f>
        <v>5.1504828107554523E-2</v>
      </c>
      <c r="BG47" s="18">
        <f t="shared" si="191"/>
        <v>3.0650542201759778E-2</v>
      </c>
      <c r="BH47" s="18">
        <f t="shared" si="191"/>
        <v>-5.5074033762490093E-2</v>
      </c>
      <c r="BI47" s="166"/>
      <c r="BJ47" s="18"/>
      <c r="BK47" s="18"/>
      <c r="BL47" s="18"/>
      <c r="BM47" s="18"/>
      <c r="BN47" s="166"/>
      <c r="BO47" s="18"/>
      <c r="BP47" s="18"/>
      <c r="BQ47" s="18"/>
      <c r="BR47" s="18"/>
      <c r="BS47" s="166"/>
      <c r="BT47" s="148"/>
      <c r="BU47" s="356"/>
      <c r="BV47" s="822">
        <f>AVERAGE(AK47,AP47,AU47,AA47,AZ47)</f>
        <v>-1.5865930953180563E-2</v>
      </c>
      <c r="BW47" s="822">
        <f>AVERAGE(AL47,AQ47,AV47,AB47,BA47)</f>
        <v>5.5086242731621701E-2</v>
      </c>
      <c r="BX47" s="822">
        <f>AVERAGE(AM47,AR47,AW47,AC47,BB47)</f>
        <v>-2.2737126860656119E-2</v>
      </c>
      <c r="BY47" s="822">
        <f>AVERAGE(AN47,AS47,AX47,AD47,BC47)</f>
        <v>-7.8789779480777783E-2</v>
      </c>
      <c r="BZ47" s="532"/>
      <c r="CA47" s="532"/>
      <c r="CB47" s="789"/>
      <c r="CC47" s="532"/>
      <c r="CD47" s="532"/>
      <c r="CE47" s="532"/>
      <c r="CF47" s="532"/>
      <c r="CG47" s="322"/>
      <c r="CH47" s="356"/>
      <c r="CI47" s="148"/>
      <c r="CJ47"/>
      <c r="CK47"/>
      <c r="CL47"/>
      <c r="CM47"/>
      <c r="CN47"/>
      <c r="CO47"/>
      <c r="CP47" s="391"/>
    </row>
    <row r="48" spans="1:94" s="267" customFormat="1" ht="12.75" customHeight="1" x14ac:dyDescent="0.2">
      <c r="A48" s="31" t="s">
        <v>80</v>
      </c>
      <c r="B48" s="32"/>
      <c r="C48" s="32"/>
      <c r="D48" s="32"/>
      <c r="E48" s="32"/>
      <c r="F48" s="174"/>
      <c r="G48" s="32">
        <f t="shared" ref="G48:AQ48" si="192">G35</f>
        <v>101.34481789456652</v>
      </c>
      <c r="H48" s="32">
        <f t="shared" si="192"/>
        <v>92.797144146522129</v>
      </c>
      <c r="I48" s="32">
        <f t="shared" si="192"/>
        <v>90.904629216556373</v>
      </c>
      <c r="J48" s="32">
        <f t="shared" si="192"/>
        <v>92.804675827874362</v>
      </c>
      <c r="K48" s="174">
        <f t="shared" si="192"/>
        <v>94.464723028308867</v>
      </c>
      <c r="L48" s="32">
        <f t="shared" si="192"/>
        <v>90.1265959384084</v>
      </c>
      <c r="M48" s="32">
        <f t="shared" si="192"/>
        <v>84.268818358925586</v>
      </c>
      <c r="N48" s="32">
        <f t="shared" si="192"/>
        <v>80.582310776189743</v>
      </c>
      <c r="O48" s="32">
        <f t="shared" si="192"/>
        <v>88.604366771403377</v>
      </c>
      <c r="P48" s="174">
        <f t="shared" si="192"/>
        <v>85.667795951574305</v>
      </c>
      <c r="Q48" s="32">
        <f t="shared" si="192"/>
        <v>89.744262054372655</v>
      </c>
      <c r="R48" s="32">
        <f t="shared" si="192"/>
        <v>78.429960925281392</v>
      </c>
      <c r="S48" s="32">
        <f t="shared" si="192"/>
        <v>72.383227437480954</v>
      </c>
      <c r="T48" s="32">
        <f t="shared" si="192"/>
        <v>71.623454470252554</v>
      </c>
      <c r="U48" s="174">
        <f t="shared" si="192"/>
        <v>77.386370698048026</v>
      </c>
      <c r="V48" s="32">
        <f t="shared" si="192"/>
        <v>82.296572622644874</v>
      </c>
      <c r="W48" s="32">
        <f t="shared" si="192"/>
        <v>82.008181818181811</v>
      </c>
      <c r="X48" s="32">
        <f t="shared" si="192"/>
        <v>81.698905908096265</v>
      </c>
      <c r="Y48" s="32">
        <f t="shared" si="192"/>
        <v>78.00460829493089</v>
      </c>
      <c r="Z48" s="174">
        <f t="shared" si="192"/>
        <v>80.968289875517939</v>
      </c>
      <c r="AA48" s="32">
        <f t="shared" si="192"/>
        <v>76.661558109833962</v>
      </c>
      <c r="AB48" s="32">
        <f t="shared" si="192"/>
        <v>81.060849598163031</v>
      </c>
      <c r="AC48" s="32">
        <f t="shared" si="192"/>
        <v>71.848258706467661</v>
      </c>
      <c r="AD48" s="32">
        <f t="shared" si="192"/>
        <v>71.296184359652443</v>
      </c>
      <c r="AE48" s="174">
        <f t="shared" si="192"/>
        <v>75.102369759186416</v>
      </c>
      <c r="AF48" s="32">
        <f t="shared" si="192"/>
        <v>79.08128612716763</v>
      </c>
      <c r="AG48" s="32">
        <f t="shared" si="192"/>
        <v>77.505303760848591</v>
      </c>
      <c r="AH48" s="32">
        <f t="shared" si="192"/>
        <v>82.839063426200354</v>
      </c>
      <c r="AI48" s="32">
        <f t="shared" si="192"/>
        <v>77.982600442897805</v>
      </c>
      <c r="AJ48" s="174">
        <f t="shared" si="192"/>
        <v>79.427903979378129</v>
      </c>
      <c r="AK48" s="32">
        <f t="shared" si="192"/>
        <v>77.78125</v>
      </c>
      <c r="AL48" s="32">
        <f t="shared" si="192"/>
        <v>84.753992715046238</v>
      </c>
      <c r="AM48" s="32">
        <f t="shared" si="192"/>
        <v>84.498400852878476</v>
      </c>
      <c r="AN48" s="32">
        <f t="shared" si="192"/>
        <v>73.21892693448369</v>
      </c>
      <c r="AO48" s="174">
        <f t="shared" si="192"/>
        <v>80.101581082971876</v>
      </c>
      <c r="AP48" s="32">
        <f t="shared" si="192"/>
        <v>68.710050251256277</v>
      </c>
      <c r="AQ48" s="32">
        <f t="shared" si="192"/>
        <v>68.359105006645976</v>
      </c>
      <c r="AR48" s="32">
        <f t="shared" ref="AR48:AV48" si="193">AR35</f>
        <v>66.962311557788951</v>
      </c>
      <c r="AS48" s="32">
        <f t="shared" si="193"/>
        <v>57.515749330097101</v>
      </c>
      <c r="AT48" s="174">
        <f t="shared" si="193"/>
        <v>65.250782420348699</v>
      </c>
      <c r="AU48" s="32">
        <f t="shared" si="193"/>
        <v>54.654622145239927</v>
      </c>
      <c r="AV48" s="32">
        <f t="shared" si="193"/>
        <v>52.869432385057976</v>
      </c>
      <c r="AW48" s="32">
        <f t="shared" ref="AW48:BA48" si="194">AW35</f>
        <v>58.336975678533662</v>
      </c>
      <c r="AX48" s="32">
        <f t="shared" si="194"/>
        <v>56.185046728971962</v>
      </c>
      <c r="AY48" s="174">
        <f t="shared" si="194"/>
        <v>55.536885797002128</v>
      </c>
      <c r="AZ48" s="32">
        <f t="shared" si="194"/>
        <v>53.817235188509869</v>
      </c>
      <c r="BA48" s="32">
        <f t="shared" si="194"/>
        <v>59.929423138897839</v>
      </c>
      <c r="BB48" s="32">
        <f t="shared" ref="BB48:BD48" si="195">BB35</f>
        <v>56.478040272712853</v>
      </c>
      <c r="BC48" s="32">
        <f t="shared" si="195"/>
        <v>55.433278688524588</v>
      </c>
      <c r="BD48" s="174">
        <f t="shared" si="195"/>
        <v>56.487367158747887</v>
      </c>
      <c r="BE48" s="32">
        <f t="shared" ref="BE48:BH48" si="196">BE35</f>
        <v>54.186421421903056</v>
      </c>
      <c r="BF48" s="32">
        <f t="shared" si="196"/>
        <v>56.53741778923623</v>
      </c>
      <c r="BG48" s="32">
        <f t="shared" si="196"/>
        <v>60.725201537670472</v>
      </c>
      <c r="BH48" s="32">
        <f t="shared" si="196"/>
        <v>58.916705921311483</v>
      </c>
      <c r="BI48" s="174">
        <f>BI35</f>
        <v>57.69231865454713</v>
      </c>
      <c r="BJ48" s="32"/>
      <c r="BK48" s="32"/>
      <c r="BL48" s="32"/>
      <c r="BM48" s="32"/>
      <c r="BN48" s="174">
        <f>BN35</f>
        <v>57.115395468001658</v>
      </c>
      <c r="BO48" s="32"/>
      <c r="BP48" s="32"/>
      <c r="BQ48" s="32"/>
      <c r="BR48" s="32"/>
      <c r="BS48" s="174">
        <f>BS35</f>
        <v>56.544241513321658</v>
      </c>
      <c r="BT48" s="154"/>
      <c r="BU48" s="363"/>
      <c r="BV48" s="154"/>
      <c r="BW48" s="154"/>
      <c r="BX48" s="154"/>
      <c r="BY48" s="154"/>
      <c r="BZ48" s="548"/>
      <c r="CA48" s="532"/>
      <c r="CB48" s="532"/>
      <c r="CC48" s="532"/>
      <c r="CD48" s="532"/>
      <c r="CE48" s="550"/>
      <c r="CF48" s="532"/>
      <c r="CG48" s="532"/>
      <c r="CH48" s="363"/>
      <c r="CI48" s="154"/>
      <c r="CJ48"/>
      <c r="CK48"/>
      <c r="CL48"/>
      <c r="CM48"/>
      <c r="CN48"/>
      <c r="CO48"/>
      <c r="CP48" s="402"/>
    </row>
    <row r="49" spans="1:94" s="267" customFormat="1" ht="12.75" customHeight="1" x14ac:dyDescent="0.2">
      <c r="A49" s="31" t="s">
        <v>82</v>
      </c>
      <c r="B49" s="32"/>
      <c r="C49" s="32"/>
      <c r="D49" s="32"/>
      <c r="E49" s="32"/>
      <c r="F49" s="174"/>
      <c r="G49" s="32">
        <f t="shared" ref="G49:Z49" si="197">G39</f>
        <v>14.529824750667867</v>
      </c>
      <c r="H49" s="32">
        <f t="shared" si="197"/>
        <v>16.413281336478121</v>
      </c>
      <c r="I49" s="32">
        <f t="shared" si="197"/>
        <v>21.169427660598746</v>
      </c>
      <c r="J49" s="32">
        <f t="shared" si="197"/>
        <v>22.977228324221379</v>
      </c>
      <c r="K49" s="174">
        <f t="shared" si="197"/>
        <v>18.606781257189379</v>
      </c>
      <c r="L49" s="32">
        <f t="shared" si="197"/>
        <v>24.550304518200274</v>
      </c>
      <c r="M49" s="32">
        <f t="shared" si="197"/>
        <v>26.42899875745908</v>
      </c>
      <c r="N49" s="32">
        <f t="shared" si="197"/>
        <v>24.998315278239186</v>
      </c>
      <c r="O49" s="32">
        <f t="shared" si="197"/>
        <v>28.936064324056424</v>
      </c>
      <c r="P49" s="174">
        <f t="shared" si="197"/>
        <v>26.179981300013356</v>
      </c>
      <c r="Q49" s="32">
        <f t="shared" si="197"/>
        <v>30.901723055220884</v>
      </c>
      <c r="R49" s="32">
        <f t="shared" si="197"/>
        <v>31.643943418615851</v>
      </c>
      <c r="S49" s="32">
        <f t="shared" si="197"/>
        <v>34.257055156257039</v>
      </c>
      <c r="T49" s="32">
        <f t="shared" si="197"/>
        <v>41.857113163535892</v>
      </c>
      <c r="U49" s="174">
        <f t="shared" si="197"/>
        <v>34.997917064649251</v>
      </c>
      <c r="V49" s="32">
        <f t="shared" si="197"/>
        <v>42.620475782429509</v>
      </c>
      <c r="W49" s="32">
        <f t="shared" si="197"/>
        <v>43.396818181818176</v>
      </c>
      <c r="X49" s="32">
        <f t="shared" si="197"/>
        <v>44.652954048140039</v>
      </c>
      <c r="Y49" s="32">
        <f>Y39</f>
        <v>48.225345622119818</v>
      </c>
      <c r="Z49" s="174">
        <f t="shared" si="197"/>
        <v>44.794196253093034</v>
      </c>
      <c r="AA49" s="32">
        <f t="shared" ref="AA49:AF49" si="198">AA39</f>
        <v>51.688803746275006</v>
      </c>
      <c r="AB49" s="32">
        <f t="shared" si="198"/>
        <v>51.471871412169925</v>
      </c>
      <c r="AC49" s="32">
        <f t="shared" si="198"/>
        <v>49.799573560767591</v>
      </c>
      <c r="AD49" s="32">
        <f t="shared" si="198"/>
        <v>52.718927087268611</v>
      </c>
      <c r="AE49" s="174">
        <f t="shared" si="198"/>
        <v>51.385973328216444</v>
      </c>
      <c r="AF49" s="32">
        <f t="shared" si="198"/>
        <v>54.747109826589593</v>
      </c>
      <c r="AG49" s="32">
        <f t="shared" ref="AG49:AO49" si="199">AG39</f>
        <v>53.429765348762452</v>
      </c>
      <c r="AH49" s="32">
        <f t="shared" si="199"/>
        <v>52.497332542975698</v>
      </c>
      <c r="AI49" s="32">
        <f t="shared" si="199"/>
        <v>54.881683011705157</v>
      </c>
      <c r="AJ49" s="174">
        <f t="shared" si="199"/>
        <v>53.839777670372158</v>
      </c>
      <c r="AK49" s="32">
        <f t="shared" si="199"/>
        <v>56.405943627450988</v>
      </c>
      <c r="AL49" s="32">
        <f t="shared" si="199"/>
        <v>55.155505743905856</v>
      </c>
      <c r="AM49" s="32">
        <f t="shared" si="199"/>
        <v>54.032782515991471</v>
      </c>
      <c r="AN49" s="32">
        <f t="shared" si="199"/>
        <v>54.709625235912647</v>
      </c>
      <c r="AO49" s="174">
        <f t="shared" si="199"/>
        <v>55.030642227508046</v>
      </c>
      <c r="AP49" s="32">
        <f t="shared" ref="AP49:AT49" si="200">AP39</f>
        <v>55.24849246231156</v>
      </c>
      <c r="AQ49" s="32">
        <f t="shared" si="200"/>
        <v>54.241914045192736</v>
      </c>
      <c r="AR49" s="32">
        <f t="shared" si="200"/>
        <v>53.398031825795648</v>
      </c>
      <c r="AS49" s="32">
        <f t="shared" si="200"/>
        <v>54.26288748684599</v>
      </c>
      <c r="AT49" s="174">
        <f t="shared" si="200"/>
        <v>54.24600659551087</v>
      </c>
      <c r="AU49" s="32">
        <f>AU39</f>
        <v>53.229447331280475</v>
      </c>
      <c r="AV49" s="32">
        <f t="shared" ref="AV49:AY49" si="201">AV39</f>
        <v>51.323131565067264</v>
      </c>
      <c r="AW49" s="32">
        <f t="shared" si="201"/>
        <v>51.16760662671836</v>
      </c>
      <c r="AX49" s="32">
        <f t="shared" si="201"/>
        <v>51.917943925233651</v>
      </c>
      <c r="AY49" s="174">
        <f t="shared" si="201"/>
        <v>51.869369130792634</v>
      </c>
      <c r="AZ49" s="32">
        <f>AZ39</f>
        <v>52.420825852782755</v>
      </c>
      <c r="BA49" s="32">
        <f t="shared" ref="BA49:BD49" si="202">BA39</f>
        <v>53.135675153077663</v>
      </c>
      <c r="BB49" s="32">
        <f t="shared" si="202"/>
        <v>52.485175202156334</v>
      </c>
      <c r="BC49" s="32">
        <f t="shared" si="202"/>
        <v>53.912131147540983</v>
      </c>
      <c r="BD49" s="174">
        <f t="shared" si="202"/>
        <v>52.997229458710656</v>
      </c>
      <c r="BE49" s="32">
        <f t="shared" ref="BE49:BH49" si="203">BE39</f>
        <v>53.600294434470364</v>
      </c>
      <c r="BF49" s="32">
        <f t="shared" si="203"/>
        <v>53.667031904608443</v>
      </c>
      <c r="BG49" s="32">
        <f t="shared" si="203"/>
        <v>54.059730458221026</v>
      </c>
      <c r="BH49" s="32">
        <f t="shared" si="203"/>
        <v>54.9903737704918</v>
      </c>
      <c r="BI49" s="174">
        <f>BI39</f>
        <v>54.073348908310088</v>
      </c>
      <c r="BJ49" s="32"/>
      <c r="BK49" s="32"/>
      <c r="BL49" s="32"/>
      <c r="BM49" s="32"/>
      <c r="BN49" s="174">
        <f>BN39</f>
        <v>55.154815886476293</v>
      </c>
      <c r="BO49" s="32"/>
      <c r="BP49" s="32"/>
      <c r="BQ49" s="32"/>
      <c r="BR49" s="32"/>
      <c r="BS49" s="174">
        <f>BS39</f>
        <v>56.257912204205816</v>
      </c>
      <c r="BT49" s="154"/>
      <c r="BU49" s="363"/>
      <c r="BV49" s="228"/>
      <c r="BW49" s="154"/>
      <c r="BX49" s="154"/>
      <c r="BY49" s="154"/>
      <c r="BZ49" s="548"/>
      <c r="CA49" s="532"/>
      <c r="CB49" s="532"/>
      <c r="CC49" s="548"/>
      <c r="CD49" s="532"/>
      <c r="CE49" s="791"/>
      <c r="CF49" s="532"/>
      <c r="CG49" s="532"/>
      <c r="CH49" s="363"/>
      <c r="CI49" s="154"/>
      <c r="CJ49"/>
      <c r="CK49"/>
      <c r="CL49"/>
      <c r="CM49"/>
      <c r="CN49"/>
      <c r="CO49"/>
      <c r="CP49" s="402"/>
    </row>
    <row r="50" spans="1:94" s="267" customFormat="1" ht="12.75" customHeight="1" x14ac:dyDescent="0.2">
      <c r="A50" s="31" t="s">
        <v>57</v>
      </c>
      <c r="B50" s="32"/>
      <c r="C50" s="32"/>
      <c r="D50" s="32"/>
      <c r="E50" s="32"/>
      <c r="F50" s="174"/>
      <c r="G50" s="32">
        <f>G49+G48</f>
        <v>115.87464264523439</v>
      </c>
      <c r="H50" s="32">
        <f t="shared" ref="H50:P50" si="204">H49+H48</f>
        <v>109.21042548300025</v>
      </c>
      <c r="I50" s="32">
        <f t="shared" si="204"/>
        <v>112.07405687715512</v>
      </c>
      <c r="J50" s="32">
        <f t="shared" si="204"/>
        <v>115.78190415209573</v>
      </c>
      <c r="K50" s="174">
        <f t="shared" si="204"/>
        <v>113.07150428549825</v>
      </c>
      <c r="L50" s="32">
        <f t="shared" si="204"/>
        <v>114.67690045660868</v>
      </c>
      <c r="M50" s="32">
        <f t="shared" si="204"/>
        <v>110.69781711638467</v>
      </c>
      <c r="N50" s="32">
        <f t="shared" si="204"/>
        <v>105.58062605442893</v>
      </c>
      <c r="O50" s="32">
        <f t="shared" si="204"/>
        <v>117.54043109545981</v>
      </c>
      <c r="P50" s="174">
        <f t="shared" si="204"/>
        <v>111.84777725158766</v>
      </c>
      <c r="Q50" s="32">
        <f t="shared" ref="Q50:AL50" si="205">Q49+Q48</f>
        <v>120.64598510959354</v>
      </c>
      <c r="R50" s="32">
        <f t="shared" si="205"/>
        <v>110.07390434389724</v>
      </c>
      <c r="S50" s="32">
        <f t="shared" si="205"/>
        <v>106.64028259373799</v>
      </c>
      <c r="T50" s="32">
        <f t="shared" si="205"/>
        <v>113.48056763378844</v>
      </c>
      <c r="U50" s="174">
        <f t="shared" si="205"/>
        <v>112.38428776269728</v>
      </c>
      <c r="V50" s="32">
        <f t="shared" si="205"/>
        <v>124.91704840507438</v>
      </c>
      <c r="W50" s="32">
        <f t="shared" si="205"/>
        <v>125.40499999999999</v>
      </c>
      <c r="X50" s="32">
        <f t="shared" si="205"/>
        <v>126.3518599562363</v>
      </c>
      <c r="Y50" s="32">
        <f t="shared" si="205"/>
        <v>126.22995391705071</v>
      </c>
      <c r="Z50" s="174">
        <f t="shared" si="205"/>
        <v>125.76248612861097</v>
      </c>
      <c r="AA50" s="32">
        <f t="shared" si="205"/>
        <v>128.35036185610898</v>
      </c>
      <c r="AB50" s="32">
        <f t="shared" si="205"/>
        <v>132.53272101033295</v>
      </c>
      <c r="AC50" s="32">
        <f t="shared" si="205"/>
        <v>121.64783226723526</v>
      </c>
      <c r="AD50" s="32">
        <f t="shared" si="205"/>
        <v>124.01511144692105</v>
      </c>
      <c r="AE50" s="174">
        <f t="shared" si="205"/>
        <v>126.48834308740285</v>
      </c>
      <c r="AF50" s="32">
        <f t="shared" si="205"/>
        <v>133.82839595375722</v>
      </c>
      <c r="AG50" s="32">
        <f t="shared" si="205"/>
        <v>130.93506910961105</v>
      </c>
      <c r="AH50" s="32">
        <f>AH49+AH48</f>
        <v>135.33639596917607</v>
      </c>
      <c r="AI50" s="32">
        <f t="shared" si="205"/>
        <v>132.86428345460297</v>
      </c>
      <c r="AJ50" s="174">
        <f t="shared" si="205"/>
        <v>133.26768164975027</v>
      </c>
      <c r="AK50" s="32">
        <f t="shared" si="205"/>
        <v>134.18719362745099</v>
      </c>
      <c r="AL50" s="32">
        <f t="shared" si="205"/>
        <v>139.9094984589521</v>
      </c>
      <c r="AM50" s="32">
        <f>AM49+AM48</f>
        <v>138.53118336886996</v>
      </c>
      <c r="AN50" s="32">
        <f>AN49+AN48</f>
        <v>127.92855217039633</v>
      </c>
      <c r="AO50" s="174">
        <f>AO49+AO48</f>
        <v>135.13222331047993</v>
      </c>
      <c r="AP50" s="32">
        <f>AP49+AP48</f>
        <v>123.95854271356784</v>
      </c>
      <c r="AQ50" s="32">
        <f>AQ49+AQ48</f>
        <v>122.6010190518387</v>
      </c>
      <c r="AR50" s="32">
        <f t="shared" ref="AR50:AT50" si="206">AR49+AR48</f>
        <v>120.36034338358459</v>
      </c>
      <c r="AS50" s="32">
        <f t="shared" si="206"/>
        <v>111.77863681694309</v>
      </c>
      <c r="AT50" s="174">
        <f t="shared" si="206"/>
        <v>119.49678901585958</v>
      </c>
      <c r="AU50" s="32">
        <f>AU49+AU48</f>
        <v>107.88406947652041</v>
      </c>
      <c r="AV50" s="32">
        <f>AV49+AV48</f>
        <v>104.19256395012525</v>
      </c>
      <c r="AW50" s="32">
        <f t="shared" ref="AW50:AY50" si="207">AW49+AW48</f>
        <v>109.50458230525203</v>
      </c>
      <c r="AX50" s="32">
        <f t="shared" si="207"/>
        <v>108.10299065420561</v>
      </c>
      <c r="AY50" s="174">
        <f t="shared" si="207"/>
        <v>107.40625492779476</v>
      </c>
      <c r="AZ50" s="32">
        <f>AZ49+AZ48</f>
        <v>106.23806104129262</v>
      </c>
      <c r="BA50" s="32">
        <f>BA49+BA48</f>
        <v>113.0650982919755</v>
      </c>
      <c r="BB50" s="32">
        <f t="shared" ref="BB50:BD50" si="208">BB49+BB48</f>
        <v>108.96321547486919</v>
      </c>
      <c r="BC50" s="32">
        <f t="shared" si="208"/>
        <v>109.34540983606557</v>
      </c>
      <c r="BD50" s="174">
        <f t="shared" si="208"/>
        <v>109.48459661745855</v>
      </c>
      <c r="BE50" s="32">
        <f t="shared" ref="BE50" si="209">BE49+BE48</f>
        <v>107.78671585637342</v>
      </c>
      <c r="BF50" s="32">
        <f t="shared" ref="BF50:BH50" si="210">BF49+BF48</f>
        <v>110.20444969384468</v>
      </c>
      <c r="BG50" s="32">
        <f t="shared" si="210"/>
        <v>114.7849319958915</v>
      </c>
      <c r="BH50" s="32">
        <f t="shared" si="210"/>
        <v>113.90707969180329</v>
      </c>
      <c r="BI50" s="174">
        <f>BI49+BI48</f>
        <v>111.76566756285722</v>
      </c>
      <c r="BJ50" s="32"/>
      <c r="BK50" s="32"/>
      <c r="BL50" s="32"/>
      <c r="BM50" s="32"/>
      <c r="BN50" s="174">
        <f>BN49+BN48</f>
        <v>112.27021135447795</v>
      </c>
      <c r="BO50" s="32"/>
      <c r="BP50" s="32"/>
      <c r="BQ50" s="32"/>
      <c r="BR50" s="32"/>
      <c r="BS50" s="174">
        <f>BS49+BS48</f>
        <v>112.80215371752747</v>
      </c>
      <c r="BT50" s="154"/>
      <c r="BU50" s="363"/>
      <c r="BV50" s="228"/>
      <c r="BW50" s="154"/>
      <c r="BX50" s="154"/>
      <c r="BY50" s="154"/>
      <c r="BZ50" s="531"/>
      <c r="CA50" s="532"/>
      <c r="CB50" s="790"/>
      <c r="CC50" s="790"/>
      <c r="CD50" s="532"/>
      <c r="CE50" s="532"/>
      <c r="CF50" s="532"/>
      <c r="CG50" s="532"/>
      <c r="CH50" s="363"/>
      <c r="CI50" s="154"/>
      <c r="CJ50"/>
      <c r="CK50"/>
      <c r="CL50"/>
      <c r="CM50"/>
      <c r="CN50"/>
      <c r="CO50"/>
      <c r="CP50" s="402"/>
    </row>
    <row r="51" spans="1:94" s="260" customFormat="1" ht="12.75" customHeight="1" x14ac:dyDescent="0.2">
      <c r="A51" s="117" t="s">
        <v>21</v>
      </c>
      <c r="B51" s="18"/>
      <c r="C51" s="18"/>
      <c r="D51" s="18"/>
      <c r="E51" s="18"/>
      <c r="F51" s="166"/>
      <c r="G51" s="18"/>
      <c r="H51" s="18"/>
      <c r="I51" s="18"/>
      <c r="J51" s="18"/>
      <c r="K51" s="166"/>
      <c r="L51" s="18">
        <f t="shared" ref="L51:U51" si="211">L50/G50-1</f>
        <v>-1.033653404474999E-2</v>
      </c>
      <c r="M51" s="18">
        <f t="shared" si="211"/>
        <v>1.3619502229811786E-2</v>
      </c>
      <c r="N51" s="18">
        <f t="shared" si="211"/>
        <v>-5.7938750533887307E-2</v>
      </c>
      <c r="O51" s="18">
        <f t="shared" si="211"/>
        <v>1.5188271053600877E-2</v>
      </c>
      <c r="P51" s="166">
        <f t="shared" si="211"/>
        <v>-1.0822594442723266E-2</v>
      </c>
      <c r="Q51" s="18">
        <f t="shared" si="211"/>
        <v>5.2051325325482178E-2</v>
      </c>
      <c r="R51" s="18">
        <f t="shared" si="211"/>
        <v>-5.6361795448185426E-3</v>
      </c>
      <c r="S51" s="18">
        <f t="shared" si="211"/>
        <v>1.0036467663705473E-2</v>
      </c>
      <c r="T51" s="18">
        <f t="shared" si="211"/>
        <v>-3.4540144389756167E-2</v>
      </c>
      <c r="U51" s="166">
        <f t="shared" si="211"/>
        <v>4.7967918924558539E-3</v>
      </c>
      <c r="V51" s="18">
        <f t="shared" ref="V51:AL51" si="212">V50/Q50-1</f>
        <v>3.5401619801944229E-2</v>
      </c>
      <c r="W51" s="18">
        <f t="shared" si="212"/>
        <v>0.13928002052334532</v>
      </c>
      <c r="X51" s="18">
        <f t="shared" si="212"/>
        <v>0.18484175850876627</v>
      </c>
      <c r="Y51" s="18">
        <f t="shared" si="212"/>
        <v>0.11234862980599147</v>
      </c>
      <c r="Z51" s="166">
        <f t="shared" si="212"/>
        <v>0.11903975753409712</v>
      </c>
      <c r="AA51" s="18">
        <f t="shared" si="212"/>
        <v>2.7484746836966778E-2</v>
      </c>
      <c r="AB51" s="18">
        <f t="shared" si="212"/>
        <v>5.6837614212614795E-2</v>
      </c>
      <c r="AC51" s="18">
        <f t="shared" si="212"/>
        <v>-3.7229587998390712E-2</v>
      </c>
      <c r="AD51" s="18">
        <f t="shared" si="212"/>
        <v>-1.7546092677694358E-2</v>
      </c>
      <c r="AE51" s="166">
        <f t="shared" si="212"/>
        <v>5.7716492503938621E-3</v>
      </c>
      <c r="AF51" s="18">
        <f t="shared" si="212"/>
        <v>4.2680316739500679E-2</v>
      </c>
      <c r="AG51" s="18">
        <f t="shared" si="212"/>
        <v>-1.2054773255559592E-2</v>
      </c>
      <c r="AH51" s="18">
        <f>AH50/AC50-1</f>
        <v>0.11252616217500577</v>
      </c>
      <c r="AI51" s="18">
        <f t="shared" si="212"/>
        <v>7.1355594527441113E-2</v>
      </c>
      <c r="AJ51" s="166">
        <f t="shared" si="212"/>
        <v>5.359654808398373E-2</v>
      </c>
      <c r="AK51" s="18">
        <f t="shared" si="212"/>
        <v>2.6810279771847245E-3</v>
      </c>
      <c r="AL51" s="18">
        <f t="shared" si="212"/>
        <v>6.8541067037037884E-2</v>
      </c>
      <c r="AM51" s="18">
        <f t="shared" ref="AM51:AR51" si="213">AM50/AH50-1</f>
        <v>2.360626922872644E-2</v>
      </c>
      <c r="AN51" s="18">
        <f t="shared" si="213"/>
        <v>-3.7148668971620835E-2</v>
      </c>
      <c r="AO51" s="166">
        <f t="shared" si="213"/>
        <v>1.3990951426843257E-2</v>
      </c>
      <c r="AP51" s="18">
        <f t="shared" si="213"/>
        <v>-7.6226729521457592E-2</v>
      </c>
      <c r="AQ51" s="18">
        <f t="shared" si="213"/>
        <v>-0.12371196807764639</v>
      </c>
      <c r="AR51" s="18">
        <f t="shared" si="213"/>
        <v>-0.13116786808137981</v>
      </c>
      <c r="AS51" s="18">
        <f t="shared" ref="AS51:AW51" si="214">AS50/AN50-1</f>
        <v>-0.12624168005858549</v>
      </c>
      <c r="AT51" s="166">
        <f t="shared" si="214"/>
        <v>-0.11570470692764645</v>
      </c>
      <c r="AU51" s="18">
        <f t="shared" si="214"/>
        <v>-0.12967620371426003</v>
      </c>
      <c r="AV51" s="18">
        <f t="shared" si="214"/>
        <v>-0.15014928296745977</v>
      </c>
      <c r="AW51" s="18">
        <f t="shared" si="214"/>
        <v>-9.0193836052258503E-2</v>
      </c>
      <c r="AX51" s="18">
        <f t="shared" ref="AX51" si="215">AX50/AS50-1</f>
        <v>-3.2883261662575047E-2</v>
      </c>
      <c r="AY51" s="166">
        <f t="shared" ref="AY51:BH51" si="216">AY50/AT50-1</f>
        <v>-0.10117873616219231</v>
      </c>
      <c r="AZ51" s="18">
        <f t="shared" si="216"/>
        <v>-1.5257196388814509E-2</v>
      </c>
      <c r="BA51" s="18">
        <f t="shared" si="216"/>
        <v>8.5155158923791774E-2</v>
      </c>
      <c r="BB51" s="18">
        <f t="shared" si="216"/>
        <v>-4.943782433448729E-3</v>
      </c>
      <c r="BC51" s="18">
        <f t="shared" ref="BC51" si="217">BC50/AX50-1</f>
        <v>1.1492921466290884E-2</v>
      </c>
      <c r="BD51" s="166">
        <f t="shared" ref="BD51" si="218">BD50/AY50-1</f>
        <v>1.935028542854389E-2</v>
      </c>
      <c r="BE51" s="18">
        <f t="shared" si="216"/>
        <v>1.4577212723026589E-2</v>
      </c>
      <c r="BF51" s="18">
        <f t="shared" si="216"/>
        <v>-2.5300898697700469E-2</v>
      </c>
      <c r="BG51" s="18">
        <f t="shared" si="216"/>
        <v>5.3428273896386713E-2</v>
      </c>
      <c r="BH51" s="18">
        <f t="shared" si="216"/>
        <v>4.1717982150112576E-2</v>
      </c>
      <c r="BI51" s="166">
        <f>BI50/BD50-1</f>
        <v>2.0834628942085542E-2</v>
      </c>
      <c r="BJ51" s="18"/>
      <c r="BK51" s="18"/>
      <c r="BL51" s="18"/>
      <c r="BM51" s="18"/>
      <c r="BN51" s="166">
        <f>BN50/BI50-1</f>
        <v>4.5143003448440133E-3</v>
      </c>
      <c r="BO51" s="18"/>
      <c r="BP51" s="18"/>
      <c r="BQ51" s="18"/>
      <c r="BR51" s="18"/>
      <c r="BS51" s="166">
        <f>BS50/BN50-1</f>
        <v>4.7380543479158543E-3</v>
      </c>
      <c r="BT51" s="148"/>
      <c r="BU51" s="356"/>
      <c r="BV51" s="224"/>
      <c r="BW51" s="148"/>
      <c r="BX51" s="148"/>
      <c r="BY51" s="148"/>
      <c r="BZ51" s="531"/>
      <c r="CA51" s="532"/>
      <c r="CB51" s="790"/>
      <c r="CC51" s="790"/>
      <c r="CD51" s="532"/>
      <c r="CE51" s="532"/>
      <c r="CF51" s="532"/>
      <c r="CG51" s="532"/>
      <c r="CH51" s="356"/>
      <c r="CI51" s="148"/>
      <c r="CJ51"/>
      <c r="CK51"/>
      <c r="CL51"/>
      <c r="CM51"/>
      <c r="CN51"/>
      <c r="CO51"/>
      <c r="CP51" s="391"/>
    </row>
    <row r="52" spans="1:94" s="254" customFormat="1" ht="12.75" customHeight="1" x14ac:dyDescent="0.2">
      <c r="A52" s="9" t="s">
        <v>20</v>
      </c>
      <c r="B52" s="9"/>
      <c r="C52" s="9"/>
      <c r="D52" s="9"/>
      <c r="E52" s="9"/>
      <c r="F52" s="165"/>
      <c r="G52" s="719"/>
      <c r="H52" s="719"/>
      <c r="I52" s="719"/>
      <c r="J52" s="719"/>
      <c r="K52" s="165"/>
      <c r="L52" s="719"/>
      <c r="M52" s="719"/>
      <c r="N52" s="719"/>
      <c r="O52" s="719"/>
      <c r="P52" s="165"/>
      <c r="Q52" s="719"/>
      <c r="R52" s="719"/>
      <c r="S52" s="719"/>
      <c r="T52" s="719"/>
      <c r="U52" s="165"/>
      <c r="V52" s="719"/>
      <c r="W52" s="719"/>
      <c r="X52" s="719"/>
      <c r="Y52" s="719"/>
      <c r="Z52" s="165"/>
      <c r="AA52" s="719"/>
      <c r="AB52" s="719"/>
      <c r="AC52" s="719"/>
      <c r="AD52" s="719"/>
      <c r="AE52" s="165"/>
      <c r="AF52" s="719"/>
      <c r="AG52" s="719"/>
      <c r="AH52" s="719"/>
      <c r="AI52" s="719"/>
      <c r="AJ52" s="165"/>
      <c r="AK52" s="719"/>
      <c r="AL52" s="719"/>
      <c r="AM52" s="719"/>
      <c r="AN52" s="719"/>
      <c r="AO52" s="165"/>
      <c r="AP52" s="719"/>
      <c r="AQ52" s="719"/>
      <c r="AR52" s="719"/>
      <c r="AS52" s="719"/>
      <c r="AT52" s="165"/>
      <c r="AU52" s="719"/>
      <c r="AV52" s="719"/>
      <c r="AW52" s="719"/>
      <c r="AX52" s="719"/>
      <c r="AY52" s="165"/>
      <c r="AZ52" s="719"/>
      <c r="BA52" s="719"/>
      <c r="BB52" s="719"/>
      <c r="BC52" s="719"/>
      <c r="BD52" s="165"/>
      <c r="BE52" s="821"/>
      <c r="BF52" s="821"/>
      <c r="BG52" s="821"/>
      <c r="BH52" s="821"/>
      <c r="BI52" s="165"/>
      <c r="BJ52" s="9"/>
      <c r="BK52" s="9"/>
      <c r="BL52" s="9"/>
      <c r="BM52" s="9"/>
      <c r="BN52" s="165"/>
      <c r="BO52" s="9"/>
      <c r="BP52" s="9"/>
      <c r="BQ52" s="9"/>
      <c r="BR52" s="9"/>
      <c r="BS52" s="165"/>
      <c r="BT52" s="249"/>
      <c r="BU52" s="8"/>
      <c r="BV52" s="280"/>
      <c r="BW52" s="249"/>
      <c r="BX52" s="249"/>
      <c r="BY52" s="249"/>
      <c r="BZ52" s="432"/>
      <c r="CA52" s="532"/>
      <c r="CB52" s="790"/>
      <c r="CC52" s="790"/>
      <c r="CD52" s="548"/>
      <c r="CE52" s="837"/>
      <c r="CF52" s="532"/>
      <c r="CG52" s="532"/>
      <c r="CH52" s="8"/>
      <c r="CI52" s="249"/>
      <c r="CJ52"/>
      <c r="CK52"/>
      <c r="CL52"/>
      <c r="CM52"/>
      <c r="CN52"/>
      <c r="CO52"/>
      <c r="CP52" s="320"/>
    </row>
    <row r="53" spans="1:94" s="140" customFormat="1" ht="12.75" customHeight="1" x14ac:dyDescent="0.2">
      <c r="A53" s="10" t="s">
        <v>58</v>
      </c>
      <c r="B53" s="11"/>
      <c r="C53" s="11"/>
      <c r="D53" s="11"/>
      <c r="E53" s="11"/>
      <c r="F53" s="869">
        <f>146.626</f>
        <v>146.626</v>
      </c>
      <c r="G53" s="854">
        <v>39.140999999999998</v>
      </c>
      <c r="H53" s="854">
        <v>39.290999999999997</v>
      </c>
      <c r="I53" s="854">
        <v>35.991999999999997</v>
      </c>
      <c r="J53" s="854">
        <v>32.591000000000001</v>
      </c>
      <c r="K53" s="12">
        <f>SUM(G53:J53)</f>
        <v>147.01499999999999</v>
      </c>
      <c r="L53" s="854">
        <v>33.658000000000001</v>
      </c>
      <c r="M53" s="854">
        <v>33.527999999999999</v>
      </c>
      <c r="N53" s="854">
        <v>33.503</v>
      </c>
      <c r="O53" s="854">
        <v>34.731000000000002</v>
      </c>
      <c r="P53" s="12">
        <f>SUM(L53:O53)</f>
        <v>135.42000000000002</v>
      </c>
      <c r="Q53" s="854">
        <v>36.064</v>
      </c>
      <c r="R53" s="854">
        <v>38.72</v>
      </c>
      <c r="S53" s="854">
        <v>39.935000000000002</v>
      </c>
      <c r="T53" s="854">
        <v>41.724000000000025</v>
      </c>
      <c r="U53" s="12">
        <f>SUM(Q53:T53)</f>
        <v>156.44300000000001</v>
      </c>
      <c r="V53" s="854">
        <v>43.192999999999998</v>
      </c>
      <c r="W53" s="854">
        <v>45.173000000000002</v>
      </c>
      <c r="X53" s="854">
        <v>45.148000000000003</v>
      </c>
      <c r="Y53" s="854">
        <v>48.228000000000002</v>
      </c>
      <c r="Z53" s="12">
        <f>SUM(V53:Y53)</f>
        <v>181.74200000000002</v>
      </c>
      <c r="AA53" s="854">
        <v>52.654000000000003</v>
      </c>
      <c r="AB53" s="854">
        <v>53.488999999999997</v>
      </c>
      <c r="AC53" s="854">
        <v>54.412999999999997</v>
      </c>
      <c r="AD53" s="854">
        <v>58.363</v>
      </c>
      <c r="AE53" s="12">
        <f>SUM(AA53:AD53)</f>
        <v>218.91899999999998</v>
      </c>
      <c r="AF53" s="854">
        <v>61.497</v>
      </c>
      <c r="AG53" s="854">
        <v>64.456000000000003</v>
      </c>
      <c r="AH53" s="854">
        <v>66.805000000000007</v>
      </c>
      <c r="AI53" s="854">
        <v>69.391999999999996</v>
      </c>
      <c r="AJ53" s="12">
        <f>SUM(AF53:AI53)</f>
        <v>262.14999999999998</v>
      </c>
      <c r="AK53" s="854">
        <v>76.248999999999995</v>
      </c>
      <c r="AL53" s="854">
        <v>77.44</v>
      </c>
      <c r="AM53" s="854">
        <v>79.087000000000003</v>
      </c>
      <c r="AN53" s="854">
        <v>81.212000000000003</v>
      </c>
      <c r="AO53" s="12">
        <f>SUM(AK53:AN53)</f>
        <v>313.988</v>
      </c>
      <c r="AP53" s="854">
        <v>89.057000000000002</v>
      </c>
      <c r="AQ53" s="854">
        <v>97.037000000000006</v>
      </c>
      <c r="AR53" s="854">
        <v>95.081000000000003</v>
      </c>
      <c r="AS53" s="854">
        <v>97.034999999999997</v>
      </c>
      <c r="AT53" s="12">
        <f>SUM(AP53:AS53)</f>
        <v>378.21000000000004</v>
      </c>
      <c r="AU53" s="854">
        <v>116.41</v>
      </c>
      <c r="AV53" s="854">
        <v>112.93</v>
      </c>
      <c r="AW53" s="854">
        <v>120.19</v>
      </c>
      <c r="AX53" s="854">
        <v>122.941</v>
      </c>
      <c r="AY53" s="12">
        <f>SUM(AU53:AX53)</f>
        <v>472.471</v>
      </c>
      <c r="AZ53" s="854">
        <v>127.13800000000001</v>
      </c>
      <c r="BA53" s="854">
        <v>129.892</v>
      </c>
      <c r="BB53" s="854">
        <v>134.114</v>
      </c>
      <c r="BC53" s="854">
        <v>136.815</v>
      </c>
      <c r="BD53" s="12">
        <f>SUM(AZ53:BC53)</f>
        <v>527.95900000000006</v>
      </c>
      <c r="BE53" s="11">
        <f t="shared" ref="BE53" si="219">BE55*BE11/100</f>
        <v>171.03875140000002</v>
      </c>
      <c r="BF53" s="11">
        <f t="shared" ref="BF53:BH53" si="220">BF55*BF11/100</f>
        <v>182.887936</v>
      </c>
      <c r="BG53" s="11">
        <f t="shared" si="220"/>
        <v>194.331186</v>
      </c>
      <c r="BH53" s="11">
        <f t="shared" si="220"/>
        <v>178.51621200000002</v>
      </c>
      <c r="BI53" s="12">
        <f>SUM(BE53:BH53)</f>
        <v>726.77408539999999</v>
      </c>
      <c r="BJ53" s="11"/>
      <c r="BK53" s="11"/>
      <c r="BL53" s="11"/>
      <c r="BM53" s="11"/>
      <c r="BN53" s="12">
        <f>BN55*BN11/100</f>
        <v>842.14947145725</v>
      </c>
      <c r="BO53" s="11"/>
      <c r="BP53" s="11"/>
      <c r="BQ53" s="11"/>
      <c r="BR53" s="11"/>
      <c r="BS53" s="12">
        <f>BS55*BS11/100</f>
        <v>947.41815538940614</v>
      </c>
      <c r="BT53" s="250"/>
      <c r="BU53" s="360"/>
      <c r="BV53" s="281"/>
      <c r="BW53" s="250"/>
      <c r="BX53" s="250"/>
      <c r="BY53" s="250"/>
      <c r="BZ53" s="532"/>
      <c r="CA53" s="553"/>
      <c r="CB53" s="553" t="s">
        <v>462</v>
      </c>
      <c r="CC53" s="553">
        <v>2016</v>
      </c>
      <c r="CD53" s="553">
        <v>2017</v>
      </c>
      <c r="CE53" s="553">
        <v>2018</v>
      </c>
      <c r="CF53" s="553">
        <v>2019</v>
      </c>
      <c r="CG53" s="326" t="s">
        <v>463</v>
      </c>
      <c r="CH53" s="360"/>
      <c r="CI53" s="250"/>
      <c r="CJ53"/>
      <c r="CK53"/>
      <c r="CL53"/>
      <c r="CM53"/>
      <c r="CN53"/>
      <c r="CO53"/>
      <c r="CP53" s="11"/>
    </row>
    <row r="54" spans="1:94" s="260" customFormat="1" ht="12.75" customHeight="1" x14ac:dyDescent="0.2">
      <c r="A54" s="561" t="s">
        <v>21</v>
      </c>
      <c r="B54" s="18"/>
      <c r="C54" s="18"/>
      <c r="D54" s="18"/>
      <c r="E54" s="18"/>
      <c r="F54" s="166"/>
      <c r="G54" s="18"/>
      <c r="H54" s="18"/>
      <c r="I54" s="18"/>
      <c r="J54" s="18"/>
      <c r="K54" s="166">
        <f t="shared" ref="K54:U54" si="221">K53/F53-1</f>
        <v>2.653008334128959E-3</v>
      </c>
      <c r="L54" s="18">
        <f t="shared" si="221"/>
        <v>-0.14008328862318276</v>
      </c>
      <c r="M54" s="18">
        <f t="shared" si="221"/>
        <v>-0.14667481102542568</v>
      </c>
      <c r="N54" s="18">
        <f t="shared" si="221"/>
        <v>-6.9154256501444689E-2</v>
      </c>
      <c r="O54" s="18">
        <f t="shared" si="221"/>
        <v>6.5662299407811986E-2</v>
      </c>
      <c r="P54" s="166">
        <f t="shared" si="221"/>
        <v>-7.8869503111927197E-2</v>
      </c>
      <c r="Q54" s="18">
        <f>Q53/L53-1</f>
        <v>7.1483748291639504E-2</v>
      </c>
      <c r="R54" s="18">
        <f>R53/M53-1</f>
        <v>0.15485564304461952</v>
      </c>
      <c r="S54" s="18">
        <f t="shared" si="221"/>
        <v>0.19198280750977537</v>
      </c>
      <c r="T54" s="18">
        <f t="shared" si="221"/>
        <v>0.20134749935216445</v>
      </c>
      <c r="U54" s="166">
        <f t="shared" si="221"/>
        <v>0.15524294786589854</v>
      </c>
      <c r="V54" s="18">
        <f t="shared" ref="V54:AM54" si="222">V53/Q53-1</f>
        <v>0.19767635314995546</v>
      </c>
      <c r="W54" s="18">
        <f t="shared" si="222"/>
        <v>0.16665805785123977</v>
      </c>
      <c r="X54" s="18">
        <f t="shared" si="222"/>
        <v>0.13053712282458996</v>
      </c>
      <c r="Y54" s="18">
        <f t="shared" si="222"/>
        <v>0.15588150704630355</v>
      </c>
      <c r="Z54" s="166">
        <f t="shared" si="222"/>
        <v>0.16171385105118152</v>
      </c>
      <c r="AA54" s="18">
        <f t="shared" si="222"/>
        <v>0.21904012224203018</v>
      </c>
      <c r="AB54" s="18">
        <f t="shared" si="222"/>
        <v>0.18409226750492547</v>
      </c>
      <c r="AC54" s="18">
        <f t="shared" si="222"/>
        <v>0.20521396296624417</v>
      </c>
      <c r="AD54" s="18">
        <f t="shared" si="222"/>
        <v>0.21014763208094878</v>
      </c>
      <c r="AE54" s="166">
        <f t="shared" si="222"/>
        <v>0.20455921030911939</v>
      </c>
      <c r="AF54" s="18">
        <f t="shared" si="222"/>
        <v>0.1679454552360693</v>
      </c>
      <c r="AG54" s="18">
        <f t="shared" si="222"/>
        <v>0.20503281048439881</v>
      </c>
      <c r="AH54" s="18">
        <f t="shared" si="222"/>
        <v>0.22773969455828591</v>
      </c>
      <c r="AI54" s="18">
        <f t="shared" si="222"/>
        <v>0.18897246543186608</v>
      </c>
      <c r="AJ54" s="166">
        <f t="shared" si="222"/>
        <v>0.19747486513276602</v>
      </c>
      <c r="AK54" s="18">
        <f t="shared" si="222"/>
        <v>0.23988162024163784</v>
      </c>
      <c r="AL54" s="18">
        <f t="shared" si="222"/>
        <v>0.20143974183939428</v>
      </c>
      <c r="AM54" s="18">
        <f t="shared" si="222"/>
        <v>0.18384851433275951</v>
      </c>
      <c r="AN54" s="18">
        <f>AN53/AI53-1</f>
        <v>0.17033663822919087</v>
      </c>
      <c r="AO54" s="166">
        <f>AO53/AJ53-1</f>
        <v>0.19774175090597002</v>
      </c>
      <c r="AP54" s="18">
        <f>AP53/AK53-1</f>
        <v>0.16797597345538962</v>
      </c>
      <c r="AQ54" s="18">
        <f>AQ53/AL53-1</f>
        <v>0.25306043388429766</v>
      </c>
      <c r="AR54" s="18">
        <f>AR53/AM53-1</f>
        <v>0.20223298392909084</v>
      </c>
      <c r="AS54" s="18">
        <f t="shared" ref="AS54:AT54" si="223">AS53/AN53-1</f>
        <v>0.19483573856080372</v>
      </c>
      <c r="AT54" s="166">
        <f t="shared" si="223"/>
        <v>0.20453647910111217</v>
      </c>
      <c r="AU54" s="18">
        <f>AU53/AP53-1</f>
        <v>0.3071403707737741</v>
      </c>
      <c r="AV54" s="18">
        <f>AV53/AQ53-1</f>
        <v>0.16378288694003329</v>
      </c>
      <c r="AW54" s="18">
        <f>AW53/AR53-1</f>
        <v>0.26408010012515648</v>
      </c>
      <c r="AX54" s="18">
        <f t="shared" ref="AX54" si="224">AX53/AS53-1</f>
        <v>0.26697583346215281</v>
      </c>
      <c r="AY54" s="166">
        <f t="shared" ref="AY54" si="225">AY53/AT53-1</f>
        <v>0.24922926416541058</v>
      </c>
      <c r="AZ54" s="18">
        <f>AZ53/AU53-1</f>
        <v>9.2157031182888094E-2</v>
      </c>
      <c r="BA54" s="18">
        <f>BA53/AV53-1</f>
        <v>0.15019923846630645</v>
      </c>
      <c r="BB54" s="18">
        <f>BB53/AW53-1</f>
        <v>0.11584990431816289</v>
      </c>
      <c r="BC54" s="18">
        <f t="shared" ref="BC54" si="226">BC53/AX53-1</f>
        <v>0.11285087969025787</v>
      </c>
      <c r="BD54" s="166">
        <f t="shared" ref="BD54" si="227">BD53/AY53-1</f>
        <v>0.11744212872324455</v>
      </c>
      <c r="BE54" s="18">
        <f t="shared" ref="BE54:BI54" si="228">BE53/AZ53-1</f>
        <v>0.34530000000000016</v>
      </c>
      <c r="BF54" s="18">
        <f t="shared" si="228"/>
        <v>0.40799999999999992</v>
      </c>
      <c r="BG54" s="18">
        <f t="shared" si="228"/>
        <v>0.44900000000000007</v>
      </c>
      <c r="BH54" s="18">
        <f t="shared" si="228"/>
        <v>0.30480000000000018</v>
      </c>
      <c r="BI54" s="166">
        <f t="shared" si="228"/>
        <v>0.37657296380968952</v>
      </c>
      <c r="BJ54" s="18"/>
      <c r="BK54" s="18"/>
      <c r="BL54" s="18"/>
      <c r="BM54" s="18"/>
      <c r="BN54" s="166">
        <f>BN53/BI53-1</f>
        <v>0.15874999999999995</v>
      </c>
      <c r="BO54" s="18"/>
      <c r="BP54" s="18"/>
      <c r="BQ54" s="18"/>
      <c r="BR54" s="18"/>
      <c r="BS54" s="166">
        <f>BS53/BN53-1</f>
        <v>0.12499999999999978</v>
      </c>
      <c r="BT54" s="148"/>
      <c r="BU54" s="356"/>
      <c r="BV54" s="224"/>
      <c r="BW54" s="148"/>
      <c r="BX54" s="148"/>
      <c r="BY54" s="148"/>
      <c r="BZ54" s="549" t="s">
        <v>464</v>
      </c>
      <c r="CA54" s="549"/>
      <c r="CB54" s="764">
        <v>0.5</v>
      </c>
      <c r="CC54" s="765">
        <v>0</v>
      </c>
      <c r="CD54" s="765">
        <v>0</v>
      </c>
      <c r="CE54" s="764">
        <f>+CG54*10/12</f>
        <v>0.35833333333333334</v>
      </c>
      <c r="CF54" s="764">
        <f>+CG54*1/4</f>
        <v>0.1075</v>
      </c>
      <c r="CG54" s="765">
        <v>0.43</v>
      </c>
      <c r="CH54" s="356"/>
      <c r="CI54" s="148"/>
      <c r="CJ54"/>
      <c r="CK54"/>
      <c r="CL54"/>
      <c r="CM54"/>
      <c r="CN54"/>
      <c r="CO54"/>
      <c r="CP54" s="391"/>
    </row>
    <row r="55" spans="1:94" s="263" customFormat="1" ht="12.75" customHeight="1" x14ac:dyDescent="0.2">
      <c r="A55" s="562" t="s">
        <v>103</v>
      </c>
      <c r="B55" s="25"/>
      <c r="C55" s="25"/>
      <c r="D55" s="25"/>
      <c r="E55" s="25"/>
      <c r="F55" s="169"/>
      <c r="G55" s="25">
        <f t="shared" ref="G55:AQ55" si="229">G53/G11*100</f>
        <v>1.8476035108290212</v>
      </c>
      <c r="H55" s="25">
        <f t="shared" si="229"/>
        <v>1.7771801225042536</v>
      </c>
      <c r="I55" s="25">
        <f t="shared" si="229"/>
        <v>1.7004782713253115</v>
      </c>
      <c r="J55" s="25">
        <f t="shared" si="229"/>
        <v>1.7943483340435631</v>
      </c>
      <c r="K55" s="169">
        <f t="shared" si="229"/>
        <v>1.7793620149327707</v>
      </c>
      <c r="L55" s="25">
        <f t="shared" si="229"/>
        <v>1.8652702724420698</v>
      </c>
      <c r="M55" s="25">
        <f t="shared" si="229"/>
        <v>1.7476107698442274</v>
      </c>
      <c r="N55" s="25">
        <f t="shared" si="229"/>
        <v>1.7359157301333168</v>
      </c>
      <c r="O55" s="25">
        <f t="shared" si="229"/>
        <v>1.8956013817351811</v>
      </c>
      <c r="P55" s="169">
        <f t="shared" si="229"/>
        <v>1.8091843560461989</v>
      </c>
      <c r="Q55" s="25">
        <f t="shared" si="229"/>
        <v>1.9813958445848128</v>
      </c>
      <c r="R55" s="25">
        <f t="shared" si="229"/>
        <v>2.0324893848097663</v>
      </c>
      <c r="S55" s="25">
        <f t="shared" si="229"/>
        <v>1.8201093022694053</v>
      </c>
      <c r="T55" s="25">
        <f t="shared" si="229"/>
        <v>1.8959938926857651</v>
      </c>
      <c r="U55" s="169">
        <f t="shared" si="229"/>
        <v>1.9266562010501822</v>
      </c>
      <c r="V55" s="25">
        <f t="shared" si="229"/>
        <v>1.9632316211512488</v>
      </c>
      <c r="W55" s="25">
        <f t="shared" si="229"/>
        <v>1.8623110912492449</v>
      </c>
      <c r="X55" s="25">
        <f t="shared" si="229"/>
        <v>1.8633391691656742</v>
      </c>
      <c r="Y55" s="25">
        <f t="shared" si="229"/>
        <v>2.0933636362057984</v>
      </c>
      <c r="Z55" s="169">
        <f t="shared" si="229"/>
        <v>1.9432341094458381</v>
      </c>
      <c r="AA55" s="25">
        <f t="shared" si="229"/>
        <v>2.0337472103279475</v>
      </c>
      <c r="AB55" s="25">
        <f t="shared" si="229"/>
        <v>1.8921326279238575</v>
      </c>
      <c r="AC55" s="25">
        <f t="shared" si="229"/>
        <v>1.8304536926803716</v>
      </c>
      <c r="AD55" s="25">
        <f t="shared" si="229"/>
        <v>1.9742908851039358</v>
      </c>
      <c r="AE55" s="169">
        <f t="shared" si="229"/>
        <v>1.9296975838387</v>
      </c>
      <c r="AF55" s="25">
        <f t="shared" si="229"/>
        <v>1.9665107664521841</v>
      </c>
      <c r="AG55" s="25">
        <f t="shared" si="229"/>
        <v>1.8845367468000214</v>
      </c>
      <c r="AH55" s="25">
        <f t="shared" si="229"/>
        <v>1.8363358934741014</v>
      </c>
      <c r="AI55" s="25">
        <f t="shared" si="229"/>
        <v>1.8877184048191875</v>
      </c>
      <c r="AJ55" s="169">
        <f t="shared" si="229"/>
        <v>1.8912239274058582</v>
      </c>
      <c r="AK55" s="25">
        <f t="shared" si="229"/>
        <v>2.0146499337997166</v>
      </c>
      <c r="AL55" s="25">
        <f t="shared" si="229"/>
        <v>1.931891350071236</v>
      </c>
      <c r="AM55" s="25">
        <f t="shared" si="229"/>
        <v>1.8945730365367741</v>
      </c>
      <c r="AN55" s="25">
        <f t="shared" si="229"/>
        <v>1.8573309478238018</v>
      </c>
      <c r="AO55" s="169">
        <f t="shared" si="229"/>
        <v>1.9215744881531629</v>
      </c>
      <c r="AP55" s="25">
        <f t="shared" si="229"/>
        <v>1.8830256204562759</v>
      </c>
      <c r="AQ55" s="25">
        <f t="shared" si="229"/>
        <v>1.8613357875694452</v>
      </c>
      <c r="AR55" s="25">
        <f>AR53/AR11*100</f>
        <v>1.6984825107980586</v>
      </c>
      <c r="AS55" s="25">
        <f>AS53/AS11*100</f>
        <v>1.7007577736031736</v>
      </c>
      <c r="AT55" s="169">
        <f>AT53/AT11*100</f>
        <v>1.7801336966492343</v>
      </c>
      <c r="AU55" s="25">
        <f>AU53/AU11*100</f>
        <v>1.9456777990324259</v>
      </c>
      <c r="AV55" s="25">
        <f t="shared" ref="AV55" si="230">AV53/AV11*100</f>
        <v>1.7591934721818285</v>
      </c>
      <c r="AW55" s="25">
        <f>AW53/AW11*100</f>
        <v>1.8470298456910217</v>
      </c>
      <c r="AX55" s="25">
        <f>AX53/AX11*100</f>
        <v>1.8669804699091179</v>
      </c>
      <c r="AY55" s="493">
        <f>AY53/AY11*100</f>
        <v>1.8532165537815275</v>
      </c>
      <c r="AZ55" s="25">
        <f>AZ53/AZ11*100</f>
        <v>1.8490382130394876</v>
      </c>
      <c r="BA55" s="25">
        <f t="shared" ref="BA55" si="231">BA53/BA11*100</f>
        <v>1.7806650364147179</v>
      </c>
      <c r="BB55" s="25">
        <f>BB53/BB11*100</f>
        <v>1.7459777704642125</v>
      </c>
      <c r="BC55" s="25">
        <f>BC53/BC11*100</f>
        <v>1.7674004622123929</v>
      </c>
      <c r="BD55" s="493">
        <f>BD53/BD11*100</f>
        <v>1.7840780900258271</v>
      </c>
      <c r="BE55" s="25">
        <f t="shared" ref="BE55:BH55" si="232">AZ55*(1+BE56)</f>
        <v>2.0339420343434367</v>
      </c>
      <c r="BF55" s="25">
        <f t="shared" si="232"/>
        <v>1.9587315400561898</v>
      </c>
      <c r="BG55" s="25">
        <f t="shared" si="232"/>
        <v>2.0078744360338443</v>
      </c>
      <c r="BH55" s="25">
        <f t="shared" si="232"/>
        <v>1.9794885176778803</v>
      </c>
      <c r="BI55" s="493">
        <f>BI53/BI11*100</f>
        <v>1.9942741810518121</v>
      </c>
      <c r="BJ55" s="25"/>
      <c r="BK55" s="25"/>
      <c r="BL55" s="25"/>
      <c r="BM55" s="25"/>
      <c r="BN55" s="493">
        <f>BI55*(1+BN56)</f>
        <v>2.0541024064833664</v>
      </c>
      <c r="BO55" s="25"/>
      <c r="BP55" s="25"/>
      <c r="BQ55" s="25"/>
      <c r="BR55" s="25"/>
      <c r="BS55" s="169">
        <f>BN55*(1+BS56)</f>
        <v>2.0541024064833664</v>
      </c>
      <c r="BT55" s="151"/>
      <c r="BU55" s="359"/>
      <c r="BV55" s="227"/>
      <c r="BW55" s="151"/>
      <c r="BX55" s="151"/>
      <c r="BY55" s="151"/>
      <c r="BZ55" s="549" t="s">
        <v>465</v>
      </c>
      <c r="CA55" s="549"/>
      <c r="CB55" s="764">
        <v>0.2</v>
      </c>
      <c r="CC55" s="764">
        <f>CG55*0.666666666666667+3%*0.333333333333333</f>
        <v>0.31000000000000016</v>
      </c>
      <c r="CD55" s="764">
        <f>CG55*0.333333333333333+3%*0.666666666666667</f>
        <v>0.16999999999999987</v>
      </c>
      <c r="CE55" s="765">
        <v>0.03</v>
      </c>
      <c r="CF55" s="765">
        <v>0.03</v>
      </c>
      <c r="CG55" s="765">
        <v>0.45</v>
      </c>
      <c r="CH55" s="359"/>
      <c r="CI55" s="151"/>
      <c r="CJ55"/>
      <c r="CK55"/>
      <c r="CL55"/>
      <c r="CM55"/>
      <c r="CN55"/>
      <c r="CO55"/>
      <c r="CP55" s="395"/>
    </row>
    <row r="56" spans="1:94" s="260" customFormat="1" ht="12.75" customHeight="1" x14ac:dyDescent="0.2">
      <c r="A56" s="541" t="s">
        <v>21</v>
      </c>
      <c r="B56" s="18"/>
      <c r="C56" s="18"/>
      <c r="D56" s="18"/>
      <c r="E56" s="18"/>
      <c r="F56" s="166"/>
      <c r="G56" s="18"/>
      <c r="H56" s="18"/>
      <c r="I56" s="18"/>
      <c r="J56" s="18"/>
      <c r="K56" s="166"/>
      <c r="L56" s="18">
        <f t="shared" ref="L56:T56" si="233">L55/G55-1</f>
        <v>9.5619874661969639E-3</v>
      </c>
      <c r="M56" s="18">
        <f t="shared" si="233"/>
        <v>-1.6638354371395714E-2</v>
      </c>
      <c r="N56" s="18">
        <f t="shared" si="233"/>
        <v>2.0839701045039627E-2</v>
      </c>
      <c r="O56" s="18">
        <f t="shared" si="233"/>
        <v>5.6428869339680832E-2</v>
      </c>
      <c r="P56" s="166">
        <f t="shared" si="233"/>
        <v>1.6760131363462216E-2</v>
      </c>
      <c r="Q56" s="18">
        <f t="shared" si="233"/>
        <v>6.2256700199648796E-2</v>
      </c>
      <c r="R56" s="18">
        <f t="shared" si="233"/>
        <v>0.16301033381187713</v>
      </c>
      <c r="S56" s="18">
        <f t="shared" si="233"/>
        <v>4.8500955820950153E-2</v>
      </c>
      <c r="T56" s="18">
        <f t="shared" si="233"/>
        <v>2.0706407706061469E-4</v>
      </c>
      <c r="U56" s="166">
        <f t="shared" ref="U56:AM56" si="234">U55/P55-1</f>
        <v>6.4930831737185057E-2</v>
      </c>
      <c r="V56" s="18">
        <f t="shared" si="234"/>
        <v>-9.1673874673791067E-3</v>
      </c>
      <c r="W56" s="18">
        <f t="shared" si="234"/>
        <v>-8.3728995010938001E-2</v>
      </c>
      <c r="X56" s="18">
        <f t="shared" si="234"/>
        <v>2.3751247709336898E-2</v>
      </c>
      <c r="Y56" s="18">
        <f t="shared" si="234"/>
        <v>0.10409830130858166</v>
      </c>
      <c r="Z56" s="166">
        <f t="shared" si="234"/>
        <v>8.6044974638546101E-3</v>
      </c>
      <c r="AA56" s="18">
        <f t="shared" si="234"/>
        <v>3.5918120112260699E-2</v>
      </c>
      <c r="AB56" s="18">
        <f t="shared" si="234"/>
        <v>1.6013187493077785E-2</v>
      </c>
      <c r="AC56" s="18">
        <f t="shared" si="234"/>
        <v>-1.7648679869713302E-2</v>
      </c>
      <c r="AD56" s="18">
        <f t="shared" si="234"/>
        <v>-5.6881064064760789E-2</v>
      </c>
      <c r="AE56" s="166">
        <f t="shared" si="234"/>
        <v>-6.9659777693992231E-3</v>
      </c>
      <c r="AF56" s="18">
        <f t="shared" si="234"/>
        <v>-3.3060374236442702E-2</v>
      </c>
      <c r="AG56" s="18">
        <f t="shared" si="234"/>
        <v>-4.0144549127989482E-3</v>
      </c>
      <c r="AH56" s="18">
        <f t="shared" si="234"/>
        <v>3.2135206791910065E-3</v>
      </c>
      <c r="AI56" s="18">
        <f t="shared" si="234"/>
        <v>-4.384991134687366E-2</v>
      </c>
      <c r="AJ56" s="166">
        <f t="shared" si="234"/>
        <v>-1.9937661090038361E-2</v>
      </c>
      <c r="AK56" s="18">
        <f t="shared" si="234"/>
        <v>2.4479483239433941E-2</v>
      </c>
      <c r="AL56" s="18">
        <f t="shared" si="234"/>
        <v>2.5127980842837738E-2</v>
      </c>
      <c r="AM56" s="18">
        <f t="shared" si="234"/>
        <v>3.1713774843498799E-2</v>
      </c>
      <c r="AN56" s="18">
        <f t="shared" ref="AN56:AW56" si="235">AN55/AI55-1</f>
        <v>-1.6097452309522975E-2</v>
      </c>
      <c r="AO56" s="166">
        <f t="shared" si="235"/>
        <v>1.6048105307622462E-2</v>
      </c>
      <c r="AP56" s="18">
        <f t="shared" si="235"/>
        <v>-6.5333590285430621E-2</v>
      </c>
      <c r="AQ56" s="18">
        <f t="shared" si="235"/>
        <v>-3.6521496148936738E-2</v>
      </c>
      <c r="AR56" s="18">
        <f t="shared" si="235"/>
        <v>-0.10350116989797531</v>
      </c>
      <c r="AS56" s="18">
        <f t="shared" si="235"/>
        <v>-8.4300094393022329E-2</v>
      </c>
      <c r="AT56" s="166">
        <f t="shared" si="235"/>
        <v>-7.3606718020006734E-2</v>
      </c>
      <c r="AU56" s="18">
        <f t="shared" si="235"/>
        <v>3.3272079729307569E-2</v>
      </c>
      <c r="AV56" s="18">
        <f t="shared" si="235"/>
        <v>-5.4875813418381325E-2</v>
      </c>
      <c r="AW56" s="18">
        <f t="shared" si="235"/>
        <v>8.7458854564929078E-2</v>
      </c>
      <c r="AX56" s="18">
        <f t="shared" ref="AX56" si="236">AX55/AS55-1</f>
        <v>9.7734491581237926E-2</v>
      </c>
      <c r="AY56" s="166">
        <f t="shared" ref="AY56:BB56" si="237">AY55/AT55-1</f>
        <v>4.1054701267583482E-2</v>
      </c>
      <c r="AZ56" s="18">
        <f t="shared" si="237"/>
        <v>-4.9668853723363937E-2</v>
      </c>
      <c r="BA56" s="18">
        <f t="shared" si="237"/>
        <v>1.2205345558871095E-2</v>
      </c>
      <c r="BB56" s="18">
        <f t="shared" si="237"/>
        <v>-5.4710580591080249E-2</v>
      </c>
      <c r="BC56" s="18">
        <f t="shared" ref="BC56" si="238">BC55/AX55-1</f>
        <v>-5.3337466192976524E-2</v>
      </c>
      <c r="BD56" s="166">
        <f t="shared" ref="BD56" si="239">BD55/AY55-1</f>
        <v>-3.7307277238929237E-2</v>
      </c>
      <c r="BE56" s="139">
        <v>0.1</v>
      </c>
      <c r="BF56" s="139">
        <v>0.1</v>
      </c>
      <c r="BG56" s="139">
        <v>0.15</v>
      </c>
      <c r="BH56" s="139">
        <v>0.12</v>
      </c>
      <c r="BI56" s="166">
        <f>BI55/BD55-1</f>
        <v>0.117817763808165</v>
      </c>
      <c r="BJ56" s="18"/>
      <c r="BK56" s="18"/>
      <c r="BL56" s="139"/>
      <c r="BM56" s="139"/>
      <c r="BN56" s="801">
        <v>0.03</v>
      </c>
      <c r="BO56" s="18"/>
      <c r="BP56" s="18"/>
      <c r="BQ56" s="139"/>
      <c r="BR56" s="139"/>
      <c r="BS56" s="801">
        <v>0</v>
      </c>
      <c r="BT56" s="148"/>
      <c r="BU56" s="356"/>
      <c r="BV56" s="224"/>
      <c r="BW56" s="148"/>
      <c r="BX56" s="148"/>
      <c r="BY56" s="148"/>
      <c r="BZ56" s="549" t="s">
        <v>130</v>
      </c>
      <c r="CA56" s="549"/>
      <c r="CB56" s="764">
        <f>1-SUM(CB54:CB55)</f>
        <v>0.30000000000000004</v>
      </c>
      <c r="CC56" s="765">
        <v>0.03</v>
      </c>
      <c r="CD56" s="765">
        <v>0.03</v>
      </c>
      <c r="CE56" s="765">
        <v>0.03</v>
      </c>
      <c r="CF56" s="765">
        <v>0.03</v>
      </c>
      <c r="CG56" s="764" t="s">
        <v>466</v>
      </c>
      <c r="CH56" s="356"/>
      <c r="CI56" s="148"/>
      <c r="CJ56"/>
      <c r="CK56"/>
      <c r="CL56"/>
      <c r="CM56"/>
      <c r="CN56"/>
      <c r="CO56"/>
      <c r="CP56" s="391"/>
    </row>
    <row r="57" spans="1:94" s="140" customFormat="1" ht="12.75" customHeight="1" x14ac:dyDescent="0.2">
      <c r="A57" s="10" t="s">
        <v>104</v>
      </c>
      <c r="B57" s="11"/>
      <c r="C57" s="11"/>
      <c r="D57" s="11"/>
      <c r="E57" s="11"/>
      <c r="F57" s="869">
        <f>251.23+10.3</f>
        <v>261.52999999999997</v>
      </c>
      <c r="G57" s="854">
        <f>70.649+9.93219</f>
        <v>80.581190000000007</v>
      </c>
      <c r="H57" s="854">
        <f>59.045+34.051298</f>
        <v>93.096298000000004</v>
      </c>
      <c r="I57" s="854">
        <f>114.531+-54.161215</f>
        <v>60.369785000000007</v>
      </c>
      <c r="J57" s="854">
        <f>54.869+0.3045</f>
        <v>55.173499999999997</v>
      </c>
      <c r="K57" s="12">
        <f>SUM(G57:J57)</f>
        <v>289.22077300000001</v>
      </c>
      <c r="L57" s="854">
        <f>35.889+0</f>
        <v>35.889000000000003</v>
      </c>
      <c r="M57" s="854">
        <f>42.743+0.667</f>
        <v>43.410000000000004</v>
      </c>
      <c r="N57" s="854">
        <f>53.203-1.31318</f>
        <v>51.88982</v>
      </c>
      <c r="O57" s="854">
        <f>49.272+2.095</f>
        <v>51.366999999999997</v>
      </c>
      <c r="P57" s="12">
        <f>SUM(L57:O57)</f>
        <v>182.55582000000001</v>
      </c>
      <c r="Q57" s="854">
        <f>53.825+0.628</f>
        <v>54.453000000000003</v>
      </c>
      <c r="R57" s="854">
        <f>60.78-2.295</f>
        <v>58.484999999999999</v>
      </c>
      <c r="S57" s="854">
        <f>63.554+2.594</f>
        <v>66.147999999999996</v>
      </c>
      <c r="T57" s="854">
        <f>70.047+1.136</f>
        <v>71.182999999999993</v>
      </c>
      <c r="U57" s="12">
        <f>SUM(Q57:T57)</f>
        <v>250.26900000000001</v>
      </c>
      <c r="V57" s="854">
        <f>80.912+0.546</f>
        <v>81.458000000000013</v>
      </c>
      <c r="W57" s="854">
        <f>107.322-3.457</f>
        <v>103.86500000000001</v>
      </c>
      <c r="X57" s="854">
        <v>103.49</v>
      </c>
      <c r="Y57" s="854">
        <v>96.03</v>
      </c>
      <c r="Z57" s="12">
        <f>SUM(V57:Y57)</f>
        <v>384.84300000000007</v>
      </c>
      <c r="AA57" s="854">
        <f>108.725-0.258</f>
        <v>108.467</v>
      </c>
      <c r="AB57" s="854">
        <f>120.233-1.123</f>
        <v>119.11</v>
      </c>
      <c r="AC57" s="854">
        <v>122.93700000000001</v>
      </c>
      <c r="AD57" s="854">
        <f>120.789+0.414</f>
        <v>121.203</v>
      </c>
      <c r="AE57" s="12">
        <f>SUM(AA57:AD57)</f>
        <v>471.71699999999998</v>
      </c>
      <c r="AF57" s="854">
        <f>131.666-3.381</f>
        <v>128.285</v>
      </c>
      <c r="AG57" s="854">
        <v>129.488</v>
      </c>
      <c r="AH57" s="854">
        <v>150.64099999999999</v>
      </c>
      <c r="AI57" s="854">
        <v>143.06699999999998</v>
      </c>
      <c r="AJ57" s="12">
        <f>SUM(AF57:AI57)</f>
        <v>551.48099999999999</v>
      </c>
      <c r="AK57" s="854">
        <v>148.471</v>
      </c>
      <c r="AL57" s="854">
        <v>154.38499999999999</v>
      </c>
      <c r="AM57" s="854">
        <v>162.01100000000002</v>
      </c>
      <c r="AN57" s="854">
        <v>134.88400000000001</v>
      </c>
      <c r="AO57" s="12">
        <f>SUM(AK57:AN57)</f>
        <v>599.75099999999998</v>
      </c>
      <c r="AP57" s="854">
        <v>110.73099999999999</v>
      </c>
      <c r="AQ57" s="854">
        <v>131.57599999999999</v>
      </c>
      <c r="AR57" s="854">
        <v>115.81700000000001</v>
      </c>
      <c r="AS57" s="854">
        <v>107.203</v>
      </c>
      <c r="AT57" s="12">
        <f>SUM(AP57:AS57)</f>
        <v>465.327</v>
      </c>
      <c r="AU57" s="854">
        <v>85.981999999999999</v>
      </c>
      <c r="AV57" s="854">
        <v>113.19199999999999</v>
      </c>
      <c r="AW57" s="854">
        <v>121.84399999999999</v>
      </c>
      <c r="AX57" s="854">
        <v>126.535</v>
      </c>
      <c r="AY57" s="12">
        <f>SUM(AU57:AX57)</f>
        <v>447.553</v>
      </c>
      <c r="AZ57" s="854">
        <v>139.78200000000001</v>
      </c>
      <c r="BA57" s="854">
        <v>142.29400000000001</v>
      </c>
      <c r="BB57" s="854">
        <v>158.30000000000001</v>
      </c>
      <c r="BC57" s="854">
        <v>175.20500000000001</v>
      </c>
      <c r="BD57" s="12">
        <f>SUM(AZ57:BC57)</f>
        <v>615.58100000000002</v>
      </c>
      <c r="BE57" s="11">
        <f>BE59*BE73</f>
        <v>204.25</v>
      </c>
      <c r="BF57" s="11">
        <f t="shared" ref="BF57:BH57" si="240">BF59*BF73</f>
        <v>233.08743743999995</v>
      </c>
      <c r="BG57" s="11">
        <f t="shared" si="240"/>
        <v>242.10674333999998</v>
      </c>
      <c r="BH57" s="11">
        <f t="shared" si="240"/>
        <v>218.06664088999997</v>
      </c>
      <c r="BI57" s="12">
        <f>SUM(BE57:BH57)</f>
        <v>897.51082166999981</v>
      </c>
      <c r="BJ57" s="11"/>
      <c r="BK57" s="11"/>
      <c r="BL57" s="11"/>
      <c r="BM57" s="11"/>
      <c r="BN57" s="12">
        <f>BN59*BN73</f>
        <v>957.9232143321185</v>
      </c>
      <c r="BO57" s="11"/>
      <c r="BP57" s="11"/>
      <c r="BQ57" s="11"/>
      <c r="BR57" s="11"/>
      <c r="BS57" s="12">
        <f>BS59*BS73</f>
        <v>1019.9691859433559</v>
      </c>
      <c r="BT57" s="250"/>
      <c r="BU57" s="360"/>
      <c r="BV57" s="281"/>
      <c r="BW57" s="250"/>
      <c r="BX57" s="250"/>
      <c r="BY57" s="250"/>
      <c r="BZ57" s="328" t="s">
        <v>440</v>
      </c>
      <c r="CA57" s="328"/>
      <c r="CB57" s="723">
        <f>+SUM(CB54:CB56)</f>
        <v>1</v>
      </c>
      <c r="CC57" s="723">
        <f>+SUMPRODUCT(CC54:CC56,$CB$54:$CB$56)</f>
        <v>7.1000000000000035E-2</v>
      </c>
      <c r="CD57" s="723">
        <f>+SUMPRODUCT(CD54:CD56,$CB$54:$CB$56)</f>
        <v>4.2999999999999976E-2</v>
      </c>
      <c r="CE57" s="723">
        <f>+SUMPRODUCT(CE54:CE56,$CB$54:$CB$56)</f>
        <v>0.19416666666666668</v>
      </c>
      <c r="CF57" s="723">
        <f>+SUMPRODUCT(CF54:CF56,$CB$54:$CB$56)</f>
        <v>6.8750000000000006E-2</v>
      </c>
      <c r="CG57" s="765"/>
      <c r="CH57" s="360"/>
      <c r="CI57" s="250"/>
      <c r="CJ57"/>
      <c r="CK57"/>
      <c r="CL57"/>
      <c r="CM57"/>
      <c r="CN57"/>
      <c r="CO57"/>
      <c r="CP57" s="11"/>
    </row>
    <row r="58" spans="1:94" s="260" customFormat="1" ht="12.75" customHeight="1" x14ac:dyDescent="0.2">
      <c r="A58" s="561" t="s">
        <v>21</v>
      </c>
      <c r="B58" s="18"/>
      <c r="C58" s="18"/>
      <c r="D58" s="18"/>
      <c r="E58" s="18"/>
      <c r="F58" s="166"/>
      <c r="G58" s="18"/>
      <c r="H58" s="18"/>
      <c r="I58" s="18"/>
      <c r="J58" s="18"/>
      <c r="K58" s="166">
        <f t="shared" ref="K58:AM58" si="241">K57/F57-1</f>
        <v>0.10587991052651713</v>
      </c>
      <c r="L58" s="18">
        <f t="shared" si="241"/>
        <v>-0.55462310745224785</v>
      </c>
      <c r="M58" s="18">
        <f t="shared" si="241"/>
        <v>-0.53370863361290688</v>
      </c>
      <c r="N58" s="18">
        <f t="shared" si="241"/>
        <v>-0.14046703992734122</v>
      </c>
      <c r="O58" s="18">
        <f t="shared" si="241"/>
        <v>-6.899145423074482E-2</v>
      </c>
      <c r="P58" s="166">
        <f t="shared" si="241"/>
        <v>-0.36880114762711047</v>
      </c>
      <c r="Q58" s="18">
        <f t="shared" si="241"/>
        <v>0.51726155646576943</v>
      </c>
      <c r="R58" s="18">
        <f t="shared" si="241"/>
        <v>0.34727021423635085</v>
      </c>
      <c r="S58" s="18">
        <f t="shared" si="241"/>
        <v>0.27477798150003219</v>
      </c>
      <c r="T58" s="18">
        <f t="shared" si="241"/>
        <v>0.38577296708003184</v>
      </c>
      <c r="U58" s="166">
        <f t="shared" si="241"/>
        <v>0.37091767329028458</v>
      </c>
      <c r="V58" s="18">
        <f t="shared" si="241"/>
        <v>0.49593227186748212</v>
      </c>
      <c r="W58" s="18">
        <f t="shared" si="241"/>
        <v>0.77592545097033438</v>
      </c>
      <c r="X58" s="18">
        <f t="shared" si="241"/>
        <v>0.56452198101227546</v>
      </c>
      <c r="Y58" s="18">
        <f t="shared" si="241"/>
        <v>0.34905806161583541</v>
      </c>
      <c r="Z58" s="166">
        <f>Z57/U57-1</f>
        <v>0.53771741606031931</v>
      </c>
      <c r="AA58" s="18">
        <f t="shared" si="241"/>
        <v>0.33156964325173677</v>
      </c>
      <c r="AB58" s="18">
        <f t="shared" si="241"/>
        <v>0.1467770663842487</v>
      </c>
      <c r="AC58" s="18">
        <f t="shared" si="241"/>
        <v>0.18791187554353095</v>
      </c>
      <c r="AD58" s="18">
        <f t="shared" si="241"/>
        <v>0.26213683223992512</v>
      </c>
      <c r="AE58" s="166">
        <f>AE57/Z57-1</f>
        <v>0.22573880777355937</v>
      </c>
      <c r="AF58" s="18">
        <f t="shared" si="241"/>
        <v>0.18270994864797596</v>
      </c>
      <c r="AG58" s="18">
        <f t="shared" si="241"/>
        <v>8.7129544118881741E-2</v>
      </c>
      <c r="AH58" s="18">
        <f t="shared" si="241"/>
        <v>0.22535119614111276</v>
      </c>
      <c r="AI58" s="18">
        <f t="shared" si="241"/>
        <v>0.18039157446597831</v>
      </c>
      <c r="AJ58" s="166">
        <f>AJ57/AE57-1</f>
        <v>0.16909290951990275</v>
      </c>
      <c r="AK58" s="18">
        <f t="shared" si="241"/>
        <v>0.15735276922477293</v>
      </c>
      <c r="AL58" s="18">
        <f t="shared" si="241"/>
        <v>0.19227264302483627</v>
      </c>
      <c r="AM58" s="18">
        <f t="shared" si="241"/>
        <v>7.5477459655737933E-2</v>
      </c>
      <c r="AN58" s="18">
        <f>AN57/AI57-1</f>
        <v>-5.7196977639846769E-2</v>
      </c>
      <c r="AO58" s="166">
        <f>AO57/AJ57-1</f>
        <v>8.7527947472351597E-2</v>
      </c>
      <c r="AP58" s="18">
        <f>AP57/AK57-1</f>
        <v>-0.254191054145254</v>
      </c>
      <c r="AQ58" s="18">
        <f>AQ57/AL57-1</f>
        <v>-0.14774103701784502</v>
      </c>
      <c r="AR58" s="18">
        <f>AR57/AM57-1</f>
        <v>-0.28512878755146265</v>
      </c>
      <c r="AS58" s="18">
        <f t="shared" ref="AS58:AT58" si="242">AS57/AN57-1</f>
        <v>-0.20522078230182983</v>
      </c>
      <c r="AT58" s="166">
        <f t="shared" si="242"/>
        <v>-0.22413301520130846</v>
      </c>
      <c r="AU58" s="18">
        <f>AU57/AP57-1</f>
        <v>-0.22350561270105029</v>
      </c>
      <c r="AV58" s="18">
        <f>AV57/AQ57-1</f>
        <v>-0.13972152976226671</v>
      </c>
      <c r="AW58" s="18">
        <f>AW57/AR57-1</f>
        <v>5.2038992548589569E-2</v>
      </c>
      <c r="AX58" s="18">
        <f t="shared" ref="AX58" si="243">AX57/AS57-1</f>
        <v>0.18033077432534528</v>
      </c>
      <c r="AY58" s="166">
        <f t="shared" ref="AY58" si="244">AY57/AT57-1</f>
        <v>-3.8196794942051526E-2</v>
      </c>
      <c r="AZ58" s="18">
        <f>AZ57/AU57-1</f>
        <v>0.62571235840059569</v>
      </c>
      <c r="BA58" s="18">
        <f>BA57/AV57-1</f>
        <v>0.2571029754752987</v>
      </c>
      <c r="BB58" s="18">
        <f>BB57/AW57-1</f>
        <v>0.29920225862578387</v>
      </c>
      <c r="BC58" s="18">
        <f t="shared" ref="BC58" si="245">BC57/AX57-1</f>
        <v>0.38463666179317979</v>
      </c>
      <c r="BD58" s="166">
        <f t="shared" ref="BD58" si="246">BD57/AY57-1</f>
        <v>0.3754370990698308</v>
      </c>
      <c r="BE58" s="18">
        <f t="shared" ref="BE58:BH58" si="247">BE57/AZ57-1</f>
        <v>0.46120387460474155</v>
      </c>
      <c r="BF58" s="18">
        <f t="shared" si="247"/>
        <v>0.63806933138431643</v>
      </c>
      <c r="BG58" s="18">
        <f t="shared" si="247"/>
        <v>0.52941720366392908</v>
      </c>
      <c r="BH58" s="18">
        <f t="shared" si="247"/>
        <v>0.24463708735481271</v>
      </c>
      <c r="BI58" s="166">
        <f>BI57/BD57-1</f>
        <v>0.45798980421747881</v>
      </c>
      <c r="BJ58" s="18"/>
      <c r="BK58" s="18"/>
      <c r="BL58" s="18"/>
      <c r="BM58" s="18"/>
      <c r="BN58" s="166">
        <f>BN57/BI57-1</f>
        <v>6.7311046511627781E-2</v>
      </c>
      <c r="BO58" s="18"/>
      <c r="BP58" s="18"/>
      <c r="BQ58" s="18"/>
      <c r="BR58" s="18"/>
      <c r="BS58" s="166">
        <f>BS57/BN57-1</f>
        <v>6.4771341463414567E-2</v>
      </c>
      <c r="BT58" s="148"/>
      <c r="BU58" s="356"/>
      <c r="BV58" s="224"/>
      <c r="BW58" s="148"/>
      <c r="BX58" s="148"/>
      <c r="BY58" s="148"/>
      <c r="BZ58" s="432"/>
      <c r="CA58" s="532"/>
      <c r="CB58" s="790"/>
      <c r="CC58" s="790"/>
      <c r="CD58" s="548"/>
      <c r="CE58" s="837"/>
      <c r="CF58" s="532"/>
      <c r="CG58" s="532"/>
      <c r="CH58" s="356"/>
      <c r="CI58" s="148"/>
      <c r="CJ58"/>
      <c r="CK58"/>
      <c r="CL58"/>
      <c r="CM58"/>
      <c r="CN58"/>
      <c r="CO58"/>
      <c r="CP58" s="391"/>
    </row>
    <row r="59" spans="1:94" s="267" customFormat="1" ht="12.75" customHeight="1" x14ac:dyDescent="0.2">
      <c r="A59" s="563" t="s">
        <v>105</v>
      </c>
      <c r="B59" s="33"/>
      <c r="C59" s="33"/>
      <c r="D59" s="33"/>
      <c r="E59" s="33"/>
      <c r="F59" s="870">
        <v>2.2999999999999998</v>
      </c>
      <c r="G59" s="33">
        <f t="shared" ref="G59:P59" si="248">G57/G73</f>
        <v>2.7985410154893384</v>
      </c>
      <c r="H59" s="33">
        <f t="shared" si="248"/>
        <v>3.1655716957393998</v>
      </c>
      <c r="I59" s="33">
        <f t="shared" si="248"/>
        <v>2.1754093546178517</v>
      </c>
      <c r="J59" s="33">
        <f t="shared" si="248"/>
        <v>2.3370679430701458</v>
      </c>
      <c r="K59" s="194">
        <f t="shared" si="248"/>
        <v>2.639790922035012</v>
      </c>
      <c r="L59" s="33">
        <f t="shared" si="248"/>
        <v>1.5257631153813453</v>
      </c>
      <c r="M59" s="33">
        <f t="shared" si="248"/>
        <v>1.7237819163721559</v>
      </c>
      <c r="N59" s="33">
        <f t="shared" si="248"/>
        <v>2.0330611605218825</v>
      </c>
      <c r="O59" s="33">
        <f t="shared" si="248"/>
        <v>2.1231297015789039</v>
      </c>
      <c r="P59" s="194">
        <f t="shared" si="248"/>
        <v>1.8548273759931724</v>
      </c>
      <c r="Q59" s="33">
        <v>2.25</v>
      </c>
      <c r="R59" s="33">
        <v>2.34</v>
      </c>
      <c r="S59" s="33">
        <v>2.2999999999999998</v>
      </c>
      <c r="T59" s="33">
        <f>T57/T73</f>
        <v>2.4826097713655502</v>
      </c>
      <c r="U59" s="194">
        <f>U57/U73</f>
        <v>2.3471321139654879</v>
      </c>
      <c r="V59" s="33">
        <f>V57/V73</f>
        <v>2.8914525060343608</v>
      </c>
      <c r="W59" s="33">
        <f>W57/W73</f>
        <v>3.3221916581371551</v>
      </c>
      <c r="X59" s="33">
        <v>3.27</v>
      </c>
      <c r="Y59" s="33">
        <f t="shared" ref="Y59:AE59" si="249">Y57/Y73</f>
        <v>3.2059157374641116</v>
      </c>
      <c r="Z59" s="194">
        <f t="shared" si="249"/>
        <v>3.1795137789660473</v>
      </c>
      <c r="AA59" s="33">
        <f t="shared" si="249"/>
        <v>3.3139932783379167</v>
      </c>
      <c r="AB59" s="33">
        <f t="shared" si="249"/>
        <v>3.3244020207094809</v>
      </c>
      <c r="AC59" s="33">
        <f t="shared" si="249"/>
        <v>3.2556606022086281</v>
      </c>
      <c r="AD59" s="33">
        <f t="shared" si="249"/>
        <v>3.3052358876465777</v>
      </c>
      <c r="AE59" s="194">
        <f t="shared" si="249"/>
        <v>3.2989509755926987</v>
      </c>
      <c r="AF59" s="33">
        <f t="shared" ref="AF59:AK59" si="250">AF57/AF73</f>
        <v>3.3210365537951745</v>
      </c>
      <c r="AG59" s="33">
        <f t="shared" si="250"/>
        <v>3.0337136564908747</v>
      </c>
      <c r="AH59" s="33">
        <f t="shared" si="250"/>
        <v>3.3092638562421737</v>
      </c>
      <c r="AI59" s="33">
        <f t="shared" si="250"/>
        <v>3.172217294900221</v>
      </c>
      <c r="AJ59" s="194">
        <f t="shared" si="250"/>
        <v>3.2075529860642575</v>
      </c>
      <c r="AK59" s="33">
        <f t="shared" si="250"/>
        <v>3.1808171047839409</v>
      </c>
      <c r="AL59" s="33">
        <f t="shared" ref="AL59:AQ59" si="251">AL57/AL73</f>
        <v>3.1251391672233351</v>
      </c>
      <c r="AM59" s="33">
        <f t="shared" si="251"/>
        <v>3.1344025692617246</v>
      </c>
      <c r="AN59" s="33">
        <f t="shared" si="251"/>
        <v>2.5579154972312832</v>
      </c>
      <c r="AO59" s="194">
        <f t="shared" si="251"/>
        <v>2.9913066464503384</v>
      </c>
      <c r="AP59" s="33">
        <f t="shared" si="251"/>
        <v>1.9521358179221833</v>
      </c>
      <c r="AQ59" s="33">
        <f t="shared" si="251"/>
        <v>2.0840751417619665</v>
      </c>
      <c r="AR59" s="33">
        <f t="shared" ref="AR59:AX59" si="252">AR57/AR73</f>
        <v>1.7111429584539923</v>
      </c>
      <c r="AS59" s="33">
        <f t="shared" si="252"/>
        <v>1.5889694220878356</v>
      </c>
      <c r="AT59" s="194">
        <f t="shared" si="252"/>
        <v>1.8247545175053332</v>
      </c>
      <c r="AU59" s="33">
        <f t="shared" si="252"/>
        <v>1.2187384833451453</v>
      </c>
      <c r="AV59" s="33">
        <f t="shared" si="252"/>
        <v>1.4697778297170605</v>
      </c>
      <c r="AW59" s="33">
        <f t="shared" si="252"/>
        <v>1.5563560188023706</v>
      </c>
      <c r="AX59" s="33">
        <f t="shared" si="252"/>
        <v>1.6448069673729362</v>
      </c>
      <c r="AY59" s="194">
        <f t="shared" ref="AY59:BC59" si="253">AY57/AY73</f>
        <v>1.4781409665731997</v>
      </c>
      <c r="AZ59" s="33">
        <f t="shared" si="253"/>
        <v>1.7679601335626838</v>
      </c>
      <c r="BA59" s="33">
        <f t="shared" si="253"/>
        <v>1.6632263041623323</v>
      </c>
      <c r="BB59" s="33">
        <f t="shared" si="253"/>
        <v>1.7535503024126549</v>
      </c>
      <c r="BC59" s="33">
        <f t="shared" si="253"/>
        <v>1.9721853260991922</v>
      </c>
      <c r="BD59" s="194">
        <f t="shared" ref="BD59" si="254">BD57/BD73</f>
        <v>1.7908904980376985</v>
      </c>
      <c r="BE59" s="889">
        <v>2.15</v>
      </c>
      <c r="BF59" s="781">
        <f t="shared" ref="BF59:BH59" si="255">IF(BF65&lt;BF70,(BF64*BF65)+((1-BF64)*BF70)+BF71+BF68,BF69+BF68)</f>
        <v>2.15</v>
      </c>
      <c r="BG59" s="781">
        <f t="shared" si="255"/>
        <v>2.15</v>
      </c>
      <c r="BH59" s="781">
        <f t="shared" si="255"/>
        <v>2.15</v>
      </c>
      <c r="BI59" s="194">
        <f>BI57/BI73</f>
        <v>2.1499999999999995</v>
      </c>
      <c r="BJ59" s="33"/>
      <c r="BK59" s="33"/>
      <c r="BL59" s="33"/>
      <c r="BM59" s="33"/>
      <c r="BN59" s="194">
        <f>IF(BN65&lt;BN70,(BN64*BN65)+((1-BN64)*BN70)+BN71+BN68,BN69+BN68)</f>
        <v>2.0499999999999998</v>
      </c>
      <c r="BO59" s="33"/>
      <c r="BP59" s="33"/>
      <c r="BQ59" s="33"/>
      <c r="BR59" s="33"/>
      <c r="BS59" s="194">
        <f>IF(BS65&lt;BS70,(BS64*BS65)+((1-BS64)*BS70)+BS71+BS68,BS69+BS68)</f>
        <v>1.95</v>
      </c>
      <c r="BT59" s="154"/>
      <c r="BU59" s="363"/>
      <c r="BV59" s="228"/>
      <c r="BW59" s="154"/>
      <c r="BX59" s="154"/>
      <c r="BY59" s="154"/>
      <c r="BZ59" s="531" t="s">
        <v>531</v>
      </c>
      <c r="CA59" s="322"/>
      <c r="CB59" s="322"/>
      <c r="CC59" s="322"/>
      <c r="CD59" s="322"/>
      <c r="CE59" s="322"/>
      <c r="CF59" s="322"/>
      <c r="CG59" s="322"/>
      <c r="CH59" s="363"/>
      <c r="CI59" s="154"/>
      <c r="CJ59"/>
      <c r="CK59"/>
      <c r="CL59"/>
      <c r="CM59"/>
      <c r="CN59"/>
      <c r="CO59"/>
      <c r="CP59" s="403"/>
    </row>
    <row r="60" spans="1:94" s="260" customFormat="1" ht="12.75" customHeight="1" x14ac:dyDescent="0.2">
      <c r="A60" s="541" t="s">
        <v>21</v>
      </c>
      <c r="B60" s="18"/>
      <c r="C60" s="18"/>
      <c r="D60" s="18"/>
      <c r="E60" s="18"/>
      <c r="F60" s="166"/>
      <c r="G60" s="18"/>
      <c r="H60" s="18"/>
      <c r="I60" s="18"/>
      <c r="J60" s="18"/>
      <c r="K60" s="166"/>
      <c r="L60" s="18">
        <f t="shared" ref="L60:AM60" si="256">L59/G59-1</f>
        <v>-0.45480051679194045</v>
      </c>
      <c r="M60" s="18">
        <f t="shared" si="256"/>
        <v>-0.45545952451741178</v>
      </c>
      <c r="N60" s="18">
        <f t="shared" si="256"/>
        <v>-6.5435130079678827E-2</v>
      </c>
      <c r="O60" s="18">
        <f t="shared" si="256"/>
        <v>-9.1541301623519256E-2</v>
      </c>
      <c r="P60" s="166">
        <f t="shared" si="256"/>
        <v>-0.29735822617221219</v>
      </c>
      <c r="Q60" s="18">
        <f t="shared" si="256"/>
        <v>0.47467190504054146</v>
      </c>
      <c r="R60" s="18">
        <f t="shared" si="256"/>
        <v>0.35748030407740128</v>
      </c>
      <c r="S60" s="18">
        <f t="shared" si="256"/>
        <v>0.13129897155164527</v>
      </c>
      <c r="T60" s="18">
        <f t="shared" si="256"/>
        <v>0.16931611362193855</v>
      </c>
      <c r="U60" s="166">
        <f t="shared" si="256"/>
        <v>0.26541808922175814</v>
      </c>
      <c r="V60" s="18">
        <f t="shared" si="256"/>
        <v>0.28509000268193807</v>
      </c>
      <c r="W60" s="18">
        <f t="shared" si="256"/>
        <v>0.41974002484493811</v>
      </c>
      <c r="X60" s="18">
        <f t="shared" si="256"/>
        <v>0.42173913043478262</v>
      </c>
      <c r="Y60" s="18">
        <f t="shared" si="256"/>
        <v>0.2913490369856675</v>
      </c>
      <c r="Z60" s="166">
        <f>Z59/U59-1</f>
        <v>0.35463775560304844</v>
      </c>
      <c r="AA60" s="18">
        <f t="shared" si="256"/>
        <v>0.14613443292660966</v>
      </c>
      <c r="AB60" s="18">
        <f t="shared" si="256"/>
        <v>6.6533264777546286E-4</v>
      </c>
      <c r="AC60" s="18">
        <f t="shared" si="256"/>
        <v>-4.3851369392574613E-3</v>
      </c>
      <c r="AD60" s="18">
        <f t="shared" si="256"/>
        <v>3.0980274690884047E-2</v>
      </c>
      <c r="AE60" s="166">
        <f>AE59/Z59-1</f>
        <v>3.7564610481257699E-2</v>
      </c>
      <c r="AF60" s="18">
        <f t="shared" si="256"/>
        <v>2.1253137425765178E-3</v>
      </c>
      <c r="AG60" s="18">
        <f t="shared" si="256"/>
        <v>-8.7440797595402908E-2</v>
      </c>
      <c r="AH60" s="18">
        <f t="shared" si="256"/>
        <v>1.6464632092541009E-2</v>
      </c>
      <c r="AI60" s="18">
        <f t="shared" si="256"/>
        <v>-4.0244810739081593E-2</v>
      </c>
      <c r="AJ60" s="166">
        <f>AJ59/AE59-1</f>
        <v>-2.770516755315533E-2</v>
      </c>
      <c r="AK60" s="18">
        <f t="shared" si="256"/>
        <v>-4.222159158440919E-2</v>
      </c>
      <c r="AL60" s="18">
        <f t="shared" si="256"/>
        <v>3.0136499711120868E-2</v>
      </c>
      <c r="AM60" s="18">
        <f t="shared" si="256"/>
        <v>-5.2839934975451697E-2</v>
      </c>
      <c r="AN60" s="18">
        <f>AN59/AI59-1</f>
        <v>-0.19365060478565355</v>
      </c>
      <c r="AO60" s="166">
        <f>AO59/AJ59-1</f>
        <v>-6.7417854218912998E-2</v>
      </c>
      <c r="AP60" s="18">
        <f>AP59/AK59-1</f>
        <v>-0.38627850844169065</v>
      </c>
      <c r="AQ60" s="18">
        <f>AQ59/AL59-1</f>
        <v>-0.3331256528925548</v>
      </c>
      <c r="AR60" s="18">
        <f>AR59/AM59-1</f>
        <v>-0.45407683900124096</v>
      </c>
      <c r="AS60" s="18">
        <f t="shared" ref="AS60:AT60" si="257">AS59/AN59-1</f>
        <v>-0.37880300431826064</v>
      </c>
      <c r="AT60" s="166">
        <f t="shared" si="257"/>
        <v>-0.38998078994318586</v>
      </c>
      <c r="AU60" s="18">
        <f>AU59/AP59-1</f>
        <v>-0.37568970757252551</v>
      </c>
      <c r="AV60" s="18">
        <f>AV59/AQ59-1</f>
        <v>-0.29475775596342113</v>
      </c>
      <c r="AW60" s="18">
        <f>AW59/AR59-1</f>
        <v>-9.0458216180529294E-2</v>
      </c>
      <c r="AX60" s="18">
        <f t="shared" ref="AX60" si="258">AX59/AS59-1</f>
        <v>3.5140729902613632E-2</v>
      </c>
      <c r="AY60" s="166">
        <f t="shared" ref="AY60" si="259">AY59/AT59-1</f>
        <v>-0.18995078384899544</v>
      </c>
      <c r="AZ60" s="18">
        <f>AZ59/AU59-1</f>
        <v>0.4506476637301684</v>
      </c>
      <c r="BA60" s="18">
        <f>BA59/AV59-1</f>
        <v>0.13161749383749477</v>
      </c>
      <c r="BB60" s="18">
        <f>BB59/AW59-1</f>
        <v>0.12670255470340708</v>
      </c>
      <c r="BC60" s="18">
        <f t="shared" ref="BC60" si="260">BC59/AX59-1</f>
        <v>0.19903755590793759</v>
      </c>
      <c r="BD60" s="166">
        <f t="shared" ref="BD60" si="261">BD59/AY59-1</f>
        <v>0.21158302119827699</v>
      </c>
      <c r="BE60" s="18">
        <f t="shared" ref="BE60:BH60" si="262">BE59/AZ59-1</f>
        <v>0.21609076991315024</v>
      </c>
      <c r="BF60" s="18">
        <f t="shared" si="262"/>
        <v>0.29266834863030056</v>
      </c>
      <c r="BG60" s="18">
        <f t="shared" si="262"/>
        <v>0.22608401768793418</v>
      </c>
      <c r="BH60" s="18">
        <f t="shared" si="262"/>
        <v>9.0161239690647932E-2</v>
      </c>
      <c r="BI60" s="166">
        <f>BI59/BD59-1</f>
        <v>0.20052007778017789</v>
      </c>
      <c r="BJ60" s="18"/>
      <c r="BK60" s="18"/>
      <c r="BL60" s="18"/>
      <c r="BM60" s="18"/>
      <c r="BN60" s="166">
        <f>BN59/BI59-1</f>
        <v>-4.6511627906976605E-2</v>
      </c>
      <c r="BO60" s="18"/>
      <c r="BP60" s="18"/>
      <c r="BQ60" s="18"/>
      <c r="BR60" s="18"/>
      <c r="BS60" s="166">
        <f>BS59/BN59-1</f>
        <v>-4.8780487804877981E-2</v>
      </c>
      <c r="BT60" s="148"/>
      <c r="BU60" s="356"/>
      <c r="BV60" s="224"/>
      <c r="BW60" s="148"/>
      <c r="BX60" s="148"/>
      <c r="BY60" s="148"/>
      <c r="BZ60" s="531"/>
      <c r="CA60" s="322"/>
      <c r="CB60" s="553">
        <v>2015</v>
      </c>
      <c r="CC60" s="553">
        <v>2016</v>
      </c>
      <c r="CD60" s="553">
        <v>2017</v>
      </c>
      <c r="CE60" s="553">
        <v>2018</v>
      </c>
      <c r="CF60" s="553">
        <v>2019</v>
      </c>
      <c r="CG60" s="325"/>
      <c r="CH60" s="356"/>
      <c r="CI60" s="148"/>
      <c r="CJ60"/>
      <c r="CK60"/>
      <c r="CL60"/>
      <c r="CM60"/>
      <c r="CN60"/>
      <c r="CO60"/>
      <c r="CP60" s="391"/>
    </row>
    <row r="61" spans="1:94" ht="12.75" customHeight="1" x14ac:dyDescent="0.2">
      <c r="A61" s="125" t="s">
        <v>106</v>
      </c>
      <c r="B61" s="35"/>
      <c r="C61" s="35"/>
      <c r="D61" s="35"/>
      <c r="E61" s="35"/>
      <c r="F61" s="170"/>
      <c r="G61" s="35"/>
      <c r="H61" s="35"/>
      <c r="I61" s="35"/>
      <c r="J61" s="35"/>
      <c r="K61" s="170"/>
      <c r="L61" s="35"/>
      <c r="M61" s="35"/>
      <c r="N61" s="35"/>
      <c r="O61" s="35"/>
      <c r="P61" s="170"/>
      <c r="Q61" s="35"/>
      <c r="R61" s="35"/>
      <c r="S61" s="35"/>
      <c r="T61" s="35"/>
      <c r="U61" s="170"/>
      <c r="V61" s="35"/>
      <c r="W61" s="35"/>
      <c r="X61" s="35"/>
      <c r="Y61" s="35"/>
      <c r="Z61" s="170"/>
      <c r="AA61" s="35"/>
      <c r="AB61" s="35"/>
      <c r="AC61" s="35"/>
      <c r="AD61" s="35"/>
      <c r="AE61" s="170"/>
      <c r="AF61" s="35"/>
      <c r="AG61" s="35"/>
      <c r="AH61" s="35"/>
      <c r="AI61" s="35"/>
      <c r="AJ61" s="170"/>
      <c r="AK61" s="35"/>
      <c r="AL61" s="35"/>
      <c r="AM61" s="35"/>
      <c r="AN61" s="35"/>
      <c r="AO61" s="170"/>
      <c r="AP61" s="35"/>
      <c r="AQ61" s="35"/>
      <c r="AR61" s="35"/>
      <c r="AS61" s="35"/>
      <c r="AT61" s="170"/>
      <c r="AU61" s="35"/>
      <c r="AV61" s="35"/>
      <c r="AW61" s="35"/>
      <c r="AX61" s="35"/>
      <c r="AY61" s="170"/>
      <c r="AZ61" s="35"/>
      <c r="BA61" s="35"/>
      <c r="BB61" s="35"/>
      <c r="BC61" s="35"/>
      <c r="BD61" s="170"/>
      <c r="BE61" s="35"/>
      <c r="BF61" s="35"/>
      <c r="BG61" s="35"/>
      <c r="BH61" s="35"/>
      <c r="BI61" s="170"/>
      <c r="BJ61" s="35"/>
      <c r="BK61" s="35"/>
      <c r="BL61" s="35"/>
      <c r="BM61" s="35"/>
      <c r="BN61" s="170"/>
      <c r="BO61" s="35"/>
      <c r="BP61" s="35"/>
      <c r="BQ61" s="35"/>
      <c r="BR61" s="35"/>
      <c r="BS61" s="170"/>
      <c r="BZ61" s="325" t="s">
        <v>441</v>
      </c>
      <c r="CA61" s="325"/>
      <c r="CB61" s="722">
        <f>+AT53</f>
        <v>378.21000000000004</v>
      </c>
      <c r="CC61" s="722">
        <f>AY53</f>
        <v>472.471</v>
      </c>
      <c r="CD61" s="722">
        <f>BD53</f>
        <v>527.95900000000006</v>
      </c>
      <c r="CE61" s="722">
        <f>+CE64*CE63/1000000</f>
        <v>746.55194519460633</v>
      </c>
      <c r="CF61" s="722">
        <f>+CF64*CF63/1000000</f>
        <v>884.34686241879547</v>
      </c>
      <c r="CG61" s="322"/>
    </row>
    <row r="62" spans="1:94" s="265" customFormat="1" ht="12.75" customHeight="1" x14ac:dyDescent="0.2">
      <c r="A62" s="18" t="s">
        <v>107</v>
      </c>
      <c r="B62" s="30"/>
      <c r="C62" s="30"/>
      <c r="D62" s="30"/>
      <c r="E62" s="30"/>
      <c r="F62" s="172"/>
      <c r="G62" s="30"/>
      <c r="H62" s="30"/>
      <c r="I62" s="30"/>
      <c r="J62" s="30"/>
      <c r="K62" s="172"/>
      <c r="L62" s="30"/>
      <c r="M62" s="30"/>
      <c r="N62" s="30"/>
      <c r="O62" s="30"/>
      <c r="P62" s="172"/>
      <c r="Q62" s="30"/>
      <c r="R62" s="30"/>
      <c r="S62" s="30"/>
      <c r="T62" s="30"/>
      <c r="U62" s="172"/>
      <c r="V62" s="30"/>
      <c r="W62" s="30"/>
      <c r="X62" s="30"/>
      <c r="Y62" s="30"/>
      <c r="Z62" s="214"/>
      <c r="AA62" s="30"/>
      <c r="AB62" s="30"/>
      <c r="AC62" s="30"/>
      <c r="AD62" s="30"/>
      <c r="AE62" s="214"/>
      <c r="AF62" s="30"/>
      <c r="AG62" s="30"/>
      <c r="AH62" s="30"/>
      <c r="AI62" s="30"/>
      <c r="AJ62" s="214"/>
      <c r="AK62" s="30"/>
      <c r="AL62" s="30"/>
      <c r="AM62" s="30"/>
      <c r="AN62" s="30"/>
      <c r="AO62" s="214"/>
      <c r="AP62" s="30"/>
      <c r="AQ62" s="30"/>
      <c r="AR62" s="30"/>
      <c r="AS62" s="30"/>
      <c r="AT62" s="214"/>
      <c r="AU62" s="30"/>
      <c r="AV62" s="30"/>
      <c r="AW62" s="30"/>
      <c r="AX62" s="30"/>
      <c r="AY62" s="214"/>
      <c r="AZ62" s="30"/>
      <c r="BA62" s="30"/>
      <c r="BB62" s="30"/>
      <c r="BC62" s="30"/>
      <c r="BD62" s="214"/>
      <c r="BE62" s="139"/>
      <c r="BF62" s="139"/>
      <c r="BG62" s="139"/>
      <c r="BH62" s="139"/>
      <c r="BI62" s="214"/>
      <c r="BJ62" s="18"/>
      <c r="BK62" s="18"/>
      <c r="BL62" s="139"/>
      <c r="BM62" s="139"/>
      <c r="BN62" s="214"/>
      <c r="BO62" s="18"/>
      <c r="BP62" s="18"/>
      <c r="BQ62" s="139"/>
      <c r="BR62" s="139"/>
      <c r="BS62" s="214"/>
      <c r="BT62" s="24"/>
      <c r="BU62" s="362"/>
      <c r="BV62" s="241"/>
      <c r="BW62" s="24"/>
      <c r="BX62" s="24"/>
      <c r="BY62" s="24"/>
      <c r="BZ62" s="532" t="s">
        <v>445</v>
      </c>
      <c r="CA62" s="532"/>
      <c r="CB62" s="740">
        <f>+AT11</f>
        <v>21246.156999999999</v>
      </c>
      <c r="CC62" s="740">
        <f>+AY11</f>
        <v>25494.645999999997</v>
      </c>
      <c r="CD62" s="740">
        <f>+BD11</f>
        <v>29592.819</v>
      </c>
      <c r="CE62" s="740">
        <f>+BI11</f>
        <v>36443.037387000004</v>
      </c>
      <c r="CF62" s="740">
        <f>+BN11</f>
        <v>40998.417060375003</v>
      </c>
      <c r="CG62" s="739"/>
      <c r="CH62" s="362"/>
      <c r="CI62" s="24"/>
      <c r="CJ62"/>
      <c r="CK62"/>
      <c r="CL62"/>
      <c r="CM62"/>
      <c r="CN62"/>
      <c r="CO62"/>
      <c r="CP62" s="399"/>
    </row>
    <row r="63" spans="1:94" s="2" customFormat="1" ht="12.75" customHeight="1" x14ac:dyDescent="0.2">
      <c r="A63" s="35" t="s">
        <v>108</v>
      </c>
      <c r="B63" s="17"/>
      <c r="C63" s="17"/>
      <c r="D63" s="17"/>
      <c r="E63" s="17"/>
      <c r="F63" s="175"/>
      <c r="G63" s="17"/>
      <c r="H63" s="17"/>
      <c r="I63" s="17"/>
      <c r="J63" s="17"/>
      <c r="K63" s="175"/>
      <c r="L63" s="17"/>
      <c r="M63" s="17"/>
      <c r="N63" s="17"/>
      <c r="O63" s="17"/>
      <c r="P63" s="175"/>
      <c r="Q63" s="17"/>
      <c r="R63" s="17"/>
      <c r="S63" s="17"/>
      <c r="T63" s="17"/>
      <c r="U63" s="175"/>
      <c r="V63" s="17"/>
      <c r="W63" s="17"/>
      <c r="X63" s="17"/>
      <c r="Y63" s="17"/>
      <c r="Z63" s="305"/>
      <c r="AA63" s="17"/>
      <c r="AB63" s="17"/>
      <c r="AC63" s="17"/>
      <c r="AD63" s="17"/>
      <c r="AE63" s="305"/>
      <c r="AF63" s="17"/>
      <c r="AG63" s="17"/>
      <c r="AH63" s="17"/>
      <c r="AI63" s="17"/>
      <c r="AJ63" s="305"/>
      <c r="AK63" s="17"/>
      <c r="AL63" s="17"/>
      <c r="AM63" s="17"/>
      <c r="AN63" s="17"/>
      <c r="AO63" s="305"/>
      <c r="AP63" s="17"/>
      <c r="AQ63" s="17"/>
      <c r="AR63" s="17"/>
      <c r="AS63" s="17"/>
      <c r="AT63" s="305"/>
      <c r="AU63" s="17"/>
      <c r="AV63" s="17"/>
      <c r="AW63" s="17"/>
      <c r="AX63" s="17"/>
      <c r="AY63" s="305"/>
      <c r="AZ63" s="17"/>
      <c r="BA63" s="17"/>
      <c r="BB63" s="17"/>
      <c r="BC63" s="17"/>
      <c r="BD63" s="305"/>
      <c r="BE63" s="146"/>
      <c r="BF63" s="146"/>
      <c r="BG63" s="146"/>
      <c r="BH63" s="146"/>
      <c r="BI63" s="305"/>
      <c r="BJ63" s="35"/>
      <c r="BK63" s="35"/>
      <c r="BL63" s="146"/>
      <c r="BM63" s="146"/>
      <c r="BN63" s="305"/>
      <c r="BO63" s="35"/>
      <c r="BP63" s="35"/>
      <c r="BQ63" s="146"/>
      <c r="BR63" s="146"/>
      <c r="BS63" s="305"/>
      <c r="BT63" s="21"/>
      <c r="BU63" s="364"/>
      <c r="BV63" s="242"/>
      <c r="BW63" s="21"/>
      <c r="BX63" s="21"/>
      <c r="BY63" s="21"/>
      <c r="BZ63" s="724" t="s">
        <v>444</v>
      </c>
      <c r="CA63" s="724"/>
      <c r="CB63" s="740">
        <v>4847</v>
      </c>
      <c r="CC63" s="740">
        <v>5159</v>
      </c>
      <c r="CD63" s="740">
        <v>6100</v>
      </c>
      <c r="CE63" s="740">
        <f>+CE62/CE66</f>
        <v>7223.1182445848153</v>
      </c>
      <c r="CF63" s="740">
        <f>+CF62/CF66</f>
        <v>8005.9192366087855</v>
      </c>
      <c r="CG63" s="738"/>
      <c r="CH63" s="364"/>
      <c r="CI63" s="21"/>
      <c r="CJ63"/>
      <c r="CK63"/>
      <c r="CL63"/>
      <c r="CM63"/>
      <c r="CN63"/>
      <c r="CO63"/>
      <c r="CP63" s="83"/>
    </row>
    <row r="64" spans="1:94" s="265" customFormat="1" ht="12.75" customHeight="1" x14ac:dyDescent="0.2">
      <c r="A64" s="18" t="s">
        <v>109</v>
      </c>
      <c r="B64" s="30"/>
      <c r="C64" s="30"/>
      <c r="D64" s="30"/>
      <c r="E64" s="30"/>
      <c r="F64" s="172"/>
      <c r="G64" s="30"/>
      <c r="H64" s="30"/>
      <c r="I64" s="30"/>
      <c r="J64" s="30"/>
      <c r="K64" s="172"/>
      <c r="L64" s="30"/>
      <c r="M64" s="30"/>
      <c r="N64" s="30"/>
      <c r="O64" s="30"/>
      <c r="P64" s="172"/>
      <c r="Q64" s="30"/>
      <c r="R64" s="30"/>
      <c r="S64" s="30"/>
      <c r="T64" s="30"/>
      <c r="U64" s="172"/>
      <c r="V64" s="30"/>
      <c r="W64" s="30"/>
      <c r="X64" s="30"/>
      <c r="Y64" s="30"/>
      <c r="Z64" s="214"/>
      <c r="AA64" s="30"/>
      <c r="AB64" s="30"/>
      <c r="AC64" s="30"/>
      <c r="AD64" s="30"/>
      <c r="AE64" s="214"/>
      <c r="AF64" s="30"/>
      <c r="AG64" s="30"/>
      <c r="AH64" s="30"/>
      <c r="AI64" s="30"/>
      <c r="AJ64" s="214"/>
      <c r="AK64" s="30"/>
      <c r="AL64" s="30"/>
      <c r="AM64" s="30"/>
      <c r="AN64" s="30"/>
      <c r="AO64" s="214"/>
      <c r="AP64" s="30"/>
      <c r="AQ64" s="30"/>
      <c r="AR64" s="30"/>
      <c r="AS64" s="30"/>
      <c r="AT64" s="214"/>
      <c r="AU64" s="30"/>
      <c r="AV64" s="30"/>
      <c r="AW64" s="30"/>
      <c r="AX64" s="30"/>
      <c r="AY64" s="214"/>
      <c r="AZ64" s="30"/>
      <c r="BA64" s="30"/>
      <c r="BB64" s="30"/>
      <c r="BC64" s="30"/>
      <c r="BD64" s="214"/>
      <c r="BE64" s="556"/>
      <c r="BF64" s="556"/>
      <c r="BG64" s="556"/>
      <c r="BH64" s="556"/>
      <c r="BI64" s="214"/>
      <c r="BJ64" s="18"/>
      <c r="BK64" s="18"/>
      <c r="BL64" s="139"/>
      <c r="BM64" s="139"/>
      <c r="BN64" s="214"/>
      <c r="BO64" s="18"/>
      <c r="BP64" s="18"/>
      <c r="BQ64" s="139"/>
      <c r="BR64" s="139"/>
      <c r="BS64" s="214"/>
      <c r="BT64" s="24"/>
      <c r="BU64" s="362"/>
      <c r="BV64" s="241"/>
      <c r="BW64" s="24"/>
      <c r="BX64" s="24"/>
      <c r="BY64" s="24"/>
      <c r="BZ64" s="724" t="s">
        <v>443</v>
      </c>
      <c r="CA64" s="724"/>
      <c r="CB64" s="722">
        <f>+CB61/CB63*1000000</f>
        <v>78029.709098411389</v>
      </c>
      <c r="CC64" s="722">
        <f>+CC61/CC63*1000000</f>
        <v>91581.895716224069</v>
      </c>
      <c r="CD64" s="722">
        <f>+CD61/CD63*1000000</f>
        <v>86550.655737704932</v>
      </c>
      <c r="CE64" s="722">
        <f t="shared" ref="CE64:CF64" si="263">+CD64*(1+CE65)</f>
        <v>103355.9080601093</v>
      </c>
      <c r="CF64" s="722">
        <f t="shared" si="263"/>
        <v>110461.62673924182</v>
      </c>
      <c r="CG64" s="738"/>
      <c r="CH64" s="362"/>
      <c r="CI64" s="24"/>
      <c r="CJ64"/>
      <c r="CK64"/>
      <c r="CL64"/>
      <c r="CM64"/>
      <c r="CN64"/>
      <c r="CO64"/>
      <c r="CP64" s="399"/>
    </row>
    <row r="65" spans="1:94" s="2" customFormat="1" ht="12.75" customHeight="1" x14ac:dyDescent="0.2">
      <c r="A65" s="35" t="s">
        <v>110</v>
      </c>
      <c r="B65" s="17"/>
      <c r="C65" s="17"/>
      <c r="D65" s="17"/>
      <c r="E65" s="17"/>
      <c r="F65" s="175"/>
      <c r="G65" s="17"/>
      <c r="H65" s="17"/>
      <c r="I65" s="17"/>
      <c r="J65" s="17"/>
      <c r="K65" s="175"/>
      <c r="L65" s="17"/>
      <c r="M65" s="17"/>
      <c r="N65" s="17"/>
      <c r="O65" s="17"/>
      <c r="P65" s="175"/>
      <c r="Q65" s="17"/>
      <c r="R65" s="17"/>
      <c r="S65" s="17"/>
      <c r="T65" s="17"/>
      <c r="U65" s="175"/>
      <c r="V65" s="17"/>
      <c r="W65" s="17"/>
      <c r="X65" s="17"/>
      <c r="Y65" s="17"/>
      <c r="Z65" s="305"/>
      <c r="AA65" s="17"/>
      <c r="AB65" s="17"/>
      <c r="AC65" s="17"/>
      <c r="AD65" s="17"/>
      <c r="AE65" s="305"/>
      <c r="AF65" s="17"/>
      <c r="AG65" s="17"/>
      <c r="AH65" s="17"/>
      <c r="AI65" s="17"/>
      <c r="AJ65" s="305"/>
      <c r="AK65" s="17"/>
      <c r="AL65" s="17"/>
      <c r="AM65" s="17"/>
      <c r="AN65" s="17"/>
      <c r="AO65" s="305"/>
      <c r="AP65" s="17"/>
      <c r="AQ65" s="17"/>
      <c r="AR65" s="17"/>
      <c r="AS65" s="17"/>
      <c r="AT65" s="305"/>
      <c r="AU65" s="17"/>
      <c r="AV65" s="17"/>
      <c r="AW65" s="17"/>
      <c r="AX65" s="17"/>
      <c r="AY65" s="305"/>
      <c r="AZ65" s="17"/>
      <c r="BA65" s="17"/>
      <c r="BB65" s="17"/>
      <c r="BC65" s="17"/>
      <c r="BD65" s="305"/>
      <c r="BE65" s="557"/>
      <c r="BF65" s="557"/>
      <c r="BG65" s="557"/>
      <c r="BH65" s="557"/>
      <c r="BI65" s="305"/>
      <c r="BJ65" s="35"/>
      <c r="BK65" s="35"/>
      <c r="BL65" s="146"/>
      <c r="BM65" s="146"/>
      <c r="BN65" s="305"/>
      <c r="BO65" s="35"/>
      <c r="BP65" s="35"/>
      <c r="BQ65" s="146"/>
      <c r="BR65" s="146"/>
      <c r="BS65" s="305"/>
      <c r="BT65" s="21"/>
      <c r="BU65" s="364"/>
      <c r="BV65" s="242"/>
      <c r="BW65" s="21"/>
      <c r="BX65" s="21"/>
      <c r="BY65" s="21"/>
      <c r="BZ65" s="737"/>
      <c r="CA65" s="737"/>
      <c r="CB65" s="548"/>
      <c r="CC65" s="764">
        <f>CC64/CB64-1</f>
        <v>0.17367983008523846</v>
      </c>
      <c r="CD65" s="764">
        <f>CD64/CC64-1</f>
        <v>-5.4937058674882078E-2</v>
      </c>
      <c r="CE65" s="764">
        <f>+CE57</f>
        <v>0.19416666666666668</v>
      </c>
      <c r="CF65" s="764">
        <f>+CF57</f>
        <v>6.8750000000000006E-2</v>
      </c>
      <c r="CG65" s="738"/>
      <c r="CH65" s="364"/>
      <c r="CI65" s="21"/>
      <c r="CJ65"/>
      <c r="CK65"/>
      <c r="CL65"/>
      <c r="CM65"/>
      <c r="CN65"/>
      <c r="CO65"/>
      <c r="CP65" s="83"/>
    </row>
    <row r="66" spans="1:94" s="265" customFormat="1" ht="12.75" customHeight="1" x14ac:dyDescent="0.2">
      <c r="A66" s="18" t="s">
        <v>111</v>
      </c>
      <c r="B66" s="30"/>
      <c r="C66" s="30"/>
      <c r="D66" s="30"/>
      <c r="E66" s="30"/>
      <c r="F66" s="172"/>
      <c r="G66" s="30"/>
      <c r="H66" s="30"/>
      <c r="I66" s="30"/>
      <c r="J66" s="30"/>
      <c r="K66" s="172"/>
      <c r="L66" s="30"/>
      <c r="M66" s="30"/>
      <c r="N66" s="30"/>
      <c r="O66" s="30"/>
      <c r="P66" s="172"/>
      <c r="Q66" s="30"/>
      <c r="R66" s="30"/>
      <c r="S66" s="30"/>
      <c r="T66" s="30"/>
      <c r="U66" s="172"/>
      <c r="V66" s="30"/>
      <c r="W66" s="30"/>
      <c r="X66" s="30"/>
      <c r="Y66" s="30"/>
      <c r="Z66" s="214"/>
      <c r="AA66" s="30"/>
      <c r="AB66" s="30"/>
      <c r="AC66" s="30"/>
      <c r="AD66" s="30"/>
      <c r="AE66" s="214"/>
      <c r="AF66" s="30"/>
      <c r="AG66" s="30"/>
      <c r="AH66" s="30"/>
      <c r="AI66" s="30"/>
      <c r="AJ66" s="214"/>
      <c r="AK66" s="30"/>
      <c r="AL66" s="30"/>
      <c r="AM66" s="30"/>
      <c r="AN66" s="30"/>
      <c r="AO66" s="214"/>
      <c r="AP66" s="30"/>
      <c r="AQ66" s="30"/>
      <c r="AR66" s="30"/>
      <c r="AS66" s="30"/>
      <c r="AT66" s="214"/>
      <c r="AU66" s="30"/>
      <c r="AV66" s="30"/>
      <c r="AW66" s="30"/>
      <c r="AX66" s="30"/>
      <c r="AY66" s="214"/>
      <c r="AZ66" s="30"/>
      <c r="BA66" s="30"/>
      <c r="BB66" s="30"/>
      <c r="BC66" s="30"/>
      <c r="BD66" s="214"/>
      <c r="BE66" s="86"/>
      <c r="BF66" s="86"/>
      <c r="BG66" s="86"/>
      <c r="BH66" s="439"/>
      <c r="BI66" s="214"/>
      <c r="BJ66" s="18"/>
      <c r="BK66" s="18"/>
      <c r="BL66" s="139"/>
      <c r="BM66" s="139"/>
      <c r="BN66" s="214"/>
      <c r="BO66" s="18"/>
      <c r="BP66" s="18"/>
      <c r="BQ66" s="139"/>
      <c r="BR66" s="139"/>
      <c r="BS66" s="214"/>
      <c r="BT66" s="24"/>
      <c r="BU66" s="362"/>
      <c r="BV66" s="241"/>
      <c r="BW66" s="24"/>
      <c r="BX66" s="24"/>
      <c r="BY66" s="24"/>
      <c r="BZ66" s="319" t="s">
        <v>446</v>
      </c>
      <c r="CA66" s="319"/>
      <c r="CB66" s="742">
        <f>+CB62/CB63</f>
        <v>4.3833622859500725</v>
      </c>
      <c r="CC66" s="742">
        <f>+CC62/CC63</f>
        <v>4.9417805776313237</v>
      </c>
      <c r="CD66" s="742">
        <f>+CD62/CD63</f>
        <v>4.8512818032786882</v>
      </c>
      <c r="CE66" s="742">
        <f t="shared" ref="CE66:CF66" si="264">+CD66*(1+CE67)</f>
        <v>5.045333075409836</v>
      </c>
      <c r="CF66" s="742">
        <f t="shared" si="264"/>
        <v>5.1210130715409834</v>
      </c>
      <c r="CG66" s="723"/>
      <c r="CH66" s="362"/>
      <c r="CI66" s="24"/>
      <c r="CJ66"/>
      <c r="CK66"/>
      <c r="CL66"/>
      <c r="CM66"/>
      <c r="CN66"/>
      <c r="CO66"/>
      <c r="CP66" s="399"/>
    </row>
    <row r="67" spans="1:94" s="2" customFormat="1" ht="12.75" customHeight="1" x14ac:dyDescent="0.2">
      <c r="A67" s="35" t="s">
        <v>112</v>
      </c>
      <c r="B67" s="17"/>
      <c r="C67" s="17"/>
      <c r="D67" s="17"/>
      <c r="E67" s="17"/>
      <c r="F67" s="175"/>
      <c r="G67" s="17"/>
      <c r="H67" s="17"/>
      <c r="I67" s="17"/>
      <c r="J67" s="17"/>
      <c r="K67" s="175"/>
      <c r="L67" s="17"/>
      <c r="M67" s="17"/>
      <c r="N67" s="17"/>
      <c r="O67" s="17"/>
      <c r="P67" s="175"/>
      <c r="Q67" s="17"/>
      <c r="R67" s="17"/>
      <c r="S67" s="17"/>
      <c r="T67" s="17"/>
      <c r="U67" s="175"/>
      <c r="V67" s="17"/>
      <c r="W67" s="17"/>
      <c r="X67" s="17"/>
      <c r="Y67" s="17"/>
      <c r="Z67" s="305"/>
      <c r="AA67" s="17"/>
      <c r="AB67" s="17"/>
      <c r="AC67" s="17"/>
      <c r="AD67" s="17"/>
      <c r="AE67" s="305"/>
      <c r="AF67" s="17"/>
      <c r="AG67" s="17"/>
      <c r="AH67" s="17"/>
      <c r="AI67" s="17"/>
      <c r="AJ67" s="305"/>
      <c r="AK67" s="17"/>
      <c r="AL67" s="17"/>
      <c r="AM67" s="17"/>
      <c r="AN67" s="17"/>
      <c r="AO67" s="305"/>
      <c r="AP67" s="17"/>
      <c r="AQ67" s="17"/>
      <c r="AR67" s="17"/>
      <c r="AS67" s="17"/>
      <c r="AT67" s="305"/>
      <c r="AU67" s="17"/>
      <c r="AV67" s="17"/>
      <c r="AW67" s="17"/>
      <c r="AX67" s="17"/>
      <c r="AY67" s="305"/>
      <c r="AZ67" s="17"/>
      <c r="BA67" s="17"/>
      <c r="BB67" s="17"/>
      <c r="BC67" s="17"/>
      <c r="BD67" s="305"/>
      <c r="BE67" s="442"/>
      <c r="BF67" s="442"/>
      <c r="BG67" s="442"/>
      <c r="BH67" s="440"/>
      <c r="BI67" s="305"/>
      <c r="BJ67" s="35"/>
      <c r="BK67" s="35"/>
      <c r="BL67" s="146"/>
      <c r="BM67" s="146"/>
      <c r="BN67" s="305"/>
      <c r="BO67" s="35"/>
      <c r="BP67" s="35"/>
      <c r="BQ67" s="146"/>
      <c r="BR67" s="146"/>
      <c r="BS67" s="305"/>
      <c r="BT67" s="21"/>
      <c r="BU67" s="364"/>
      <c r="BV67" s="242"/>
      <c r="BW67" s="21"/>
      <c r="BX67" s="21"/>
      <c r="BY67" s="21"/>
      <c r="BZ67" s="709"/>
      <c r="CA67" s="709"/>
      <c r="CB67" s="709"/>
      <c r="CC67" s="743">
        <f>CC66/CB66-1</f>
        <v>0.12739496652401772</v>
      </c>
      <c r="CD67" s="743">
        <f>CD66/CC66-1</f>
        <v>-1.8312989201154095E-2</v>
      </c>
      <c r="CE67" s="744">
        <v>0.04</v>
      </c>
      <c r="CF67" s="744">
        <v>1.4999999999999999E-2</v>
      </c>
      <c r="CG67" s="709"/>
      <c r="CH67" s="364"/>
      <c r="CI67" s="21"/>
      <c r="CJ67"/>
      <c r="CK67"/>
      <c r="CL67"/>
      <c r="CM67"/>
      <c r="CN67"/>
      <c r="CO67"/>
      <c r="CP67" s="83"/>
    </row>
    <row r="68" spans="1:94" s="2" customFormat="1" ht="12.75" customHeight="1" x14ac:dyDescent="0.2">
      <c r="A68" s="35" t="s">
        <v>358</v>
      </c>
      <c r="B68" s="17"/>
      <c r="C68" s="17"/>
      <c r="D68" s="17"/>
      <c r="E68" s="17"/>
      <c r="F68" s="175"/>
      <c r="G68" s="17"/>
      <c r="H68" s="17"/>
      <c r="I68" s="17"/>
      <c r="J68" s="17"/>
      <c r="K68" s="175"/>
      <c r="L68" s="17"/>
      <c r="M68" s="17"/>
      <c r="N68" s="17"/>
      <c r="O68" s="17"/>
      <c r="P68" s="175"/>
      <c r="Q68" s="17"/>
      <c r="R68" s="17"/>
      <c r="S68" s="17"/>
      <c r="T68" s="17"/>
      <c r="U68" s="175"/>
      <c r="V68" s="17"/>
      <c r="W68" s="17"/>
      <c r="X68" s="17"/>
      <c r="Y68" s="17"/>
      <c r="Z68" s="305"/>
      <c r="AA68" s="17"/>
      <c r="AB68" s="17"/>
      <c r="AC68" s="17"/>
      <c r="AD68" s="17"/>
      <c r="AE68" s="305"/>
      <c r="AF68" s="17"/>
      <c r="AG68" s="17"/>
      <c r="AH68" s="17"/>
      <c r="AI68" s="17"/>
      <c r="AJ68" s="305"/>
      <c r="AK68" s="17"/>
      <c r="AL68" s="17"/>
      <c r="AM68" s="17"/>
      <c r="AN68" s="17"/>
      <c r="AO68" s="305"/>
      <c r="AP68" s="17"/>
      <c r="AQ68" s="17"/>
      <c r="AR68" s="17"/>
      <c r="AS68" s="17"/>
      <c r="AT68" s="305"/>
      <c r="AU68" s="17"/>
      <c r="AV68" s="17"/>
      <c r="AW68" s="17"/>
      <c r="AX68" s="17"/>
      <c r="AY68" s="305"/>
      <c r="AZ68" s="17"/>
      <c r="BA68" s="17"/>
      <c r="BB68" s="17"/>
      <c r="BC68" s="17"/>
      <c r="BD68" s="305"/>
      <c r="BE68" s="820"/>
      <c r="BF68" s="820"/>
      <c r="BG68" s="820"/>
      <c r="BH68" s="820"/>
      <c r="BI68" s="603"/>
      <c r="BJ68" s="35"/>
      <c r="BK68" s="35"/>
      <c r="BL68" s="146"/>
      <c r="BM68" s="146"/>
      <c r="BN68" s="603"/>
      <c r="BO68" s="35"/>
      <c r="BP68" s="35"/>
      <c r="BQ68" s="146"/>
      <c r="BR68" s="146"/>
      <c r="BS68" s="603"/>
      <c r="BT68" s="21"/>
      <c r="BU68" s="364"/>
      <c r="BV68" s="242"/>
      <c r="BW68" s="21"/>
      <c r="BX68" s="21"/>
      <c r="BY68" s="21"/>
      <c r="BZ68" s="325" t="s">
        <v>442</v>
      </c>
      <c r="CA68" s="325"/>
      <c r="CB68" s="327"/>
      <c r="CC68" s="884">
        <f>+CC61/CC62*100</f>
        <v>1.8532165537815275</v>
      </c>
      <c r="CD68" s="884">
        <f>+CD61/CD62*100</f>
        <v>1.7840780900258271</v>
      </c>
      <c r="CE68" s="884">
        <f>+CE61/CE62*100</f>
        <v>2.0485447940761303</v>
      </c>
      <c r="CF68" s="884">
        <f>+CF61/CF62*100</f>
        <v>2.1570268459791766</v>
      </c>
      <c r="CG68" s="722"/>
      <c r="CH68" s="364"/>
      <c r="CI68" s="21"/>
      <c r="CJ68"/>
      <c r="CK68"/>
      <c r="CL68"/>
      <c r="CM68"/>
      <c r="CN68"/>
      <c r="CO68"/>
      <c r="CP68" s="83"/>
    </row>
    <row r="69" spans="1:94" s="268" customFormat="1" ht="12.75" customHeight="1" x14ac:dyDescent="0.2">
      <c r="A69" s="155" t="s">
        <v>113</v>
      </c>
      <c r="B69" s="36"/>
      <c r="C69" s="36"/>
      <c r="D69" s="36"/>
      <c r="E69" s="36"/>
      <c r="F69" s="176"/>
      <c r="G69" s="36"/>
      <c r="H69" s="36"/>
      <c r="I69" s="36"/>
      <c r="J69" s="36"/>
      <c r="K69" s="176"/>
      <c r="L69" s="36"/>
      <c r="M69" s="36"/>
      <c r="N69" s="36"/>
      <c r="O69" s="36"/>
      <c r="P69" s="176"/>
      <c r="Q69" s="36"/>
      <c r="R69" s="36"/>
      <c r="S69" s="36"/>
      <c r="T69" s="36"/>
      <c r="U69" s="176"/>
      <c r="V69" s="36"/>
      <c r="W69" s="36"/>
      <c r="X69" s="36"/>
      <c r="Y69" s="36"/>
      <c r="Z69" s="176"/>
      <c r="AA69" s="36"/>
      <c r="AB69" s="36"/>
      <c r="AC69" s="36"/>
      <c r="AD69" s="36"/>
      <c r="AE69" s="176"/>
      <c r="AF69" s="36"/>
      <c r="AG69" s="36"/>
      <c r="AH69" s="36"/>
      <c r="AI69" s="36"/>
      <c r="AJ69" s="176"/>
      <c r="AK69" s="36"/>
      <c r="AL69" s="36"/>
      <c r="AM69" s="36"/>
      <c r="AN69" s="36"/>
      <c r="AO69" s="176"/>
      <c r="AP69" s="36"/>
      <c r="AQ69" s="36"/>
      <c r="AR69" s="36"/>
      <c r="AS69" s="36"/>
      <c r="AT69" s="176"/>
      <c r="AU69" s="36"/>
      <c r="AV69" s="36"/>
      <c r="AW69" s="36"/>
      <c r="AX69" s="36"/>
      <c r="AY69" s="176"/>
      <c r="AZ69" s="36"/>
      <c r="BA69" s="36"/>
      <c r="BB69" s="36"/>
      <c r="BC69" s="36"/>
      <c r="BD69" s="176"/>
      <c r="BE69" s="155"/>
      <c r="BF69" s="155">
        <f t="shared" ref="BF69:BH69" si="265">+SUM(BF70:BF71)</f>
        <v>2.15</v>
      </c>
      <c r="BG69" s="155">
        <f t="shared" si="265"/>
        <v>2.15</v>
      </c>
      <c r="BH69" s="441">
        <f t="shared" si="265"/>
        <v>2.15</v>
      </c>
      <c r="BI69" s="176"/>
      <c r="BJ69" s="36"/>
      <c r="BK69" s="36"/>
      <c r="BL69" s="36"/>
      <c r="BM69" s="36"/>
      <c r="BN69" s="829">
        <f>BN70+BN71</f>
        <v>2.0499999999999998</v>
      </c>
      <c r="BO69" s="830"/>
      <c r="BP69" s="830"/>
      <c r="BQ69" s="830"/>
      <c r="BR69" s="830"/>
      <c r="BS69" s="829">
        <f>BS70+BS71</f>
        <v>1.95</v>
      </c>
      <c r="BT69" s="155"/>
      <c r="BU69" s="365"/>
      <c r="BV69" s="230"/>
      <c r="BW69" s="155"/>
      <c r="BX69" s="155"/>
      <c r="BY69" s="155"/>
      <c r="BZ69" s="531"/>
      <c r="CA69" s="327"/>
      <c r="CB69" s="325"/>
      <c r="CC69" s="764">
        <f>+CC68/AT55-1</f>
        <v>4.1054701267583482E-2</v>
      </c>
      <c r="CD69" s="764">
        <f>+CD68/CC68-1</f>
        <v>-3.7307277238929237E-2</v>
      </c>
      <c r="CE69" s="764">
        <f>+CE68/CD68-1</f>
        <v>0.14823717948717974</v>
      </c>
      <c r="CF69" s="764">
        <f>+CF68/CE68-1</f>
        <v>5.295566502463056E-2</v>
      </c>
      <c r="CG69" s="756"/>
      <c r="CH69" s="365"/>
      <c r="CI69" s="155"/>
      <c r="CJ69"/>
      <c r="CK69"/>
      <c r="CL69"/>
      <c r="CM69"/>
      <c r="CN69"/>
      <c r="CO69"/>
      <c r="CP69" s="404"/>
    </row>
    <row r="70" spans="1:94" s="268" customFormat="1" ht="12.75" customHeight="1" x14ac:dyDescent="0.2">
      <c r="A70" s="155" t="s">
        <v>114</v>
      </c>
      <c r="B70" s="36"/>
      <c r="C70" s="36"/>
      <c r="D70" s="36"/>
      <c r="E70" s="36"/>
      <c r="F70" s="176"/>
      <c r="G70" s="731"/>
      <c r="H70" s="731"/>
      <c r="I70" s="731"/>
      <c r="J70" s="731"/>
      <c r="K70" s="176"/>
      <c r="L70" s="731"/>
      <c r="M70" s="731"/>
      <c r="N70" s="731"/>
      <c r="O70" s="731"/>
      <c r="P70" s="176"/>
      <c r="Q70" s="731"/>
      <c r="R70" s="731"/>
      <c r="S70" s="731"/>
      <c r="T70" s="731"/>
      <c r="U70" s="176"/>
      <c r="V70" s="731"/>
      <c r="W70" s="731"/>
      <c r="X70" s="731"/>
      <c r="Y70" s="731"/>
      <c r="Z70" s="176"/>
      <c r="AA70" s="731"/>
      <c r="AB70" s="731"/>
      <c r="AC70" s="731"/>
      <c r="AD70" s="731"/>
      <c r="AE70" s="542"/>
      <c r="AF70" s="731"/>
      <c r="AG70" s="731"/>
      <c r="AH70" s="731"/>
      <c r="AI70" s="731"/>
      <c r="AJ70" s="176"/>
      <c r="AK70" s="731"/>
      <c r="AL70" s="731"/>
      <c r="AM70" s="731"/>
      <c r="AN70" s="731"/>
      <c r="AO70" s="176"/>
      <c r="AP70" s="731"/>
      <c r="AQ70" s="731"/>
      <c r="AR70" s="731"/>
      <c r="AS70" s="731"/>
      <c r="AT70" s="176"/>
      <c r="AU70" s="731"/>
      <c r="AV70" s="731"/>
      <c r="AW70" s="731"/>
      <c r="AX70" s="731"/>
      <c r="AY70" s="176"/>
      <c r="AZ70" s="731"/>
      <c r="BA70" s="731"/>
      <c r="BB70" s="731"/>
      <c r="BC70" s="731"/>
      <c r="BD70" s="176"/>
      <c r="BE70" s="91"/>
      <c r="BF70" s="91">
        <v>1.9</v>
      </c>
      <c r="BG70" s="91">
        <v>1.9</v>
      </c>
      <c r="BH70" s="91">
        <v>1.9</v>
      </c>
      <c r="BI70" s="774"/>
      <c r="BJ70" s="775"/>
      <c r="BK70" s="775"/>
      <c r="BL70" s="775"/>
      <c r="BM70" s="775"/>
      <c r="BN70" s="831">
        <v>1.8</v>
      </c>
      <c r="BO70" s="832"/>
      <c r="BP70" s="832"/>
      <c r="BQ70" s="832"/>
      <c r="BR70" s="832"/>
      <c r="BS70" s="831">
        <v>1.7</v>
      </c>
      <c r="BT70" s="155"/>
      <c r="BU70" s="365"/>
      <c r="BV70" s="230"/>
      <c r="BW70" s="155"/>
      <c r="BX70" s="155"/>
      <c r="BY70" s="155"/>
      <c r="BZ70" s="531" t="s">
        <v>101</v>
      </c>
      <c r="CA70" s="531"/>
      <c r="CB70" s="531"/>
      <c r="CC70" s="531"/>
      <c r="CD70" s="531"/>
      <c r="CE70" s="602"/>
      <c r="CF70" s="531"/>
      <c r="CG70" s="741"/>
      <c r="CH70" s="365"/>
      <c r="CI70" s="155"/>
      <c r="CJ70"/>
      <c r="CK70"/>
      <c r="CL70"/>
      <c r="CM70"/>
      <c r="CN70"/>
      <c r="CO70"/>
      <c r="CP70" s="404"/>
    </row>
    <row r="71" spans="1:94" s="268" customFormat="1" ht="12.75" customHeight="1" x14ac:dyDescent="0.2">
      <c r="A71" s="155" t="s">
        <v>115</v>
      </c>
      <c r="B71" s="36"/>
      <c r="C71" s="36"/>
      <c r="D71" s="36"/>
      <c r="E71" s="36"/>
      <c r="F71" s="176"/>
      <c r="G71" s="37"/>
      <c r="H71" s="37"/>
      <c r="I71" s="37"/>
      <c r="J71" s="37"/>
      <c r="K71" s="176"/>
      <c r="L71" s="37"/>
      <c r="M71" s="37"/>
      <c r="N71" s="37"/>
      <c r="O71" s="37"/>
      <c r="P71" s="176"/>
      <c r="Q71" s="37"/>
      <c r="R71" s="37"/>
      <c r="S71" s="37"/>
      <c r="T71" s="37"/>
      <c r="U71" s="176"/>
      <c r="V71" s="37"/>
      <c r="W71" s="37"/>
      <c r="X71" s="37"/>
      <c r="Y71" s="37"/>
      <c r="Z71" s="176"/>
      <c r="AA71" s="37"/>
      <c r="AB71" s="37"/>
      <c r="AC71" s="37"/>
      <c r="AD71" s="37"/>
      <c r="AE71" s="542"/>
      <c r="AF71" s="37"/>
      <c r="AG71" s="37"/>
      <c r="AH71" s="37"/>
      <c r="AI71" s="37"/>
      <c r="AJ71" s="176"/>
      <c r="AK71" s="37"/>
      <c r="AL71" s="37"/>
      <c r="AM71" s="37"/>
      <c r="AN71" s="37"/>
      <c r="AO71" s="176"/>
      <c r="AP71" s="37"/>
      <c r="AQ71" s="37"/>
      <c r="AR71" s="37"/>
      <c r="AS71" s="37"/>
      <c r="AT71" s="176"/>
      <c r="AU71" s="37"/>
      <c r="AV71" s="37"/>
      <c r="AW71" s="37"/>
      <c r="AX71" s="37"/>
      <c r="AY71" s="176"/>
      <c r="AZ71" s="37"/>
      <c r="BA71" s="37"/>
      <c r="BB71" s="37"/>
      <c r="BC71" s="37"/>
      <c r="BD71" s="176"/>
      <c r="BE71" s="91"/>
      <c r="BF71" s="91">
        <v>0.25</v>
      </c>
      <c r="BG71" s="91">
        <v>0.25</v>
      </c>
      <c r="BH71" s="91">
        <v>0.25</v>
      </c>
      <c r="BI71" s="307"/>
      <c r="BJ71" s="146"/>
      <c r="BK71" s="146"/>
      <c r="BL71" s="146"/>
      <c r="BM71" s="146"/>
      <c r="BN71" s="833">
        <v>0.25</v>
      </c>
      <c r="BO71" s="834"/>
      <c r="BP71" s="834"/>
      <c r="BQ71" s="834"/>
      <c r="BR71" s="834"/>
      <c r="BS71" s="833">
        <v>0.25</v>
      </c>
      <c r="BT71" s="155"/>
      <c r="BU71" s="365"/>
      <c r="BV71" s="230"/>
      <c r="BW71" s="155"/>
      <c r="BX71" s="155"/>
      <c r="BY71" s="155"/>
      <c r="BZ71" s="531" t="s">
        <v>100</v>
      </c>
      <c r="CA71" s="327"/>
      <c r="CB71" s="327"/>
      <c r="CC71" s="327"/>
      <c r="CD71" s="599"/>
      <c r="CE71" s="599"/>
      <c r="CF71" s="743"/>
      <c r="CG71" s="743"/>
      <c r="CH71" s="365"/>
      <c r="CI71" s="155"/>
      <c r="CJ71"/>
      <c r="CK71"/>
      <c r="CL71"/>
      <c r="CM71"/>
      <c r="CN71"/>
      <c r="CO71"/>
      <c r="CP71" s="404"/>
    </row>
    <row r="72" spans="1:94" ht="12.75" customHeight="1" x14ac:dyDescent="0.2">
      <c r="A72" s="34" t="s">
        <v>59</v>
      </c>
      <c r="B72" s="35"/>
      <c r="C72" s="35"/>
      <c r="D72" s="35"/>
      <c r="E72" s="35"/>
      <c r="F72" s="170"/>
      <c r="G72" s="35"/>
      <c r="H72" s="35"/>
      <c r="I72" s="35"/>
      <c r="J72" s="35"/>
      <c r="K72" s="170"/>
      <c r="L72" s="35"/>
      <c r="M72" s="35"/>
      <c r="N72" s="35"/>
      <c r="O72" s="35"/>
      <c r="P72" s="170"/>
      <c r="Q72" s="35"/>
      <c r="R72" s="35"/>
      <c r="S72" s="35"/>
      <c r="T72" s="35"/>
      <c r="U72" s="170"/>
      <c r="V72" s="35"/>
      <c r="W72" s="35"/>
      <c r="X72" s="35"/>
      <c r="Y72" s="35"/>
      <c r="Z72" s="170"/>
      <c r="AA72" s="35"/>
      <c r="AB72" s="35"/>
      <c r="AC72" s="35"/>
      <c r="AD72" s="35"/>
      <c r="AE72" s="170"/>
      <c r="AF72" s="35"/>
      <c r="AG72" s="35"/>
      <c r="AH72" s="35"/>
      <c r="AI72" s="35"/>
      <c r="AJ72" s="170"/>
      <c r="AK72" s="35"/>
      <c r="AL72" s="35"/>
      <c r="AM72" s="35"/>
      <c r="AN72" s="35"/>
      <c r="AO72" s="170"/>
      <c r="AP72" s="35"/>
      <c r="AQ72" s="35"/>
      <c r="AR72" s="35"/>
      <c r="AS72" s="35"/>
      <c r="AT72" s="170"/>
      <c r="AU72" s="35"/>
      <c r="AV72" s="35"/>
      <c r="AW72" s="35"/>
      <c r="AX72" s="35"/>
      <c r="AY72" s="170"/>
      <c r="AZ72" s="35"/>
      <c r="BA72" s="35"/>
      <c r="BB72" s="35"/>
      <c r="BC72" s="35"/>
      <c r="BD72" s="170"/>
      <c r="BE72" s="35"/>
      <c r="BF72" s="35"/>
      <c r="BG72" s="35"/>
      <c r="BH72" s="35"/>
      <c r="BI72" s="170"/>
      <c r="BJ72" s="35"/>
      <c r="BK72" s="35"/>
      <c r="BL72" s="35"/>
      <c r="BM72" s="35"/>
      <c r="BN72" s="170"/>
      <c r="BO72" s="35"/>
      <c r="BP72" s="35"/>
      <c r="BQ72" s="35"/>
      <c r="BR72" s="35"/>
      <c r="BS72" s="170"/>
      <c r="BZ72" s="531"/>
      <c r="CA72" s="549"/>
      <c r="CB72" s="324"/>
      <c r="CC72" s="324"/>
      <c r="CD72" s="324"/>
      <c r="CE72" s="324"/>
      <c r="CF72" s="324"/>
      <c r="CG72" s="324"/>
    </row>
    <row r="73" spans="1:94" s="269" customFormat="1" ht="12.75" customHeight="1" x14ac:dyDescent="0.2">
      <c r="A73" s="39" t="s">
        <v>116</v>
      </c>
      <c r="B73" s="39"/>
      <c r="C73" s="39"/>
      <c r="D73" s="39"/>
      <c r="E73" s="39"/>
      <c r="F73" s="195"/>
      <c r="G73" s="855">
        <v>28.794</v>
      </c>
      <c r="H73" s="855">
        <v>29.408999999999999</v>
      </c>
      <c r="I73" s="855">
        <v>27.751000000000001</v>
      </c>
      <c r="J73" s="855">
        <v>23.608000000000001</v>
      </c>
      <c r="K73" s="195">
        <f>SUM(G73:J73)</f>
        <v>109.56200000000001</v>
      </c>
      <c r="L73" s="855">
        <v>23.521999999999998</v>
      </c>
      <c r="M73" s="855">
        <v>25.183</v>
      </c>
      <c r="N73" s="855">
        <v>25.523</v>
      </c>
      <c r="O73" s="855">
        <v>24.193999999999999</v>
      </c>
      <c r="P73" s="195">
        <f>SUM(L73:O73)</f>
        <v>98.421999999999997</v>
      </c>
      <c r="Q73" s="855">
        <f>Q57/Q59</f>
        <v>24.201333333333334</v>
      </c>
      <c r="R73" s="855">
        <f>R57/R59</f>
        <v>24.993589743589745</v>
      </c>
      <c r="S73" s="855">
        <f>S57/S59</f>
        <v>28.76</v>
      </c>
      <c r="T73" s="855">
        <v>28.672649572649533</v>
      </c>
      <c r="U73" s="195">
        <f>SUM(Q73:T73)</f>
        <v>106.62757264957261</v>
      </c>
      <c r="V73" s="855">
        <v>28.172000000000001</v>
      </c>
      <c r="W73" s="855">
        <v>31.263999999999999</v>
      </c>
      <c r="X73" s="855">
        <f>X57/X59</f>
        <v>31.648318042813454</v>
      </c>
      <c r="Y73" s="855">
        <v>29.954000000000001</v>
      </c>
      <c r="Z73" s="195">
        <f>SUM(V73:Y73)</f>
        <v>121.03831804281344</v>
      </c>
      <c r="AA73" s="855">
        <v>32.729999999999997</v>
      </c>
      <c r="AB73" s="855">
        <v>35.829000000000001</v>
      </c>
      <c r="AC73" s="855">
        <v>37.761000000000003</v>
      </c>
      <c r="AD73" s="855">
        <v>36.67</v>
      </c>
      <c r="AE73" s="195">
        <f>SUM(AA73:AD73)</f>
        <v>142.99</v>
      </c>
      <c r="AF73" s="855">
        <v>38.628</v>
      </c>
      <c r="AG73" s="855">
        <v>42.683</v>
      </c>
      <c r="AH73" s="855">
        <v>45.521000000000001</v>
      </c>
      <c r="AI73" s="855">
        <v>45.1</v>
      </c>
      <c r="AJ73" s="533">
        <f>SUM(AF73:AI73)</f>
        <v>171.93200000000002</v>
      </c>
      <c r="AK73" s="855">
        <v>46.677</v>
      </c>
      <c r="AL73" s="855">
        <v>49.401000000000003</v>
      </c>
      <c r="AM73" s="855">
        <v>51.688000000000002</v>
      </c>
      <c r="AN73" s="855">
        <v>52.731999999999999</v>
      </c>
      <c r="AO73" s="195">
        <f>SUM(AK73:AN73)</f>
        <v>200.49800000000002</v>
      </c>
      <c r="AP73" s="855">
        <v>56.722999999999999</v>
      </c>
      <c r="AQ73" s="855">
        <v>63.134</v>
      </c>
      <c r="AR73" s="855">
        <v>67.683999999999997</v>
      </c>
      <c r="AS73" s="855">
        <v>67.466999999999999</v>
      </c>
      <c r="AT73" s="195">
        <f>SUM(AP73:AS73)</f>
        <v>255.00799999999998</v>
      </c>
      <c r="AU73" s="855">
        <v>70.55</v>
      </c>
      <c r="AV73" s="855">
        <v>77.013000000000005</v>
      </c>
      <c r="AW73" s="855">
        <v>78.287999999999997</v>
      </c>
      <c r="AX73" s="855">
        <v>76.930000000000007</v>
      </c>
      <c r="AY73" s="195">
        <f>SUM(AU73:AX73)</f>
        <v>302.78100000000001</v>
      </c>
      <c r="AZ73" s="855">
        <v>79.063999999999993</v>
      </c>
      <c r="BA73" s="855">
        <v>85.552999999999997</v>
      </c>
      <c r="BB73" s="855">
        <v>90.274000000000001</v>
      </c>
      <c r="BC73" s="855">
        <v>88.837999999999994</v>
      </c>
      <c r="BD73" s="195">
        <f>SUM(AZ73:BC73)</f>
        <v>343.72899999999998</v>
      </c>
      <c r="BE73" s="855">
        <v>95</v>
      </c>
      <c r="BF73" s="39">
        <f t="shared" ref="BF73:BH73" si="266">BF76*BF11/1000</f>
        <v>108.41276159999998</v>
      </c>
      <c r="BG73" s="39">
        <f t="shared" si="266"/>
        <v>112.60778759999999</v>
      </c>
      <c r="BH73" s="39">
        <f t="shared" si="266"/>
        <v>101.42634459999999</v>
      </c>
      <c r="BI73" s="195">
        <f>SUM(BE73:BH73)</f>
        <v>417.4468938</v>
      </c>
      <c r="BJ73" s="39"/>
      <c r="BK73" s="39"/>
      <c r="BL73" s="39"/>
      <c r="BM73" s="39"/>
      <c r="BN73" s="195">
        <f>BN76*BN11/1000</f>
        <v>467.27961674737492</v>
      </c>
      <c r="BO73" s="39"/>
      <c r="BP73" s="39"/>
      <c r="BQ73" s="39"/>
      <c r="BR73" s="39"/>
      <c r="BS73" s="195">
        <f>BS76*BS11/1000</f>
        <v>523.06112099659276</v>
      </c>
      <c r="BT73" s="156"/>
      <c r="BU73" s="366"/>
      <c r="BV73" s="282"/>
      <c r="BW73" s="156"/>
      <c r="BX73" s="156"/>
      <c r="BY73" s="156"/>
      <c r="BZ73" s="531" t="s">
        <v>532</v>
      </c>
      <c r="CA73" s="329"/>
      <c r="CB73" s="324"/>
      <c r="CC73" s="324"/>
      <c r="CD73" s="324"/>
      <c r="CE73" s="324"/>
      <c r="CF73" s="324"/>
      <c r="CG73" s="324"/>
      <c r="CH73" s="366"/>
      <c r="CI73" s="156"/>
      <c r="CJ73"/>
      <c r="CK73"/>
      <c r="CL73"/>
      <c r="CM73"/>
      <c r="CN73"/>
      <c r="CO73"/>
      <c r="CP73" s="405"/>
    </row>
    <row r="74" spans="1:94" s="260" customFormat="1" ht="12.75" customHeight="1" x14ac:dyDescent="0.2">
      <c r="A74" s="561" t="s">
        <v>21</v>
      </c>
      <c r="B74" s="18"/>
      <c r="C74" s="18"/>
      <c r="D74" s="18"/>
      <c r="E74" s="18"/>
      <c r="F74" s="166"/>
      <c r="G74" s="18"/>
      <c r="H74" s="18"/>
      <c r="I74" s="18"/>
      <c r="J74" s="18"/>
      <c r="K74" s="166" t="e">
        <f t="shared" ref="K74:U74" si="267">K73/F73-1</f>
        <v>#DIV/0!</v>
      </c>
      <c r="L74" s="18">
        <f t="shared" si="267"/>
        <v>-0.18309370007640491</v>
      </c>
      <c r="M74" s="18">
        <f t="shared" si="267"/>
        <v>-0.1436975075657112</v>
      </c>
      <c r="N74" s="18">
        <f t="shared" si="267"/>
        <v>-8.0285395120896608E-2</v>
      </c>
      <c r="O74" s="18">
        <f t="shared" si="267"/>
        <v>2.4822094205354084E-2</v>
      </c>
      <c r="P74" s="166">
        <f t="shared" si="267"/>
        <v>-0.10167758894507228</v>
      </c>
      <c r="Q74" s="18">
        <f>Q73/L73-1</f>
        <v>2.8880764107360513E-2</v>
      </c>
      <c r="R74" s="18">
        <f>R73/M73-1</f>
        <v>-7.5213539455289968E-3</v>
      </c>
      <c r="S74" s="18">
        <f>S73/N73-1</f>
        <v>0.12682678368530342</v>
      </c>
      <c r="T74" s="18">
        <f>T73/O73-1</f>
        <v>0.1851140602070569</v>
      </c>
      <c r="U74" s="166">
        <f t="shared" si="267"/>
        <v>8.3371326020326819E-2</v>
      </c>
      <c r="V74" s="18">
        <f t="shared" ref="V74:AL74" si="268">V73/Q73-1</f>
        <v>0.16406809542173972</v>
      </c>
      <c r="W74" s="18">
        <f t="shared" si="268"/>
        <v>0.25088073865093596</v>
      </c>
      <c r="X74" s="18">
        <f t="shared" si="268"/>
        <v>0.10042830468753317</v>
      </c>
      <c r="Y74" s="18">
        <f>Y73/T73-1</f>
        <v>4.4688943869796161E-2</v>
      </c>
      <c r="Z74" s="166">
        <f t="shared" si="268"/>
        <v>0.13515027150248637</v>
      </c>
      <c r="AA74" s="18">
        <f t="shared" si="268"/>
        <v>0.16179185006389307</v>
      </c>
      <c r="AB74" s="18">
        <f t="shared" si="268"/>
        <v>0.14601458546571133</v>
      </c>
      <c r="AC74" s="18">
        <f t="shared" si="268"/>
        <v>0.19314397526331062</v>
      </c>
      <c r="AD74" s="18">
        <f t="shared" si="268"/>
        <v>0.22421045603258327</v>
      </c>
      <c r="AE74" s="166">
        <f t="shared" si="268"/>
        <v>0.1813614259694345</v>
      </c>
      <c r="AF74" s="18">
        <f t="shared" si="268"/>
        <v>0.18020164986251164</v>
      </c>
      <c r="AG74" s="18">
        <f t="shared" si="268"/>
        <v>0.19129755226213407</v>
      </c>
      <c r="AH74" s="18">
        <f>AH73/AC73-1</f>
        <v>0.20550303222901922</v>
      </c>
      <c r="AI74" s="18">
        <f t="shared" si="268"/>
        <v>0.22988819198254706</v>
      </c>
      <c r="AJ74" s="166">
        <f t="shared" si="268"/>
        <v>0.20240576264074406</v>
      </c>
      <c r="AK74" s="18">
        <f t="shared" si="268"/>
        <v>0.20837216526871694</v>
      </c>
      <c r="AL74" s="18">
        <f t="shared" si="268"/>
        <v>0.15739287304078919</v>
      </c>
      <c r="AM74" s="18">
        <f t="shared" ref="AM74:AR74" si="269">AM73/AH73-1</f>
        <v>0.13547593418422266</v>
      </c>
      <c r="AN74" s="18">
        <f t="shared" si="269"/>
        <v>0.16922394678492236</v>
      </c>
      <c r="AO74" s="166">
        <f t="shared" si="269"/>
        <v>0.16614708140427603</v>
      </c>
      <c r="AP74" s="18">
        <f t="shared" si="269"/>
        <v>0.21522377187908392</v>
      </c>
      <c r="AQ74" s="18">
        <f t="shared" si="269"/>
        <v>0.27799032408250834</v>
      </c>
      <c r="AR74" s="18">
        <f t="shared" si="269"/>
        <v>0.30947221792292212</v>
      </c>
      <c r="AS74" s="18">
        <f t="shared" ref="AS74:AW74" si="270">AS73/AN73-1</f>
        <v>0.27943184404156862</v>
      </c>
      <c r="AT74" s="166">
        <f t="shared" si="270"/>
        <v>0.27187303614001124</v>
      </c>
      <c r="AU74" s="18">
        <f t="shared" si="270"/>
        <v>0.24376355270348893</v>
      </c>
      <c r="AV74" s="18">
        <f t="shared" si="270"/>
        <v>0.21983400386479568</v>
      </c>
      <c r="AW74" s="18">
        <f t="shared" si="270"/>
        <v>0.15666922758702206</v>
      </c>
      <c r="AX74" s="18">
        <f t="shared" ref="AX74" si="271">AX73/AS73-1</f>
        <v>0.14026116471756578</v>
      </c>
      <c r="AY74" s="166">
        <f t="shared" ref="AY74:BI74" si="272">AY73/AT73-1</f>
        <v>0.18733922073033016</v>
      </c>
      <c r="AZ74" s="18">
        <f t="shared" si="272"/>
        <v>0.12068036853295538</v>
      </c>
      <c r="BA74" s="18">
        <f t="shared" si="272"/>
        <v>0.11089036915845374</v>
      </c>
      <c r="BB74" s="18">
        <f t="shared" si="272"/>
        <v>0.15310136930308604</v>
      </c>
      <c r="BC74" s="18">
        <f t="shared" ref="BC74" si="273">BC73/AX73-1</f>
        <v>0.15479006889379932</v>
      </c>
      <c r="BD74" s="166">
        <f t="shared" ref="BD74" si="274">BD73/AY73-1</f>
        <v>0.13523966166965562</v>
      </c>
      <c r="BE74" s="18">
        <f t="shared" si="272"/>
        <v>0.20155823130628359</v>
      </c>
      <c r="BF74" s="18">
        <f t="shared" si="272"/>
        <v>0.26719999999999988</v>
      </c>
      <c r="BG74" s="18">
        <f t="shared" si="272"/>
        <v>0.24739999999999984</v>
      </c>
      <c r="BH74" s="18">
        <f t="shared" si="272"/>
        <v>0.14169999999999994</v>
      </c>
      <c r="BI74" s="166">
        <f t="shared" si="272"/>
        <v>0.21446515656229193</v>
      </c>
      <c r="BJ74" s="18"/>
      <c r="BK74" s="18"/>
      <c r="BL74" s="18"/>
      <c r="BM74" s="18"/>
      <c r="BN74" s="166">
        <f>BN73/BI73-1</f>
        <v>0.11937499999999979</v>
      </c>
      <c r="BO74" s="18"/>
      <c r="BP74" s="18"/>
      <c r="BQ74" s="18"/>
      <c r="BR74" s="18"/>
      <c r="BS74" s="166">
        <f>BS73/BN73-1</f>
        <v>0.11937500000000001</v>
      </c>
      <c r="BT74" s="148"/>
      <c r="BU74" s="356"/>
      <c r="BV74" s="224"/>
      <c r="BW74" s="148"/>
      <c r="BX74" s="148"/>
      <c r="BY74" s="148"/>
      <c r="BZ74" s="531"/>
      <c r="CA74" s="531"/>
      <c r="CB74" s="324"/>
      <c r="CC74" s="324"/>
      <c r="CD74" s="324"/>
      <c r="CE74" s="324"/>
      <c r="CF74" s="324"/>
      <c r="CG74" s="324"/>
      <c r="CH74" s="356"/>
      <c r="CI74" s="148"/>
      <c r="CJ74"/>
      <c r="CK74"/>
      <c r="CL74"/>
      <c r="CM74"/>
      <c r="CN74"/>
      <c r="CO74"/>
      <c r="CP74" s="391"/>
    </row>
    <row r="75" spans="1:94" s="270" customFormat="1" ht="12.75" customHeight="1" x14ac:dyDescent="0.2">
      <c r="A75" s="126" t="s">
        <v>117</v>
      </c>
      <c r="B75" s="40"/>
      <c r="C75" s="40"/>
      <c r="D75" s="40"/>
      <c r="E75" s="40"/>
      <c r="F75" s="177"/>
      <c r="G75" s="40">
        <f t="shared" ref="G75:AQ75" si="275">G73/G5</f>
        <v>16.349033758137185</v>
      </c>
      <c r="H75" s="40">
        <f t="shared" si="275"/>
        <v>15.650677349863336</v>
      </c>
      <c r="I75" s="40">
        <f t="shared" si="275"/>
        <v>15.303154211083276</v>
      </c>
      <c r="J75" s="40">
        <f t="shared" si="275"/>
        <v>15.503784334006468</v>
      </c>
      <c r="K75" s="177">
        <f t="shared" si="275"/>
        <v>15.704582641420727</v>
      </c>
      <c r="L75" s="40">
        <f t="shared" si="275"/>
        <v>15.864622606513924</v>
      </c>
      <c r="M75" s="40">
        <f t="shared" si="275"/>
        <v>15.452300234702173</v>
      </c>
      <c r="N75" s="40">
        <f t="shared" si="275"/>
        <v>15.087422281125088</v>
      </c>
      <c r="O75" s="40">
        <f t="shared" si="275"/>
        <v>16.630933371094457</v>
      </c>
      <c r="P75" s="177">
        <f t="shared" si="275"/>
        <v>15.725308316509096</v>
      </c>
      <c r="Q75" s="40">
        <f t="shared" si="275"/>
        <v>15.864046927023724</v>
      </c>
      <c r="R75" s="40">
        <f t="shared" si="275"/>
        <v>15.511713567659429</v>
      </c>
      <c r="S75" s="40">
        <f t="shared" si="275"/>
        <v>15.059657398030517</v>
      </c>
      <c r="T75" s="40">
        <f t="shared" si="275"/>
        <v>15.04990078200264</v>
      </c>
      <c r="U75" s="177">
        <f t="shared" si="275"/>
        <v>15.338283179314928</v>
      </c>
      <c r="V75" s="40">
        <f t="shared" si="275"/>
        <v>15.125646163394777</v>
      </c>
      <c r="W75" s="40">
        <f t="shared" si="275"/>
        <v>14.210909090909089</v>
      </c>
      <c r="X75" s="40">
        <f t="shared" si="275"/>
        <v>13.850467414798009</v>
      </c>
      <c r="Y75" s="40">
        <f t="shared" si="275"/>
        <v>13.8036866359447</v>
      </c>
      <c r="Z75" s="177">
        <f t="shared" si="275"/>
        <v>14.210491729624668</v>
      </c>
      <c r="AA75" s="40">
        <f t="shared" si="275"/>
        <v>13.933588761174965</v>
      </c>
      <c r="AB75" s="40">
        <f t="shared" si="275"/>
        <v>13.711825487944891</v>
      </c>
      <c r="AC75" s="40">
        <f t="shared" si="275"/>
        <v>13.418976545842218</v>
      </c>
      <c r="AD75" s="40">
        <f t="shared" si="275"/>
        <v>13.853418964865888</v>
      </c>
      <c r="AE75" s="177">
        <f t="shared" si="275"/>
        <v>13.718699030989159</v>
      </c>
      <c r="AF75" s="40">
        <f t="shared" si="275"/>
        <v>13.955202312138729</v>
      </c>
      <c r="AG75" s="40">
        <f t="shared" si="275"/>
        <v>13.720025715204114</v>
      </c>
      <c r="AH75" s="40">
        <f t="shared" si="275"/>
        <v>13.491701244813278</v>
      </c>
      <c r="AI75" s="40">
        <f t="shared" si="275"/>
        <v>14.267636823789941</v>
      </c>
      <c r="AJ75" s="177">
        <f t="shared" si="275"/>
        <v>13.84984694699533</v>
      </c>
      <c r="AK75" s="40">
        <f t="shared" si="275"/>
        <v>14.300551470588236</v>
      </c>
      <c r="AL75" s="40">
        <f t="shared" si="275"/>
        <v>13.841692350798544</v>
      </c>
      <c r="AM75" s="40">
        <f t="shared" si="275"/>
        <v>13.776119402985076</v>
      </c>
      <c r="AN75" s="40">
        <f t="shared" si="275"/>
        <v>14.217309247775681</v>
      </c>
      <c r="AO75" s="177">
        <f t="shared" si="275"/>
        <v>14.026724499790122</v>
      </c>
      <c r="AP75" s="40">
        <f t="shared" si="275"/>
        <v>14.252010050251256</v>
      </c>
      <c r="AQ75" s="40">
        <f t="shared" si="275"/>
        <v>13.986264953478068</v>
      </c>
      <c r="AR75" s="40">
        <f t="shared" ref="AR75:AV75" si="276">AR73/AR5</f>
        <v>14.171691792294807</v>
      </c>
      <c r="AS75" s="40">
        <f t="shared" si="276"/>
        <v>14.506929533224644</v>
      </c>
      <c r="AT75" s="177">
        <f t="shared" si="276"/>
        <v>14.229821936384759</v>
      </c>
      <c r="AU75" s="40">
        <f t="shared" si="276"/>
        <v>14.143491788555298</v>
      </c>
      <c r="AV75" s="40">
        <f t="shared" si="276"/>
        <v>13.736909107157095</v>
      </c>
      <c r="AW75" s="40">
        <f t="shared" ref="AW75:BA75" si="277">AW73/AW5</f>
        <v>13.797673598872047</v>
      </c>
      <c r="AX75" s="40">
        <f t="shared" si="277"/>
        <v>14.37943925233645</v>
      </c>
      <c r="AY75" s="177">
        <f t="shared" si="277"/>
        <v>14.00568024255956</v>
      </c>
      <c r="AZ75" s="40">
        <f t="shared" si="277"/>
        <v>14.194614003590662</v>
      </c>
      <c r="BA75" s="40">
        <f t="shared" si="277"/>
        <v>13.785530132130194</v>
      </c>
      <c r="BB75" s="40">
        <f t="shared" ref="BB75:BD75" si="278">BB73/BB5</f>
        <v>14.313302679562391</v>
      </c>
      <c r="BC75" s="40">
        <f t="shared" si="278"/>
        <v>14.563606557377049</v>
      </c>
      <c r="BD75" s="177">
        <f t="shared" si="278"/>
        <v>14.21366249017905</v>
      </c>
      <c r="BE75" s="40">
        <f t="shared" ref="BE75:BI75" si="279">BE73/BE5</f>
        <v>14.475691085434613</v>
      </c>
      <c r="BF75" s="40">
        <f t="shared" si="279"/>
        <v>14.466535320657426</v>
      </c>
      <c r="BG75" s="40">
        <f t="shared" si="279"/>
        <v>14.649778443367167</v>
      </c>
      <c r="BH75" s="40">
        <f t="shared" si="279"/>
        <v>14.871772472131147</v>
      </c>
      <c r="BI75" s="177">
        <f t="shared" si="279"/>
        <v>14.614708954486835</v>
      </c>
      <c r="BJ75" s="40"/>
      <c r="BK75" s="40"/>
      <c r="BL75" s="40"/>
      <c r="BM75" s="40"/>
      <c r="BN75" s="177">
        <f>BN73/BN5</f>
        <v>14.541635409714399</v>
      </c>
      <c r="BO75" s="40"/>
      <c r="BP75" s="40"/>
      <c r="BQ75" s="40"/>
      <c r="BR75" s="40"/>
      <c r="BS75" s="177">
        <f>BS73/BS5</f>
        <v>14.46892723266583</v>
      </c>
      <c r="BT75" s="157"/>
      <c r="BU75" s="367"/>
      <c r="BV75" s="231"/>
      <c r="BW75" s="157"/>
      <c r="BX75" s="157"/>
      <c r="BY75" s="157"/>
      <c r="BZ75" s="433"/>
      <c r="CA75" s="330"/>
      <c r="CB75" s="324"/>
      <c r="CC75" s="599"/>
      <c r="CD75" s="324"/>
      <c r="CE75" s="324"/>
      <c r="CF75" s="324"/>
      <c r="CG75" s="324"/>
      <c r="CH75" s="367"/>
      <c r="CI75" s="157"/>
      <c r="CJ75"/>
      <c r="CK75"/>
      <c r="CL75"/>
      <c r="CM75"/>
      <c r="CN75"/>
      <c r="CO75"/>
      <c r="CP75" s="406"/>
    </row>
    <row r="76" spans="1:94" s="262" customFormat="1" ht="12.75" customHeight="1" x14ac:dyDescent="0.2">
      <c r="A76" s="564" t="s">
        <v>118</v>
      </c>
      <c r="B76" s="23"/>
      <c r="C76" s="23"/>
      <c r="D76" s="23"/>
      <c r="E76" s="23"/>
      <c r="F76" s="168">
        <f t="shared" ref="F76:AQ76" si="280">F73/F11*1000</f>
        <v>0</v>
      </c>
      <c r="G76" s="23">
        <f t="shared" si="280"/>
        <v>13.591859045709317</v>
      </c>
      <c r="H76" s="23">
        <f t="shared" si="280"/>
        <v>13.302051417049096</v>
      </c>
      <c r="I76" s="23">
        <f t="shared" si="280"/>
        <v>13.111239305275818</v>
      </c>
      <c r="J76" s="23">
        <f t="shared" si="280"/>
        <v>12.997752591236978</v>
      </c>
      <c r="K76" s="168">
        <f t="shared" si="280"/>
        <v>13.260583007180507</v>
      </c>
      <c r="L76" s="23">
        <f t="shared" si="280"/>
        <v>13.035500430323358</v>
      </c>
      <c r="M76" s="23">
        <f t="shared" si="280"/>
        <v>13.126366624011926</v>
      </c>
      <c r="N76" s="23">
        <f t="shared" si="280"/>
        <v>13.224420851921513</v>
      </c>
      <c r="O76" s="23">
        <f t="shared" si="280"/>
        <v>13.204969574645411</v>
      </c>
      <c r="P76" s="168">
        <f t="shared" si="280"/>
        <v>13.148984100633507</v>
      </c>
      <c r="Q76" s="23">
        <f t="shared" si="280"/>
        <v>13.296478843189492</v>
      </c>
      <c r="R76" s="23">
        <f t="shared" si="280"/>
        <v>13.119629607989774</v>
      </c>
      <c r="S76" s="23">
        <f t="shared" si="280"/>
        <v>13.107886198389407</v>
      </c>
      <c r="T76" s="23">
        <f t="shared" si="280"/>
        <v>13.029232210924791</v>
      </c>
      <c r="U76" s="168">
        <f t="shared" si="280"/>
        <v>13.131598988016586</v>
      </c>
      <c r="V76" s="23">
        <f t="shared" si="280"/>
        <v>12.804889966215125</v>
      </c>
      <c r="W76" s="23">
        <f t="shared" si="280"/>
        <v>12.888958881813556</v>
      </c>
      <c r="X76" s="23">
        <f t="shared" si="280"/>
        <v>13.061830124786709</v>
      </c>
      <c r="Y76" s="23">
        <f t="shared" si="280"/>
        <v>13.001703234409154</v>
      </c>
      <c r="Z76" s="168">
        <f t="shared" si="280"/>
        <v>12.941740938844553</v>
      </c>
      <c r="AA76" s="23">
        <f t="shared" si="280"/>
        <v>12.641878336694971</v>
      </c>
      <c r="AB76" s="23">
        <f t="shared" si="280"/>
        <v>12.674235810331822</v>
      </c>
      <c r="AC76" s="23">
        <f t="shared" si="280"/>
        <v>12.702802986290688</v>
      </c>
      <c r="AD76" s="23">
        <f t="shared" si="280"/>
        <v>12.404647937350946</v>
      </c>
      <c r="AE76" s="168">
        <f t="shared" si="280"/>
        <v>12.604089070071385</v>
      </c>
      <c r="AF76" s="23">
        <f t="shared" si="280"/>
        <v>12.352208707175141</v>
      </c>
      <c r="AG76" s="23">
        <f t="shared" si="280"/>
        <v>12.479471571873107</v>
      </c>
      <c r="AH76" s="23">
        <f t="shared" si="280"/>
        <v>12.51281284437311</v>
      </c>
      <c r="AI76" s="23">
        <f t="shared" si="280"/>
        <v>12.268863854240456</v>
      </c>
      <c r="AJ76" s="168">
        <f t="shared" si="280"/>
        <v>12.403658679639294</v>
      </c>
      <c r="AK76" s="23">
        <f t="shared" si="280"/>
        <v>12.332989935601695</v>
      </c>
      <c r="AL76" s="23">
        <f t="shared" si="280"/>
        <v>12.324039848252729</v>
      </c>
      <c r="AM76" s="23">
        <f t="shared" si="280"/>
        <v>12.382147649109561</v>
      </c>
      <c r="AN76" s="23">
        <f t="shared" si="280"/>
        <v>12.059889614914631</v>
      </c>
      <c r="AO76" s="168">
        <f t="shared" si="280"/>
        <v>12.27027280423879</v>
      </c>
      <c r="AP76" s="23">
        <f t="shared" si="280"/>
        <v>11.993539224220594</v>
      </c>
      <c r="AQ76" s="23">
        <f t="shared" si="280"/>
        <v>12.110182055546785</v>
      </c>
      <c r="AR76" s="23">
        <f>AR73/AR11*1000</f>
        <v>12.090753174751612</v>
      </c>
      <c r="AS76" s="23">
        <f>AS73/AS11*1000</f>
        <v>11.825117196030845</v>
      </c>
      <c r="AT76" s="168">
        <f>AT73/AT11*1000</f>
        <v>12.002547095928925</v>
      </c>
      <c r="AU76" s="23">
        <f>AU73/AU11*1000</f>
        <v>11.791733418240499</v>
      </c>
      <c r="AV76" s="23">
        <f t="shared" ref="AV76" si="281">AV73/AV11*1000</f>
        <v>11.996880091484917</v>
      </c>
      <c r="AW76" s="23">
        <f>AW73/AW11*1000</f>
        <v>12.030973671641462</v>
      </c>
      <c r="AX76" s="23">
        <f>AX73/AX11*1000</f>
        <v>11.68258006280317</v>
      </c>
      <c r="AY76" s="168">
        <f>AY73/AY11*1000</f>
        <v>11.876258254380156</v>
      </c>
      <c r="AZ76" s="23">
        <f>AZ73/AZ11*1000</f>
        <v>11.498714568087749</v>
      </c>
      <c r="BA76" s="23">
        <f t="shared" ref="BA76" si="282">BA73/BA11*1000</f>
        <v>11.72830011551045</v>
      </c>
      <c r="BB76" s="23">
        <f>BB73/BB11*1000</f>
        <v>11.752419378356198</v>
      </c>
      <c r="BC76" s="23">
        <f>BC73/BC11*1000</f>
        <v>11.476250576473673</v>
      </c>
      <c r="BD76" s="168">
        <f>BD73/BD11*1000</f>
        <v>11.615284099835167</v>
      </c>
      <c r="BE76" s="23">
        <f t="shared" ref="BE76:BH76" ca="1" si="283">AZ76*(1+BE77)</f>
        <v>11.212977094090604</v>
      </c>
      <c r="BF76" s="23">
        <f t="shared" si="283"/>
        <v>11.611017114355345</v>
      </c>
      <c r="BG76" s="23">
        <f t="shared" si="283"/>
        <v>11.634895184572635</v>
      </c>
      <c r="BH76" s="23">
        <f t="shared" si="283"/>
        <v>11.2467255649442</v>
      </c>
      <c r="BI76" s="168">
        <f>BI73/BI11*1000</f>
        <v>11.454777749916971</v>
      </c>
      <c r="BJ76" s="23"/>
      <c r="BK76" s="23"/>
      <c r="BL76" s="23"/>
      <c r="BM76" s="23"/>
      <c r="BN76" s="168">
        <f>BI76*(1+BN77)</f>
        <v>11.397503861167387</v>
      </c>
      <c r="BO76" s="23"/>
      <c r="BP76" s="23"/>
      <c r="BQ76" s="23"/>
      <c r="BR76" s="23"/>
      <c r="BS76" s="168">
        <f>BN76*(1+BS77)</f>
        <v>11.34051634186155</v>
      </c>
      <c r="BT76" s="150"/>
      <c r="BU76" s="358"/>
      <c r="BV76" s="226"/>
      <c r="BW76" s="150"/>
      <c r="BX76" s="150"/>
      <c r="BY76" s="150"/>
      <c r="BZ76" s="531"/>
      <c r="CA76" s="324"/>
      <c r="CB76" s="324"/>
      <c r="CC76" s="324"/>
      <c r="CD76" s="324"/>
      <c r="CE76" s="324"/>
      <c r="CF76" s="324"/>
      <c r="CG76" s="324"/>
      <c r="CH76" s="358"/>
      <c r="CI76" s="150"/>
      <c r="CJ76"/>
      <c r="CK76"/>
      <c r="CL76"/>
      <c r="CM76"/>
      <c r="CN76"/>
      <c r="CO76"/>
      <c r="CP76" s="394"/>
    </row>
    <row r="77" spans="1:94" s="260" customFormat="1" ht="12.75" customHeight="1" x14ac:dyDescent="0.2">
      <c r="A77" s="565" t="s">
        <v>21</v>
      </c>
      <c r="B77" s="478"/>
      <c r="C77" s="478"/>
      <c r="D77" s="478"/>
      <c r="E77" s="478"/>
      <c r="F77" s="479"/>
      <c r="G77" s="478"/>
      <c r="H77" s="478"/>
      <c r="I77" s="478"/>
      <c r="J77" s="478"/>
      <c r="K77" s="479"/>
      <c r="L77" s="478">
        <f t="shared" ref="L77:T77" si="284">L76/G76-1</f>
        <v>-4.0933224330456097E-2</v>
      </c>
      <c r="M77" s="478">
        <f t="shared" si="284"/>
        <v>-1.3207345809233439E-2</v>
      </c>
      <c r="N77" s="478">
        <f t="shared" si="284"/>
        <v>8.6324064423224378E-3</v>
      </c>
      <c r="O77" s="478">
        <f t="shared" si="284"/>
        <v>1.5942524059746832E-2</v>
      </c>
      <c r="P77" s="479">
        <f t="shared" si="284"/>
        <v>-8.4158371081097805E-3</v>
      </c>
      <c r="Q77" s="478">
        <f t="shared" si="284"/>
        <v>2.0020590253600368E-2</v>
      </c>
      <c r="R77" s="478">
        <f t="shared" si="284"/>
        <v>-5.132430180510017E-4</v>
      </c>
      <c r="S77" s="478">
        <f t="shared" si="284"/>
        <v>-8.8120799267495942E-3</v>
      </c>
      <c r="T77" s="478">
        <f t="shared" si="284"/>
        <v>-1.3308426250223993E-2</v>
      </c>
      <c r="U77" s="479">
        <f t="shared" ref="U77:AL77" si="285">U76/P76-1</f>
        <v>-1.3221639393482532E-3</v>
      </c>
      <c r="V77" s="478">
        <f t="shared" si="285"/>
        <v>-3.6971357813738837E-2</v>
      </c>
      <c r="W77" s="478">
        <f t="shared" si="285"/>
        <v>-1.7582106589026036E-2</v>
      </c>
      <c r="X77" s="478">
        <f t="shared" si="285"/>
        <v>-3.5136156131990726E-3</v>
      </c>
      <c r="Y77" s="478">
        <f t="shared" si="285"/>
        <v>-2.1128625286571667E-3</v>
      </c>
      <c r="Z77" s="479">
        <f t="shared" si="285"/>
        <v>-1.4458105927944498E-2</v>
      </c>
      <c r="AA77" s="478">
        <f t="shared" si="285"/>
        <v>-1.2730420171532142E-2</v>
      </c>
      <c r="AB77" s="478">
        <f t="shared" si="285"/>
        <v>-1.6659458180498188E-2</v>
      </c>
      <c r="AC77" s="478">
        <f t="shared" si="285"/>
        <v>-2.7486740760371386E-2</v>
      </c>
      <c r="AD77" s="478">
        <f t="shared" si="285"/>
        <v>-4.5921314022773219E-2</v>
      </c>
      <c r="AE77" s="479">
        <f t="shared" si="285"/>
        <v>-2.6090142768946056E-2</v>
      </c>
      <c r="AF77" s="478">
        <f t="shared" si="285"/>
        <v>-2.2913496064822847E-2</v>
      </c>
      <c r="AG77" s="478">
        <f t="shared" si="285"/>
        <v>-1.5366941358306296E-2</v>
      </c>
      <c r="AH77" s="478">
        <f>AH76/AC76-1</f>
        <v>-1.4956552669723511E-2</v>
      </c>
      <c r="AI77" s="478">
        <f t="shared" si="285"/>
        <v>-1.0946226269077597E-2</v>
      </c>
      <c r="AJ77" s="479">
        <f t="shared" si="285"/>
        <v>-1.5902013173487939E-2</v>
      </c>
      <c r="AK77" s="478">
        <f t="shared" si="285"/>
        <v>-1.5558975750047388E-3</v>
      </c>
      <c r="AL77" s="478">
        <f t="shared" si="285"/>
        <v>-1.2454992402939458E-2</v>
      </c>
      <c r="AM77" s="478">
        <f t="shared" ref="AM77:AR77" si="286">AM76/AH76-1</f>
        <v>-1.0442511758841588E-2</v>
      </c>
      <c r="AN77" s="478">
        <f t="shared" si="286"/>
        <v>-1.7032892516253395E-2</v>
      </c>
      <c r="AO77" s="479">
        <f t="shared" si="286"/>
        <v>-1.075375248913113E-2</v>
      </c>
      <c r="AP77" s="478">
        <f t="shared" si="286"/>
        <v>-2.7523796999234351E-2</v>
      </c>
      <c r="AQ77" s="478">
        <f t="shared" si="286"/>
        <v>-1.7352896886021041E-2</v>
      </c>
      <c r="AR77" s="478">
        <f t="shared" si="286"/>
        <v>-2.3533435605486708E-2</v>
      </c>
      <c r="AS77" s="478">
        <f>AS76/AN76-1</f>
        <v>-1.9467211258172634E-2</v>
      </c>
      <c r="AT77" s="479">
        <f>AT76/AO76-1</f>
        <v>-2.1819051017136215E-2</v>
      </c>
      <c r="AU77" s="478">
        <f>AU76/AP76-1</f>
        <v>-1.6826209695679717E-2</v>
      </c>
      <c r="AV77" s="478">
        <f t="shared" ref="AV77:AW77" si="287">AV76/AQ76-1</f>
        <v>-9.3559257443179833E-3</v>
      </c>
      <c r="AW77" s="478">
        <f t="shared" si="287"/>
        <v>-4.9442331876382584E-3</v>
      </c>
      <c r="AX77" s="478">
        <f>AX76/AS76-1</f>
        <v>-1.2053760725138418E-2</v>
      </c>
      <c r="AY77" s="479">
        <f>AY76/AT76-1</f>
        <v>-1.0521836785094107E-2</v>
      </c>
      <c r="AZ77" s="478">
        <f>AZ76/AU76-1</f>
        <v>-2.4849514465742795E-2</v>
      </c>
      <c r="BA77" s="478">
        <f t="shared" ref="BA77:BB77" si="288">BA76/AV76-1</f>
        <v>-2.2387485240024874E-2</v>
      </c>
      <c r="BB77" s="478">
        <f t="shared" si="288"/>
        <v>-2.3153096406640206E-2</v>
      </c>
      <c r="BC77" s="478">
        <f>BC76/AX76-1</f>
        <v>-1.7661294441836728E-2</v>
      </c>
      <c r="BD77" s="479">
        <f>BD76/AY76-1</f>
        <v>-2.197444253527725E-2</v>
      </c>
      <c r="BE77" s="478">
        <f ca="1">BE76/AZ76-1</f>
        <v>-2.4849514465742906E-2</v>
      </c>
      <c r="BF77" s="782">
        <v>-0.01</v>
      </c>
      <c r="BG77" s="782">
        <v>-0.01</v>
      </c>
      <c r="BH77" s="782">
        <v>-0.02</v>
      </c>
      <c r="BI77" s="479">
        <f>BI76/BD76-1</f>
        <v>-1.3818547057361519E-2</v>
      </c>
      <c r="BJ77" s="478"/>
      <c r="BK77" s="478"/>
      <c r="BL77" s="782"/>
      <c r="BM77" s="782"/>
      <c r="BN77" s="802">
        <v>-5.0000000000000001E-3</v>
      </c>
      <c r="BO77" s="478"/>
      <c r="BP77" s="478"/>
      <c r="BQ77" s="782"/>
      <c r="BR77" s="782"/>
      <c r="BS77" s="802">
        <v>-5.0000000000000001E-3</v>
      </c>
      <c r="BT77" s="148"/>
      <c r="BU77" s="356"/>
      <c r="BV77" s="224"/>
      <c r="BW77" s="148"/>
      <c r="BX77" s="148"/>
      <c r="BY77" s="148"/>
      <c r="BZ77" s="531" t="s">
        <v>33</v>
      </c>
      <c r="CA77" s="322"/>
      <c r="CB77" s="322"/>
      <c r="CC77" s="322"/>
      <c r="CD77" s="322"/>
      <c r="CE77" s="322"/>
      <c r="CF77" s="322"/>
      <c r="CG77" s="322"/>
      <c r="CH77" s="356"/>
      <c r="CI77" s="148"/>
      <c r="CJ77"/>
      <c r="CK77"/>
      <c r="CL77"/>
      <c r="CM77"/>
      <c r="CN77"/>
      <c r="CO77"/>
      <c r="CP77" s="391"/>
    </row>
    <row r="78" spans="1:94" s="263" customFormat="1" ht="12.75" customHeight="1" x14ac:dyDescent="0.2">
      <c r="A78" s="562" t="s">
        <v>119</v>
      </c>
      <c r="B78" s="25"/>
      <c r="C78" s="25"/>
      <c r="D78" s="25"/>
      <c r="E78" s="25"/>
      <c r="F78" s="169">
        <f t="shared" ref="F78:AQ78" si="289">F57/F11*100</f>
        <v>3.0906770347085168</v>
      </c>
      <c r="G78" s="25">
        <f t="shared" si="289"/>
        <v>3.8037375016167294</v>
      </c>
      <c r="H78" s="25">
        <f t="shared" si="289"/>
        <v>4.2108597461080786</v>
      </c>
      <c r="I78" s="25">
        <f t="shared" si="289"/>
        <v>2.852231263533028</v>
      </c>
      <c r="J78" s="25">
        <f t="shared" si="289"/>
        <v>3.0376630912936857</v>
      </c>
      <c r="K78" s="169">
        <f t="shared" si="289"/>
        <v>3.5005166643246843</v>
      </c>
      <c r="L78" s="25">
        <f t="shared" si="289"/>
        <v>1.9889085747125037</v>
      </c>
      <c r="M78" s="25">
        <f t="shared" si="289"/>
        <v>2.2626993414142782</v>
      </c>
      <c r="N78" s="25">
        <f t="shared" si="289"/>
        <v>2.6886056404437331</v>
      </c>
      <c r="O78" s="25">
        <f t="shared" si="289"/>
        <v>2.8035863112375412</v>
      </c>
      <c r="P78" s="169">
        <f t="shared" si="289"/>
        <v>2.4389095676353993</v>
      </c>
      <c r="Q78" s="25">
        <f t="shared" si="289"/>
        <v>2.9917077397176359</v>
      </c>
      <c r="R78" s="25">
        <f t="shared" si="289"/>
        <v>3.0699933282696068</v>
      </c>
      <c r="S78" s="25">
        <f t="shared" si="289"/>
        <v>3.0148138256295631</v>
      </c>
      <c r="T78" s="25">
        <f t="shared" si="289"/>
        <v>3.2346499200232657</v>
      </c>
      <c r="U78" s="169">
        <f t="shared" si="289"/>
        <v>3.082159769249043</v>
      </c>
      <c r="V78" s="25">
        <f t="shared" si="289"/>
        <v>3.7024731182306967</v>
      </c>
      <c r="W78" s="25">
        <f t="shared" si="289"/>
        <v>4.2819591679233788</v>
      </c>
      <c r="X78" s="25">
        <f t="shared" si="289"/>
        <v>4.2712184508052538</v>
      </c>
      <c r="Y78" s="25">
        <f t="shared" si="289"/>
        <v>4.1682365013030349</v>
      </c>
      <c r="Z78" s="169">
        <f t="shared" si="289"/>
        <v>4.1148443638865242</v>
      </c>
      <c r="AA78" s="25">
        <f t="shared" si="289"/>
        <v>4.1895099833372855</v>
      </c>
      <c r="AB78" s="25">
        <f t="shared" si="289"/>
        <v>4.2134255138815577</v>
      </c>
      <c r="AC78" s="25">
        <f t="shared" si="289"/>
        <v>4.1356015220084705</v>
      </c>
      <c r="AD78" s="25">
        <f t="shared" si="289"/>
        <v>4.1000287536153444</v>
      </c>
      <c r="AE78" s="169">
        <f t="shared" si="289"/>
        <v>4.1580271934169266</v>
      </c>
      <c r="AF78" s="25">
        <f t="shared" si="289"/>
        <v>4.1022136636635675</v>
      </c>
      <c r="AG78" s="25">
        <f t="shared" si="289"/>
        <v>3.7859143333381082</v>
      </c>
      <c r="AH78" s="25">
        <f t="shared" si="289"/>
        <v>4.1408199285806759</v>
      </c>
      <c r="AI78" s="25">
        <f t="shared" si="289"/>
        <v>3.8919502107197759</v>
      </c>
      <c r="AJ78" s="169">
        <f t="shared" si="289"/>
        <v>3.9785392435998865</v>
      </c>
      <c r="AK78" s="25">
        <f t="shared" si="289"/>
        <v>3.9228985340290068</v>
      </c>
      <c r="AL78" s="25">
        <f t="shared" si="289"/>
        <v>3.8514339628195735</v>
      </c>
      <c r="AM78" s="25">
        <f t="shared" si="289"/>
        <v>3.8810635404347029</v>
      </c>
      <c r="AN78" s="25">
        <f t="shared" si="289"/>
        <v>3.0848178540888749</v>
      </c>
      <c r="AO78" s="169">
        <f t="shared" si="289"/>
        <v>3.6704148593078316</v>
      </c>
      <c r="AP78" s="25">
        <f t="shared" si="289"/>
        <v>2.3413017503255653</v>
      </c>
      <c r="AQ78" s="25">
        <f t="shared" si="289"/>
        <v>2.5238529384176891</v>
      </c>
      <c r="AR78" s="25">
        <f t="shared" ref="AR78:AV78" si="290">AR57/AR11*100</f>
        <v>2.0689007157381472</v>
      </c>
      <c r="AS78" s="25">
        <f t="shared" si="290"/>
        <v>1.8789749637098059</v>
      </c>
      <c r="AT78" s="169">
        <f t="shared" si="290"/>
        <v>2.1901702034866823</v>
      </c>
      <c r="AU78" s="25">
        <f t="shared" si="290"/>
        <v>1.4371039302156692</v>
      </c>
      <c r="AV78" s="25">
        <f t="shared" si="290"/>
        <v>1.763274838423851</v>
      </c>
      <c r="AW78" s="25">
        <f t="shared" ref="AW78:BA78" si="291">AW57/AW11*100</f>
        <v>1.8724478285912043</v>
      </c>
      <c r="AX78" s="25">
        <f t="shared" si="291"/>
        <v>1.9215589084190809</v>
      </c>
      <c r="AY78" s="169">
        <f t="shared" si="291"/>
        <v>1.7554783855402427</v>
      </c>
      <c r="AZ78" s="25">
        <f t="shared" si="291"/>
        <v>2.0329268943595595</v>
      </c>
      <c r="BA78" s="25">
        <f t="shared" si="291"/>
        <v>1.9506817255227102</v>
      </c>
      <c r="BB78" s="25">
        <f t="shared" ref="BB78:BD78" si="292">BB57/BB11*100</f>
        <v>2.0608458554996858</v>
      </c>
      <c r="BC78" s="25">
        <f t="shared" si="292"/>
        <v>2.2633292985558775</v>
      </c>
      <c r="BD78" s="169">
        <f t="shared" si="292"/>
        <v>2.080170192640316</v>
      </c>
      <c r="BE78" s="25">
        <f t="shared" ref="BE78:BI78" si="293">BE57/BE11*100</f>
        <v>2.4288803391875486</v>
      </c>
      <c r="BF78" s="25">
        <f t="shared" si="293"/>
        <v>2.4963686795863991</v>
      </c>
      <c r="BG78" s="25">
        <f t="shared" si="293"/>
        <v>2.5015024646831163</v>
      </c>
      <c r="BH78" s="25">
        <f t="shared" si="293"/>
        <v>2.4180459964630026</v>
      </c>
      <c r="BI78" s="169">
        <f t="shared" si="293"/>
        <v>2.4627772162321486</v>
      </c>
      <c r="BJ78" s="25"/>
      <c r="BK78" s="25"/>
      <c r="BL78" s="25"/>
      <c r="BM78" s="25"/>
      <c r="BN78" s="169">
        <f>BN57/BN11*100</f>
        <v>2.3364882915393141</v>
      </c>
      <c r="BO78" s="25"/>
      <c r="BP78" s="25"/>
      <c r="BQ78" s="25"/>
      <c r="BR78" s="25"/>
      <c r="BS78" s="169">
        <f>BS57/BS11*100</f>
        <v>2.2114006866630018</v>
      </c>
      <c r="BT78" s="151"/>
      <c r="BU78" s="359"/>
      <c r="BV78" s="227"/>
      <c r="BW78" s="151"/>
      <c r="BX78" s="151"/>
      <c r="BY78" s="151"/>
      <c r="BZ78" s="531"/>
      <c r="CA78" s="325"/>
      <c r="CB78" s="602"/>
      <c r="CC78" s="602"/>
      <c r="CD78" s="602"/>
      <c r="CE78" s="602"/>
      <c r="CF78" s="599"/>
      <c r="CG78" s="325"/>
      <c r="CH78" s="359"/>
      <c r="CI78" s="151"/>
      <c r="CJ78"/>
      <c r="CK78"/>
      <c r="CL78"/>
      <c r="CM78"/>
      <c r="CN78"/>
      <c r="CO78"/>
      <c r="CP78" s="395"/>
    </row>
    <row r="79" spans="1:94" s="260" customFormat="1" ht="12.75" customHeight="1" x14ac:dyDescent="0.2">
      <c r="A79" s="541" t="s">
        <v>21</v>
      </c>
      <c r="B79" s="18"/>
      <c r="C79" s="18"/>
      <c r="D79" s="18"/>
      <c r="E79" s="18"/>
      <c r="F79" s="166"/>
      <c r="G79" s="18"/>
      <c r="H79" s="18"/>
      <c r="I79" s="18"/>
      <c r="J79" s="18"/>
      <c r="K79" s="166"/>
      <c r="L79" s="18">
        <f t="shared" ref="L79:U79" si="294">L78/G78-1</f>
        <v>-0.47711728954294452</v>
      </c>
      <c r="M79" s="18">
        <f t="shared" si="294"/>
        <v>-0.46265145888423465</v>
      </c>
      <c r="N79" s="18">
        <f t="shared" si="294"/>
        <v>-5.7367586275810512E-2</v>
      </c>
      <c r="O79" s="18">
        <f t="shared" si="294"/>
        <v>-7.7058176967365832E-2</v>
      </c>
      <c r="P79" s="166">
        <f t="shared" si="294"/>
        <v>-0.30327154488610009</v>
      </c>
      <c r="Q79" s="18">
        <f>Q78/L78-1</f>
        <v>0.50419570700985417</v>
      </c>
      <c r="R79" s="18">
        <f>R78/M78-1</f>
        <v>0.35678358678919198</v>
      </c>
      <c r="S79" s="18">
        <f>S78/N78-1</f>
        <v>0.12132987459328248</v>
      </c>
      <c r="T79" s="18">
        <f>T78/O78-1</f>
        <v>0.15375435636060275</v>
      </c>
      <c r="U79" s="166">
        <f t="shared" si="294"/>
        <v>0.26374499905599014</v>
      </c>
      <c r="V79" s="18">
        <f t="shared" ref="V79:AL79" si="295">V78/Q78-1</f>
        <v>0.23757848036992546</v>
      </c>
      <c r="W79" s="18">
        <f t="shared" si="295"/>
        <v>0.39477800439940802</v>
      </c>
      <c r="X79" s="18">
        <f t="shared" si="295"/>
        <v>0.41674368562819097</v>
      </c>
      <c r="Y79" s="18">
        <f>Y78/T78-1</f>
        <v>0.28862059399400297</v>
      </c>
      <c r="Z79" s="166">
        <f t="shared" si="295"/>
        <v>0.33505225943854655</v>
      </c>
      <c r="AA79" s="18">
        <f t="shared" si="295"/>
        <v>0.13154366002239315</v>
      </c>
      <c r="AB79" s="18">
        <f t="shared" si="295"/>
        <v>-1.6005209614144422E-2</v>
      </c>
      <c r="AC79" s="18">
        <f t="shared" si="295"/>
        <v>-3.1751344577380602E-2</v>
      </c>
      <c r="AD79" s="18">
        <f t="shared" si="295"/>
        <v>-1.6363694254481032E-2</v>
      </c>
      <c r="AE79" s="166">
        <f t="shared" si="295"/>
        <v>1.0494401661796049E-2</v>
      </c>
      <c r="AF79" s="18">
        <f t="shared" si="295"/>
        <v>-2.0836880690323412E-2</v>
      </c>
      <c r="AG79" s="18">
        <f t="shared" si="295"/>
        <v>-0.1014640413447373</v>
      </c>
      <c r="AH79" s="18">
        <f>AH78/AC78-1</f>
        <v>1.2618252857377055E-3</v>
      </c>
      <c r="AI79" s="18">
        <f t="shared" si="295"/>
        <v>-5.07505082036529E-2</v>
      </c>
      <c r="AJ79" s="166">
        <f t="shared" si="295"/>
        <v>-4.3166612787239322E-2</v>
      </c>
      <c r="AK79" s="18">
        <f t="shared" si="295"/>
        <v>-4.3711796687454729E-2</v>
      </c>
      <c r="AL79" s="18">
        <f t="shared" si="295"/>
        <v>1.7306157433228497E-2</v>
      </c>
      <c r="AM79" s="18">
        <f t="shared" ref="AM79:AR79" si="296">AM78/AH78-1</f>
        <v>-6.2730665091975668E-2</v>
      </c>
      <c r="AN79" s="18">
        <f t="shared" si="296"/>
        <v>-0.20738506736488549</v>
      </c>
      <c r="AO79" s="166">
        <f t="shared" si="296"/>
        <v>-7.744661179042589E-2</v>
      </c>
      <c r="AP79" s="18">
        <f t="shared" si="296"/>
        <v>-0.403170454189409</v>
      </c>
      <c r="AQ79" s="18">
        <f>AQ78/AL78-1</f>
        <v>-0.34469785467384295</v>
      </c>
      <c r="AR79" s="18">
        <f t="shared" si="296"/>
        <v>-0.46692428655614915</v>
      </c>
      <c r="AS79" s="18">
        <f t="shared" ref="AS79:AU79" si="297">AS78/AN78-1</f>
        <v>-0.39089597746613924</v>
      </c>
      <c r="AT79" s="166">
        <f t="shared" si="297"/>
        <v>-0.40329083020884848</v>
      </c>
      <c r="AU79" s="18">
        <f t="shared" si="297"/>
        <v>-0.38619448346808116</v>
      </c>
      <c r="AV79" s="18">
        <f>AV78/AQ78-1</f>
        <v>-0.30135595003038362</v>
      </c>
      <c r="AW79" s="18">
        <f t="shared" ref="AW79" si="298">AW78/AR78-1</f>
        <v>-9.4955202853633236E-2</v>
      </c>
      <c r="AX79" s="18">
        <f t="shared" ref="AX79" si="299">AX78/AS78-1</f>
        <v>2.2663391227522478E-2</v>
      </c>
      <c r="AY79" s="166">
        <f t="shared" ref="AY79:AZ79" si="300">AY78/AT78-1</f>
        <v>-0.19847398948922956</v>
      </c>
      <c r="AZ79" s="18">
        <f t="shared" si="300"/>
        <v>0.41459977362560974</v>
      </c>
      <c r="BA79" s="18">
        <f>BA78/AV78-1</f>
        <v>0.10628342389685419</v>
      </c>
      <c r="BB79" s="18">
        <f t="shared" ref="BB79" si="301">BB78/AW78-1</f>
        <v>0.10061590183275171</v>
      </c>
      <c r="BC79" s="18">
        <f t="shared" ref="BC79" si="302">BC78/AX78-1</f>
        <v>0.17786100058622734</v>
      </c>
      <c r="BD79" s="166">
        <f t="shared" ref="BD79" si="303">BD78/AY78-1</f>
        <v>0.18495915972223753</v>
      </c>
      <c r="BE79" s="18">
        <f t="shared" ref="BE79:BI79" si="304">BE78/AZ78-1</f>
        <v>0.19477013459095782</v>
      </c>
      <c r="BF79" s="18">
        <f t="shared" si="304"/>
        <v>0.27974166514399723</v>
      </c>
      <c r="BG79" s="18">
        <f t="shared" si="304"/>
        <v>0.21382317751105462</v>
      </c>
      <c r="BH79" s="18">
        <f t="shared" si="304"/>
        <v>6.8358014896834574E-2</v>
      </c>
      <c r="BI79" s="166">
        <f t="shared" si="304"/>
        <v>0.18393063459206549</v>
      </c>
      <c r="BJ79" s="18"/>
      <c r="BK79" s="18"/>
      <c r="BL79" s="18"/>
      <c r="BM79" s="18"/>
      <c r="BN79" s="166">
        <f>BN78/BI78-1</f>
        <v>-5.1279069767441787E-2</v>
      </c>
      <c r="BO79" s="18"/>
      <c r="BP79" s="18"/>
      <c r="BQ79" s="18"/>
      <c r="BR79" s="18"/>
      <c r="BS79" s="166">
        <f>BS78/BN78-1</f>
        <v>-5.3536585365853817E-2</v>
      </c>
      <c r="BT79" s="148"/>
      <c r="BU79" s="356"/>
      <c r="BV79" s="224"/>
      <c r="BW79" s="148"/>
      <c r="BX79" s="148"/>
      <c r="BY79" s="148"/>
      <c r="BZ79" s="531"/>
      <c r="CA79" s="322"/>
      <c r="CB79" s="602"/>
      <c r="CC79" s="602"/>
      <c r="CD79" s="602"/>
      <c r="CE79" s="602"/>
      <c r="CF79" s="322"/>
      <c r="CG79" s="322"/>
      <c r="CH79" s="356"/>
      <c r="CI79" s="148"/>
      <c r="CJ79"/>
      <c r="CK79"/>
      <c r="CL79"/>
      <c r="CM79"/>
      <c r="CN79"/>
      <c r="CO79"/>
      <c r="CP79" s="391"/>
    </row>
    <row r="80" spans="1:94" s="267" customFormat="1" ht="12.75" customHeight="1" x14ac:dyDescent="0.2">
      <c r="A80" s="566" t="s">
        <v>120</v>
      </c>
      <c r="B80" s="32"/>
      <c r="C80" s="32"/>
      <c r="D80" s="32"/>
      <c r="E80" s="32"/>
      <c r="F80" s="174"/>
      <c r="G80" s="32">
        <f t="shared" ref="G80:AQ80" si="305">G57/G5</f>
        <v>45.753441535766711</v>
      </c>
      <c r="H80" s="32">
        <f t="shared" si="305"/>
        <v>49.543341237877101</v>
      </c>
      <c r="I80" s="32">
        <f t="shared" si="305"/>
        <v>33.290624825950133</v>
      </c>
      <c r="J80" s="32">
        <f t="shared" si="305"/>
        <v>36.233397363279643</v>
      </c>
      <c r="K80" s="174">
        <f t="shared" si="305"/>
        <v>41.456814691171061</v>
      </c>
      <c r="L80" s="32">
        <f t="shared" si="305"/>
        <v>24.205656012464004</v>
      </c>
      <c r="M80" s="32">
        <f t="shared" si="305"/>
        <v>26.636395710932828</v>
      </c>
      <c r="N80" s="32">
        <f t="shared" si="305"/>
        <v>30.673652252147875</v>
      </c>
      <c r="O80" s="32">
        <f t="shared" si="305"/>
        <v>35.309628605150408</v>
      </c>
      <c r="P80" s="174">
        <f t="shared" si="305"/>
        <v>29.167732361394179</v>
      </c>
      <c r="Q80" s="32">
        <f t="shared" si="305"/>
        <v>35.694105585803378</v>
      </c>
      <c r="R80" s="32">
        <f t="shared" si="305"/>
        <v>36.297409748323062</v>
      </c>
      <c r="S80" s="32">
        <f t="shared" si="305"/>
        <v>34.637212015470183</v>
      </c>
      <c r="T80" s="32">
        <f t="shared" si="305"/>
        <v>37.363030739481786</v>
      </c>
      <c r="U80" s="174">
        <f t="shared" si="305"/>
        <v>36.000977023266735</v>
      </c>
      <c r="V80" s="32">
        <f t="shared" si="305"/>
        <v>43.735087504536843</v>
      </c>
      <c r="W80" s="32">
        <f t="shared" si="305"/>
        <v>47.211363636363636</v>
      </c>
      <c r="X80" s="32">
        <f t="shared" si="305"/>
        <v>45.29102844638949</v>
      </c>
      <c r="Y80" s="32">
        <f t="shared" si="305"/>
        <v>44.253456221198157</v>
      </c>
      <c r="Z80" s="174">
        <f t="shared" si="305"/>
        <v>45.182454260224688</v>
      </c>
      <c r="AA80" s="32">
        <f t="shared" si="305"/>
        <v>46.175819497658573</v>
      </c>
      <c r="AB80" s="32">
        <f t="shared" si="305"/>
        <v>45.583620359739761</v>
      </c>
      <c r="AC80" s="32">
        <f t="shared" si="305"/>
        <v>43.687633262260128</v>
      </c>
      <c r="AD80" s="32">
        <f t="shared" si="305"/>
        <v>45.788817529278433</v>
      </c>
      <c r="AE80" s="174">
        <f t="shared" si="305"/>
        <v>45.257315552144291</v>
      </c>
      <c r="AF80" s="32">
        <f t="shared" si="305"/>
        <v>46.345736994219656</v>
      </c>
      <c r="AG80" s="32">
        <f t="shared" si="305"/>
        <v>41.622629379620697</v>
      </c>
      <c r="AH80" s="32">
        <f t="shared" si="305"/>
        <v>44.647599288678123</v>
      </c>
      <c r="AI80" s="32">
        <f t="shared" si="305"/>
        <v>45.26004428978171</v>
      </c>
      <c r="AJ80" s="174">
        <f t="shared" si="305"/>
        <v>44.42411793136781</v>
      </c>
      <c r="AK80" s="32">
        <f t="shared" si="305"/>
        <v>45.4874387254902</v>
      </c>
      <c r="AL80" s="32">
        <f t="shared" si="305"/>
        <v>43.25721490613617</v>
      </c>
      <c r="AM80" s="32">
        <f t="shared" si="305"/>
        <v>43.17990405117272</v>
      </c>
      <c r="AN80" s="32">
        <f t="shared" si="305"/>
        <v>36.366675653815051</v>
      </c>
      <c r="AO80" s="174">
        <f t="shared" si="305"/>
        <v>41.95823422414999</v>
      </c>
      <c r="AP80" s="32">
        <f t="shared" si="305"/>
        <v>27.821859296482412</v>
      </c>
      <c r="AQ80" s="32">
        <f t="shared" si="305"/>
        <v>29.148427115640228</v>
      </c>
      <c r="AR80" s="32">
        <f t="shared" ref="AR80:AV80" si="306">AR57/AR5</f>
        <v>24.249790619765498</v>
      </c>
      <c r="AS80" s="32">
        <f t="shared" si="306"/>
        <v>23.05106743667692</v>
      </c>
      <c r="AT80" s="174">
        <f t="shared" si="306"/>
        <v>25.96593186171458</v>
      </c>
      <c r="AU80" s="32">
        <f t="shared" si="306"/>
        <v>17.237217731588402</v>
      </c>
      <c r="AV80" s="32">
        <f t="shared" si="306"/>
        <v>20.190204454537881</v>
      </c>
      <c r="AW80" s="32">
        <f t="shared" ref="AW80:BA80" si="307">AW57/AW5</f>
        <v>21.474092351075075</v>
      </c>
      <c r="AX80" s="32">
        <f t="shared" si="307"/>
        <v>23.651401869158878</v>
      </c>
      <c r="AY80" s="174">
        <f t="shared" si="307"/>
        <v>20.702369731252155</v>
      </c>
      <c r="AZ80" s="32">
        <f t="shared" si="307"/>
        <v>25.095511669658887</v>
      </c>
      <c r="BA80" s="32">
        <f t="shared" si="307"/>
        <v>22.928456332581373</v>
      </c>
      <c r="BB80" s="32">
        <f t="shared" ref="BB80:BD80" si="308">BB57/BB5</f>
        <v>25.099096242270495</v>
      </c>
      <c r="BC80" s="32">
        <f t="shared" si="308"/>
        <v>28.722131147540988</v>
      </c>
      <c r="BD80" s="174">
        <f t="shared" si="308"/>
        <v>25.455113095976515</v>
      </c>
      <c r="BE80" s="32">
        <f t="shared" ref="BE80:BI80" si="309">BE57/BE5</f>
        <v>31.12273583368442</v>
      </c>
      <c r="BF80" s="32">
        <f t="shared" si="309"/>
        <v>31.103050939413468</v>
      </c>
      <c r="BG80" s="32">
        <f t="shared" si="309"/>
        <v>31.497023653239406</v>
      </c>
      <c r="BH80" s="32">
        <f t="shared" si="309"/>
        <v>31.974310815081964</v>
      </c>
      <c r="BI80" s="174">
        <f t="shared" si="309"/>
        <v>31.421624252146689</v>
      </c>
      <c r="BJ80" s="32"/>
      <c r="BK80" s="32"/>
      <c r="BL80" s="32"/>
      <c r="BM80" s="32"/>
      <c r="BN80" s="174">
        <f>BN57/BN5</f>
        <v>29.810352589914515</v>
      </c>
      <c r="BO80" s="32"/>
      <c r="BP80" s="32"/>
      <c r="BQ80" s="32"/>
      <c r="BR80" s="32"/>
      <c r="BS80" s="174">
        <f>BS57/BS5</f>
        <v>28.214408103698368</v>
      </c>
      <c r="BT80" s="154"/>
      <c r="BU80" s="363"/>
      <c r="BV80" s="228"/>
      <c r="BW80" s="154"/>
      <c r="BX80" s="154"/>
      <c r="BY80" s="154"/>
      <c r="BZ80" s="531"/>
      <c r="CA80" s="328"/>
      <c r="CB80" s="746"/>
      <c r="CC80" s="602"/>
      <c r="CD80" s="602"/>
      <c r="CE80" s="602"/>
      <c r="CF80" s="328"/>
      <c r="CG80" s="328"/>
      <c r="CH80" s="363"/>
      <c r="CI80" s="154"/>
      <c r="CJ80"/>
      <c r="CK80"/>
      <c r="CL80"/>
      <c r="CM80"/>
      <c r="CN80"/>
      <c r="CO80"/>
      <c r="CP80" s="402"/>
    </row>
    <row r="81" spans="1:94" s="140" customFormat="1" ht="12.75" customHeight="1" x14ac:dyDescent="0.2">
      <c r="A81" s="10" t="s">
        <v>121</v>
      </c>
      <c r="B81" s="11"/>
      <c r="C81" s="11"/>
      <c r="D81" s="11"/>
      <c r="E81" s="11"/>
      <c r="F81" s="869">
        <v>119.111</v>
      </c>
      <c r="G81" s="854">
        <v>29.152000000000001</v>
      </c>
      <c r="H81" s="854">
        <v>27.951000000000001</v>
      </c>
      <c r="I81" s="854">
        <v>25.954000000000001</v>
      </c>
      <c r="J81" s="854">
        <v>22.484000000000002</v>
      </c>
      <c r="K81" s="12">
        <f>SUM(G81:J81)</f>
        <v>105.541</v>
      </c>
      <c r="L81" s="854">
        <v>22.75</v>
      </c>
      <c r="M81" s="854">
        <v>22.975999999999999</v>
      </c>
      <c r="N81" s="854">
        <v>22.094999999999999</v>
      </c>
      <c r="O81" s="854">
        <v>22.152999999999999</v>
      </c>
      <c r="P81" s="12">
        <f>SUM(L81:O81)</f>
        <v>89.97399999999999</v>
      </c>
      <c r="Q81" s="854">
        <v>22.576000000000001</v>
      </c>
      <c r="R81" s="854">
        <v>24.873000000000001</v>
      </c>
      <c r="S81" s="854">
        <v>25.486000000000001</v>
      </c>
      <c r="T81" s="854">
        <v>28.408999999999999</v>
      </c>
      <c r="U81" s="12">
        <f>SUM(Q81:T81)</f>
        <v>101.34399999999999</v>
      </c>
      <c r="V81" s="854">
        <v>27.707999999999998</v>
      </c>
      <c r="W81" s="854">
        <v>29.081</v>
      </c>
      <c r="X81" s="854">
        <v>29.22</v>
      </c>
      <c r="Y81" s="854">
        <v>30.475999999999999</v>
      </c>
      <c r="Z81" s="12">
        <f>SUM(V81:Y81)</f>
        <v>116.485</v>
      </c>
      <c r="AA81" s="854">
        <v>32.872999999999998</v>
      </c>
      <c r="AB81" s="854">
        <v>36.06</v>
      </c>
      <c r="AC81" s="854">
        <v>37.536000000000001</v>
      </c>
      <c r="AD81" s="854">
        <v>37.103000000000002</v>
      </c>
      <c r="AE81" s="12">
        <f>SUM(AA81:AD81)</f>
        <v>143.572</v>
      </c>
      <c r="AF81" s="854">
        <v>41.072000000000003</v>
      </c>
      <c r="AG81" s="854">
        <v>41.914999999999999</v>
      </c>
      <c r="AH81" s="854">
        <v>42.134</v>
      </c>
      <c r="AI81" s="854">
        <v>44.616</v>
      </c>
      <c r="AJ81" s="12">
        <f>SUM(AF81:AI81)</f>
        <v>169.73699999999999</v>
      </c>
      <c r="AK81" s="854">
        <v>46.387</v>
      </c>
      <c r="AL81" s="854">
        <v>48.222000000000001</v>
      </c>
      <c r="AM81" s="854">
        <v>50.009</v>
      </c>
      <c r="AN81" s="854">
        <v>51.209000000000003</v>
      </c>
      <c r="AO81" s="12">
        <f>SUM(AK81:AN81)</f>
        <v>195.827</v>
      </c>
      <c r="AP81" s="854">
        <v>52.787999999999997</v>
      </c>
      <c r="AQ81" s="854">
        <v>53.127000000000002</v>
      </c>
      <c r="AR81" s="854">
        <v>53.524999999999999</v>
      </c>
      <c r="AS81" s="854">
        <v>52.091000000000001</v>
      </c>
      <c r="AT81" s="12">
        <f>SUM(AP81:AS81)</f>
        <v>211.53100000000001</v>
      </c>
      <c r="AU81" s="854">
        <v>52.201999999999998</v>
      </c>
      <c r="AV81" s="854">
        <v>49.863999999999997</v>
      </c>
      <c r="AW81" s="854">
        <v>49.366999999999997</v>
      </c>
      <c r="AX81" s="854">
        <v>50.241999999999997</v>
      </c>
      <c r="AY81" s="12">
        <f>SUM(AU81:AX81)</f>
        <v>201.67499999999998</v>
      </c>
      <c r="AZ81" s="854">
        <v>57.07</v>
      </c>
      <c r="BA81" s="854">
        <v>52.566000000000003</v>
      </c>
      <c r="BB81" s="854">
        <v>53.396000000000001</v>
      </c>
      <c r="BC81" s="854">
        <v>42.82</v>
      </c>
      <c r="BD81" s="12">
        <f>SUM(AZ81:BC81)</f>
        <v>205.85199999999998</v>
      </c>
      <c r="BE81" s="11">
        <v>50.2</v>
      </c>
      <c r="BF81" s="11">
        <f t="shared" ref="BF81:BH81" si="310">BF84*BF25</f>
        <v>48.85545882352941</v>
      </c>
      <c r="BG81" s="11">
        <f t="shared" si="310"/>
        <v>48.587829383886259</v>
      </c>
      <c r="BH81" s="11">
        <f t="shared" si="310"/>
        <v>38.010082191780825</v>
      </c>
      <c r="BI81" s="12">
        <f>SUM(BE81:BH81)</f>
        <v>185.65337039919649</v>
      </c>
      <c r="BJ81" s="11"/>
      <c r="BK81" s="11"/>
      <c r="BL81" s="11"/>
      <c r="BM81" s="11"/>
      <c r="BN81" s="12">
        <f>BN84*BN25*4</f>
        <v>184.93931897458421</v>
      </c>
      <c r="BO81" s="11"/>
      <c r="BP81" s="11"/>
      <c r="BQ81" s="11"/>
      <c r="BR81" s="11"/>
      <c r="BS81" s="12">
        <f>BS84*BS25*4</f>
        <v>187.22428353334354</v>
      </c>
      <c r="BT81" s="250"/>
      <c r="BU81" s="360"/>
      <c r="BV81" s="281"/>
      <c r="BW81" s="250"/>
      <c r="BX81" s="250"/>
      <c r="BY81" s="250"/>
      <c r="BZ81" s="531" t="s">
        <v>533</v>
      </c>
      <c r="CA81" s="11"/>
      <c r="CB81" s="11"/>
      <c r="CC81" s="11"/>
      <c r="CD81" s="11"/>
      <c r="CE81" s="11"/>
      <c r="CF81" s="11"/>
      <c r="CG81" s="11"/>
      <c r="CH81" s="360"/>
      <c r="CI81" s="250"/>
      <c r="CJ81"/>
      <c r="CK81"/>
      <c r="CL81"/>
      <c r="CM81"/>
      <c r="CN81"/>
      <c r="CO81"/>
      <c r="CP81" s="11"/>
    </row>
    <row r="82" spans="1:94" s="260" customFormat="1" ht="12.75" customHeight="1" x14ac:dyDescent="0.2">
      <c r="A82" s="561" t="s">
        <v>21</v>
      </c>
      <c r="B82" s="18"/>
      <c r="C82" s="18"/>
      <c r="D82" s="18"/>
      <c r="E82" s="18"/>
      <c r="F82" s="166"/>
      <c r="G82" s="18"/>
      <c r="H82" s="18"/>
      <c r="I82" s="18"/>
      <c r="J82" s="18"/>
      <c r="K82" s="166">
        <f t="shared" ref="K82:Z82" si="311">K81/F81-1</f>
        <v>-0.11392734508147873</v>
      </c>
      <c r="L82" s="18">
        <f t="shared" si="311"/>
        <v>-0.21960757409440179</v>
      </c>
      <c r="M82" s="18">
        <f t="shared" si="311"/>
        <v>-0.17799005402311197</v>
      </c>
      <c r="N82" s="18">
        <f t="shared" si="311"/>
        <v>-0.14868613701163602</v>
      </c>
      <c r="O82" s="18">
        <f t="shared" si="311"/>
        <v>-1.4721579790073047E-2</v>
      </c>
      <c r="P82" s="166">
        <f t="shared" si="311"/>
        <v>-0.14749718119024846</v>
      </c>
      <c r="Q82" s="18">
        <f>Q81/L81-1</f>
        <v>-7.6483516483516478E-3</v>
      </c>
      <c r="R82" s="18">
        <f>R81/M81-1</f>
        <v>8.2564415041782802E-2</v>
      </c>
      <c r="S82" s="18">
        <f>S81/N81-1</f>
        <v>0.15347363656935964</v>
      </c>
      <c r="T82" s="18">
        <f>T81/O81-1</f>
        <v>0.28239967498758634</v>
      </c>
      <c r="U82" s="166">
        <f t="shared" si="311"/>
        <v>0.12636984017605091</v>
      </c>
      <c r="V82" s="18">
        <f>V81/Q81-1</f>
        <v>0.2273210489014883</v>
      </c>
      <c r="W82" s="18">
        <f>W81/R81-1</f>
        <v>0.16917943151208137</v>
      </c>
      <c r="X82" s="18">
        <f>X81/S81-1</f>
        <v>0.14651181040571282</v>
      </c>
      <c r="Y82" s="18">
        <f>Y81/T81-1</f>
        <v>7.2758632827625069E-2</v>
      </c>
      <c r="Z82" s="166">
        <f t="shared" si="311"/>
        <v>0.14940203662772356</v>
      </c>
      <c r="AA82" s="18">
        <f t="shared" ref="AA82:AM82" si="312">AA81/V81-1</f>
        <v>0.18640825754294776</v>
      </c>
      <c r="AB82" s="18">
        <f t="shared" si="312"/>
        <v>0.23998486984629142</v>
      </c>
      <c r="AC82" s="18">
        <f t="shared" si="312"/>
        <v>0.28459958932238205</v>
      </c>
      <c r="AD82" s="18">
        <f t="shared" si="312"/>
        <v>0.21744979656122854</v>
      </c>
      <c r="AE82" s="166">
        <f t="shared" si="312"/>
        <v>0.23253637807443028</v>
      </c>
      <c r="AF82" s="18">
        <f t="shared" si="312"/>
        <v>0.2494144130441398</v>
      </c>
      <c r="AG82" s="18">
        <f t="shared" si="312"/>
        <v>0.16236827509706031</v>
      </c>
      <c r="AH82" s="18">
        <f t="shared" si="312"/>
        <v>0.12249573742540498</v>
      </c>
      <c r="AI82" s="18">
        <f t="shared" si="312"/>
        <v>0.2024903646605396</v>
      </c>
      <c r="AJ82" s="166">
        <f t="shared" si="312"/>
        <v>0.18224305574903177</v>
      </c>
      <c r="AK82" s="18">
        <f t="shared" si="312"/>
        <v>0.12940689520841442</v>
      </c>
      <c r="AL82" s="18">
        <f t="shared" si="312"/>
        <v>0.15047119169748302</v>
      </c>
      <c r="AM82" s="18">
        <f t="shared" si="312"/>
        <v>0.18690368823278103</v>
      </c>
      <c r="AN82" s="18">
        <f>AN81/AI81-1</f>
        <v>0.1477720996951768</v>
      </c>
      <c r="AO82" s="166">
        <f>AO81/AJ81-1</f>
        <v>0.15370838414723953</v>
      </c>
      <c r="AP82" s="18">
        <f>AP81/AK81-1</f>
        <v>0.13799124754780423</v>
      </c>
      <c r="AQ82" s="18">
        <f>AQ81/AL81-1</f>
        <v>0.10171705860395663</v>
      </c>
      <c r="AR82" s="18">
        <f>AR81/AM81-1</f>
        <v>7.030734467795785E-2</v>
      </c>
      <c r="AS82" s="18">
        <f t="shared" ref="AS82:AT82" si="313">AS81/AN81-1</f>
        <v>1.7223534925501438E-2</v>
      </c>
      <c r="AT82" s="166">
        <f t="shared" si="313"/>
        <v>8.0193231781112928E-2</v>
      </c>
      <c r="AU82" s="18">
        <f>AU81/AP81-1</f>
        <v>-1.1101007804804053E-2</v>
      </c>
      <c r="AV82" s="18">
        <f>AV81/AQ81-1</f>
        <v>-6.1418864230993742E-2</v>
      </c>
      <c r="AW82" s="18">
        <f>AW81/AR81-1</f>
        <v>-7.7683325548808968E-2</v>
      </c>
      <c r="AX82" s="18">
        <f t="shared" ref="AX82" si="314">AX81/AS81-1</f>
        <v>-3.5495575051352479E-2</v>
      </c>
      <c r="AY82" s="166">
        <f t="shared" ref="AY82" si="315">AY81/AT81-1</f>
        <v>-4.6593643484879377E-2</v>
      </c>
      <c r="AZ82" s="18">
        <f>AZ81/AU81-1</f>
        <v>9.3253132063905619E-2</v>
      </c>
      <c r="BA82" s="18">
        <f>BA81/AV81-1</f>
        <v>5.4187389699984045E-2</v>
      </c>
      <c r="BB82" s="18">
        <f>BB81/AW81-1</f>
        <v>8.1613223408349755E-2</v>
      </c>
      <c r="BC82" s="18">
        <f t="shared" ref="BC82" si="316">BC81/AX81-1</f>
        <v>-0.1477250109470164</v>
      </c>
      <c r="BD82" s="166">
        <f t="shared" ref="BD82" si="317">BD81/AY81-1</f>
        <v>2.0711540845419485E-2</v>
      </c>
      <c r="BE82" s="18">
        <f t="shared" ref="BE82:BI82" si="318">BE81/AZ81-1</f>
        <v>-0.12037848256527073</v>
      </c>
      <c r="BF82" s="18">
        <f t="shared" si="318"/>
        <v>-7.0588235294117729E-2</v>
      </c>
      <c r="BG82" s="18">
        <f t="shared" si="318"/>
        <v>-9.004739336492884E-2</v>
      </c>
      <c r="BH82" s="18">
        <f t="shared" si="318"/>
        <v>-0.11232876712328765</v>
      </c>
      <c r="BI82" s="166">
        <f t="shared" si="318"/>
        <v>-9.8122095489980632E-2</v>
      </c>
      <c r="BJ82" s="18"/>
      <c r="BK82" s="18"/>
      <c r="BL82" s="18"/>
      <c r="BM82" s="18"/>
      <c r="BN82" s="166">
        <f>BN81/BI81-1</f>
        <v>-3.8461538461537215E-3</v>
      </c>
      <c r="BO82" s="18"/>
      <c r="BP82" s="18"/>
      <c r="BQ82" s="18"/>
      <c r="BR82" s="18"/>
      <c r="BS82" s="166">
        <f>BS81/BN81-1</f>
        <v>1.2355212355212197E-2</v>
      </c>
      <c r="BT82" s="148"/>
      <c r="BU82" s="356"/>
      <c r="BV82" s="224"/>
      <c r="BW82" s="148"/>
      <c r="BX82" s="148"/>
      <c r="BY82" s="148"/>
      <c r="BZ82" s="531" t="s">
        <v>510</v>
      </c>
      <c r="CA82" s="532"/>
      <c r="CB82" s="326"/>
      <c r="CC82" s="322"/>
      <c r="CD82" s="322"/>
      <c r="CE82" s="322"/>
      <c r="CF82" s="322"/>
      <c r="CG82" s="322"/>
      <c r="CH82" s="356"/>
      <c r="CI82" s="148"/>
      <c r="CJ82"/>
      <c r="CK82"/>
      <c r="CL82"/>
      <c r="CM82"/>
      <c r="CN82"/>
      <c r="CO82"/>
      <c r="CP82" s="391"/>
    </row>
    <row r="83" spans="1:94" s="260" customFormat="1" ht="12.75" customHeight="1" x14ac:dyDescent="0.2">
      <c r="A83" s="567" t="s">
        <v>122</v>
      </c>
      <c r="B83" s="18"/>
      <c r="C83" s="18"/>
      <c r="D83" s="18"/>
      <c r="E83" s="18"/>
      <c r="F83" s="166"/>
      <c r="G83" s="18"/>
      <c r="H83" s="18">
        <f>H81/G81-1</f>
        <v>-4.1197859495060385E-2</v>
      </c>
      <c r="I83" s="18">
        <f>I81/H81-1</f>
        <v>-7.1446459876211899E-2</v>
      </c>
      <c r="J83" s="18">
        <f>J81/I81-1</f>
        <v>-0.1336980812206211</v>
      </c>
      <c r="K83" s="166"/>
      <c r="L83" s="18">
        <f>L81/J81-1</f>
        <v>1.1830635118306176E-2</v>
      </c>
      <c r="M83" s="18">
        <f>M81/L81-1</f>
        <v>9.9340659340658721E-3</v>
      </c>
      <c r="N83" s="18">
        <f>N81/M81-1</f>
        <v>-3.8344359331476285E-2</v>
      </c>
      <c r="O83" s="18">
        <f>O81/N81-1</f>
        <v>2.6250282869426655E-3</v>
      </c>
      <c r="P83" s="166"/>
      <c r="Q83" s="18">
        <f>Q81/O81-1</f>
        <v>1.9094479303028988E-2</v>
      </c>
      <c r="R83" s="18">
        <f>R81/Q81-1</f>
        <v>0.10174521615875265</v>
      </c>
      <c r="S83" s="18">
        <f>S81/R81-1</f>
        <v>2.4645197603827329E-2</v>
      </c>
      <c r="T83" s="18">
        <f>T81/S81-1</f>
        <v>0.11469041826885351</v>
      </c>
      <c r="U83" s="166"/>
      <c r="V83" s="18">
        <f>V81/T81-1</f>
        <v>-2.4675278960892721E-2</v>
      </c>
      <c r="W83" s="18">
        <f>W81/V81-1</f>
        <v>4.9552475819258035E-2</v>
      </c>
      <c r="X83" s="18">
        <f>X81/W81-1</f>
        <v>4.7797531034008411E-3</v>
      </c>
      <c r="Y83" s="18">
        <f>Y81/X81-1</f>
        <v>4.2984257357973954E-2</v>
      </c>
      <c r="Z83" s="166"/>
      <c r="AA83" s="18">
        <f>AA81/Y81-1</f>
        <v>7.8652054075337929E-2</v>
      </c>
      <c r="AB83" s="18">
        <f>AB81/AA81-1</f>
        <v>9.694886380920531E-2</v>
      </c>
      <c r="AC83" s="18">
        <f>AC81/AB81-1</f>
        <v>4.0931780366056492E-2</v>
      </c>
      <c r="AD83" s="18">
        <f>AD81/AC81-1</f>
        <v>-1.153559249786873E-2</v>
      </c>
      <c r="AE83" s="166"/>
      <c r="AF83" s="18">
        <f>AF81/AD81-1</f>
        <v>0.10697248200954101</v>
      </c>
      <c r="AG83" s="18">
        <f>AG81/AF81-1</f>
        <v>2.0524931827035298E-2</v>
      </c>
      <c r="AH83" s="18">
        <f>AH81/AG81-1</f>
        <v>5.2248598353812348E-3</v>
      </c>
      <c r="AI83" s="18">
        <f>AI81/AH81-1</f>
        <v>5.890729577063647E-2</v>
      </c>
      <c r="AJ83" s="166"/>
      <c r="AK83" s="18">
        <f>AK81/AI81-1</f>
        <v>3.9694280078895527E-2</v>
      </c>
      <c r="AL83" s="18">
        <f>AL81/AK81-1</f>
        <v>3.9558496992691872E-2</v>
      </c>
      <c r="AM83" s="18">
        <f>AM81/AL81-1</f>
        <v>3.7057774459790194E-2</v>
      </c>
      <c r="AN83" s="18">
        <f>AN81/AM81-1</f>
        <v>2.3995680777460171E-2</v>
      </c>
      <c r="AO83" s="166"/>
      <c r="AP83" s="18">
        <f>AP81/AN81-1</f>
        <v>3.0834423636469932E-2</v>
      </c>
      <c r="AQ83" s="18">
        <f>AQ81/AP81-1</f>
        <v>6.4219140713799305E-3</v>
      </c>
      <c r="AR83" s="18">
        <f>AR81/AQ81-1</f>
        <v>7.4914826735934525E-3</v>
      </c>
      <c r="AS83" s="18">
        <f>AS81/AR81-1</f>
        <v>-2.6791219056515603E-2</v>
      </c>
      <c r="AT83" s="166"/>
      <c r="AU83" s="18">
        <f>AU81/AS81-1</f>
        <v>2.1308863335316452E-3</v>
      </c>
      <c r="AV83" s="18">
        <f>AV81/AU81-1</f>
        <v>-4.4787556032335973E-2</v>
      </c>
      <c r="AW83" s="18">
        <f>AW81/AV81-1</f>
        <v>-9.9671105406706761E-3</v>
      </c>
      <c r="AX83" s="18">
        <f>AX81/AW81-1</f>
        <v>1.7724390787368094E-2</v>
      </c>
      <c r="AY83" s="166"/>
      <c r="AZ83" s="18">
        <f>AZ81/AX81-1</f>
        <v>0.13590223319135397</v>
      </c>
      <c r="BA83" s="18">
        <f>BA81/AZ81-1</f>
        <v>-7.892062379533904E-2</v>
      </c>
      <c r="BB83" s="18">
        <f>BB81/BA81-1</f>
        <v>1.5789673933721327E-2</v>
      </c>
      <c r="BC83" s="18">
        <f>BC81/BB81-1</f>
        <v>-0.19806727095662602</v>
      </c>
      <c r="BD83" s="166"/>
      <c r="BE83" s="18">
        <f>BE81/BC81-1</f>
        <v>0.17234936945352652</v>
      </c>
      <c r="BF83" s="18">
        <f t="shared" ref="BF83:BH83" si="319">BF81/BE81-1</f>
        <v>-2.6783688774314585E-2</v>
      </c>
      <c r="BG83" s="18">
        <f t="shared" si="319"/>
        <v>-5.4779843662886574E-3</v>
      </c>
      <c r="BH83" s="18">
        <f t="shared" si="319"/>
        <v>-0.21770363743833876</v>
      </c>
      <c r="BI83" s="166"/>
      <c r="BJ83" s="18"/>
      <c r="BK83" s="18"/>
      <c r="BL83" s="18"/>
      <c r="BM83" s="18"/>
      <c r="BN83" s="166"/>
      <c r="BO83" s="18"/>
      <c r="BP83" s="18"/>
      <c r="BQ83" s="18"/>
      <c r="BR83" s="18"/>
      <c r="BS83" s="166"/>
      <c r="BT83" s="148"/>
      <c r="BU83" s="356"/>
      <c r="BV83" s="822">
        <f>AVERAGE(AK83,AP83,AU83,AA83,AZ83)</f>
        <v>5.7442775463117803E-2</v>
      </c>
      <c r="BW83" s="822">
        <f>AVERAGE(AL83,AQ83,AV83,AB83,BA83)</f>
        <v>3.84421900912042E-3</v>
      </c>
      <c r="BX83" s="822">
        <f>AVERAGE(AM83,AR83,AW83,AC83,BB83)</f>
        <v>1.8260720178498158E-2</v>
      </c>
      <c r="BY83" s="822">
        <f>AVERAGE(AN83,AS83,AX83,AD83,BC83)</f>
        <v>-3.8934802189236416E-2</v>
      </c>
      <c r="BZ83" s="531"/>
      <c r="CA83" s="532"/>
      <c r="CB83" s="322"/>
      <c r="CC83" s="322"/>
      <c r="CD83" s="322"/>
      <c r="CE83" s="322"/>
      <c r="CF83" s="322"/>
      <c r="CG83" s="322"/>
      <c r="CH83" s="356"/>
      <c r="CI83" s="148"/>
      <c r="CJ83"/>
      <c r="CK83"/>
      <c r="CL83"/>
      <c r="CM83"/>
      <c r="CN83"/>
      <c r="CO83"/>
      <c r="CP83" s="391"/>
    </row>
    <row r="84" spans="1:94" s="267" customFormat="1" ht="12.75" customHeight="1" x14ac:dyDescent="0.2">
      <c r="A84" s="566" t="s">
        <v>123</v>
      </c>
      <c r="B84" s="32"/>
      <c r="C84" s="32"/>
      <c r="D84" s="32"/>
      <c r="E84" s="32"/>
      <c r="F84" s="174"/>
      <c r="G84" s="32"/>
      <c r="H84" s="32">
        <f>H81/H25</f>
        <v>0.78735211267605631</v>
      </c>
      <c r="I84" s="32">
        <f>I81/I25</f>
        <v>0.82393650793650797</v>
      </c>
      <c r="J84" s="32">
        <f>J81/J25</f>
        <v>0.80300000000000005</v>
      </c>
      <c r="K84" s="174"/>
      <c r="L84" s="32">
        <f>L81/L25</f>
        <v>0.8125</v>
      </c>
      <c r="M84" s="32">
        <f>M81/M25</f>
        <v>0.82057142857142851</v>
      </c>
      <c r="N84" s="32">
        <f>N81/N25</f>
        <v>0.78910714285714278</v>
      </c>
      <c r="O84" s="32">
        <f>O81/O25</f>
        <v>0.7911785714285714</v>
      </c>
      <c r="P84" s="174">
        <f>P81/P25/4</f>
        <v>0.80333928571428559</v>
      </c>
      <c r="Q84" s="32">
        <f>Q81/Q25</f>
        <v>0.79214035087719303</v>
      </c>
      <c r="R84" s="32">
        <f>R81/R25</f>
        <v>0.82910000000000006</v>
      </c>
      <c r="S84" s="32">
        <f>S81/S25</f>
        <v>0.80907936507936506</v>
      </c>
      <c r="T84" s="32">
        <f>T81/T25</f>
        <v>0.88778124999999997</v>
      </c>
      <c r="U84" s="174">
        <f>U81/U25/4</f>
        <v>0.84453333333333325</v>
      </c>
      <c r="V84" s="32">
        <f>V81/V25</f>
        <v>0.82710447761194028</v>
      </c>
      <c r="W84" s="32">
        <f>W81/W25</f>
        <v>0.83088571428571423</v>
      </c>
      <c r="X84" s="32">
        <f>X81/X25</f>
        <v>0.83485714285714285</v>
      </c>
      <c r="Y84" s="32">
        <f>Y81/Y25</f>
        <v>0.84655555555555551</v>
      </c>
      <c r="Z84" s="174">
        <f>Z81/Z25/4</f>
        <v>0.84409420289855075</v>
      </c>
      <c r="AA84" s="32">
        <f>AA81/AA25</f>
        <v>0.85384415584415574</v>
      </c>
      <c r="AB84" s="32">
        <f>AB81/AB25</f>
        <v>0.87951219512195122</v>
      </c>
      <c r="AC84" s="32">
        <f>AC81/AC25</f>
        <v>0.89371428571428579</v>
      </c>
      <c r="AD84" s="32">
        <f>AD81/AD25</f>
        <v>0.85294252873563225</v>
      </c>
      <c r="AE84" s="174">
        <f>AE81/AE25/4</f>
        <v>0.8754390243902439</v>
      </c>
      <c r="AF84" s="32">
        <f>AF81/AF25</f>
        <v>0.87387234042553197</v>
      </c>
      <c r="AG84" s="32">
        <f>AG81/AG25</f>
        <v>0.84676767676767672</v>
      </c>
      <c r="AH84" s="32">
        <f>AH81/AH25</f>
        <v>0.8343366336633663</v>
      </c>
      <c r="AI84" s="32">
        <f>AI81/AI25</f>
        <v>0.84982857142857138</v>
      </c>
      <c r="AJ84" s="174">
        <f>AJ81/AJ25/4</f>
        <v>0.85725757575757577</v>
      </c>
      <c r="AK84" s="32">
        <f>AK81/AK25</f>
        <v>0.84340000000000004</v>
      </c>
      <c r="AL84" s="32">
        <f>AL81/AL25</f>
        <v>0.85348672566371686</v>
      </c>
      <c r="AM84" s="32">
        <f>AM81/AM25</f>
        <v>0.86972173913043482</v>
      </c>
      <c r="AN84" s="32">
        <f>AN81/AN25</f>
        <v>0.83266666666666667</v>
      </c>
      <c r="AO84" s="174">
        <f>AO81/AO25/4</f>
        <v>0.82280252100840334</v>
      </c>
      <c r="AP84" s="32">
        <f>AP81/AP25</f>
        <v>0.78204444444444443</v>
      </c>
      <c r="AQ84" s="32">
        <f>AQ81/AQ25</f>
        <v>0.74303496503496502</v>
      </c>
      <c r="AR84" s="32">
        <f>AR81/AR25</f>
        <v>0.71845637583892619</v>
      </c>
      <c r="AS84" s="32">
        <f>AS81/AS25</f>
        <v>0.67214193548387102</v>
      </c>
      <c r="AT84" s="174">
        <f>AT81/AT25/4</f>
        <v>0.73448263888888887</v>
      </c>
      <c r="AU84" s="32">
        <f>AU81/AU25</f>
        <v>0.64446913580246912</v>
      </c>
      <c r="AV84" s="32">
        <f>AV81/AV25</f>
        <v>0.58663529411764703</v>
      </c>
      <c r="AW84" s="32">
        <f>AW81/AW25</f>
        <v>0.56098863636363638</v>
      </c>
      <c r="AX84" s="32">
        <f>AX81/AX25</f>
        <v>0.5461086956521739</v>
      </c>
      <c r="AY84" s="174">
        <f>AY81/AY25/4</f>
        <v>0.5795258620689655</v>
      </c>
      <c r="AZ84" s="32">
        <f>AZ81/AZ25</f>
        <v>0.58533333333333337</v>
      </c>
      <c r="BA84" s="32">
        <f>BA81/BA25</f>
        <v>0.51535294117647057</v>
      </c>
      <c r="BB84" s="32">
        <f>BB81/BB25</f>
        <v>0.50612322274881516</v>
      </c>
      <c r="BC84" s="32">
        <f>BC81/BC25</f>
        <v>0.39105022831050229</v>
      </c>
      <c r="BD84" s="174">
        <f>BD81/BD25/4</f>
        <v>0.49722705314009658</v>
      </c>
      <c r="BE84" s="32">
        <f t="shared" ref="BE84:BH84" si="320">AZ84*(1+BE85)</f>
        <v>0.44134133333333336</v>
      </c>
      <c r="BF84" s="32">
        <f t="shared" si="320"/>
        <v>0.41228235294117649</v>
      </c>
      <c r="BG84" s="32">
        <f t="shared" si="320"/>
        <v>0.40489857819905217</v>
      </c>
      <c r="BH84" s="32">
        <f t="shared" si="320"/>
        <v>0.31284018264840185</v>
      </c>
      <c r="BI84" s="174">
        <f>BI81/BI25/4</f>
        <v>0.39669523589571898</v>
      </c>
      <c r="BJ84" s="32"/>
      <c r="BK84" s="32"/>
      <c r="BL84" s="32"/>
      <c r="BM84" s="32"/>
      <c r="BN84" s="174">
        <f>BI84*(1+BN85)</f>
        <v>0.3570257123061471</v>
      </c>
      <c r="BO84" s="32"/>
      <c r="BP84" s="32"/>
      <c r="BQ84" s="32"/>
      <c r="BR84" s="32"/>
      <c r="BS84" s="174">
        <f>BN84*(1+BS85)</f>
        <v>0.32846365532165533</v>
      </c>
      <c r="BT84" s="154"/>
      <c r="BU84" s="363"/>
      <c r="BV84" s="228"/>
      <c r="BW84" s="154"/>
      <c r="BX84" s="154"/>
      <c r="BY84" s="154"/>
      <c r="BZ84" s="531"/>
      <c r="CA84" s="532"/>
      <c r="CB84" s="328"/>
      <c r="CC84" s="328"/>
      <c r="CD84" s="328"/>
      <c r="CE84" s="328"/>
      <c r="CF84" s="328"/>
      <c r="CG84" s="328"/>
      <c r="CH84" s="363"/>
      <c r="CI84" s="154"/>
      <c r="CJ84"/>
      <c r="CK84"/>
      <c r="CL84"/>
      <c r="CM84"/>
      <c r="CN84"/>
      <c r="CO84"/>
      <c r="CP84" s="402"/>
    </row>
    <row r="85" spans="1:94" s="260" customFormat="1" ht="12.75" customHeight="1" x14ac:dyDescent="0.2">
      <c r="A85" s="541" t="s">
        <v>21</v>
      </c>
      <c r="B85" s="18"/>
      <c r="C85" s="18"/>
      <c r="D85" s="18"/>
      <c r="E85" s="18"/>
      <c r="F85" s="166"/>
      <c r="G85" s="18"/>
      <c r="H85" s="18"/>
      <c r="I85" s="18"/>
      <c r="J85" s="18"/>
      <c r="K85" s="166"/>
      <c r="L85" s="18"/>
      <c r="M85" s="18">
        <f>M84/H84-1</f>
        <v>4.2191181506411768E-2</v>
      </c>
      <c r="N85" s="18">
        <f>N84/I84-1</f>
        <v>-4.2271904138090566E-2</v>
      </c>
      <c r="O85" s="18">
        <f>O84/J84-1</f>
        <v>-1.4721579790073047E-2</v>
      </c>
      <c r="P85" s="166"/>
      <c r="Q85" s="18">
        <f t="shared" ref="Q85:AM85" si="321">Q84/L84-1</f>
        <v>-2.5058029689608574E-2</v>
      </c>
      <c r="R85" s="18">
        <f t="shared" si="321"/>
        <v>1.0393454038997385E-2</v>
      </c>
      <c r="S85" s="18">
        <f t="shared" si="321"/>
        <v>2.530989917276405E-2</v>
      </c>
      <c r="T85" s="18">
        <f t="shared" si="321"/>
        <v>0.12209971561413813</v>
      </c>
      <c r="U85" s="166">
        <f t="shared" si="321"/>
        <v>5.1278517497647558E-2</v>
      </c>
      <c r="V85" s="18">
        <f t="shared" si="321"/>
        <v>4.413880279678839E-2</v>
      </c>
      <c r="W85" s="18">
        <f t="shared" si="321"/>
        <v>2.1537984389268239E-3</v>
      </c>
      <c r="X85" s="18">
        <f t="shared" si="321"/>
        <v>3.1860629365141557E-2</v>
      </c>
      <c r="Y85" s="18">
        <f t="shared" si="321"/>
        <v>-4.643677081988884E-2</v>
      </c>
      <c r="Z85" s="166">
        <f>Z84/U84-1</f>
        <v>-5.1996814980559414E-4</v>
      </c>
      <c r="AA85" s="18">
        <f t="shared" si="321"/>
        <v>3.2329263056850577E-2</v>
      </c>
      <c r="AB85" s="18">
        <f t="shared" si="321"/>
        <v>5.8523669380980525E-2</v>
      </c>
      <c r="AC85" s="18">
        <f t="shared" si="321"/>
        <v>7.0499657768651636E-2</v>
      </c>
      <c r="AD85" s="18">
        <f t="shared" si="321"/>
        <v>7.5446592230858922E-3</v>
      </c>
      <c r="AE85" s="166">
        <f>AE84/Z84-1</f>
        <v>3.7134269355313165E-2</v>
      </c>
      <c r="AF85" s="18">
        <f t="shared" si="321"/>
        <v>2.3456487280837823E-2</v>
      </c>
      <c r="AG85" s="18">
        <f t="shared" si="321"/>
        <v>-3.7230317596374185E-2</v>
      </c>
      <c r="AH85" s="18">
        <f t="shared" si="321"/>
        <v>-6.6439188675900929E-2</v>
      </c>
      <c r="AI85" s="18">
        <f t="shared" si="321"/>
        <v>-3.6508407098387874E-3</v>
      </c>
      <c r="AJ85" s="166">
        <f>AJ84/AE84-1</f>
        <v>-2.0768378066458482E-2</v>
      </c>
      <c r="AK85" s="18">
        <f t="shared" si="321"/>
        <v>-3.4870471367354883E-2</v>
      </c>
      <c r="AL85" s="18">
        <f t="shared" si="321"/>
        <v>7.9349378588569053E-3</v>
      </c>
      <c r="AM85" s="18">
        <f t="shared" si="321"/>
        <v>4.2411065317486063E-2</v>
      </c>
      <c r="AN85" s="18">
        <f t="shared" ref="AN85:AW85" si="322">AN84/AI84-1</f>
        <v>-2.0194549040702836E-2</v>
      </c>
      <c r="AO85" s="166">
        <f t="shared" si="322"/>
        <v>-4.0192184617002469E-2</v>
      </c>
      <c r="AP85" s="18">
        <f t="shared" si="322"/>
        <v>-7.2747872368455813E-2</v>
      </c>
      <c r="AQ85" s="18">
        <f t="shared" si="322"/>
        <v>-0.12941239425002027</v>
      </c>
      <c r="AR85" s="18">
        <f t="shared" si="322"/>
        <v>-0.1739238614901667</v>
      </c>
      <c r="AS85" s="18">
        <f t="shared" si="322"/>
        <v>-0.19278390454298922</v>
      </c>
      <c r="AT85" s="166">
        <f t="shared" si="322"/>
        <v>-0.10734031540310807</v>
      </c>
      <c r="AU85" s="18">
        <f t="shared" si="322"/>
        <v>-0.1759175065040034</v>
      </c>
      <c r="AV85" s="18">
        <f t="shared" si="322"/>
        <v>-0.21048763285312999</v>
      </c>
      <c r="AW85" s="18">
        <f t="shared" si="322"/>
        <v>-0.21917508810666209</v>
      </c>
      <c r="AX85" s="18">
        <f t="shared" ref="AX85" si="323">AX84/AS84-1</f>
        <v>-0.18750985941825893</v>
      </c>
      <c r="AY85" s="166">
        <f t="shared" ref="AY85:BB85" si="324">AY84/AT84-1</f>
        <v>-0.21097404978058976</v>
      </c>
      <c r="AZ85" s="18">
        <f t="shared" si="324"/>
        <v>-9.1758936439216843E-2</v>
      </c>
      <c r="BA85" s="18">
        <f t="shared" si="324"/>
        <v>-0.12151050858334667</v>
      </c>
      <c r="BB85" s="18">
        <f t="shared" si="324"/>
        <v>-9.7801292322893141E-2</v>
      </c>
      <c r="BC85" s="18">
        <f t="shared" ref="BC85" si="325">BC84/AX84-1</f>
        <v>-0.28393334253082658</v>
      </c>
      <c r="BD85" s="166">
        <f t="shared" ref="BD85" si="326">BD84/AY84-1</f>
        <v>-0.14201058885457485</v>
      </c>
      <c r="BE85" s="139">
        <v>-0.246</v>
      </c>
      <c r="BF85" s="139">
        <v>-0.2</v>
      </c>
      <c r="BG85" s="139">
        <v>-0.2</v>
      </c>
      <c r="BH85" s="139">
        <v>-0.2</v>
      </c>
      <c r="BI85" s="166">
        <f>BI84/BD84-1</f>
        <v>-0.20218493062575216</v>
      </c>
      <c r="BJ85" s="600"/>
      <c r="BK85" s="600"/>
      <c r="BL85" s="728"/>
      <c r="BM85" s="728"/>
      <c r="BN85" s="801">
        <v>-0.1</v>
      </c>
      <c r="BO85" s="600"/>
      <c r="BP85" s="600"/>
      <c r="BQ85" s="728"/>
      <c r="BR85" s="728"/>
      <c r="BS85" s="801">
        <v>-0.08</v>
      </c>
      <c r="BT85" s="148"/>
      <c r="BU85" s="356"/>
      <c r="BV85" s="224"/>
      <c r="BW85" s="148"/>
      <c r="BX85" s="148"/>
      <c r="BY85" s="148"/>
      <c r="BZ85" s="531"/>
      <c r="CA85" s="322"/>
      <c r="CB85" s="322"/>
      <c r="CC85" s="322"/>
      <c r="CD85" s="322"/>
      <c r="CE85" s="322"/>
      <c r="CF85" s="322"/>
      <c r="CG85" s="322"/>
      <c r="CH85" s="356"/>
      <c r="CI85" s="148"/>
      <c r="CJ85"/>
      <c r="CK85"/>
      <c r="CL85"/>
      <c r="CM85"/>
      <c r="CN85"/>
      <c r="CO85"/>
      <c r="CP85" s="391"/>
    </row>
    <row r="86" spans="1:94" s="140" customFormat="1" ht="12.75" customHeight="1" x14ac:dyDescent="0.2">
      <c r="A86" s="10" t="s">
        <v>124</v>
      </c>
      <c r="B86" s="11"/>
      <c r="C86" s="11"/>
      <c r="D86" s="11"/>
      <c r="E86" s="11"/>
      <c r="F86" s="869">
        <v>23.448</v>
      </c>
      <c r="G86" s="854">
        <v>6.7720000000000002</v>
      </c>
      <c r="H86" s="854">
        <v>8.5220000000000002</v>
      </c>
      <c r="I86" s="854">
        <v>3.8380000000000001</v>
      </c>
      <c r="J86" s="854">
        <v>5.1050000000000004</v>
      </c>
      <c r="K86" s="12">
        <f>SUM(G86:J86)</f>
        <v>24.237000000000002</v>
      </c>
      <c r="L86" s="854">
        <v>8.3650000000000002</v>
      </c>
      <c r="M86" s="854">
        <v>6.944</v>
      </c>
      <c r="N86" s="854">
        <v>6.7039999999999997</v>
      </c>
      <c r="O86" s="854">
        <v>5.5229999999999997</v>
      </c>
      <c r="P86" s="12">
        <f>SUM(L86:O86)</f>
        <v>27.536000000000001</v>
      </c>
      <c r="Q86" s="854">
        <v>6.6920000000000002</v>
      </c>
      <c r="R86" s="854">
        <v>5.7140000000000004</v>
      </c>
      <c r="S86" s="854">
        <v>8.2379999999999995</v>
      </c>
      <c r="T86" s="854">
        <v>7.5460000000000003</v>
      </c>
      <c r="U86" s="12">
        <f>SUM(Q86:T86)</f>
        <v>28.189999999999998</v>
      </c>
      <c r="V86" s="854">
        <v>8.0579999999999998</v>
      </c>
      <c r="W86" s="854">
        <v>7.48</v>
      </c>
      <c r="X86" s="854">
        <v>11.44</v>
      </c>
      <c r="Y86" s="854">
        <v>8.5749999999999993</v>
      </c>
      <c r="Z86" s="12">
        <f>SUM(V86:Y86)</f>
        <v>35.552999999999997</v>
      </c>
      <c r="AA86" s="854">
        <v>10.414</v>
      </c>
      <c r="AB86" s="854">
        <v>13.558</v>
      </c>
      <c r="AC86" s="854">
        <v>14.211</v>
      </c>
      <c r="AD86" s="854">
        <v>12.206</v>
      </c>
      <c r="AE86" s="12">
        <f>SUM(AA86:AD86)</f>
        <v>50.388999999999996</v>
      </c>
      <c r="AF86" s="854">
        <v>11.78</v>
      </c>
      <c r="AG86" s="854">
        <v>15.202</v>
      </c>
      <c r="AH86" s="854">
        <v>16.908000000000001</v>
      </c>
      <c r="AI86" s="854">
        <v>16.253</v>
      </c>
      <c r="AJ86" s="12">
        <f>SUM(AF86:AI86)</f>
        <v>60.143000000000001</v>
      </c>
      <c r="AK86" s="854">
        <v>17.614000000000001</v>
      </c>
      <c r="AL86" s="854">
        <v>19.204999999999998</v>
      </c>
      <c r="AM86" s="854">
        <v>19.622</v>
      </c>
      <c r="AN86" s="854">
        <v>17.515000000000001</v>
      </c>
      <c r="AO86" s="12">
        <f>SUM(AK86:AN86)</f>
        <v>73.956000000000003</v>
      </c>
      <c r="AP86" s="854">
        <v>19.16</v>
      </c>
      <c r="AQ86" s="854">
        <v>21.271000000000001</v>
      </c>
      <c r="AR86" s="854">
        <v>21.472999999999999</v>
      </c>
      <c r="AS86" s="854">
        <v>18.544</v>
      </c>
      <c r="AT86" s="12">
        <f>SUM(AP86:AS86)</f>
        <v>80.447999999999993</v>
      </c>
      <c r="AU86" s="854">
        <v>20.94</v>
      </c>
      <c r="AV86" s="854">
        <v>20.626999999999999</v>
      </c>
      <c r="AW86" s="854">
        <v>30.443000000000001</v>
      </c>
      <c r="AX86" s="854">
        <v>26.577000000000002</v>
      </c>
      <c r="AY86" s="12">
        <f>SUM(AU86:AX86)</f>
        <v>98.587000000000003</v>
      </c>
      <c r="AZ86" s="854">
        <v>26.312000000000001</v>
      </c>
      <c r="BA86" s="854">
        <v>28.984999999999999</v>
      </c>
      <c r="BB86" s="854">
        <v>26.175999999999998</v>
      </c>
      <c r="BC86" s="854">
        <v>28.966000000000001</v>
      </c>
      <c r="BD86" s="12">
        <f>SUM(AZ86:BC86)</f>
        <v>110.43899999999999</v>
      </c>
      <c r="BE86" s="854">
        <f t="shared" ref="BE86" si="327">BE90*BE11/100</f>
        <v>29.927005680000001</v>
      </c>
      <c r="BF86" s="11">
        <f t="shared" ref="BF86:BH86" si="328">BF90*BF11/100</f>
        <v>31.164671999999996</v>
      </c>
      <c r="BG86" s="11">
        <f t="shared" si="328"/>
        <v>32.981760000000001</v>
      </c>
      <c r="BH86" s="11">
        <f t="shared" si="328"/>
        <v>30.370851000000005</v>
      </c>
      <c r="BI86" s="12">
        <f>SUM(BE86:BH86)</f>
        <v>124.44428868</v>
      </c>
      <c r="BJ86" s="11"/>
      <c r="BK86" s="11"/>
      <c r="BL86" s="11"/>
      <c r="BM86" s="11"/>
      <c r="BN86" s="12">
        <f>BN90*BN11/100</f>
        <v>131.59983527909998</v>
      </c>
      <c r="BO86" s="11"/>
      <c r="BP86" s="11"/>
      <c r="BQ86" s="11"/>
      <c r="BR86" s="11"/>
      <c r="BS86" s="12">
        <f>BS90*BS11/100</f>
        <v>140.64732395453811</v>
      </c>
      <c r="BT86" s="250"/>
      <c r="BU86" s="360"/>
      <c r="BV86" s="281"/>
      <c r="BW86" s="250"/>
      <c r="BX86" s="250"/>
      <c r="BY86" s="250"/>
      <c r="BZ86" s="531"/>
      <c r="CA86" s="11"/>
      <c r="CB86" s="605"/>
      <c r="CC86" s="328"/>
      <c r="CD86" s="605"/>
      <c r="CE86" s="605"/>
      <c r="CF86" s="11"/>
      <c r="CG86" s="11"/>
      <c r="CH86" s="360"/>
      <c r="CI86" s="250"/>
      <c r="CJ86"/>
      <c r="CK86"/>
      <c r="CL86"/>
      <c r="CM86"/>
      <c r="CN86"/>
      <c r="CO86"/>
      <c r="CP86" s="11"/>
    </row>
    <row r="87" spans="1:94" s="260" customFormat="1" ht="12.75" customHeight="1" x14ac:dyDescent="0.2">
      <c r="A87" s="561" t="s">
        <v>21</v>
      </c>
      <c r="B87" s="18"/>
      <c r="C87" s="18"/>
      <c r="D87" s="18"/>
      <c r="E87" s="18"/>
      <c r="F87" s="166"/>
      <c r="G87" s="18"/>
      <c r="H87" s="18"/>
      <c r="I87" s="18"/>
      <c r="J87" s="18"/>
      <c r="K87" s="166">
        <f t="shared" ref="K87:Z87" si="329">K86/F86-1</f>
        <v>3.3648925281474007E-2</v>
      </c>
      <c r="L87" s="18">
        <f t="shared" si="329"/>
        <v>0.23523331364441824</v>
      </c>
      <c r="M87" s="18">
        <f t="shared" si="329"/>
        <v>-0.18516780098568419</v>
      </c>
      <c r="N87" s="18">
        <f t="shared" si="329"/>
        <v>0.74674309536216765</v>
      </c>
      <c r="O87" s="18">
        <f t="shared" si="329"/>
        <v>8.1880509304603111E-2</v>
      </c>
      <c r="P87" s="166">
        <f t="shared" si="329"/>
        <v>0.13611420555349252</v>
      </c>
      <c r="Q87" s="18">
        <f>Q86/L86-1</f>
        <v>-0.19999999999999996</v>
      </c>
      <c r="R87" s="18">
        <f>R86/M86-1</f>
        <v>-0.17713133640552992</v>
      </c>
      <c r="S87" s="18">
        <f>S86/N86-1</f>
        <v>0.22881861575178997</v>
      </c>
      <c r="T87" s="18">
        <f>T86/O86-1</f>
        <v>0.3662864385297846</v>
      </c>
      <c r="U87" s="166">
        <f t="shared" si="329"/>
        <v>2.3750726321905669E-2</v>
      </c>
      <c r="V87" s="18">
        <f>V86/Q86-1</f>
        <v>0.20412432755528975</v>
      </c>
      <c r="W87" s="18">
        <f>W86/R86-1</f>
        <v>0.30906545327266355</v>
      </c>
      <c r="X87" s="18">
        <f>X86/S86-1</f>
        <v>0.38868657441126486</v>
      </c>
      <c r="Y87" s="18">
        <f>Y86/T86-1</f>
        <v>0.13636363636363624</v>
      </c>
      <c r="Z87" s="166">
        <f t="shared" si="329"/>
        <v>0.26119191202554104</v>
      </c>
      <c r="AA87" s="18">
        <f t="shared" ref="AA87:AM87" si="330">AA86/V86-1</f>
        <v>0.29238024323653522</v>
      </c>
      <c r="AB87" s="18">
        <f t="shared" si="330"/>
        <v>0.81256684491978604</v>
      </c>
      <c r="AC87" s="18">
        <f t="shared" si="330"/>
        <v>0.24222027972027971</v>
      </c>
      <c r="AD87" s="18">
        <f t="shared" si="330"/>
        <v>0.42344023323615176</v>
      </c>
      <c r="AE87" s="166">
        <f t="shared" si="330"/>
        <v>0.41729249289792714</v>
      </c>
      <c r="AF87" s="18">
        <f t="shared" si="330"/>
        <v>0.13116957941232954</v>
      </c>
      <c r="AG87" s="18">
        <f t="shared" si="330"/>
        <v>0.12125682254019776</v>
      </c>
      <c r="AH87" s="18">
        <f t="shared" si="330"/>
        <v>0.18978256280346217</v>
      </c>
      <c r="AI87" s="18">
        <f t="shared" si="330"/>
        <v>0.33155825004096351</v>
      </c>
      <c r="AJ87" s="166">
        <f t="shared" si="330"/>
        <v>0.19357399432415812</v>
      </c>
      <c r="AK87" s="18">
        <f t="shared" si="330"/>
        <v>0.49524617996604436</v>
      </c>
      <c r="AL87" s="18">
        <f t="shared" si="330"/>
        <v>0.26332061570845933</v>
      </c>
      <c r="AM87" s="18">
        <f t="shared" si="330"/>
        <v>0.16051573219777615</v>
      </c>
      <c r="AN87" s="18">
        <f>AN86/AI86-1</f>
        <v>7.7647203593182779E-2</v>
      </c>
      <c r="AO87" s="166">
        <f>AO86/AJ86-1</f>
        <v>0.22966928819646504</v>
      </c>
      <c r="AP87" s="18">
        <f>AP86/AK86-1</f>
        <v>8.7771091177472504E-2</v>
      </c>
      <c r="AQ87" s="18">
        <f>AQ86/AL86-1</f>
        <v>0.10757615204373883</v>
      </c>
      <c r="AR87" s="18">
        <f>AR86/AM86-1</f>
        <v>9.4332891652227024E-2</v>
      </c>
      <c r="AS87" s="18">
        <f t="shared" ref="AS87:AT87" si="331">AS86/AN86-1</f>
        <v>5.874964316300324E-2</v>
      </c>
      <c r="AT87" s="166">
        <f t="shared" si="331"/>
        <v>8.7781924387473564E-2</v>
      </c>
      <c r="AU87" s="18">
        <f>AU86/AP86-1</f>
        <v>9.2901878914405156E-2</v>
      </c>
      <c r="AV87" s="18">
        <f>AV86/AQ86-1</f>
        <v>-3.0275962578158122E-2</v>
      </c>
      <c r="AW87" s="18">
        <f>AW86/AR86-1</f>
        <v>0.41773389838401731</v>
      </c>
      <c r="AX87" s="18">
        <f t="shared" ref="AX87" si="332">AX86/AS86-1</f>
        <v>0.43318593615185508</v>
      </c>
      <c r="AY87" s="166">
        <f t="shared" ref="AY87" si="333">AY86/AT86-1</f>
        <v>0.22547484089101055</v>
      </c>
      <c r="AZ87" s="18">
        <f>AZ86/AU86-1</f>
        <v>0.25654250238777454</v>
      </c>
      <c r="BA87" s="18">
        <f>BA86/AV86-1</f>
        <v>0.40519707179909825</v>
      </c>
      <c r="BB87" s="18">
        <f>BB86/AW86-1</f>
        <v>-0.14016358440363963</v>
      </c>
      <c r="BC87" s="18">
        <f t="shared" ref="BC87" si="334">BC86/AX86-1</f>
        <v>8.9889754298829727E-2</v>
      </c>
      <c r="BD87" s="166">
        <f t="shared" ref="BD87" si="335">BD86/AY86-1</f>
        <v>0.12021869009098562</v>
      </c>
      <c r="BE87" s="18">
        <f t="shared" ref="BE87:BI87" si="336">BE86/AZ86-1</f>
        <v>0.1373899999999999</v>
      </c>
      <c r="BF87" s="18">
        <f t="shared" si="336"/>
        <v>7.5199999999999934E-2</v>
      </c>
      <c r="BG87" s="18">
        <f t="shared" si="336"/>
        <v>0.26000000000000023</v>
      </c>
      <c r="BH87" s="18">
        <f t="shared" si="336"/>
        <v>4.850000000000021E-2</v>
      </c>
      <c r="BI87" s="166">
        <f t="shared" si="336"/>
        <v>0.12681470024176256</v>
      </c>
      <c r="BJ87" s="18"/>
      <c r="BK87" s="18"/>
      <c r="BL87" s="18"/>
      <c r="BM87" s="18"/>
      <c r="BN87" s="166">
        <f>BN86/BI86-1</f>
        <v>5.7499999999999885E-2</v>
      </c>
      <c r="BO87" s="18"/>
      <c r="BP87" s="18"/>
      <c r="BQ87" s="18"/>
      <c r="BR87" s="18"/>
      <c r="BS87" s="166">
        <f>BS86/BN86-1</f>
        <v>6.8750000000000089E-2</v>
      </c>
      <c r="BT87" s="148"/>
      <c r="BU87" s="356"/>
      <c r="BV87" s="224"/>
      <c r="BW87" s="148"/>
      <c r="BX87" s="148"/>
      <c r="BY87" s="148"/>
      <c r="BZ87" s="531"/>
      <c r="CA87" s="531"/>
      <c r="CB87" s="531"/>
      <c r="CC87" s="328"/>
      <c r="CD87" s="531"/>
      <c r="CE87" s="322"/>
      <c r="CF87" s="322"/>
      <c r="CG87" s="322"/>
      <c r="CH87" s="356"/>
      <c r="CI87" s="148"/>
      <c r="CJ87"/>
      <c r="CK87"/>
      <c r="CL87"/>
      <c r="CM87"/>
      <c r="CN87"/>
      <c r="CO87"/>
      <c r="CP87" s="391"/>
    </row>
    <row r="88" spans="1:94" s="260" customFormat="1" ht="12.75" customHeight="1" x14ac:dyDescent="0.2">
      <c r="A88" s="567" t="s">
        <v>122</v>
      </c>
      <c r="B88" s="18"/>
      <c r="C88" s="18"/>
      <c r="D88" s="18"/>
      <c r="E88" s="18"/>
      <c r="F88" s="166"/>
      <c r="G88" s="18"/>
      <c r="H88" s="18">
        <f>H86/G86-1</f>
        <v>0.25841701122268157</v>
      </c>
      <c r="I88" s="18">
        <f>I86/H86-1</f>
        <v>-0.54963623562544006</v>
      </c>
      <c r="J88" s="18">
        <f>J86/I86-1</f>
        <v>0.33011985409067224</v>
      </c>
      <c r="K88" s="166"/>
      <c r="L88" s="18">
        <f>L86/J86-1</f>
        <v>0.63858961802154734</v>
      </c>
      <c r="M88" s="18">
        <f>M86/L86-1</f>
        <v>-0.16987447698744773</v>
      </c>
      <c r="N88" s="18">
        <f>N86/M86-1</f>
        <v>-3.4562211981566837E-2</v>
      </c>
      <c r="O88" s="18">
        <f>O86/N86-1</f>
        <v>-0.17616348448687347</v>
      </c>
      <c r="P88" s="166"/>
      <c r="Q88" s="18">
        <f>Q86/O86-1</f>
        <v>0.21166032953105196</v>
      </c>
      <c r="R88" s="18">
        <f>R86/Q86-1</f>
        <v>-0.14614465032875068</v>
      </c>
      <c r="S88" s="18">
        <f>S86/R86-1</f>
        <v>0.44172208610430497</v>
      </c>
      <c r="T88" s="18">
        <f>T86/S86-1</f>
        <v>-8.4000971109492562E-2</v>
      </c>
      <c r="U88" s="166"/>
      <c r="V88" s="18">
        <f>V86/T86-1</f>
        <v>6.7850516830108676E-2</v>
      </c>
      <c r="W88" s="18">
        <f>W86/V86-1</f>
        <v>-7.1729957805907074E-2</v>
      </c>
      <c r="X88" s="18">
        <f>X86/W86-1</f>
        <v>0.52941176470588225</v>
      </c>
      <c r="Y88" s="18">
        <f>Y86/X86-1</f>
        <v>-0.25043706293706292</v>
      </c>
      <c r="Z88" s="166"/>
      <c r="AA88" s="18">
        <f>AA86/Y86-1</f>
        <v>0.21446064139941701</v>
      </c>
      <c r="AB88" s="18">
        <f>AB86/AA86-1</f>
        <v>0.30190128672940264</v>
      </c>
      <c r="AC88" s="18">
        <f>AC86/AB86-1</f>
        <v>4.8163445935978766E-2</v>
      </c>
      <c r="AD88" s="18">
        <f>AD86/AC86-1</f>
        <v>-0.14108788966293717</v>
      </c>
      <c r="AE88" s="166"/>
      <c r="AF88" s="18">
        <f>AF86/AD86-1</f>
        <v>-3.4900868425364551E-2</v>
      </c>
      <c r="AG88" s="18">
        <f>AG86/AF86-1</f>
        <v>0.29049235993208833</v>
      </c>
      <c r="AH88" s="18">
        <f>AH86/AG86-1</f>
        <v>0.11222207604262602</v>
      </c>
      <c r="AI88" s="18">
        <f>AI86/AH86-1</f>
        <v>-3.8739058433877482E-2</v>
      </c>
      <c r="AJ88" s="166"/>
      <c r="AK88" s="18">
        <f>AK86/AI86-1</f>
        <v>8.3738386759367511E-2</v>
      </c>
      <c r="AL88" s="18">
        <f>AL86/AK86-1</f>
        <v>9.032587714318141E-2</v>
      </c>
      <c r="AM88" s="18">
        <f>AM86/AL86-1</f>
        <v>2.1713095548034467E-2</v>
      </c>
      <c r="AN88" s="18">
        <f>AN86/AM86-1</f>
        <v>-0.10737947202120068</v>
      </c>
      <c r="AO88" s="166"/>
      <c r="AP88" s="18">
        <f>AP86/AN86-1</f>
        <v>9.3919497573508481E-2</v>
      </c>
      <c r="AQ88" s="18">
        <f>AQ86/AP86-1</f>
        <v>0.11017745302713999</v>
      </c>
      <c r="AR88" s="18">
        <f>AR86/AQ86-1</f>
        <v>9.4964975788631723E-3</v>
      </c>
      <c r="AS88" s="18">
        <f>AS86/AR86-1</f>
        <v>-0.13640385600521576</v>
      </c>
      <c r="AT88" s="166"/>
      <c r="AU88" s="18">
        <f>AU86/AS86-1</f>
        <v>0.12920621225194129</v>
      </c>
      <c r="AV88" s="18">
        <f>AV86/AU86-1</f>
        <v>-1.4947468958930399E-2</v>
      </c>
      <c r="AW88" s="18">
        <f>AW86/AV86-1</f>
        <v>0.47588112667862514</v>
      </c>
      <c r="AX88" s="18">
        <f>AX86/AW86-1</f>
        <v>-0.12699142660053209</v>
      </c>
      <c r="AY88" s="166"/>
      <c r="AZ88" s="18">
        <f>AZ86/AX86-1</f>
        <v>-9.9710275802386006E-3</v>
      </c>
      <c r="BA88" s="18">
        <f>BA86/AZ86-1</f>
        <v>0.10158862876254182</v>
      </c>
      <c r="BB88" s="18">
        <f>BB86/BA86-1</f>
        <v>-9.6912195963429371E-2</v>
      </c>
      <c r="BC88" s="18">
        <f>BC86/BB86-1</f>
        <v>0.10658618581907109</v>
      </c>
      <c r="BD88" s="166"/>
      <c r="BE88" s="18">
        <f>BE86/BC86-1</f>
        <v>3.3177024097217345E-2</v>
      </c>
      <c r="BF88" s="18">
        <f t="shared" ref="BF88:BH88" si="337">BF86/BE86-1</f>
        <v>4.1356169515720076E-2</v>
      </c>
      <c r="BG88" s="18">
        <f t="shared" si="337"/>
        <v>5.830602035535648E-2</v>
      </c>
      <c r="BH88" s="18">
        <f t="shared" si="337"/>
        <v>-7.9162209657701599E-2</v>
      </c>
      <c r="BI88" s="166"/>
      <c r="BJ88" s="18"/>
      <c r="BK88" s="18"/>
      <c r="BL88" s="18"/>
      <c r="BM88" s="18"/>
      <c r="BN88" s="166"/>
      <c r="BO88" s="18"/>
      <c r="BP88" s="18"/>
      <c r="BQ88" s="18"/>
      <c r="BR88" s="18"/>
      <c r="BS88" s="166"/>
      <c r="BT88" s="148"/>
      <c r="BU88" s="356"/>
      <c r="BV88" s="822">
        <f t="shared" ref="BV88:BY89" si="338">AVERAGE(AK88,AP88,AU88,AA88,AZ88)</f>
        <v>0.10227074208079914</v>
      </c>
      <c r="BW88" s="822">
        <f t="shared" si="338"/>
        <v>0.11780915534066709</v>
      </c>
      <c r="BX88" s="822">
        <f t="shared" si="338"/>
        <v>9.1668393955614436E-2</v>
      </c>
      <c r="BY88" s="822">
        <f t="shared" si="338"/>
        <v>-8.1055291694162923E-2</v>
      </c>
      <c r="BZ88" s="531"/>
      <c r="CA88" s="531"/>
      <c r="CB88" s="531"/>
      <c r="CC88" s="328"/>
      <c r="CD88" s="328"/>
      <c r="CE88" s="328"/>
      <c r="CF88" s="328"/>
      <c r="CG88" s="322"/>
      <c r="CH88" s="356"/>
      <c r="CI88" s="148"/>
      <c r="CJ88"/>
      <c r="CK88"/>
      <c r="CL88"/>
      <c r="CM88"/>
      <c r="CN88"/>
      <c r="CO88"/>
      <c r="CP88" s="391"/>
    </row>
    <row r="89" spans="1:94" s="264" customFormat="1" ht="12.75" customHeight="1" x14ac:dyDescent="0.2">
      <c r="A89" s="568" t="s">
        <v>125</v>
      </c>
      <c r="B89" s="29"/>
      <c r="C89" s="29"/>
      <c r="D89" s="29"/>
      <c r="E89" s="29"/>
      <c r="F89" s="171"/>
      <c r="G89" s="29"/>
      <c r="H89" s="29">
        <f>H86/H25/3*1000000</f>
        <v>80018.779342723021</v>
      </c>
      <c r="I89" s="29">
        <f>I86/I25/3*1000000</f>
        <v>40613.756613756617</v>
      </c>
      <c r="J89" s="29">
        <f>J86/J25/3*1000000</f>
        <v>60773.809523809527</v>
      </c>
      <c r="K89" s="171"/>
      <c r="L89" s="29">
        <f>L86/L25/3*1000000</f>
        <v>99583.333333333343</v>
      </c>
      <c r="M89" s="29">
        <f>M86/M25/3*1000000</f>
        <v>82666.666666666672</v>
      </c>
      <c r="N89" s="29">
        <f>N86/N25/3*1000000</f>
        <v>79809.523809523802</v>
      </c>
      <c r="O89" s="29">
        <f>O86/O25/3*1000000</f>
        <v>65749.999999999985</v>
      </c>
      <c r="P89" s="171">
        <f>P86/P25/12*1000000</f>
        <v>81952.380952380961</v>
      </c>
      <c r="Q89" s="29">
        <f>Q86/Q25/3*1000000</f>
        <v>78269.005847953231</v>
      </c>
      <c r="R89" s="29">
        <f>R86/R25/3*1000000</f>
        <v>63488.888888888883</v>
      </c>
      <c r="S89" s="29">
        <f>S86/S25/3*1000000</f>
        <v>87174.603174603166</v>
      </c>
      <c r="T89" s="29">
        <f>T86/T25/3*1000000</f>
        <v>78604.166666666672</v>
      </c>
      <c r="U89" s="171">
        <f>U86/U25/12*1000000</f>
        <v>78305.555555555547</v>
      </c>
      <c r="V89" s="29">
        <f>V86/V25/3*1000000</f>
        <v>80179.104477611938</v>
      </c>
      <c r="W89" s="29">
        <f>W86/W25/3*1000000</f>
        <v>71238.095238095237</v>
      </c>
      <c r="X89" s="29">
        <f>X86/X25/3*1000000</f>
        <v>108952.38095238095</v>
      </c>
      <c r="Y89" s="29">
        <f>Y86/Y25/3*1000000</f>
        <v>79398.148148148146</v>
      </c>
      <c r="Z89" s="171">
        <f>Z86/Z25/12*1000000</f>
        <v>85876.811594202896</v>
      </c>
      <c r="AA89" s="29">
        <f>AA86/AA25/3*1000000</f>
        <v>90164.502164502162</v>
      </c>
      <c r="AB89" s="29">
        <f>AB86/AB25/3*1000000</f>
        <v>110227.64227642278</v>
      </c>
      <c r="AC89" s="29">
        <f>AC86/AC25/3*1000000</f>
        <v>112785.71428571428</v>
      </c>
      <c r="AD89" s="29">
        <f>AD86/AD25/3*1000000</f>
        <v>93532.567049808436</v>
      </c>
      <c r="AE89" s="171">
        <f>AE86/AE25/12*1000000</f>
        <v>102416.66666666666</v>
      </c>
      <c r="AF89" s="29">
        <f>AF86/AF25/3*1000000</f>
        <v>83546.099290780156</v>
      </c>
      <c r="AG89" s="29">
        <f>AG86/AG25/3*1000000</f>
        <v>102370.37037037038</v>
      </c>
      <c r="AH89" s="29">
        <f>AH86/AH25/3*1000000</f>
        <v>111603.96039603961</v>
      </c>
      <c r="AI89" s="29">
        <f>AI86/AI25/3*1000000</f>
        <v>103193.6507936508</v>
      </c>
      <c r="AJ89" s="171">
        <f>AJ86/AJ25/12*1000000</f>
        <v>101250.84175084176</v>
      </c>
      <c r="AK89" s="29">
        <f>AK86/AK25/3*1000000</f>
        <v>106751.51515151515</v>
      </c>
      <c r="AL89" s="29">
        <f>AL86/AL25/3*1000000</f>
        <v>113303.83480825958</v>
      </c>
      <c r="AM89" s="29">
        <f>AM86/AM25/3*1000000</f>
        <v>113750.72463768115</v>
      </c>
      <c r="AN89" s="29">
        <f>AN86/AN25/3*1000000</f>
        <v>94932.249322493226</v>
      </c>
      <c r="AO89" s="171">
        <f>AO86/AO25/12*1000000</f>
        <v>103579.8319327731</v>
      </c>
      <c r="AP89" s="29">
        <f>AP86/AP25/3*1000000</f>
        <v>94617.28395061729</v>
      </c>
      <c r="AQ89" s="29">
        <f>AQ86/AQ25/3*1000000</f>
        <v>99165.501165501177</v>
      </c>
      <c r="AR89" s="29">
        <f>AR86/AR25/3*1000000</f>
        <v>96076.06263982103</v>
      </c>
      <c r="AS89" s="29">
        <f>AS86/AS25/3*1000000</f>
        <v>79759.139784946237</v>
      </c>
      <c r="AT89" s="171">
        <f>AT86/AT25/12*1000000</f>
        <v>93111.111111111109</v>
      </c>
      <c r="AU89" s="29">
        <f>AU86/AU25/3*1000000</f>
        <v>86172.839506172837</v>
      </c>
      <c r="AV89" s="29">
        <f>AV86/AV25/3*1000000</f>
        <v>80890.196078431371</v>
      </c>
      <c r="AW89" s="29">
        <f>AW86/AW25/3*1000000</f>
        <v>115314.39393939395</v>
      </c>
      <c r="AX89" s="29">
        <f>AX86/AX25/3*1000000</f>
        <v>96293.478260869582</v>
      </c>
      <c r="AY89" s="171">
        <f>AY86/AY25/12*1000000</f>
        <v>94431.99233716476</v>
      </c>
      <c r="AZ89" s="29">
        <f>AZ86/AZ25/3*1000000</f>
        <v>89955.555555555562</v>
      </c>
      <c r="BA89" s="29">
        <f>BA86/BA25/3*1000000</f>
        <v>94722.222222222219</v>
      </c>
      <c r="BB89" s="29">
        <f>BB86/BB25/3*1000000</f>
        <v>82704.581358609794</v>
      </c>
      <c r="BC89" s="29">
        <f>BC86/BC25/3*1000000</f>
        <v>88176.560121765608</v>
      </c>
      <c r="BD89" s="171">
        <f>BD86/BD25/12*1000000</f>
        <v>88920.289855072464</v>
      </c>
      <c r="BE89" s="29">
        <f t="shared" ref="BE89" si="339">BE86/BE25/3*1000000</f>
        <v>86744.944000000003</v>
      </c>
      <c r="BF89" s="29">
        <f t="shared" ref="BF89:BH89" si="340">BF86/BF25/3*1000000</f>
        <v>87664.337552742611</v>
      </c>
      <c r="BG89" s="29">
        <f t="shared" si="340"/>
        <v>91616.000000000015</v>
      </c>
      <c r="BH89" s="29">
        <f t="shared" si="340"/>
        <v>83321.950617283961</v>
      </c>
      <c r="BI89" s="171">
        <f>BI86/BI25/12*1000000</f>
        <v>88635.533247863263</v>
      </c>
      <c r="BJ89" s="29"/>
      <c r="BK89" s="29"/>
      <c r="BL89" s="29"/>
      <c r="BM89" s="29"/>
      <c r="BN89" s="171">
        <f>BN86/BN25/12*1000000</f>
        <v>84684.57868667951</v>
      </c>
      <c r="BO89" s="29"/>
      <c r="BP89" s="29"/>
      <c r="BQ89" s="29"/>
      <c r="BR89" s="29"/>
      <c r="BS89" s="171">
        <f>BS86/BS25/12*1000000</f>
        <v>82249.897049437481</v>
      </c>
      <c r="BT89" s="153"/>
      <c r="BU89" s="361"/>
      <c r="BV89" s="828">
        <f t="shared" si="338"/>
        <v>93532.339265672592</v>
      </c>
      <c r="BW89" s="828">
        <f t="shared" si="338"/>
        <v>99661.879310167424</v>
      </c>
      <c r="BX89" s="828">
        <f t="shared" si="338"/>
        <v>104126.29537224404</v>
      </c>
      <c r="BY89" s="828">
        <f t="shared" si="338"/>
        <v>90538.798907976627</v>
      </c>
      <c r="BZ89" s="531"/>
      <c r="CA89" s="550"/>
      <c r="CB89" s="599"/>
      <c r="CC89" s="720"/>
      <c r="CD89" s="720"/>
      <c r="CE89" s="720"/>
      <c r="CF89" s="720"/>
      <c r="CG89" s="326"/>
      <c r="CH89" s="361"/>
      <c r="CI89" s="153"/>
      <c r="CJ89"/>
      <c r="CK89"/>
      <c r="CL89"/>
      <c r="CM89"/>
      <c r="CN89"/>
      <c r="CO89"/>
      <c r="CP89" s="398"/>
    </row>
    <row r="90" spans="1:94" s="263" customFormat="1" ht="12.75" customHeight="1" x14ac:dyDescent="0.2">
      <c r="A90" s="562" t="s">
        <v>126</v>
      </c>
      <c r="B90" s="25"/>
      <c r="C90" s="25"/>
      <c r="D90" s="25"/>
      <c r="E90" s="25"/>
      <c r="F90" s="169">
        <f t="shared" ref="F90:AQ90" si="341">F86/F11*100</f>
        <v>0.27710088750753381</v>
      </c>
      <c r="G90" s="25">
        <f t="shared" si="341"/>
        <v>0.31966406007343018</v>
      </c>
      <c r="H90" s="25">
        <f t="shared" si="341"/>
        <v>0.38546051268690673</v>
      </c>
      <c r="I90" s="25">
        <f t="shared" si="341"/>
        <v>0.18133017352040862</v>
      </c>
      <c r="J90" s="25">
        <f t="shared" si="341"/>
        <v>0.28106373677679081</v>
      </c>
      <c r="K90" s="169">
        <f t="shared" si="341"/>
        <v>0.2933469180418703</v>
      </c>
      <c r="L90" s="25">
        <f t="shared" si="341"/>
        <v>0.46357436059712143</v>
      </c>
      <c r="M90" s="25">
        <f t="shared" si="341"/>
        <v>0.36194849635523491</v>
      </c>
      <c r="N90" s="25">
        <f t="shared" si="341"/>
        <v>0.34735931274255305</v>
      </c>
      <c r="O90" s="25">
        <f t="shared" si="341"/>
        <v>0.30144270050742578</v>
      </c>
      <c r="P90" s="169">
        <f t="shared" si="341"/>
        <v>0.36787550161045729</v>
      </c>
      <c r="Q90" s="25">
        <f t="shared" si="341"/>
        <v>0.36766584383211975</v>
      </c>
      <c r="R90" s="25">
        <f t="shared" si="341"/>
        <v>0.29993916179759827</v>
      </c>
      <c r="S90" s="25">
        <f t="shared" si="341"/>
        <v>0.37546163596082033</v>
      </c>
      <c r="T90" s="25">
        <f t="shared" si="341"/>
        <v>0.34290024720081436</v>
      </c>
      <c r="U90" s="169">
        <f t="shared" si="341"/>
        <v>0.34717077982143418</v>
      </c>
      <c r="V90" s="25">
        <f t="shared" si="341"/>
        <v>0.3662565786872124</v>
      </c>
      <c r="W90" s="25">
        <f t="shared" si="341"/>
        <v>0.30837196915290882</v>
      </c>
      <c r="X90" s="25">
        <f t="shared" si="341"/>
        <v>0.47214937749745967</v>
      </c>
      <c r="Y90" s="25">
        <f t="shared" si="341"/>
        <v>0.37220272830025536</v>
      </c>
      <c r="Z90" s="169">
        <f t="shared" si="341"/>
        <v>0.3801421921907312</v>
      </c>
      <c r="AA90" s="25">
        <f t="shared" si="341"/>
        <v>0.40223807210003498</v>
      </c>
      <c r="AB90" s="25">
        <f t="shared" si="341"/>
        <v>0.47960392172954552</v>
      </c>
      <c r="AC90" s="25">
        <f t="shared" si="341"/>
        <v>0.4780581373326368</v>
      </c>
      <c r="AD90" s="25">
        <f t="shared" si="341"/>
        <v>0.41290191634389317</v>
      </c>
      <c r="AE90" s="169">
        <f t="shared" si="341"/>
        <v>0.44416214011597105</v>
      </c>
      <c r="AF90" s="25">
        <f t="shared" si="341"/>
        <v>0.37669312045801789</v>
      </c>
      <c r="AG90" s="25">
        <f t="shared" si="341"/>
        <v>0.44446952378140003</v>
      </c>
      <c r="AH90" s="25">
        <f t="shared" si="341"/>
        <v>0.4647671175340185</v>
      </c>
      <c r="AI90" s="25">
        <f t="shared" si="341"/>
        <v>0.44214156147000033</v>
      </c>
      <c r="AJ90" s="169">
        <f t="shared" si="341"/>
        <v>0.43388853963749968</v>
      </c>
      <c r="AK90" s="25">
        <f t="shared" si="341"/>
        <v>0.4653968436825166</v>
      </c>
      <c r="AL90" s="25">
        <f t="shared" si="341"/>
        <v>0.4791060611843761</v>
      </c>
      <c r="AM90" s="25">
        <f t="shared" si="341"/>
        <v>0.47005591466264474</v>
      </c>
      <c r="AN90" s="25">
        <f t="shared" si="341"/>
        <v>0.40057074756358524</v>
      </c>
      <c r="AO90" s="169">
        <f t="shared" si="341"/>
        <v>0.45260316587212035</v>
      </c>
      <c r="AP90" s="25">
        <f t="shared" si="341"/>
        <v>0.40511998930956861</v>
      </c>
      <c r="AQ90" s="25">
        <f t="shared" si="341"/>
        <v>0.40801419600141869</v>
      </c>
      <c r="AR90" s="25">
        <f>AR86/AR11*100</f>
        <v>0.38358362821559205</v>
      </c>
      <c r="AS90" s="25">
        <f>AS86/AS11*100</f>
        <v>0.32502552845568355</v>
      </c>
      <c r="AT90" s="169">
        <f>AT86/AT11*100</f>
        <v>0.37864730078008929</v>
      </c>
      <c r="AU90" s="25">
        <f>AU86/AU11*100</f>
        <v>0.34999135050029206</v>
      </c>
      <c r="AV90" s="25">
        <f t="shared" ref="AV90" si="342">AV86/AV11*100</f>
        <v>0.32132191402368343</v>
      </c>
      <c r="AW90" s="25">
        <f>AW86/AW11*100</f>
        <v>0.46783534064707372</v>
      </c>
      <c r="AX90" s="25">
        <f>AX86/AX11*100</f>
        <v>0.40359798560915094</v>
      </c>
      <c r="AY90" s="169">
        <f>AY86/AY11*100</f>
        <v>0.38669687745419179</v>
      </c>
      <c r="AZ90" s="25">
        <f>AZ86/AZ11*100</f>
        <v>0.38266996068441378</v>
      </c>
      <c r="BA90" s="25">
        <f t="shared" ref="BA90" si="343">BA86/BA11*100</f>
        <v>0.39734992209282011</v>
      </c>
      <c r="BB90" s="25">
        <f>BB86/BB11*100</f>
        <v>0.34077511758407941</v>
      </c>
      <c r="BC90" s="25">
        <f>BC86/BC11*100</f>
        <v>0.37418793106343734</v>
      </c>
      <c r="BD90" s="169">
        <f>BD86/BD11*100</f>
        <v>0.37319526740592029</v>
      </c>
      <c r="BE90" s="25">
        <f t="shared" ref="BE90:BH90" si="344">AZ90*(1+BE91)</f>
        <v>0.35588306343650478</v>
      </c>
      <c r="BF90" s="25">
        <f t="shared" si="344"/>
        <v>0.33377393455796889</v>
      </c>
      <c r="BG90" s="25">
        <f t="shared" si="344"/>
        <v>0.34077511758407941</v>
      </c>
      <c r="BH90" s="25">
        <f t="shared" si="344"/>
        <v>0.33676913795709362</v>
      </c>
      <c r="BI90" s="169">
        <f>BI86/BI11*100</f>
        <v>0.34147617104053979</v>
      </c>
      <c r="BJ90" s="25"/>
      <c r="BK90" s="25"/>
      <c r="BL90" s="25"/>
      <c r="BM90" s="25"/>
      <c r="BN90" s="169">
        <f>BI90*(1+BN91)</f>
        <v>0.3209876007781074</v>
      </c>
      <c r="BO90" s="25"/>
      <c r="BP90" s="25"/>
      <c r="BQ90" s="25"/>
      <c r="BR90" s="25"/>
      <c r="BS90" s="169">
        <f>BN90*(1+BS91)</f>
        <v>0.30493822073920201</v>
      </c>
      <c r="BT90" s="151"/>
      <c r="BU90" s="359"/>
      <c r="BV90" s="749"/>
      <c r="BW90" s="748"/>
      <c r="BX90" s="748"/>
      <c r="BY90" s="748"/>
      <c r="BZ90" s="531"/>
      <c r="CA90" s="328"/>
      <c r="CB90" s="328"/>
      <c r="CC90" s="720"/>
      <c r="CD90" s="325"/>
      <c r="CE90" s="325"/>
      <c r="CF90" s="325"/>
      <c r="CG90" s="325"/>
      <c r="CH90" s="359"/>
      <c r="CI90" s="151"/>
      <c r="CJ90"/>
      <c r="CK90"/>
      <c r="CL90"/>
      <c r="CM90"/>
      <c r="CN90"/>
      <c r="CO90"/>
      <c r="CP90" s="395"/>
    </row>
    <row r="91" spans="1:94" s="260" customFormat="1" ht="12.75" customHeight="1" x14ac:dyDescent="0.2">
      <c r="A91" s="541" t="s">
        <v>21</v>
      </c>
      <c r="B91" s="18"/>
      <c r="C91" s="18"/>
      <c r="D91" s="18"/>
      <c r="E91" s="18"/>
      <c r="F91" s="166"/>
      <c r="G91" s="18"/>
      <c r="H91" s="18"/>
      <c r="I91" s="18"/>
      <c r="J91" s="18"/>
      <c r="K91" s="166">
        <f t="shared" ref="K91:P91" si="345">K90/F90-1</f>
        <v>5.8628576329964988E-2</v>
      </c>
      <c r="L91" s="18">
        <f t="shared" si="345"/>
        <v>0.45019230654404363</v>
      </c>
      <c r="M91" s="18">
        <f t="shared" si="345"/>
        <v>-6.0997211277954322E-2</v>
      </c>
      <c r="N91" s="18">
        <f t="shared" si="345"/>
        <v>0.91561782575285489</v>
      </c>
      <c r="O91" s="18">
        <f t="shared" si="345"/>
        <v>7.2506556570900216E-2</v>
      </c>
      <c r="P91" s="166">
        <f t="shared" si="345"/>
        <v>0.254062950673132</v>
      </c>
      <c r="Q91" s="18">
        <f t="shared" ref="Q91:AM91" si="346">Q90/L90-1</f>
        <v>-0.20688917446051958</v>
      </c>
      <c r="R91" s="18">
        <f t="shared" si="346"/>
        <v>-0.17132087902577575</v>
      </c>
      <c r="S91" s="18">
        <f t="shared" si="346"/>
        <v>8.0902748788818091E-2</v>
      </c>
      <c r="T91" s="18">
        <f t="shared" si="346"/>
        <v>0.13753043820136335</v>
      </c>
      <c r="U91" s="166">
        <f t="shared" si="346"/>
        <v>-5.6281871715793907E-2</v>
      </c>
      <c r="V91" s="18">
        <f t="shared" si="346"/>
        <v>-3.833005345883711E-3</v>
      </c>
      <c r="W91" s="18">
        <f t="shared" si="346"/>
        <v>2.8115059416619514E-2</v>
      </c>
      <c r="X91" s="18">
        <f t="shared" si="346"/>
        <v>0.25751696651832834</v>
      </c>
      <c r="Y91" s="18">
        <f t="shared" si="346"/>
        <v>8.5454826406935913E-2</v>
      </c>
      <c r="Z91" s="166">
        <f>Z90/U90-1</f>
        <v>9.4971738077310963E-2</v>
      </c>
      <c r="AA91" s="18">
        <f t="shared" si="346"/>
        <v>9.8241220790606487E-2</v>
      </c>
      <c r="AB91" s="18">
        <f t="shared" si="346"/>
        <v>0.55527729399986381</v>
      </c>
      <c r="AC91" s="18">
        <f t="shared" si="346"/>
        <v>1.2514598380909403E-2</v>
      </c>
      <c r="AD91" s="18">
        <f t="shared" si="346"/>
        <v>0.10934682888945901</v>
      </c>
      <c r="AE91" s="166">
        <f>AE90/Z90-1</f>
        <v>0.16841052963970582</v>
      </c>
      <c r="AF91" s="18">
        <f t="shared" si="346"/>
        <v>-6.3507045736993728E-2</v>
      </c>
      <c r="AG91" s="18">
        <f t="shared" si="346"/>
        <v>-7.3257111454476775E-2</v>
      </c>
      <c r="AH91" s="18">
        <f t="shared" si="346"/>
        <v>-2.7802099286033721E-2</v>
      </c>
      <c r="AI91" s="18">
        <f t="shared" si="346"/>
        <v>7.0814990119237864E-2</v>
      </c>
      <c r="AJ91" s="166">
        <f>AJ90/AE90-1</f>
        <v>-2.3130293085738773E-2</v>
      </c>
      <c r="AK91" s="18">
        <f t="shared" si="346"/>
        <v>0.23548007225787559</v>
      </c>
      <c r="AL91" s="18">
        <f t="shared" si="346"/>
        <v>7.7927811806532521E-2</v>
      </c>
      <c r="AM91" s="18">
        <f t="shared" si="346"/>
        <v>1.1379456353727724E-2</v>
      </c>
      <c r="AN91" s="18">
        <f t="shared" ref="AN91:AW91" si="347">AN90/AI90-1</f>
        <v>-9.4021502453204064E-2</v>
      </c>
      <c r="AO91" s="166">
        <f t="shared" si="347"/>
        <v>4.3132335899574992E-2</v>
      </c>
      <c r="AP91" s="18">
        <f t="shared" si="347"/>
        <v>-0.12951711037831515</v>
      </c>
      <c r="AQ91" s="18">
        <f t="shared" si="347"/>
        <v>-0.14838439949437177</v>
      </c>
      <c r="AR91" s="18">
        <f t="shared" si="347"/>
        <v>-0.18396170274575341</v>
      </c>
      <c r="AS91" s="18">
        <f t="shared" si="347"/>
        <v>-0.18859394892761083</v>
      </c>
      <c r="AT91" s="166">
        <f t="shared" si="347"/>
        <v>-0.16340112192879963</v>
      </c>
      <c r="AU91" s="18">
        <f t="shared" si="347"/>
        <v>-0.13607977948269179</v>
      </c>
      <c r="AV91" s="18">
        <f t="shared" si="347"/>
        <v>-0.21247369044344189</v>
      </c>
      <c r="AW91" s="18">
        <f t="shared" si="347"/>
        <v>0.21964366107963351</v>
      </c>
      <c r="AX91" s="18">
        <f t="shared" ref="AX91" si="348">AX90/AS90-1</f>
        <v>0.24174241797804052</v>
      </c>
      <c r="AY91" s="166">
        <f t="shared" ref="AY91:BB91" si="349">AY90/AT90-1</f>
        <v>2.1258772101421908E-2</v>
      </c>
      <c r="AZ91" s="18">
        <f t="shared" si="349"/>
        <v>9.3369765102507607E-2</v>
      </c>
      <c r="BA91" s="18">
        <f t="shared" si="349"/>
        <v>0.23661009333939464</v>
      </c>
      <c r="BB91" s="18">
        <f t="shared" si="349"/>
        <v>-0.27159175894504761</v>
      </c>
      <c r="BC91" s="18">
        <f t="shared" ref="BC91" si="350">BC90/AX90-1</f>
        <v>-7.2869676248073834E-2</v>
      </c>
      <c r="BD91" s="166">
        <f t="shared" ref="BD91" si="351">BD90/AY90-1</f>
        <v>-3.4915229047513874E-2</v>
      </c>
      <c r="BE91" s="139">
        <v>-7.0000000000000007E-2</v>
      </c>
      <c r="BF91" s="139">
        <v>-0.16</v>
      </c>
      <c r="BG91" s="139">
        <v>0</v>
      </c>
      <c r="BH91" s="139">
        <v>-0.1</v>
      </c>
      <c r="BI91" s="166">
        <f>BI90/BD90-1</f>
        <v>-8.4993297438790916E-2</v>
      </c>
      <c r="BJ91" s="18"/>
      <c r="BK91" s="18"/>
      <c r="BL91" s="139"/>
      <c r="BM91" s="139"/>
      <c r="BN91" s="214">
        <v>-0.06</v>
      </c>
      <c r="BO91" s="18"/>
      <c r="BP91" s="18"/>
      <c r="BQ91" s="139"/>
      <c r="BR91" s="139"/>
      <c r="BS91" s="214">
        <v>-0.05</v>
      </c>
      <c r="BT91" s="148"/>
      <c r="BU91" s="356"/>
      <c r="BV91" s="224"/>
      <c r="BW91" s="148"/>
      <c r="BX91" s="148"/>
      <c r="BY91" s="148"/>
      <c r="BZ91" s="531"/>
      <c r="CA91" s="328"/>
      <c r="CB91" s="328"/>
      <c r="CC91" s="325"/>
      <c r="CD91" s="325"/>
      <c r="CE91" s="325"/>
      <c r="CF91" s="325"/>
      <c r="CG91" s="322"/>
      <c r="CH91" s="356"/>
      <c r="CI91" s="148"/>
      <c r="CJ91"/>
      <c r="CK91"/>
      <c r="CL91"/>
      <c r="CM91"/>
      <c r="CN91"/>
      <c r="CO91"/>
      <c r="CP91" s="391"/>
    </row>
    <row r="92" spans="1:94" s="140" customFormat="1" ht="12.75" customHeight="1" x14ac:dyDescent="0.2">
      <c r="A92" s="10" t="s">
        <v>127</v>
      </c>
      <c r="B92" s="11"/>
      <c r="C92" s="11"/>
      <c r="D92" s="11"/>
      <c r="E92" s="11"/>
      <c r="F92" s="869">
        <v>5.4950000000000001</v>
      </c>
      <c r="G92" s="854">
        <v>1.288</v>
      </c>
      <c r="H92" s="854">
        <v>0.92200000000000004</v>
      </c>
      <c r="I92" s="854">
        <v>1.3959999999999999</v>
      </c>
      <c r="J92" s="854">
        <v>1.1240000000000001</v>
      </c>
      <c r="K92" s="12">
        <f>SUM(G92:J92)</f>
        <v>4.7300000000000004</v>
      </c>
      <c r="L92" s="854">
        <v>1.1319999999999999</v>
      </c>
      <c r="M92" s="854">
        <v>1.2869999999999999</v>
      </c>
      <c r="N92" s="854">
        <v>2.1320000000000001</v>
      </c>
      <c r="O92" s="854">
        <v>1.383</v>
      </c>
      <c r="P92" s="12">
        <f>SUM(L92:O92)</f>
        <v>5.9340000000000002</v>
      </c>
      <c r="Q92" s="854">
        <v>1.4179999999999999</v>
      </c>
      <c r="R92" s="854">
        <v>1.458</v>
      </c>
      <c r="S92" s="854">
        <v>1.518</v>
      </c>
      <c r="T92" s="854">
        <v>1.302</v>
      </c>
      <c r="U92" s="12">
        <f>SUM(Q92:T92)</f>
        <v>5.6959999999999997</v>
      </c>
      <c r="V92" s="854">
        <v>1.546</v>
      </c>
      <c r="W92" s="854">
        <v>1.6910000000000001</v>
      </c>
      <c r="X92" s="854">
        <v>2.0590000000000002</v>
      </c>
      <c r="Y92" s="854">
        <v>2.464</v>
      </c>
      <c r="Z92" s="12">
        <f>SUM(V92:Y92)</f>
        <v>7.76</v>
      </c>
      <c r="AA92" s="854">
        <v>2.87</v>
      </c>
      <c r="AB92" s="854">
        <v>3.327</v>
      </c>
      <c r="AC92" s="854">
        <v>3.8149999999999999</v>
      </c>
      <c r="AD92" s="854">
        <v>5.2439999999999998</v>
      </c>
      <c r="AE92" s="12">
        <f>SUM(AA92:AD92)</f>
        <v>15.256</v>
      </c>
      <c r="AF92" s="854">
        <v>6.3239999999999998</v>
      </c>
      <c r="AG92" s="854">
        <v>7.6040000000000001</v>
      </c>
      <c r="AH92" s="854">
        <v>8.4749999999999996</v>
      </c>
      <c r="AI92" s="854">
        <v>9.5440000000000005</v>
      </c>
      <c r="AJ92" s="12">
        <f>SUM(AF92:AI92)</f>
        <v>31.946999999999999</v>
      </c>
      <c r="AK92" s="854">
        <v>11.121</v>
      </c>
      <c r="AL92" s="854">
        <v>11.343999999999999</v>
      </c>
      <c r="AM92" s="854">
        <v>11.337999999999999</v>
      </c>
      <c r="AN92" s="854">
        <v>13.167999999999999</v>
      </c>
      <c r="AO92" s="12">
        <f>SUM(AK92:AN92)</f>
        <v>46.970999999999997</v>
      </c>
      <c r="AP92" s="854">
        <v>14.863</v>
      </c>
      <c r="AQ92" s="854">
        <v>17.138999999999999</v>
      </c>
      <c r="AR92" s="854">
        <v>19.628</v>
      </c>
      <c r="AS92" s="854">
        <v>22.277999999999999</v>
      </c>
      <c r="AT92" s="12">
        <f>SUM(AP92:AS92)</f>
        <v>73.907999999999987</v>
      </c>
      <c r="AU92" s="854">
        <v>23.109000000000002</v>
      </c>
      <c r="AV92" s="854">
        <v>24.957000000000001</v>
      </c>
      <c r="AW92" s="854">
        <v>25.303999999999998</v>
      </c>
      <c r="AX92" s="854">
        <v>27.765999999999998</v>
      </c>
      <c r="AY92" s="12">
        <f>SUM(AU92:AX92)</f>
        <v>101.136</v>
      </c>
      <c r="AZ92" s="854">
        <v>31.509</v>
      </c>
      <c r="BA92" s="854">
        <v>35.331000000000003</v>
      </c>
      <c r="BB92" s="854">
        <v>36.840000000000003</v>
      </c>
      <c r="BC92" s="854">
        <v>36.472000000000001</v>
      </c>
      <c r="BD92" s="12">
        <f>SUM(AZ92:BC92)</f>
        <v>140.15200000000002</v>
      </c>
      <c r="BE92" s="854">
        <v>39.299999999999997</v>
      </c>
      <c r="BF92" s="11">
        <f t="shared" ref="BF92:BH92" si="352">BA92*(1+BF93)</f>
        <v>49.4634</v>
      </c>
      <c r="BG92" s="11">
        <f t="shared" si="352"/>
        <v>55.260000000000005</v>
      </c>
      <c r="BH92" s="11">
        <f t="shared" si="352"/>
        <v>54.707999999999998</v>
      </c>
      <c r="BI92" s="12">
        <f>SUM(BE92:BH92)</f>
        <v>198.73139999999998</v>
      </c>
      <c r="BJ92" s="11"/>
      <c r="BK92" s="11"/>
      <c r="BL92" s="11"/>
      <c r="BM92" s="11"/>
      <c r="BN92" s="12">
        <f>BI92*(1+BN93)</f>
        <v>238.47767999999996</v>
      </c>
      <c r="BO92" s="11"/>
      <c r="BP92" s="11"/>
      <c r="BQ92" s="11"/>
      <c r="BR92" s="11"/>
      <c r="BS92" s="12">
        <f>BN92*(1+BS93)</f>
        <v>268.28738999999996</v>
      </c>
      <c r="BT92" s="250"/>
      <c r="BU92" s="360"/>
      <c r="BV92" s="281"/>
      <c r="BW92" s="250"/>
      <c r="BX92" s="250"/>
      <c r="BY92" s="250"/>
      <c r="BZ92" s="531" t="s">
        <v>534</v>
      </c>
      <c r="CA92" s="11"/>
      <c r="CB92" s="11"/>
      <c r="CC92" s="11"/>
      <c r="CD92" s="325"/>
      <c r="CE92" s="325"/>
      <c r="CF92" s="325"/>
      <c r="CG92" s="11"/>
      <c r="CH92" s="360"/>
      <c r="CI92" s="250"/>
      <c r="CJ92"/>
      <c r="CK92"/>
      <c r="CL92"/>
      <c r="CM92"/>
      <c r="CN92"/>
      <c r="CO92"/>
      <c r="CP92" s="11"/>
    </row>
    <row r="93" spans="1:94" s="260" customFormat="1" ht="12.75" customHeight="1" x14ac:dyDescent="0.2">
      <c r="A93" s="561" t="s">
        <v>21</v>
      </c>
      <c r="B93" s="18"/>
      <c r="C93" s="18"/>
      <c r="D93" s="18"/>
      <c r="E93" s="18"/>
      <c r="F93" s="166"/>
      <c r="G93" s="18"/>
      <c r="H93" s="18"/>
      <c r="I93" s="18"/>
      <c r="J93" s="18"/>
      <c r="K93" s="166">
        <f t="shared" ref="K93:Z93" si="353">K92/F92-1</f>
        <v>-0.13921747042766142</v>
      </c>
      <c r="L93" s="18">
        <f t="shared" si="353"/>
        <v>-0.12111801242236031</v>
      </c>
      <c r="M93" s="18">
        <f t="shared" si="353"/>
        <v>0.39587852494576992</v>
      </c>
      <c r="N93" s="18">
        <f t="shared" si="353"/>
        <v>0.52722063037249312</v>
      </c>
      <c r="O93" s="18">
        <f t="shared" si="353"/>
        <v>0.23042704626334509</v>
      </c>
      <c r="P93" s="166">
        <f t="shared" si="353"/>
        <v>0.25454545454545441</v>
      </c>
      <c r="Q93" s="18">
        <f>Q92/L92-1</f>
        <v>0.25265017667844525</v>
      </c>
      <c r="R93" s="18">
        <f>R92/M92-1</f>
        <v>0.13286713286713292</v>
      </c>
      <c r="S93" s="18">
        <f>S92/N92-1</f>
        <v>-0.2879924953095685</v>
      </c>
      <c r="T93" s="18">
        <f>T92/O92-1</f>
        <v>-5.8568329718004297E-2</v>
      </c>
      <c r="U93" s="166">
        <f t="shared" si="353"/>
        <v>-4.0107853050219133E-2</v>
      </c>
      <c r="V93" s="18">
        <f>V92/Q92-1</f>
        <v>9.0267983074753255E-2</v>
      </c>
      <c r="W93" s="18">
        <f>W92/R92-1</f>
        <v>0.15980795610425247</v>
      </c>
      <c r="X93" s="18">
        <f>X92/S92-1</f>
        <v>0.35638998682476952</v>
      </c>
      <c r="Y93" s="18">
        <f>Y92/T92-1</f>
        <v>0.89247311827956977</v>
      </c>
      <c r="Z93" s="166">
        <f t="shared" si="353"/>
        <v>0.36235955056179781</v>
      </c>
      <c r="AA93" s="18">
        <f t="shared" ref="AA93:AM93" si="354">AA92/V92-1</f>
        <v>0.85640362225097033</v>
      </c>
      <c r="AB93" s="18">
        <f t="shared" si="354"/>
        <v>0.9674748669426374</v>
      </c>
      <c r="AC93" s="18">
        <f t="shared" si="354"/>
        <v>0.85284118504128203</v>
      </c>
      <c r="AD93" s="18">
        <f t="shared" si="354"/>
        <v>1.1282467532467533</v>
      </c>
      <c r="AE93" s="166">
        <f t="shared" si="354"/>
        <v>0.96597938144329909</v>
      </c>
      <c r="AF93" s="18">
        <f t="shared" si="354"/>
        <v>1.2034843205574912</v>
      </c>
      <c r="AG93" s="18">
        <f t="shared" si="354"/>
        <v>1.2855425308085362</v>
      </c>
      <c r="AH93" s="18">
        <f t="shared" si="354"/>
        <v>1.2214941022280472</v>
      </c>
      <c r="AI93" s="18">
        <f t="shared" si="354"/>
        <v>0.81998474446987046</v>
      </c>
      <c r="AJ93" s="166">
        <f t="shared" si="354"/>
        <v>1.0940613529103302</v>
      </c>
      <c r="AK93" s="18">
        <f t="shared" si="354"/>
        <v>0.75853889943074004</v>
      </c>
      <c r="AL93" s="18">
        <f t="shared" si="354"/>
        <v>0.49184639663335084</v>
      </c>
      <c r="AM93" s="18">
        <f t="shared" si="354"/>
        <v>0.33781710914454277</v>
      </c>
      <c r="AN93" s="18">
        <f t="shared" ref="AN93:AW93" si="355">AN92/AI92-1</f>
        <v>0.37971500419111459</v>
      </c>
      <c r="AO93" s="166">
        <f t="shared" si="355"/>
        <v>0.47027889942717627</v>
      </c>
      <c r="AP93" s="18">
        <f t="shared" si="355"/>
        <v>0.33648053232622965</v>
      </c>
      <c r="AQ93" s="18">
        <f t="shared" si="355"/>
        <v>0.51084273624823706</v>
      </c>
      <c r="AR93" s="18">
        <f t="shared" si="355"/>
        <v>0.73116951843358624</v>
      </c>
      <c r="AS93" s="18">
        <f t="shared" si="355"/>
        <v>0.69182867557715677</v>
      </c>
      <c r="AT93" s="166">
        <f t="shared" si="355"/>
        <v>0.57348150986779056</v>
      </c>
      <c r="AU93" s="18">
        <f t="shared" si="355"/>
        <v>0.55480051133687702</v>
      </c>
      <c r="AV93" s="18">
        <f t="shared" si="355"/>
        <v>0.45615263434272713</v>
      </c>
      <c r="AW93" s="18">
        <f t="shared" si="355"/>
        <v>0.28917872427144897</v>
      </c>
      <c r="AX93" s="18">
        <f t="shared" ref="AX93" si="356">AX92/AS92-1</f>
        <v>0.24634168237723308</v>
      </c>
      <c r="AY93" s="166">
        <f t="shared" ref="AY93:BB93" si="357">AY92/AT92-1</f>
        <v>0.36840396168209133</v>
      </c>
      <c r="AZ93" s="18">
        <f t="shared" si="357"/>
        <v>0.36349474230819157</v>
      </c>
      <c r="BA93" s="18">
        <f t="shared" si="357"/>
        <v>0.41567496093280454</v>
      </c>
      <c r="BB93" s="18">
        <f t="shared" si="357"/>
        <v>0.45589630098008249</v>
      </c>
      <c r="BC93" s="18">
        <f t="shared" ref="BC93" si="358">BC92/AX92-1</f>
        <v>0.31354894475257522</v>
      </c>
      <c r="BD93" s="166">
        <f t="shared" ref="BD93" si="359">BD92/AY92-1</f>
        <v>0.38577756684068998</v>
      </c>
      <c r="BE93" s="728">
        <v>0.28000000000000003</v>
      </c>
      <c r="BF93" s="728">
        <v>0.4</v>
      </c>
      <c r="BG93" s="728">
        <v>0.5</v>
      </c>
      <c r="BH93" s="728">
        <v>0.5</v>
      </c>
      <c r="BI93" s="729">
        <f>BI92/BD92-1</f>
        <v>0.41797048918317214</v>
      </c>
      <c r="BJ93" s="139"/>
      <c r="BK93" s="139"/>
      <c r="BL93" s="139"/>
      <c r="BM93" s="139"/>
      <c r="BN93" s="801">
        <v>0.2</v>
      </c>
      <c r="BO93" s="139"/>
      <c r="BP93" s="139"/>
      <c r="BQ93" s="139"/>
      <c r="BR93" s="139"/>
      <c r="BS93" s="801">
        <v>0.125</v>
      </c>
      <c r="BT93" s="148"/>
      <c r="BU93" s="356"/>
      <c r="BV93" s="224"/>
      <c r="BW93" s="148"/>
      <c r="BX93" s="148"/>
      <c r="BY93" s="148"/>
      <c r="BZ93" s="531" t="s">
        <v>527</v>
      </c>
      <c r="CA93" s="532"/>
      <c r="CB93" s="549"/>
      <c r="CC93" s="553">
        <v>2016</v>
      </c>
      <c r="CD93" s="553">
        <v>2017</v>
      </c>
      <c r="CE93" s="553">
        <v>2018</v>
      </c>
      <c r="CF93" s="553">
        <v>2019</v>
      </c>
      <c r="CG93" s="553">
        <v>2020</v>
      </c>
      <c r="CH93" s="356"/>
      <c r="CI93" s="148"/>
      <c r="CJ93"/>
      <c r="CK93"/>
      <c r="CL93"/>
      <c r="CM93"/>
      <c r="CN93"/>
      <c r="CO93"/>
      <c r="CP93" s="391"/>
    </row>
    <row r="94" spans="1:94" s="260" customFormat="1" ht="12.75" customHeight="1" x14ac:dyDescent="0.2">
      <c r="A94" s="567" t="s">
        <v>122</v>
      </c>
      <c r="B94" s="18"/>
      <c r="C94" s="18"/>
      <c r="D94" s="18"/>
      <c r="E94" s="18"/>
      <c r="F94" s="166"/>
      <c r="G94" s="18"/>
      <c r="H94" s="18">
        <f>H92/G92-1</f>
        <v>-0.28416149068322982</v>
      </c>
      <c r="I94" s="18">
        <f>I92/H92-1</f>
        <v>0.51409978308026005</v>
      </c>
      <c r="J94" s="18">
        <f>J92/I92-1</f>
        <v>-0.19484240687679066</v>
      </c>
      <c r="K94" s="166"/>
      <c r="L94" s="18">
        <f>L92/J92-1</f>
        <v>7.1174377224196839E-3</v>
      </c>
      <c r="M94" s="18">
        <f>M92/L92-1</f>
        <v>0.13692579505300362</v>
      </c>
      <c r="N94" s="18">
        <f>N92/M92-1</f>
        <v>0.6565656565656568</v>
      </c>
      <c r="O94" s="18">
        <f>O92/N92-1</f>
        <v>-0.35131332082551603</v>
      </c>
      <c r="P94" s="166"/>
      <c r="Q94" s="18">
        <f>Q92/O92-1</f>
        <v>2.5307302964569622E-2</v>
      </c>
      <c r="R94" s="18">
        <f>R92/Q92-1</f>
        <v>2.8208744710860323E-2</v>
      </c>
      <c r="S94" s="18">
        <f>S92/R92-1</f>
        <v>4.1152263374485631E-2</v>
      </c>
      <c r="T94" s="18">
        <f>T92/S92-1</f>
        <v>-0.14229249011857703</v>
      </c>
      <c r="U94" s="166"/>
      <c r="V94" s="18">
        <f>V92/T92-1</f>
        <v>0.18740399385560669</v>
      </c>
      <c r="W94" s="18">
        <f>W92/V92-1</f>
        <v>9.3790426908149982E-2</v>
      </c>
      <c r="X94" s="18">
        <f>X92/W92-1</f>
        <v>0.21762270845653475</v>
      </c>
      <c r="Y94" s="18">
        <f>Y92/X92-1</f>
        <v>0.19669742593491968</v>
      </c>
      <c r="Z94" s="166"/>
      <c r="AA94" s="18">
        <f>AA92/Y92-1</f>
        <v>0.16477272727272729</v>
      </c>
      <c r="AB94" s="18">
        <f>AB92/AA92-1</f>
        <v>0.15923344947735196</v>
      </c>
      <c r="AC94" s="18">
        <f>AC92/AB92-1</f>
        <v>0.14667868951006913</v>
      </c>
      <c r="AD94" s="18">
        <f>AD92/AC92-1</f>
        <v>0.37457404980340758</v>
      </c>
      <c r="AE94" s="166"/>
      <c r="AF94" s="18">
        <f>AF92/AD92-1</f>
        <v>0.20594965675057209</v>
      </c>
      <c r="AG94" s="18">
        <f>AG92/AF92-1</f>
        <v>0.20240354206198607</v>
      </c>
      <c r="AH94" s="18">
        <f>AH92/AG92-1</f>
        <v>0.11454497632824823</v>
      </c>
      <c r="AI94" s="18">
        <f>AI92/AH92-1</f>
        <v>0.12613569321533924</v>
      </c>
      <c r="AJ94" s="166"/>
      <c r="AK94" s="18">
        <f>AK92/AI92-1</f>
        <v>0.1652347024308467</v>
      </c>
      <c r="AL94" s="18">
        <f>AL92/AK92-1</f>
        <v>2.0052153583310695E-2</v>
      </c>
      <c r="AM94" s="18">
        <f>AM92/AL92-1</f>
        <v>-5.2891396332865881E-4</v>
      </c>
      <c r="AN94" s="18">
        <f>AN92/AM92-1</f>
        <v>0.16140412771211854</v>
      </c>
      <c r="AO94" s="166"/>
      <c r="AP94" s="18">
        <f>AP92/AN92-1</f>
        <v>0.12872114216281894</v>
      </c>
      <c r="AQ94" s="18">
        <f>AQ92/AP92-1</f>
        <v>0.15313193837045014</v>
      </c>
      <c r="AR94" s="18">
        <f>AR92/AQ92-1</f>
        <v>0.14522434214364899</v>
      </c>
      <c r="AS94" s="18">
        <f>AS92/AR92-1</f>
        <v>0.13501120847768489</v>
      </c>
      <c r="AT94" s="166"/>
      <c r="AU94" s="18">
        <f>AU92/AS92-1</f>
        <v>3.7301373552383721E-2</v>
      </c>
      <c r="AV94" s="18">
        <f>AV92/AU92-1</f>
        <v>7.9968843307802073E-2</v>
      </c>
      <c r="AW94" s="18">
        <f>AW92/AV92-1</f>
        <v>1.3903914733341294E-2</v>
      </c>
      <c r="AX94" s="18">
        <f>AX92/AW92-1</f>
        <v>9.7296870060069596E-2</v>
      </c>
      <c r="AY94" s="166"/>
      <c r="AZ94" s="18">
        <f>AZ92/AX92-1</f>
        <v>0.13480515738673216</v>
      </c>
      <c r="BA94" s="18">
        <f>BA92/AZ92-1</f>
        <v>0.12129867656859949</v>
      </c>
      <c r="BB94" s="18">
        <f>BB92/BA92-1</f>
        <v>4.2710367665789173E-2</v>
      </c>
      <c r="BC94" s="18">
        <f>BC92/BB92-1</f>
        <v>-9.9891422366993332E-3</v>
      </c>
      <c r="BD94" s="166"/>
      <c r="BE94" s="18">
        <f>BE92/BC92-1</f>
        <v>7.7538933976749158E-2</v>
      </c>
      <c r="BF94" s="18">
        <f t="shared" ref="BF94:BH94" si="360">BF92/BE92-1</f>
        <v>0.2586106870229008</v>
      </c>
      <c r="BG94" s="18">
        <f t="shared" si="360"/>
        <v>0.11718967964191718</v>
      </c>
      <c r="BH94" s="18">
        <f t="shared" si="360"/>
        <v>-9.9891422366993332E-3</v>
      </c>
      <c r="BI94" s="166"/>
      <c r="BJ94" s="18"/>
      <c r="BK94" s="18"/>
      <c r="BL94" s="18"/>
      <c r="BM94" s="18"/>
      <c r="BN94" s="166"/>
      <c r="BO94" s="18"/>
      <c r="BP94" s="18"/>
      <c r="BQ94" s="18"/>
      <c r="BR94" s="18"/>
      <c r="BS94" s="166"/>
      <c r="BT94" s="148"/>
      <c r="BU94" s="356"/>
      <c r="BV94" s="822">
        <f>AVERAGE(AK94,AP94,AU94,AA94,AZ94)</f>
        <v>0.12616702056110177</v>
      </c>
      <c r="BW94" s="822">
        <f>AVERAGE(AL94,AQ94,AV94,AB94,BA94)</f>
        <v>0.10673701226150287</v>
      </c>
      <c r="BX94" s="822">
        <f>AVERAGE(AM94,AR94,AW94,AC94,BB94)</f>
        <v>6.9597680017903979E-2</v>
      </c>
      <c r="BY94" s="822">
        <f>AVERAGE(AN94,AS94,AX94,AD94,BC94)</f>
        <v>0.15165942276331626</v>
      </c>
      <c r="BZ94" s="531"/>
      <c r="CA94" s="532"/>
      <c r="CB94" s="550" t="s">
        <v>467</v>
      </c>
      <c r="CC94" s="766">
        <v>483</v>
      </c>
      <c r="CD94" s="766">
        <v>546</v>
      </c>
      <c r="CE94" s="766">
        <v>528</v>
      </c>
      <c r="CF94" s="766">
        <v>798</v>
      </c>
      <c r="CG94" s="766">
        <v>798</v>
      </c>
      <c r="CH94" s="356"/>
      <c r="CI94" s="148"/>
      <c r="CJ94"/>
      <c r="CK94"/>
      <c r="CL94"/>
      <c r="CM94"/>
      <c r="CN94"/>
      <c r="CO94"/>
      <c r="CP94" s="391"/>
    </row>
    <row r="95" spans="1:94" s="262" customFormat="1" ht="12.75" customHeight="1" x14ac:dyDescent="0.2">
      <c r="A95" s="569" t="s">
        <v>128</v>
      </c>
      <c r="B95" s="23"/>
      <c r="C95" s="23"/>
      <c r="D95" s="23"/>
      <c r="E95" s="23"/>
      <c r="F95" s="168"/>
      <c r="G95" s="84">
        <v>12.121651785714285</v>
      </c>
      <c r="H95" s="84">
        <f>(G266+H266)/(H219*4)/2</f>
        <v>16.298332429501084</v>
      </c>
      <c r="I95" s="84">
        <f>(H266+I266)/(I219*4)/2</f>
        <v>10.344869269340972</v>
      </c>
      <c r="J95" s="84">
        <f>(I266+J266)/(J219*4)/2</f>
        <v>12.327235320284688</v>
      </c>
      <c r="K95" s="209">
        <v>12.460253699788582</v>
      </c>
      <c r="L95" s="84">
        <f>(K266+L266)/(L219*4)/2</f>
        <v>10.186837455830389</v>
      </c>
      <c r="M95" s="84">
        <f>(L266+M266)/(M219*4)/2</f>
        <v>7.4057886557886548</v>
      </c>
      <c r="N95" s="84">
        <f>(M266+N266)/(N219*4)/2</f>
        <v>14.046486090775991</v>
      </c>
      <c r="O95" s="84">
        <f>(N266+O266)/(O219*4)/2</f>
        <v>6.4676866081229392</v>
      </c>
      <c r="P95" s="209">
        <f>(O266+P266)/(P219)/2</f>
        <v>11.32676685621446</v>
      </c>
      <c r="Q95" s="84">
        <f>(P266+Q266)/(Q219*4)/2</f>
        <v>10.029354724964739</v>
      </c>
      <c r="R95" s="84">
        <f>(Q266+R266)/(R219*4)/2</f>
        <v>10.416066529492456</v>
      </c>
      <c r="S95" s="84">
        <f>(R266+S266)/(S219*4)/2</f>
        <v>11.427289196310936</v>
      </c>
      <c r="T95" s="84">
        <f>(S266+T266)/(T219*4)/2</f>
        <v>16.599714518760194</v>
      </c>
      <c r="U95" s="209">
        <f>(T266+U266)/(U219)/2</f>
        <v>15.57473309608541</v>
      </c>
      <c r="V95" s="84">
        <f>(U266+V266)/(V219*4)/2</f>
        <v>15.416478007761965</v>
      </c>
      <c r="W95" s="84">
        <f>(V266+W266)/(W219*4)/2</f>
        <v>15.843140153755174</v>
      </c>
      <c r="X95" s="84">
        <f>(W266+X266)/(X219*4)/2</f>
        <v>14.096345313258862</v>
      </c>
      <c r="Y95" s="84">
        <f>(X266+Y266)/(Y219*4)/2</f>
        <v>13.354809253246753</v>
      </c>
      <c r="Z95" s="209">
        <f>(U266+Z266)/(Z219)/2</f>
        <v>14.804768041237114</v>
      </c>
      <c r="AA95" s="84">
        <f>(Z266+AA266)/(AA219*4)/2</f>
        <v>12.468641114982576</v>
      </c>
      <c r="AB95" s="84">
        <f>(AA266+AB266)/(AB219*4)/2</f>
        <v>10.910504959422903</v>
      </c>
      <c r="AC95" s="84">
        <f>(AB266+AC266)/(AC219*4)/2</f>
        <v>9.8209370904325031</v>
      </c>
      <c r="AD95" s="84">
        <f>(AC266+AD266)/(AD219*4)/2</f>
        <v>7.0628575514874141</v>
      </c>
      <c r="AE95" s="209">
        <f>(Z266+AE266)/(AE219)/2</f>
        <v>9.3458311484006273</v>
      </c>
      <c r="AF95" s="84">
        <f>(AE266+AF266)/(AF219*4)/2</f>
        <v>5.9820327324478182</v>
      </c>
      <c r="AG95" s="84">
        <f>(AF266+AG266)/(AG219*4)/2</f>
        <v>5.3150973172014728</v>
      </c>
      <c r="AH95" s="84">
        <f>(AG266+AH266)/(AH219*4)/2</f>
        <v>5.174085545722714</v>
      </c>
      <c r="AI95" s="84">
        <f>(AH266+AI266)/(AI219*4)/2</f>
        <v>5.3135608759430006</v>
      </c>
      <c r="AJ95" s="209">
        <f>(AE266+AJ266)/(AJ219)/2</f>
        <v>5.6566031239239996</v>
      </c>
      <c r="AK95" s="84">
        <f>(AJ266+AK266)/(AK219*4)/2</f>
        <v>5.7646906752989846</v>
      </c>
      <c r="AL95" s="84">
        <f>(AK266+AL266)/(AL219*4)/2</f>
        <v>6.7287663081805364</v>
      </c>
      <c r="AM95" s="84">
        <f>(AL266+AM266)/(AM219*4)/2</f>
        <v>7.4055388957488093</v>
      </c>
      <c r="AN95" s="84">
        <f>(AM266+AN266)/(AN219*4)/2</f>
        <v>8.1617178007290399</v>
      </c>
      <c r="AO95" s="209">
        <f>(AJ266+AO266)/(AO219)/2</f>
        <v>7.694726533392946</v>
      </c>
      <c r="AP95" s="84">
        <f>(AO266+AP266)/(AP219*4)/2</f>
        <v>10.497258292403957</v>
      </c>
      <c r="AQ95" s="84">
        <f>(AP266+AQ266)/(AQ219*4)/2</f>
        <v>11.865934418577513</v>
      </c>
      <c r="AR95" s="84">
        <f>(AQ266+AR266)/(AR219*4)/2</f>
        <v>12.255667923374771</v>
      </c>
      <c r="AS95" s="84">
        <f>(AR266+AS266)/(AS219*4)/2</f>
        <v>12.556451431905916</v>
      </c>
      <c r="AT95" s="209">
        <f>(AO266+AT266)/(AT219)/2</f>
        <v>11.507096660713321</v>
      </c>
      <c r="AU95" s="84">
        <f>(AT266+AU266)/(AU219*4)/2</f>
        <v>14.128818858453416</v>
      </c>
      <c r="AV95" s="84">
        <f>(AU266+AV266)/(AV219*4)/2</f>
        <v>13.746894658813158</v>
      </c>
      <c r="AW95" s="84">
        <f>(AV266+AW266)/(AW219*4)/2</f>
        <v>13.955135551691434</v>
      </c>
      <c r="AX95" s="84">
        <f>(AW266+AX266)/(AX219*4)/2</f>
        <v>13.881599798314488</v>
      </c>
      <c r="AY95" s="209">
        <f>(AT266+AY266)/(AY219)/2</f>
        <v>13.765172638822973</v>
      </c>
      <c r="AZ95" s="84">
        <f>(AY266+AZ266)/(AZ219*4)/2</f>
        <v>13.221682693833507</v>
      </c>
      <c r="BA95" s="84">
        <f>(AZ266+BA266)/(BA219*4)/2</f>
        <v>13.075578104214427</v>
      </c>
      <c r="BB95" s="84">
        <f>(BA266+BB266)/(BB219*4)/2</f>
        <v>13.968895901194355</v>
      </c>
      <c r="BC95" s="84">
        <f>(BB266+BC266)/(BC219*4)/2</f>
        <v>15.808318710243475</v>
      </c>
      <c r="BD95" s="209">
        <f>(AY266+BD266)/(BD219)/2</f>
        <v>14.391542753581826</v>
      </c>
      <c r="BE95" s="544">
        <f t="shared" ref="BE95:BH95" si="361">(BD266+BE266)/(BE219*4)/2</f>
        <v>16.303441475826975</v>
      </c>
      <c r="BF95" s="544">
        <f t="shared" si="361"/>
        <v>14.852653679286099</v>
      </c>
      <c r="BG95" s="544">
        <f t="shared" si="361"/>
        <v>14.994575642417661</v>
      </c>
      <c r="BH95" s="544">
        <f t="shared" si="361"/>
        <v>15.560571580024861</v>
      </c>
      <c r="BI95" s="803">
        <f>(BD266+BI266)/(BI219)/2</f>
        <v>14.656848389333545</v>
      </c>
      <c r="BJ95" s="544"/>
      <c r="BK95" s="544"/>
      <c r="BL95" s="23"/>
      <c r="BM95" s="23"/>
      <c r="BN95" s="803">
        <f>(BI266+BN266)/(BN219)/2</f>
        <v>16.189255111841078</v>
      </c>
      <c r="BO95" s="544"/>
      <c r="BP95" s="544"/>
      <c r="BQ95" s="23"/>
      <c r="BR95" s="23"/>
      <c r="BS95" s="803">
        <f>(BN266+BS266)/(BS219)/2</f>
        <v>17.979883437682258</v>
      </c>
      <c r="BT95" s="150"/>
      <c r="BU95" s="358"/>
      <c r="BV95" s="226"/>
      <c r="BW95" s="150"/>
      <c r="BX95" s="150"/>
      <c r="BY95" s="150"/>
      <c r="BZ95" s="531"/>
      <c r="CA95" s="532"/>
      <c r="CB95" s="550" t="s">
        <v>468</v>
      </c>
      <c r="CC95" s="765">
        <v>3.4000000000000002E-2</v>
      </c>
      <c r="CD95" s="765">
        <v>3.4000000000000002E-2</v>
      </c>
      <c r="CE95" s="765">
        <v>3.4000000000000002E-2</v>
      </c>
      <c r="CF95" s="765">
        <v>3.4000000000000002E-2</v>
      </c>
      <c r="CG95" s="765">
        <v>3.4000000000000002E-2</v>
      </c>
      <c r="CH95" s="358"/>
      <c r="CI95" s="150"/>
      <c r="CJ95"/>
      <c r="CK95"/>
      <c r="CL95"/>
      <c r="CM95"/>
      <c r="CN95"/>
      <c r="CO95"/>
      <c r="CP95" s="394"/>
    </row>
    <row r="96" spans="1:94" s="267" customFormat="1" ht="12.75" customHeight="1" x14ac:dyDescent="0.2">
      <c r="A96" s="566" t="s">
        <v>129</v>
      </c>
      <c r="B96" s="32"/>
      <c r="C96" s="32"/>
      <c r="D96" s="32"/>
      <c r="E96" s="32"/>
      <c r="F96" s="174"/>
      <c r="G96" s="32"/>
      <c r="H96" s="32">
        <f>H92/H25</f>
        <v>2.5971830985915493E-2</v>
      </c>
      <c r="I96" s="32">
        <f>I92/I25</f>
        <v>4.4317460317460318E-2</v>
      </c>
      <c r="J96" s="32">
        <f>J92/J25</f>
        <v>4.0142857142857147E-2</v>
      </c>
      <c r="K96" s="174"/>
      <c r="L96" s="32">
        <f>L92/L25</f>
        <v>4.0428571428571425E-2</v>
      </c>
      <c r="M96" s="32">
        <f>M92/M25</f>
        <v>4.5964285714285714E-2</v>
      </c>
      <c r="N96" s="32">
        <f>N92/N25</f>
        <v>7.6142857142857151E-2</v>
      </c>
      <c r="O96" s="32">
        <f>O92/O25</f>
        <v>4.9392857142857141E-2</v>
      </c>
      <c r="P96" s="174">
        <f>P92/P25/4</f>
        <v>5.298214285714286E-2</v>
      </c>
      <c r="Q96" s="32">
        <f>Q92/Q25</f>
        <v>4.975438596491228E-2</v>
      </c>
      <c r="R96" s="32">
        <f>R92/R25</f>
        <v>4.8599999999999997E-2</v>
      </c>
      <c r="S96" s="32">
        <f>S92/S25</f>
        <v>4.8190476190476193E-2</v>
      </c>
      <c r="T96" s="32">
        <f>T92/T25</f>
        <v>4.0687500000000001E-2</v>
      </c>
      <c r="U96" s="174">
        <f>U92/U25/4</f>
        <v>4.7466666666666664E-2</v>
      </c>
      <c r="V96" s="32">
        <f>V92/V25</f>
        <v>4.6149253731343286E-2</v>
      </c>
      <c r="W96" s="32">
        <f>W92/W25</f>
        <v>4.8314285714285719E-2</v>
      </c>
      <c r="X96" s="32">
        <f>X92/X25</f>
        <v>5.8828571428571431E-2</v>
      </c>
      <c r="Y96" s="32">
        <f>Y92/Y25</f>
        <v>6.8444444444444447E-2</v>
      </c>
      <c r="Z96" s="174">
        <f>Z92/Z25/4</f>
        <v>5.6231884057971013E-2</v>
      </c>
      <c r="AA96" s="32">
        <f>AA92/AA25</f>
        <v>7.4545454545454554E-2</v>
      </c>
      <c r="AB96" s="32">
        <f>AB92/AB25</f>
        <v>8.1146341463414637E-2</v>
      </c>
      <c r="AC96" s="32">
        <f>AC92/AC25</f>
        <v>9.0833333333333335E-2</v>
      </c>
      <c r="AD96" s="32">
        <f>AD92/AD25</f>
        <v>0.12055172413793103</v>
      </c>
      <c r="AE96" s="174">
        <f>AE92/AE25/4</f>
        <v>9.3024390243902438E-2</v>
      </c>
      <c r="AF96" s="32">
        <f>AF92/AF25</f>
        <v>0.13455319148936171</v>
      </c>
      <c r="AG96" s="32">
        <f>AG92/AG25</f>
        <v>0.15361616161616162</v>
      </c>
      <c r="AH96" s="32">
        <f>AH92/AH25</f>
        <v>0.1678217821782178</v>
      </c>
      <c r="AI96" s="32">
        <f>AI92/AI25</f>
        <v>0.1817904761904762</v>
      </c>
      <c r="AJ96" s="174">
        <f>AJ92/AJ25/4</f>
        <v>0.16134848484848485</v>
      </c>
      <c r="AK96" s="32">
        <f>AK92/AK25</f>
        <v>0.20220000000000002</v>
      </c>
      <c r="AL96" s="32">
        <f>AL92/AL25</f>
        <v>0.20077876106194689</v>
      </c>
      <c r="AM96" s="32">
        <f>AM92/AM25</f>
        <v>0.19718260869565216</v>
      </c>
      <c r="AN96" s="32">
        <f>AN92/AN25</f>
        <v>0.21411382113821137</v>
      </c>
      <c r="AO96" s="174">
        <f>AO92/AO25/4</f>
        <v>0.19735714285714284</v>
      </c>
      <c r="AP96" s="32">
        <f>AP92/AP25</f>
        <v>0.22019259259259258</v>
      </c>
      <c r="AQ96" s="32">
        <f>AQ92/AQ25</f>
        <v>0.2397062937062937</v>
      </c>
      <c r="AR96" s="32">
        <f>AR92/AR25</f>
        <v>0.26346308724832213</v>
      </c>
      <c r="AS96" s="32">
        <f>AS92/AS25</f>
        <v>0.28745806451612904</v>
      </c>
      <c r="AT96" s="174">
        <f>AT92/AT25/4</f>
        <v>0.25662499999999994</v>
      </c>
      <c r="AU96" s="32">
        <f>AU92/AU25</f>
        <v>0.28529629629629633</v>
      </c>
      <c r="AV96" s="32">
        <f>AV92/AV25</f>
        <v>0.29361176470588235</v>
      </c>
      <c r="AW96" s="32">
        <f>AW92/AW25</f>
        <v>0.28754545454545455</v>
      </c>
      <c r="AX96" s="32">
        <f>AX92/AX25</f>
        <v>0.30180434782608695</v>
      </c>
      <c r="AY96" s="174">
        <f>AY92/AY25/4</f>
        <v>0.2906206896551724</v>
      </c>
      <c r="AZ96" s="32">
        <f>AZ92/AZ25</f>
        <v>0.32316923076923076</v>
      </c>
      <c r="BA96" s="32">
        <f>BA92/BA25</f>
        <v>0.34638235294117647</v>
      </c>
      <c r="BB96" s="32">
        <f>BB92/BB25</f>
        <v>0.34919431279620855</v>
      </c>
      <c r="BC96" s="32">
        <f>BC92/BC25</f>
        <v>0.33307762557077625</v>
      </c>
      <c r="BD96" s="174">
        <f>BD92/BD25/4</f>
        <v>0.33853140096618362</v>
      </c>
      <c r="BE96" s="32">
        <f t="shared" ref="BE96" si="362">BE92/BE25</f>
        <v>0.3417391304347826</v>
      </c>
      <c r="BF96" s="32">
        <f t="shared" ref="BF96:BH96" si="363">BF92/BF25</f>
        <v>0.41741265822784812</v>
      </c>
      <c r="BG96" s="32">
        <f t="shared" si="363"/>
        <v>0.46050000000000002</v>
      </c>
      <c r="BH96" s="32">
        <f t="shared" si="363"/>
        <v>0.45027160493827162</v>
      </c>
      <c r="BI96" s="174">
        <f>BI92/BI25/4</f>
        <v>0.42463974358974355</v>
      </c>
      <c r="BJ96" s="32"/>
      <c r="BK96" s="32"/>
      <c r="BL96" s="32"/>
      <c r="BM96" s="32"/>
      <c r="BN96" s="174">
        <f>BN92/BN25/4</f>
        <v>0.46038162162162155</v>
      </c>
      <c r="BO96" s="32"/>
      <c r="BP96" s="32"/>
      <c r="BQ96" s="32"/>
      <c r="BR96" s="32"/>
      <c r="BS96" s="174">
        <f>BS92/BS25/4</f>
        <v>0.47067963157894732</v>
      </c>
      <c r="BT96" s="154"/>
      <c r="BU96" s="363"/>
      <c r="BV96" s="228"/>
      <c r="BW96" s="154"/>
      <c r="BX96" s="154"/>
      <c r="BY96" s="154"/>
      <c r="BZ96" s="532"/>
      <c r="CA96" s="532"/>
      <c r="CB96" s="767" t="s">
        <v>470</v>
      </c>
      <c r="CC96" s="767"/>
      <c r="CD96" s="768">
        <f>+CD95*CD94/2+CC95*CC94/2</f>
        <v>17.493000000000002</v>
      </c>
      <c r="CE96" s="768">
        <f>+CE95*CE94/2+CD95*CD94/2</f>
        <v>18.258000000000003</v>
      </c>
      <c r="CF96" s="768">
        <f>+CF95*CF94/2+CE95*CE94/2</f>
        <v>22.542000000000002</v>
      </c>
      <c r="CG96" s="768">
        <f>+CG95*CG94/2+CF95*CF94/2</f>
        <v>27.132000000000001</v>
      </c>
      <c r="CH96" s="363"/>
      <c r="CI96" s="154"/>
      <c r="CJ96"/>
      <c r="CK96"/>
      <c r="CL96"/>
      <c r="CM96"/>
      <c r="CN96"/>
      <c r="CO96"/>
      <c r="CP96" s="402"/>
    </row>
    <row r="97" spans="1:94" s="140" customFormat="1" ht="12.75" customHeight="1" x14ac:dyDescent="0.2">
      <c r="A97" s="10" t="s">
        <v>130</v>
      </c>
      <c r="B97" s="11"/>
      <c r="C97" s="11"/>
      <c r="D97" s="11"/>
      <c r="E97" s="11"/>
      <c r="F97" s="12">
        <f>SUM(F103:F105)</f>
        <v>185.23000000000002</v>
      </c>
      <c r="G97" s="11">
        <f t="shared" ref="G97:Z97" si="364">SUM(G103:G105)</f>
        <v>43.876999999999995</v>
      </c>
      <c r="H97" s="11">
        <f t="shared" si="364"/>
        <v>42.081000000000003</v>
      </c>
      <c r="I97" s="11">
        <f t="shared" si="364"/>
        <v>42.379999999999995</v>
      </c>
      <c r="J97" s="11">
        <f t="shared" si="364"/>
        <v>37.786000000000001</v>
      </c>
      <c r="K97" s="12">
        <f t="shared" si="364"/>
        <v>166.124</v>
      </c>
      <c r="L97" s="11">
        <f t="shared" si="364"/>
        <v>37.417999999999999</v>
      </c>
      <c r="M97" s="11">
        <f t="shared" si="364"/>
        <v>38.213999999999999</v>
      </c>
      <c r="N97" s="11">
        <f t="shared" si="364"/>
        <v>35.334000000000003</v>
      </c>
      <c r="O97" s="11">
        <f t="shared" si="364"/>
        <v>38.082999999999998</v>
      </c>
      <c r="P97" s="12">
        <f t="shared" si="364"/>
        <v>149.04899999999998</v>
      </c>
      <c r="Q97" s="11">
        <f t="shared" si="364"/>
        <v>39.372</v>
      </c>
      <c r="R97" s="11">
        <f t="shared" si="364"/>
        <v>44.08</v>
      </c>
      <c r="S97" s="11">
        <f t="shared" si="364"/>
        <v>43.728000000000002</v>
      </c>
      <c r="T97" s="11">
        <f t="shared" si="364"/>
        <v>44.71299999999998</v>
      </c>
      <c r="U97" s="12">
        <f t="shared" si="364"/>
        <v>171.89299999999997</v>
      </c>
      <c r="V97" s="11">
        <f t="shared" si="364"/>
        <v>44.32</v>
      </c>
      <c r="W97" s="11">
        <f t="shared" si="364"/>
        <v>47.870000000000005</v>
      </c>
      <c r="X97" s="11">
        <f t="shared" si="364"/>
        <v>51.283999999999999</v>
      </c>
      <c r="Y97" s="11">
        <f>SUM(Y103:Y105)</f>
        <v>50.305</v>
      </c>
      <c r="Z97" s="12">
        <f t="shared" si="364"/>
        <v>193.779</v>
      </c>
      <c r="AA97" s="11">
        <f t="shared" ref="AA97:AF97" si="365">SUM(AA103:AA105)</f>
        <v>56.338000000000001</v>
      </c>
      <c r="AB97" s="11">
        <f t="shared" si="365"/>
        <v>64.460999999999999</v>
      </c>
      <c r="AC97" s="11">
        <f t="shared" si="365"/>
        <v>68.932999999999993</v>
      </c>
      <c r="AD97" s="11">
        <f t="shared" si="365"/>
        <v>62.261000000000003</v>
      </c>
      <c r="AE97" s="12">
        <f t="shared" si="365"/>
        <v>251.99299999999999</v>
      </c>
      <c r="AF97" s="11">
        <f t="shared" si="365"/>
        <v>68.236000000000004</v>
      </c>
      <c r="AG97" s="11">
        <f t="shared" ref="AG97:AL97" si="366">SUM(AG103:AG105)</f>
        <v>76.039000000000001</v>
      </c>
      <c r="AH97" s="11">
        <f t="shared" si="366"/>
        <v>78.906000000000006</v>
      </c>
      <c r="AI97" s="11">
        <f t="shared" si="366"/>
        <v>72.490000000000009</v>
      </c>
      <c r="AJ97" s="12">
        <f t="shared" si="366"/>
        <v>295.67099999999994</v>
      </c>
      <c r="AK97" s="11">
        <f t="shared" si="366"/>
        <v>78.032999999999987</v>
      </c>
      <c r="AL97" s="11">
        <f t="shared" si="366"/>
        <v>82.397999999999996</v>
      </c>
      <c r="AM97" s="11">
        <f t="shared" ref="AM97:AR97" si="367">SUM(AM103:AM105)</f>
        <v>87.126999999999995</v>
      </c>
      <c r="AN97" s="11">
        <f t="shared" si="367"/>
        <v>80.706000000000003</v>
      </c>
      <c r="AO97" s="12">
        <f t="shared" si="367"/>
        <v>328.26400000000001</v>
      </c>
      <c r="AP97" s="11">
        <f t="shared" si="367"/>
        <v>94.789999999999992</v>
      </c>
      <c r="AQ97" s="11">
        <f>SUM(AQ103:AQ105)</f>
        <v>113.886</v>
      </c>
      <c r="AR97" s="11">
        <f t="shared" si="367"/>
        <v>111.80199999999999</v>
      </c>
      <c r="AS97" s="11">
        <f>SUM(AS103:AS105)</f>
        <v>104.042</v>
      </c>
      <c r="AT97" s="12">
        <f>SUM(AT103:AT105)</f>
        <v>424.52</v>
      </c>
      <c r="AU97" s="11">
        <f>SUM(AU103:AU105)</f>
        <v>121.785</v>
      </c>
      <c r="AV97" s="11">
        <f>SUM(AV103:AV105)</f>
        <v>132.14699999999999</v>
      </c>
      <c r="AW97" s="11">
        <f t="shared" ref="AW97" si="368">SUM(AW103:AW105)</f>
        <v>131.18700000000001</v>
      </c>
      <c r="AX97" s="11">
        <f>SUM(AX103:AX105)</f>
        <v>130.37799999999999</v>
      </c>
      <c r="AY97" s="12">
        <f>SUM(AY103:AY105)</f>
        <v>515.49699999999996</v>
      </c>
      <c r="AZ97" s="11">
        <v>144.649</v>
      </c>
      <c r="BA97" s="11">
        <f>SUM(BA103:BA105)</f>
        <v>178.38499999999999</v>
      </c>
      <c r="BB97" s="11">
        <f t="shared" ref="BB97" si="369">SUM(BB103:BB105)</f>
        <v>165.93200000000002</v>
      </c>
      <c r="BC97" s="11">
        <f>SUM(BC103:BC105)</f>
        <v>157.21499999999997</v>
      </c>
      <c r="BD97" s="12">
        <f>SUM(BD103:BD105)</f>
        <v>646.18100000000004</v>
      </c>
      <c r="BE97" s="11">
        <f t="shared" ref="BE97" si="370">BE100*BE11/100</f>
        <v>159.21515430000002</v>
      </c>
      <c r="BF97" s="11">
        <f t="shared" ref="BF97:BH97" si="371">BF100*BF11/100</f>
        <v>205.49952000000002</v>
      </c>
      <c r="BG97" s="11">
        <f t="shared" si="371"/>
        <v>188.166888</v>
      </c>
      <c r="BH97" s="11">
        <f t="shared" si="371"/>
        <v>164.83992750000002</v>
      </c>
      <c r="BI97" s="12">
        <f>SUM(BI103:BI105)</f>
        <v>717.7214898000002</v>
      </c>
      <c r="BJ97" s="11"/>
      <c r="BK97" s="11"/>
      <c r="BL97" s="11"/>
      <c r="BM97" s="11"/>
      <c r="BN97" s="12">
        <f>BN100*BN11/100</f>
        <v>799.36230926475025</v>
      </c>
      <c r="BO97" s="11"/>
      <c r="BP97" s="11"/>
      <c r="BQ97" s="11"/>
      <c r="BR97" s="11"/>
      <c r="BS97" s="12">
        <f>BS100*BS11/100</f>
        <v>912.77183689168635</v>
      </c>
      <c r="BT97" s="250"/>
      <c r="BU97" s="360"/>
      <c r="BV97" s="281"/>
      <c r="BW97" s="250"/>
      <c r="BX97" s="250"/>
      <c r="BY97" s="250"/>
      <c r="BZ97" s="531"/>
      <c r="CA97" s="532"/>
      <c r="CB97" s="767" t="s">
        <v>469</v>
      </c>
      <c r="CC97" s="769"/>
      <c r="CD97" s="768">
        <f>+BD92-AY92</f>
        <v>39.01600000000002</v>
      </c>
      <c r="CE97" s="768">
        <f>+BI92-BD92</f>
        <v>58.579399999999964</v>
      </c>
      <c r="CF97" s="768">
        <f>+BN92-BI92</f>
        <v>39.746279999999985</v>
      </c>
      <c r="CG97" s="768">
        <f>+BS92-BN92</f>
        <v>29.809709999999995</v>
      </c>
      <c r="CH97" s="360"/>
      <c r="CI97" s="250"/>
      <c r="CJ97"/>
      <c r="CK97"/>
      <c r="CL97"/>
      <c r="CM97"/>
      <c r="CN97"/>
      <c r="CO97"/>
      <c r="CP97" s="11"/>
    </row>
    <row r="98" spans="1:94" s="260" customFormat="1" ht="12.75" customHeight="1" x14ac:dyDescent="0.2">
      <c r="A98" s="561" t="s">
        <v>21</v>
      </c>
      <c r="B98" s="18"/>
      <c r="C98" s="18"/>
      <c r="D98" s="18"/>
      <c r="E98" s="18"/>
      <c r="F98" s="166"/>
      <c r="G98" s="18"/>
      <c r="H98" s="18"/>
      <c r="I98" s="18"/>
      <c r="J98" s="18"/>
      <c r="K98" s="166">
        <f t="shared" ref="K98:Z98" si="372">K97/F97-1</f>
        <v>-0.10314743831992668</v>
      </c>
      <c r="L98" s="18">
        <f t="shared" si="372"/>
        <v>-0.14720696492467578</v>
      </c>
      <c r="M98" s="18">
        <f t="shared" si="372"/>
        <v>-9.1894204035075311E-2</v>
      </c>
      <c r="N98" s="18">
        <f t="shared" si="372"/>
        <v>-0.16625766871165626</v>
      </c>
      <c r="O98" s="18">
        <f t="shared" si="372"/>
        <v>7.8600539882496268E-3</v>
      </c>
      <c r="P98" s="166">
        <f t="shared" si="372"/>
        <v>-0.10278466687534626</v>
      </c>
      <c r="Q98" s="18">
        <f>Q97/L97-1</f>
        <v>5.2220856272382266E-2</v>
      </c>
      <c r="R98" s="18">
        <f>R97/M97-1</f>
        <v>0.15350395143141249</v>
      </c>
      <c r="S98" s="18">
        <f>S97/N97-1</f>
        <v>0.23756155544235003</v>
      </c>
      <c r="T98" s="18">
        <f>T97/O97-1</f>
        <v>0.17409342751358836</v>
      </c>
      <c r="U98" s="166">
        <f t="shared" si="372"/>
        <v>0.153265033646653</v>
      </c>
      <c r="V98" s="18">
        <f>V97/Q97-1</f>
        <v>0.12567306715432291</v>
      </c>
      <c r="W98" s="18">
        <f>W97/R97-1</f>
        <v>8.5980036297640838E-2</v>
      </c>
      <c r="X98" s="18">
        <f>X97/S97-1</f>
        <v>0.17279546286132441</v>
      </c>
      <c r="Y98" s="18">
        <f>Y97/T97-1</f>
        <v>0.12506429897345339</v>
      </c>
      <c r="Z98" s="166">
        <f t="shared" si="372"/>
        <v>0.12732339304101981</v>
      </c>
      <c r="AA98" s="18">
        <f t="shared" ref="AA98:AM98" si="373">AA97/V97-1</f>
        <v>0.27116425992779791</v>
      </c>
      <c r="AB98" s="18">
        <f t="shared" si="373"/>
        <v>0.34658449968665117</v>
      </c>
      <c r="AC98" s="18">
        <f t="shared" si="373"/>
        <v>0.34414242258794148</v>
      </c>
      <c r="AD98" s="18">
        <f t="shared" si="373"/>
        <v>0.23767021170857783</v>
      </c>
      <c r="AE98" s="166">
        <f t="shared" si="373"/>
        <v>0.30041438958813904</v>
      </c>
      <c r="AF98" s="18">
        <f t="shared" si="373"/>
        <v>0.21118960559480282</v>
      </c>
      <c r="AG98" s="18">
        <f t="shared" si="373"/>
        <v>0.17961247886318854</v>
      </c>
      <c r="AH98" s="18">
        <f t="shared" si="373"/>
        <v>0.14467671507115631</v>
      </c>
      <c r="AI98" s="18">
        <f t="shared" si="373"/>
        <v>0.16429225357768118</v>
      </c>
      <c r="AJ98" s="166">
        <f t="shared" si="373"/>
        <v>0.17333021155349537</v>
      </c>
      <c r="AK98" s="18">
        <f t="shared" si="373"/>
        <v>0.14357523887683898</v>
      </c>
      <c r="AL98" s="18">
        <f t="shared" si="373"/>
        <v>8.3628138192243462E-2</v>
      </c>
      <c r="AM98" s="18">
        <f t="shared" si="373"/>
        <v>0.10418726079132123</v>
      </c>
      <c r="AN98" s="18">
        <f>AN97/AI97-1</f>
        <v>0.11333977100289694</v>
      </c>
      <c r="AO98" s="166">
        <f>AO97/AJ97-1</f>
        <v>0.11023401009906308</v>
      </c>
      <c r="AP98" s="18">
        <f>AP97/AK97-1</f>
        <v>0.21474248074532576</v>
      </c>
      <c r="AQ98" s="18">
        <f>AQ97/AL97-1</f>
        <v>0.38214519769897337</v>
      </c>
      <c r="AR98" s="18">
        <f>AR97/AM97-1</f>
        <v>0.28320727214296371</v>
      </c>
      <c r="AS98" s="18">
        <f t="shared" ref="AS98:AT98" si="374">AS97/AN97-1</f>
        <v>0.2891482665477163</v>
      </c>
      <c r="AT98" s="166">
        <f t="shared" si="374"/>
        <v>0.29322740233470612</v>
      </c>
      <c r="AU98" s="18">
        <f>AU97/AP97-1</f>
        <v>0.28478742483384334</v>
      </c>
      <c r="AV98" s="18">
        <f>AV97/AQ97-1</f>
        <v>0.16034455508139711</v>
      </c>
      <c r="AW98" s="18">
        <f>AW97/AR97-1</f>
        <v>0.17338688037781091</v>
      </c>
      <c r="AX98" s="18">
        <f t="shared" ref="AX98" si="375">AX97/AS97-1</f>
        <v>0.25312854424174835</v>
      </c>
      <c r="AY98" s="166">
        <f t="shared" ref="AY98" si="376">AY97/AT97-1</f>
        <v>0.21430556864223127</v>
      </c>
      <c r="AZ98" s="18">
        <f>AZ97/AU97-1</f>
        <v>0.1877406905612351</v>
      </c>
      <c r="BA98" s="18">
        <f>BA97/AV97-1</f>
        <v>0.34989821940717536</v>
      </c>
      <c r="BB98" s="18">
        <f>BB97/AW97-1</f>
        <v>0.26485093797403714</v>
      </c>
      <c r="BC98" s="18">
        <f t="shared" ref="BC98" si="377">BC97/AX97-1</f>
        <v>0.20583994232155733</v>
      </c>
      <c r="BD98" s="166">
        <f t="shared" ref="BD98" si="378">BD97/AY97-1</f>
        <v>0.25351068968393631</v>
      </c>
      <c r="BE98" s="18">
        <f t="shared" ref="BE98:BI98" si="379">BE97/AZ97-1</f>
        <v>0.10070000000000023</v>
      </c>
      <c r="BF98" s="18">
        <f t="shared" si="379"/>
        <v>0.15200000000000014</v>
      </c>
      <c r="BG98" s="18">
        <f t="shared" si="379"/>
        <v>0.1339999999999999</v>
      </c>
      <c r="BH98" s="18">
        <f t="shared" si="379"/>
        <v>4.850000000000021E-2</v>
      </c>
      <c r="BI98" s="166">
        <f t="shared" si="379"/>
        <v>0.11071277211802899</v>
      </c>
      <c r="BJ98" s="18"/>
      <c r="BK98" s="18"/>
      <c r="BL98" s="18"/>
      <c r="BM98" s="18"/>
      <c r="BN98" s="166">
        <f>BN97/BI97-1</f>
        <v>0.11375000000000002</v>
      </c>
      <c r="BO98" s="18"/>
      <c r="BP98" s="18"/>
      <c r="BQ98" s="18"/>
      <c r="BR98" s="18"/>
      <c r="BS98" s="166">
        <f>BS97/BN97-1</f>
        <v>0.14187499999999953</v>
      </c>
      <c r="BT98" s="148"/>
      <c r="BU98" s="356"/>
      <c r="BV98" s="224"/>
      <c r="BW98" s="148"/>
      <c r="BX98" s="148"/>
      <c r="BY98" s="148"/>
      <c r="BZ98" s="531"/>
      <c r="CA98" s="322"/>
      <c r="CB98" s="767"/>
      <c r="CC98" s="769"/>
      <c r="CD98" s="768"/>
      <c r="CE98" s="768"/>
      <c r="CF98" s="768"/>
      <c r="CG98" s="322"/>
      <c r="CH98" s="356"/>
      <c r="CI98" s="148"/>
      <c r="CJ98"/>
      <c r="CK98"/>
      <c r="CL98"/>
      <c r="CM98"/>
      <c r="CN98"/>
      <c r="CO98"/>
      <c r="CP98" s="391"/>
    </row>
    <row r="99" spans="1:94" s="260" customFormat="1" ht="12.75" customHeight="1" x14ac:dyDescent="0.2">
      <c r="A99" s="567" t="s">
        <v>122</v>
      </c>
      <c r="B99" s="18"/>
      <c r="C99" s="18"/>
      <c r="D99" s="18"/>
      <c r="E99" s="18"/>
      <c r="F99" s="166"/>
      <c r="G99" s="18"/>
      <c r="H99" s="18">
        <f>H97/G97-1</f>
        <v>-4.0932607060646609E-2</v>
      </c>
      <c r="I99" s="18">
        <f>I97/H97-1</f>
        <v>7.1053444547417577E-3</v>
      </c>
      <c r="J99" s="18">
        <f>J97/I97-1</f>
        <v>-0.10840018876828683</v>
      </c>
      <c r="K99" s="166"/>
      <c r="L99" s="18">
        <f>L97/J97-1</f>
        <v>-9.7390567935214944E-3</v>
      </c>
      <c r="M99" s="18">
        <f>M97/L97-1</f>
        <v>2.1273184029076964E-2</v>
      </c>
      <c r="N99" s="18">
        <f>N97/M97-1</f>
        <v>-7.5365049458313571E-2</v>
      </c>
      <c r="O99" s="18">
        <f>O97/N97-1</f>
        <v>7.7800418860021425E-2</v>
      </c>
      <c r="P99" s="166"/>
      <c r="Q99" s="18">
        <f>Q97/O97-1</f>
        <v>3.3847123388388578E-2</v>
      </c>
      <c r="R99" s="18">
        <f>R97/Q97-1</f>
        <v>0.11957736462460633</v>
      </c>
      <c r="S99" s="18">
        <f>S97/R97-1</f>
        <v>-7.985480943738632E-3</v>
      </c>
      <c r="T99" s="18">
        <f>T97/S97-1</f>
        <v>2.2525612879618961E-2</v>
      </c>
      <c r="U99" s="166"/>
      <c r="V99" s="18">
        <f>V97/T97-1</f>
        <v>-8.789390110258255E-3</v>
      </c>
      <c r="W99" s="18">
        <f>W97/V97-1</f>
        <v>8.0099277978339378E-2</v>
      </c>
      <c r="X99" s="18">
        <f>X97/W97-1</f>
        <v>7.131815333194047E-2</v>
      </c>
      <c r="Y99" s="18">
        <f>Y97/X97-1</f>
        <v>-1.9089774588565644E-2</v>
      </c>
      <c r="Z99" s="166"/>
      <c r="AA99" s="18">
        <f>AA97/Y97-1</f>
        <v>0.11992843653712359</v>
      </c>
      <c r="AB99" s="18">
        <f>AB97/AA97-1</f>
        <v>0.14418332209166107</v>
      </c>
      <c r="AC99" s="18">
        <f>AC97/AB97-1</f>
        <v>6.9375281177766368E-2</v>
      </c>
      <c r="AD99" s="18">
        <f>AD97/AC97-1</f>
        <v>-9.6789636313521665E-2</v>
      </c>
      <c r="AE99" s="166"/>
      <c r="AF99" s="18">
        <f>AF97/AD97-1</f>
        <v>9.5966977722812041E-2</v>
      </c>
      <c r="AG99" s="18">
        <f>AG97/AF97-1</f>
        <v>0.11435312738144088</v>
      </c>
      <c r="AH99" s="18">
        <f>AH97/AG97-1</f>
        <v>3.7704335932876587E-2</v>
      </c>
      <c r="AI99" s="18">
        <f>AI97/AH97-1</f>
        <v>-8.1311940790307458E-2</v>
      </c>
      <c r="AJ99" s="166"/>
      <c r="AK99" s="18">
        <f>AK97/AI97-1</f>
        <v>7.6465719409573474E-2</v>
      </c>
      <c r="AL99" s="18">
        <f>AL97/AK97-1</f>
        <v>5.5937872438583724E-2</v>
      </c>
      <c r="AM99" s="18">
        <f>AM97/AL97-1</f>
        <v>5.7392169712857211E-2</v>
      </c>
      <c r="AN99" s="18">
        <f>AN97/AM97-1</f>
        <v>-7.3697016998174991E-2</v>
      </c>
      <c r="AO99" s="166"/>
      <c r="AP99" s="18">
        <f>AP97/AN97-1</f>
        <v>0.17450994969395084</v>
      </c>
      <c r="AQ99" s="18">
        <f>AQ97/AP97-1</f>
        <v>0.20145584977318287</v>
      </c>
      <c r="AR99" s="18">
        <f>AR97/AQ97-1</f>
        <v>-1.8299000755141126E-2</v>
      </c>
      <c r="AS99" s="18">
        <f>AS97/AR97-1</f>
        <v>-6.9408418454052656E-2</v>
      </c>
      <c r="AT99" s="166"/>
      <c r="AU99" s="18">
        <f>AU97/AS97-1</f>
        <v>0.17053689856019671</v>
      </c>
      <c r="AV99" s="18">
        <f>AV97/AU97-1</f>
        <v>8.5084369996304865E-2</v>
      </c>
      <c r="AW99" s="18">
        <f>AW97/AV97-1</f>
        <v>-7.26463710867431E-3</v>
      </c>
      <c r="AX99" s="18">
        <f>AX97/AW97-1</f>
        <v>-6.1667695732048333E-3</v>
      </c>
      <c r="AY99" s="166"/>
      <c r="AZ99" s="18">
        <f>AZ97/AX97-1</f>
        <v>0.10945865099940177</v>
      </c>
      <c r="BA99" s="18">
        <f>BA97/AZ97-1</f>
        <v>0.23322663827610279</v>
      </c>
      <c r="BB99" s="18">
        <f>BB97/BA97-1</f>
        <v>-6.980968130728471E-2</v>
      </c>
      <c r="BC99" s="18">
        <f>BC97/BB97-1</f>
        <v>-5.2533567967601447E-2</v>
      </c>
      <c r="BD99" s="166"/>
      <c r="BE99" s="18">
        <f>BE97/BC97-1</f>
        <v>1.2722413891804507E-2</v>
      </c>
      <c r="BF99" s="18">
        <f t="shared" ref="BF99:BH99" si="380">BF97/BE97-1</f>
        <v>0.29070326818758097</v>
      </c>
      <c r="BG99" s="18">
        <f t="shared" si="380"/>
        <v>-8.4343905036858513E-2</v>
      </c>
      <c r="BH99" s="18">
        <f t="shared" si="380"/>
        <v>-0.12396952911290104</v>
      </c>
      <c r="BI99" s="166"/>
      <c r="BJ99" s="18"/>
      <c r="BK99" s="18"/>
      <c r="BL99" s="18"/>
      <c r="BM99" s="18"/>
      <c r="BN99" s="166"/>
      <c r="BO99" s="18"/>
      <c r="BP99" s="18"/>
      <c r="BQ99" s="18"/>
      <c r="BR99" s="18"/>
      <c r="BS99" s="166"/>
      <c r="BT99" s="148"/>
      <c r="BU99" s="356"/>
      <c r="BV99" s="822">
        <f>AVERAGE(AK99,AP99,AU99,AA99,AZ99)</f>
        <v>0.13017993104004927</v>
      </c>
      <c r="BW99" s="822">
        <f>AVERAGE(AL99,AQ99,AV99,AB99,BA99)</f>
        <v>0.14397761051516705</v>
      </c>
      <c r="BX99" s="822">
        <f>AVERAGE(AM99,AR99,AW99,AC99,BB99)</f>
        <v>6.2788263439046864E-3</v>
      </c>
      <c r="BY99" s="822">
        <f>AVERAGE(AN99,AS99,AX99,AD99,BC99)</f>
        <v>-5.971908186131112E-2</v>
      </c>
      <c r="BZ99" s="531"/>
      <c r="CA99" s="322"/>
      <c r="CB99" s="325"/>
      <c r="CC99" s="723"/>
      <c r="CD99" s="723"/>
      <c r="CE99" s="723"/>
      <c r="CF99" s="768"/>
      <c r="CG99" s="322"/>
      <c r="CH99" s="356"/>
      <c r="CI99" s="148"/>
      <c r="CJ99"/>
      <c r="CK99"/>
      <c r="CL99"/>
      <c r="CM99"/>
      <c r="CN99"/>
      <c r="CO99"/>
      <c r="CP99" s="391"/>
    </row>
    <row r="100" spans="1:94" s="263" customFormat="1" ht="12.75" customHeight="1" x14ac:dyDescent="0.2">
      <c r="A100" s="151" t="s">
        <v>131</v>
      </c>
      <c r="B100" s="25"/>
      <c r="C100" s="25"/>
      <c r="D100" s="25"/>
      <c r="E100" s="25"/>
      <c r="F100" s="169">
        <f t="shared" ref="F100:AQ100" si="381">F97/F11*100</f>
        <v>2.1889882886822112</v>
      </c>
      <c r="G100" s="25">
        <f t="shared" si="381"/>
        <v>2.0711606562081948</v>
      </c>
      <c r="H100" s="25">
        <f t="shared" si="381"/>
        <v>1.9033752445878578</v>
      </c>
      <c r="I100" s="25">
        <f t="shared" si="381"/>
        <v>2.0022857618016978</v>
      </c>
      <c r="J100" s="25">
        <f t="shared" si="381"/>
        <v>2.080367161184685</v>
      </c>
      <c r="K100" s="169">
        <f t="shared" si="381"/>
        <v>2.0106433722320278</v>
      </c>
      <c r="L100" s="25">
        <f t="shared" si="381"/>
        <v>2.0736432067929575</v>
      </c>
      <c r="M100" s="25">
        <f t="shared" si="381"/>
        <v>1.9918634561807238</v>
      </c>
      <c r="N100" s="25">
        <f t="shared" si="381"/>
        <v>1.8307866880139276</v>
      </c>
      <c r="O100" s="25">
        <f t="shared" si="381"/>
        <v>2.0785519397835048</v>
      </c>
      <c r="P100" s="169">
        <f t="shared" si="381"/>
        <v>1.991265094405035</v>
      </c>
      <c r="Q100" s="25">
        <f t="shared" si="381"/>
        <v>2.1631410046859263</v>
      </c>
      <c r="R100" s="25">
        <f t="shared" si="381"/>
        <v>2.3138463864259942</v>
      </c>
      <c r="S100" s="25">
        <f t="shared" si="381"/>
        <v>1.9929820851292488</v>
      </c>
      <c r="T100" s="25">
        <f t="shared" si="381"/>
        <v>2.0318180165769948</v>
      </c>
      <c r="U100" s="169">
        <f t="shared" si="381"/>
        <v>2.1169289413212411</v>
      </c>
      <c r="V100" s="25">
        <f t="shared" si="381"/>
        <v>2.0144566353210789</v>
      </c>
      <c r="W100" s="25">
        <f t="shared" si="381"/>
        <v>1.9734981501804476</v>
      </c>
      <c r="X100" s="25">
        <f t="shared" si="381"/>
        <v>2.1165829261870388</v>
      </c>
      <c r="Y100" s="25">
        <f t="shared" si="381"/>
        <v>2.1835169967515276</v>
      </c>
      <c r="Z100" s="169">
        <f t="shared" si="381"/>
        <v>2.0719369352945662</v>
      </c>
      <c r="AA100" s="25">
        <f t="shared" si="381"/>
        <v>2.1760407630086203</v>
      </c>
      <c r="AB100" s="25">
        <f t="shared" si="381"/>
        <v>2.2802587696273959</v>
      </c>
      <c r="AC100" s="25">
        <f t="shared" si="381"/>
        <v>2.3189065921293821</v>
      </c>
      <c r="AD100" s="25">
        <f t="shared" si="381"/>
        <v>2.1061515822945385</v>
      </c>
      <c r="AE100" s="169">
        <f t="shared" si="381"/>
        <v>2.2212338044859767</v>
      </c>
      <c r="AF100" s="25">
        <f t="shared" si="381"/>
        <v>2.1820060923237108</v>
      </c>
      <c r="AG100" s="25">
        <f t="shared" si="381"/>
        <v>2.2231955084077013</v>
      </c>
      <c r="AH100" s="25">
        <f t="shared" si="381"/>
        <v>2.1689681911603538</v>
      </c>
      <c r="AI100" s="25">
        <f t="shared" si="381"/>
        <v>1.9719954341327954</v>
      </c>
      <c r="AJ100" s="169">
        <f t="shared" si="381"/>
        <v>2.1330538616823094</v>
      </c>
      <c r="AK100" s="25">
        <f t="shared" si="381"/>
        <v>2.0617867550288298</v>
      </c>
      <c r="AL100" s="25">
        <f t="shared" si="381"/>
        <v>2.0555782988529145</v>
      </c>
      <c r="AM100" s="25">
        <f t="shared" si="381"/>
        <v>2.0871757046586605</v>
      </c>
      <c r="AN100" s="25">
        <f t="shared" si="381"/>
        <v>1.8457586498924756</v>
      </c>
      <c r="AO100" s="169">
        <f t="shared" si="381"/>
        <v>2.0089421499519404</v>
      </c>
      <c r="AP100" s="25">
        <f t="shared" si="381"/>
        <v>2.0042444565059498</v>
      </c>
      <c r="AQ100" s="25">
        <f t="shared" si="381"/>
        <v>2.1845284530965898</v>
      </c>
      <c r="AR100" s="25">
        <f>AR97/AR11*100</f>
        <v>1.9971786337148805</v>
      </c>
      <c r="AS100" s="25">
        <f>AS97/AS11*100</f>
        <v>1.8235712916084033</v>
      </c>
      <c r="AT100" s="169">
        <f>AT97/AT11*100</f>
        <v>1.9981025274359028</v>
      </c>
      <c r="AU100" s="25">
        <f>AU97/AU11*100</f>
        <v>2.0355155979311399</v>
      </c>
      <c r="AV100" s="25">
        <f t="shared" ref="AV100" si="382">AV97/AV11*100</f>
        <v>2.0585507816205797</v>
      </c>
      <c r="AW100" s="25">
        <f>AW97/AW11*100</f>
        <v>2.0160271600521518</v>
      </c>
      <c r="AX100" s="25">
        <f>AX97/AX11*100</f>
        <v>1.9799186577773968</v>
      </c>
      <c r="AY100" s="169">
        <f>AY97/AY11*100</f>
        <v>2.0219813995456146</v>
      </c>
      <c r="AZ100" s="25">
        <f>AZ97/AZ11*100</f>
        <v>2.1037103657281757</v>
      </c>
      <c r="BA100" s="25">
        <f t="shared" ref="BA100" si="383">BA97/BA11*100</f>
        <v>2.4454464672253828</v>
      </c>
      <c r="BB100" s="25">
        <f>BB97/BB11*100</f>
        <v>2.160203881836853</v>
      </c>
      <c r="BC100" s="25">
        <f>BC97/BC11*100</f>
        <v>2.0309312843381306</v>
      </c>
      <c r="BD100" s="169">
        <f>BD97/BD11*100</f>
        <v>2.1835736568388433</v>
      </c>
      <c r="BE100" s="25">
        <f t="shared" ref="BE100:BH100" si="384">AZ100*(1+BE101)</f>
        <v>1.8933393291553582</v>
      </c>
      <c r="BF100" s="25">
        <f t="shared" si="384"/>
        <v>2.2009018205028448</v>
      </c>
      <c r="BG100" s="25">
        <f t="shared" si="384"/>
        <v>1.9441834936531677</v>
      </c>
      <c r="BH100" s="25">
        <f t="shared" si="384"/>
        <v>1.8278381559043175</v>
      </c>
      <c r="BI100" s="169">
        <f>BI97/BI11*100</f>
        <v>1.9694337828603345</v>
      </c>
      <c r="BJ100" s="25"/>
      <c r="BK100" s="25"/>
      <c r="BL100" s="25"/>
      <c r="BM100" s="25"/>
      <c r="BN100" s="169">
        <f>BI100*(1+BN101)</f>
        <v>1.9497394450317311</v>
      </c>
      <c r="BO100" s="25"/>
      <c r="BP100" s="25"/>
      <c r="BQ100" s="25"/>
      <c r="BR100" s="25"/>
      <c r="BS100" s="169">
        <f>BN100*(1+BS101)</f>
        <v>1.9789855367072069</v>
      </c>
      <c r="BT100" s="151"/>
      <c r="BU100" s="359"/>
      <c r="BV100" s="227"/>
      <c r="BW100" s="151"/>
      <c r="BX100" s="151"/>
      <c r="BY100" s="151"/>
      <c r="BZ100" s="531"/>
      <c r="CA100" s="325"/>
      <c r="CB100" s="550"/>
      <c r="CC100" s="770"/>
      <c r="CD100" s="770"/>
      <c r="CE100" s="770"/>
      <c r="CF100" s="767"/>
      <c r="CG100" s="325"/>
      <c r="CH100" s="359"/>
      <c r="CI100" s="151"/>
      <c r="CJ100"/>
      <c r="CK100"/>
      <c r="CL100"/>
      <c r="CM100"/>
      <c r="CN100"/>
      <c r="CO100"/>
      <c r="CP100" s="395"/>
    </row>
    <row r="101" spans="1:94" s="260" customFormat="1" ht="12.75" customHeight="1" x14ac:dyDescent="0.2">
      <c r="A101" s="541" t="s">
        <v>21</v>
      </c>
      <c r="B101" s="18"/>
      <c r="C101" s="18"/>
      <c r="D101" s="18"/>
      <c r="E101" s="18"/>
      <c r="F101" s="166"/>
      <c r="G101" s="18"/>
      <c r="H101" s="18"/>
      <c r="I101" s="18"/>
      <c r="J101" s="18"/>
      <c r="K101" s="166">
        <f t="shared" ref="K101:P101" si="385">K100/F100-1</f>
        <v>-8.1473673190617379E-2</v>
      </c>
      <c r="L101" s="18">
        <f t="shared" si="385"/>
        <v>1.1986277246631705E-3</v>
      </c>
      <c r="M101" s="18">
        <f t="shared" si="385"/>
        <v>4.6490155761181207E-2</v>
      </c>
      <c r="N101" s="18">
        <f t="shared" si="385"/>
        <v>-8.5651647262102948E-2</v>
      </c>
      <c r="O101" s="18">
        <f t="shared" si="385"/>
        <v>-8.7254857462104596E-4</v>
      </c>
      <c r="P101" s="166">
        <f t="shared" si="385"/>
        <v>-9.6378493046636038E-3</v>
      </c>
      <c r="Q101" s="18">
        <f t="shared" ref="Q101:AM101" si="386">Q100/L100-1</f>
        <v>4.3159689960060144E-2</v>
      </c>
      <c r="R101" s="18">
        <f t="shared" si="386"/>
        <v>0.16164909760564261</v>
      </c>
      <c r="S101" s="18">
        <f t="shared" si="386"/>
        <v>8.8593279696213001E-2</v>
      </c>
      <c r="T101" s="18">
        <f t="shared" si="386"/>
        <v>-2.2483885204897858E-2</v>
      </c>
      <c r="U101" s="166">
        <f t="shared" si="386"/>
        <v>6.3107542671887673E-2</v>
      </c>
      <c r="V101" s="18">
        <f t="shared" si="386"/>
        <v>-6.8735403306006582E-2</v>
      </c>
      <c r="W101" s="18">
        <f t="shared" si="386"/>
        <v>-0.1470919756134953</v>
      </c>
      <c r="X101" s="18">
        <f t="shared" si="386"/>
        <v>6.2018039188633356E-2</v>
      </c>
      <c r="Y101" s="18">
        <f t="shared" si="386"/>
        <v>7.4661696538206757E-2</v>
      </c>
      <c r="Z101" s="166">
        <f>Z100/U100-1</f>
        <v>-2.1253432341755363E-2</v>
      </c>
      <c r="AA101" s="18">
        <f t="shared" si="386"/>
        <v>8.0212264118451504E-2</v>
      </c>
      <c r="AB101" s="18">
        <f t="shared" si="386"/>
        <v>0.15544003394120209</v>
      </c>
      <c r="AC101" s="18">
        <f t="shared" si="386"/>
        <v>9.5589765673307792E-2</v>
      </c>
      <c r="AD101" s="18">
        <f t="shared" si="386"/>
        <v>-3.5431560446787191E-2</v>
      </c>
      <c r="AE101" s="166">
        <f>AE100/Z100-1</f>
        <v>7.2056666710362594E-2</v>
      </c>
      <c r="AF101" s="18">
        <f t="shared" si="386"/>
        <v>2.7413683679540224E-3</v>
      </c>
      <c r="AG101" s="18">
        <f t="shared" si="386"/>
        <v>-2.5024905936013142E-2</v>
      </c>
      <c r="AH101" s="18">
        <f t="shared" si="386"/>
        <v>-6.4659094712109288E-2</v>
      </c>
      <c r="AI101" s="18">
        <f t="shared" si="386"/>
        <v>-6.369729001916713E-2</v>
      </c>
      <c r="AJ101" s="166">
        <f>AJ100/AE100-1</f>
        <v>-3.969863173592092E-2</v>
      </c>
      <c r="AK101" s="18">
        <f t="shared" si="386"/>
        <v>-5.5095784433330519E-2</v>
      </c>
      <c r="AL101" s="18">
        <f t="shared" si="386"/>
        <v>-7.5394723010590137E-2</v>
      </c>
      <c r="AM101" s="18">
        <f t="shared" si="386"/>
        <v>-3.771032089591686E-2</v>
      </c>
      <c r="AN101" s="18">
        <f t="shared" ref="AN101:AW101" si="387">AN100/AI100-1</f>
        <v>-6.401474468719226E-2</v>
      </c>
      <c r="AO101" s="166">
        <f t="shared" si="387"/>
        <v>-5.8184987242883679E-2</v>
      </c>
      <c r="AP101" s="18">
        <f t="shared" si="387"/>
        <v>-2.7908947606987256E-2</v>
      </c>
      <c r="AQ101" s="18">
        <f t="shared" si="387"/>
        <v>6.2731813385865198E-2</v>
      </c>
      <c r="AR101" s="18">
        <f t="shared" si="387"/>
        <v>-4.3119067907365416E-2</v>
      </c>
      <c r="AS101" s="18">
        <f t="shared" si="387"/>
        <v>-1.2020725616193051E-2</v>
      </c>
      <c r="AT101" s="166">
        <f t="shared" si="387"/>
        <v>-5.3956867380661189E-3</v>
      </c>
      <c r="AU101" s="18">
        <f t="shared" si="387"/>
        <v>1.560245873385413E-2</v>
      </c>
      <c r="AV101" s="18">
        <f t="shared" si="387"/>
        <v>-5.7668130299440845E-2</v>
      </c>
      <c r="AW101" s="18">
        <f t="shared" si="387"/>
        <v>9.4375765988503613E-3</v>
      </c>
      <c r="AX101" s="18">
        <f t="shared" ref="AX101" si="388">AX100/AS100-1</f>
        <v>8.5736909156479468E-2</v>
      </c>
      <c r="AY101" s="166">
        <f t="shared" ref="AY101:BB101" si="389">AY100/AT100-1</f>
        <v>1.1950774187926561E-2</v>
      </c>
      <c r="AZ101" s="18">
        <f t="shared" si="389"/>
        <v>3.3502454054563646E-2</v>
      </c>
      <c r="BA101" s="18">
        <f t="shared" si="389"/>
        <v>0.1879456601504006</v>
      </c>
      <c r="BB101" s="18">
        <f t="shared" si="389"/>
        <v>7.151526757257165E-2</v>
      </c>
      <c r="BC101" s="18">
        <f t="shared" ref="BC101" si="390">BC100/AX100-1</f>
        <v>2.5765011284857087E-2</v>
      </c>
      <c r="BD101" s="166">
        <f t="shared" ref="BD101" si="391">BD100/AY100-1</f>
        <v>7.9917776360129755E-2</v>
      </c>
      <c r="BE101" s="139">
        <v>-0.1</v>
      </c>
      <c r="BF101" s="139">
        <v>-0.1</v>
      </c>
      <c r="BG101" s="139">
        <v>-0.1</v>
      </c>
      <c r="BH101" s="139">
        <v>-0.1</v>
      </c>
      <c r="BI101" s="166">
        <f>BI100/BD100-1</f>
        <v>-9.8068537009426415E-2</v>
      </c>
      <c r="BJ101" s="18"/>
      <c r="BK101" s="18"/>
      <c r="BL101" s="139"/>
      <c r="BM101" s="139"/>
      <c r="BN101" s="214">
        <v>-0.01</v>
      </c>
      <c r="BO101" s="18"/>
      <c r="BP101" s="18"/>
      <c r="BQ101" s="139"/>
      <c r="BR101" s="139"/>
      <c r="BS101" s="214">
        <v>1.4999999999999999E-2</v>
      </c>
      <c r="BT101" s="148"/>
      <c r="BU101" s="356"/>
      <c r="BV101" s="224"/>
      <c r="BW101" s="148"/>
      <c r="BX101" s="148"/>
      <c r="BY101" s="148"/>
      <c r="BZ101" s="531"/>
      <c r="CA101" s="322"/>
      <c r="CB101" s="325"/>
      <c r="CC101" s="723"/>
      <c r="CD101" s="723"/>
      <c r="CE101" s="723"/>
      <c r="CF101" s="322"/>
      <c r="CG101" s="322"/>
      <c r="CH101" s="356"/>
      <c r="CI101" s="148"/>
      <c r="CJ101"/>
      <c r="CK101"/>
      <c r="CL101"/>
      <c r="CM101"/>
      <c r="CN101"/>
      <c r="CO101"/>
      <c r="CP101" s="391"/>
    </row>
    <row r="102" spans="1:94" s="260" customFormat="1" ht="12.75" customHeight="1" x14ac:dyDescent="0.2">
      <c r="A102" s="437" t="s">
        <v>132</v>
      </c>
      <c r="B102" s="22"/>
      <c r="C102" s="22"/>
      <c r="D102" s="22"/>
      <c r="E102" s="22"/>
      <c r="F102" s="191"/>
      <c r="G102" s="22"/>
      <c r="H102" s="22"/>
      <c r="I102" s="22"/>
      <c r="J102" s="22"/>
      <c r="K102" s="191"/>
      <c r="L102" s="22"/>
      <c r="M102" s="22"/>
      <c r="N102" s="22"/>
      <c r="O102" s="22"/>
      <c r="P102" s="191"/>
      <c r="Q102" s="22"/>
      <c r="R102" s="22"/>
      <c r="S102" s="22"/>
      <c r="T102" s="22"/>
      <c r="U102" s="191"/>
      <c r="V102" s="22"/>
      <c r="W102" s="22"/>
      <c r="X102" s="22"/>
      <c r="Y102" s="22"/>
      <c r="Z102" s="191"/>
      <c r="AA102" s="22"/>
      <c r="AB102" s="22"/>
      <c r="AC102" s="22"/>
      <c r="AD102" s="22"/>
      <c r="AE102" s="191"/>
      <c r="AF102" s="22"/>
      <c r="AG102" s="22"/>
      <c r="AH102" s="22"/>
      <c r="AI102" s="22"/>
      <c r="AJ102" s="191"/>
      <c r="AK102" s="22"/>
      <c r="AL102" s="22"/>
      <c r="AM102" s="22"/>
      <c r="AN102" s="22"/>
      <c r="AO102" s="191"/>
      <c r="AP102" s="22"/>
      <c r="AQ102" s="22"/>
      <c r="AR102" s="22"/>
      <c r="AS102" s="22"/>
      <c r="AT102" s="191"/>
      <c r="AU102" s="22"/>
      <c r="AV102" s="22"/>
      <c r="AW102" s="22"/>
      <c r="AX102" s="22"/>
      <c r="AY102" s="191"/>
      <c r="AZ102" s="22"/>
      <c r="BA102" s="22"/>
      <c r="BB102" s="22"/>
      <c r="BC102" s="22"/>
      <c r="BD102" s="191"/>
      <c r="BE102" s="545"/>
      <c r="BF102" s="545"/>
      <c r="BG102" s="545"/>
      <c r="BH102" s="545"/>
      <c r="BI102" s="804"/>
      <c r="BJ102" s="22"/>
      <c r="BK102" s="22"/>
      <c r="BL102" s="545"/>
      <c r="BM102" s="545"/>
      <c r="BN102" s="804"/>
      <c r="BO102" s="22"/>
      <c r="BP102" s="22"/>
      <c r="BQ102" s="545"/>
      <c r="BR102" s="545"/>
      <c r="BS102" s="804"/>
      <c r="BT102" s="148"/>
      <c r="BU102" s="356"/>
      <c r="BV102" s="224"/>
      <c r="BW102" s="148"/>
      <c r="BX102" s="148"/>
      <c r="BY102" s="148"/>
      <c r="BZ102" s="531"/>
      <c r="CA102" s="322"/>
      <c r="CB102" s="735"/>
      <c r="CC102" s="735"/>
      <c r="CD102" s="735"/>
      <c r="CE102" s="735"/>
      <c r="CF102" s="735"/>
      <c r="CG102" s="322"/>
      <c r="CH102" s="356"/>
      <c r="CI102" s="148"/>
      <c r="CJ102"/>
      <c r="CK102"/>
      <c r="CL102"/>
      <c r="CM102"/>
      <c r="CN102"/>
      <c r="CO102"/>
      <c r="CP102" s="391"/>
    </row>
    <row r="103" spans="1:94" s="140" customFormat="1" ht="12.75" customHeight="1" x14ac:dyDescent="0.2">
      <c r="A103" s="570" t="s">
        <v>133</v>
      </c>
      <c r="B103" s="435"/>
      <c r="C103" s="435"/>
      <c r="D103" s="435"/>
      <c r="E103" s="435"/>
      <c r="F103" s="871">
        <v>42.411999999999999</v>
      </c>
      <c r="G103" s="856">
        <v>10.163</v>
      </c>
      <c r="H103" s="856">
        <v>10.913</v>
      </c>
      <c r="I103" s="856">
        <v>11.25</v>
      </c>
      <c r="J103" s="856">
        <v>10.962</v>
      </c>
      <c r="K103" s="436">
        <f>SUM(G103:J103)</f>
        <v>43.287999999999997</v>
      </c>
      <c r="L103" s="856">
        <v>10.882</v>
      </c>
      <c r="M103" s="856">
        <v>10.666</v>
      </c>
      <c r="N103" s="856">
        <v>10.666</v>
      </c>
      <c r="O103" s="856">
        <v>9.8469999999999995</v>
      </c>
      <c r="P103" s="436">
        <f>SUM(L103:O103)</f>
        <v>42.061</v>
      </c>
      <c r="Q103" s="856">
        <v>10.744</v>
      </c>
      <c r="R103" s="856">
        <v>11.868</v>
      </c>
      <c r="S103" s="856">
        <v>13.038</v>
      </c>
      <c r="T103" s="856">
        <v>12.468000000000004</v>
      </c>
      <c r="U103" s="436">
        <f>SUM(Q103:T103)</f>
        <v>48.118000000000009</v>
      </c>
      <c r="V103" s="856">
        <v>11.654999999999999</v>
      </c>
      <c r="W103" s="856">
        <v>13.007</v>
      </c>
      <c r="X103" s="856">
        <v>13.965999999999999</v>
      </c>
      <c r="Y103" s="856">
        <v>14.166</v>
      </c>
      <c r="Z103" s="436">
        <f>SUM(V103:Y103)</f>
        <v>52.793999999999997</v>
      </c>
      <c r="AA103" s="856">
        <v>15.114000000000001</v>
      </c>
      <c r="AB103" s="856">
        <v>17.065999999999999</v>
      </c>
      <c r="AC103" s="856">
        <v>19.059999999999999</v>
      </c>
      <c r="AD103" s="856">
        <v>17.128</v>
      </c>
      <c r="AE103" s="436">
        <f>SUM(AA103:AD103)</f>
        <v>68.367999999999995</v>
      </c>
      <c r="AF103" s="856">
        <v>18.056000000000001</v>
      </c>
      <c r="AG103" s="856">
        <v>21.346</v>
      </c>
      <c r="AH103" s="856">
        <v>22.106000000000002</v>
      </c>
      <c r="AI103" s="856">
        <v>22.096</v>
      </c>
      <c r="AJ103" s="436">
        <f>SUM(AF103:AI103)</f>
        <v>83.603999999999999</v>
      </c>
      <c r="AK103" s="856">
        <v>24.015999999999998</v>
      </c>
      <c r="AL103" s="856">
        <v>25.831</v>
      </c>
      <c r="AM103" s="856">
        <v>27.734999999999999</v>
      </c>
      <c r="AN103" s="856">
        <v>27.533000000000001</v>
      </c>
      <c r="AO103" s="436">
        <f>SUM(AK103:AN103)</f>
        <v>105.11499999999999</v>
      </c>
      <c r="AP103" s="856">
        <v>30.545999999999999</v>
      </c>
      <c r="AQ103" s="856">
        <v>33.363999999999997</v>
      </c>
      <c r="AR103" s="856">
        <v>34.576999999999998</v>
      </c>
      <c r="AS103" s="856">
        <v>32.590000000000003</v>
      </c>
      <c r="AT103" s="436">
        <f>SUM(AP103:AS103)</f>
        <v>131.077</v>
      </c>
      <c r="AU103" s="856">
        <v>34.807000000000002</v>
      </c>
      <c r="AV103" s="856">
        <v>39.944000000000003</v>
      </c>
      <c r="AW103" s="856">
        <v>39.344999999999999</v>
      </c>
      <c r="AX103" s="856">
        <v>37.582999999999998</v>
      </c>
      <c r="AY103" s="436">
        <f>SUM(AU103:AX103)</f>
        <v>151.679</v>
      </c>
      <c r="AZ103" s="856">
        <v>40.448</v>
      </c>
      <c r="BA103" s="856">
        <v>45.591999999999999</v>
      </c>
      <c r="BB103" s="856">
        <v>48.497999999999998</v>
      </c>
      <c r="BC103" s="856">
        <v>46.116999999999997</v>
      </c>
      <c r="BD103" s="436">
        <f>SUM(AZ103:BC103)</f>
        <v>180.65499999999997</v>
      </c>
      <c r="BE103" s="546">
        <f>(BC103/BC$97)*BE$97</f>
        <v>46.703719561448345</v>
      </c>
      <c r="BF103" s="546">
        <f t="shared" ref="BF103:BH105" si="392">(BE103/BE$97)*BF$97</f>
        <v>60.280643474477635</v>
      </c>
      <c r="BG103" s="546">
        <f t="shared" si="392"/>
        <v>55.19633860570557</v>
      </c>
      <c r="BH103" s="546">
        <f t="shared" si="392"/>
        <v>48.353674500000011</v>
      </c>
      <c r="BI103" s="805">
        <f>SUM(BE103:BH103)</f>
        <v>210.53437614163155</v>
      </c>
      <c r="BJ103" s="546"/>
      <c r="BK103" s="546"/>
      <c r="BL103" s="546"/>
      <c r="BM103" s="546"/>
      <c r="BN103" s="806">
        <f>(BI103/BI$97)*BN$97</f>
        <v>234.48266142774216</v>
      </c>
      <c r="BO103" s="546"/>
      <c r="BP103" s="546"/>
      <c r="BQ103" s="546"/>
      <c r="BR103" s="546"/>
      <c r="BS103" s="806">
        <f>(BN103/BN$97)*BS$97</f>
        <v>267.74988901780296</v>
      </c>
      <c r="BT103" s="250"/>
      <c r="BU103" s="360"/>
      <c r="BV103" s="281"/>
      <c r="BW103" s="250"/>
      <c r="BX103" s="250"/>
      <c r="BY103" s="250"/>
      <c r="BZ103" s="547"/>
      <c r="CA103" s="11"/>
      <c r="CB103" s="725"/>
      <c r="CC103" s="605"/>
      <c r="CD103" s="605"/>
      <c r="CE103" s="605"/>
      <c r="CF103" s="11"/>
      <c r="CG103" s="11"/>
      <c r="CH103" s="360"/>
      <c r="CI103" s="250"/>
      <c r="CJ103"/>
      <c r="CK103"/>
      <c r="CL103"/>
      <c r="CM103"/>
      <c r="CN103"/>
      <c r="CO103"/>
      <c r="CP103" s="11"/>
    </row>
    <row r="104" spans="1:94" s="140" customFormat="1" ht="12.75" customHeight="1" x14ac:dyDescent="0.2">
      <c r="A104" s="570" t="s">
        <v>134</v>
      </c>
      <c r="B104" s="435"/>
      <c r="C104" s="435"/>
      <c r="D104" s="435"/>
      <c r="E104" s="435"/>
      <c r="F104" s="871">
        <v>36.314999999999998</v>
      </c>
      <c r="G104" s="856">
        <v>10.404</v>
      </c>
      <c r="H104" s="856">
        <v>10.31</v>
      </c>
      <c r="I104" s="856">
        <v>9.68</v>
      </c>
      <c r="J104" s="856">
        <v>7.8360000000000003</v>
      </c>
      <c r="K104" s="436">
        <f>SUM(G104:J104)</f>
        <v>38.229999999999997</v>
      </c>
      <c r="L104" s="856">
        <v>7.7110000000000003</v>
      </c>
      <c r="M104" s="856">
        <v>8.4450000000000003</v>
      </c>
      <c r="N104" s="856">
        <v>8.1630000000000003</v>
      </c>
      <c r="O104" s="856">
        <v>9.7479999999999993</v>
      </c>
      <c r="P104" s="436">
        <f>SUM(L104:O104)</f>
        <v>34.067</v>
      </c>
      <c r="Q104" s="856">
        <v>9.2880000000000003</v>
      </c>
      <c r="R104" s="856">
        <v>10.227</v>
      </c>
      <c r="S104" s="856">
        <v>10.906000000000001</v>
      </c>
      <c r="T104" s="856">
        <v>10.758000000000004</v>
      </c>
      <c r="U104" s="436">
        <f>SUM(Q104:T104)</f>
        <v>41.179000000000002</v>
      </c>
      <c r="V104" s="856">
        <v>11.932</v>
      </c>
      <c r="W104" s="856">
        <v>13.037000000000001</v>
      </c>
      <c r="X104" s="856">
        <v>14.177</v>
      </c>
      <c r="Y104" s="856">
        <v>12.202999999999999</v>
      </c>
      <c r="Z104" s="436">
        <f>SUM(V104:Y104)</f>
        <v>51.349000000000004</v>
      </c>
      <c r="AA104" s="856">
        <v>14.201000000000001</v>
      </c>
      <c r="AB104" s="856">
        <v>14.738</v>
      </c>
      <c r="AC104" s="856">
        <v>14.62</v>
      </c>
      <c r="AD104" s="856">
        <v>13.109</v>
      </c>
      <c r="AE104" s="436">
        <f>SUM(AA104:AD104)</f>
        <v>56.667999999999999</v>
      </c>
      <c r="AF104" s="856">
        <v>15.680999999999999</v>
      </c>
      <c r="AG104" s="856">
        <v>17.277000000000001</v>
      </c>
      <c r="AH104" s="856">
        <v>17.916</v>
      </c>
      <c r="AI104" s="856">
        <v>16.606999999999999</v>
      </c>
      <c r="AJ104" s="436">
        <f>SUM(AF104:AI104)</f>
        <v>67.480999999999995</v>
      </c>
      <c r="AK104" s="856">
        <v>18.568999999999999</v>
      </c>
      <c r="AL104" s="856">
        <v>20.158999999999999</v>
      </c>
      <c r="AM104" s="856">
        <v>20.202000000000002</v>
      </c>
      <c r="AN104" s="856">
        <v>15.893000000000001</v>
      </c>
      <c r="AO104" s="436">
        <f>SUM(AK104:AN104)</f>
        <v>74.822999999999993</v>
      </c>
      <c r="AP104" s="856">
        <v>20.497</v>
      </c>
      <c r="AQ104" s="856">
        <v>22.349</v>
      </c>
      <c r="AR104" s="856">
        <v>23.074000000000002</v>
      </c>
      <c r="AS104" s="856">
        <v>20.655999999999999</v>
      </c>
      <c r="AT104" s="436">
        <f>SUM(AP104:AS104)</f>
        <v>86.575999999999993</v>
      </c>
      <c r="AU104" s="856">
        <v>22.933</v>
      </c>
      <c r="AV104" s="856">
        <v>24.692</v>
      </c>
      <c r="AW104" s="856">
        <v>25.565000000000001</v>
      </c>
      <c r="AX104" s="856">
        <v>23.437000000000001</v>
      </c>
      <c r="AY104" s="436">
        <f>SUM(AU104:AX104)</f>
        <v>96.626999999999995</v>
      </c>
      <c r="AZ104" s="856">
        <v>26.498000000000001</v>
      </c>
      <c r="BA104" s="856">
        <v>29.908000000000001</v>
      </c>
      <c r="BB104" s="856">
        <v>29.469000000000001</v>
      </c>
      <c r="BC104" s="856">
        <v>27.745000000000001</v>
      </c>
      <c r="BD104" s="436">
        <f>SUM(AZ104:BC104)</f>
        <v>113.62</v>
      </c>
      <c r="BE104" s="546">
        <f>(BC104/BC$97)*BE$97</f>
        <v>28.097983373428118</v>
      </c>
      <c r="BF104" s="546">
        <f t="shared" si="392"/>
        <v>36.266158969563982</v>
      </c>
      <c r="BG104" s="546">
        <f t="shared" si="392"/>
        <v>33.207329501383462</v>
      </c>
      <c r="BH104" s="546">
        <f t="shared" si="392"/>
        <v>29.090632500000009</v>
      </c>
      <c r="BI104" s="805">
        <f>SUM(BE104:BH104)</f>
        <v>126.66210434437558</v>
      </c>
      <c r="BJ104" s="546"/>
      <c r="BK104" s="546"/>
      <c r="BL104" s="546"/>
      <c r="BM104" s="546"/>
      <c r="BN104" s="805">
        <f>(BI104/BI$97)*BN$97</f>
        <v>141.0699187135483</v>
      </c>
      <c r="BO104" s="546"/>
      <c r="BP104" s="546"/>
      <c r="BQ104" s="546"/>
      <c r="BR104" s="546"/>
      <c r="BS104" s="805">
        <f>(BN104/BN$97)*BS$97</f>
        <v>161.08421343103291</v>
      </c>
      <c r="BT104" s="250"/>
      <c r="BU104" s="360"/>
      <c r="BV104" s="281"/>
      <c r="BW104" s="250"/>
      <c r="BX104" s="250"/>
      <c r="BY104" s="250"/>
      <c r="BZ104" s="547"/>
      <c r="CA104" s="11"/>
      <c r="CB104" s="735"/>
      <c r="CC104" s="553"/>
      <c r="CD104" s="770"/>
      <c r="CE104" s="735"/>
      <c r="CF104" s="11"/>
      <c r="CG104" s="11"/>
      <c r="CH104" s="360"/>
      <c r="CI104" s="250"/>
      <c r="CJ104"/>
      <c r="CK104"/>
      <c r="CL104"/>
      <c r="CM104"/>
      <c r="CN104"/>
      <c r="CO104"/>
      <c r="CP104" s="11"/>
    </row>
    <row r="105" spans="1:94" s="140" customFormat="1" ht="12.75" customHeight="1" x14ac:dyDescent="0.2">
      <c r="A105" s="570" t="s">
        <v>130</v>
      </c>
      <c r="B105" s="435"/>
      <c r="C105" s="435"/>
      <c r="D105" s="435"/>
      <c r="E105" s="435"/>
      <c r="F105" s="871">
        <v>106.503</v>
      </c>
      <c r="G105" s="856">
        <v>23.31</v>
      </c>
      <c r="H105" s="856">
        <v>20.858000000000001</v>
      </c>
      <c r="I105" s="856">
        <v>21.45</v>
      </c>
      <c r="J105" s="856">
        <v>18.988</v>
      </c>
      <c r="K105" s="436">
        <f>SUM(G105:J105)</f>
        <v>84.605999999999995</v>
      </c>
      <c r="L105" s="856">
        <v>18.824999999999999</v>
      </c>
      <c r="M105" s="856">
        <v>19.103000000000002</v>
      </c>
      <c r="N105" s="856">
        <v>16.504999999999999</v>
      </c>
      <c r="O105" s="856">
        <v>18.488</v>
      </c>
      <c r="P105" s="436">
        <f>SUM(L105:O105)</f>
        <v>72.920999999999992</v>
      </c>
      <c r="Q105" s="856">
        <v>19.34</v>
      </c>
      <c r="R105" s="856">
        <v>21.984999999999999</v>
      </c>
      <c r="S105" s="856">
        <v>19.783999999999999</v>
      </c>
      <c r="T105" s="856">
        <v>21.48699999999997</v>
      </c>
      <c r="U105" s="436">
        <f>SUM(Q105:T105)</f>
        <v>82.595999999999975</v>
      </c>
      <c r="V105" s="856">
        <f>20.733+0.081-0.081</f>
        <v>20.733000000000001</v>
      </c>
      <c r="W105" s="856">
        <v>21.826000000000001</v>
      </c>
      <c r="X105" s="856">
        <v>23.140999999999998</v>
      </c>
      <c r="Y105" s="856">
        <v>23.936</v>
      </c>
      <c r="Z105" s="436">
        <f>SUM(V105:Y105)</f>
        <v>89.635999999999996</v>
      </c>
      <c r="AA105" s="856">
        <v>27.023</v>
      </c>
      <c r="AB105" s="856">
        <v>32.656999999999996</v>
      </c>
      <c r="AC105" s="856">
        <v>35.253</v>
      </c>
      <c r="AD105" s="856">
        <v>32.024000000000001</v>
      </c>
      <c r="AE105" s="436">
        <f>SUM(AA105:AD105)</f>
        <v>126.95699999999999</v>
      </c>
      <c r="AF105" s="856">
        <v>34.499000000000002</v>
      </c>
      <c r="AG105" s="856">
        <v>37.415999999999997</v>
      </c>
      <c r="AH105" s="856">
        <v>38.884</v>
      </c>
      <c r="AI105" s="856">
        <v>33.786999999999999</v>
      </c>
      <c r="AJ105" s="436">
        <f>SUM(AF105:AI105)</f>
        <v>144.58599999999998</v>
      </c>
      <c r="AK105" s="856">
        <v>35.448</v>
      </c>
      <c r="AL105" s="856">
        <v>36.408000000000001</v>
      </c>
      <c r="AM105" s="856">
        <v>39.19</v>
      </c>
      <c r="AN105" s="856">
        <v>37.28</v>
      </c>
      <c r="AO105" s="436">
        <f>SUM(AK105:AN105)</f>
        <v>148.32599999999999</v>
      </c>
      <c r="AP105" s="856">
        <v>43.747</v>
      </c>
      <c r="AQ105" s="856">
        <v>58.173000000000002</v>
      </c>
      <c r="AR105" s="856">
        <v>54.151000000000003</v>
      </c>
      <c r="AS105" s="856">
        <v>50.795999999999999</v>
      </c>
      <c r="AT105" s="436">
        <f>SUM(AP105:AS105)</f>
        <v>206.86699999999999</v>
      </c>
      <c r="AU105" s="856">
        <v>64.045000000000002</v>
      </c>
      <c r="AV105" s="856">
        <v>67.510999999999996</v>
      </c>
      <c r="AW105" s="856">
        <v>66.277000000000001</v>
      </c>
      <c r="AX105" s="856">
        <v>69.358000000000004</v>
      </c>
      <c r="AY105" s="436">
        <f>SUM(AU105:AX105)</f>
        <v>267.19099999999997</v>
      </c>
      <c r="AZ105" s="856">
        <v>77.703000000000003</v>
      </c>
      <c r="BA105" s="856">
        <v>102.88500000000001</v>
      </c>
      <c r="BB105" s="856">
        <v>87.965000000000003</v>
      </c>
      <c r="BC105" s="856">
        <v>83.352999999999994</v>
      </c>
      <c r="BD105" s="436">
        <f>SUM(AZ105:BC105)</f>
        <v>351.90600000000001</v>
      </c>
      <c r="BE105" s="546">
        <f>(BC105/BC$97)*BE$97</f>
        <v>84.413451365123578</v>
      </c>
      <c r="BF105" s="546">
        <f t="shared" si="392"/>
        <v>108.95271755595842</v>
      </c>
      <c r="BG105" s="546">
        <f t="shared" si="392"/>
        <v>99.763219892910982</v>
      </c>
      <c r="BH105" s="546">
        <f t="shared" si="392"/>
        <v>87.395620500000021</v>
      </c>
      <c r="BI105" s="805">
        <f>SUM(BE105:BH105)</f>
        <v>380.525009313993</v>
      </c>
      <c r="BJ105" s="546"/>
      <c r="BK105" s="546"/>
      <c r="BL105" s="546"/>
      <c r="BM105" s="546"/>
      <c r="BN105" s="805">
        <f>(BI105/BI$97)*BN$97</f>
        <v>423.8097291234597</v>
      </c>
      <c r="BO105" s="546"/>
      <c r="BP105" s="546"/>
      <c r="BQ105" s="546"/>
      <c r="BR105" s="546"/>
      <c r="BS105" s="805">
        <f>(BN105/BN$97)*BS$97</f>
        <v>483.9377344428504</v>
      </c>
      <c r="BT105" s="250"/>
      <c r="BU105" s="360"/>
      <c r="BV105" s="281"/>
      <c r="BW105" s="250"/>
      <c r="BX105" s="250"/>
      <c r="BY105" s="250"/>
      <c r="BZ105" s="547"/>
      <c r="CA105" s="11"/>
      <c r="CB105" s="726"/>
      <c r="CC105" s="553"/>
      <c r="CD105" s="770"/>
      <c r="CE105" s="11"/>
      <c r="CF105" s="11"/>
      <c r="CG105" s="11"/>
      <c r="CH105" s="360"/>
      <c r="CI105" s="250"/>
      <c r="CJ105"/>
      <c r="CK105"/>
      <c r="CL105"/>
      <c r="CM105"/>
      <c r="CN105"/>
      <c r="CO105"/>
      <c r="CP105" s="11"/>
    </row>
    <row r="106" spans="1:94" s="140" customFormat="1" ht="12.75" customHeight="1" x14ac:dyDescent="0.2">
      <c r="A106" s="10" t="s">
        <v>135</v>
      </c>
      <c r="B106" s="11"/>
      <c r="C106" s="11"/>
      <c r="D106" s="11"/>
      <c r="E106" s="11"/>
      <c r="F106" s="12">
        <f t="shared" ref="F106:Z106" si="393">F97+F92+F86+F81+F57+F53</f>
        <v>741.44</v>
      </c>
      <c r="G106" s="11">
        <f t="shared" si="393"/>
        <v>200.81118999999998</v>
      </c>
      <c r="H106" s="11">
        <f t="shared" si="393"/>
        <v>211.86329799999999</v>
      </c>
      <c r="I106" s="11">
        <f t="shared" si="393"/>
        <v>169.92978500000001</v>
      </c>
      <c r="J106" s="11">
        <f t="shared" si="393"/>
        <v>154.26349999999999</v>
      </c>
      <c r="K106" s="12">
        <f t="shared" si="393"/>
        <v>736.86777299999994</v>
      </c>
      <c r="L106" s="11">
        <f t="shared" si="393"/>
        <v>139.21199999999999</v>
      </c>
      <c r="M106" s="11">
        <f t="shared" si="393"/>
        <v>146.35899999999998</v>
      </c>
      <c r="N106" s="11">
        <f t="shared" si="393"/>
        <v>151.65782000000002</v>
      </c>
      <c r="O106" s="11">
        <f t="shared" si="393"/>
        <v>153.23999999999998</v>
      </c>
      <c r="P106" s="12">
        <f t="shared" si="393"/>
        <v>590.46882000000005</v>
      </c>
      <c r="Q106" s="11">
        <f t="shared" si="393"/>
        <v>160.57499999999999</v>
      </c>
      <c r="R106" s="11">
        <f t="shared" si="393"/>
        <v>173.33</v>
      </c>
      <c r="S106" s="11">
        <f t="shared" si="393"/>
        <v>185.053</v>
      </c>
      <c r="T106" s="11">
        <f t="shared" si="393"/>
        <v>194.87699999999998</v>
      </c>
      <c r="U106" s="12">
        <f t="shared" si="393"/>
        <v>713.83499999999992</v>
      </c>
      <c r="V106" s="11">
        <f t="shared" si="393"/>
        <v>206.28300000000002</v>
      </c>
      <c r="W106" s="11">
        <f t="shared" si="393"/>
        <v>235.16000000000003</v>
      </c>
      <c r="X106" s="11">
        <f t="shared" si="393"/>
        <v>242.64099999999999</v>
      </c>
      <c r="Y106" s="11">
        <f t="shared" si="393"/>
        <v>236.078</v>
      </c>
      <c r="Z106" s="12">
        <f t="shared" si="393"/>
        <v>920.16200000000003</v>
      </c>
      <c r="AA106" s="11">
        <f t="shared" ref="AA106:AF106" si="394">AA97+AA92+AA86+AA81+AA57+AA53</f>
        <v>263.61599999999999</v>
      </c>
      <c r="AB106" s="11">
        <f t="shared" si="394"/>
        <v>290.005</v>
      </c>
      <c r="AC106" s="11">
        <f t="shared" si="394"/>
        <v>301.84500000000003</v>
      </c>
      <c r="AD106" s="11">
        <f t="shared" si="394"/>
        <v>296.38</v>
      </c>
      <c r="AE106" s="12">
        <f t="shared" si="394"/>
        <v>1151.846</v>
      </c>
      <c r="AF106" s="11">
        <f t="shared" si="394"/>
        <v>317.19400000000002</v>
      </c>
      <c r="AG106" s="11">
        <f t="shared" ref="AG106:AO106" si="395">AG97+AG92+AG86+AG81+AG57+AG53</f>
        <v>334.70400000000001</v>
      </c>
      <c r="AH106" s="11">
        <f t="shared" si="395"/>
        <v>363.86899999999997</v>
      </c>
      <c r="AI106" s="11">
        <f t="shared" si="395"/>
        <v>355.36200000000002</v>
      </c>
      <c r="AJ106" s="12">
        <f t="shared" si="395"/>
        <v>1371.1289999999999</v>
      </c>
      <c r="AK106" s="11">
        <f t="shared" si="395"/>
        <v>377.875</v>
      </c>
      <c r="AL106" s="11">
        <f t="shared" si="395"/>
        <v>392.99399999999997</v>
      </c>
      <c r="AM106" s="11">
        <f t="shared" si="395"/>
        <v>409.19400000000002</v>
      </c>
      <c r="AN106" s="11">
        <f t="shared" si="395"/>
        <v>378.69400000000002</v>
      </c>
      <c r="AO106" s="12">
        <f t="shared" si="395"/>
        <v>1558.7570000000001</v>
      </c>
      <c r="AP106" s="11">
        <f t="shared" ref="AP106:AT106" si="396">AP97+AP92+AP86+AP81+AP57+AP53</f>
        <v>381.38900000000001</v>
      </c>
      <c r="AQ106" s="11">
        <f t="shared" si="396"/>
        <v>434.03600000000006</v>
      </c>
      <c r="AR106" s="11">
        <f t="shared" si="396"/>
        <v>417.32600000000002</v>
      </c>
      <c r="AS106" s="11">
        <f t="shared" si="396"/>
        <v>401.19299999999998</v>
      </c>
      <c r="AT106" s="12">
        <f t="shared" si="396"/>
        <v>1633.944</v>
      </c>
      <c r="AU106" s="11">
        <f>AU97+AU92+AU86+AU81+AU57+AU53</f>
        <v>420.428</v>
      </c>
      <c r="AV106" s="11">
        <f t="shared" ref="AV106:AY106" si="397">AV97+AV92+AV86+AV81+AV57+AV53</f>
        <v>453.71699999999998</v>
      </c>
      <c r="AW106" s="11">
        <f t="shared" si="397"/>
        <v>478.33499999999998</v>
      </c>
      <c r="AX106" s="11">
        <f t="shared" si="397"/>
        <v>484.43899999999996</v>
      </c>
      <c r="AY106" s="12">
        <f t="shared" si="397"/>
        <v>1836.9189999999999</v>
      </c>
      <c r="AZ106" s="11">
        <f>AZ97+AZ92+AZ86+AZ81+AZ57+AZ53</f>
        <v>526.46</v>
      </c>
      <c r="BA106" s="11">
        <f t="shared" ref="BA106:BS106" si="398">BA97+BA92+BA86+BA81+BA57+BA53</f>
        <v>567.45299999999997</v>
      </c>
      <c r="BB106" s="11">
        <f t="shared" si="398"/>
        <v>574.75800000000004</v>
      </c>
      <c r="BC106" s="11">
        <f t="shared" si="398"/>
        <v>577.49299999999994</v>
      </c>
      <c r="BD106" s="12">
        <f t="shared" si="398"/>
        <v>2246.1639999999998</v>
      </c>
      <c r="BE106" s="11">
        <f t="shared" ref="BE106:BI106" si="399">BE97+BE92+BE86+BE81+BE57+BE53</f>
        <v>653.93091138</v>
      </c>
      <c r="BF106" s="11">
        <f t="shared" si="399"/>
        <v>750.95842426352942</v>
      </c>
      <c r="BG106" s="11">
        <f t="shared" si="399"/>
        <v>761.43440672388624</v>
      </c>
      <c r="BH106" s="11">
        <f t="shared" si="399"/>
        <v>684.5117135817809</v>
      </c>
      <c r="BI106" s="12">
        <f t="shared" si="399"/>
        <v>2850.8354559491963</v>
      </c>
      <c r="BJ106" s="11"/>
      <c r="BK106" s="11"/>
      <c r="BL106" s="11"/>
      <c r="BM106" s="11"/>
      <c r="BN106" s="12">
        <f t="shared" si="398"/>
        <v>3154.4518293078031</v>
      </c>
      <c r="BO106" s="11"/>
      <c r="BP106" s="11"/>
      <c r="BQ106" s="11"/>
      <c r="BR106" s="11"/>
      <c r="BS106" s="12">
        <f t="shared" si="398"/>
        <v>3476.3181757123302</v>
      </c>
      <c r="BT106" s="712"/>
      <c r="BU106" s="360"/>
      <c r="BV106" s="281"/>
      <c r="BW106" s="250"/>
      <c r="BX106" s="250"/>
      <c r="BY106" s="250"/>
      <c r="BZ106" s="432"/>
      <c r="CA106" s="531"/>
      <c r="CB106" s="325"/>
      <c r="CC106" s="751" t="s">
        <v>449</v>
      </c>
      <c r="CD106" s="751" t="s">
        <v>449</v>
      </c>
      <c r="CE106" s="751" t="s">
        <v>449</v>
      </c>
      <c r="CF106" s="751" t="s">
        <v>449</v>
      </c>
      <c r="CG106" s="751" t="s">
        <v>459</v>
      </c>
      <c r="CH106" s="360"/>
      <c r="CI106" s="250"/>
      <c r="CJ106"/>
      <c r="CK106"/>
      <c r="CL106"/>
      <c r="CM106"/>
      <c r="CN106"/>
      <c r="CO106"/>
      <c r="CP106" s="11"/>
    </row>
    <row r="107" spans="1:94" s="260" customFormat="1" ht="12.75" customHeight="1" x14ac:dyDescent="0.2">
      <c r="A107" s="561" t="s">
        <v>21</v>
      </c>
      <c r="B107" s="18"/>
      <c r="C107" s="18"/>
      <c r="D107" s="18"/>
      <c r="E107" s="18"/>
      <c r="F107" s="166"/>
      <c r="G107" s="18"/>
      <c r="H107" s="18"/>
      <c r="I107" s="18"/>
      <c r="J107" s="18"/>
      <c r="K107" s="166">
        <f t="shared" ref="K107:U107" si="400">K106/F106-1</f>
        <v>-6.1666850992664335E-3</v>
      </c>
      <c r="L107" s="18">
        <f t="shared" si="400"/>
        <v>-0.30675178011743265</v>
      </c>
      <c r="M107" s="18">
        <f t="shared" si="400"/>
        <v>-0.3091819046449471</v>
      </c>
      <c r="N107" s="18">
        <f t="shared" si="400"/>
        <v>-0.1075265586901083</v>
      </c>
      <c r="O107" s="18">
        <f t="shared" si="400"/>
        <v>-6.6347515776578048E-3</v>
      </c>
      <c r="P107" s="166">
        <f t="shared" si="400"/>
        <v>-0.1986773724734463</v>
      </c>
      <c r="Q107" s="18">
        <f t="shared" si="400"/>
        <v>0.15345659856908878</v>
      </c>
      <c r="R107" s="18">
        <f t="shared" si="400"/>
        <v>0.18427975047656808</v>
      </c>
      <c r="S107" s="18">
        <f t="shared" si="400"/>
        <v>0.22020084424265085</v>
      </c>
      <c r="T107" s="18">
        <f t="shared" si="400"/>
        <v>0.27171104150352399</v>
      </c>
      <c r="U107" s="166">
        <f t="shared" si="400"/>
        <v>0.20892920306952001</v>
      </c>
      <c r="V107" s="18">
        <f t="shared" ref="V107:AM107" si="401">V106/Q106-1</f>
        <v>0.28465203176085963</v>
      </c>
      <c r="W107" s="18">
        <f t="shared" si="401"/>
        <v>0.35671839843073916</v>
      </c>
      <c r="X107" s="18">
        <f t="shared" si="401"/>
        <v>0.31119733265604976</v>
      </c>
      <c r="Y107" s="18">
        <f t="shared" si="401"/>
        <v>0.21142053705670771</v>
      </c>
      <c r="Z107" s="166">
        <f t="shared" si="401"/>
        <v>0.28904018435632906</v>
      </c>
      <c r="AA107" s="18">
        <f t="shared" si="401"/>
        <v>0.27793371242419385</v>
      </c>
      <c r="AB107" s="18">
        <f t="shared" si="401"/>
        <v>0.23322418778703846</v>
      </c>
      <c r="AC107" s="18">
        <f t="shared" si="401"/>
        <v>0.24399833498872847</v>
      </c>
      <c r="AD107" s="18">
        <f t="shared" si="401"/>
        <v>0.25543252653783921</v>
      </c>
      <c r="AE107" s="166">
        <f t="shared" si="401"/>
        <v>0.25178609853482325</v>
      </c>
      <c r="AF107" s="18">
        <f t="shared" si="401"/>
        <v>0.20324259529011912</v>
      </c>
      <c r="AG107" s="18">
        <f t="shared" si="401"/>
        <v>0.15413182531335679</v>
      </c>
      <c r="AH107" s="18">
        <f>AH106/AC106-1</f>
        <v>0.20548294654541222</v>
      </c>
      <c r="AI107" s="18">
        <f t="shared" si="401"/>
        <v>0.19900803023145963</v>
      </c>
      <c r="AJ107" s="166">
        <f t="shared" si="401"/>
        <v>0.19037527586153002</v>
      </c>
      <c r="AK107" s="18">
        <f>AK106/AF106-1</f>
        <v>0.19130563629829056</v>
      </c>
      <c r="AL107" s="18">
        <f t="shared" si="401"/>
        <v>0.17415387924852999</v>
      </c>
      <c r="AM107" s="18">
        <f t="shared" si="401"/>
        <v>0.12456406014252397</v>
      </c>
      <c r="AN107" s="18">
        <f>AN106/AI106-1</f>
        <v>6.5656992025033611E-2</v>
      </c>
      <c r="AO107" s="166">
        <f>AO106/AJ106-1</f>
        <v>0.1368419747521934</v>
      </c>
      <c r="AP107" s="18">
        <f t="shared" ref="AP107:AW107" si="402">AP106/AK106-1</f>
        <v>9.299371485279595E-3</v>
      </c>
      <c r="AQ107" s="18">
        <f t="shared" si="402"/>
        <v>0.10443416438927833</v>
      </c>
      <c r="AR107" s="18">
        <f t="shared" si="402"/>
        <v>1.9873214172250853E-2</v>
      </c>
      <c r="AS107" s="18">
        <f t="shared" si="402"/>
        <v>5.9412084691069733E-2</v>
      </c>
      <c r="AT107" s="166">
        <f t="shared" si="402"/>
        <v>4.8235228454467149E-2</v>
      </c>
      <c r="AU107" s="18">
        <f t="shared" si="402"/>
        <v>0.10236005757900712</v>
      </c>
      <c r="AV107" s="18">
        <f t="shared" si="402"/>
        <v>4.5344165000138048E-2</v>
      </c>
      <c r="AW107" s="18">
        <f t="shared" si="402"/>
        <v>0.14619026851909522</v>
      </c>
      <c r="AX107" s="18">
        <f t="shared" ref="AX107" si="403">AX106/AS106-1</f>
        <v>0.20749614275423545</v>
      </c>
      <c r="AY107" s="166">
        <f t="shared" ref="AY107:BH107" si="404">AY106/AT106-1</f>
        <v>0.12422396361197197</v>
      </c>
      <c r="AZ107" s="18">
        <f t="shared" si="404"/>
        <v>0.25220013890606729</v>
      </c>
      <c r="BA107" s="18">
        <f t="shared" si="404"/>
        <v>0.25067608222746784</v>
      </c>
      <c r="BB107" s="18">
        <f t="shared" si="404"/>
        <v>0.20158048229797121</v>
      </c>
      <c r="BC107" s="18">
        <f t="shared" ref="BC107" si="405">BC106/AX106-1</f>
        <v>0.19208610371997303</v>
      </c>
      <c r="BD107" s="166">
        <f t="shared" ref="BD107" si="406">BD106/AY106-1</f>
        <v>0.22278881104719361</v>
      </c>
      <c r="BE107" s="18">
        <f t="shared" si="404"/>
        <v>0.24212838844356632</v>
      </c>
      <c r="BF107" s="18">
        <f t="shared" si="404"/>
        <v>0.32338435828787482</v>
      </c>
      <c r="BG107" s="18">
        <f t="shared" si="404"/>
        <v>0.32479131516896875</v>
      </c>
      <c r="BH107" s="18">
        <f t="shared" si="404"/>
        <v>0.18531603600698365</v>
      </c>
      <c r="BI107" s="166">
        <f>BI106/BD106-1</f>
        <v>0.26920182851706143</v>
      </c>
      <c r="BJ107" s="18"/>
      <c r="BK107" s="18"/>
      <c r="BL107" s="18"/>
      <c r="BM107" s="18"/>
      <c r="BN107" s="166">
        <f>BN106/BI106-1</f>
        <v>0.10650084091139411</v>
      </c>
      <c r="BO107" s="18"/>
      <c r="BP107" s="18"/>
      <c r="BQ107" s="18"/>
      <c r="BR107" s="18"/>
      <c r="BS107" s="166">
        <f>BS106/BN106-1</f>
        <v>0.10203558774113719</v>
      </c>
      <c r="BT107" s="148"/>
      <c r="BU107" s="356"/>
      <c r="BV107" s="224"/>
      <c r="BW107" s="148"/>
      <c r="BX107" s="148"/>
      <c r="BY107" s="148"/>
      <c r="BZ107" s="846" t="s">
        <v>511</v>
      </c>
      <c r="CA107" s="531"/>
      <c r="CB107" s="325"/>
      <c r="CC107" s="753" t="s">
        <v>497</v>
      </c>
      <c r="CD107" s="753" t="s">
        <v>498</v>
      </c>
      <c r="CE107" s="753" t="s">
        <v>499</v>
      </c>
      <c r="CF107" s="753" t="s">
        <v>500</v>
      </c>
      <c r="CG107" s="772">
        <v>2018</v>
      </c>
      <c r="CH107" s="356"/>
      <c r="CI107" s="148"/>
      <c r="CJ107"/>
      <c r="CK107"/>
      <c r="CL107"/>
      <c r="CM107"/>
      <c r="CN107"/>
      <c r="CO107"/>
      <c r="CP107" s="391"/>
    </row>
    <row r="108" spans="1:94" s="260" customFormat="1" ht="12.75" customHeight="1" x14ac:dyDescent="0.2">
      <c r="A108" s="567" t="s">
        <v>122</v>
      </c>
      <c r="B108" s="18"/>
      <c r="C108" s="18"/>
      <c r="D108" s="18"/>
      <c r="E108" s="18"/>
      <c r="F108" s="166"/>
      <c r="G108" s="30"/>
      <c r="H108" s="30">
        <f>H106/G106-1</f>
        <v>5.5037311416759271E-2</v>
      </c>
      <c r="I108" s="30">
        <f>I106/H106-1</f>
        <v>-0.19792721720021544</v>
      </c>
      <c r="J108" s="30">
        <f>J106/I106-1</f>
        <v>-9.2192695942032832E-2</v>
      </c>
      <c r="K108" s="166"/>
      <c r="L108" s="30">
        <f>L106/J106-1</f>
        <v>-9.7570066801284883E-2</v>
      </c>
      <c r="M108" s="30">
        <f>M106/L106-1</f>
        <v>5.1338965031750172E-2</v>
      </c>
      <c r="N108" s="30">
        <f>N106/M106-1</f>
        <v>3.6204264855595136E-2</v>
      </c>
      <c r="O108" s="30">
        <f>O106/N106-1</f>
        <v>1.043256457200803E-2</v>
      </c>
      <c r="P108" s="166"/>
      <c r="Q108" s="30">
        <f>Q106/O106-1</f>
        <v>4.7866092404072136E-2</v>
      </c>
      <c r="R108" s="30">
        <f>R106/Q106-1</f>
        <v>7.9433286626187316E-2</v>
      </c>
      <c r="S108" s="30">
        <f>S106/R106-1</f>
        <v>6.7633992961402933E-2</v>
      </c>
      <c r="T108" s="30">
        <f>T106/S106-1</f>
        <v>5.3087493853112289E-2</v>
      </c>
      <c r="U108" s="166"/>
      <c r="V108" s="30">
        <f>V106/T106-1</f>
        <v>5.8529226127249645E-2</v>
      </c>
      <c r="W108" s="30">
        <f>W106/V106-1</f>
        <v>0.13998729900185669</v>
      </c>
      <c r="X108" s="30">
        <f>X106/W106-1</f>
        <v>3.1812383058343219E-2</v>
      </c>
      <c r="Y108" s="30">
        <f>Y106/X106-1</f>
        <v>-2.7048190536636429E-2</v>
      </c>
      <c r="Z108" s="166"/>
      <c r="AA108" s="30">
        <f>AA106/Y106-1</f>
        <v>0.11664788756258515</v>
      </c>
      <c r="AB108" s="30">
        <f>AB106/AA106-1</f>
        <v>0.10010393906287929</v>
      </c>
      <c r="AC108" s="30">
        <f>AC106/AB106-1</f>
        <v>4.0826882295132982E-2</v>
      </c>
      <c r="AD108" s="30">
        <f>AD106/AC106-1</f>
        <v>-1.8105318955092931E-2</v>
      </c>
      <c r="AE108" s="166"/>
      <c r="AF108" s="30">
        <f>AF106/AD106-1</f>
        <v>7.0227410756461328E-2</v>
      </c>
      <c r="AG108" s="30">
        <f>AG106/AF106-1</f>
        <v>5.5202809637004524E-2</v>
      </c>
      <c r="AH108" s="30">
        <f>AH106/AG106-1</f>
        <v>8.7136693914622976E-2</v>
      </c>
      <c r="AI108" s="30">
        <f>AI106/AH106-1</f>
        <v>-2.337929309724085E-2</v>
      </c>
      <c r="AJ108" s="166"/>
      <c r="AK108" s="30">
        <f>AK106/AI106-1</f>
        <v>6.3352299908262522E-2</v>
      </c>
      <c r="AL108" s="30">
        <f>AL106/AK106-1</f>
        <v>4.001058551108172E-2</v>
      </c>
      <c r="AM108" s="30">
        <f>AM106/AL106-1</f>
        <v>4.1222003389364881E-2</v>
      </c>
      <c r="AN108" s="30">
        <f>AN106/AM106-1</f>
        <v>-7.4536772288938735E-2</v>
      </c>
      <c r="AO108" s="166"/>
      <c r="AP108" s="30">
        <f>AP106/AN106-1</f>
        <v>7.1165637691645856E-3</v>
      </c>
      <c r="AQ108" s="30">
        <f>AQ106/AP106-1</f>
        <v>0.13804016371735961</v>
      </c>
      <c r="AR108" s="30">
        <f>AR106/AQ106-1</f>
        <v>-3.8499110672847503E-2</v>
      </c>
      <c r="AS108" s="30">
        <f>AS106/AR106-1</f>
        <v>-3.8658027537225137E-2</v>
      </c>
      <c r="AT108" s="166"/>
      <c r="AU108" s="30">
        <f>AU106/AS106-1</f>
        <v>4.7944505512309554E-2</v>
      </c>
      <c r="AV108" s="30">
        <f>AV106/AU106-1</f>
        <v>7.91788368043993E-2</v>
      </c>
      <c r="AW108" s="30">
        <f>AW106/AV106-1</f>
        <v>5.4258491526656405E-2</v>
      </c>
      <c r="AX108" s="30">
        <f>AX106/AW106-1</f>
        <v>1.2760931146581278E-2</v>
      </c>
      <c r="AY108" s="166"/>
      <c r="AZ108" s="30">
        <f>AZ106/AX106-1</f>
        <v>8.6741571178208243E-2</v>
      </c>
      <c r="BA108" s="30">
        <f>BA106/AZ106-1</f>
        <v>7.786536489002005E-2</v>
      </c>
      <c r="BB108" s="30">
        <f>BB106/BA106-1</f>
        <v>1.2873312855866681E-2</v>
      </c>
      <c r="BC108" s="30">
        <f>BC106/BB106-1</f>
        <v>4.7585244572496688E-3</v>
      </c>
      <c r="BD108" s="166"/>
      <c r="BE108" s="18">
        <f>BE106/BC106-1</f>
        <v>0.13236162408895003</v>
      </c>
      <c r="BF108" s="18">
        <f t="shared" ref="BF108:BH108" si="407">BF106/BE106-1</f>
        <v>0.14837578587433775</v>
      </c>
      <c r="BG108" s="18">
        <f t="shared" si="407"/>
        <v>1.3950149731166039E-2</v>
      </c>
      <c r="BH108" s="18">
        <f t="shared" si="407"/>
        <v>-0.10102340065386528</v>
      </c>
      <c r="BI108" s="166"/>
      <c r="BJ108" s="18"/>
      <c r="BK108" s="18"/>
      <c r="BL108" s="18"/>
      <c r="BM108" s="18"/>
      <c r="BN108" s="166"/>
      <c r="BO108" s="18"/>
      <c r="BP108" s="18"/>
      <c r="BQ108" s="18"/>
      <c r="BR108" s="18"/>
      <c r="BS108" s="166"/>
      <c r="BT108" s="148"/>
      <c r="BU108" s="356"/>
      <c r="BV108" s="822">
        <f>AVERAGE(AK108,AP108,AU108,AA108,AZ108)</f>
        <v>6.4360565586106006E-2</v>
      </c>
      <c r="BW108" s="822">
        <f>AVERAGE(AL108,AQ108,AV108,AB108,BA108)</f>
        <v>8.7039777997147988E-2</v>
      </c>
      <c r="BX108" s="822">
        <f>AVERAGE(AM108,AR108,AW108,AC108,BB108)</f>
        <v>2.2136315878834689E-2</v>
      </c>
      <c r="BY108" s="822">
        <f>AVERAGE(AN108,AS108,AX108,AD108,BC108)</f>
        <v>-2.275613263548517E-2</v>
      </c>
      <c r="BZ108" s="847" t="s">
        <v>452</v>
      </c>
      <c r="CA108" s="531"/>
      <c r="CB108" s="325"/>
      <c r="CC108" s="755">
        <v>-0.03</v>
      </c>
      <c r="CD108" s="755">
        <f>+AVERAGE(-5%, -10%)</f>
        <v>-7.5000000000000011E-2</v>
      </c>
      <c r="CE108" s="755">
        <v>-0.05</v>
      </c>
      <c r="CF108" s="755">
        <f>+AVERAGE(0%, 5%)</f>
        <v>2.5000000000000001E-2</v>
      </c>
      <c r="CG108" s="755">
        <f>+AVERAGE(0%, -1%)</f>
        <v>-5.0000000000000001E-3</v>
      </c>
      <c r="CH108" s="356"/>
      <c r="CI108" s="148"/>
      <c r="CJ108"/>
      <c r="CK108"/>
      <c r="CL108"/>
      <c r="CM108"/>
      <c r="CN108"/>
      <c r="CO108"/>
      <c r="CP108" s="391"/>
    </row>
    <row r="109" spans="1:94" s="263" customFormat="1" ht="12.75" customHeight="1" x14ac:dyDescent="0.2">
      <c r="A109" s="571" t="s">
        <v>136</v>
      </c>
      <c r="B109" s="25"/>
      <c r="C109" s="25"/>
      <c r="D109" s="25"/>
      <c r="E109" s="25"/>
      <c r="F109" s="169">
        <f t="shared" ref="F109:AQ109" si="408">F106/F11*100</f>
        <v>8.7620983467070044</v>
      </c>
      <c r="G109" s="25">
        <f t="shared" si="408"/>
        <v>9.4790490702269636</v>
      </c>
      <c r="H109" s="25">
        <f t="shared" si="408"/>
        <v>9.5828368301594562</v>
      </c>
      <c r="I109" s="25">
        <f t="shared" si="408"/>
        <v>8.0285037520416189</v>
      </c>
      <c r="J109" s="25">
        <f t="shared" si="408"/>
        <v>8.493217582422421</v>
      </c>
      <c r="K109" s="169">
        <f t="shared" si="408"/>
        <v>8.918508487598567</v>
      </c>
      <c r="L109" s="25">
        <f t="shared" si="408"/>
        <v>7.7148970576744134</v>
      </c>
      <c r="M109" s="25">
        <f t="shared" si="408"/>
        <v>7.6288047203421403</v>
      </c>
      <c r="N109" s="25">
        <f t="shared" si="408"/>
        <v>7.8579588495277184</v>
      </c>
      <c r="O109" s="25">
        <f t="shared" si="408"/>
        <v>8.3637659651924547</v>
      </c>
      <c r="P109" s="169">
        <f t="shared" si="408"/>
        <v>7.8885463881041122</v>
      </c>
      <c r="Q109" s="25">
        <f t="shared" si="408"/>
        <v>8.8221671956578938</v>
      </c>
      <c r="R109" s="25">
        <f t="shared" si="408"/>
        <v>9.0984345317426865</v>
      </c>
      <c r="S109" s="25">
        <f t="shared" si="408"/>
        <v>8.4341226170742516</v>
      </c>
      <c r="T109" s="25">
        <f t="shared" si="408"/>
        <v>8.855469318016576</v>
      </c>
      <c r="U109" s="169">
        <f t="shared" si="408"/>
        <v>8.7911547929703246</v>
      </c>
      <c r="V109" s="25">
        <f t="shared" si="408"/>
        <v>9.3760865998180982</v>
      </c>
      <c r="W109" s="25">
        <f t="shared" si="408"/>
        <v>9.694752976737707</v>
      </c>
      <c r="X109" s="25">
        <f t="shared" si="408"/>
        <v>10.014230516202895</v>
      </c>
      <c r="Y109" s="25">
        <f t="shared" si="408"/>
        <v>10.247099206025387</v>
      </c>
      <c r="Z109" s="169">
        <f t="shared" si="408"/>
        <v>9.8386183964955887</v>
      </c>
      <c r="AA109" s="25">
        <f t="shared" si="408"/>
        <v>10.182100212667834</v>
      </c>
      <c r="AB109" s="25">
        <f t="shared" si="408"/>
        <v>10.258705953767285</v>
      </c>
      <c r="AC109" s="25">
        <f t="shared" si="408"/>
        <v>10.154067867368219</v>
      </c>
      <c r="AD109" s="25">
        <f t="shared" si="408"/>
        <v>10.025878253809854</v>
      </c>
      <c r="AE109" s="169">
        <f t="shared" si="408"/>
        <v>10.153136288555453</v>
      </c>
      <c r="AF109" s="25">
        <f t="shared" si="408"/>
        <v>10.143021871864221</v>
      </c>
      <c r="AG109" s="25">
        <f t="shared" si="408"/>
        <v>9.785931291128124</v>
      </c>
      <c r="AH109" s="25">
        <f t="shared" si="408"/>
        <v>10.002031363259151</v>
      </c>
      <c r="AI109" s="25">
        <f t="shared" si="408"/>
        <v>9.6671574212208355</v>
      </c>
      <c r="AJ109" s="169">
        <f t="shared" si="408"/>
        <v>9.8917107471297623</v>
      </c>
      <c r="AK109" s="25">
        <f t="shared" si="408"/>
        <v>9.9842075795691478</v>
      </c>
      <c r="AL109" s="25">
        <f t="shared" si="408"/>
        <v>9.8039993443943079</v>
      </c>
      <c r="AM109" s="25">
        <f t="shared" si="408"/>
        <v>9.8024696740631043</v>
      </c>
      <c r="AN109" s="25">
        <f t="shared" si="408"/>
        <v>8.6607901043587994</v>
      </c>
      <c r="AO109" s="169">
        <f t="shared" si="408"/>
        <v>9.5394336230370573</v>
      </c>
      <c r="AP109" s="25">
        <f t="shared" si="408"/>
        <v>8.0641079124627897</v>
      </c>
      <c r="AQ109" s="25">
        <f t="shared" si="408"/>
        <v>8.325553550640393</v>
      </c>
      <c r="AR109" s="25">
        <f t="shared" ref="AR109:AV109" si="409">AR106/AR11*100</f>
        <v>7.4549164638709167</v>
      </c>
      <c r="AS109" s="25">
        <f t="shared" si="409"/>
        <v>7.0318144325777094</v>
      </c>
      <c r="AT109" s="169">
        <f t="shared" si="409"/>
        <v>7.690539046661474</v>
      </c>
      <c r="AU109" s="25">
        <f t="shared" si="409"/>
        <v>7.0270374168164658</v>
      </c>
      <c r="AV109" s="25">
        <f t="shared" si="409"/>
        <v>7.0678826230224256</v>
      </c>
      <c r="AW109" s="25">
        <f t="shared" ref="AW109:BA109" si="410">AW106/AW11*100</f>
        <v>7.3508529930827429</v>
      </c>
      <c r="AX109" s="25">
        <f t="shared" si="410"/>
        <v>7.3566845223505828</v>
      </c>
      <c r="AY109" s="169">
        <f t="shared" si="410"/>
        <v>7.2051167135248715</v>
      </c>
      <c r="AZ109" s="25">
        <f t="shared" si="410"/>
        <v>7.6565987952993488</v>
      </c>
      <c r="BA109" s="25">
        <f t="shared" si="410"/>
        <v>7.7791066186419551</v>
      </c>
      <c r="BB109" s="25">
        <f t="shared" ref="BB109:BD109" si="411">BB106/BB11*100</f>
        <v>7.4825498560662567</v>
      </c>
      <c r="BC109" s="25">
        <f t="shared" si="411"/>
        <v>7.4601571108754259</v>
      </c>
      <c r="BD109" s="169">
        <f t="shared" si="411"/>
        <v>7.5902332927457836</v>
      </c>
      <c r="BE109" s="25">
        <f t="shared" ref="BE109:BH109" si="412">BE106/BE11*100</f>
        <v>7.7763521852527644</v>
      </c>
      <c r="BF109" s="25">
        <f t="shared" si="412"/>
        <v>8.0427718910659731</v>
      </c>
      <c r="BG109" s="25">
        <f t="shared" si="412"/>
        <v>7.8673151306630107</v>
      </c>
      <c r="BH109" s="25">
        <f t="shared" si="412"/>
        <v>7.590252235752935</v>
      </c>
      <c r="BI109" s="169">
        <f>BI106/BI11*100</f>
        <v>7.8227163824883306</v>
      </c>
      <c r="BJ109" s="25"/>
      <c r="BK109" s="25"/>
      <c r="BL109" s="25"/>
      <c r="BM109" s="25"/>
      <c r="BN109" s="169">
        <f>BN106/BN11*100</f>
        <v>7.6940820048308227</v>
      </c>
      <c r="BO109" s="25"/>
      <c r="BP109" s="25"/>
      <c r="BQ109" s="25"/>
      <c r="BR109" s="25"/>
      <c r="BS109" s="169">
        <f>BS106/BS11*100</f>
        <v>7.5370241638419948</v>
      </c>
      <c r="BT109" s="151"/>
      <c r="BU109" s="359"/>
      <c r="BV109" s="227"/>
      <c r="BW109" s="151"/>
      <c r="BX109" s="151"/>
      <c r="BY109" s="151"/>
      <c r="BZ109" s="531" t="s">
        <v>512</v>
      </c>
      <c r="CA109" s="531"/>
      <c r="CB109" s="325"/>
      <c r="CC109" s="531"/>
      <c r="CD109" s="755">
        <f>CD108+6%</f>
        <v>-1.5000000000000013E-2</v>
      </c>
      <c r="CE109" s="755">
        <f>CE108+6%</f>
        <v>9.999999999999995E-3</v>
      </c>
      <c r="CF109" s="755">
        <f>CF108+6%</f>
        <v>8.4999999999999992E-2</v>
      </c>
      <c r="CG109" s="755"/>
      <c r="CH109" s="359"/>
      <c r="CI109" s="151"/>
      <c r="CJ109"/>
      <c r="CK109"/>
      <c r="CL109"/>
      <c r="CM109"/>
      <c r="CN109"/>
      <c r="CO109"/>
      <c r="CP109" s="395"/>
    </row>
    <row r="110" spans="1:94" s="260" customFormat="1" ht="12.75" customHeight="1" x14ac:dyDescent="0.2">
      <c r="A110" s="541" t="s">
        <v>21</v>
      </c>
      <c r="B110" s="18"/>
      <c r="C110" s="18"/>
      <c r="D110" s="18"/>
      <c r="E110" s="18"/>
      <c r="F110" s="166"/>
      <c r="G110" s="18"/>
      <c r="H110" s="18"/>
      <c r="I110" s="18"/>
      <c r="J110" s="18"/>
      <c r="K110" s="166">
        <f t="shared" ref="K110:U110" si="413">K109/F109-1</f>
        <v>1.7850762991075575E-2</v>
      </c>
      <c r="L110" s="18">
        <f t="shared" si="413"/>
        <v>-0.18611065302886021</v>
      </c>
      <c r="M110" s="18">
        <f t="shared" si="413"/>
        <v>-0.2039095671197817</v>
      </c>
      <c r="N110" s="18">
        <f t="shared" si="413"/>
        <v>-2.1242426706287731E-2</v>
      </c>
      <c r="O110" s="18">
        <f t="shared" si="413"/>
        <v>-1.52417639102852E-2</v>
      </c>
      <c r="P110" s="166">
        <f t="shared" si="413"/>
        <v>-0.11548591347159065</v>
      </c>
      <c r="Q110" s="18">
        <f t="shared" si="413"/>
        <v>0.14352364389386385</v>
      </c>
      <c r="R110" s="18">
        <f t="shared" si="413"/>
        <v>0.19264221136527349</v>
      </c>
      <c r="S110" s="18">
        <f t="shared" si="413"/>
        <v>7.3322319266301728E-2</v>
      </c>
      <c r="T110" s="18">
        <f t="shared" si="413"/>
        <v>5.8789707276655889E-2</v>
      </c>
      <c r="U110" s="166">
        <f t="shared" si="413"/>
        <v>0.11442011752980763</v>
      </c>
      <c r="V110" s="18">
        <f t="shared" ref="V110:AM110" si="414">V109/Q109-1</f>
        <v>6.2787225845462702E-2</v>
      </c>
      <c r="W110" s="18">
        <f t="shared" si="414"/>
        <v>6.5540774395263401E-2</v>
      </c>
      <c r="X110" s="18">
        <f t="shared" si="414"/>
        <v>0.18734703903045391</v>
      </c>
      <c r="Y110" s="18">
        <f t="shared" si="414"/>
        <v>0.15714919650588377</v>
      </c>
      <c r="Z110" s="166">
        <f t="shared" si="414"/>
        <v>0.11914971675425945</v>
      </c>
      <c r="AA110" s="18">
        <f t="shared" si="414"/>
        <v>8.5964821705611483E-2</v>
      </c>
      <c r="AB110" s="18">
        <f t="shared" si="414"/>
        <v>5.8170948592787042E-2</v>
      </c>
      <c r="AC110" s="18">
        <f t="shared" si="414"/>
        <v>1.3963863817501476E-2</v>
      </c>
      <c r="AD110" s="18">
        <f t="shared" si="414"/>
        <v>-2.1588641601659742E-2</v>
      </c>
      <c r="AE110" s="166">
        <f t="shared" si="414"/>
        <v>3.1967688895413682E-2</v>
      </c>
      <c r="AF110" s="18">
        <f t="shared" si="414"/>
        <v>-3.8379450199276244E-3</v>
      </c>
      <c r="AG110" s="18">
        <f t="shared" si="414"/>
        <v>-4.6085214331106239E-2</v>
      </c>
      <c r="AH110" s="18">
        <f>AH109/AC109-1</f>
        <v>-1.4972965130325977E-2</v>
      </c>
      <c r="AI110" s="18">
        <f t="shared" si="414"/>
        <v>-3.5779492180917249E-2</v>
      </c>
      <c r="AJ110" s="166">
        <f t="shared" si="414"/>
        <v>-2.5748254923000258E-2</v>
      </c>
      <c r="AK110" s="18">
        <f>AK109/AF109-1</f>
        <v>-1.565749283609541E-2</v>
      </c>
      <c r="AL110" s="18">
        <f t="shared" si="414"/>
        <v>1.846329463049079E-3</v>
      </c>
      <c r="AM110" s="18">
        <f t="shared" si="414"/>
        <v>-1.9952115920082503E-2</v>
      </c>
      <c r="AN110" s="18">
        <f>AN109/AI109-1</f>
        <v>-0.1041016788092135</v>
      </c>
      <c r="AO110" s="166">
        <f>AO109/AJ109-1</f>
        <v>-3.5613366898635146E-2</v>
      </c>
      <c r="AP110" s="18">
        <f t="shared" ref="AP110:AW110" si="415">AP109/AK109-1</f>
        <v>-0.19231367655411036</v>
      </c>
      <c r="AQ110" s="18">
        <f t="shared" si="415"/>
        <v>-0.15080027464498502</v>
      </c>
      <c r="AR110" s="18">
        <f t="shared" si="415"/>
        <v>-0.23948589368286533</v>
      </c>
      <c r="AS110" s="18">
        <f t="shared" si="415"/>
        <v>-0.18808626605109158</v>
      </c>
      <c r="AT110" s="166">
        <f t="shared" si="415"/>
        <v>-0.19381596952576241</v>
      </c>
      <c r="AU110" s="18">
        <f t="shared" si="415"/>
        <v>-0.12860325120942007</v>
      </c>
      <c r="AV110" s="18">
        <f t="shared" si="415"/>
        <v>-0.15106153842722314</v>
      </c>
      <c r="AW110" s="18">
        <f t="shared" si="415"/>
        <v>-1.3959039151209995E-2</v>
      </c>
      <c r="AX110" s="18">
        <f t="shared" ref="AX110" si="416">AX109/AS109-1</f>
        <v>4.6200037399704685E-2</v>
      </c>
      <c r="AY110" s="166">
        <f t="shared" ref="AY110:BH110" si="417">AY109/AT109-1</f>
        <v>-6.3119415972190951E-2</v>
      </c>
      <c r="AZ110" s="18">
        <f t="shared" si="417"/>
        <v>8.9591294473012839E-2</v>
      </c>
      <c r="BA110" s="18">
        <f t="shared" si="417"/>
        <v>0.10062759012194666</v>
      </c>
      <c r="BB110" s="18">
        <f t="shared" si="417"/>
        <v>1.7915861343906991E-2</v>
      </c>
      <c r="BC110" s="18">
        <f t="shared" ref="BC110" si="418">BC109/AX109-1</f>
        <v>1.4065111560850552E-2</v>
      </c>
      <c r="BD110" s="166">
        <f t="shared" ref="BD110" si="419">BD109/AY109-1</f>
        <v>5.3450428984446852E-2</v>
      </c>
      <c r="BE110" s="18">
        <f t="shared" si="417"/>
        <v>1.564054656056113E-2</v>
      </c>
      <c r="BF110" s="18">
        <f t="shared" si="417"/>
        <v>3.3894029912402424E-2</v>
      </c>
      <c r="BG110" s="18">
        <f t="shared" si="417"/>
        <v>5.1421678705530605E-2</v>
      </c>
      <c r="BH110" s="18">
        <f t="shared" si="417"/>
        <v>1.7438657516723799E-2</v>
      </c>
      <c r="BI110" s="166">
        <f>BI109/BD109-1</f>
        <v>3.0629241655159456E-2</v>
      </c>
      <c r="BJ110" s="18"/>
      <c r="BK110" s="18"/>
      <c r="BL110" s="18"/>
      <c r="BM110" s="18"/>
      <c r="BN110" s="166">
        <f>BN109/BI109-1</f>
        <v>-1.6443696967649801E-2</v>
      </c>
      <c r="BO110" s="18"/>
      <c r="BP110" s="18"/>
      <c r="BQ110" s="18"/>
      <c r="BR110" s="18"/>
      <c r="BS110" s="166">
        <f>BS109/BN109-1</f>
        <v>-2.0412810896766831E-2</v>
      </c>
      <c r="BT110" s="148"/>
      <c r="BU110" s="356"/>
      <c r="BV110" s="224"/>
      <c r="BW110" s="148"/>
      <c r="BX110" s="148"/>
      <c r="BY110" s="148"/>
      <c r="BZ110" s="531"/>
      <c r="CA110" s="531"/>
      <c r="CB110" s="325"/>
      <c r="CC110" s="322"/>
      <c r="CD110" s="322"/>
      <c r="CE110" s="595"/>
      <c r="CF110" s="322"/>
      <c r="CG110" s="322"/>
      <c r="CH110" s="356"/>
      <c r="CI110" s="148"/>
      <c r="CJ110"/>
      <c r="CK110"/>
      <c r="CL110"/>
      <c r="CM110"/>
      <c r="CN110"/>
      <c r="CO110"/>
      <c r="CP110" s="391"/>
    </row>
    <row r="111" spans="1:94" s="263" customFormat="1" ht="12.75" customHeight="1" x14ac:dyDescent="0.2">
      <c r="A111" s="572" t="s">
        <v>137</v>
      </c>
      <c r="B111" s="43"/>
      <c r="C111" s="43"/>
      <c r="D111" s="43"/>
      <c r="E111" s="43"/>
      <c r="F111" s="193">
        <f t="shared" ref="F111:AQ111" si="420">(F106-F57)/F11*100</f>
        <v>5.671421311998488</v>
      </c>
      <c r="G111" s="43">
        <f t="shared" si="420"/>
        <v>5.6753115686102342</v>
      </c>
      <c r="H111" s="43">
        <f t="shared" si="420"/>
        <v>5.3719770840513785</v>
      </c>
      <c r="I111" s="43">
        <f t="shared" si="420"/>
        <v>5.17627248850859</v>
      </c>
      <c r="J111" s="43">
        <f t="shared" si="420"/>
        <v>5.4555544911287361</v>
      </c>
      <c r="K111" s="193">
        <f t="shared" si="420"/>
        <v>5.4179918232738826</v>
      </c>
      <c r="L111" s="43">
        <f t="shared" si="420"/>
        <v>5.7259884829619097</v>
      </c>
      <c r="M111" s="43">
        <f t="shared" si="420"/>
        <v>5.3661053789278625</v>
      </c>
      <c r="N111" s="43">
        <f t="shared" si="420"/>
        <v>5.1693532090839858</v>
      </c>
      <c r="O111" s="43">
        <f t="shared" si="420"/>
        <v>5.5601796539549131</v>
      </c>
      <c r="P111" s="193">
        <f t="shared" si="420"/>
        <v>5.4496368204687125</v>
      </c>
      <c r="Q111" s="43">
        <f t="shared" si="420"/>
        <v>5.8304594559402583</v>
      </c>
      <c r="R111" s="43">
        <f t="shared" si="420"/>
        <v>6.0284412034730801</v>
      </c>
      <c r="S111" s="43">
        <f t="shared" si="420"/>
        <v>5.4193087914446885</v>
      </c>
      <c r="T111" s="43">
        <f t="shared" si="420"/>
        <v>5.6208193979933112</v>
      </c>
      <c r="U111" s="193">
        <f t="shared" si="420"/>
        <v>5.7089950237212825</v>
      </c>
      <c r="V111" s="43">
        <f t="shared" si="420"/>
        <v>5.6736134815874024</v>
      </c>
      <c r="W111" s="43">
        <f t="shared" si="420"/>
        <v>5.4127938088143273</v>
      </c>
      <c r="X111" s="43">
        <f t="shared" si="420"/>
        <v>5.7430120653976413</v>
      </c>
      <c r="Y111" s="43">
        <f t="shared" si="420"/>
        <v>6.0788627047223525</v>
      </c>
      <c r="Z111" s="193">
        <f t="shared" si="420"/>
        <v>5.7237740326090636</v>
      </c>
      <c r="AA111" s="43">
        <f t="shared" si="420"/>
        <v>5.9925902293305482</v>
      </c>
      <c r="AB111" s="43">
        <f t="shared" si="420"/>
        <v>6.0452804398857261</v>
      </c>
      <c r="AC111" s="43">
        <f t="shared" si="420"/>
        <v>6.0184663453597489</v>
      </c>
      <c r="AD111" s="43">
        <f t="shared" si="420"/>
        <v>5.9258495001945093</v>
      </c>
      <c r="AE111" s="193">
        <f t="shared" si="420"/>
        <v>5.9951090951385275</v>
      </c>
      <c r="AF111" s="43">
        <f t="shared" si="420"/>
        <v>6.0408082082006551</v>
      </c>
      <c r="AG111" s="43">
        <f t="shared" si="420"/>
        <v>6.000016957790014</v>
      </c>
      <c r="AH111" s="43">
        <f t="shared" si="420"/>
        <v>5.8612114346784772</v>
      </c>
      <c r="AI111" s="43">
        <f t="shared" si="420"/>
        <v>5.7752072105010601</v>
      </c>
      <c r="AJ111" s="193">
        <f t="shared" si="420"/>
        <v>5.9131715035298757</v>
      </c>
      <c r="AK111" s="43">
        <f t="shared" si="420"/>
        <v>6.0613090455401402</v>
      </c>
      <c r="AL111" s="43">
        <f t="shared" si="420"/>
        <v>5.9525653815747352</v>
      </c>
      <c r="AM111" s="43">
        <f t="shared" si="420"/>
        <v>5.9214061336284018</v>
      </c>
      <c r="AN111" s="43">
        <f t="shared" si="420"/>
        <v>5.5759722502699249</v>
      </c>
      <c r="AO111" s="193">
        <f t="shared" si="420"/>
        <v>5.8690187637292262</v>
      </c>
      <c r="AP111" s="43">
        <f t="shared" si="420"/>
        <v>5.7228061621372239</v>
      </c>
      <c r="AQ111" s="43">
        <f t="shared" si="420"/>
        <v>5.8017006122227031</v>
      </c>
      <c r="AR111" s="43">
        <f t="shared" ref="AR111:AV111" si="421">(AR106-AR57)/AR11*100</f>
        <v>5.3860157481327695</v>
      </c>
      <c r="AS111" s="43">
        <f t="shared" si="421"/>
        <v>5.1528394688679038</v>
      </c>
      <c r="AT111" s="193">
        <f t="shared" si="421"/>
        <v>5.5003688431747921</v>
      </c>
      <c r="AU111" s="43">
        <f t="shared" si="421"/>
        <v>5.5899334866007973</v>
      </c>
      <c r="AV111" s="43">
        <f t="shared" si="421"/>
        <v>5.3046077845985753</v>
      </c>
      <c r="AW111" s="43">
        <f t="shared" ref="AW111:BA111" si="422">(AW106-AW57)/AW11*100</f>
        <v>5.478405164491539</v>
      </c>
      <c r="AX111" s="43">
        <f t="shared" si="422"/>
        <v>5.4351256139315032</v>
      </c>
      <c r="AY111" s="193">
        <f t="shared" si="422"/>
        <v>5.4496383279846299</v>
      </c>
      <c r="AZ111" s="43">
        <f t="shared" si="422"/>
        <v>5.6236719009397893</v>
      </c>
      <c r="BA111" s="43">
        <f t="shared" si="422"/>
        <v>5.8284248931192453</v>
      </c>
      <c r="BB111" s="43">
        <f t="shared" ref="BB111:BD111" si="423">(BB106-BB57)/BB11*100</f>
        <v>5.4217040005665709</v>
      </c>
      <c r="BC111" s="43">
        <f t="shared" si="423"/>
        <v>5.1968278123195484</v>
      </c>
      <c r="BD111" s="193">
        <f t="shared" si="423"/>
        <v>5.5100631001054667</v>
      </c>
      <c r="BE111" s="885">
        <f t="shared" ref="BE111:BH111" si="424">(BE106-BE57)/BE11*100</f>
        <v>5.3474718460652158</v>
      </c>
      <c r="BF111" s="885">
        <f t="shared" si="424"/>
        <v>5.5464032114795732</v>
      </c>
      <c r="BG111" s="885">
        <f t="shared" si="424"/>
        <v>5.3658126659798944</v>
      </c>
      <c r="BH111" s="885">
        <f t="shared" si="424"/>
        <v>5.1722062392899328</v>
      </c>
      <c r="BI111" s="886">
        <f>(BI106-BI57)/BI11*100</f>
        <v>5.3599391662561811</v>
      </c>
      <c r="BJ111" s="43"/>
      <c r="BK111" s="43"/>
      <c r="BL111" s="43"/>
      <c r="BM111" s="43"/>
      <c r="BN111" s="193">
        <f>(BN106-BN57)/BN11*100</f>
        <v>5.357593713291509</v>
      </c>
      <c r="BO111" s="43"/>
      <c r="BP111" s="43"/>
      <c r="BQ111" s="43"/>
      <c r="BR111" s="43"/>
      <c r="BS111" s="193">
        <f>(BS106-BS57)/BS11*100</f>
        <v>5.3256234771789925</v>
      </c>
      <c r="BT111" s="151"/>
      <c r="BU111" s="359"/>
      <c r="BV111" s="227"/>
      <c r="BW111" s="151"/>
      <c r="BX111" s="151"/>
      <c r="BY111" s="151"/>
      <c r="BZ111" s="531"/>
      <c r="CA111" s="531"/>
      <c r="CB111" s="540"/>
      <c r="CC111" s="539"/>
      <c r="CD111" s="532"/>
      <c r="CE111" s="539"/>
      <c r="CF111" s="532"/>
      <c r="CG111" s="328"/>
      <c r="CH111" s="359"/>
      <c r="CI111" s="151"/>
      <c r="CJ111"/>
      <c r="CK111"/>
      <c r="CL111"/>
      <c r="CM111"/>
      <c r="CN111"/>
      <c r="CO111"/>
      <c r="CP111" s="401"/>
    </row>
    <row r="112" spans="1:94" s="260" customFormat="1" ht="12.75" customHeight="1" x14ac:dyDescent="0.2">
      <c r="A112" s="541" t="s">
        <v>21</v>
      </c>
      <c r="B112" s="18"/>
      <c r="C112" s="18"/>
      <c r="D112" s="18"/>
      <c r="E112" s="18"/>
      <c r="F112" s="166"/>
      <c r="G112" s="18"/>
      <c r="H112" s="18"/>
      <c r="I112" s="18"/>
      <c r="J112" s="18"/>
      <c r="K112" s="166">
        <f t="shared" ref="K112:U112" si="425">K111/F111-1</f>
        <v>-4.4685357476167198E-2</v>
      </c>
      <c r="L112" s="18">
        <f t="shared" si="425"/>
        <v>8.9293625097106588E-3</v>
      </c>
      <c r="M112" s="18">
        <f t="shared" si="425"/>
        <v>-1.0930249760275901E-3</v>
      </c>
      <c r="N112" s="18">
        <f t="shared" si="425"/>
        <v>-1.3367301354333394E-3</v>
      </c>
      <c r="O112" s="18">
        <f t="shared" si="425"/>
        <v>1.9177732162020789E-2</v>
      </c>
      <c r="P112" s="166">
        <f t="shared" si="425"/>
        <v>5.8407244283562587E-3</v>
      </c>
      <c r="Q112" s="18">
        <f t="shared" si="425"/>
        <v>1.8245054681686801E-2</v>
      </c>
      <c r="R112" s="18">
        <f t="shared" si="425"/>
        <v>0.12342952248871986</v>
      </c>
      <c r="S112" s="18">
        <f t="shared" si="425"/>
        <v>4.8353357228804184E-2</v>
      </c>
      <c r="T112" s="18">
        <f t="shared" si="425"/>
        <v>1.0906076388244923E-2</v>
      </c>
      <c r="U112" s="166">
        <f t="shared" si="425"/>
        <v>4.7591832593032013E-2</v>
      </c>
      <c r="V112" s="18">
        <f t="shared" ref="V112:AM112" si="426">V111/Q111-1</f>
        <v>-2.6901134556909789E-2</v>
      </c>
      <c r="W112" s="18">
        <f t="shared" si="426"/>
        <v>-0.10212381175818197</v>
      </c>
      <c r="X112" s="18">
        <f t="shared" si="426"/>
        <v>5.9731468792473041E-2</v>
      </c>
      <c r="Y112" s="18">
        <f t="shared" si="426"/>
        <v>8.1490486403560158E-2</v>
      </c>
      <c r="Z112" s="166">
        <f t="shared" si="426"/>
        <v>2.5887233788737252E-3</v>
      </c>
      <c r="AA112" s="18">
        <f t="shared" si="426"/>
        <v>5.6221092391704586E-2</v>
      </c>
      <c r="AB112" s="18">
        <f t="shared" si="426"/>
        <v>0.11685030936176477</v>
      </c>
      <c r="AC112" s="18">
        <f t="shared" si="426"/>
        <v>4.7963381728162169E-2</v>
      </c>
      <c r="AD112" s="18">
        <f t="shared" si="426"/>
        <v>-2.5171353912792793E-2</v>
      </c>
      <c r="AE112" s="166">
        <f t="shared" si="426"/>
        <v>4.7404922169120178E-2</v>
      </c>
      <c r="AF112" s="18">
        <f t="shared" si="426"/>
        <v>8.0462666434466534E-3</v>
      </c>
      <c r="AG112" s="18">
        <f t="shared" si="426"/>
        <v>-7.4874081601030706E-3</v>
      </c>
      <c r="AH112" s="18">
        <f>AH111/AC111-1</f>
        <v>-2.612873474029076E-2</v>
      </c>
      <c r="AI112" s="18">
        <f t="shared" si="426"/>
        <v>-2.5421214239157552E-2</v>
      </c>
      <c r="AJ112" s="166">
        <f t="shared" si="426"/>
        <v>-1.3667406265399862E-2</v>
      </c>
      <c r="AK112" s="18">
        <f>AK111/AF111-1</f>
        <v>3.3937242555812652E-3</v>
      </c>
      <c r="AL112" s="18">
        <f t="shared" si="426"/>
        <v>-7.9085736838911957E-3</v>
      </c>
      <c r="AM112" s="18">
        <f t="shared" si="426"/>
        <v>1.0270009812950232E-2</v>
      </c>
      <c r="AN112" s="18">
        <f>AN111/AI111-1</f>
        <v>-3.4498322392461755E-2</v>
      </c>
      <c r="AO112" s="166">
        <f>AO111/AJ111-1</f>
        <v>-7.466845799127042E-3</v>
      </c>
      <c r="AP112" s="18">
        <f t="shared" ref="AP112:AW112" si="427">AP111/AK111-1</f>
        <v>-5.584649798577479E-2</v>
      </c>
      <c r="AQ112" s="18">
        <f t="shared" si="427"/>
        <v>-2.5344495974628178E-2</v>
      </c>
      <c r="AR112" s="18">
        <f t="shared" si="427"/>
        <v>-9.0416089255402343E-2</v>
      </c>
      <c r="AS112" s="18">
        <f t="shared" si="427"/>
        <v>-7.5885022810423419E-2</v>
      </c>
      <c r="AT112" s="166">
        <f t="shared" si="427"/>
        <v>-6.2812871349586685E-2</v>
      </c>
      <c r="AU112" s="18">
        <f t="shared" si="427"/>
        <v>-2.3218098214740968E-2</v>
      </c>
      <c r="AV112" s="18">
        <f t="shared" si="427"/>
        <v>-8.5680537630101083E-2</v>
      </c>
      <c r="AW112" s="18">
        <f t="shared" si="427"/>
        <v>1.7153573379505849E-2</v>
      </c>
      <c r="AX112" s="18">
        <f t="shared" ref="AX112" si="428">AX111/AS111-1</f>
        <v>5.4782639119479226E-2</v>
      </c>
      <c r="AY112" s="166">
        <f t="shared" ref="AY112:BH112" si="429">AY111/AT111-1</f>
        <v>-9.2231115106238271E-3</v>
      </c>
      <c r="AZ112" s="18">
        <f t="shared" si="429"/>
        <v>6.0355663300581952E-3</v>
      </c>
      <c r="BA112" s="18">
        <f t="shared" si="429"/>
        <v>9.8747566227520789E-2</v>
      </c>
      <c r="BB112" s="18">
        <f t="shared" si="429"/>
        <v>-1.0349939849735534E-2</v>
      </c>
      <c r="BC112" s="18">
        <f t="shared" ref="BC112" si="430">BC111/AX111-1</f>
        <v>-4.3844028370041976E-2</v>
      </c>
      <c r="BD112" s="166">
        <f t="shared" ref="BD112" si="431">BD111/AY111-1</f>
        <v>1.108784996071166E-2</v>
      </c>
      <c r="BE112" s="489">
        <f t="shared" si="429"/>
        <v>-4.9113828071729593E-2</v>
      </c>
      <c r="BF112" s="489">
        <f t="shared" si="429"/>
        <v>-4.8387289329680283E-2</v>
      </c>
      <c r="BG112" s="489">
        <f t="shared" si="429"/>
        <v>-1.030881335108591E-2</v>
      </c>
      <c r="BH112" s="489">
        <f t="shared" si="429"/>
        <v>-4.7378081242652748E-3</v>
      </c>
      <c r="BI112" s="490">
        <f>BI111/BD111-1</f>
        <v>-2.7245411009251819E-2</v>
      </c>
      <c r="BJ112" s="18"/>
      <c r="BK112" s="18"/>
      <c r="BL112" s="18"/>
      <c r="BM112" s="18"/>
      <c r="BN112" s="166">
        <f>BN111/BI111-1</f>
        <v>-4.3758947479066723E-4</v>
      </c>
      <c r="BO112" s="18"/>
      <c r="BP112" s="18"/>
      <c r="BQ112" s="18"/>
      <c r="BR112" s="18"/>
      <c r="BS112" s="166">
        <f>BS111/BN111-1</f>
        <v>-5.9672752028960829E-3</v>
      </c>
      <c r="BT112" s="148"/>
      <c r="BU112" s="356"/>
      <c r="BV112" s="224"/>
      <c r="BW112" s="148"/>
      <c r="BX112" s="148"/>
      <c r="BY112" s="148"/>
      <c r="BZ112" s="531" t="s">
        <v>529</v>
      </c>
      <c r="CA112" s="531"/>
      <c r="CB112" s="540"/>
      <c r="CC112" s="539"/>
      <c r="CD112" s="532"/>
      <c r="CE112" s="539"/>
      <c r="CF112" s="532"/>
      <c r="CG112" s="328"/>
      <c r="CH112" s="356"/>
      <c r="CI112" s="148"/>
      <c r="CJ112"/>
      <c r="CK112"/>
      <c r="CL112"/>
      <c r="CM112"/>
      <c r="CN112"/>
      <c r="CO112"/>
      <c r="CP112" s="391"/>
    </row>
    <row r="113" spans="1:94" s="267" customFormat="1" ht="12.75" customHeight="1" x14ac:dyDescent="0.2">
      <c r="A113" s="154" t="s">
        <v>138</v>
      </c>
      <c r="B113" s="32"/>
      <c r="C113" s="32"/>
      <c r="D113" s="32"/>
      <c r="E113" s="32"/>
      <c r="F113" s="174"/>
      <c r="G113" s="32">
        <f t="shared" ref="G113:Z113" si="432">G115-G114</f>
        <v>68.265761225978792</v>
      </c>
      <c r="H113" s="32">
        <f t="shared" si="432"/>
        <v>63.204597123711068</v>
      </c>
      <c r="I113" s="32">
        <f t="shared" si="432"/>
        <v>60.41633005535958</v>
      </c>
      <c r="J113" s="32">
        <f t="shared" si="432"/>
        <v>65.074126976308918</v>
      </c>
      <c r="K113" s="174">
        <f t="shared" si="432"/>
        <v>64.165580271299007</v>
      </c>
      <c r="L113" s="32">
        <f t="shared" si="432"/>
        <v>69.687118509176003</v>
      </c>
      <c r="M113" s="32">
        <f t="shared" si="432"/>
        <v>63.169553145469308</v>
      </c>
      <c r="N113" s="32">
        <f t="shared" si="432"/>
        <v>58.975901976385529</v>
      </c>
      <c r="O113" s="32">
        <f t="shared" si="432"/>
        <v>70.027406601368327</v>
      </c>
      <c r="P113" s="174">
        <f t="shared" si="432"/>
        <v>65.174022995998627</v>
      </c>
      <c r="Q113" s="32">
        <f t="shared" si="432"/>
        <v>69.563290782447723</v>
      </c>
      <c r="R113" s="32">
        <f t="shared" si="432"/>
        <v>71.275985680878222</v>
      </c>
      <c r="S113" s="32">
        <f t="shared" si="432"/>
        <v>62.262467416996472</v>
      </c>
      <c r="T113" s="32">
        <f t="shared" si="432"/>
        <v>64.9253715675015</v>
      </c>
      <c r="U113" s="174">
        <f t="shared" si="432"/>
        <v>66.683564144051644</v>
      </c>
      <c r="V113" s="32">
        <f t="shared" si="432"/>
        <v>67.01898276110154</v>
      </c>
      <c r="W113" s="32">
        <f>W115-W114</f>
        <v>59.679545454545455</v>
      </c>
      <c r="X113" s="32">
        <f>X115-X114</f>
        <v>60.897592997811813</v>
      </c>
      <c r="Y113" s="32">
        <f>Y115-Y114</f>
        <v>64.538248847926269</v>
      </c>
      <c r="Z113" s="174">
        <f t="shared" si="432"/>
        <v>62.849074121470863</v>
      </c>
      <c r="AA113" s="32">
        <f t="shared" ref="AA113:AK113" si="433">AA115-AA114</f>
        <v>66.048957002979989</v>
      </c>
      <c r="AB113" s="32">
        <f t="shared" si="433"/>
        <v>65.401836969001153</v>
      </c>
      <c r="AC113" s="32">
        <f t="shared" si="433"/>
        <v>63.577825159914717</v>
      </c>
      <c r="AD113" s="32">
        <f t="shared" si="433"/>
        <v>66.179448432187385</v>
      </c>
      <c r="AE113" s="174">
        <f t="shared" si="433"/>
        <v>65.252710352105922</v>
      </c>
      <c r="AF113" s="32">
        <f t="shared" si="433"/>
        <v>68.247471098265919</v>
      </c>
      <c r="AG113" s="32">
        <f t="shared" si="433"/>
        <v>65.964641594342652</v>
      </c>
      <c r="AH113" s="32">
        <f t="shared" si="433"/>
        <v>63.197391819798455</v>
      </c>
      <c r="AI113" s="32">
        <f t="shared" si="433"/>
        <v>67.160708636507451</v>
      </c>
      <c r="AJ113" s="174">
        <f t="shared" si="433"/>
        <v>66.026099565007257</v>
      </c>
      <c r="AK113" s="32">
        <f t="shared" si="433"/>
        <v>70.283088235294116</v>
      </c>
      <c r="AL113" s="32">
        <f>AL115-AL114</f>
        <v>66.85598206780611</v>
      </c>
      <c r="AM113" s="32">
        <f>AM115-AM114</f>
        <v>65.880330490405129</v>
      </c>
      <c r="AN113" s="32">
        <f>AN115-AN114</f>
        <v>65.734699379886763</v>
      </c>
      <c r="AO113" s="174">
        <f>AO115-AO114</f>
        <v>67.091506925982927</v>
      </c>
      <c r="AP113" s="32">
        <f>AP115-AP114</f>
        <v>68.004522613065333</v>
      </c>
      <c r="AQ113" s="32">
        <f t="shared" ref="AQ113:AT113" si="434">AQ115-AQ114</f>
        <v>67.00487372618521</v>
      </c>
      <c r="AR113" s="32">
        <f t="shared" si="434"/>
        <v>63.130025125628144</v>
      </c>
      <c r="AS113" s="32">
        <f t="shared" si="434"/>
        <v>63.214493211091551</v>
      </c>
      <c r="AT113" s="174">
        <f t="shared" si="434"/>
        <v>65.210549558571287</v>
      </c>
      <c r="AU113" s="32">
        <f>AU115-AU114</f>
        <v>67.047969591993848</v>
      </c>
      <c r="AV113" s="32">
        <f t="shared" ref="AV113:AY113" si="435">AV115-AV114</f>
        <v>60.739887729534871</v>
      </c>
      <c r="AW113" s="32">
        <f t="shared" si="435"/>
        <v>62.828868523087763</v>
      </c>
      <c r="AX113" s="32">
        <f t="shared" si="435"/>
        <v>66.897943925233648</v>
      </c>
      <c r="AY113" s="174">
        <f t="shared" si="435"/>
        <v>64.267625563968693</v>
      </c>
      <c r="AZ113" s="32">
        <f>AZ115-AZ114</f>
        <v>69.421543985637342</v>
      </c>
      <c r="BA113" s="32">
        <f t="shared" ref="BA113:BD113" si="436">BA115-BA114</f>
        <v>68.507734450531728</v>
      </c>
      <c r="BB113" s="32">
        <f t="shared" si="436"/>
        <v>66.031076581576031</v>
      </c>
      <c r="BC113" s="32">
        <f t="shared" si="436"/>
        <v>65.948852459016379</v>
      </c>
      <c r="BD113" s="174">
        <f t="shared" si="436"/>
        <v>67.426828764007766</v>
      </c>
      <c r="BE113" s="32">
        <f t="shared" ref="BE113:BH113" si="437">BE115-BE114</f>
        <v>68.520441685827137</v>
      </c>
      <c r="BF113" s="32">
        <f t="shared" si="437"/>
        <v>69.104400735294135</v>
      </c>
      <c r="BG113" s="32">
        <f t="shared" si="437"/>
        <v>67.56224742741945</v>
      </c>
      <c r="BH113" s="32">
        <f t="shared" si="437"/>
        <v>68.393128226952186</v>
      </c>
      <c r="BI113" s="174">
        <f>BI115-BI114</f>
        <v>68.385395717657389</v>
      </c>
      <c r="BJ113" s="32"/>
      <c r="BK113" s="32"/>
      <c r="BL113" s="32"/>
      <c r="BM113" s="32"/>
      <c r="BN113" s="174">
        <f>BN115-BN114</f>
        <v>68.355470988261942</v>
      </c>
      <c r="BO113" s="32"/>
      <c r="BP113" s="32"/>
      <c r="BQ113" s="32"/>
      <c r="BR113" s="32"/>
      <c r="BS113" s="174">
        <f>BS115-BS114</f>
        <v>67.947575081251415</v>
      </c>
      <c r="BT113" s="154"/>
      <c r="BU113" s="363"/>
      <c r="BV113" s="228"/>
      <c r="BW113" s="154"/>
      <c r="BX113" s="154"/>
      <c r="BY113" s="154"/>
      <c r="BZ113" s="531"/>
      <c r="CA113" s="531"/>
      <c r="CB113" s="540"/>
      <c r="CC113" s="539"/>
      <c r="CD113" s="532"/>
      <c r="CE113" s="539"/>
      <c r="CF113" s="532"/>
      <c r="CG113" s="328"/>
      <c r="CH113" s="363"/>
      <c r="CI113" s="154"/>
      <c r="CJ113"/>
      <c r="CK113"/>
      <c r="CL113"/>
      <c r="CM113"/>
      <c r="CN113"/>
      <c r="CO113"/>
      <c r="CP113" s="402"/>
    </row>
    <row r="114" spans="1:94" s="267" customFormat="1" ht="12.75" customHeight="1" x14ac:dyDescent="0.2">
      <c r="A114" s="154" t="s">
        <v>139</v>
      </c>
      <c r="B114" s="32"/>
      <c r="C114" s="32"/>
      <c r="D114" s="32"/>
      <c r="E114" s="32"/>
      <c r="F114" s="174"/>
      <c r="G114" s="32">
        <f>G80</f>
        <v>45.753441535766711</v>
      </c>
      <c r="H114" s="32">
        <f t="shared" ref="H114:P114" si="438">H80</f>
        <v>49.543341237877101</v>
      </c>
      <c r="I114" s="32">
        <f t="shared" si="438"/>
        <v>33.290624825950133</v>
      </c>
      <c r="J114" s="32">
        <f t="shared" si="438"/>
        <v>36.233397363279643</v>
      </c>
      <c r="K114" s="174">
        <f t="shared" si="438"/>
        <v>41.456814691171061</v>
      </c>
      <c r="L114" s="32">
        <f t="shared" si="438"/>
        <v>24.205656012464004</v>
      </c>
      <c r="M114" s="32">
        <f t="shared" si="438"/>
        <v>26.636395710932828</v>
      </c>
      <c r="N114" s="32">
        <f t="shared" si="438"/>
        <v>30.673652252147875</v>
      </c>
      <c r="O114" s="32">
        <f t="shared" si="438"/>
        <v>35.309628605150408</v>
      </c>
      <c r="P114" s="174">
        <f t="shared" si="438"/>
        <v>29.167732361394179</v>
      </c>
      <c r="Q114" s="32">
        <f t="shared" ref="Q114:Z114" si="439">Q80</f>
        <v>35.694105585803378</v>
      </c>
      <c r="R114" s="32">
        <f t="shared" si="439"/>
        <v>36.297409748323062</v>
      </c>
      <c r="S114" s="32">
        <f t="shared" si="439"/>
        <v>34.637212015470183</v>
      </c>
      <c r="T114" s="32">
        <f t="shared" si="439"/>
        <v>37.363030739481786</v>
      </c>
      <c r="U114" s="174">
        <f t="shared" si="439"/>
        <v>36.000977023266735</v>
      </c>
      <c r="V114" s="32">
        <f t="shared" si="439"/>
        <v>43.735087504536843</v>
      </c>
      <c r="W114" s="32">
        <f t="shared" si="439"/>
        <v>47.211363636363636</v>
      </c>
      <c r="X114" s="32">
        <f>X80</f>
        <v>45.29102844638949</v>
      </c>
      <c r="Y114" s="32">
        <f>Y80</f>
        <v>44.253456221198157</v>
      </c>
      <c r="Z114" s="174">
        <f t="shared" si="439"/>
        <v>45.182454260224688</v>
      </c>
      <c r="AA114" s="32">
        <f t="shared" ref="AA114:AH114" si="440">AA80</f>
        <v>46.175819497658573</v>
      </c>
      <c r="AB114" s="32">
        <f t="shared" si="440"/>
        <v>45.583620359739761</v>
      </c>
      <c r="AC114" s="32">
        <f t="shared" si="440"/>
        <v>43.687633262260128</v>
      </c>
      <c r="AD114" s="32">
        <f>AD80</f>
        <v>45.788817529278433</v>
      </c>
      <c r="AE114" s="174">
        <f>AE80</f>
        <v>45.257315552144291</v>
      </c>
      <c r="AF114" s="32">
        <f>AF80</f>
        <v>46.345736994219656</v>
      </c>
      <c r="AG114" s="32">
        <f>AG80</f>
        <v>41.622629379620697</v>
      </c>
      <c r="AH114" s="32">
        <f t="shared" si="440"/>
        <v>44.647599288678123</v>
      </c>
      <c r="AI114" s="32">
        <f t="shared" ref="AI114:AO114" si="441">AI80</f>
        <v>45.26004428978171</v>
      </c>
      <c r="AJ114" s="174">
        <f t="shared" si="441"/>
        <v>44.42411793136781</v>
      </c>
      <c r="AK114" s="32">
        <f t="shared" si="441"/>
        <v>45.4874387254902</v>
      </c>
      <c r="AL114" s="32">
        <f t="shared" si="441"/>
        <v>43.25721490613617</v>
      </c>
      <c r="AM114" s="32">
        <f t="shared" si="441"/>
        <v>43.17990405117272</v>
      </c>
      <c r="AN114" s="32">
        <f t="shared" si="441"/>
        <v>36.366675653815051</v>
      </c>
      <c r="AO114" s="174">
        <f t="shared" si="441"/>
        <v>41.95823422414999</v>
      </c>
      <c r="AP114" s="32">
        <f t="shared" ref="AP114:AT114" si="442">AP80</f>
        <v>27.821859296482412</v>
      </c>
      <c r="AQ114" s="32">
        <f t="shared" si="442"/>
        <v>29.148427115640228</v>
      </c>
      <c r="AR114" s="32">
        <f t="shared" si="442"/>
        <v>24.249790619765498</v>
      </c>
      <c r="AS114" s="32">
        <f t="shared" si="442"/>
        <v>23.05106743667692</v>
      </c>
      <c r="AT114" s="174">
        <f t="shared" si="442"/>
        <v>25.96593186171458</v>
      </c>
      <c r="AU114" s="32">
        <f>AU80</f>
        <v>17.237217731588402</v>
      </c>
      <c r="AV114" s="32">
        <f t="shared" ref="AV114:AY114" si="443">AV80</f>
        <v>20.190204454537881</v>
      </c>
      <c r="AW114" s="32">
        <f t="shared" si="443"/>
        <v>21.474092351075075</v>
      </c>
      <c r="AX114" s="32">
        <f t="shared" si="443"/>
        <v>23.651401869158878</v>
      </c>
      <c r="AY114" s="174">
        <f t="shared" si="443"/>
        <v>20.702369731252155</v>
      </c>
      <c r="AZ114" s="32">
        <f>AZ80</f>
        <v>25.095511669658887</v>
      </c>
      <c r="BA114" s="32">
        <f t="shared" ref="BA114:BD114" si="444">BA80</f>
        <v>22.928456332581373</v>
      </c>
      <c r="BB114" s="32">
        <f t="shared" si="444"/>
        <v>25.099096242270495</v>
      </c>
      <c r="BC114" s="32">
        <f t="shared" si="444"/>
        <v>28.722131147540988</v>
      </c>
      <c r="BD114" s="174">
        <f t="shared" si="444"/>
        <v>25.455113095976515</v>
      </c>
      <c r="BE114" s="32">
        <f t="shared" ref="BE114:BH114" si="445">BE80</f>
        <v>31.12273583368442</v>
      </c>
      <c r="BF114" s="32">
        <f t="shared" si="445"/>
        <v>31.103050939413468</v>
      </c>
      <c r="BG114" s="32">
        <f t="shared" si="445"/>
        <v>31.497023653239406</v>
      </c>
      <c r="BH114" s="32">
        <f t="shared" si="445"/>
        <v>31.974310815081964</v>
      </c>
      <c r="BI114" s="174">
        <f>BI80</f>
        <v>31.421624252146689</v>
      </c>
      <c r="BJ114" s="32"/>
      <c r="BK114" s="32"/>
      <c r="BL114" s="32"/>
      <c r="BM114" s="32"/>
      <c r="BN114" s="174">
        <f>BN80</f>
        <v>29.810352589914515</v>
      </c>
      <c r="BO114" s="32"/>
      <c r="BP114" s="32"/>
      <c r="BQ114" s="32"/>
      <c r="BR114" s="32"/>
      <c r="BS114" s="174">
        <f>BS80</f>
        <v>28.214408103698368</v>
      </c>
      <c r="BT114" s="154"/>
      <c r="BU114" s="363"/>
      <c r="BV114" s="228"/>
      <c r="BW114" s="154"/>
      <c r="BX114" s="154"/>
      <c r="BY114" s="154"/>
      <c r="BZ114" s="531"/>
      <c r="CA114" s="531"/>
      <c r="CB114" s="540"/>
      <c r="CC114" s="539"/>
      <c r="CD114" s="532"/>
      <c r="CE114" s="539"/>
      <c r="CF114" s="532"/>
      <c r="CG114" s="328"/>
      <c r="CH114" s="363"/>
      <c r="CI114" s="154"/>
      <c r="CJ114"/>
      <c r="CK114"/>
      <c r="CL114"/>
      <c r="CM114"/>
      <c r="CN114"/>
      <c r="CO114"/>
      <c r="CP114" s="402"/>
    </row>
    <row r="115" spans="1:94" s="267" customFormat="1" ht="12.75" customHeight="1" x14ac:dyDescent="0.2">
      <c r="A115" s="566" t="s">
        <v>140</v>
      </c>
      <c r="B115" s="32"/>
      <c r="C115" s="32"/>
      <c r="D115" s="32"/>
      <c r="E115" s="32"/>
      <c r="F115" s="174"/>
      <c r="G115" s="32">
        <f t="shared" ref="G115:AQ115" si="446">G106/G5</f>
        <v>114.0192027617455</v>
      </c>
      <c r="H115" s="32">
        <f t="shared" si="446"/>
        <v>112.74793836158817</v>
      </c>
      <c r="I115" s="32">
        <f t="shared" si="446"/>
        <v>93.706954881309713</v>
      </c>
      <c r="J115" s="32">
        <f t="shared" si="446"/>
        <v>101.30752433958855</v>
      </c>
      <c r="K115" s="174">
        <f t="shared" si="446"/>
        <v>105.62239496247007</v>
      </c>
      <c r="L115" s="32">
        <f t="shared" si="446"/>
        <v>93.892774521640007</v>
      </c>
      <c r="M115" s="32">
        <f t="shared" si="446"/>
        <v>89.805948856402139</v>
      </c>
      <c r="N115" s="32">
        <f t="shared" si="446"/>
        <v>89.649554228533404</v>
      </c>
      <c r="O115" s="32">
        <f t="shared" si="446"/>
        <v>105.33703520651873</v>
      </c>
      <c r="P115" s="174">
        <f t="shared" si="446"/>
        <v>94.341755357392799</v>
      </c>
      <c r="Q115" s="32">
        <f t="shared" si="446"/>
        <v>105.25739636825109</v>
      </c>
      <c r="R115" s="32">
        <f t="shared" si="446"/>
        <v>107.57339542920128</v>
      </c>
      <c r="S115" s="32">
        <f t="shared" si="446"/>
        <v>96.899679432466655</v>
      </c>
      <c r="T115" s="32">
        <f t="shared" si="446"/>
        <v>102.28840230698329</v>
      </c>
      <c r="U115" s="174">
        <f t="shared" si="446"/>
        <v>102.68454116731839</v>
      </c>
      <c r="V115" s="32">
        <f t="shared" si="446"/>
        <v>110.75407026563839</v>
      </c>
      <c r="W115" s="32">
        <f t="shared" si="446"/>
        <v>106.89090909090909</v>
      </c>
      <c r="X115" s="32">
        <f t="shared" si="446"/>
        <v>106.1886214442013</v>
      </c>
      <c r="Y115" s="32">
        <f t="shared" si="446"/>
        <v>108.79170506912443</v>
      </c>
      <c r="Z115" s="174">
        <f t="shared" si="446"/>
        <v>108.03152838169555</v>
      </c>
      <c r="AA115" s="32">
        <f t="shared" si="446"/>
        <v>112.22477650063855</v>
      </c>
      <c r="AB115" s="32">
        <f t="shared" si="446"/>
        <v>110.98545732874091</v>
      </c>
      <c r="AC115" s="32">
        <f t="shared" si="446"/>
        <v>107.26545842217485</v>
      </c>
      <c r="AD115" s="32">
        <f t="shared" si="446"/>
        <v>111.96826596146582</v>
      </c>
      <c r="AE115" s="174">
        <f t="shared" si="446"/>
        <v>110.51002590425021</v>
      </c>
      <c r="AF115" s="32">
        <f t="shared" si="446"/>
        <v>114.59320809248557</v>
      </c>
      <c r="AG115" s="32">
        <f t="shared" si="446"/>
        <v>107.58727097396336</v>
      </c>
      <c r="AH115" s="32">
        <f t="shared" si="446"/>
        <v>107.84499110847658</v>
      </c>
      <c r="AI115" s="32">
        <f t="shared" si="446"/>
        <v>112.42075292628915</v>
      </c>
      <c r="AJ115" s="174">
        <f t="shared" si="446"/>
        <v>110.45021749637506</v>
      </c>
      <c r="AK115" s="32">
        <f t="shared" si="446"/>
        <v>115.77052696078432</v>
      </c>
      <c r="AL115" s="32">
        <f t="shared" si="446"/>
        <v>110.11319697394228</v>
      </c>
      <c r="AM115" s="32">
        <f t="shared" si="446"/>
        <v>109.06023454157784</v>
      </c>
      <c r="AN115" s="32">
        <f t="shared" si="446"/>
        <v>102.10137503370181</v>
      </c>
      <c r="AO115" s="174">
        <f t="shared" si="446"/>
        <v>109.04974115013292</v>
      </c>
      <c r="AP115" s="32">
        <f t="shared" si="446"/>
        <v>95.826381909547749</v>
      </c>
      <c r="AQ115" s="32">
        <f t="shared" si="446"/>
        <v>96.153300841825441</v>
      </c>
      <c r="AR115" s="32">
        <f t="shared" ref="AR115:AV115" si="447">AR106/AR5</f>
        <v>87.379815745393643</v>
      </c>
      <c r="AS115" s="32">
        <f t="shared" si="447"/>
        <v>86.265560647768467</v>
      </c>
      <c r="AT115" s="174">
        <f t="shared" si="447"/>
        <v>91.176481420285867</v>
      </c>
      <c r="AU115" s="32">
        <f t="shared" si="447"/>
        <v>84.28518732358225</v>
      </c>
      <c r="AV115" s="32">
        <f t="shared" si="447"/>
        <v>80.930092184072748</v>
      </c>
      <c r="AW115" s="32">
        <f t="shared" ref="AW115:BA115" si="448">AW106/AW5</f>
        <v>84.302960874162835</v>
      </c>
      <c r="AX115" s="32">
        <f t="shared" si="448"/>
        <v>90.549345794392522</v>
      </c>
      <c r="AY115" s="174">
        <f t="shared" si="448"/>
        <v>84.969995295220841</v>
      </c>
      <c r="AZ115" s="32">
        <f t="shared" si="448"/>
        <v>94.517055655296232</v>
      </c>
      <c r="BA115" s="32">
        <f t="shared" si="448"/>
        <v>91.436190783113105</v>
      </c>
      <c r="BB115" s="32">
        <f t="shared" ref="BB115:BD115" si="449">BB106/BB5</f>
        <v>91.130172823846522</v>
      </c>
      <c r="BC115" s="32">
        <f t="shared" si="449"/>
        <v>94.670983606557371</v>
      </c>
      <c r="BD115" s="174">
        <f t="shared" si="449"/>
        <v>92.881941859984281</v>
      </c>
      <c r="BE115" s="32">
        <f t="shared" ref="BE115:BH115" si="450">BE106/BE5</f>
        <v>99.643177519511553</v>
      </c>
      <c r="BF115" s="32">
        <f t="shared" si="450"/>
        <v>100.2074516747076</v>
      </c>
      <c r="BG115" s="32">
        <f t="shared" si="450"/>
        <v>99.05927108065886</v>
      </c>
      <c r="BH115" s="32">
        <f t="shared" si="450"/>
        <v>100.36743904203415</v>
      </c>
      <c r="BI115" s="174">
        <f>BI106/BI5</f>
        <v>99.807019969804074</v>
      </c>
      <c r="BJ115" s="32"/>
      <c r="BK115" s="32"/>
      <c r="BL115" s="32"/>
      <c r="BM115" s="32"/>
      <c r="BN115" s="174">
        <f>BN106/BN5</f>
        <v>98.165823578176457</v>
      </c>
      <c r="BO115" s="32"/>
      <c r="BP115" s="32"/>
      <c r="BQ115" s="32"/>
      <c r="BR115" s="32"/>
      <c r="BS115" s="174">
        <f>BS106/BS5</f>
        <v>96.161983184949776</v>
      </c>
      <c r="BT115" s="154"/>
      <c r="BU115" s="363"/>
      <c r="BV115" s="228"/>
      <c r="BW115" s="154"/>
      <c r="BX115" s="154"/>
      <c r="BY115" s="154"/>
      <c r="BZ115" s="531"/>
      <c r="CA115" s="531"/>
      <c r="CB115" s="540"/>
      <c r="CC115" s="539"/>
      <c r="CD115" s="532"/>
      <c r="CE115" s="539"/>
      <c r="CF115" s="532"/>
      <c r="CG115" s="328"/>
      <c r="CH115" s="363"/>
      <c r="CI115" s="154"/>
      <c r="CJ115"/>
      <c r="CK115"/>
      <c r="CL115"/>
      <c r="CM115"/>
      <c r="CN115"/>
      <c r="CO115"/>
      <c r="CP115" s="402"/>
    </row>
    <row r="116" spans="1:94" s="254" customFormat="1" ht="12.75" customHeight="1" x14ac:dyDescent="0.2">
      <c r="A116" s="9" t="s">
        <v>141</v>
      </c>
      <c r="B116" s="9"/>
      <c r="C116" s="9"/>
      <c r="D116" s="9"/>
      <c r="E116" s="9"/>
      <c r="F116" s="165"/>
      <c r="G116" s="9"/>
      <c r="H116" s="9"/>
      <c r="I116" s="9"/>
      <c r="J116" s="9"/>
      <c r="K116" s="165"/>
      <c r="L116" s="9"/>
      <c r="M116" s="9"/>
      <c r="N116" s="9"/>
      <c r="O116" s="9"/>
      <c r="P116" s="165"/>
      <c r="Q116" s="9"/>
      <c r="R116" s="9"/>
      <c r="S116" s="9"/>
      <c r="T116" s="9"/>
      <c r="U116" s="165"/>
      <c r="V116" s="9"/>
      <c r="W116" s="9"/>
      <c r="X116" s="9"/>
      <c r="Y116" s="9"/>
      <c r="Z116" s="165"/>
      <c r="AA116" s="9"/>
      <c r="AB116" s="9"/>
      <c r="AC116" s="9"/>
      <c r="AD116" s="9"/>
      <c r="AE116" s="165"/>
      <c r="AF116" s="9"/>
      <c r="AG116" s="9"/>
      <c r="AH116" s="9"/>
      <c r="AI116" s="9"/>
      <c r="AJ116" s="165"/>
      <c r="AK116" s="9"/>
      <c r="AL116" s="9"/>
      <c r="AM116" s="9"/>
      <c r="AN116" s="9"/>
      <c r="AO116" s="165"/>
      <c r="AP116" s="9"/>
      <c r="AQ116" s="9"/>
      <c r="AR116" s="9"/>
      <c r="AS116" s="9"/>
      <c r="AT116" s="165"/>
      <c r="AU116" s="9"/>
      <c r="AV116" s="9"/>
      <c r="AW116" s="9"/>
      <c r="AX116" s="9"/>
      <c r="AY116" s="165"/>
      <c r="AZ116" s="9"/>
      <c r="BA116" s="9"/>
      <c r="BB116" s="9"/>
      <c r="BC116" s="9"/>
      <c r="BD116" s="165"/>
      <c r="BE116" s="9"/>
      <c r="BF116" s="9"/>
      <c r="BG116" s="9"/>
      <c r="BH116" s="9"/>
      <c r="BI116" s="165"/>
      <c r="BJ116" s="9"/>
      <c r="BK116" s="9"/>
      <c r="BL116" s="9"/>
      <c r="BM116" s="9"/>
      <c r="BN116" s="165"/>
      <c r="BO116" s="9"/>
      <c r="BP116" s="9"/>
      <c r="BQ116" s="9"/>
      <c r="BR116" s="9"/>
      <c r="BS116" s="165"/>
      <c r="BT116" s="249"/>
      <c r="BU116" s="8"/>
      <c r="BV116" s="280"/>
      <c r="BW116" s="249"/>
      <c r="BX116" s="249"/>
      <c r="BY116" s="249"/>
      <c r="BZ116" s="432"/>
      <c r="CA116" s="548"/>
      <c r="CB116" s="328"/>
      <c r="CC116" s="539"/>
      <c r="CD116" s="532"/>
      <c r="CE116" s="539"/>
      <c r="CF116" s="532"/>
      <c r="CG116" s="320"/>
      <c r="CH116" s="8"/>
      <c r="CI116" s="249"/>
      <c r="CJ116"/>
      <c r="CK116"/>
      <c r="CL116"/>
      <c r="CM116"/>
      <c r="CN116"/>
      <c r="CO116"/>
      <c r="CP116" s="320"/>
    </row>
    <row r="117" spans="1:94" s="521" customFormat="1" ht="12.75" customHeight="1" x14ac:dyDescent="0.2">
      <c r="A117" s="92" t="s">
        <v>142</v>
      </c>
      <c r="B117" s="314"/>
      <c r="C117" s="314"/>
      <c r="D117" s="314"/>
      <c r="E117" s="314"/>
      <c r="F117" s="522">
        <f t="shared" ref="F117:P117" si="451">F43</f>
        <v>762.55600000000004</v>
      </c>
      <c r="G117" s="314">
        <f t="shared" si="451"/>
        <v>204.07900000000001</v>
      </c>
      <c r="H117" s="314">
        <f t="shared" si="451"/>
        <v>205.21600000000001</v>
      </c>
      <c r="I117" s="314">
        <f t="shared" si="451"/>
        <v>203.23700000000002</v>
      </c>
      <c r="J117" s="314">
        <f t="shared" si="451"/>
        <v>176.304</v>
      </c>
      <c r="K117" s="522">
        <f t="shared" si="451"/>
        <v>788.83600000000001</v>
      </c>
      <c r="L117" s="314">
        <f t="shared" si="451"/>
        <v>170.02799999999999</v>
      </c>
      <c r="M117" s="314">
        <f t="shared" si="451"/>
        <v>180.40700000000001</v>
      </c>
      <c r="N117" s="314">
        <f t="shared" si="451"/>
        <v>178.60799999999998</v>
      </c>
      <c r="O117" s="314">
        <f t="shared" si="451"/>
        <v>170.99299999999999</v>
      </c>
      <c r="P117" s="522">
        <f t="shared" si="451"/>
        <v>700.03599999999994</v>
      </c>
      <c r="Q117" s="314">
        <f t="shared" ref="Q117:Z117" si="452">Q43</f>
        <v>184.05099999999999</v>
      </c>
      <c r="R117" s="314">
        <f t="shared" si="452"/>
        <v>177.35900000000001</v>
      </c>
      <c r="S117" s="314">
        <f t="shared" si="452"/>
        <v>203.655</v>
      </c>
      <c r="T117" s="314">
        <f t="shared" si="452"/>
        <v>216.20000000000002</v>
      </c>
      <c r="U117" s="522">
        <f t="shared" si="452"/>
        <v>781.2650000000001</v>
      </c>
      <c r="V117" s="314">
        <f t="shared" si="452"/>
        <v>232.66200000000001</v>
      </c>
      <c r="W117" s="314">
        <f t="shared" si="452"/>
        <v>275.89100000000002</v>
      </c>
      <c r="X117" s="314">
        <f>X43</f>
        <v>288.714</v>
      </c>
      <c r="Y117" s="314">
        <f>Y43</f>
        <v>273.91899999999998</v>
      </c>
      <c r="Z117" s="522">
        <f t="shared" si="452"/>
        <v>1071.1859999999999</v>
      </c>
      <c r="AA117" s="314">
        <f t="shared" ref="AA117:AJ117" si="453">AA43</f>
        <v>301.495</v>
      </c>
      <c r="AB117" s="314">
        <f t="shared" si="453"/>
        <v>346.30799999999999</v>
      </c>
      <c r="AC117" s="314">
        <f t="shared" si="453"/>
        <v>342.31700000000001</v>
      </c>
      <c r="AD117" s="314">
        <f t="shared" si="453"/>
        <v>328.26800000000003</v>
      </c>
      <c r="AE117" s="522">
        <f t="shared" si="453"/>
        <v>1318.3879999999999</v>
      </c>
      <c r="AF117" s="314">
        <f t="shared" si="453"/>
        <v>370.43700000000001</v>
      </c>
      <c r="AG117" s="314">
        <f t="shared" si="453"/>
        <v>407.339</v>
      </c>
      <c r="AH117" s="314">
        <f t="shared" si="453"/>
        <v>456.625</v>
      </c>
      <c r="AI117" s="314">
        <f t="shared" si="453"/>
        <v>419.98399999999998</v>
      </c>
      <c r="AJ117" s="522">
        <f t="shared" si="453"/>
        <v>1654.385</v>
      </c>
      <c r="AK117" s="314">
        <f>AK43</f>
        <v>437.98699999999997</v>
      </c>
      <c r="AL117" s="314">
        <f>AL43</f>
        <v>499.33699999999999</v>
      </c>
      <c r="AM117" s="314">
        <f>AM43</f>
        <v>519.76900000000001</v>
      </c>
      <c r="AN117" s="314">
        <f>AN43</f>
        <v>474.48700000000002</v>
      </c>
      <c r="AO117" s="522">
        <f>AO43</f>
        <v>1931.58</v>
      </c>
      <c r="AP117" s="314">
        <f t="shared" ref="AP117:AT117" si="454">AP43</f>
        <v>493.35500000000002</v>
      </c>
      <c r="AQ117" s="314">
        <f t="shared" si="454"/>
        <v>553.42100000000005</v>
      </c>
      <c r="AR117" s="314">
        <f t="shared" si="454"/>
        <v>574.84100000000001</v>
      </c>
      <c r="AS117" s="314">
        <f t="shared" si="454"/>
        <v>519.846</v>
      </c>
      <c r="AT117" s="522">
        <f t="shared" si="454"/>
        <v>2141.4630000000002</v>
      </c>
      <c r="AU117" s="314">
        <f>AU43</f>
        <v>538.14300000000003</v>
      </c>
      <c r="AV117" s="314">
        <f t="shared" ref="AV117:AY117" si="455">AV43</f>
        <v>584.13300000000004</v>
      </c>
      <c r="AW117" s="314">
        <f t="shared" si="455"/>
        <v>621.32899999999995</v>
      </c>
      <c r="AX117" s="314">
        <f t="shared" si="455"/>
        <v>578.351</v>
      </c>
      <c r="AY117" s="522">
        <f t="shared" si="455"/>
        <v>2321.9560000000001</v>
      </c>
      <c r="AZ117" s="314">
        <f>AZ43</f>
        <v>591.74599999999998</v>
      </c>
      <c r="BA117" s="314">
        <f t="shared" ref="BA117:BD117" si="456">BA43</f>
        <v>701.68200000000002</v>
      </c>
      <c r="BB117" s="314">
        <f t="shared" si="456"/>
        <v>687.23099999999999</v>
      </c>
      <c r="BC117" s="314">
        <f t="shared" si="456"/>
        <v>667.00699999999995</v>
      </c>
      <c r="BD117" s="522">
        <f t="shared" si="456"/>
        <v>2647.6660000000002</v>
      </c>
      <c r="BE117" s="314">
        <f t="shared" ref="BE117:BH117" si="457">BE43</f>
        <v>707.37472538763006</v>
      </c>
      <c r="BF117" s="314">
        <f t="shared" si="457"/>
        <v>825.87630466415089</v>
      </c>
      <c r="BG117" s="314">
        <f t="shared" si="457"/>
        <v>882.31213132960545</v>
      </c>
      <c r="BH117" s="314">
        <f t="shared" si="457"/>
        <v>776.85284244702484</v>
      </c>
      <c r="BI117" s="522">
        <f>BI43</f>
        <v>3192.4160038284112</v>
      </c>
      <c r="BJ117" s="314"/>
      <c r="BK117" s="314"/>
      <c r="BL117" s="314"/>
      <c r="BM117" s="314"/>
      <c r="BN117" s="522">
        <f>BN43</f>
        <v>3607.680969557302</v>
      </c>
      <c r="BO117" s="314"/>
      <c r="BP117" s="314"/>
      <c r="BQ117" s="314"/>
      <c r="BR117" s="314"/>
      <c r="BS117" s="522">
        <f>BS43</f>
        <v>4077.8711528186313</v>
      </c>
      <c r="BT117" s="92"/>
      <c r="BU117" s="518"/>
      <c r="BV117" s="519"/>
      <c r="BW117" s="92"/>
      <c r="BX117" s="92"/>
      <c r="BY117" s="92"/>
      <c r="BZ117" s="550"/>
      <c r="CA117" s="548"/>
      <c r="CB117" s="328"/>
      <c r="CC117" s="848"/>
      <c r="CD117" s="328"/>
      <c r="CE117" s="328"/>
      <c r="CF117" s="320"/>
      <c r="CG117" s="326"/>
      <c r="CH117" s="518"/>
      <c r="CI117" s="92"/>
      <c r="CJ117"/>
      <c r="CK117"/>
      <c r="CL117"/>
      <c r="CM117"/>
      <c r="CN117"/>
      <c r="CO117"/>
      <c r="CP117" s="523"/>
    </row>
    <row r="118" spans="1:94" s="260" customFormat="1" ht="12.75" customHeight="1" x14ac:dyDescent="0.2">
      <c r="A118" s="561" t="s">
        <v>21</v>
      </c>
      <c r="B118" s="18"/>
      <c r="C118" s="18"/>
      <c r="D118" s="18"/>
      <c r="E118" s="18"/>
      <c r="F118" s="166"/>
      <c r="G118" s="18"/>
      <c r="H118" s="18"/>
      <c r="I118" s="18"/>
      <c r="J118" s="18"/>
      <c r="K118" s="166">
        <f t="shared" ref="K118:U118" si="458">K117/F117-1</f>
        <v>3.4463042714240055E-2</v>
      </c>
      <c r="L118" s="18">
        <f t="shared" si="458"/>
        <v>-0.16685205239147594</v>
      </c>
      <c r="M118" s="18">
        <f t="shared" si="458"/>
        <v>-0.12089213316700453</v>
      </c>
      <c r="N118" s="18">
        <f t="shared" si="458"/>
        <v>-0.12118364274221738</v>
      </c>
      <c r="O118" s="18">
        <f t="shared" si="458"/>
        <v>-3.0124103820673431E-2</v>
      </c>
      <c r="P118" s="166">
        <f t="shared" si="458"/>
        <v>-0.11257092729033669</v>
      </c>
      <c r="Q118" s="18">
        <f t="shared" si="458"/>
        <v>8.2474651233914287E-2</v>
      </c>
      <c r="R118" s="18">
        <f t="shared" si="458"/>
        <v>-1.6895131563631094E-2</v>
      </c>
      <c r="S118" s="18">
        <f t="shared" si="458"/>
        <v>0.14023447997850047</v>
      </c>
      <c r="T118" s="18">
        <f t="shared" si="458"/>
        <v>0.26437924359476717</v>
      </c>
      <c r="U118" s="166">
        <f t="shared" si="458"/>
        <v>0.11603546103343287</v>
      </c>
      <c r="V118" s="18">
        <f t="shared" ref="V118:AE118" si="459">V117/Q117-1</f>
        <v>0.2641170110458515</v>
      </c>
      <c r="W118" s="18">
        <f t="shared" si="459"/>
        <v>0.55555117022536216</v>
      </c>
      <c r="X118" s="18">
        <f t="shared" si="459"/>
        <v>0.41766222287692423</v>
      </c>
      <c r="Y118" s="18">
        <f t="shared" si="459"/>
        <v>0.26697039777983322</v>
      </c>
      <c r="Z118" s="166">
        <f t="shared" si="459"/>
        <v>0.37109175503830305</v>
      </c>
      <c r="AA118" s="18">
        <f t="shared" si="459"/>
        <v>0.29584977349115893</v>
      </c>
      <c r="AB118" s="18">
        <f t="shared" si="459"/>
        <v>0.25523485724434636</v>
      </c>
      <c r="AC118" s="18">
        <f t="shared" si="459"/>
        <v>0.18566124261379779</v>
      </c>
      <c r="AD118" s="18">
        <f t="shared" si="459"/>
        <v>0.19841266943877578</v>
      </c>
      <c r="AE118" s="166">
        <f t="shared" si="459"/>
        <v>0.23077411392605951</v>
      </c>
      <c r="AF118" s="18">
        <f t="shared" ref="AF118:AM118" si="460">AF117/AA117-1</f>
        <v>0.22866714207532457</v>
      </c>
      <c r="AG118" s="18">
        <f t="shared" si="460"/>
        <v>0.17623329521697451</v>
      </c>
      <c r="AH118" s="18">
        <f t="shared" si="460"/>
        <v>0.33392440340386242</v>
      </c>
      <c r="AI118" s="18">
        <f t="shared" si="460"/>
        <v>0.27939366615082784</v>
      </c>
      <c r="AJ118" s="166">
        <f t="shared" si="460"/>
        <v>0.25485441311662438</v>
      </c>
      <c r="AK118" s="18">
        <f t="shared" si="460"/>
        <v>0.18235219484014809</v>
      </c>
      <c r="AL118" s="18">
        <f t="shared" si="460"/>
        <v>0.22585119519613883</v>
      </c>
      <c r="AM118" s="18">
        <f t="shared" si="460"/>
        <v>0.13828415001368732</v>
      </c>
      <c r="AN118" s="18">
        <f>AN117/AI117-1</f>
        <v>0.12977399139014834</v>
      </c>
      <c r="AO118" s="166">
        <f>AO117/AJ117-1</f>
        <v>0.16755168839175894</v>
      </c>
      <c r="AP118" s="18">
        <f>AP117/AK117-1</f>
        <v>0.12641471093890932</v>
      </c>
      <c r="AQ118" s="18">
        <f>AQ117/AL117-1</f>
        <v>0.10831162120972415</v>
      </c>
      <c r="AR118" s="18">
        <f>AR117/AM117-1</f>
        <v>0.10595476067252951</v>
      </c>
      <c r="AS118" s="18">
        <f t="shared" ref="AS118:AT118" si="461">AS117/AN117-1</f>
        <v>9.5595875124081298E-2</v>
      </c>
      <c r="AT118" s="166">
        <f t="shared" si="461"/>
        <v>0.10865871462740362</v>
      </c>
      <c r="AU118" s="18">
        <f>AU117/AP117-1</f>
        <v>9.0782499417255247E-2</v>
      </c>
      <c r="AV118" s="18">
        <f>AV117/AQ117-1</f>
        <v>5.5494822205879313E-2</v>
      </c>
      <c r="AW118" s="18">
        <f>AW117/AR117-1</f>
        <v>8.0871058257848683E-2</v>
      </c>
      <c r="AX118" s="18">
        <f t="shared" ref="AX118" si="462">AX117/AS117-1</f>
        <v>0.11254294541075627</v>
      </c>
      <c r="AY118" s="166">
        <f t="shared" ref="AY118" si="463">AY117/AT117-1</f>
        <v>8.428490242418385E-2</v>
      </c>
      <c r="AZ118" s="18">
        <f>AZ117/AU117-1</f>
        <v>9.9607353435796631E-2</v>
      </c>
      <c r="BA118" s="18">
        <f>BA117/AV117-1</f>
        <v>0.20123670465459065</v>
      </c>
      <c r="BB118" s="18">
        <f>BB117/AW117-1</f>
        <v>0.10606619037579135</v>
      </c>
      <c r="BC118" s="18">
        <f t="shared" ref="BC118" si="464">BC117/AX117-1</f>
        <v>0.15329099456904194</v>
      </c>
      <c r="BD118" s="166">
        <f t="shared" ref="BD118" si="465">BD117/AY117-1</f>
        <v>0.14027397590652013</v>
      </c>
      <c r="BE118" s="18">
        <f t="shared" ref="BE118:BH118" si="466">BE117/AZ117-1</f>
        <v>0.19540263117558898</v>
      </c>
      <c r="BF118" s="18">
        <f t="shared" si="466"/>
        <v>0.1769951411952293</v>
      </c>
      <c r="BG118" s="18">
        <f t="shared" si="466"/>
        <v>0.28386544164859484</v>
      </c>
      <c r="BH118" s="18">
        <f t="shared" si="466"/>
        <v>0.16468469213520232</v>
      </c>
      <c r="BI118" s="166">
        <f>BI117/BD117-1</f>
        <v>0.20574725204327549</v>
      </c>
      <c r="BJ118" s="18"/>
      <c r="BK118" s="18"/>
      <c r="BL118" s="18"/>
      <c r="BM118" s="18"/>
      <c r="BN118" s="166">
        <f>BN117/BI117-1</f>
        <v>0.13007858788794957</v>
      </c>
      <c r="BO118" s="18"/>
      <c r="BP118" s="18"/>
      <c r="BQ118" s="18"/>
      <c r="BR118" s="18"/>
      <c r="BS118" s="166">
        <f>BS117/BN117-1</f>
        <v>0.13033031114140514</v>
      </c>
      <c r="BT118" s="148"/>
      <c r="BU118" s="356"/>
      <c r="BV118" s="224"/>
      <c r="BW118" s="148"/>
      <c r="BX118" s="148"/>
      <c r="BY118" s="148"/>
      <c r="BZ118" s="531"/>
      <c r="CA118" s="548"/>
      <c r="CB118" s="320"/>
      <c r="CC118" s="320"/>
      <c r="CD118" s="320"/>
      <c r="CE118" s="320"/>
      <c r="CF118" s="326"/>
      <c r="CG118" s="322"/>
      <c r="CH118" s="356"/>
      <c r="CI118" s="148"/>
      <c r="CJ118"/>
      <c r="CK118"/>
      <c r="CL118"/>
      <c r="CM118"/>
      <c r="CN118"/>
      <c r="CO118"/>
      <c r="CP118" s="391"/>
    </row>
    <row r="119" spans="1:94" s="521" customFormat="1" ht="12.75" customHeight="1" x14ac:dyDescent="0.2">
      <c r="A119" s="92" t="s">
        <v>143</v>
      </c>
      <c r="B119" s="314"/>
      <c r="C119" s="314"/>
      <c r="D119" s="314"/>
      <c r="E119" s="314"/>
      <c r="F119" s="522">
        <f>F106</f>
        <v>741.44</v>
      </c>
      <c r="G119" s="314">
        <f t="shared" ref="G119:P119" si="467">G106</f>
        <v>200.81118999999998</v>
      </c>
      <c r="H119" s="314">
        <f t="shared" si="467"/>
        <v>211.86329799999999</v>
      </c>
      <c r="I119" s="314">
        <f t="shared" si="467"/>
        <v>169.92978500000001</v>
      </c>
      <c r="J119" s="314">
        <f t="shared" si="467"/>
        <v>154.26349999999999</v>
      </c>
      <c r="K119" s="522">
        <f t="shared" si="467"/>
        <v>736.86777299999994</v>
      </c>
      <c r="L119" s="314">
        <f t="shared" si="467"/>
        <v>139.21199999999999</v>
      </c>
      <c r="M119" s="314">
        <f t="shared" si="467"/>
        <v>146.35899999999998</v>
      </c>
      <c r="N119" s="314">
        <f t="shared" si="467"/>
        <v>151.65782000000002</v>
      </c>
      <c r="O119" s="314">
        <f t="shared" si="467"/>
        <v>153.23999999999998</v>
      </c>
      <c r="P119" s="522">
        <f t="shared" si="467"/>
        <v>590.46882000000005</v>
      </c>
      <c r="Q119" s="314">
        <f t="shared" ref="Q119:Z119" si="468">Q106</f>
        <v>160.57499999999999</v>
      </c>
      <c r="R119" s="314">
        <f t="shared" si="468"/>
        <v>173.33</v>
      </c>
      <c r="S119" s="314">
        <f t="shared" si="468"/>
        <v>185.053</v>
      </c>
      <c r="T119" s="314">
        <f t="shared" si="468"/>
        <v>194.87699999999998</v>
      </c>
      <c r="U119" s="522">
        <f t="shared" si="468"/>
        <v>713.83499999999992</v>
      </c>
      <c r="V119" s="314">
        <f t="shared" si="468"/>
        <v>206.28300000000002</v>
      </c>
      <c r="W119" s="314">
        <f t="shared" si="468"/>
        <v>235.16000000000003</v>
      </c>
      <c r="X119" s="314">
        <f>X106</f>
        <v>242.64099999999999</v>
      </c>
      <c r="Y119" s="314">
        <f>Y106</f>
        <v>236.078</v>
      </c>
      <c r="Z119" s="522">
        <f t="shared" si="468"/>
        <v>920.16200000000003</v>
      </c>
      <c r="AA119" s="314">
        <f t="shared" ref="AA119:AJ119" si="469">AA106</f>
        <v>263.61599999999999</v>
      </c>
      <c r="AB119" s="314">
        <f t="shared" si="469"/>
        <v>290.005</v>
      </c>
      <c r="AC119" s="314">
        <f t="shared" si="469"/>
        <v>301.84500000000003</v>
      </c>
      <c r="AD119" s="314">
        <f t="shared" si="469"/>
        <v>296.38</v>
      </c>
      <c r="AE119" s="522">
        <f t="shared" si="469"/>
        <v>1151.846</v>
      </c>
      <c r="AF119" s="314">
        <f t="shared" si="469"/>
        <v>317.19400000000002</v>
      </c>
      <c r="AG119" s="314">
        <f t="shared" si="469"/>
        <v>334.70400000000001</v>
      </c>
      <c r="AH119" s="314">
        <f t="shared" si="469"/>
        <v>363.86899999999997</v>
      </c>
      <c r="AI119" s="314">
        <f t="shared" si="469"/>
        <v>355.36200000000002</v>
      </c>
      <c r="AJ119" s="522">
        <f t="shared" si="469"/>
        <v>1371.1289999999999</v>
      </c>
      <c r="AK119" s="314">
        <f>AK106</f>
        <v>377.875</v>
      </c>
      <c r="AL119" s="314">
        <f>AL106</f>
        <v>392.99399999999997</v>
      </c>
      <c r="AM119" s="314">
        <f>AM106</f>
        <v>409.19400000000002</v>
      </c>
      <c r="AN119" s="314">
        <f>AN106</f>
        <v>378.69400000000002</v>
      </c>
      <c r="AO119" s="522">
        <f>AO106</f>
        <v>1558.7570000000001</v>
      </c>
      <c r="AP119" s="314">
        <f t="shared" ref="AP119:AT119" si="470">AP106</f>
        <v>381.38900000000001</v>
      </c>
      <c r="AQ119" s="314">
        <f t="shared" si="470"/>
        <v>434.03600000000006</v>
      </c>
      <c r="AR119" s="314">
        <f t="shared" si="470"/>
        <v>417.32600000000002</v>
      </c>
      <c r="AS119" s="314">
        <f t="shared" si="470"/>
        <v>401.19299999999998</v>
      </c>
      <c r="AT119" s="522">
        <f t="shared" si="470"/>
        <v>1633.944</v>
      </c>
      <c r="AU119" s="314">
        <f>AU106</f>
        <v>420.428</v>
      </c>
      <c r="AV119" s="314">
        <f t="shared" ref="AV119:AY119" si="471">AV106</f>
        <v>453.71699999999998</v>
      </c>
      <c r="AW119" s="314">
        <f t="shared" si="471"/>
        <v>478.33499999999998</v>
      </c>
      <c r="AX119" s="314">
        <f t="shared" si="471"/>
        <v>484.43899999999996</v>
      </c>
      <c r="AY119" s="522">
        <f t="shared" si="471"/>
        <v>1836.9189999999999</v>
      </c>
      <c r="AZ119" s="314">
        <f>AZ106</f>
        <v>526.46</v>
      </c>
      <c r="BA119" s="314">
        <f t="shared" ref="BA119:BD119" si="472">BA106</f>
        <v>567.45299999999997</v>
      </c>
      <c r="BB119" s="314">
        <f t="shared" si="472"/>
        <v>574.75800000000004</v>
      </c>
      <c r="BC119" s="314">
        <f t="shared" si="472"/>
        <v>577.49299999999994</v>
      </c>
      <c r="BD119" s="522">
        <f t="shared" si="472"/>
        <v>2246.1639999999998</v>
      </c>
      <c r="BE119" s="314">
        <f t="shared" ref="BE119:BH119" si="473">BE106</f>
        <v>653.93091138</v>
      </c>
      <c r="BF119" s="314">
        <f t="shared" si="473"/>
        <v>750.95842426352942</v>
      </c>
      <c r="BG119" s="314">
        <f t="shared" si="473"/>
        <v>761.43440672388624</v>
      </c>
      <c r="BH119" s="314">
        <f t="shared" si="473"/>
        <v>684.5117135817809</v>
      </c>
      <c r="BI119" s="522">
        <f>BI106</f>
        <v>2850.8354559491963</v>
      </c>
      <c r="BJ119" s="314"/>
      <c r="BK119" s="314"/>
      <c r="BL119" s="314"/>
      <c r="BM119" s="314"/>
      <c r="BN119" s="522">
        <f>BN106</f>
        <v>3154.4518293078031</v>
      </c>
      <c r="BO119" s="314"/>
      <c r="BP119" s="314"/>
      <c r="BQ119" s="314"/>
      <c r="BR119" s="314"/>
      <c r="BS119" s="522">
        <f>BS106</f>
        <v>3476.3181757123302</v>
      </c>
      <c r="BT119" s="92"/>
      <c r="BU119" s="518"/>
      <c r="BV119" s="519"/>
      <c r="BW119" s="92"/>
      <c r="BX119" s="92"/>
      <c r="BY119" s="92"/>
      <c r="BZ119" s="550"/>
      <c r="CA119" s="326"/>
      <c r="CB119" s="326"/>
      <c r="CC119" s="599"/>
      <c r="CD119" s="326"/>
      <c r="CE119" s="326"/>
      <c r="CF119" s="326"/>
      <c r="CG119" s="326"/>
      <c r="CH119" s="518"/>
      <c r="CI119" s="92"/>
      <c r="CJ119"/>
      <c r="CK119"/>
      <c r="CL119"/>
      <c r="CM119"/>
      <c r="CN119"/>
      <c r="CO119"/>
      <c r="CP119" s="523"/>
    </row>
    <row r="120" spans="1:94" s="260" customFormat="1" ht="12.75" customHeight="1" x14ac:dyDescent="0.2">
      <c r="A120" s="561" t="s">
        <v>21</v>
      </c>
      <c r="B120" s="18"/>
      <c r="C120" s="18"/>
      <c r="D120" s="18"/>
      <c r="E120" s="18"/>
      <c r="F120" s="166"/>
      <c r="G120" s="18"/>
      <c r="H120" s="18"/>
      <c r="I120" s="18"/>
      <c r="J120" s="18"/>
      <c r="K120" s="166">
        <f t="shared" ref="K120:U120" si="474">K119/F119-1</f>
        <v>-6.1666850992664335E-3</v>
      </c>
      <c r="L120" s="18">
        <f t="shared" si="474"/>
        <v>-0.30675178011743265</v>
      </c>
      <c r="M120" s="18">
        <f t="shared" si="474"/>
        <v>-0.3091819046449471</v>
      </c>
      <c r="N120" s="18">
        <f t="shared" si="474"/>
        <v>-0.1075265586901083</v>
      </c>
      <c r="O120" s="18">
        <f t="shared" si="474"/>
        <v>-6.6347515776578048E-3</v>
      </c>
      <c r="P120" s="166">
        <f t="shared" si="474"/>
        <v>-0.1986773724734463</v>
      </c>
      <c r="Q120" s="18">
        <f t="shared" si="474"/>
        <v>0.15345659856908878</v>
      </c>
      <c r="R120" s="18">
        <f t="shared" si="474"/>
        <v>0.18427975047656808</v>
      </c>
      <c r="S120" s="18">
        <f t="shared" si="474"/>
        <v>0.22020084424265085</v>
      </c>
      <c r="T120" s="18">
        <f t="shared" si="474"/>
        <v>0.27171104150352399</v>
      </c>
      <c r="U120" s="166">
        <f t="shared" si="474"/>
        <v>0.20892920306952001</v>
      </c>
      <c r="V120" s="18">
        <f t="shared" ref="V120:AE120" si="475">V119/Q119-1</f>
        <v>0.28465203176085963</v>
      </c>
      <c r="W120" s="18">
        <f t="shared" si="475"/>
        <v>0.35671839843073916</v>
      </c>
      <c r="X120" s="18">
        <f t="shared" si="475"/>
        <v>0.31119733265604976</v>
      </c>
      <c r="Y120" s="18">
        <f t="shared" si="475"/>
        <v>0.21142053705670771</v>
      </c>
      <c r="Z120" s="166">
        <f t="shared" si="475"/>
        <v>0.28904018435632906</v>
      </c>
      <c r="AA120" s="18">
        <f t="shared" si="475"/>
        <v>0.27793371242419385</v>
      </c>
      <c r="AB120" s="18">
        <f t="shared" si="475"/>
        <v>0.23322418778703846</v>
      </c>
      <c r="AC120" s="18">
        <f t="shared" si="475"/>
        <v>0.24399833498872847</v>
      </c>
      <c r="AD120" s="18">
        <f t="shared" si="475"/>
        <v>0.25543252653783921</v>
      </c>
      <c r="AE120" s="166">
        <f t="shared" si="475"/>
        <v>0.25178609853482325</v>
      </c>
      <c r="AF120" s="18">
        <f t="shared" ref="AF120:AM120" si="476">AF119/AA119-1</f>
        <v>0.20324259529011912</v>
      </c>
      <c r="AG120" s="18">
        <f t="shared" si="476"/>
        <v>0.15413182531335679</v>
      </c>
      <c r="AH120" s="18">
        <f t="shared" si="476"/>
        <v>0.20548294654541222</v>
      </c>
      <c r="AI120" s="18">
        <f t="shared" si="476"/>
        <v>0.19900803023145963</v>
      </c>
      <c r="AJ120" s="166">
        <f t="shared" si="476"/>
        <v>0.19037527586153002</v>
      </c>
      <c r="AK120" s="18">
        <f t="shared" si="476"/>
        <v>0.19130563629829056</v>
      </c>
      <c r="AL120" s="18">
        <f t="shared" si="476"/>
        <v>0.17415387924852999</v>
      </c>
      <c r="AM120" s="18">
        <f t="shared" si="476"/>
        <v>0.12456406014252397</v>
      </c>
      <c r="AN120" s="18">
        <f>AN119/AI119-1</f>
        <v>6.5656992025033611E-2</v>
      </c>
      <c r="AO120" s="166">
        <f>AO119/AJ119-1</f>
        <v>0.1368419747521934</v>
      </c>
      <c r="AP120" s="18">
        <f>AP119/AK119-1</f>
        <v>9.299371485279595E-3</v>
      </c>
      <c r="AQ120" s="18">
        <f>AQ119/AL119-1</f>
        <v>0.10443416438927833</v>
      </c>
      <c r="AR120" s="18">
        <f>AR119/AM119-1</f>
        <v>1.9873214172250853E-2</v>
      </c>
      <c r="AS120" s="18">
        <f t="shared" ref="AS120:AT120" si="477">AS119/AN119-1</f>
        <v>5.9412084691069733E-2</v>
      </c>
      <c r="AT120" s="166">
        <f t="shared" si="477"/>
        <v>4.8235228454467149E-2</v>
      </c>
      <c r="AU120" s="18">
        <f>AU119/AP119-1</f>
        <v>0.10236005757900712</v>
      </c>
      <c r="AV120" s="18">
        <f>AV119/AQ119-1</f>
        <v>4.5344165000138048E-2</v>
      </c>
      <c r="AW120" s="18">
        <f>AW119/AR119-1</f>
        <v>0.14619026851909522</v>
      </c>
      <c r="AX120" s="18">
        <f t="shared" ref="AX120" si="478">AX119/AS119-1</f>
        <v>0.20749614275423545</v>
      </c>
      <c r="AY120" s="166">
        <f t="shared" ref="AY120" si="479">AY119/AT119-1</f>
        <v>0.12422396361197197</v>
      </c>
      <c r="AZ120" s="18">
        <f>AZ119/AU119-1</f>
        <v>0.25220013890606729</v>
      </c>
      <c r="BA120" s="18">
        <f>BA119/AV119-1</f>
        <v>0.25067608222746784</v>
      </c>
      <c r="BB120" s="18">
        <f>BB119/AW119-1</f>
        <v>0.20158048229797121</v>
      </c>
      <c r="BC120" s="18">
        <f t="shared" ref="BC120" si="480">BC119/AX119-1</f>
        <v>0.19208610371997303</v>
      </c>
      <c r="BD120" s="166">
        <f t="shared" ref="BD120" si="481">BD119/AY119-1</f>
        <v>0.22278881104719361</v>
      </c>
      <c r="BE120" s="18">
        <f t="shared" ref="BE120:BH120" si="482">BE119/AZ119-1</f>
        <v>0.24212838844356632</v>
      </c>
      <c r="BF120" s="18">
        <f t="shared" si="482"/>
        <v>0.32338435828787482</v>
      </c>
      <c r="BG120" s="18">
        <f t="shared" si="482"/>
        <v>0.32479131516896875</v>
      </c>
      <c r="BH120" s="18">
        <f t="shared" si="482"/>
        <v>0.18531603600698365</v>
      </c>
      <c r="BI120" s="166">
        <f>BI119/BD119-1</f>
        <v>0.26920182851706143</v>
      </c>
      <c r="BJ120" s="18"/>
      <c r="BK120" s="18"/>
      <c r="BL120" s="18"/>
      <c r="BM120" s="18"/>
      <c r="BN120" s="166">
        <f>BN119/BI119-1</f>
        <v>0.10650084091139411</v>
      </c>
      <c r="BO120" s="18"/>
      <c r="BP120" s="18"/>
      <c r="BQ120" s="18"/>
      <c r="BR120" s="18"/>
      <c r="BS120" s="166">
        <f>BS119/BN119-1</f>
        <v>0.10203558774113719</v>
      </c>
      <c r="BT120" s="148"/>
      <c r="BU120" s="356"/>
      <c r="BV120" s="224"/>
      <c r="BW120" s="148"/>
      <c r="BX120" s="148"/>
      <c r="BY120" s="148"/>
      <c r="BZ120" s="531"/>
      <c r="CA120" s="322"/>
      <c r="CB120" s="322"/>
      <c r="CC120" s="322"/>
      <c r="CD120" s="322"/>
      <c r="CE120" s="322"/>
      <c r="CF120" s="322"/>
      <c r="CG120" s="322"/>
      <c r="CH120" s="356"/>
      <c r="CI120" s="148"/>
      <c r="CJ120"/>
      <c r="CK120"/>
      <c r="CL120"/>
      <c r="CM120"/>
      <c r="CN120"/>
      <c r="CO120"/>
      <c r="CP120" s="391"/>
    </row>
    <row r="121" spans="1:94" s="521" customFormat="1" ht="12.75" customHeight="1" x14ac:dyDescent="0.2">
      <c r="A121" s="92" t="s">
        <v>144</v>
      </c>
      <c r="B121" s="314"/>
      <c r="C121" s="314"/>
      <c r="D121" s="314"/>
      <c r="E121" s="314"/>
      <c r="F121" s="522">
        <f>F117-F119</f>
        <v>21.115999999999985</v>
      </c>
      <c r="G121" s="314">
        <f t="shared" ref="G121:P121" si="483">G117-G119</f>
        <v>3.2678100000000256</v>
      </c>
      <c r="H121" s="314">
        <f t="shared" si="483"/>
        <v>-6.6472979999999779</v>
      </c>
      <c r="I121" s="314">
        <f t="shared" si="483"/>
        <v>33.307215000000014</v>
      </c>
      <c r="J121" s="314">
        <f t="shared" si="483"/>
        <v>22.040500000000009</v>
      </c>
      <c r="K121" s="522">
        <f t="shared" si="483"/>
        <v>51.96822700000007</v>
      </c>
      <c r="L121" s="314">
        <f t="shared" si="483"/>
        <v>30.816000000000003</v>
      </c>
      <c r="M121" s="314">
        <f t="shared" si="483"/>
        <v>34.04800000000003</v>
      </c>
      <c r="N121" s="314">
        <f>N117-N119</f>
        <v>26.950179999999961</v>
      </c>
      <c r="O121" s="314">
        <f t="shared" si="483"/>
        <v>17.753000000000014</v>
      </c>
      <c r="P121" s="522">
        <f t="shared" si="483"/>
        <v>109.56717999999989</v>
      </c>
      <c r="Q121" s="314">
        <f t="shared" ref="Q121:AF121" si="484">Q117-Q119</f>
        <v>23.475999999999999</v>
      </c>
      <c r="R121" s="314">
        <f t="shared" si="484"/>
        <v>4.0289999999999964</v>
      </c>
      <c r="S121" s="314">
        <f t="shared" si="484"/>
        <v>18.602000000000004</v>
      </c>
      <c r="T121" s="314">
        <f t="shared" si="484"/>
        <v>21.323000000000036</v>
      </c>
      <c r="U121" s="522">
        <f t="shared" si="484"/>
        <v>67.430000000000177</v>
      </c>
      <c r="V121" s="314">
        <f t="shared" si="484"/>
        <v>26.378999999999991</v>
      </c>
      <c r="W121" s="314">
        <f t="shared" si="484"/>
        <v>40.730999999999995</v>
      </c>
      <c r="X121" s="314">
        <f t="shared" si="484"/>
        <v>46.073000000000008</v>
      </c>
      <c r="Y121" s="314">
        <f>Y117-Y119</f>
        <v>37.84099999999998</v>
      </c>
      <c r="Z121" s="522">
        <f t="shared" si="484"/>
        <v>151.02399999999989</v>
      </c>
      <c r="AA121" s="314">
        <f>AA117-AA119</f>
        <v>37.879000000000019</v>
      </c>
      <c r="AB121" s="314">
        <f>AB117-AB119</f>
        <v>56.302999999999997</v>
      </c>
      <c r="AC121" s="314">
        <f t="shared" si="484"/>
        <v>40.47199999999998</v>
      </c>
      <c r="AD121" s="314">
        <f t="shared" si="484"/>
        <v>31.888000000000034</v>
      </c>
      <c r="AE121" s="522">
        <f t="shared" si="484"/>
        <v>166.54199999999992</v>
      </c>
      <c r="AF121" s="314">
        <f t="shared" si="484"/>
        <v>53.242999999999995</v>
      </c>
      <c r="AG121" s="314">
        <f t="shared" ref="AG121:AO121" si="485">AG117-AG119</f>
        <v>72.634999999999991</v>
      </c>
      <c r="AH121" s="314">
        <f t="shared" si="485"/>
        <v>92.756000000000029</v>
      </c>
      <c r="AI121" s="314">
        <f t="shared" si="485"/>
        <v>64.621999999999957</v>
      </c>
      <c r="AJ121" s="522">
        <f t="shared" si="485"/>
        <v>283.25600000000009</v>
      </c>
      <c r="AK121" s="314">
        <f t="shared" si="485"/>
        <v>60.111999999999966</v>
      </c>
      <c r="AL121" s="314">
        <f t="shared" si="485"/>
        <v>106.34300000000002</v>
      </c>
      <c r="AM121" s="314">
        <f t="shared" si="485"/>
        <v>110.57499999999999</v>
      </c>
      <c r="AN121" s="314">
        <f t="shared" si="485"/>
        <v>95.793000000000006</v>
      </c>
      <c r="AO121" s="522">
        <f t="shared" si="485"/>
        <v>372.82299999999987</v>
      </c>
      <c r="AP121" s="314">
        <f t="shared" ref="AP121:AT121" si="486">AP117-AP119</f>
        <v>111.96600000000001</v>
      </c>
      <c r="AQ121" s="314">
        <f t="shared" si="486"/>
        <v>119.38499999999999</v>
      </c>
      <c r="AR121" s="314">
        <f t="shared" si="486"/>
        <v>157.51499999999999</v>
      </c>
      <c r="AS121" s="314">
        <f t="shared" si="486"/>
        <v>118.65300000000002</v>
      </c>
      <c r="AT121" s="522">
        <f t="shared" si="486"/>
        <v>507.51900000000023</v>
      </c>
      <c r="AU121" s="314">
        <f>AU117-AU119</f>
        <v>117.71500000000003</v>
      </c>
      <c r="AV121" s="314">
        <f t="shared" ref="AV121:AY121" si="487">AV117-AV119</f>
        <v>130.41600000000005</v>
      </c>
      <c r="AW121" s="314">
        <f t="shared" si="487"/>
        <v>142.99399999999997</v>
      </c>
      <c r="AX121" s="314">
        <f t="shared" si="487"/>
        <v>93.912000000000035</v>
      </c>
      <c r="AY121" s="522">
        <f t="shared" si="487"/>
        <v>485.03700000000026</v>
      </c>
      <c r="AZ121" s="314">
        <f>AZ117-AZ119</f>
        <v>65.285999999999945</v>
      </c>
      <c r="BA121" s="314">
        <f t="shared" ref="BA121:BD121" si="488">BA117-BA119</f>
        <v>134.22900000000004</v>
      </c>
      <c r="BB121" s="314">
        <f t="shared" si="488"/>
        <v>112.47299999999996</v>
      </c>
      <c r="BC121" s="314">
        <f t="shared" si="488"/>
        <v>89.51400000000001</v>
      </c>
      <c r="BD121" s="522">
        <f t="shared" si="488"/>
        <v>401.50200000000041</v>
      </c>
      <c r="BE121" s="314">
        <f t="shared" ref="BE121:BH121" si="489">BE117-BE119</f>
        <v>53.443814007630067</v>
      </c>
      <c r="BF121" s="314">
        <f t="shared" si="489"/>
        <v>74.91788040062147</v>
      </c>
      <c r="BG121" s="314">
        <f t="shared" si="489"/>
        <v>120.87772460571921</v>
      </c>
      <c r="BH121" s="314">
        <f t="shared" si="489"/>
        <v>92.341128865243945</v>
      </c>
      <c r="BI121" s="522">
        <f>BI117-BI119</f>
        <v>341.58054787921492</v>
      </c>
      <c r="BJ121" s="314"/>
      <c r="BK121" s="314"/>
      <c r="BL121" s="314"/>
      <c r="BM121" s="314"/>
      <c r="BN121" s="522">
        <f>BN117-BN119</f>
        <v>453.22914024949887</v>
      </c>
      <c r="BO121" s="314"/>
      <c r="BP121" s="314"/>
      <c r="BQ121" s="314"/>
      <c r="BR121" s="314"/>
      <c r="BS121" s="522">
        <f>BS117-BS119</f>
        <v>601.55297710630111</v>
      </c>
      <c r="BT121" s="92"/>
      <c r="BU121" s="518"/>
      <c r="BV121" s="519"/>
      <c r="BW121" s="92"/>
      <c r="BX121" s="92"/>
      <c r="BY121" s="92"/>
      <c r="BZ121" s="550"/>
      <c r="CA121" s="326"/>
      <c r="CB121" s="326"/>
      <c r="CC121" s="326"/>
      <c r="CD121" s="335"/>
      <c r="CE121" s="326"/>
      <c r="CF121" s="326"/>
      <c r="CG121" s="326"/>
      <c r="CH121" s="518"/>
      <c r="CI121" s="92"/>
      <c r="CJ121"/>
      <c r="CK121"/>
      <c r="CL121"/>
      <c r="CM121"/>
      <c r="CN121"/>
      <c r="CO121"/>
      <c r="CP121" s="523"/>
    </row>
    <row r="122" spans="1:94" s="521" customFormat="1" ht="12.75" customHeight="1" x14ac:dyDescent="0.2">
      <c r="A122" s="92" t="s">
        <v>145</v>
      </c>
      <c r="B122" s="314"/>
      <c r="C122" s="314"/>
      <c r="D122" s="314"/>
      <c r="E122" s="314"/>
      <c r="F122" s="522">
        <f t="shared" ref="F122:AE122" si="490">F121+F92</f>
        <v>26.610999999999986</v>
      </c>
      <c r="G122" s="314">
        <f t="shared" si="490"/>
        <v>4.5558100000000259</v>
      </c>
      <c r="H122" s="314">
        <f t="shared" si="490"/>
        <v>-5.7252979999999782</v>
      </c>
      <c r="I122" s="314">
        <f t="shared" si="490"/>
        <v>34.703215000000014</v>
      </c>
      <c r="J122" s="314">
        <f t="shared" si="490"/>
        <v>23.164500000000007</v>
      </c>
      <c r="K122" s="522">
        <f t="shared" si="490"/>
        <v>56.698227000000074</v>
      </c>
      <c r="L122" s="314">
        <f t="shared" si="490"/>
        <v>31.948000000000004</v>
      </c>
      <c r="M122" s="314">
        <f t="shared" si="490"/>
        <v>35.335000000000029</v>
      </c>
      <c r="N122" s="314">
        <f t="shared" si="490"/>
        <v>29.082179999999962</v>
      </c>
      <c r="O122" s="314">
        <f t="shared" si="490"/>
        <v>19.136000000000013</v>
      </c>
      <c r="P122" s="522">
        <f t="shared" si="490"/>
        <v>115.50117999999989</v>
      </c>
      <c r="Q122" s="314">
        <f t="shared" si="490"/>
        <v>24.893999999999998</v>
      </c>
      <c r="R122" s="314">
        <f t="shared" si="490"/>
        <v>5.4869999999999965</v>
      </c>
      <c r="S122" s="314">
        <f t="shared" si="490"/>
        <v>20.120000000000005</v>
      </c>
      <c r="T122" s="314">
        <f t="shared" si="490"/>
        <v>22.625000000000036</v>
      </c>
      <c r="U122" s="522">
        <f t="shared" si="490"/>
        <v>73.126000000000175</v>
      </c>
      <c r="V122" s="314">
        <f t="shared" si="490"/>
        <v>27.92499999999999</v>
      </c>
      <c r="W122" s="314">
        <f t="shared" si="490"/>
        <v>42.421999999999997</v>
      </c>
      <c r="X122" s="314">
        <f t="shared" si="490"/>
        <v>48.132000000000005</v>
      </c>
      <c r="Y122" s="314">
        <f t="shared" si="490"/>
        <v>40.304999999999978</v>
      </c>
      <c r="Z122" s="522">
        <f t="shared" si="490"/>
        <v>158.78399999999988</v>
      </c>
      <c r="AA122" s="314">
        <f t="shared" si="490"/>
        <v>40.749000000000017</v>
      </c>
      <c r="AB122" s="314">
        <f t="shared" si="490"/>
        <v>59.629999999999995</v>
      </c>
      <c r="AC122" s="314">
        <f t="shared" si="490"/>
        <v>44.286999999999978</v>
      </c>
      <c r="AD122" s="314">
        <f t="shared" si="490"/>
        <v>37.132000000000033</v>
      </c>
      <c r="AE122" s="522">
        <f t="shared" si="490"/>
        <v>181.79799999999992</v>
      </c>
      <c r="AF122" s="314">
        <f t="shared" ref="AF122:AL122" si="491">AF121+AF92</f>
        <v>59.566999999999993</v>
      </c>
      <c r="AG122" s="314">
        <f t="shared" si="491"/>
        <v>80.23899999999999</v>
      </c>
      <c r="AH122" s="314">
        <f t="shared" si="491"/>
        <v>101.23100000000002</v>
      </c>
      <c r="AI122" s="314">
        <f t="shared" si="491"/>
        <v>74.165999999999954</v>
      </c>
      <c r="AJ122" s="522">
        <f t="shared" si="491"/>
        <v>315.20300000000009</v>
      </c>
      <c r="AK122" s="314">
        <f t="shared" si="491"/>
        <v>71.232999999999961</v>
      </c>
      <c r="AL122" s="314">
        <f t="shared" si="491"/>
        <v>117.68700000000001</v>
      </c>
      <c r="AM122" s="314">
        <f>AM121+AM92</f>
        <v>121.91299999999998</v>
      </c>
      <c r="AN122" s="314">
        <f>AN121+AN92</f>
        <v>108.96100000000001</v>
      </c>
      <c r="AO122" s="522">
        <f>AO121+AO92</f>
        <v>419.79399999999987</v>
      </c>
      <c r="AP122" s="314">
        <f>AP121+AP92</f>
        <v>126.82900000000001</v>
      </c>
      <c r="AQ122" s="314">
        <f>AQ121+AQ92</f>
        <v>136.524</v>
      </c>
      <c r="AR122" s="314">
        <f t="shared" ref="AR122:AT122" si="492">AR121+AR92</f>
        <v>177.14299999999997</v>
      </c>
      <c r="AS122" s="314">
        <f t="shared" si="492"/>
        <v>140.93100000000001</v>
      </c>
      <c r="AT122" s="522">
        <f t="shared" si="492"/>
        <v>581.42700000000025</v>
      </c>
      <c r="AU122" s="314">
        <f>AU121+AU92</f>
        <v>140.82400000000004</v>
      </c>
      <c r="AV122" s="314">
        <f>AV121+AV92</f>
        <v>155.37300000000005</v>
      </c>
      <c r="AW122" s="314">
        <f t="shared" ref="AW122:AY122" si="493">AW121+AW92</f>
        <v>168.29799999999997</v>
      </c>
      <c r="AX122" s="314">
        <f t="shared" si="493"/>
        <v>121.67800000000003</v>
      </c>
      <c r="AY122" s="522">
        <f t="shared" si="493"/>
        <v>586.17300000000023</v>
      </c>
      <c r="AZ122" s="314">
        <f>AZ121+AZ92</f>
        <v>96.794999999999945</v>
      </c>
      <c r="BA122" s="314">
        <f>BA121+BA92</f>
        <v>169.56000000000006</v>
      </c>
      <c r="BB122" s="314">
        <f t="shared" ref="BB122:BD122" si="494">BB121+BB92</f>
        <v>149.31299999999996</v>
      </c>
      <c r="BC122" s="314">
        <f t="shared" si="494"/>
        <v>125.98600000000002</v>
      </c>
      <c r="BD122" s="522">
        <f t="shared" si="494"/>
        <v>541.65400000000045</v>
      </c>
      <c r="BE122" s="314">
        <f t="shared" ref="BE122" si="495">BE121+BE92</f>
        <v>92.743814007630064</v>
      </c>
      <c r="BF122" s="314">
        <f t="shared" ref="BF122:BH122" si="496">BF121+BF92</f>
        <v>124.38128040062148</v>
      </c>
      <c r="BG122" s="314">
        <f t="shared" si="496"/>
        <v>176.1377246057192</v>
      </c>
      <c r="BH122" s="314">
        <f t="shared" si="496"/>
        <v>147.04912886524394</v>
      </c>
      <c r="BI122" s="522">
        <f>BI121+BI92</f>
        <v>540.31194787921493</v>
      </c>
      <c r="BJ122" s="314"/>
      <c r="BK122" s="314"/>
      <c r="BL122" s="314"/>
      <c r="BM122" s="314"/>
      <c r="BN122" s="522">
        <f>BN121+BN92</f>
        <v>691.70682024949883</v>
      </c>
      <c r="BO122" s="314"/>
      <c r="BP122" s="314"/>
      <c r="BQ122" s="314"/>
      <c r="BR122" s="314"/>
      <c r="BS122" s="522">
        <f>BS121+BS92</f>
        <v>869.84036710630107</v>
      </c>
      <c r="BT122" s="92"/>
      <c r="BU122" s="518"/>
      <c r="BV122" s="519"/>
      <c r="BW122" s="92"/>
      <c r="BX122" s="92"/>
      <c r="BY122" s="92"/>
      <c r="BZ122" s="550"/>
      <c r="CA122" s="326"/>
      <c r="CB122" s="326"/>
      <c r="CC122" s="326"/>
      <c r="CD122" s="326"/>
      <c r="CE122" s="326"/>
      <c r="CF122" s="326"/>
      <c r="CG122" s="326"/>
      <c r="CH122" s="518"/>
      <c r="CI122" s="92"/>
      <c r="CJ122"/>
      <c r="CK122"/>
      <c r="CL122"/>
      <c r="CM122"/>
      <c r="CN122"/>
      <c r="CO122"/>
      <c r="CP122" s="523"/>
    </row>
    <row r="123" spans="1:94" s="521" customFormat="1" ht="12.75" customHeight="1" x14ac:dyDescent="0.2">
      <c r="A123" s="92" t="s">
        <v>146</v>
      </c>
      <c r="B123" s="314"/>
      <c r="C123" s="314"/>
      <c r="D123" s="314"/>
      <c r="E123" s="314"/>
      <c r="F123" s="522">
        <f t="shared" ref="F123:AE123" si="497">F122+F81</f>
        <v>145.72199999999998</v>
      </c>
      <c r="G123" s="314">
        <f t="shared" si="497"/>
        <v>33.707810000000023</v>
      </c>
      <c r="H123" s="314">
        <f t="shared" si="497"/>
        <v>22.225702000000023</v>
      </c>
      <c r="I123" s="314">
        <f t="shared" si="497"/>
        <v>60.657215000000015</v>
      </c>
      <c r="J123" s="314">
        <f t="shared" si="497"/>
        <v>45.648500000000013</v>
      </c>
      <c r="K123" s="522">
        <f t="shared" si="497"/>
        <v>162.23922700000008</v>
      </c>
      <c r="L123" s="314">
        <f t="shared" si="497"/>
        <v>54.698000000000008</v>
      </c>
      <c r="M123" s="314">
        <f t="shared" si="497"/>
        <v>58.311000000000028</v>
      </c>
      <c r="N123" s="314">
        <f t="shared" si="497"/>
        <v>51.177179999999964</v>
      </c>
      <c r="O123" s="314">
        <f t="shared" si="497"/>
        <v>41.289000000000016</v>
      </c>
      <c r="P123" s="522">
        <f t="shared" si="497"/>
        <v>205.47517999999988</v>
      </c>
      <c r="Q123" s="314">
        <f t="shared" si="497"/>
        <v>47.47</v>
      </c>
      <c r="R123" s="314">
        <f t="shared" si="497"/>
        <v>30.36</v>
      </c>
      <c r="S123" s="314">
        <f t="shared" si="497"/>
        <v>45.606000000000009</v>
      </c>
      <c r="T123" s="314">
        <f t="shared" si="497"/>
        <v>51.034000000000034</v>
      </c>
      <c r="U123" s="522">
        <f t="shared" si="497"/>
        <v>174.47000000000017</v>
      </c>
      <c r="V123" s="314">
        <f t="shared" si="497"/>
        <v>55.632999999999988</v>
      </c>
      <c r="W123" s="314">
        <f t="shared" si="497"/>
        <v>71.503</v>
      </c>
      <c r="X123" s="314">
        <f t="shared" si="497"/>
        <v>77.352000000000004</v>
      </c>
      <c r="Y123" s="314">
        <f t="shared" si="497"/>
        <v>70.780999999999977</v>
      </c>
      <c r="Z123" s="522">
        <f t="shared" si="497"/>
        <v>275.26899999999989</v>
      </c>
      <c r="AA123" s="314">
        <f t="shared" si="497"/>
        <v>73.622000000000014</v>
      </c>
      <c r="AB123" s="314">
        <f t="shared" si="497"/>
        <v>95.69</v>
      </c>
      <c r="AC123" s="314">
        <f t="shared" si="497"/>
        <v>81.822999999999979</v>
      </c>
      <c r="AD123" s="314">
        <f t="shared" si="497"/>
        <v>74.235000000000042</v>
      </c>
      <c r="AE123" s="522">
        <f t="shared" si="497"/>
        <v>325.36999999999989</v>
      </c>
      <c r="AF123" s="314">
        <f t="shared" ref="AF123:AL123" si="498">AF122+AF81</f>
        <v>100.639</v>
      </c>
      <c r="AG123" s="314">
        <f t="shared" si="498"/>
        <v>122.154</v>
      </c>
      <c r="AH123" s="314">
        <f t="shared" si="498"/>
        <v>143.36500000000001</v>
      </c>
      <c r="AI123" s="314">
        <f t="shared" si="498"/>
        <v>118.78199999999995</v>
      </c>
      <c r="AJ123" s="522">
        <f t="shared" si="498"/>
        <v>484.94000000000005</v>
      </c>
      <c r="AK123" s="314">
        <f t="shared" si="498"/>
        <v>117.61999999999996</v>
      </c>
      <c r="AL123" s="314">
        <f t="shared" si="498"/>
        <v>165.90900000000002</v>
      </c>
      <c r="AM123" s="314">
        <f>AM122+AM81</f>
        <v>171.92199999999997</v>
      </c>
      <c r="AN123" s="314">
        <f>AN122+AN81</f>
        <v>160.17000000000002</v>
      </c>
      <c r="AO123" s="522">
        <f>AO122+AO81</f>
        <v>615.62099999999987</v>
      </c>
      <c r="AP123" s="314">
        <f>AP122+AP81</f>
        <v>179.61700000000002</v>
      </c>
      <c r="AQ123" s="314">
        <f>AQ122+AQ81</f>
        <v>189.65100000000001</v>
      </c>
      <c r="AR123" s="314">
        <f t="shared" ref="AR123:AT123" si="499">AR122+AR81</f>
        <v>230.66799999999998</v>
      </c>
      <c r="AS123" s="314">
        <f t="shared" si="499"/>
        <v>193.02200000000002</v>
      </c>
      <c r="AT123" s="522">
        <f t="shared" si="499"/>
        <v>792.95800000000031</v>
      </c>
      <c r="AU123" s="314">
        <f>AU122+AU81</f>
        <v>193.02600000000004</v>
      </c>
      <c r="AV123" s="314">
        <f>AV122+AV81</f>
        <v>205.23700000000005</v>
      </c>
      <c r="AW123" s="314">
        <f t="shared" ref="AW123:AY123" si="500">AW122+AW81</f>
        <v>217.66499999999996</v>
      </c>
      <c r="AX123" s="314">
        <f t="shared" si="500"/>
        <v>171.92000000000002</v>
      </c>
      <c r="AY123" s="522">
        <f t="shared" si="500"/>
        <v>787.84800000000018</v>
      </c>
      <c r="AZ123" s="314">
        <f>AZ122+AZ81</f>
        <v>153.86499999999995</v>
      </c>
      <c r="BA123" s="314">
        <f>BA122+BA81</f>
        <v>222.12600000000006</v>
      </c>
      <c r="BB123" s="314">
        <f t="shared" ref="BB123:BD123" si="501">BB122+BB81</f>
        <v>202.70899999999995</v>
      </c>
      <c r="BC123" s="314">
        <f t="shared" si="501"/>
        <v>168.80600000000001</v>
      </c>
      <c r="BD123" s="522">
        <f t="shared" si="501"/>
        <v>747.50600000000043</v>
      </c>
      <c r="BE123" s="314">
        <f t="shared" ref="BE123" si="502">BE122+BE81</f>
        <v>142.94381400763007</v>
      </c>
      <c r="BF123" s="314">
        <f t="shared" ref="BF123:BH123" si="503">BF122+BF81</f>
        <v>173.23673922415088</v>
      </c>
      <c r="BG123" s="314">
        <f t="shared" si="503"/>
        <v>224.72555398960546</v>
      </c>
      <c r="BH123" s="314">
        <f t="shared" si="503"/>
        <v>185.05921105702475</v>
      </c>
      <c r="BI123" s="522">
        <f>BI122+BI81</f>
        <v>725.96531827841136</v>
      </c>
      <c r="BJ123" s="314"/>
      <c r="BK123" s="314"/>
      <c r="BL123" s="314"/>
      <c r="BM123" s="314"/>
      <c r="BN123" s="522">
        <f>BN122+BN81</f>
        <v>876.64613922408307</v>
      </c>
      <c r="BO123" s="314"/>
      <c r="BP123" s="314"/>
      <c r="BQ123" s="314"/>
      <c r="BR123" s="314"/>
      <c r="BS123" s="522">
        <f>BS122+BS81</f>
        <v>1057.0646506396447</v>
      </c>
      <c r="BT123" s="92"/>
      <c r="BU123" s="518"/>
      <c r="BV123" s="519"/>
      <c r="BW123" s="92"/>
      <c r="BX123" s="92"/>
      <c r="BY123" s="92"/>
      <c r="BZ123" s="550"/>
      <c r="CA123" s="326"/>
      <c r="CB123" s="326"/>
      <c r="CC123" s="326"/>
      <c r="CD123" s="326"/>
      <c r="CE123" s="326"/>
      <c r="CF123" s="326"/>
      <c r="CG123" s="326"/>
      <c r="CH123" s="518"/>
      <c r="CI123" s="92"/>
      <c r="CJ123"/>
      <c r="CK123"/>
      <c r="CL123"/>
      <c r="CM123"/>
      <c r="CN123"/>
      <c r="CO123"/>
      <c r="CP123" s="523"/>
    </row>
    <row r="124" spans="1:94" s="271" customFormat="1" ht="12.75" customHeight="1" x14ac:dyDescent="0.2">
      <c r="A124" s="47" t="s">
        <v>147</v>
      </c>
      <c r="B124" s="48"/>
      <c r="C124" s="48"/>
      <c r="D124" s="48"/>
      <c r="E124" s="48"/>
      <c r="F124" s="179">
        <f>F121/F117</f>
        <v>2.7691081048473797E-2</v>
      </c>
      <c r="G124" s="48">
        <f t="shared" ref="G124:P124" si="504">G121/G117</f>
        <v>1.6012475560934863E-2</v>
      </c>
      <c r="H124" s="48">
        <f t="shared" si="504"/>
        <v>-3.2391714096366646E-2</v>
      </c>
      <c r="I124" s="48">
        <f t="shared" si="504"/>
        <v>0.16388361863243411</v>
      </c>
      <c r="J124" s="48">
        <f t="shared" si="504"/>
        <v>0.1250141800526364</v>
      </c>
      <c r="K124" s="179">
        <f t="shared" si="504"/>
        <v>6.587963404307115E-2</v>
      </c>
      <c r="L124" s="48">
        <f t="shared" si="504"/>
        <v>0.18124073681981795</v>
      </c>
      <c r="M124" s="48">
        <f t="shared" si="504"/>
        <v>0.18872881872654623</v>
      </c>
      <c r="N124" s="48">
        <f t="shared" si="504"/>
        <v>0.15089010570635114</v>
      </c>
      <c r="O124" s="48">
        <f t="shared" si="504"/>
        <v>0.10382296351312635</v>
      </c>
      <c r="P124" s="179">
        <f t="shared" si="504"/>
        <v>0.15651649343748023</v>
      </c>
      <c r="Q124" s="48">
        <f t="shared" ref="Q124:Z124" si="505">Q121/Q117</f>
        <v>0.1275516025449468</v>
      </c>
      <c r="R124" s="48">
        <f t="shared" si="505"/>
        <v>2.2716636877745118E-2</v>
      </c>
      <c r="S124" s="48">
        <f t="shared" si="505"/>
        <v>9.1340747833345629E-2</v>
      </c>
      <c r="T124" s="48">
        <f t="shared" si="505"/>
        <v>9.8626271970397944E-2</v>
      </c>
      <c r="U124" s="179">
        <f t="shared" si="505"/>
        <v>8.6308742872137065E-2</v>
      </c>
      <c r="V124" s="48">
        <f t="shared" si="505"/>
        <v>0.11337906490961132</v>
      </c>
      <c r="W124" s="48">
        <f t="shared" si="505"/>
        <v>0.14763439184315541</v>
      </c>
      <c r="X124" s="48">
        <f>X121/X117</f>
        <v>0.15958006885706966</v>
      </c>
      <c r="Y124" s="48">
        <f>Y121/Y117</f>
        <v>0.13814667839762843</v>
      </c>
      <c r="Z124" s="179">
        <f t="shared" si="505"/>
        <v>0.1409876529379584</v>
      </c>
      <c r="AA124" s="48">
        <f t="shared" ref="AA124:AJ124" si="506">AA121/AA117</f>
        <v>0.12563724108194171</v>
      </c>
      <c r="AB124" s="48">
        <f t="shared" si="506"/>
        <v>0.16258070850225811</v>
      </c>
      <c r="AC124" s="48">
        <f t="shared" si="506"/>
        <v>0.11822959420653949</v>
      </c>
      <c r="AD124" s="48">
        <f t="shared" si="506"/>
        <v>9.7140141591626442E-2</v>
      </c>
      <c r="AE124" s="179">
        <f t="shared" si="506"/>
        <v>0.12632244832325532</v>
      </c>
      <c r="AF124" s="48">
        <f t="shared" si="506"/>
        <v>0.14373024292929701</v>
      </c>
      <c r="AG124" s="48">
        <f t="shared" si="506"/>
        <v>0.17831584994316771</v>
      </c>
      <c r="AH124" s="48">
        <f t="shared" si="506"/>
        <v>0.2031338625787025</v>
      </c>
      <c r="AI124" s="48">
        <f t="shared" si="506"/>
        <v>0.15386776639110053</v>
      </c>
      <c r="AJ124" s="179">
        <f t="shared" si="506"/>
        <v>0.17121528543839559</v>
      </c>
      <c r="AK124" s="48">
        <f>AK121/AK117</f>
        <v>0.13724608264628851</v>
      </c>
      <c r="AL124" s="48">
        <f>AL121/AL117</f>
        <v>0.21296839609321966</v>
      </c>
      <c r="AM124" s="48">
        <f>AM121/AM117</f>
        <v>0.21273873586150768</v>
      </c>
      <c r="AN124" s="48">
        <f>AN121/AN117</f>
        <v>0.20188751219738371</v>
      </c>
      <c r="AO124" s="179">
        <f>AO121/AO117</f>
        <v>0.19301452696756016</v>
      </c>
      <c r="AP124" s="48">
        <f t="shared" ref="AP124:AT124" si="507">AP121/AP117</f>
        <v>0.22694814079111392</v>
      </c>
      <c r="AQ124" s="48">
        <f t="shared" si="507"/>
        <v>0.21572184647853981</v>
      </c>
      <c r="AR124" s="48">
        <f t="shared" si="507"/>
        <v>0.27401490151189628</v>
      </c>
      <c r="AS124" s="48">
        <f t="shared" si="507"/>
        <v>0.22824644221557927</v>
      </c>
      <c r="AT124" s="179">
        <f t="shared" si="507"/>
        <v>0.2369963898512373</v>
      </c>
      <c r="AU124" s="48">
        <f>AU121/AU117</f>
        <v>0.2187429735219078</v>
      </c>
      <c r="AV124" s="48">
        <f t="shared" ref="AV124:AY124" si="508">AV121/AV117</f>
        <v>0.2232642223603187</v>
      </c>
      <c r="AW124" s="48">
        <f t="shared" si="508"/>
        <v>0.23014216300864757</v>
      </c>
      <c r="AX124" s="48">
        <f t="shared" si="508"/>
        <v>0.16237890139379033</v>
      </c>
      <c r="AY124" s="179">
        <f t="shared" si="508"/>
        <v>0.20889155522326877</v>
      </c>
      <c r="AZ124" s="48">
        <f>AZ121/AZ117</f>
        <v>0.11032774197037233</v>
      </c>
      <c r="BA124" s="48">
        <f t="shared" ref="BA124:BD124" si="509">BA121/BA117</f>
        <v>0.19129605718829903</v>
      </c>
      <c r="BB124" s="48">
        <f t="shared" si="509"/>
        <v>0.16366112704461813</v>
      </c>
      <c r="BC124" s="48">
        <f t="shared" si="509"/>
        <v>0.13420248962904441</v>
      </c>
      <c r="BD124" s="179">
        <f t="shared" si="509"/>
        <v>0.15164374962703014</v>
      </c>
      <c r="BE124" s="48">
        <f t="shared" ref="BE124:BH124" si="510">BE121/BE117</f>
        <v>7.555233752286486E-2</v>
      </c>
      <c r="BF124" s="48">
        <f t="shared" si="510"/>
        <v>9.071319757876746E-2</v>
      </c>
      <c r="BG124" s="48">
        <f t="shared" si="510"/>
        <v>0.13700109101249897</v>
      </c>
      <c r="BH124" s="48">
        <f t="shared" si="510"/>
        <v>0.11886566389379064</v>
      </c>
      <c r="BI124" s="179">
        <f>BI121/BI117</f>
        <v>0.10699750517150161</v>
      </c>
      <c r="BJ124" s="48"/>
      <c r="BK124" s="48"/>
      <c r="BL124" s="48"/>
      <c r="BM124" s="48"/>
      <c r="BN124" s="179">
        <f>BN121/BN117</f>
        <v>0.12562894116025858</v>
      </c>
      <c r="BO124" s="48"/>
      <c r="BP124" s="48"/>
      <c r="BQ124" s="48"/>
      <c r="BR124" s="48"/>
      <c r="BS124" s="179">
        <f>BS121/BS117</f>
        <v>0.14751642574349283</v>
      </c>
      <c r="BT124" s="47"/>
      <c r="BU124" s="369"/>
      <c r="BV124" s="233"/>
      <c r="BW124" s="47"/>
      <c r="BX124" s="47"/>
      <c r="BY124" s="47"/>
      <c r="BZ124" s="531"/>
      <c r="CA124" s="322"/>
      <c r="CB124" s="322"/>
      <c r="CC124" s="322"/>
      <c r="CD124" s="322"/>
      <c r="CE124" s="322"/>
      <c r="CF124" s="322"/>
      <c r="CG124" s="322"/>
      <c r="CH124" s="369"/>
      <c r="CI124" s="47"/>
      <c r="CJ124"/>
      <c r="CK124"/>
      <c r="CL124"/>
      <c r="CM124"/>
      <c r="CN124"/>
      <c r="CO124"/>
      <c r="CP124" s="408"/>
    </row>
    <row r="125" spans="1:94" s="262" customFormat="1" ht="12.75" customHeight="1" x14ac:dyDescent="0.2">
      <c r="A125" s="561" t="s">
        <v>22</v>
      </c>
      <c r="B125" s="23"/>
      <c r="C125" s="23"/>
      <c r="D125" s="23"/>
      <c r="E125" s="23"/>
      <c r="F125" s="168"/>
      <c r="G125" s="23"/>
      <c r="H125" s="23"/>
      <c r="I125" s="23"/>
      <c r="J125" s="23"/>
      <c r="K125" s="168">
        <f t="shared" ref="K125:U125" si="511">(K124-F124)*100</f>
        <v>3.8188552994597349</v>
      </c>
      <c r="L125" s="23">
        <f t="shared" si="511"/>
        <v>16.522826125888308</v>
      </c>
      <c r="M125" s="23">
        <f t="shared" si="511"/>
        <v>22.112053282291289</v>
      </c>
      <c r="N125" s="23">
        <f t="shared" si="511"/>
        <v>-1.2993512926082973</v>
      </c>
      <c r="O125" s="23">
        <f t="shared" si="511"/>
        <v>-2.1191216539510047</v>
      </c>
      <c r="P125" s="168">
        <f t="shared" si="511"/>
        <v>9.0636859394409068</v>
      </c>
      <c r="Q125" s="23">
        <f t="shared" si="511"/>
        <v>-5.3689134274871151</v>
      </c>
      <c r="R125" s="23">
        <f t="shared" si="511"/>
        <v>-16.601218184880111</v>
      </c>
      <c r="S125" s="23">
        <f t="shared" si="511"/>
        <v>-5.9549357873005508</v>
      </c>
      <c r="T125" s="23">
        <f t="shared" si="511"/>
        <v>-0.51966915427284066</v>
      </c>
      <c r="U125" s="168">
        <f t="shared" si="511"/>
        <v>-7.0207750565343163</v>
      </c>
      <c r="V125" s="23">
        <f t="shared" ref="V125:AE125" si="512">(V124-Q124)*100</f>
        <v>-1.4172537635335478</v>
      </c>
      <c r="W125" s="23">
        <f t="shared" si="512"/>
        <v>12.491775496541029</v>
      </c>
      <c r="X125" s="23">
        <f t="shared" si="512"/>
        <v>6.8239321023724031</v>
      </c>
      <c r="Y125" s="23">
        <f t="shared" si="512"/>
        <v>3.9520406427230483</v>
      </c>
      <c r="Z125" s="168">
        <f t="shared" si="512"/>
        <v>5.4678910065821329</v>
      </c>
      <c r="AA125" s="23">
        <f t="shared" si="512"/>
        <v>1.2258176172330395</v>
      </c>
      <c r="AB125" s="23">
        <f t="shared" si="512"/>
        <v>1.4946316659102705</v>
      </c>
      <c r="AC125" s="23">
        <f t="shared" si="512"/>
        <v>-4.1350474650530167</v>
      </c>
      <c r="AD125" s="23">
        <f t="shared" si="512"/>
        <v>-4.1006536806001987</v>
      </c>
      <c r="AE125" s="168">
        <f t="shared" si="512"/>
        <v>-1.4665204614703082</v>
      </c>
      <c r="AF125" s="23">
        <f t="shared" ref="AF125:AM125" si="513">(AF124-AA124)*100</f>
        <v>1.8093001847355294</v>
      </c>
      <c r="AG125" s="23">
        <f t="shared" si="513"/>
        <v>1.5735141440909595</v>
      </c>
      <c r="AH125" s="23">
        <f t="shared" si="513"/>
        <v>8.490426837216301</v>
      </c>
      <c r="AI125" s="23">
        <f t="shared" si="513"/>
        <v>5.6727624799474086</v>
      </c>
      <c r="AJ125" s="168">
        <f t="shared" si="513"/>
        <v>4.4892837115140276</v>
      </c>
      <c r="AK125" s="23">
        <f t="shared" si="513"/>
        <v>-0.64841602830084943</v>
      </c>
      <c r="AL125" s="23">
        <f t="shared" si="513"/>
        <v>3.465254615005195</v>
      </c>
      <c r="AM125" s="23">
        <f t="shared" si="513"/>
        <v>0.96048732828051819</v>
      </c>
      <c r="AN125" s="23">
        <f>(AN124-AI124)*100</f>
        <v>4.8019745806283183</v>
      </c>
      <c r="AO125" s="168">
        <f>(AO124-AJ124)*100</f>
        <v>2.179924152916457</v>
      </c>
      <c r="AP125" s="23">
        <f>(AP124-AK124)*100</f>
        <v>8.9702058144825401</v>
      </c>
      <c r="AQ125" s="23">
        <f>(AQ124-AL124)*100</f>
        <v>0.27534503853201553</v>
      </c>
      <c r="AR125" s="23">
        <f>(AR124-AM124)*100</f>
        <v>6.1276165650388599</v>
      </c>
      <c r="AS125" s="23">
        <f t="shared" ref="AS125:AT125" si="514">(AS124-AN124)*100</f>
        <v>2.6358930018195559</v>
      </c>
      <c r="AT125" s="168">
        <f t="shared" si="514"/>
        <v>4.3981862883677145</v>
      </c>
      <c r="AU125" s="23">
        <f>(AU124-AP124)*100</f>
        <v>-0.82051672692061151</v>
      </c>
      <c r="AV125" s="23">
        <f>(AV124-AQ124)*100</f>
        <v>0.754237588177889</v>
      </c>
      <c r="AW125" s="23">
        <f>(AW124-AR124)*100</f>
        <v>-4.3872738503248714</v>
      </c>
      <c r="AX125" s="23">
        <f t="shared" ref="AX125" si="515">(AX124-AS124)*100</f>
        <v>-6.5867540821788948</v>
      </c>
      <c r="AY125" s="168">
        <f t="shared" ref="AY125" si="516">(AY124-AT124)*100</f>
        <v>-2.8104834627968533</v>
      </c>
      <c r="AZ125" s="23">
        <f>(AZ124-AU124)*100</f>
        <v>-10.841523155153547</v>
      </c>
      <c r="BA125" s="23">
        <f>(BA124-AV124)*100</f>
        <v>-3.1968165172019667</v>
      </c>
      <c r="BB125" s="23">
        <f>(BB124-AW124)*100</f>
        <v>-6.6481035964029438</v>
      </c>
      <c r="BC125" s="23">
        <f t="shared" ref="BC125" si="517">(BC124-AX124)*100</f>
        <v>-2.8176411764745919</v>
      </c>
      <c r="BD125" s="168">
        <f t="shared" ref="BD125" si="518">(BD124-AY124)*100</f>
        <v>-5.7247805596238628</v>
      </c>
      <c r="BE125" s="23">
        <f t="shared" ref="BE125:BH125" si="519">(BE124-AZ124)*100</f>
        <v>-3.4775404447507472</v>
      </c>
      <c r="BF125" s="23">
        <f t="shared" si="519"/>
        <v>-10.058285960953157</v>
      </c>
      <c r="BG125" s="23">
        <f t="shared" si="519"/>
        <v>-2.6660036032119168</v>
      </c>
      <c r="BH125" s="23">
        <f t="shared" si="519"/>
        <v>-1.5336825735253772</v>
      </c>
      <c r="BI125" s="168">
        <f>(BI124-BD124)*100</f>
        <v>-4.464624445552853</v>
      </c>
      <c r="BJ125" s="23"/>
      <c r="BK125" s="23"/>
      <c r="BL125" s="23"/>
      <c r="BM125" s="23"/>
      <c r="BN125" s="168">
        <f>(BN124-BI124)*100</f>
        <v>1.8631435988756966</v>
      </c>
      <c r="BO125" s="23"/>
      <c r="BP125" s="23"/>
      <c r="BQ125" s="23"/>
      <c r="BR125" s="23"/>
      <c r="BS125" s="168">
        <f>(BS124-BN124)*100</f>
        <v>2.1887484583234249</v>
      </c>
      <c r="BT125" s="150"/>
      <c r="BU125" s="358"/>
      <c r="BV125" s="226"/>
      <c r="BW125" s="150"/>
      <c r="BX125" s="150"/>
      <c r="BY125" s="150"/>
      <c r="BZ125" s="531"/>
      <c r="CA125" s="531"/>
      <c r="CB125" s="324"/>
      <c r="CC125" s="324"/>
      <c r="CD125" s="324"/>
      <c r="CE125" s="324"/>
      <c r="CF125" s="324"/>
      <c r="CG125" s="324"/>
      <c r="CH125" s="358"/>
      <c r="CI125" s="150"/>
      <c r="CJ125"/>
      <c r="CK125"/>
      <c r="CL125"/>
      <c r="CM125"/>
      <c r="CN125"/>
      <c r="CO125"/>
      <c r="CP125" s="394"/>
    </row>
    <row r="126" spans="1:94" s="272" customFormat="1" ht="12.75" customHeight="1" x14ac:dyDescent="0.2">
      <c r="A126" s="49" t="s">
        <v>148</v>
      </c>
      <c r="B126" s="50"/>
      <c r="C126" s="50"/>
      <c r="D126" s="50"/>
      <c r="E126" s="50"/>
      <c r="F126" s="180">
        <f t="shared" ref="F126:AF126" si="520">F50-F115</f>
        <v>0</v>
      </c>
      <c r="G126" s="50">
        <f t="shared" si="520"/>
        <v>1.8554398834888843</v>
      </c>
      <c r="H126" s="50">
        <f t="shared" si="520"/>
        <v>-3.5375128785879184</v>
      </c>
      <c r="I126" s="50">
        <f t="shared" si="520"/>
        <v>18.367101995845402</v>
      </c>
      <c r="J126" s="50">
        <f t="shared" si="520"/>
        <v>14.474379812507181</v>
      </c>
      <c r="K126" s="180">
        <f t="shared" si="520"/>
        <v>7.449109323028182</v>
      </c>
      <c r="L126" s="50">
        <f t="shared" si="520"/>
        <v>20.784125934968671</v>
      </c>
      <c r="M126" s="50">
        <f t="shared" si="520"/>
        <v>20.89186825998253</v>
      </c>
      <c r="N126" s="50">
        <f t="shared" si="520"/>
        <v>15.931071825895529</v>
      </c>
      <c r="O126" s="50">
        <f t="shared" si="520"/>
        <v>12.203395888941074</v>
      </c>
      <c r="P126" s="180">
        <f t="shared" si="520"/>
        <v>17.506021894194859</v>
      </c>
      <c r="Q126" s="50">
        <f t="shared" si="520"/>
        <v>15.388588741342446</v>
      </c>
      <c r="R126" s="50">
        <f t="shared" si="520"/>
        <v>2.5005089146959563</v>
      </c>
      <c r="S126" s="50">
        <f t="shared" si="520"/>
        <v>9.7406031612713377</v>
      </c>
      <c r="T126" s="50">
        <f t="shared" si="520"/>
        <v>11.192165326805153</v>
      </c>
      <c r="U126" s="180">
        <f t="shared" si="520"/>
        <v>9.6997465953788975</v>
      </c>
      <c r="V126" s="50">
        <f t="shared" si="520"/>
        <v>14.162978139435992</v>
      </c>
      <c r="W126" s="50">
        <f t="shared" si="520"/>
        <v>18.514090909090896</v>
      </c>
      <c r="X126" s="50">
        <f t="shared" si="520"/>
        <v>20.163238512034994</v>
      </c>
      <c r="Y126" s="50">
        <f>Y50-Y115</f>
        <v>17.438248847926275</v>
      </c>
      <c r="Z126" s="180">
        <f t="shared" si="520"/>
        <v>17.730957746915422</v>
      </c>
      <c r="AA126" s="50">
        <f>AA50-AA115</f>
        <v>16.12558535547042</v>
      </c>
      <c r="AB126" s="50">
        <f>AB50-AB115</f>
        <v>21.547263681592042</v>
      </c>
      <c r="AC126" s="50">
        <f t="shared" si="520"/>
        <v>14.382373845060414</v>
      </c>
      <c r="AD126" s="50">
        <f t="shared" si="520"/>
        <v>12.046845485455236</v>
      </c>
      <c r="AE126" s="180">
        <f t="shared" si="520"/>
        <v>15.97831718315264</v>
      </c>
      <c r="AF126" s="50">
        <f t="shared" si="520"/>
        <v>19.235187861271655</v>
      </c>
      <c r="AG126" s="50">
        <f t="shared" ref="AG126:AO126" si="521">AG50-AG115</f>
        <v>23.347798135647693</v>
      </c>
      <c r="AH126" s="50">
        <f t="shared" si="521"/>
        <v>27.49140486069949</v>
      </c>
      <c r="AI126" s="50">
        <f t="shared" si="521"/>
        <v>20.443530528313815</v>
      </c>
      <c r="AJ126" s="180">
        <f t="shared" si="521"/>
        <v>22.817464153375212</v>
      </c>
      <c r="AK126" s="50">
        <f t="shared" si="521"/>
        <v>18.416666666666671</v>
      </c>
      <c r="AL126" s="50">
        <f t="shared" si="521"/>
        <v>29.79630148500982</v>
      </c>
      <c r="AM126" s="50">
        <f t="shared" si="521"/>
        <v>29.470948827292119</v>
      </c>
      <c r="AN126" s="50">
        <f t="shared" si="521"/>
        <v>25.827177136694516</v>
      </c>
      <c r="AO126" s="180">
        <f t="shared" si="521"/>
        <v>26.082482160347013</v>
      </c>
      <c r="AP126" s="50">
        <f t="shared" ref="AP126:AT126" si="522">AP50-AP115</f>
        <v>28.132160804020089</v>
      </c>
      <c r="AQ126" s="50">
        <f t="shared" si="522"/>
        <v>26.447718210013264</v>
      </c>
      <c r="AR126" s="50">
        <f t="shared" si="522"/>
        <v>32.980527638190949</v>
      </c>
      <c r="AS126" s="50">
        <f t="shared" si="522"/>
        <v>25.513076169174624</v>
      </c>
      <c r="AT126" s="180">
        <f t="shared" si="522"/>
        <v>28.320307595573709</v>
      </c>
      <c r="AU126" s="50">
        <f>AU50-AU115</f>
        <v>23.59888215293816</v>
      </c>
      <c r="AV126" s="50">
        <f t="shared" ref="AV126:AY126" si="523">AV50-AV115</f>
        <v>23.262471766052499</v>
      </c>
      <c r="AW126" s="50">
        <f t="shared" si="523"/>
        <v>25.201621431089194</v>
      </c>
      <c r="AX126" s="50">
        <f t="shared" si="523"/>
        <v>17.55364485981309</v>
      </c>
      <c r="AY126" s="180">
        <f t="shared" si="523"/>
        <v>22.436259632573922</v>
      </c>
      <c r="AZ126" s="50">
        <f>AZ50-AZ115</f>
        <v>11.721005385996392</v>
      </c>
      <c r="BA126" s="50">
        <f t="shared" ref="BA126:BD126" si="524">BA50-BA115</f>
        <v>21.628907508862397</v>
      </c>
      <c r="BB126" s="50">
        <f t="shared" si="524"/>
        <v>17.833042651022666</v>
      </c>
      <c r="BC126" s="50">
        <f t="shared" si="524"/>
        <v>14.6744262295082</v>
      </c>
      <c r="BD126" s="180">
        <f t="shared" si="524"/>
        <v>16.602654757474269</v>
      </c>
      <c r="BE126" s="50">
        <f t="shared" ref="BE126:BH126" si="525">BE50-BE115</f>
        <v>8.1435383368618659</v>
      </c>
      <c r="BF126" s="50">
        <f t="shared" si="525"/>
        <v>9.9969980191370809</v>
      </c>
      <c r="BG126" s="50">
        <f t="shared" si="525"/>
        <v>15.725660915232638</v>
      </c>
      <c r="BH126" s="50">
        <f t="shared" si="525"/>
        <v>13.53964064976914</v>
      </c>
      <c r="BI126" s="180">
        <f>BI50-BI115</f>
        <v>11.958647593053144</v>
      </c>
      <c r="BJ126" s="50"/>
      <c r="BK126" s="50"/>
      <c r="BL126" s="50"/>
      <c r="BM126" s="50"/>
      <c r="BN126" s="180">
        <f>BN50-BN115</f>
        <v>14.104387776301493</v>
      </c>
      <c r="BO126" s="50"/>
      <c r="BP126" s="50"/>
      <c r="BQ126" s="50"/>
      <c r="BR126" s="50"/>
      <c r="BS126" s="180">
        <f>BS50-BS115</f>
        <v>16.640170532577699</v>
      </c>
      <c r="BT126" s="158"/>
      <c r="BU126" s="370"/>
      <c r="BV126" s="234"/>
      <c r="BW126" s="158"/>
      <c r="BX126" s="158"/>
      <c r="BY126" s="158"/>
      <c r="BZ126" s="433"/>
      <c r="CA126" s="531"/>
      <c r="CB126" s="332"/>
      <c r="CC126" s="332"/>
      <c r="CD126" s="332"/>
      <c r="CE126" s="332"/>
      <c r="CF126" s="332"/>
      <c r="CG126" s="332"/>
      <c r="CH126" s="370"/>
      <c r="CI126" s="158"/>
      <c r="CJ126"/>
      <c r="CK126"/>
      <c r="CL126"/>
      <c r="CM126"/>
      <c r="CN126"/>
      <c r="CO126"/>
      <c r="CP126" s="409"/>
    </row>
    <row r="127" spans="1:94" s="271" customFormat="1" ht="12.75" customHeight="1" x14ac:dyDescent="0.2">
      <c r="A127" s="47" t="s">
        <v>60</v>
      </c>
      <c r="B127" s="48"/>
      <c r="C127" s="48"/>
      <c r="D127" s="48"/>
      <c r="E127" s="48"/>
      <c r="F127" s="179">
        <f t="shared" ref="F127:Z127" si="526">F123/F117</f>
        <v>0.19109678502300156</v>
      </c>
      <c r="G127" s="48">
        <f t="shared" si="526"/>
        <v>0.16517039969815622</v>
      </c>
      <c r="H127" s="48">
        <f t="shared" si="526"/>
        <v>0.10830394316232664</v>
      </c>
      <c r="I127" s="48">
        <f t="shared" si="526"/>
        <v>0.29845557157407365</v>
      </c>
      <c r="J127" s="48">
        <f t="shared" si="526"/>
        <v>0.25891925310826763</v>
      </c>
      <c r="K127" s="179">
        <f t="shared" si="526"/>
        <v>0.20566914669208819</v>
      </c>
      <c r="L127" s="48">
        <f t="shared" si="526"/>
        <v>0.32169995530147982</v>
      </c>
      <c r="M127" s="48">
        <f t="shared" si="526"/>
        <v>0.32321916555344321</v>
      </c>
      <c r="N127" s="48">
        <f t="shared" si="526"/>
        <v>0.28653352593388859</v>
      </c>
      <c r="O127" s="48">
        <f t="shared" si="526"/>
        <v>0.24146602492499702</v>
      </c>
      <c r="P127" s="179">
        <f t="shared" si="526"/>
        <v>0.29352087606923055</v>
      </c>
      <c r="Q127" s="48">
        <f t="shared" si="526"/>
        <v>0.25791764239259773</v>
      </c>
      <c r="R127" s="48">
        <f t="shared" si="526"/>
        <v>0.17117823172210037</v>
      </c>
      <c r="S127" s="48">
        <f t="shared" si="526"/>
        <v>0.22393754143036021</v>
      </c>
      <c r="T127" s="48">
        <f t="shared" si="526"/>
        <v>0.23604995374653112</v>
      </c>
      <c r="U127" s="179">
        <f t="shared" si="526"/>
        <v>0.22331731230760388</v>
      </c>
      <c r="V127" s="48">
        <f t="shared" si="526"/>
        <v>0.23911511119134188</v>
      </c>
      <c r="W127" s="48">
        <f t="shared" si="526"/>
        <v>0.25917119442098507</v>
      </c>
      <c r="X127" s="48">
        <f>X123/X117</f>
        <v>0.26791911718863654</v>
      </c>
      <c r="Y127" s="48">
        <f>Y123/Y117</f>
        <v>0.25840120619599216</v>
      </c>
      <c r="Z127" s="179">
        <f t="shared" si="526"/>
        <v>0.256975912679964</v>
      </c>
      <c r="AA127" s="48">
        <f t="shared" ref="AA127:AI127" si="527">AA123/AA117</f>
        <v>0.24418978755866602</v>
      </c>
      <c r="AB127" s="48">
        <f t="shared" si="527"/>
        <v>0.27631472561996834</v>
      </c>
      <c r="AC127" s="48">
        <f t="shared" si="527"/>
        <v>0.23902698376066622</v>
      </c>
      <c r="AD127" s="48">
        <f t="shared" si="527"/>
        <v>0.22614144540436484</v>
      </c>
      <c r="AE127" s="179">
        <f t="shared" si="527"/>
        <v>0.24679381183687951</v>
      </c>
      <c r="AF127" s="48">
        <f t="shared" si="527"/>
        <v>0.27167642541106851</v>
      </c>
      <c r="AG127" s="48">
        <f t="shared" si="527"/>
        <v>0.29988289851941502</v>
      </c>
      <c r="AH127" s="48">
        <f t="shared" si="527"/>
        <v>0.3139666027922256</v>
      </c>
      <c r="AI127" s="48">
        <f t="shared" si="527"/>
        <v>0.28282506000228569</v>
      </c>
      <c r="AJ127" s="179">
        <f t="shared" ref="AJ127:AO127" si="528">AJ123/AJ117</f>
        <v>0.29312403098432349</v>
      </c>
      <c r="AK127" s="48">
        <f t="shared" si="528"/>
        <v>0.2685467833520172</v>
      </c>
      <c r="AL127" s="48">
        <f t="shared" si="528"/>
        <v>0.33225857487027805</v>
      </c>
      <c r="AM127" s="48">
        <f t="shared" si="528"/>
        <v>0.33076616727815622</v>
      </c>
      <c r="AN127" s="48">
        <f t="shared" si="528"/>
        <v>0.33756456973531418</v>
      </c>
      <c r="AO127" s="179">
        <f t="shared" si="528"/>
        <v>0.31871369552387158</v>
      </c>
      <c r="AP127" s="48">
        <f t="shared" ref="AP127:AT127" si="529">AP123/AP117</f>
        <v>0.36407252384185834</v>
      </c>
      <c r="AQ127" s="48">
        <f t="shared" si="529"/>
        <v>0.34268847766889943</v>
      </c>
      <c r="AR127" s="48">
        <f t="shared" si="529"/>
        <v>0.40127269975523661</v>
      </c>
      <c r="AS127" s="48">
        <f t="shared" si="529"/>
        <v>0.37130611758097593</v>
      </c>
      <c r="AT127" s="179">
        <f t="shared" si="529"/>
        <v>0.37028797602386793</v>
      </c>
      <c r="AU127" s="48">
        <f>AU123/AU117</f>
        <v>0.35868904733500206</v>
      </c>
      <c r="AV127" s="48">
        <f t="shared" ref="AV127:AY127" si="530">AV123/AV117</f>
        <v>0.35135320209609805</v>
      </c>
      <c r="AW127" s="48">
        <f t="shared" si="530"/>
        <v>0.35032164923896997</v>
      </c>
      <c r="AX127" s="48">
        <f t="shared" si="530"/>
        <v>0.29725893099519152</v>
      </c>
      <c r="AY127" s="179">
        <f t="shared" si="530"/>
        <v>0.33930358714807696</v>
      </c>
      <c r="AZ127" s="48">
        <f>AZ123/AZ117</f>
        <v>0.26001865665336132</v>
      </c>
      <c r="BA127" s="48">
        <f t="shared" ref="BA127:BD127" si="531">BA123/BA117</f>
        <v>0.31656220339127988</v>
      </c>
      <c r="BB127" s="48">
        <f t="shared" si="531"/>
        <v>0.29496486625312296</v>
      </c>
      <c r="BC127" s="48">
        <f t="shared" si="531"/>
        <v>0.2530798027606907</v>
      </c>
      <c r="BD127" s="179">
        <f t="shared" si="531"/>
        <v>0.28232639615419786</v>
      </c>
      <c r="BE127" s="48">
        <f t="shared" ref="BE127:BH127" si="532">BE123/BE117</f>
        <v>0.20207650751063963</v>
      </c>
      <c r="BF127" s="48">
        <f t="shared" si="532"/>
        <v>0.2097611206978495</v>
      </c>
      <c r="BG127" s="48">
        <f t="shared" si="532"/>
        <v>0.25470074139290588</v>
      </c>
      <c r="BH127" s="48">
        <f t="shared" si="532"/>
        <v>0.23821655910288353</v>
      </c>
      <c r="BI127" s="179">
        <f>BI123/BI117</f>
        <v>0.22740310705366054</v>
      </c>
      <c r="BJ127" s="48"/>
      <c r="BK127" s="48"/>
      <c r="BL127" s="48"/>
      <c r="BM127" s="48"/>
      <c r="BN127" s="179">
        <f>BN123/BN117</f>
        <v>0.24299436303306393</v>
      </c>
      <c r="BO127" s="48"/>
      <c r="BP127" s="48"/>
      <c r="BQ127" s="48"/>
      <c r="BR127" s="48"/>
      <c r="BS127" s="179">
        <f>BS123/BS117</f>
        <v>0.25921972789871006</v>
      </c>
      <c r="BT127" s="47"/>
      <c r="BU127" s="369"/>
      <c r="BV127" s="233"/>
      <c r="BW127" s="47"/>
      <c r="BX127" s="47"/>
      <c r="BY127" s="47"/>
      <c r="BZ127" s="531"/>
      <c r="CA127" s="531"/>
      <c r="CB127" s="322"/>
      <c r="CC127" s="322"/>
      <c r="CD127" s="322"/>
      <c r="CE127" s="322"/>
      <c r="CF127" s="322"/>
      <c r="CG127" s="322"/>
      <c r="CH127" s="369"/>
      <c r="CI127" s="47"/>
      <c r="CJ127"/>
      <c r="CK127"/>
      <c r="CL127"/>
      <c r="CM127"/>
      <c r="CN127"/>
      <c r="CO127"/>
      <c r="CP127" s="408"/>
    </row>
    <row r="128" spans="1:94" s="262" customFormat="1" ht="12.75" customHeight="1" x14ac:dyDescent="0.2">
      <c r="A128" s="561" t="s">
        <v>22</v>
      </c>
      <c r="B128" s="23"/>
      <c r="C128" s="23"/>
      <c r="D128" s="23"/>
      <c r="E128" s="23"/>
      <c r="F128" s="168"/>
      <c r="G128" s="23"/>
      <c r="H128" s="23"/>
      <c r="I128" s="23"/>
      <c r="J128" s="23"/>
      <c r="K128" s="168">
        <f t="shared" ref="K128:U128" si="533">(K127-F127)*100</f>
        <v>1.4572361669086624</v>
      </c>
      <c r="L128" s="23">
        <f t="shared" si="533"/>
        <v>15.65295556033236</v>
      </c>
      <c r="M128" s="23">
        <f t="shared" si="533"/>
        <v>21.491522239111656</v>
      </c>
      <c r="N128" s="23">
        <f t="shared" si="533"/>
        <v>-1.1922045640185064</v>
      </c>
      <c r="O128" s="23">
        <f t="shared" si="533"/>
        <v>-1.7453228183270608</v>
      </c>
      <c r="P128" s="168">
        <f t="shared" si="533"/>
        <v>8.7851729377142362</v>
      </c>
      <c r="Q128" s="23">
        <f t="shared" si="533"/>
        <v>-6.3782312908882091</v>
      </c>
      <c r="R128" s="23">
        <f t="shared" si="533"/>
        <v>-15.204093383134284</v>
      </c>
      <c r="S128" s="23">
        <f t="shared" si="533"/>
        <v>-6.2595984503528381</v>
      </c>
      <c r="T128" s="23">
        <f t="shared" si="533"/>
        <v>-0.54160711784659032</v>
      </c>
      <c r="U128" s="168">
        <f t="shared" si="533"/>
        <v>-7.0203563761626677</v>
      </c>
      <c r="V128" s="23">
        <f t="shared" ref="V128:AE128" si="534">(V127-Q127)*100</f>
        <v>-1.8802531201255857</v>
      </c>
      <c r="W128" s="23">
        <f t="shared" si="534"/>
        <v>8.7992962698884707</v>
      </c>
      <c r="X128" s="23">
        <f t="shared" si="534"/>
        <v>4.3981575758276321</v>
      </c>
      <c r="Y128" s="23">
        <f t="shared" si="534"/>
        <v>2.2351252449461039</v>
      </c>
      <c r="Z128" s="168">
        <f t="shared" si="534"/>
        <v>3.3658600372360126</v>
      </c>
      <c r="AA128" s="23">
        <f t="shared" si="534"/>
        <v>0.50746763673241435</v>
      </c>
      <c r="AB128" s="23">
        <f t="shared" si="534"/>
        <v>1.7143531198983264</v>
      </c>
      <c r="AC128" s="23">
        <f t="shared" si="534"/>
        <v>-2.8892133427970315</v>
      </c>
      <c r="AD128" s="23">
        <f t="shared" si="534"/>
        <v>-3.2259760791627317</v>
      </c>
      <c r="AE128" s="168">
        <f t="shared" si="534"/>
        <v>-1.0182100843084489</v>
      </c>
      <c r="AF128" s="23">
        <f t="shared" ref="AF128:AM128" si="535">(AF127-AA127)*100</f>
        <v>2.7486637852402489</v>
      </c>
      <c r="AG128" s="23">
        <f t="shared" si="535"/>
        <v>2.3568172899446682</v>
      </c>
      <c r="AH128" s="23">
        <f t="shared" si="535"/>
        <v>7.4939619031559381</v>
      </c>
      <c r="AI128" s="23">
        <f t="shared" si="535"/>
        <v>5.6683614597920844</v>
      </c>
      <c r="AJ128" s="168">
        <f t="shared" si="535"/>
        <v>4.6330219147443978</v>
      </c>
      <c r="AK128" s="23">
        <f t="shared" si="535"/>
        <v>-0.31296420590513074</v>
      </c>
      <c r="AL128" s="23">
        <f t="shared" si="535"/>
        <v>3.2375676350863025</v>
      </c>
      <c r="AM128" s="23">
        <f t="shared" si="535"/>
        <v>1.6799564485930618</v>
      </c>
      <c r="AN128" s="23">
        <f>(AN127-AI127)*100</f>
        <v>5.4739509733028493</v>
      </c>
      <c r="AO128" s="168">
        <f>(AO127-AJ127)*100</f>
        <v>2.5589664539548087</v>
      </c>
      <c r="AP128" s="23">
        <f>(AP127-AK127)*100</f>
        <v>9.5525740489841144</v>
      </c>
      <c r="AQ128" s="23">
        <f>(AQ127-AL127)*100</f>
        <v>1.0429902798621382</v>
      </c>
      <c r="AR128" s="23">
        <f>(AR127-AM127)*100</f>
        <v>7.0506532477080386</v>
      </c>
      <c r="AS128" s="23">
        <f t="shared" ref="AS128:AT128" si="536">(AS127-AN127)*100</f>
        <v>3.3741547845661746</v>
      </c>
      <c r="AT128" s="168">
        <f t="shared" si="536"/>
        <v>5.157428049999635</v>
      </c>
      <c r="AU128" s="23">
        <f>(AU127-AP127)*100</f>
        <v>-0.53834765068562773</v>
      </c>
      <c r="AV128" s="23">
        <f>(AV127-AQ127)*100</f>
        <v>0.86647244271986223</v>
      </c>
      <c r="AW128" s="23">
        <f>(AW127-AR127)*100</f>
        <v>-5.095105051626664</v>
      </c>
      <c r="AX128" s="23">
        <f t="shared" ref="AX128" si="537">(AX127-AS127)*100</f>
        <v>-7.4047186585784406</v>
      </c>
      <c r="AY128" s="168">
        <f t="shared" ref="AY128" si="538">(AY127-AT127)*100</f>
        <v>-3.0984388875790971</v>
      </c>
      <c r="AZ128" s="23">
        <f>(AZ127-AU127)*100</f>
        <v>-9.8670390681640736</v>
      </c>
      <c r="BA128" s="23">
        <f>(BA127-AV127)*100</f>
        <v>-3.4790998704818166</v>
      </c>
      <c r="BB128" s="23">
        <f>(BB127-AW127)*100</f>
        <v>-5.5356782985847008</v>
      </c>
      <c r="BC128" s="23">
        <f t="shared" ref="BC128" si="539">(BC127-AX127)*100</f>
        <v>-4.4179128234500817</v>
      </c>
      <c r="BD128" s="168">
        <f t="shared" ref="BD128" si="540">(BD127-AY127)*100</f>
        <v>-5.6977190993879105</v>
      </c>
      <c r="BE128" s="23">
        <f t="shared" ref="BE128:BH128" si="541">(BE127-AZ127)*100</f>
        <v>-5.7942149142721693</v>
      </c>
      <c r="BF128" s="23">
        <f t="shared" si="541"/>
        <v>-10.680108269343039</v>
      </c>
      <c r="BG128" s="23">
        <f t="shared" si="541"/>
        <v>-4.0264124860217079</v>
      </c>
      <c r="BH128" s="23">
        <f t="shared" si="541"/>
        <v>-1.4863243657807168</v>
      </c>
      <c r="BI128" s="168">
        <f>(BI127-BD127)*100</f>
        <v>-5.4923289100537316</v>
      </c>
      <c r="BJ128" s="23"/>
      <c r="BK128" s="23"/>
      <c r="BL128" s="23"/>
      <c r="BM128" s="23"/>
      <c r="BN128" s="168">
        <f>(BN127-BI127)*100</f>
        <v>1.5591255979403389</v>
      </c>
      <c r="BO128" s="23"/>
      <c r="BP128" s="23"/>
      <c r="BQ128" s="23"/>
      <c r="BR128" s="23"/>
      <c r="BS128" s="168">
        <f>(BS127-BN127)*100</f>
        <v>1.622536486564613</v>
      </c>
      <c r="BT128" s="150"/>
      <c r="BU128" s="358"/>
      <c r="BV128" s="226"/>
      <c r="BW128" s="150"/>
      <c r="BX128" s="150"/>
      <c r="BY128" s="150"/>
      <c r="BZ128" s="531"/>
      <c r="CA128" s="324"/>
      <c r="CB128" s="324"/>
      <c r="CC128" s="324"/>
      <c r="CD128" s="324"/>
      <c r="CE128" s="324"/>
      <c r="CF128" s="324"/>
      <c r="CG128" s="324"/>
      <c r="CH128" s="358"/>
      <c r="CI128" s="150"/>
      <c r="CJ128"/>
      <c r="CK128"/>
      <c r="CL128"/>
      <c r="CM128"/>
      <c r="CN128"/>
      <c r="CO128"/>
      <c r="CP128" s="394"/>
    </row>
    <row r="129" spans="1:94" s="254" customFormat="1" ht="12.75" customHeight="1" x14ac:dyDescent="0.2">
      <c r="A129" s="8" t="s">
        <v>149</v>
      </c>
      <c r="B129" s="8"/>
      <c r="C129" s="8"/>
      <c r="D129" s="8"/>
      <c r="E129" s="8"/>
      <c r="F129" s="181"/>
      <c r="G129" s="8"/>
      <c r="H129" s="8"/>
      <c r="I129" s="8"/>
      <c r="J129" s="8"/>
      <c r="K129" s="181"/>
      <c r="L129" s="8"/>
      <c r="M129" s="8"/>
      <c r="N129" s="8"/>
      <c r="O129" s="8"/>
      <c r="P129" s="181"/>
      <c r="Q129" s="8"/>
      <c r="R129" s="8"/>
      <c r="S129" s="8"/>
      <c r="T129" s="8"/>
      <c r="U129" s="181"/>
      <c r="V129" s="8"/>
      <c r="W129" s="8"/>
      <c r="X129" s="8"/>
      <c r="Y129" s="8"/>
      <c r="Z129" s="181"/>
      <c r="AA129" s="8"/>
      <c r="AB129" s="8"/>
      <c r="AC129" s="8"/>
      <c r="AD129" s="8"/>
      <c r="AE129" s="181"/>
      <c r="AF129" s="8"/>
      <c r="AG129" s="8"/>
      <c r="AH129" s="8"/>
      <c r="AI129" s="8"/>
      <c r="AJ129" s="181"/>
      <c r="AK129" s="8"/>
      <c r="AL129" s="8"/>
      <c r="AM129" s="8"/>
      <c r="AN129" s="8"/>
      <c r="AO129" s="181"/>
      <c r="AP129" s="8"/>
      <c r="AQ129" s="8"/>
      <c r="AR129" s="8"/>
      <c r="AS129" s="8"/>
      <c r="AT129" s="181"/>
      <c r="AU129" s="8"/>
      <c r="AV129" s="8"/>
      <c r="AW129" s="8"/>
      <c r="AX129" s="8"/>
      <c r="AY129" s="181"/>
      <c r="AZ129" s="8"/>
      <c r="BA129" s="8"/>
      <c r="BB129" s="8"/>
      <c r="BC129" s="8"/>
      <c r="BD129" s="181"/>
      <c r="BE129" s="8"/>
      <c r="BF129" s="8"/>
      <c r="BG129" s="8"/>
      <c r="BH129" s="8"/>
      <c r="BI129" s="181"/>
      <c r="BJ129" s="8"/>
      <c r="BK129" s="8"/>
      <c r="BL129" s="8"/>
      <c r="BM129" s="8"/>
      <c r="BN129" s="181"/>
      <c r="BO129" s="8"/>
      <c r="BP129" s="8"/>
      <c r="BQ129" s="8"/>
      <c r="BR129" s="8"/>
      <c r="BS129" s="181"/>
      <c r="BT129" s="249"/>
      <c r="BU129" s="8"/>
      <c r="BV129" s="280"/>
      <c r="BW129" s="249"/>
      <c r="BX129" s="249"/>
      <c r="BY129" s="249"/>
      <c r="BZ129" s="432"/>
      <c r="CA129" s="320"/>
      <c r="CB129" s="526"/>
      <c r="CC129" s="320"/>
      <c r="CD129" s="320"/>
      <c r="CE129" s="320"/>
      <c r="CF129" s="320"/>
      <c r="CG129" s="320"/>
      <c r="CH129" s="8"/>
      <c r="CI129" s="249"/>
      <c r="CJ129"/>
      <c r="CK129"/>
      <c r="CL129"/>
      <c r="CM129"/>
      <c r="CN129"/>
      <c r="CO129"/>
      <c r="CP129" s="320"/>
    </row>
    <row r="130" spans="1:94" s="254" customFormat="1" ht="12.75" customHeight="1" x14ac:dyDescent="0.2">
      <c r="A130" s="9" t="s">
        <v>150</v>
      </c>
      <c r="B130" s="9"/>
      <c r="C130" s="9"/>
      <c r="D130" s="9"/>
      <c r="E130" s="9"/>
      <c r="F130" s="165"/>
      <c r="G130" s="9"/>
      <c r="H130" s="9"/>
      <c r="I130" s="9"/>
      <c r="J130" s="9"/>
      <c r="K130" s="165"/>
      <c r="L130" s="9"/>
      <c r="M130" s="9"/>
      <c r="N130" s="9"/>
      <c r="O130" s="9"/>
      <c r="P130" s="165"/>
      <c r="Q130" s="9"/>
      <c r="R130" s="9"/>
      <c r="S130" s="9"/>
      <c r="T130" s="9"/>
      <c r="U130" s="165"/>
      <c r="V130" s="9"/>
      <c r="W130" s="9"/>
      <c r="X130" s="9"/>
      <c r="Y130" s="9"/>
      <c r="Z130" s="165"/>
      <c r="AA130" s="9"/>
      <c r="AB130" s="9"/>
      <c r="AC130" s="9"/>
      <c r="AD130" s="9"/>
      <c r="AE130" s="165"/>
      <c r="AF130" s="9"/>
      <c r="AG130" s="9"/>
      <c r="AH130" s="9"/>
      <c r="AI130" s="9"/>
      <c r="AJ130" s="165"/>
      <c r="AK130" s="9"/>
      <c r="AL130" s="9"/>
      <c r="AM130" s="9"/>
      <c r="AN130" s="9"/>
      <c r="AO130" s="165"/>
      <c r="AP130" s="9"/>
      <c r="AQ130" s="9"/>
      <c r="AR130" s="9"/>
      <c r="AS130" s="9"/>
      <c r="AT130" s="165"/>
      <c r="AU130" s="9"/>
      <c r="AV130" s="9"/>
      <c r="AW130" s="9"/>
      <c r="AX130" s="9"/>
      <c r="AY130" s="165"/>
      <c r="AZ130" s="9"/>
      <c r="BA130" s="9"/>
      <c r="BB130" s="9"/>
      <c r="BC130" s="9"/>
      <c r="BD130" s="165"/>
      <c r="BE130" s="9"/>
      <c r="BF130" s="9"/>
      <c r="BG130" s="9"/>
      <c r="BH130" s="9"/>
      <c r="BI130" s="165"/>
      <c r="BJ130" s="9"/>
      <c r="BK130" s="9"/>
      <c r="BL130" s="9"/>
      <c r="BM130" s="9"/>
      <c r="BN130" s="165"/>
      <c r="BO130" s="9"/>
      <c r="BP130" s="9"/>
      <c r="BQ130" s="9"/>
      <c r="BR130" s="9"/>
      <c r="BS130" s="165"/>
      <c r="BT130" s="249"/>
      <c r="BU130" s="8"/>
      <c r="BV130" s="280"/>
      <c r="BW130" s="249"/>
      <c r="BX130" s="249"/>
      <c r="BY130" s="249"/>
      <c r="BZ130" s="432"/>
      <c r="CA130" s="320"/>
      <c r="CB130" s="320"/>
      <c r="CC130" s="320"/>
      <c r="CD130" s="320"/>
      <c r="CE130" s="320"/>
      <c r="CF130" s="320"/>
      <c r="CG130" s="320"/>
      <c r="CH130" s="8"/>
      <c r="CI130" s="249"/>
      <c r="CJ130"/>
      <c r="CK130"/>
      <c r="CL130"/>
      <c r="CM130"/>
      <c r="CN130"/>
      <c r="CO130"/>
      <c r="CP130" s="320"/>
    </row>
    <row r="131" spans="1:94" s="273" customFormat="1" ht="12.75" customHeight="1" x14ac:dyDescent="0.2">
      <c r="A131" s="127" t="s">
        <v>151</v>
      </c>
      <c r="B131" s="51"/>
      <c r="C131" s="51"/>
      <c r="D131" s="51"/>
      <c r="E131" s="51"/>
      <c r="F131" s="182"/>
      <c r="G131" s="51">
        <f>(G256+F256)/2</f>
        <v>47.376500000000007</v>
      </c>
      <c r="H131" s="51">
        <f>(H256+G256)/2</f>
        <v>30.593500000000006</v>
      </c>
      <c r="I131" s="51">
        <f>(I256+H256)/2</f>
        <v>16.360000000000007</v>
      </c>
      <c r="J131" s="51">
        <f>(J256+I256)/2</f>
        <v>13.950500000000003</v>
      </c>
      <c r="K131" s="182">
        <f>(K256+F256)/2</f>
        <v>35.4255</v>
      </c>
      <c r="L131" s="51">
        <f>(L256+K256)/2</f>
        <v>29.465999999999998</v>
      </c>
      <c r="M131" s="51">
        <f>(M256+L256)/2</f>
        <v>48.5535</v>
      </c>
      <c r="N131" s="51">
        <f>(N256+M256)/2</f>
        <v>58.801000000000002</v>
      </c>
      <c r="O131" s="51">
        <f>(O256+N256)/2</f>
        <v>74.668500000000009</v>
      </c>
      <c r="P131" s="182">
        <f>(P256+K256)/2</f>
        <v>51.192</v>
      </c>
      <c r="Q131" s="51">
        <f>(Q256+P256)/2</f>
        <v>85.848000000000013</v>
      </c>
      <c r="R131" s="51">
        <f>(R256+Q256)/2</f>
        <v>78.71050000000001</v>
      </c>
      <c r="S131" s="51">
        <f>(S256+R256)/2</f>
        <v>72.765000000000015</v>
      </c>
      <c r="T131" s="51">
        <f>(T256+S256)/2</f>
        <v>78.186000000000007</v>
      </c>
      <c r="U131" s="182">
        <f>(U256+P256)/2</f>
        <v>84.430499999999995</v>
      </c>
      <c r="V131" s="51">
        <f>(V256+U256)/2</f>
        <v>72.657499999999999</v>
      </c>
      <c r="W131" s="51">
        <f>(W256+V256)/2</f>
        <v>155.52949999999998</v>
      </c>
      <c r="X131" s="51">
        <f>(X256+W256)/2</f>
        <v>299.71550000000002</v>
      </c>
      <c r="Y131" s="51">
        <f>(Y256+X256)/2</f>
        <v>347.15050000000002</v>
      </c>
      <c r="Z131" s="182">
        <f>(Z256+U256)/2</f>
        <v>213.02100000000002</v>
      </c>
      <c r="AA131" s="51">
        <f>(AA256+Z256)/2</f>
        <v>382.07950000000005</v>
      </c>
      <c r="AB131" s="51">
        <f>(AB256+AA256)/2</f>
        <v>417.904</v>
      </c>
      <c r="AC131" s="51">
        <f>(AC256+AB256)/2</f>
        <v>407.06000000000006</v>
      </c>
      <c r="AD131" s="51">
        <f>(AD256+AC256)/2</f>
        <v>407.97950000000003</v>
      </c>
      <c r="AE131" s="182">
        <f>(AE256+Z256)/2</f>
        <v>380.072</v>
      </c>
      <c r="AF131" s="51">
        <f>(AF256+AE256)/2</f>
        <v>450.15000000000003</v>
      </c>
      <c r="AG131" s="51">
        <f>(AG256+AF256)/2</f>
        <v>504.19450000000001</v>
      </c>
      <c r="AH131" s="51">
        <f>(AH256+AG256)/2</f>
        <v>532.54999999999995</v>
      </c>
      <c r="AI131" s="51">
        <f>(AI256+AH256)/2</f>
        <v>535.41300000000001</v>
      </c>
      <c r="AJ131" s="182">
        <f>(AJ256+AE256)/2</f>
        <v>473.72350000000006</v>
      </c>
      <c r="AK131" s="51">
        <f>(AK256+AJ256)/2</f>
        <v>537.31000000000006</v>
      </c>
      <c r="AL131" s="51">
        <f>(AL256+AK256)/2</f>
        <v>555.61400000000003</v>
      </c>
      <c r="AM131" s="51">
        <f>(AM256+AL256)/2</f>
        <v>577.8565000000001</v>
      </c>
      <c r="AN131" s="51">
        <f>(AN256+AM256)/2</f>
        <v>610.62900000000013</v>
      </c>
      <c r="AO131" s="182">
        <f>(AO256+AJ256)/2</f>
        <v>581.7075000000001</v>
      </c>
      <c r="AP131" s="51">
        <f>(AP256+AO256)/2</f>
        <v>687.20550000000003</v>
      </c>
      <c r="AQ131" s="51">
        <f>(AQ256+AP256)/2</f>
        <v>755.47550000000001</v>
      </c>
      <c r="AR131" s="51">
        <f>(AR256+AQ256)/2</f>
        <v>759.11000000000013</v>
      </c>
      <c r="AS131" s="51">
        <f>(AS256+AR256)/2</f>
        <v>776.26400000000012</v>
      </c>
      <c r="AT131" s="182">
        <f>(AT256+AO256)/2</f>
        <v>718.20800000000008</v>
      </c>
      <c r="AU131" s="51">
        <f>(AU256+AT256)/2</f>
        <v>853.22050000000013</v>
      </c>
      <c r="AV131" s="51">
        <f>(AV256+AU256)/2</f>
        <v>958.44450000000006</v>
      </c>
      <c r="AW131" s="51">
        <f>(AW256+AV256)/2</f>
        <v>919.99200000000019</v>
      </c>
      <c r="AX131" s="51">
        <f>(AX256+AW256)/2</f>
        <v>763.40200000000004</v>
      </c>
      <c r="AY131" s="182">
        <f>(AY256+AT256)/2</f>
        <v>752.26600000000008</v>
      </c>
      <c r="AZ131" s="51">
        <f>(AZ256+AY256)/2</f>
        <v>759.50500000000011</v>
      </c>
      <c r="BA131" s="51">
        <f>(BA256+AZ256)/2</f>
        <v>843.63150000000019</v>
      </c>
      <c r="BB131" s="51">
        <f>(BB256+BA256)/2</f>
        <v>866.41650000000004</v>
      </c>
      <c r="BC131" s="51">
        <f>(BC256+BB256)/2</f>
        <v>832.2645</v>
      </c>
      <c r="BD131" s="182">
        <f>(BD256+AY256)/2</f>
        <v>750.87450000000024</v>
      </c>
      <c r="BE131" s="51">
        <f>(BE256+BD256)/2</f>
        <v>894.85312464418939</v>
      </c>
      <c r="BF131" s="51">
        <f t="shared" ref="BF131:BH131" si="542">(BF256+BE256)/2</f>
        <v>819.12355667753934</v>
      </c>
      <c r="BG131" s="51">
        <f t="shared" si="542"/>
        <v>647.71125919867291</v>
      </c>
      <c r="BH131" s="51">
        <f t="shared" si="542"/>
        <v>759.12004013396188</v>
      </c>
      <c r="BI131" s="182">
        <f>(BI256+BD256)/2</f>
        <v>836.52821296863942</v>
      </c>
      <c r="BJ131" s="51"/>
      <c r="BK131" s="807"/>
      <c r="BL131" s="51"/>
      <c r="BM131" s="51"/>
      <c r="BN131" s="182">
        <f>(BN256+BI256)/2</f>
        <v>869.47022763697191</v>
      </c>
      <c r="BO131" s="51"/>
      <c r="BP131" s="807"/>
      <c r="BQ131" s="51"/>
      <c r="BR131" s="51"/>
      <c r="BS131" s="182">
        <f>(BS256+BN256)/2</f>
        <v>948.31971266452979</v>
      </c>
      <c r="BT131" s="159"/>
      <c r="BU131" s="371"/>
      <c r="BV131" s="235"/>
      <c r="BW131" s="159"/>
      <c r="BX131" s="159"/>
      <c r="BY131" s="159"/>
      <c r="BZ131" s="531"/>
      <c r="CA131" s="333"/>
      <c r="CB131" s="333"/>
      <c r="CC131" s="333"/>
      <c r="CD131" s="333"/>
      <c r="CE131" s="333"/>
      <c r="CF131" s="333"/>
      <c r="CG131" s="333"/>
      <c r="CH131" s="371"/>
      <c r="CI131" s="159"/>
      <c r="CJ131"/>
      <c r="CK131"/>
      <c r="CL131"/>
      <c r="CM131"/>
      <c r="CN131"/>
      <c r="CO131"/>
      <c r="CP131" s="410"/>
    </row>
    <row r="132" spans="1:94" s="260" customFormat="1" ht="12.75" customHeight="1" x14ac:dyDescent="0.2">
      <c r="A132" s="573" t="s">
        <v>152</v>
      </c>
      <c r="B132" s="18"/>
      <c r="C132" s="18"/>
      <c r="D132" s="18"/>
      <c r="E132" s="18"/>
      <c r="F132" s="166"/>
      <c r="G132" s="18">
        <f>G134/G131</f>
        <v>1.7371481641742209E-2</v>
      </c>
      <c r="H132" s="18">
        <f>H134/H131</f>
        <v>1.4284079951623709E-2</v>
      </c>
      <c r="I132" s="18">
        <f>I134/I131</f>
        <v>2.8973105134474316E-2</v>
      </c>
      <c r="J132" s="18">
        <f>J134/J131</f>
        <v>1.7347048492885556E-2</v>
      </c>
      <c r="K132" s="166">
        <f>K134/K131/4</f>
        <v>1.3944757307589166E-2</v>
      </c>
      <c r="L132" s="18"/>
      <c r="M132" s="18"/>
      <c r="N132" s="18"/>
      <c r="O132" s="18"/>
      <c r="P132" s="166"/>
      <c r="Q132" s="18"/>
      <c r="R132" s="18"/>
      <c r="S132" s="18"/>
      <c r="T132" s="18"/>
      <c r="U132" s="166"/>
      <c r="V132" s="18"/>
      <c r="W132" s="18"/>
      <c r="X132" s="18"/>
      <c r="Y132" s="18"/>
      <c r="Z132" s="166"/>
      <c r="AA132" s="18"/>
      <c r="AB132" s="18"/>
      <c r="AC132" s="18"/>
      <c r="AD132" s="18"/>
      <c r="AE132" s="166">
        <f>AE134/AE131</f>
        <v>2.433749394851502E-3</v>
      </c>
      <c r="AF132" s="18">
        <f>AF134/AF131*4</f>
        <v>1.0307675219371321E-3</v>
      </c>
      <c r="AG132" s="18">
        <f>AG134/AG131*4</f>
        <v>8.3301186347728895E-4</v>
      </c>
      <c r="AH132" s="18">
        <f>AH134/AH131*4</f>
        <v>6.5345976903577127E-4</v>
      </c>
      <c r="AI132" s="18">
        <f>AI134/AI131*4</f>
        <v>6.9479075031797879E-4</v>
      </c>
      <c r="AJ132" s="166">
        <f>AJ134/AJ131</f>
        <v>8.4648534429894223E-4</v>
      </c>
      <c r="AK132" s="18">
        <f>AK134/AK131*4</f>
        <v>5.0622545644041608E-4</v>
      </c>
      <c r="AL132" s="18">
        <f>AL134/AL131*4</f>
        <v>5.9753713909296738E-4</v>
      </c>
      <c r="AM132" s="18">
        <f>AM134/AM131*4</f>
        <v>5.8145923771732249E-4</v>
      </c>
      <c r="AN132" s="18">
        <f>AN134/AN131*4</f>
        <v>6.6161286149200242E-4</v>
      </c>
      <c r="AO132" s="166">
        <f>AO134/AO131</f>
        <v>5.7760988125475437E-4</v>
      </c>
      <c r="AP132" s="18">
        <f>AP134/AP131*4</f>
        <v>7.7997047462513038E-4</v>
      </c>
      <c r="AQ132" s="18">
        <f>AQ134/AQ131*4</f>
        <v>9.3715812094502071E-4</v>
      </c>
      <c r="AR132" s="18">
        <f>AR134/AR131*4</f>
        <v>1.2277535535034447E-3</v>
      </c>
      <c r="AS132" s="18">
        <f>AS134/AS131*4</f>
        <v>8.1467129739367008E-3</v>
      </c>
      <c r="AT132" s="166">
        <f>AT134/AT131</f>
        <v>2.9587528960969521E-3</v>
      </c>
      <c r="AU132" s="18">
        <f>AU134/AU131*4</f>
        <v>7.3415957539698113E-3</v>
      </c>
      <c r="AV132" s="18">
        <f>AV134/AV131*4</f>
        <v>6.0389516555210028E-3</v>
      </c>
      <c r="AW132" s="18">
        <f>AW134/AW131*4</f>
        <v>5.3130896790406865E-3</v>
      </c>
      <c r="AX132" s="18">
        <f>AX134/AX131*4</f>
        <v>5.454531164445468E-3</v>
      </c>
      <c r="AY132" s="166">
        <f>AY134/AY131</f>
        <v>7.0134766159842387E-3</v>
      </c>
      <c r="AZ132" s="18">
        <f>AZ134/AZ131*4</f>
        <v>6.9150301841330855E-3</v>
      </c>
      <c r="BA132" s="18">
        <f>BA134/BA131*4</f>
        <v>8.6672913469921387E-3</v>
      </c>
      <c r="BB132" s="18">
        <f>BB134/BB131*4</f>
        <v>1.2026548432537931E-2</v>
      </c>
      <c r="BC132" s="18">
        <f>BC134/BC131*4</f>
        <v>1.4370431515461732E-2</v>
      </c>
      <c r="BD132" s="166">
        <f>BD134/BD131</f>
        <v>1.1634434249664889E-2</v>
      </c>
      <c r="BE132" s="18">
        <f t="shared" ref="BE132" si="543">BE134/BE131*4</f>
        <v>1.8327029931890722E-2</v>
      </c>
      <c r="BF132" s="18">
        <f t="shared" ref="BF132:BH132" si="544">BF134/BF131*4</f>
        <v>2.2463033629056578E-2</v>
      </c>
      <c r="BG132" s="18">
        <f t="shared" si="544"/>
        <v>3.0877956367075268E-2</v>
      </c>
      <c r="BH132" s="18">
        <f t="shared" si="544"/>
        <v>2.7927071976994358E-2</v>
      </c>
      <c r="BI132" s="166">
        <f>BI134/BI131</f>
        <v>2.2712921937890804E-2</v>
      </c>
      <c r="BJ132" s="18"/>
      <c r="BK132" s="808"/>
      <c r="BL132" s="18"/>
      <c r="BM132" s="18"/>
      <c r="BN132" s="219">
        <f>BI132</f>
        <v>2.2712921937890804E-2</v>
      </c>
      <c r="BO132" s="18"/>
      <c r="BP132" s="808"/>
      <c r="BQ132" s="18"/>
      <c r="BR132" s="18"/>
      <c r="BS132" s="219">
        <f>BN132</f>
        <v>2.2712921937890804E-2</v>
      </c>
      <c r="BT132" s="148"/>
      <c r="BU132" s="356"/>
      <c r="BV132" s="224"/>
      <c r="BW132" s="148"/>
      <c r="BX132" s="148"/>
      <c r="BY132" s="148"/>
      <c r="BZ132" s="531"/>
      <c r="CA132" s="322"/>
      <c r="CB132" s="331"/>
      <c r="CC132" s="322"/>
      <c r="CD132" s="322"/>
      <c r="CE132" s="322"/>
      <c r="CF132" s="322"/>
      <c r="CG132" s="322"/>
      <c r="CH132" s="356"/>
      <c r="CI132" s="148"/>
      <c r="CJ132"/>
      <c r="CK132"/>
      <c r="CL132"/>
      <c r="CM132"/>
      <c r="CN132"/>
      <c r="CO132"/>
      <c r="CP132" s="391"/>
    </row>
    <row r="133" spans="1:94" s="274" customFormat="1" ht="12.75" customHeight="1" x14ac:dyDescent="0.2">
      <c r="A133" s="128" t="s">
        <v>153</v>
      </c>
      <c r="B133" s="52"/>
      <c r="C133" s="52"/>
      <c r="D133" s="52"/>
      <c r="E133" s="52"/>
      <c r="F133" s="196"/>
      <c r="G133" s="52"/>
      <c r="H133" s="52"/>
      <c r="I133" s="52"/>
      <c r="J133" s="52"/>
      <c r="K133" s="196"/>
      <c r="L133" s="52"/>
      <c r="M133" s="52"/>
      <c r="N133" s="52"/>
      <c r="O133" s="52"/>
      <c r="P133" s="196"/>
      <c r="Q133" s="52"/>
      <c r="R133" s="52"/>
      <c r="S133" s="52"/>
      <c r="T133" s="52"/>
      <c r="U133" s="196"/>
      <c r="V133" s="52"/>
      <c r="W133" s="52"/>
      <c r="X133" s="52"/>
      <c r="Y133" s="52"/>
      <c r="Z133" s="196"/>
      <c r="AA133" s="52"/>
      <c r="AB133" s="52"/>
      <c r="AC133" s="52"/>
      <c r="AD133" s="52"/>
      <c r="AE133" s="196"/>
      <c r="AF133" s="52"/>
      <c r="AG133" s="52"/>
      <c r="AH133" s="52"/>
      <c r="AI133" s="52"/>
      <c r="AJ133" s="196"/>
      <c r="AK133" s="52"/>
      <c r="AL133" s="52"/>
      <c r="AM133" s="52"/>
      <c r="AN133" s="52"/>
      <c r="AO133" s="196"/>
      <c r="AP133" s="52"/>
      <c r="AQ133" s="52"/>
      <c r="AR133" s="52"/>
      <c r="AS133" s="52"/>
      <c r="AT133" s="196"/>
      <c r="AU133" s="52"/>
      <c r="AV133" s="52"/>
      <c r="AW133" s="52"/>
      <c r="AX133" s="52"/>
      <c r="AY133" s="196"/>
      <c r="AZ133" s="52"/>
      <c r="BA133" s="52"/>
      <c r="BB133" s="52"/>
      <c r="BC133" s="52"/>
      <c r="BD133" s="196"/>
      <c r="BE133" s="52"/>
      <c r="BF133" s="52"/>
      <c r="BG133" s="52"/>
      <c r="BH133" s="52"/>
      <c r="BI133" s="196">
        <f>BI131*BI132</f>
        <v>19</v>
      </c>
      <c r="BJ133" s="52"/>
      <c r="BK133" s="53"/>
      <c r="BL133" s="52"/>
      <c r="BM133" s="52"/>
      <c r="BN133" s="196">
        <v>14</v>
      </c>
      <c r="BO133" s="52"/>
      <c r="BP133" s="53"/>
      <c r="BQ133" s="52"/>
      <c r="BR133" s="52"/>
      <c r="BS133" s="196">
        <v>15</v>
      </c>
      <c r="BT133" s="160"/>
      <c r="BU133" s="372"/>
      <c r="BV133" s="283"/>
      <c r="BW133" s="160"/>
      <c r="BX133" s="160"/>
      <c r="BY133" s="160"/>
      <c r="BZ133" s="531"/>
      <c r="CA133" s="333"/>
      <c r="CB133" s="333"/>
      <c r="CC133" s="327"/>
      <c r="CD133" s="333"/>
      <c r="CE133" s="333"/>
      <c r="CF133" s="333"/>
      <c r="CG133" s="333"/>
      <c r="CH133" s="372"/>
      <c r="CI133" s="160"/>
      <c r="CJ133"/>
      <c r="CK133"/>
      <c r="CL133"/>
      <c r="CM133"/>
      <c r="CN133"/>
      <c r="CO133"/>
      <c r="CP133" s="411"/>
    </row>
    <row r="134" spans="1:94" s="273" customFormat="1" ht="12.75" customHeight="1" x14ac:dyDescent="0.2">
      <c r="A134" s="51" t="s">
        <v>154</v>
      </c>
      <c r="B134" s="51"/>
      <c r="C134" s="51"/>
      <c r="D134" s="51"/>
      <c r="E134" s="51"/>
      <c r="F134" s="872">
        <v>5.9509999999999996</v>
      </c>
      <c r="G134" s="857">
        <v>0.82299999999999995</v>
      </c>
      <c r="H134" s="857">
        <v>0.437</v>
      </c>
      <c r="I134" s="857">
        <v>0.47399999999999998</v>
      </c>
      <c r="J134" s="857">
        <v>0.24199999999999999</v>
      </c>
      <c r="K134" s="182">
        <f>SUM(G134:J134)</f>
        <v>1.976</v>
      </c>
      <c r="L134" s="857"/>
      <c r="M134" s="857"/>
      <c r="N134" s="857"/>
      <c r="O134" s="857"/>
      <c r="P134" s="182"/>
      <c r="Q134" s="857"/>
      <c r="R134" s="857"/>
      <c r="S134" s="857"/>
      <c r="T134" s="857"/>
      <c r="U134" s="182"/>
      <c r="V134" s="857">
        <v>0.41499999999999998</v>
      </c>
      <c r="W134" s="857">
        <v>0.71</v>
      </c>
      <c r="X134" s="857">
        <v>9.9000000000000005E-2</v>
      </c>
      <c r="Y134" s="857">
        <v>0.31900000000000001</v>
      </c>
      <c r="Z134" s="182">
        <f>SUM(V134:Y134)</f>
        <v>1.5429999999999999</v>
      </c>
      <c r="AA134" s="857">
        <v>0.41499999999999998</v>
      </c>
      <c r="AB134" s="857">
        <v>0.18</v>
      </c>
      <c r="AC134" s="857">
        <v>0.17100000000000001</v>
      </c>
      <c r="AD134" s="857">
        <v>0.159</v>
      </c>
      <c r="AE134" s="182">
        <f>SUM(AA134:AD134)</f>
        <v>0.92500000000000004</v>
      </c>
      <c r="AF134" s="857">
        <v>0.11600000000000001</v>
      </c>
      <c r="AG134" s="857">
        <v>0.105</v>
      </c>
      <c r="AH134" s="857">
        <v>8.6999999999999994E-2</v>
      </c>
      <c r="AI134" s="857">
        <v>9.2999999999999999E-2</v>
      </c>
      <c r="AJ134" s="182">
        <f>SUM(AF134:AI134)</f>
        <v>0.40100000000000002</v>
      </c>
      <c r="AK134" s="857">
        <v>6.8000000000000005E-2</v>
      </c>
      <c r="AL134" s="857">
        <v>8.3000000000000004E-2</v>
      </c>
      <c r="AM134" s="857">
        <v>8.4000000000000005E-2</v>
      </c>
      <c r="AN134" s="857">
        <v>0.10100000000000001</v>
      </c>
      <c r="AO134" s="182">
        <f>SUM(AK134:AN134)</f>
        <v>0.33600000000000008</v>
      </c>
      <c r="AP134" s="857">
        <v>0.13400000000000001</v>
      </c>
      <c r="AQ134" s="857">
        <v>0.17699999999999999</v>
      </c>
      <c r="AR134" s="857">
        <v>0.23300000000000001</v>
      </c>
      <c r="AS134" s="857">
        <v>1.581</v>
      </c>
      <c r="AT134" s="182">
        <f>SUM(AP134:AS134)</f>
        <v>2.125</v>
      </c>
      <c r="AU134" s="857">
        <v>1.5660000000000001</v>
      </c>
      <c r="AV134" s="857">
        <v>1.4470000000000001</v>
      </c>
      <c r="AW134" s="857">
        <v>1.222</v>
      </c>
      <c r="AX134" s="857">
        <v>1.0409999999999999</v>
      </c>
      <c r="AY134" s="182">
        <f>SUM(AU134:AX134)</f>
        <v>5.2759999999999998</v>
      </c>
      <c r="AZ134" s="857">
        <v>1.3129999999999999</v>
      </c>
      <c r="BA134" s="857">
        <v>1.8280000000000001</v>
      </c>
      <c r="BB134" s="857">
        <v>2.605</v>
      </c>
      <c r="BC134" s="857">
        <v>2.99</v>
      </c>
      <c r="BD134" s="182">
        <f>SUM(AZ134:BC134)</f>
        <v>8.7360000000000007</v>
      </c>
      <c r="BE134" s="857">
        <v>4.0999999999999996</v>
      </c>
      <c r="BF134" s="783">
        <f>+BE134+0.5</f>
        <v>4.5999999999999996</v>
      </c>
      <c r="BG134" s="783">
        <f>+BF134+0.4</f>
        <v>5</v>
      </c>
      <c r="BH134" s="783">
        <f>+BG134+0.3</f>
        <v>5.3</v>
      </c>
      <c r="BI134" s="182">
        <f>SUM(BE134:BH134)</f>
        <v>19</v>
      </c>
      <c r="BJ134" s="783"/>
      <c r="BK134" s="807"/>
      <c r="BL134" s="783"/>
      <c r="BM134" s="783"/>
      <c r="BN134" s="213">
        <v>14.296721274565284</v>
      </c>
      <c r="BO134" s="783"/>
      <c r="BP134" s="807"/>
      <c r="BQ134" s="783"/>
      <c r="BR134" s="783"/>
      <c r="BS134" s="213">
        <v>14.909734324056586</v>
      </c>
      <c r="BT134" s="159"/>
      <c r="BU134" s="371"/>
      <c r="BV134" s="235"/>
      <c r="BW134" s="159"/>
      <c r="BX134" s="159"/>
      <c r="BY134" s="159"/>
      <c r="BZ134" s="531" t="s">
        <v>537</v>
      </c>
      <c r="CA134" s="333"/>
      <c r="CB134" s="736"/>
      <c r="CC134" s="736"/>
      <c r="CD134" s="736"/>
      <c r="CE134" s="736"/>
      <c r="CF134" s="736"/>
      <c r="CG134" s="333"/>
      <c r="CH134" s="371"/>
      <c r="CI134" s="159"/>
      <c r="CJ134"/>
      <c r="CK134"/>
      <c r="CL134"/>
      <c r="CM134"/>
      <c r="CN134"/>
      <c r="CO134"/>
      <c r="CP134" s="410"/>
    </row>
    <row r="135" spans="1:94" s="273" customFormat="1" ht="12.75" customHeight="1" x14ac:dyDescent="0.2">
      <c r="A135" s="127" t="s">
        <v>155</v>
      </c>
      <c r="B135" s="51"/>
      <c r="C135" s="51"/>
      <c r="D135" s="51"/>
      <c r="E135" s="51"/>
      <c r="F135" s="182"/>
      <c r="G135" s="54">
        <f>(G274+F274+G280+F280)/2</f>
        <v>188.3955</v>
      </c>
      <c r="H135" s="54">
        <f>(H274+G274+H280+G280)/2</f>
        <v>191.16800000000001</v>
      </c>
      <c r="I135" s="54">
        <f>(I274+H274+I280+H280)/2</f>
        <v>191.52250000000001</v>
      </c>
      <c r="J135" s="54">
        <f>(J274+I274+J280+I280)/2</f>
        <v>203.14850000000001</v>
      </c>
      <c r="K135" s="182">
        <f>(K274+F274+K280+F280)/2</f>
        <v>200.13200000000001</v>
      </c>
      <c r="L135" s="54">
        <f>(L274+K274+L280+K280)/2</f>
        <v>213.48149999999998</v>
      </c>
      <c r="M135" s="54">
        <f>(M274+L274+M280+L280)/2</f>
        <v>212.4845</v>
      </c>
      <c r="N135" s="54">
        <f>(N274+M274+N280+M280)/2</f>
        <v>212.48599999999999</v>
      </c>
      <c r="O135" s="54">
        <f>(O274+N274+O280+N280)/2</f>
        <v>227.35900000000001</v>
      </c>
      <c r="P135" s="182">
        <f>(P274+K274+P280+K280)/2</f>
        <v>228.35599999999999</v>
      </c>
      <c r="Q135" s="54">
        <f>(Q274+P274+Q280+P280)/2</f>
        <v>242.232</v>
      </c>
      <c r="R135" s="54">
        <f>(R274+Q274+R280+Q280)/2</f>
        <v>242.232</v>
      </c>
      <c r="S135" s="54">
        <f>(S274+R274+S280+R280)/2</f>
        <v>242.23200000000003</v>
      </c>
      <c r="T135" s="54">
        <f>(T274+S274+T280+S280)/2</f>
        <v>261.52949999999998</v>
      </c>
      <c r="U135" s="182">
        <f>(U274+P274+U280+P280)/2</f>
        <v>261.52949999999998</v>
      </c>
      <c r="V135" s="54">
        <f>(V274+U274+V280+U280)/2</f>
        <v>289.35900000000004</v>
      </c>
      <c r="W135" s="54">
        <f>(W274+V274+W280+V280)/2</f>
        <v>148.94550000000001</v>
      </c>
      <c r="X135" s="54">
        <f>(X274+W274+X280+W280)/2</f>
        <v>0</v>
      </c>
      <c r="Y135" s="54">
        <f>(Y274+X274+Y280+X280)/2</f>
        <v>0</v>
      </c>
      <c r="Z135" s="182">
        <f>(Z274+U274+Z280+U280)/2</f>
        <v>140.4135</v>
      </c>
      <c r="AA135" s="54">
        <f>(AA274+Z274+AA280+Z280)/2</f>
        <v>0</v>
      </c>
      <c r="AB135" s="54">
        <f>(AB274+AA274+AB280+AA280)/2</f>
        <v>0</v>
      </c>
      <c r="AC135" s="54">
        <f>(AC274+AB274+AC280+AB280)/2</f>
        <v>0</v>
      </c>
      <c r="AD135" s="54">
        <f>(AD274+AC274+AD280+AC280)/2</f>
        <v>0</v>
      </c>
      <c r="AE135" s="182">
        <f>(AE274+Z274+AE280+Z280)/2</f>
        <v>0</v>
      </c>
      <c r="AF135" s="54">
        <f>(AF274+AE274+AF280+AE280)/2</f>
        <v>0</v>
      </c>
      <c r="AG135" s="54">
        <f>(AG274+AF274+AG280+AF280)/2</f>
        <v>0</v>
      </c>
      <c r="AH135" s="54">
        <f>(AH274+AG274+AH280+AG280)/2</f>
        <v>0</v>
      </c>
      <c r="AI135" s="54">
        <f>(AI274+AH274+AI280+AH280)/2</f>
        <v>0</v>
      </c>
      <c r="AJ135" s="182">
        <f>(AJ274+AE274+AJ280+AE280)/2</f>
        <v>0</v>
      </c>
      <c r="AK135" s="54">
        <f>(AK274+AJ274+AK280+AJ280)/2</f>
        <v>0</v>
      </c>
      <c r="AL135" s="54">
        <f>(AL274+AK274+AL280+AK280)/2</f>
        <v>0</v>
      </c>
      <c r="AM135" s="54">
        <f>(AM274+AL274+AM280+AL280)/2</f>
        <v>0</v>
      </c>
      <c r="AN135" s="54">
        <f>(AN274+AM274+AN280+AM280)/2</f>
        <v>73.124000000000009</v>
      </c>
      <c r="AO135" s="182">
        <f>(AO274+AJ274+AO280+AJ280)/2</f>
        <v>73.124000000000009</v>
      </c>
      <c r="AP135" s="54">
        <f>(AP274+AO274+AP280+AO280)/2</f>
        <v>235.61600000000001</v>
      </c>
      <c r="AQ135" s="54">
        <f>(AQ274+AP274+AQ280+AP280)/2</f>
        <v>376.8175</v>
      </c>
      <c r="AR135" s="54">
        <f>(AR274+AQ274+AR280+AQ280)/2</f>
        <v>483.27800000000002</v>
      </c>
      <c r="AS135" s="54">
        <f>(AS274+AR274+AS280+AR280)/2</f>
        <v>592.11749999999995</v>
      </c>
      <c r="AT135" s="182">
        <f>(AT274+AO274+AT280+AO280)/2</f>
        <v>396.28899999999999</v>
      </c>
      <c r="AU135" s="54">
        <f>(AU274+AT274+AU280+AT280)/2</f>
        <v>677.22249999999997</v>
      </c>
      <c r="AV135" s="54">
        <f>(AV274+AU274+AV280+AU280)/2</f>
        <v>811.56449999999995</v>
      </c>
      <c r="AW135" s="54">
        <f>(AW274+AV274+AW280+AV280)/2</f>
        <v>947.13300000000004</v>
      </c>
      <c r="AX135" s="54">
        <f>(AX274+AW274+AX280+AW280)/2</f>
        <v>980.48249999999996</v>
      </c>
      <c r="AY135" s="182">
        <f>(AY274+AT274+AY280+AT280)/2</f>
        <v>814.02149999999995</v>
      </c>
      <c r="AZ135" s="54">
        <f>(AZ274+AY274+AZ280+AY280)/2</f>
        <v>1033.0535</v>
      </c>
      <c r="BA135" s="54">
        <f>(BA274+AZ274+BA280+AZ280)/2</f>
        <v>1134.4904999999999</v>
      </c>
      <c r="BB135" s="54">
        <f>(BB274+BA274+BB280+BA280)/2</f>
        <v>1252.3415</v>
      </c>
      <c r="BC135" s="54">
        <f>(BC274+BB274+BC280+BB280)/2</f>
        <v>1411.5119999999999</v>
      </c>
      <c r="BD135" s="182">
        <f>(BD274+AY274+BD280+AY280)/2</f>
        <v>1242.3205</v>
      </c>
      <c r="BE135" s="51">
        <f t="shared" ref="BE135:BH135" si="545">(BE274+BD274+BE280+BD280)/2</f>
        <v>1569.9280000000001</v>
      </c>
      <c r="BF135" s="51">
        <f t="shared" si="545"/>
        <v>1703.9280000000001</v>
      </c>
      <c r="BG135" s="51">
        <f>(BG274+BF274+BG280+BF280)/2</f>
        <v>1837.9280000000001</v>
      </c>
      <c r="BH135" s="51">
        <f t="shared" si="545"/>
        <v>1971.9280000000001</v>
      </c>
      <c r="BI135" s="182">
        <f>(BI274+BD274+BI280+BD280)/2</f>
        <v>1770.9280000000001</v>
      </c>
      <c r="BJ135" s="51"/>
      <c r="BK135" s="807"/>
      <c r="BL135" s="51"/>
      <c r="BM135" s="51"/>
      <c r="BN135" s="182">
        <f>(BN274+BI274+BN280+BI280)/2</f>
        <v>2218.6779999999999</v>
      </c>
      <c r="BO135" s="51"/>
      <c r="BP135" s="807"/>
      <c r="BQ135" s="51"/>
      <c r="BR135" s="51"/>
      <c r="BS135" s="182">
        <f>(BS274+BN274+BS280+BN280)/2</f>
        <v>2578.1779999999999</v>
      </c>
      <c r="BT135" s="159"/>
      <c r="BU135" s="371"/>
      <c r="BV135" s="235"/>
      <c r="BW135" s="159"/>
      <c r="BX135" s="159"/>
      <c r="BY135" s="159"/>
      <c r="BZ135" s="531" t="s">
        <v>524</v>
      </c>
      <c r="CA135" s="333"/>
      <c r="CB135" s="333"/>
      <c r="CC135" s="333"/>
      <c r="CD135" s="333"/>
      <c r="CE135" s="333"/>
      <c r="CF135" s="333"/>
      <c r="CG135" s="333"/>
      <c r="CH135" s="371"/>
      <c r="CI135" s="159"/>
      <c r="CJ135"/>
      <c r="CK135"/>
      <c r="CL135"/>
      <c r="CM135"/>
      <c r="CN135"/>
      <c r="CO135"/>
      <c r="CP135" s="410"/>
    </row>
    <row r="136" spans="1:94" s="260" customFormat="1" ht="12.75" customHeight="1" x14ac:dyDescent="0.2">
      <c r="A136" s="573" t="s">
        <v>152</v>
      </c>
      <c r="B136" s="18"/>
      <c r="C136" s="18"/>
      <c r="D136" s="18"/>
      <c r="E136" s="18"/>
      <c r="F136" s="166"/>
      <c r="G136" s="445">
        <f>G138/G135</f>
        <v>5.2538409887709629E-2</v>
      </c>
      <c r="H136" s="445">
        <f>H138/H135</f>
        <v>5.199091898225644E-2</v>
      </c>
      <c r="I136" s="445">
        <f>I138/I135</f>
        <v>5.2066989518202815E-2</v>
      </c>
      <c r="J136" s="445">
        <f>J138/J135</f>
        <v>5.1376210013856852E-2</v>
      </c>
      <c r="K136" s="166">
        <f>K138/K135/4</f>
        <v>5.027431894949333E-2</v>
      </c>
      <c r="L136" s="445"/>
      <c r="M136" s="445"/>
      <c r="N136" s="445"/>
      <c r="O136" s="445"/>
      <c r="P136" s="166"/>
      <c r="Q136" s="445"/>
      <c r="R136" s="445"/>
      <c r="S136" s="445"/>
      <c r="T136" s="445"/>
      <c r="U136" s="219"/>
      <c r="V136" s="445"/>
      <c r="W136" s="445"/>
      <c r="X136" s="445"/>
      <c r="Y136" s="445"/>
      <c r="Z136" s="219"/>
      <c r="AA136" s="445"/>
      <c r="AB136" s="445"/>
      <c r="AC136" s="445"/>
      <c r="AD136" s="445"/>
      <c r="AE136" s="219"/>
      <c r="AF136" s="445"/>
      <c r="AG136" s="445"/>
      <c r="AH136" s="445"/>
      <c r="AI136" s="445"/>
      <c r="AJ136" s="179"/>
      <c r="AK136" s="445"/>
      <c r="AL136" s="445"/>
      <c r="AM136" s="445"/>
      <c r="AN136" s="445"/>
      <c r="AO136" s="179">
        <f>AO138/AO135</f>
        <v>3.7566325693342811E-2</v>
      </c>
      <c r="AP136" s="445"/>
      <c r="AQ136" s="445"/>
      <c r="AR136" s="445"/>
      <c r="AS136" s="445"/>
      <c r="AT136" s="179">
        <f>AT138/AT135</f>
        <v>5.1432161881858944E-2</v>
      </c>
      <c r="AU136" s="445"/>
      <c r="AV136" s="445"/>
      <c r="AW136" s="445"/>
      <c r="AX136" s="445"/>
      <c r="AY136" s="179">
        <f>AY138/AY135</f>
        <v>5.1170638613353588E-2</v>
      </c>
      <c r="AZ136" s="445">
        <f t="shared" ref="AZ136:BE136" si="546">AZ138/AZ135*4</f>
        <v>4.8295659421317486E-2</v>
      </c>
      <c r="BA136" s="445">
        <f t="shared" si="546"/>
        <v>4.8465809101089878E-2</v>
      </c>
      <c r="BB136" s="445">
        <f t="shared" si="546"/>
        <v>4.7967746816663027E-2</v>
      </c>
      <c r="BC136" s="445">
        <f t="shared" si="546"/>
        <v>4.552564909118733E-2</v>
      </c>
      <c r="BD136" s="179">
        <f>BD138/BD135</f>
        <v>4.6124973386497285E-2</v>
      </c>
      <c r="BE136" s="55">
        <f t="shared" si="546"/>
        <v>4.5607187081190978E-2</v>
      </c>
      <c r="BF136" s="55">
        <f t="shared" ref="BF136:BH136" si="547">BF138/BF135*4</f>
        <v>4.2020554859125495E-2</v>
      </c>
      <c r="BG136" s="55">
        <f t="shared" si="547"/>
        <v>3.8956912349123574E-2</v>
      </c>
      <c r="BH136" s="55">
        <f t="shared" si="547"/>
        <v>3.6106794974258685E-2</v>
      </c>
      <c r="BI136" s="179">
        <f>BI138/BI135</f>
        <v>4.0374312225002935E-2</v>
      </c>
      <c r="BJ136" s="18"/>
      <c r="BK136" s="808"/>
      <c r="BL136" s="55"/>
      <c r="BM136" s="55"/>
      <c r="BN136" s="219">
        <f>+BI136</f>
        <v>4.0374312225002935E-2</v>
      </c>
      <c r="BO136" s="18"/>
      <c r="BP136" s="808"/>
      <c r="BQ136" s="55"/>
      <c r="BR136" s="55"/>
      <c r="BS136" s="219">
        <f>+BN136</f>
        <v>4.0374312225002935E-2</v>
      </c>
      <c r="BT136" s="148"/>
      <c r="BU136" s="356"/>
      <c r="BV136" s="224"/>
      <c r="BW136" s="148"/>
      <c r="BX136" s="148"/>
      <c r="BY136" s="148"/>
      <c r="BZ136" s="531"/>
      <c r="CA136" s="322"/>
      <c r="CB136" s="322"/>
      <c r="CC136" s="322"/>
      <c r="CD136" s="322"/>
      <c r="CE136" s="322"/>
      <c r="CF136" s="322"/>
      <c r="CG136" s="322"/>
      <c r="CH136" s="356"/>
      <c r="CI136" s="148"/>
      <c r="CJ136"/>
      <c r="CK136"/>
      <c r="CL136"/>
      <c r="CM136"/>
      <c r="CN136"/>
      <c r="CO136"/>
      <c r="CP136" s="391"/>
    </row>
    <row r="137" spans="1:94" s="274" customFormat="1" ht="12.75" customHeight="1" x14ac:dyDescent="0.2">
      <c r="A137" s="128" t="s">
        <v>156</v>
      </c>
      <c r="B137" s="52"/>
      <c r="C137" s="52"/>
      <c r="D137" s="52"/>
      <c r="E137" s="52"/>
      <c r="F137" s="196"/>
      <c r="G137" s="444"/>
      <c r="H137" s="444"/>
      <c r="I137" s="444"/>
      <c r="J137" s="444"/>
      <c r="K137" s="196"/>
      <c r="L137" s="444"/>
      <c r="M137" s="444"/>
      <c r="N137" s="444"/>
      <c r="O137" s="444"/>
      <c r="P137" s="196"/>
      <c r="Q137" s="444"/>
      <c r="R137" s="444"/>
      <c r="S137" s="444"/>
      <c r="T137" s="444"/>
      <c r="U137" s="196"/>
      <c r="V137" s="444"/>
      <c r="W137" s="444"/>
      <c r="X137" s="444"/>
      <c r="Y137" s="444"/>
      <c r="Z137" s="196"/>
      <c r="AA137" s="444"/>
      <c r="AB137" s="444"/>
      <c r="AC137" s="444"/>
      <c r="AD137" s="444"/>
      <c r="AE137" s="196"/>
      <c r="AF137" s="444"/>
      <c r="AG137" s="444"/>
      <c r="AH137" s="444"/>
      <c r="AI137" s="444"/>
      <c r="AJ137" s="196"/>
      <c r="AK137" s="444"/>
      <c r="AL137" s="444"/>
      <c r="AM137" s="444"/>
      <c r="AN137" s="444"/>
      <c r="AO137" s="196"/>
      <c r="AP137" s="444"/>
      <c r="AQ137" s="444"/>
      <c r="AR137" s="444"/>
      <c r="AS137" s="444"/>
      <c r="AT137" s="196"/>
      <c r="AU137" s="444"/>
      <c r="AV137" s="444"/>
      <c r="AW137" s="444"/>
      <c r="AX137" s="444"/>
      <c r="AY137" s="196"/>
      <c r="AZ137" s="444"/>
      <c r="BA137" s="444"/>
      <c r="BB137" s="444"/>
      <c r="BC137" s="444"/>
      <c r="BD137" s="196"/>
      <c r="BE137" s="530"/>
      <c r="BF137" s="530"/>
      <c r="BG137" s="530"/>
      <c r="BH137" s="530"/>
      <c r="BI137" s="196">
        <f>BI135*BI136</f>
        <v>71.5</v>
      </c>
      <c r="BJ137" s="52"/>
      <c r="BK137" s="53"/>
      <c r="BL137" s="52"/>
      <c r="BM137" s="52"/>
      <c r="BN137" s="196">
        <f>BN135*BN136</f>
        <v>89.577598298745059</v>
      </c>
      <c r="BO137" s="52"/>
      <c r="BP137" s="53"/>
      <c r="BQ137" s="52"/>
      <c r="BR137" s="52"/>
      <c r="BS137" s="196">
        <f>BS135*BS136</f>
        <v>104.09216354363362</v>
      </c>
      <c r="BT137" s="160"/>
      <c r="BU137" s="372"/>
      <c r="BV137" s="283"/>
      <c r="BW137" s="160"/>
      <c r="BX137" s="160"/>
      <c r="BY137" s="160"/>
      <c r="BZ137" s="531"/>
      <c r="CA137" s="333"/>
      <c r="CB137" s="333"/>
      <c r="CC137" s="333"/>
      <c r="CD137" s="333"/>
      <c r="CE137" s="333"/>
      <c r="CF137" s="333"/>
      <c r="CG137" s="333"/>
      <c r="CH137" s="372"/>
      <c r="CI137" s="160"/>
      <c r="CJ137"/>
      <c r="CK137"/>
      <c r="CL137"/>
      <c r="CM137"/>
      <c r="CN137"/>
      <c r="CO137"/>
      <c r="CP137" s="411"/>
    </row>
    <row r="138" spans="1:94" s="273" customFormat="1" ht="12.75" customHeight="1" x14ac:dyDescent="0.2">
      <c r="A138" s="57" t="s">
        <v>157</v>
      </c>
      <c r="B138" s="57"/>
      <c r="C138" s="57"/>
      <c r="D138" s="57"/>
      <c r="E138" s="57"/>
      <c r="F138" s="873">
        <v>38.162999999999997</v>
      </c>
      <c r="G138" s="858">
        <v>9.8979999999999997</v>
      </c>
      <c r="H138" s="858">
        <v>9.9390000000000001</v>
      </c>
      <c r="I138" s="858">
        <v>9.9719999999999995</v>
      </c>
      <c r="J138" s="858">
        <v>10.436999999999999</v>
      </c>
      <c r="K138" s="197">
        <f>SUM(G138:J138)</f>
        <v>40.245999999999995</v>
      </c>
      <c r="L138" s="858"/>
      <c r="M138" s="858"/>
      <c r="N138" s="858"/>
      <c r="O138" s="858"/>
      <c r="P138" s="197">
        <f>SUM(L138:O138)</f>
        <v>0</v>
      </c>
      <c r="Q138" s="858"/>
      <c r="R138" s="858"/>
      <c r="S138" s="858"/>
      <c r="T138" s="858"/>
      <c r="U138" s="197"/>
      <c r="V138" s="858"/>
      <c r="W138" s="858"/>
      <c r="X138" s="858">
        <v>0.44400000000000001</v>
      </c>
      <c r="Y138" s="858">
        <v>0.373</v>
      </c>
      <c r="Z138" s="197">
        <f>SUM(V138:Y138)</f>
        <v>0.81699999999999995</v>
      </c>
      <c r="AA138" s="858">
        <v>0.54</v>
      </c>
      <c r="AB138" s="858">
        <v>0.79400000000000004</v>
      </c>
      <c r="AC138" s="858">
        <v>0.01</v>
      </c>
      <c r="AD138" s="858">
        <v>6.0000000000000001E-3</v>
      </c>
      <c r="AE138" s="197">
        <f>SUM(AA138:AD138)</f>
        <v>1.35</v>
      </c>
      <c r="AF138" s="858">
        <v>8.9999999999999993E-3</v>
      </c>
      <c r="AG138" s="858">
        <v>9.5000000000000001E-2</v>
      </c>
      <c r="AH138" s="858">
        <v>3.5999999999999997E-2</v>
      </c>
      <c r="AI138" s="858">
        <v>7.3999999999999996E-2</v>
      </c>
      <c r="AJ138" s="197">
        <f>SUM(AF138:AI138)</f>
        <v>0.21399999999999997</v>
      </c>
      <c r="AK138" s="858">
        <v>0.107</v>
      </c>
      <c r="AL138" s="858">
        <v>0.10299999999999999</v>
      </c>
      <c r="AM138" s="858">
        <v>0.878</v>
      </c>
      <c r="AN138" s="858">
        <v>1.659</v>
      </c>
      <c r="AO138" s="197">
        <f>SUM(AK138:AN138)</f>
        <v>2.7469999999999999</v>
      </c>
      <c r="AP138" s="858">
        <v>2.8119999999999998</v>
      </c>
      <c r="AQ138" s="858">
        <v>4.4189999999999996</v>
      </c>
      <c r="AR138" s="858">
        <v>5.9509999999999996</v>
      </c>
      <c r="AS138" s="858">
        <v>7.2</v>
      </c>
      <c r="AT138" s="197">
        <f>SUM(AP138:AS138)</f>
        <v>20.381999999999998</v>
      </c>
      <c r="AU138" s="858">
        <v>8.06</v>
      </c>
      <c r="AV138" s="858">
        <v>10.166</v>
      </c>
      <c r="AW138" s="858">
        <v>11.362</v>
      </c>
      <c r="AX138" s="858">
        <v>12.066000000000001</v>
      </c>
      <c r="AY138" s="197">
        <f>SUM(AU138:AX138)</f>
        <v>41.654000000000003</v>
      </c>
      <c r="AZ138" s="858">
        <v>12.473000000000001</v>
      </c>
      <c r="BA138" s="858">
        <v>13.746</v>
      </c>
      <c r="BB138" s="858">
        <v>15.018000000000001</v>
      </c>
      <c r="BC138" s="858">
        <v>16.065000000000001</v>
      </c>
      <c r="BD138" s="197">
        <f>SUM(AZ138:BC138)</f>
        <v>57.302000000000007</v>
      </c>
      <c r="BE138" s="858">
        <v>17.899999999999999</v>
      </c>
      <c r="BF138" s="784">
        <f>+BE138</f>
        <v>17.899999999999999</v>
      </c>
      <c r="BG138" s="784">
        <f>+BF138</f>
        <v>17.899999999999999</v>
      </c>
      <c r="BH138" s="784">
        <f>+BG138-0.1</f>
        <v>17.799999999999997</v>
      </c>
      <c r="BI138" s="197">
        <f>SUM(BE138:BH138)</f>
        <v>71.5</v>
      </c>
      <c r="BJ138" s="784"/>
      <c r="BK138" s="809"/>
      <c r="BL138" s="784"/>
      <c r="BM138" s="784"/>
      <c r="BN138" s="810">
        <v>91</v>
      </c>
      <c r="BO138" s="784"/>
      <c r="BP138" s="809"/>
      <c r="BQ138" s="784"/>
      <c r="BR138" s="784"/>
      <c r="BS138" s="810">
        <v>106</v>
      </c>
      <c r="BT138" s="159"/>
      <c r="BU138" s="371"/>
      <c r="BV138" s="235"/>
      <c r="BW138" s="159"/>
      <c r="BX138" s="159"/>
      <c r="BY138" s="159"/>
      <c r="BZ138" s="531" t="s">
        <v>535</v>
      </c>
      <c r="CA138" s="333"/>
      <c r="CB138" s="333"/>
      <c r="CC138" s="333"/>
      <c r="CD138" s="333"/>
      <c r="CE138" s="333"/>
      <c r="CF138" s="333"/>
      <c r="CG138" s="333"/>
      <c r="CH138" s="371"/>
      <c r="CI138" s="159"/>
      <c r="CJ138"/>
      <c r="CK138"/>
      <c r="CL138"/>
      <c r="CM138"/>
      <c r="CN138"/>
      <c r="CO138"/>
      <c r="CP138" s="412"/>
    </row>
    <row r="139" spans="1:94" s="273" customFormat="1" ht="12.75" customHeight="1" x14ac:dyDescent="0.2">
      <c r="A139" s="574" t="s">
        <v>158</v>
      </c>
      <c r="B139" s="57"/>
      <c r="C139" s="57"/>
      <c r="D139" s="57"/>
      <c r="E139" s="57"/>
      <c r="F139" s="197">
        <f t="shared" ref="F139:AL139" si="548">F138-F134</f>
        <v>32.211999999999996</v>
      </c>
      <c r="G139" s="56">
        <f t="shared" si="548"/>
        <v>9.0749999999999993</v>
      </c>
      <c r="H139" s="56">
        <f t="shared" si="548"/>
        <v>9.5020000000000007</v>
      </c>
      <c r="I139" s="56">
        <f t="shared" si="548"/>
        <v>9.4979999999999993</v>
      </c>
      <c r="J139" s="56">
        <f t="shared" si="548"/>
        <v>10.195</v>
      </c>
      <c r="K139" s="197">
        <f t="shared" si="548"/>
        <v>38.269999999999996</v>
      </c>
      <c r="L139" s="56">
        <f t="shared" si="548"/>
        <v>0</v>
      </c>
      <c r="M139" s="56">
        <f t="shared" si="548"/>
        <v>0</v>
      </c>
      <c r="N139" s="56">
        <f t="shared" si="548"/>
        <v>0</v>
      </c>
      <c r="O139" s="56">
        <f t="shared" si="548"/>
        <v>0</v>
      </c>
      <c r="P139" s="197">
        <f t="shared" si="548"/>
        <v>0</v>
      </c>
      <c r="Q139" s="56">
        <f t="shared" si="548"/>
        <v>0</v>
      </c>
      <c r="R139" s="56">
        <f t="shared" si="548"/>
        <v>0</v>
      </c>
      <c r="S139" s="56">
        <f t="shared" si="548"/>
        <v>0</v>
      </c>
      <c r="T139" s="56">
        <f t="shared" si="548"/>
        <v>0</v>
      </c>
      <c r="U139" s="197">
        <f t="shared" si="548"/>
        <v>0</v>
      </c>
      <c r="V139" s="56">
        <f t="shared" si="548"/>
        <v>-0.41499999999999998</v>
      </c>
      <c r="W139" s="56">
        <f t="shared" si="548"/>
        <v>-0.71</v>
      </c>
      <c r="X139" s="56">
        <f t="shared" si="548"/>
        <v>0.34499999999999997</v>
      </c>
      <c r="Y139" s="56">
        <f t="shared" si="548"/>
        <v>5.3999999999999992E-2</v>
      </c>
      <c r="Z139" s="197">
        <f t="shared" si="548"/>
        <v>-0.72599999999999998</v>
      </c>
      <c r="AA139" s="56">
        <f t="shared" si="548"/>
        <v>0.12500000000000006</v>
      </c>
      <c r="AB139" s="56">
        <f t="shared" si="548"/>
        <v>0.6140000000000001</v>
      </c>
      <c r="AC139" s="56">
        <f t="shared" si="548"/>
        <v>-0.161</v>
      </c>
      <c r="AD139" s="56">
        <f t="shared" si="548"/>
        <v>-0.153</v>
      </c>
      <c r="AE139" s="197">
        <f t="shared" si="548"/>
        <v>0.42500000000000004</v>
      </c>
      <c r="AF139" s="56">
        <f t="shared" si="548"/>
        <v>-0.10700000000000001</v>
      </c>
      <c r="AG139" s="56">
        <f t="shared" si="548"/>
        <v>-9.999999999999995E-3</v>
      </c>
      <c r="AH139" s="56">
        <f t="shared" si="548"/>
        <v>-5.0999999999999997E-2</v>
      </c>
      <c r="AI139" s="56">
        <f t="shared" si="548"/>
        <v>-1.9000000000000003E-2</v>
      </c>
      <c r="AJ139" s="197">
        <f t="shared" si="548"/>
        <v>-0.18700000000000006</v>
      </c>
      <c r="AK139" s="56">
        <f t="shared" si="548"/>
        <v>3.8999999999999993E-2</v>
      </c>
      <c r="AL139" s="56">
        <f t="shared" si="548"/>
        <v>1.999999999999999E-2</v>
      </c>
      <c r="AM139" s="56">
        <f>AM138-AM134</f>
        <v>0.79400000000000004</v>
      </c>
      <c r="AN139" s="56">
        <f>AN138-AN134</f>
        <v>1.5580000000000001</v>
      </c>
      <c r="AO139" s="197">
        <f>AO138-AO134</f>
        <v>2.4109999999999996</v>
      </c>
      <c r="AP139" s="56">
        <f>AP138-AP134</f>
        <v>2.6779999999999999</v>
      </c>
      <c r="AQ139" s="56">
        <f>AQ138-AQ134</f>
        <v>4.242</v>
      </c>
      <c r="AR139" s="56">
        <f t="shared" ref="AR139:AT139" si="549">AR138-AR134</f>
        <v>5.718</v>
      </c>
      <c r="AS139" s="56">
        <f t="shared" si="549"/>
        <v>5.6189999999999998</v>
      </c>
      <c r="AT139" s="197">
        <f t="shared" si="549"/>
        <v>18.256999999999998</v>
      </c>
      <c r="AU139" s="56">
        <f>AU138-AU134</f>
        <v>6.4940000000000007</v>
      </c>
      <c r="AV139" s="56">
        <f>AV138-AV134</f>
        <v>8.7190000000000012</v>
      </c>
      <c r="AW139" s="56">
        <f t="shared" ref="AW139:AY139" si="550">AW138-AW134</f>
        <v>10.14</v>
      </c>
      <c r="AX139" s="56">
        <f t="shared" si="550"/>
        <v>11.025</v>
      </c>
      <c r="AY139" s="197">
        <f t="shared" si="550"/>
        <v>36.378</v>
      </c>
      <c r="AZ139" s="56">
        <f>AZ138-AZ134</f>
        <v>11.16</v>
      </c>
      <c r="BA139" s="56">
        <f>BA138-BA134</f>
        <v>11.918000000000001</v>
      </c>
      <c r="BB139" s="56">
        <f t="shared" ref="BB139:BD139" si="551">BB138-BB134</f>
        <v>12.413</v>
      </c>
      <c r="BC139" s="56">
        <f t="shared" si="551"/>
        <v>13.075000000000001</v>
      </c>
      <c r="BD139" s="197">
        <f t="shared" si="551"/>
        <v>48.566000000000003</v>
      </c>
      <c r="BE139" s="57">
        <f t="shared" ref="BE139:BI139" si="552">BE138-BE134</f>
        <v>13.799999999999999</v>
      </c>
      <c r="BF139" s="57">
        <f t="shared" si="552"/>
        <v>13.299999999999999</v>
      </c>
      <c r="BG139" s="57">
        <f t="shared" si="552"/>
        <v>12.899999999999999</v>
      </c>
      <c r="BH139" s="57">
        <f t="shared" si="552"/>
        <v>12.499999999999996</v>
      </c>
      <c r="BI139" s="197">
        <f t="shared" si="552"/>
        <v>52.5</v>
      </c>
      <c r="BJ139" s="57"/>
      <c r="BK139" s="809"/>
      <c r="BL139" s="57"/>
      <c r="BM139" s="57"/>
      <c r="BN139" s="197">
        <f>BN138-BN134</f>
        <v>76.703278725434714</v>
      </c>
      <c r="BO139" s="57"/>
      <c r="BP139" s="809"/>
      <c r="BQ139" s="57"/>
      <c r="BR139" s="57"/>
      <c r="BS139" s="197">
        <f>BS138-BS134</f>
        <v>91.090265675943414</v>
      </c>
      <c r="BT139" s="159"/>
      <c r="BU139" s="371"/>
      <c r="BV139" s="235"/>
      <c r="BW139" s="159"/>
      <c r="BX139" s="159"/>
      <c r="BY139" s="159"/>
      <c r="BZ139" s="531"/>
      <c r="CA139" s="333"/>
      <c r="CB139" s="333"/>
      <c r="CC139" s="333"/>
      <c r="CD139" s="333"/>
      <c r="CE139" s="333"/>
      <c r="CF139" s="333"/>
      <c r="CG139" s="333"/>
      <c r="CH139" s="371"/>
      <c r="CI139" s="159"/>
      <c r="CJ139"/>
      <c r="CK139"/>
      <c r="CL139"/>
      <c r="CM139"/>
      <c r="CN139"/>
      <c r="CO139"/>
      <c r="CP139" s="412"/>
    </row>
    <row r="140" spans="1:94" s="273" customFormat="1" ht="12.75" customHeight="1" x14ac:dyDescent="0.2">
      <c r="A140" s="159" t="s">
        <v>159</v>
      </c>
      <c r="B140" s="51"/>
      <c r="C140" s="51"/>
      <c r="D140" s="51"/>
      <c r="E140" s="51"/>
      <c r="F140" s="872">
        <v>1.7549999999999999</v>
      </c>
      <c r="G140" s="857">
        <v>0.44</v>
      </c>
      <c r="H140" s="857">
        <v>-0.434</v>
      </c>
      <c r="I140" s="857">
        <v>0.16</v>
      </c>
      <c r="J140" s="857">
        <v>0</v>
      </c>
      <c r="K140" s="182">
        <f>SUM(G140:J140)</f>
        <v>0.16600000000000001</v>
      </c>
      <c r="L140" s="857"/>
      <c r="M140" s="857"/>
      <c r="N140" s="857"/>
      <c r="O140" s="857"/>
      <c r="P140" s="182">
        <f>SUM(L140:O140)</f>
        <v>0</v>
      </c>
      <c r="Q140" s="857"/>
      <c r="R140" s="857"/>
      <c r="S140" s="857"/>
      <c r="T140" s="857"/>
      <c r="U140" s="182">
        <f>SUM(Q140:T140)</f>
        <v>0</v>
      </c>
      <c r="V140" s="857"/>
      <c r="W140" s="857">
        <v>1.0389999999999999</v>
      </c>
      <c r="X140" s="857">
        <v>0.44400000000000001</v>
      </c>
      <c r="Y140" s="857">
        <v>0.371</v>
      </c>
      <c r="Z140" s="182">
        <f>SUM(V140:Y140)</f>
        <v>1.8539999999999999</v>
      </c>
      <c r="AA140" s="857">
        <v>0.54</v>
      </c>
      <c r="AB140" s="857">
        <v>0.79400000000000004</v>
      </c>
      <c r="AC140" s="857">
        <v>0.01</v>
      </c>
      <c r="AD140" s="857">
        <v>6.0000000000000001E-3</v>
      </c>
      <c r="AE140" s="182">
        <f>SUM(AA140:AD140)</f>
        <v>1.35</v>
      </c>
      <c r="AF140" s="857">
        <v>8.9999999999999993E-3</v>
      </c>
      <c r="AG140" s="857">
        <v>9.5000000000000001E-2</v>
      </c>
      <c r="AH140" s="857">
        <v>3.5999999999999997E-2</v>
      </c>
      <c r="AI140" s="857">
        <v>7.3999999999999996E-2</v>
      </c>
      <c r="AJ140" s="182">
        <f>SUM(AF140:AI140)</f>
        <v>0.21399999999999997</v>
      </c>
      <c r="AK140" s="857">
        <v>0.107</v>
      </c>
      <c r="AL140" s="857">
        <v>0.10299999999999999</v>
      </c>
      <c r="AM140" s="857">
        <v>0.878</v>
      </c>
      <c r="AN140" s="857">
        <v>-1.659</v>
      </c>
      <c r="AO140" s="182">
        <f>SUM(AK140:AN140)</f>
        <v>-0.57099999999999995</v>
      </c>
      <c r="AP140" s="857">
        <v>2.5329999999999999</v>
      </c>
      <c r="AQ140" s="857">
        <v>2.8290000000000002</v>
      </c>
      <c r="AR140" s="857">
        <v>3.03</v>
      </c>
      <c r="AS140" s="857">
        <v>3.161</v>
      </c>
      <c r="AT140" s="182">
        <f>SUM(AP140:AS140)</f>
        <v>11.552999999999999</v>
      </c>
      <c r="AU140" s="857">
        <v>3.3250000000000002</v>
      </c>
      <c r="AV140" s="857">
        <v>2.7709999999999999</v>
      </c>
      <c r="AW140" s="857">
        <v>3.0670000000000002</v>
      </c>
      <c r="AX140" s="857">
        <v>3.5419999999999998</v>
      </c>
      <c r="AY140" s="182">
        <f>SUM(AU140:AX140)</f>
        <v>12.705</v>
      </c>
      <c r="AZ140" s="857">
        <v>3.58</v>
      </c>
      <c r="BA140" s="857">
        <v>3.3420000000000001</v>
      </c>
      <c r="BB140" s="857">
        <v>3.2029999999999998</v>
      </c>
      <c r="BC140" s="857">
        <v>3.6680000000000001</v>
      </c>
      <c r="BD140" s="182">
        <f>SUM(AZ140:BC140)</f>
        <v>13.792999999999999</v>
      </c>
      <c r="BE140" s="857">
        <v>-2.2999999999999998</v>
      </c>
      <c r="BF140" s="783">
        <f>+BE140</f>
        <v>-2.2999999999999998</v>
      </c>
      <c r="BG140" s="783">
        <f>+BF140</f>
        <v>-2.2999999999999998</v>
      </c>
      <c r="BH140" s="783">
        <f>+BG140+0.2</f>
        <v>-2.0999999999999996</v>
      </c>
      <c r="BI140" s="182">
        <f>SUM(BE140:BH140)</f>
        <v>-9</v>
      </c>
      <c r="BJ140" s="783"/>
      <c r="BK140" s="807"/>
      <c r="BL140" s="783"/>
      <c r="BM140" s="783"/>
      <c r="BN140" s="811">
        <f>+BI140</f>
        <v>-9</v>
      </c>
      <c r="BO140" s="783"/>
      <c r="BP140" s="807"/>
      <c r="BQ140" s="783"/>
      <c r="BR140" s="783"/>
      <c r="BS140" s="811">
        <f>+BN140</f>
        <v>-9</v>
      </c>
      <c r="BT140" s="159"/>
      <c r="BU140" s="371"/>
      <c r="BV140" s="235"/>
      <c r="BW140" s="159"/>
      <c r="BX140" s="159"/>
      <c r="BY140" s="159"/>
      <c r="BZ140" s="531" t="s">
        <v>536</v>
      </c>
      <c r="CA140" s="531"/>
      <c r="CB140" s="333"/>
      <c r="CC140" s="333"/>
      <c r="CD140" s="333"/>
      <c r="CE140" s="333"/>
      <c r="CF140" s="333"/>
      <c r="CG140" s="333"/>
      <c r="CH140" s="371"/>
      <c r="CI140" s="159"/>
      <c r="CJ140"/>
      <c r="CK140"/>
      <c r="CL140"/>
      <c r="CM140"/>
      <c r="CN140"/>
      <c r="CO140"/>
      <c r="CP140" s="410"/>
    </row>
    <row r="141" spans="1:94" s="273" customFormat="1" ht="12.75" customHeight="1" x14ac:dyDescent="0.2">
      <c r="A141" s="57" t="s">
        <v>160</v>
      </c>
      <c r="B141" s="57"/>
      <c r="C141" s="57"/>
      <c r="D141" s="57"/>
      <c r="E141" s="57"/>
      <c r="F141" s="873">
        <v>-0.13</v>
      </c>
      <c r="G141" s="858">
        <v>-6.6000000000000003E-2</v>
      </c>
      <c r="H141" s="858">
        <v>-3.3000000000000002E-2</v>
      </c>
      <c r="I141" s="858">
        <v>-6.8000000000000005E-2</v>
      </c>
      <c r="J141" s="858">
        <v>-4.7E-2</v>
      </c>
      <c r="K141" s="197">
        <f>SUM(G141:J141)</f>
        <v>-0.21400000000000002</v>
      </c>
      <c r="L141" s="858">
        <v>0.32500000000000001</v>
      </c>
      <c r="M141" s="858">
        <v>0.32500000000000001</v>
      </c>
      <c r="N141" s="858">
        <v>0.32500000000000001</v>
      </c>
      <c r="O141" s="858">
        <v>0.32500000000000001</v>
      </c>
      <c r="P141" s="197">
        <f>SUM(L141:O141)</f>
        <v>1.3</v>
      </c>
      <c r="Q141" s="858">
        <v>0.32500000000000001</v>
      </c>
      <c r="R141" s="858">
        <v>0.32500000000000001</v>
      </c>
      <c r="S141" s="858">
        <v>0.32500000000000001</v>
      </c>
      <c r="T141" s="858">
        <v>0.32500000000000001</v>
      </c>
      <c r="U141" s="197">
        <f>SUM(Q141:T141)</f>
        <v>1.3</v>
      </c>
      <c r="V141" s="858">
        <v>1.125</v>
      </c>
      <c r="W141" s="858">
        <v>-0.76</v>
      </c>
      <c r="X141" s="858">
        <v>-4.2000000000000003E-2</v>
      </c>
      <c r="Y141" s="858">
        <v>-7.0000000000000007E-2</v>
      </c>
      <c r="Z141" s="197">
        <f>SUM(V141:Y141)</f>
        <v>0.253</v>
      </c>
      <c r="AA141" s="858">
        <v>-4.2999999999999997E-2</v>
      </c>
      <c r="AB141" s="858">
        <v>-8.4000000000000005E-2</v>
      </c>
      <c r="AC141" s="858">
        <v>-0.109</v>
      </c>
      <c r="AD141" s="858">
        <v>-9.5000000000000001E-2</v>
      </c>
      <c r="AE141" s="197">
        <f>SUM(AA141:AD141)</f>
        <v>-0.33099999999999996</v>
      </c>
      <c r="AF141" s="858">
        <v>-0.10100000000000001</v>
      </c>
      <c r="AG141" s="858">
        <v>-3.5999999999999997E-2</v>
      </c>
      <c r="AH141" s="858">
        <v>-0.115</v>
      </c>
      <c r="AI141" s="858">
        <v>-3.1E-2</v>
      </c>
      <c r="AJ141" s="197">
        <f>SUM(AF141:AI141)</f>
        <v>-0.28300000000000003</v>
      </c>
      <c r="AK141" s="858">
        <v>-3.6999999999999998E-2</v>
      </c>
      <c r="AL141" s="858">
        <v>-5.1000000000000156E-2</v>
      </c>
      <c r="AM141" s="858">
        <v>-8.1000000000000003E-2</v>
      </c>
      <c r="AN141" s="858">
        <v>1.048</v>
      </c>
      <c r="AO141" s="197">
        <f>SUM(AK141:AN141)</f>
        <v>0.87899999999999989</v>
      </c>
      <c r="AP141" s="858">
        <v>-7.1999999999999995E-2</v>
      </c>
      <c r="AQ141" s="858">
        <v>-4.3999999999999997E-2</v>
      </c>
      <c r="AR141" s="858">
        <v>-0.16600000000000001</v>
      </c>
      <c r="AS141" s="858">
        <v>0.26700000000000002</v>
      </c>
      <c r="AT141" s="197">
        <f>SUM(AP141:AS141)</f>
        <v>-1.5000000000000013E-2</v>
      </c>
      <c r="AU141" s="858">
        <v>-7.0000000000000007E-2</v>
      </c>
      <c r="AV141" s="858">
        <v>-0.157</v>
      </c>
      <c r="AW141" s="858">
        <v>-0.18</v>
      </c>
      <c r="AX141" s="858">
        <v>-0.121</v>
      </c>
      <c r="AY141" s="197">
        <f>SUM(AU141:AX141)</f>
        <v>-0.52800000000000002</v>
      </c>
      <c r="AZ141" s="858">
        <v>-3.0000000000000001E-3</v>
      </c>
      <c r="BA141" s="858">
        <v>-0.104</v>
      </c>
      <c r="BB141" s="858">
        <v>-0.114</v>
      </c>
      <c r="BC141" s="858">
        <v>-0.14499999999999999</v>
      </c>
      <c r="BD141" s="197">
        <f>SUM(AZ141:BC141)</f>
        <v>-0.36599999999999999</v>
      </c>
      <c r="BE141" s="784">
        <v>0</v>
      </c>
      <c r="BF141" s="784">
        <v>0</v>
      </c>
      <c r="BG141" s="784">
        <v>0</v>
      </c>
      <c r="BH141" s="784">
        <v>0</v>
      </c>
      <c r="BI141" s="197">
        <f>SUM(BE141:BH141)</f>
        <v>0</v>
      </c>
      <c r="BJ141" s="57"/>
      <c r="BK141" s="809"/>
      <c r="BL141" s="784"/>
      <c r="BM141" s="784"/>
      <c r="BN141" s="810">
        <f>BI141</f>
        <v>0</v>
      </c>
      <c r="BO141" s="57"/>
      <c r="BP141" s="809"/>
      <c r="BQ141" s="784"/>
      <c r="BR141" s="784"/>
      <c r="BS141" s="810">
        <f>BN141</f>
        <v>0</v>
      </c>
      <c r="BT141" s="159"/>
      <c r="BU141" s="371"/>
      <c r="BV141" s="235"/>
      <c r="BW141" s="159"/>
      <c r="BX141" s="159"/>
      <c r="BY141" s="159"/>
      <c r="BZ141" s="531"/>
      <c r="CA141" s="551"/>
      <c r="CB141" s="333"/>
      <c r="CC141" s="333"/>
      <c r="CD141" s="333"/>
      <c r="CE141" s="333"/>
      <c r="CF141" s="333"/>
      <c r="CG141" s="333"/>
      <c r="CH141" s="371"/>
      <c r="CI141" s="159"/>
      <c r="CJ141"/>
      <c r="CK141"/>
      <c r="CL141"/>
      <c r="CM141"/>
      <c r="CN141"/>
      <c r="CO141"/>
      <c r="CP141" s="412"/>
    </row>
    <row r="142" spans="1:94" s="256" customFormat="1" ht="12.75" customHeight="1" x14ac:dyDescent="0.2">
      <c r="A142" s="68" t="s">
        <v>161</v>
      </c>
      <c r="B142" s="59"/>
      <c r="C142" s="59"/>
      <c r="D142" s="59"/>
      <c r="E142" s="59"/>
      <c r="F142" s="198">
        <f t="shared" ref="F142:P142" si="553">-F139+F140+F141</f>
        <v>-30.586999999999996</v>
      </c>
      <c r="G142" s="56">
        <f t="shared" si="553"/>
        <v>-8.7010000000000005</v>
      </c>
      <c r="H142" s="56">
        <f t="shared" si="553"/>
        <v>-9.9689999999999994</v>
      </c>
      <c r="I142" s="56">
        <f t="shared" si="553"/>
        <v>-9.4059999999999988</v>
      </c>
      <c r="J142" s="56">
        <f t="shared" si="553"/>
        <v>-10.242000000000001</v>
      </c>
      <c r="K142" s="198">
        <f t="shared" si="553"/>
        <v>-38.317999999999998</v>
      </c>
      <c r="L142" s="56">
        <f t="shared" si="553"/>
        <v>0.32500000000000001</v>
      </c>
      <c r="M142" s="56">
        <f t="shared" si="553"/>
        <v>0.32500000000000001</v>
      </c>
      <c r="N142" s="56">
        <f t="shared" si="553"/>
        <v>0.32500000000000001</v>
      </c>
      <c r="O142" s="56">
        <f t="shared" si="553"/>
        <v>0.32500000000000001</v>
      </c>
      <c r="P142" s="198">
        <f t="shared" si="553"/>
        <v>1.3</v>
      </c>
      <c r="Q142" s="56">
        <f>-Q139+Q140+Q141</f>
        <v>0.32500000000000001</v>
      </c>
      <c r="R142" s="56">
        <f>-R139+R140+R141</f>
        <v>0.32500000000000001</v>
      </c>
      <c r="S142" s="56">
        <f>-S139+S140+S141</f>
        <v>0.32500000000000001</v>
      </c>
      <c r="T142" s="56">
        <f>-T139+T140+T141</f>
        <v>0.32500000000000001</v>
      </c>
      <c r="U142" s="198">
        <f>SUM(Q142:T142)</f>
        <v>1.3</v>
      </c>
      <c r="V142" s="56">
        <f t="shared" ref="V142:AE142" si="554">-V139+V140+V141</f>
        <v>1.54</v>
      </c>
      <c r="W142" s="56">
        <f t="shared" si="554"/>
        <v>0.98899999999999988</v>
      </c>
      <c r="X142" s="56">
        <f t="shared" si="554"/>
        <v>5.700000000000003E-2</v>
      </c>
      <c r="Y142" s="56">
        <f t="shared" si="554"/>
        <v>0.247</v>
      </c>
      <c r="Z142" s="198">
        <f t="shared" si="554"/>
        <v>2.8330000000000002</v>
      </c>
      <c r="AA142" s="56">
        <f>-AA139+AA140+AA141</f>
        <v>0.372</v>
      </c>
      <c r="AB142" s="56">
        <f>-AB139+AB140+AB141</f>
        <v>9.5999999999999933E-2</v>
      </c>
      <c r="AC142" s="56">
        <f>-AC139+AC140+AC141</f>
        <v>6.2000000000000013E-2</v>
      </c>
      <c r="AD142" s="56">
        <f>-AD139+AD140+AD141</f>
        <v>6.4000000000000001E-2</v>
      </c>
      <c r="AE142" s="197">
        <f t="shared" si="554"/>
        <v>0.59400000000000008</v>
      </c>
      <c r="AF142" s="56">
        <f t="shared" ref="AF142:AL142" si="555">-AF139+AF140+AF141</f>
        <v>1.4999999999999999E-2</v>
      </c>
      <c r="AG142" s="56">
        <f t="shared" si="555"/>
        <v>6.9000000000000006E-2</v>
      </c>
      <c r="AH142" s="56">
        <f t="shared" si="555"/>
        <v>-2.8000000000000011E-2</v>
      </c>
      <c r="AI142" s="56">
        <f t="shared" si="555"/>
        <v>6.2E-2</v>
      </c>
      <c r="AJ142" s="197">
        <f t="shared" si="555"/>
        <v>0.11799999999999999</v>
      </c>
      <c r="AK142" s="56">
        <f t="shared" si="555"/>
        <v>3.1000000000000007E-2</v>
      </c>
      <c r="AL142" s="56">
        <f t="shared" si="555"/>
        <v>3.1999999999999848E-2</v>
      </c>
      <c r="AM142" s="56">
        <f>-AM139+AM140+AM141</f>
        <v>2.999999999999961E-3</v>
      </c>
      <c r="AN142" s="56">
        <f>-AN139+AN140+AN141</f>
        <v>-2.169</v>
      </c>
      <c r="AO142" s="197">
        <f>-AO139+AO140+AO141</f>
        <v>-2.1029999999999993</v>
      </c>
      <c r="AP142" s="56">
        <f>-AP139+AP140+AP141</f>
        <v>-0.21700000000000003</v>
      </c>
      <c r="AQ142" s="56">
        <f>-AQ139+AQ140+AQ141</f>
        <v>-1.4569999999999999</v>
      </c>
      <c r="AR142" s="56">
        <f t="shared" ref="AR142:AT142" si="556">-AR139+AR140+AR141</f>
        <v>-2.8540000000000001</v>
      </c>
      <c r="AS142" s="56">
        <f t="shared" si="556"/>
        <v>-2.1909999999999998</v>
      </c>
      <c r="AT142" s="197">
        <f t="shared" si="556"/>
        <v>-6.7189999999999985</v>
      </c>
      <c r="AU142" s="56">
        <f>-AU139+AU140+AU141</f>
        <v>-3.2390000000000003</v>
      </c>
      <c r="AV142" s="56">
        <f>-AV139+AV140+AV141</f>
        <v>-6.1050000000000013</v>
      </c>
      <c r="AW142" s="56">
        <f t="shared" ref="AW142:AY142" si="557">-AW139+AW140+AW141</f>
        <v>-7.2530000000000001</v>
      </c>
      <c r="AX142" s="56">
        <f t="shared" si="557"/>
        <v>-7.604000000000001</v>
      </c>
      <c r="AY142" s="197">
        <f t="shared" si="557"/>
        <v>-24.201000000000001</v>
      </c>
      <c r="AZ142" s="56">
        <f>-AZ139+AZ140+AZ141</f>
        <v>-7.5830000000000002</v>
      </c>
      <c r="BA142" s="56">
        <f>-BA139+BA140+BA141</f>
        <v>-8.68</v>
      </c>
      <c r="BB142" s="56">
        <f t="shared" ref="BB142:BD142" si="558">-BB139+BB140+BB141</f>
        <v>-9.3240000000000016</v>
      </c>
      <c r="BC142" s="56">
        <f t="shared" si="558"/>
        <v>-9.5519999999999996</v>
      </c>
      <c r="BD142" s="197">
        <f t="shared" si="558"/>
        <v>-35.139000000000003</v>
      </c>
      <c r="BE142" s="57">
        <f t="shared" ref="BE142" si="559">-BE139+BE140+BE141</f>
        <v>-16.099999999999998</v>
      </c>
      <c r="BF142" s="57">
        <f t="shared" ref="BF142:BH142" si="560">-BF139+BF140+BF141</f>
        <v>-15.599999999999998</v>
      </c>
      <c r="BG142" s="57">
        <f t="shared" si="560"/>
        <v>-15.2</v>
      </c>
      <c r="BH142" s="57">
        <f t="shared" si="560"/>
        <v>-14.599999999999996</v>
      </c>
      <c r="BI142" s="197">
        <f>-BI139+BI140+BI141</f>
        <v>-61.5</v>
      </c>
      <c r="BJ142" s="57"/>
      <c r="BK142" s="809"/>
      <c r="BL142" s="57"/>
      <c r="BM142" s="57"/>
      <c r="BN142" s="197">
        <f>-BN139+BN140+BN141</f>
        <v>-85.703278725434714</v>
      </c>
      <c r="BO142" s="57"/>
      <c r="BP142" s="809"/>
      <c r="BQ142" s="57"/>
      <c r="BR142" s="57"/>
      <c r="BS142" s="197">
        <f>-BS139+BS140+BS141</f>
        <v>-100.09026567594341</v>
      </c>
      <c r="BT142" s="72"/>
      <c r="BU142" s="373"/>
      <c r="BV142" s="238"/>
      <c r="BW142" s="72"/>
      <c r="BX142" s="72"/>
      <c r="BY142" s="72"/>
      <c r="BZ142" s="531" t="s">
        <v>513</v>
      </c>
      <c r="CA142" s="551"/>
      <c r="CB142" s="331"/>
      <c r="CC142" s="331"/>
      <c r="CD142" s="331"/>
      <c r="CE142" s="331"/>
      <c r="CF142" s="331"/>
      <c r="CG142" s="331"/>
      <c r="CH142" s="373"/>
      <c r="CI142" s="72"/>
      <c r="CJ142"/>
      <c r="CK142"/>
      <c r="CL142"/>
      <c r="CM142"/>
      <c r="CN142"/>
      <c r="CO142"/>
      <c r="CP142" s="413"/>
    </row>
    <row r="143" spans="1:94" s="254" customFormat="1" ht="12.75" customHeight="1" x14ac:dyDescent="0.2">
      <c r="A143" s="9" t="s">
        <v>162</v>
      </c>
      <c r="B143" s="9"/>
      <c r="C143" s="9"/>
      <c r="D143" s="9"/>
      <c r="E143" s="9"/>
      <c r="F143" s="165"/>
      <c r="G143" s="9"/>
      <c r="H143" s="9"/>
      <c r="I143" s="9"/>
      <c r="J143" s="9"/>
      <c r="K143" s="165"/>
      <c r="L143" s="9"/>
      <c r="M143" s="9"/>
      <c r="N143" s="9"/>
      <c r="O143" s="9"/>
      <c r="P143" s="165"/>
      <c r="Q143" s="9"/>
      <c r="R143" s="9"/>
      <c r="S143" s="9"/>
      <c r="T143" s="9"/>
      <c r="U143" s="165"/>
      <c r="V143" s="9"/>
      <c r="W143" s="9"/>
      <c r="X143" s="9"/>
      <c r="Y143" s="9"/>
      <c r="Z143" s="165"/>
      <c r="AA143" s="9"/>
      <c r="AB143" s="9"/>
      <c r="AC143" s="9"/>
      <c r="AD143" s="9"/>
      <c r="AE143" s="165"/>
      <c r="AF143" s="9"/>
      <c r="AG143" s="9"/>
      <c r="AH143" s="9"/>
      <c r="AI143" s="9"/>
      <c r="AJ143" s="165"/>
      <c r="AK143" s="9"/>
      <c r="AL143" s="9"/>
      <c r="AM143" s="9"/>
      <c r="AN143" s="9"/>
      <c r="AO143" s="165"/>
      <c r="AP143" s="9"/>
      <c r="AQ143" s="9"/>
      <c r="AR143" s="9"/>
      <c r="AS143" s="9"/>
      <c r="AT143" s="165"/>
      <c r="AU143" s="9"/>
      <c r="AV143" s="9"/>
      <c r="AW143" s="9"/>
      <c r="AX143" s="9"/>
      <c r="AY143" s="165"/>
      <c r="AZ143" s="9"/>
      <c r="BA143" s="9"/>
      <c r="BB143" s="9"/>
      <c r="BC143" s="9"/>
      <c r="BD143" s="165"/>
      <c r="BE143" s="9"/>
      <c r="BF143" s="9"/>
      <c r="BG143" s="9"/>
      <c r="BH143" s="9"/>
      <c r="BI143" s="165"/>
      <c r="BJ143" s="9"/>
      <c r="BK143" s="9"/>
      <c r="BL143" s="9"/>
      <c r="BM143" s="9"/>
      <c r="BN143" s="165"/>
      <c r="BO143" s="9"/>
      <c r="BP143" s="9"/>
      <c r="BQ143" s="9"/>
      <c r="BR143" s="9"/>
      <c r="BS143" s="165"/>
      <c r="BT143" s="249"/>
      <c r="BU143" s="8"/>
      <c r="BV143" s="280"/>
      <c r="BW143" s="249"/>
      <c r="BX143" s="249"/>
      <c r="BY143" s="249"/>
      <c r="BZ143" s="432"/>
      <c r="CA143" s="320"/>
      <c r="CB143" s="320"/>
      <c r="CC143" s="320"/>
      <c r="CD143" s="320"/>
      <c r="CE143" s="320"/>
      <c r="CF143" s="320"/>
      <c r="CG143" s="320"/>
      <c r="CH143" s="8"/>
      <c r="CI143" s="249"/>
      <c r="CJ143"/>
      <c r="CK143"/>
      <c r="CL143"/>
      <c r="CM143"/>
      <c r="CN143"/>
      <c r="CO143"/>
      <c r="CP143" s="320"/>
    </row>
    <row r="144" spans="1:94" s="273" customFormat="1" ht="12.75" customHeight="1" x14ac:dyDescent="0.2">
      <c r="A144" s="575" t="s">
        <v>61</v>
      </c>
      <c r="B144" s="57"/>
      <c r="C144" s="57"/>
      <c r="D144" s="57"/>
      <c r="E144" s="57"/>
      <c r="F144" s="197">
        <f t="shared" ref="F144:AM144" si="561">F121+F142</f>
        <v>-9.4710000000000107</v>
      </c>
      <c r="G144" s="57">
        <f t="shared" si="561"/>
        <v>-5.4331899999999749</v>
      </c>
      <c r="H144" s="57">
        <f t="shared" si="561"/>
        <v>-16.616297999999979</v>
      </c>
      <c r="I144" s="57">
        <f t="shared" si="561"/>
        <v>23.901215000000015</v>
      </c>
      <c r="J144" s="57">
        <f t="shared" si="561"/>
        <v>11.798500000000008</v>
      </c>
      <c r="K144" s="197">
        <f t="shared" si="561"/>
        <v>13.650227000000072</v>
      </c>
      <c r="L144" s="57">
        <f t="shared" si="561"/>
        <v>31.141000000000002</v>
      </c>
      <c r="M144" s="57">
        <f t="shared" si="561"/>
        <v>34.373000000000033</v>
      </c>
      <c r="N144" s="57">
        <f t="shared" si="561"/>
        <v>27.27517999999996</v>
      </c>
      <c r="O144" s="57">
        <f t="shared" si="561"/>
        <v>18.078000000000014</v>
      </c>
      <c r="P144" s="197">
        <f t="shared" si="561"/>
        <v>110.86717999999989</v>
      </c>
      <c r="Q144" s="57">
        <f t="shared" si="561"/>
        <v>23.800999999999998</v>
      </c>
      <c r="R144" s="57">
        <f t="shared" si="561"/>
        <v>4.3539999999999965</v>
      </c>
      <c r="S144" s="57">
        <f t="shared" si="561"/>
        <v>18.927000000000003</v>
      </c>
      <c r="T144" s="57">
        <f t="shared" si="561"/>
        <v>21.648000000000035</v>
      </c>
      <c r="U144" s="197">
        <f t="shared" si="561"/>
        <v>68.730000000000175</v>
      </c>
      <c r="V144" s="57">
        <f t="shared" si="561"/>
        <v>27.91899999999999</v>
      </c>
      <c r="W144" s="57">
        <f t="shared" si="561"/>
        <v>41.719999999999992</v>
      </c>
      <c r="X144" s="57">
        <f t="shared" si="561"/>
        <v>46.13000000000001</v>
      </c>
      <c r="Y144" s="57">
        <f t="shared" si="561"/>
        <v>38.08799999999998</v>
      </c>
      <c r="Z144" s="197">
        <f t="shared" si="561"/>
        <v>153.85699999999989</v>
      </c>
      <c r="AA144" s="57">
        <f t="shared" si="561"/>
        <v>38.251000000000019</v>
      </c>
      <c r="AB144" s="57">
        <f t="shared" si="561"/>
        <v>56.398999999999994</v>
      </c>
      <c r="AC144" s="57">
        <f t="shared" si="561"/>
        <v>40.533999999999978</v>
      </c>
      <c r="AD144" s="57">
        <f t="shared" si="561"/>
        <v>31.952000000000034</v>
      </c>
      <c r="AE144" s="197">
        <f t="shared" si="561"/>
        <v>167.13599999999991</v>
      </c>
      <c r="AF144" s="57">
        <f t="shared" si="561"/>
        <v>53.257999999999996</v>
      </c>
      <c r="AG144" s="57">
        <f t="shared" si="561"/>
        <v>72.703999999999994</v>
      </c>
      <c r="AH144" s="57">
        <f t="shared" si="561"/>
        <v>92.728000000000023</v>
      </c>
      <c r="AI144" s="57">
        <f t="shared" si="561"/>
        <v>64.683999999999955</v>
      </c>
      <c r="AJ144" s="197">
        <f t="shared" si="561"/>
        <v>283.37400000000008</v>
      </c>
      <c r="AK144" s="57">
        <f t="shared" si="561"/>
        <v>60.142999999999965</v>
      </c>
      <c r="AL144" s="57">
        <f t="shared" si="561"/>
        <v>106.37500000000001</v>
      </c>
      <c r="AM144" s="57">
        <f t="shared" si="561"/>
        <v>110.57799999999999</v>
      </c>
      <c r="AN144" s="57">
        <f t="shared" ref="AN144:AT144" si="562">AN121+AN142</f>
        <v>93.624000000000009</v>
      </c>
      <c r="AO144" s="197">
        <f t="shared" si="562"/>
        <v>370.71999999999986</v>
      </c>
      <c r="AP144" s="57">
        <f t="shared" si="562"/>
        <v>111.74900000000001</v>
      </c>
      <c r="AQ144" s="57">
        <f t="shared" si="562"/>
        <v>117.928</v>
      </c>
      <c r="AR144" s="57">
        <f t="shared" si="562"/>
        <v>154.66099999999997</v>
      </c>
      <c r="AS144" s="57">
        <f t="shared" si="562"/>
        <v>116.46200000000002</v>
      </c>
      <c r="AT144" s="197">
        <f t="shared" si="562"/>
        <v>500.80000000000024</v>
      </c>
      <c r="AU144" s="57">
        <f>AU121+AU142</f>
        <v>114.47600000000003</v>
      </c>
      <c r="AV144" s="57">
        <f t="shared" ref="AV144:AY144" si="563">AV121+AV142</f>
        <v>124.31100000000005</v>
      </c>
      <c r="AW144" s="57">
        <f t="shared" si="563"/>
        <v>135.74099999999999</v>
      </c>
      <c r="AX144" s="57">
        <f t="shared" si="563"/>
        <v>86.308000000000035</v>
      </c>
      <c r="AY144" s="197">
        <f t="shared" si="563"/>
        <v>460.83600000000024</v>
      </c>
      <c r="AZ144" s="57">
        <f>AZ121+AZ142</f>
        <v>57.702999999999946</v>
      </c>
      <c r="BA144" s="57">
        <f t="shared" ref="BA144:BD144" si="564">BA121+BA142</f>
        <v>125.54900000000004</v>
      </c>
      <c r="BB144" s="57">
        <f t="shared" si="564"/>
        <v>103.14899999999996</v>
      </c>
      <c r="BC144" s="57">
        <f t="shared" si="564"/>
        <v>79.962000000000018</v>
      </c>
      <c r="BD144" s="197">
        <f t="shared" si="564"/>
        <v>366.3630000000004</v>
      </c>
      <c r="BE144" s="57">
        <f t="shared" ref="BE144:BI144" si="565">BE121+BE142</f>
        <v>37.343814007630073</v>
      </c>
      <c r="BF144" s="57">
        <f t="shared" si="565"/>
        <v>59.317880400621476</v>
      </c>
      <c r="BG144" s="57">
        <f t="shared" si="565"/>
        <v>105.67772460571921</v>
      </c>
      <c r="BH144" s="57">
        <f t="shared" si="565"/>
        <v>77.741128865243951</v>
      </c>
      <c r="BI144" s="197">
        <f t="shared" si="565"/>
        <v>280.08054787921492</v>
      </c>
      <c r="BJ144" s="57"/>
      <c r="BK144" s="809"/>
      <c r="BL144" s="57"/>
      <c r="BM144" s="57"/>
      <c r="BN144" s="197">
        <f>BN121+BN142</f>
        <v>367.52586152406417</v>
      </c>
      <c r="BO144" s="57"/>
      <c r="BP144" s="809"/>
      <c r="BQ144" s="57"/>
      <c r="BR144" s="57"/>
      <c r="BS144" s="197">
        <f>BS121+BS142</f>
        <v>501.46271143035767</v>
      </c>
      <c r="BT144" s="159"/>
      <c r="BU144" s="371"/>
      <c r="BV144" s="235"/>
      <c r="BW144" s="159"/>
      <c r="BX144" s="159"/>
      <c r="BY144" s="159"/>
      <c r="BZ144" s="531"/>
      <c r="CA144" s="333"/>
      <c r="CB144" s="333"/>
      <c r="CC144" s="333"/>
      <c r="CD144" s="333"/>
      <c r="CE144" s="333"/>
      <c r="CF144" s="333"/>
      <c r="CG144" s="333"/>
      <c r="CH144" s="371"/>
      <c r="CI144" s="159"/>
      <c r="CJ144"/>
      <c r="CK144"/>
      <c r="CL144"/>
      <c r="CM144"/>
      <c r="CN144"/>
      <c r="CO144"/>
      <c r="CP144" s="412"/>
    </row>
    <row r="145" spans="1:94" s="260" customFormat="1" ht="12.75" customHeight="1" x14ac:dyDescent="0.2">
      <c r="A145" s="576" t="s">
        <v>163</v>
      </c>
      <c r="B145" s="18"/>
      <c r="C145" s="18"/>
      <c r="D145" s="18"/>
      <c r="E145" s="18"/>
      <c r="F145" s="166">
        <f t="shared" ref="F145:P145" si="566">F146/F144</f>
        <v>-4.6457607433217137E-3</v>
      </c>
      <c r="G145" s="30">
        <f t="shared" si="566"/>
        <v>0</v>
      </c>
      <c r="H145" s="30">
        <f t="shared" si="566"/>
        <v>0</v>
      </c>
      <c r="I145" s="30">
        <f t="shared" si="566"/>
        <v>0</v>
      </c>
      <c r="J145" s="30">
        <f t="shared" si="566"/>
        <v>3.2885536296986886E-2</v>
      </c>
      <c r="K145" s="166">
        <f t="shared" si="566"/>
        <v>2.8424435725500973E-2</v>
      </c>
      <c r="L145" s="30">
        <f t="shared" si="566"/>
        <v>0.38499084807809641</v>
      </c>
      <c r="M145" s="30">
        <f t="shared" si="566"/>
        <v>0.34402001571000457</v>
      </c>
      <c r="N145" s="30">
        <f t="shared" si="566"/>
        <v>0.39112482484075323</v>
      </c>
      <c r="O145" s="30">
        <f t="shared" si="566"/>
        <v>0.70588560681491253</v>
      </c>
      <c r="P145" s="166">
        <f t="shared" si="566"/>
        <v>0.42612250081584147</v>
      </c>
      <c r="Q145" s="30">
        <f t="shared" ref="Q145:AC145" si="567">Q146/Q144</f>
        <v>0.38590815511953286</v>
      </c>
      <c r="R145" s="30">
        <f t="shared" si="567"/>
        <v>0.17087735415709707</v>
      </c>
      <c r="S145" s="30">
        <f t="shared" si="567"/>
        <v>0.42753738046177414</v>
      </c>
      <c r="T145" s="30">
        <f t="shared" si="567"/>
        <v>0.39574094604582344</v>
      </c>
      <c r="U145" s="166">
        <f t="shared" si="567"/>
        <v>0.38684708278771912</v>
      </c>
      <c r="V145" s="30">
        <f t="shared" si="567"/>
        <v>0.37651778358823756</v>
      </c>
      <c r="W145" s="30">
        <f t="shared" si="567"/>
        <v>0.35752636625119855</v>
      </c>
      <c r="X145" s="30">
        <f t="shared" si="567"/>
        <v>0.38007804032083237</v>
      </c>
      <c r="Y145" s="30">
        <f t="shared" si="567"/>
        <v>0.37310964083175824</v>
      </c>
      <c r="Z145" s="166">
        <f>Z146/Z144</f>
        <v>0.37159180277790443</v>
      </c>
      <c r="AA145" s="30">
        <f t="shared" si="567"/>
        <v>0.37700975137904869</v>
      </c>
      <c r="AB145" s="30">
        <f t="shared" si="567"/>
        <v>0.3736768382418128</v>
      </c>
      <c r="AC145" s="30">
        <f t="shared" si="567"/>
        <v>0.37913850101149676</v>
      </c>
      <c r="AD145" s="30">
        <f t="shared" ref="AD145:AL145" si="568">AD146/AD144</f>
        <v>0.38852028042063053</v>
      </c>
      <c r="AE145" s="166">
        <f t="shared" si="568"/>
        <v>0.37860185717020889</v>
      </c>
      <c r="AF145" s="30">
        <f t="shared" si="568"/>
        <v>0.38503135679146799</v>
      </c>
      <c r="AG145" s="30">
        <f t="shared" si="568"/>
        <v>0.37048855633802819</v>
      </c>
      <c r="AH145" s="30">
        <f t="shared" si="568"/>
        <v>0.375075489604003</v>
      </c>
      <c r="AI145" s="30">
        <f t="shared" si="568"/>
        <v>0.3659483025168514</v>
      </c>
      <c r="AJ145" s="166">
        <f t="shared" si="568"/>
        <v>0.37368636501584468</v>
      </c>
      <c r="AK145" s="30">
        <f t="shared" si="568"/>
        <v>0.37041717240576644</v>
      </c>
      <c r="AL145" s="30">
        <f t="shared" si="568"/>
        <v>0.37518213866039946</v>
      </c>
      <c r="AM145" s="30">
        <f t="shared" ref="AM145:AR145" si="569">AM146/AM144</f>
        <v>0.3312955560780626</v>
      </c>
      <c r="AN145" s="30">
        <f t="shared" si="569"/>
        <v>0.37149662479706053</v>
      </c>
      <c r="AO145" s="166">
        <f t="shared" si="569"/>
        <v>0.36038789382822634</v>
      </c>
      <c r="AP145" s="30">
        <f t="shared" si="569"/>
        <v>0.36715317363018907</v>
      </c>
      <c r="AQ145" s="30">
        <f t="shared" si="569"/>
        <v>0.36534156434434573</v>
      </c>
      <c r="AR145" s="30">
        <f t="shared" si="569"/>
        <v>0.37088212283639704</v>
      </c>
      <c r="AS145" s="30">
        <f>AS146/AS144</f>
        <v>0.37026669643317128</v>
      </c>
      <c r="AT145" s="166">
        <f>AT146/AT144</f>
        <v>0.36860223642172507</v>
      </c>
      <c r="AU145" s="30">
        <f>AU146/AU144</f>
        <v>0.36854886613788029</v>
      </c>
      <c r="AV145" s="30">
        <f t="shared" ref="AV145:AW145" si="570">AV146/AV144</f>
        <v>0.36849514524056587</v>
      </c>
      <c r="AW145" s="30">
        <f t="shared" si="570"/>
        <v>0.36401676722581977</v>
      </c>
      <c r="AX145" s="30">
        <f>AX146/AX144</f>
        <v>0.37595587894517296</v>
      </c>
      <c r="AY145" s="166">
        <f>AY146/AY144</f>
        <v>0.36858665555642334</v>
      </c>
      <c r="AZ145" s="30">
        <f>AZ146/AZ144</f>
        <v>0.38375821014505346</v>
      </c>
      <c r="BA145" s="30">
        <f t="shared" ref="BA145:BB145" si="571">BA146/BA144</f>
        <v>0.37010250977705905</v>
      </c>
      <c r="BB145" s="30">
        <f t="shared" si="571"/>
        <v>0.36494779396794941</v>
      </c>
      <c r="BC145" s="30">
        <f>BC146/BC144</f>
        <v>0.37000075035641922</v>
      </c>
      <c r="BD145" s="166">
        <f>BD146/BD144</f>
        <v>0.37077980036193564</v>
      </c>
      <c r="BE145" s="890">
        <v>0.24</v>
      </c>
      <c r="BF145" s="139">
        <v>0.24</v>
      </c>
      <c r="BG145" s="139">
        <v>0.24</v>
      </c>
      <c r="BH145" s="139">
        <v>0.24</v>
      </c>
      <c r="BI145" s="166">
        <f>BI146/BI144</f>
        <v>0.23999999999999982</v>
      </c>
      <c r="BJ145" s="18"/>
      <c r="BK145" s="808"/>
      <c r="BL145" s="139"/>
      <c r="BM145" s="139"/>
      <c r="BN145" s="214">
        <v>0.24</v>
      </c>
      <c r="BO145" s="18"/>
      <c r="BP145" s="808"/>
      <c r="BQ145" s="139"/>
      <c r="BR145" s="139"/>
      <c r="BS145" s="214">
        <v>0.24</v>
      </c>
      <c r="BT145" s="148"/>
      <c r="BU145" s="356"/>
      <c r="BV145" s="224"/>
      <c r="BW145" s="148"/>
      <c r="BX145" s="148"/>
      <c r="BY145" s="148"/>
      <c r="BZ145" s="531" t="s">
        <v>501</v>
      </c>
      <c r="CA145" s="531"/>
      <c r="CB145" s="322"/>
      <c r="CC145" s="322"/>
      <c r="CD145" s="322"/>
      <c r="CE145" s="322"/>
      <c r="CF145" s="322"/>
      <c r="CG145" s="322"/>
      <c r="CH145" s="356"/>
      <c r="CI145" s="148"/>
      <c r="CJ145"/>
      <c r="CK145"/>
      <c r="CL145"/>
      <c r="CM145"/>
      <c r="CN145"/>
      <c r="CO145"/>
      <c r="CP145" s="391"/>
    </row>
    <row r="146" spans="1:94" s="273" customFormat="1" ht="12.75" customHeight="1" x14ac:dyDescent="0.2">
      <c r="A146" s="575" t="s">
        <v>164</v>
      </c>
      <c r="B146" s="57"/>
      <c r="C146" s="57"/>
      <c r="D146" s="57"/>
      <c r="E146" s="57"/>
      <c r="F146" s="873">
        <v>4.3999999999999997E-2</v>
      </c>
      <c r="G146" s="858">
        <v>0</v>
      </c>
      <c r="H146" s="858">
        <v>0</v>
      </c>
      <c r="I146" s="858">
        <v>0</v>
      </c>
      <c r="J146" s="858">
        <v>0.38800000000000001</v>
      </c>
      <c r="K146" s="197">
        <f>SUM(G146:J146)</f>
        <v>0.38800000000000001</v>
      </c>
      <c r="L146" s="858">
        <v>11.989000000000001</v>
      </c>
      <c r="M146" s="858">
        <v>11.824999999999999</v>
      </c>
      <c r="N146" s="858">
        <v>10.667999999999999</v>
      </c>
      <c r="O146" s="858">
        <v>12.760999999999999</v>
      </c>
      <c r="P146" s="197">
        <f>SUM(L146:O146)</f>
        <v>47.242999999999995</v>
      </c>
      <c r="Q146" s="858">
        <v>9.1850000000000005</v>
      </c>
      <c r="R146" s="858">
        <v>0.74399999999999999</v>
      </c>
      <c r="S146" s="858">
        <v>8.0920000000000005</v>
      </c>
      <c r="T146" s="858">
        <v>8.5670000000000002</v>
      </c>
      <c r="U146" s="197">
        <f>SUM(Q146:T146)</f>
        <v>26.588000000000001</v>
      </c>
      <c r="V146" s="858">
        <v>10.512</v>
      </c>
      <c r="W146" s="858">
        <f>14.916</f>
        <v>14.916</v>
      </c>
      <c r="X146" s="858">
        <v>17.533000000000001</v>
      </c>
      <c r="Y146" s="858">
        <v>14.211</v>
      </c>
      <c r="Z146" s="197">
        <f>SUM(V146:Y146)</f>
        <v>57.171999999999997</v>
      </c>
      <c r="AA146" s="858">
        <v>14.420999999999999</v>
      </c>
      <c r="AB146" s="858">
        <v>21.074999999999999</v>
      </c>
      <c r="AC146" s="858">
        <v>15.368</v>
      </c>
      <c r="AD146" s="858">
        <v>12.414</v>
      </c>
      <c r="AE146" s="197">
        <f>SUM(AA146:AD146)</f>
        <v>63.277999999999999</v>
      </c>
      <c r="AF146" s="858">
        <v>20.506</v>
      </c>
      <c r="AG146" s="858">
        <v>26.936</v>
      </c>
      <c r="AH146" s="858">
        <v>34.78</v>
      </c>
      <c r="AI146" s="858">
        <v>23.670999999999999</v>
      </c>
      <c r="AJ146" s="197">
        <f>SUM(AF146:AI146)</f>
        <v>105.893</v>
      </c>
      <c r="AK146" s="858">
        <v>22.277999999999999</v>
      </c>
      <c r="AL146" s="858">
        <v>39.909999999999997</v>
      </c>
      <c r="AM146" s="858">
        <v>36.634</v>
      </c>
      <c r="AN146" s="858">
        <v>34.780999999999999</v>
      </c>
      <c r="AO146" s="197">
        <f>SUM(AK146:AN146)</f>
        <v>133.60300000000001</v>
      </c>
      <c r="AP146" s="858">
        <v>41.029000000000003</v>
      </c>
      <c r="AQ146" s="858">
        <v>43.084000000000003</v>
      </c>
      <c r="AR146" s="858">
        <v>57.360999999999997</v>
      </c>
      <c r="AS146" s="858">
        <v>43.122</v>
      </c>
      <c r="AT146" s="197">
        <f>SUM(AP146:AS146)</f>
        <v>184.596</v>
      </c>
      <c r="AU146" s="858">
        <v>42.19</v>
      </c>
      <c r="AV146" s="858">
        <v>45.808</v>
      </c>
      <c r="AW146" s="858">
        <v>49.411999999999999</v>
      </c>
      <c r="AX146" s="858">
        <v>32.448</v>
      </c>
      <c r="AY146" s="197">
        <f>SUM(AU146:AX146)</f>
        <v>169.858</v>
      </c>
      <c r="AZ146" s="858">
        <v>22.143999999999998</v>
      </c>
      <c r="BA146" s="858">
        <v>46.466000000000001</v>
      </c>
      <c r="BB146" s="858">
        <v>37.643999999999998</v>
      </c>
      <c r="BC146" s="858">
        <v>29.585999999999999</v>
      </c>
      <c r="BD146" s="197">
        <f>SUM(AZ146:BC146)</f>
        <v>135.83999999999997</v>
      </c>
      <c r="BE146" s="57">
        <f t="shared" ref="BE146" si="572">BE144*BE145</f>
        <v>8.9625153618312172</v>
      </c>
      <c r="BF146" s="57">
        <f t="shared" ref="BF146:BH146" si="573">BF144*BF145</f>
        <v>14.236291296149155</v>
      </c>
      <c r="BG146" s="57">
        <f t="shared" si="573"/>
        <v>25.362653905372607</v>
      </c>
      <c r="BH146" s="57">
        <f t="shared" si="573"/>
        <v>18.657870927658546</v>
      </c>
      <c r="BI146" s="197">
        <f>SUM(BE146:BH146)</f>
        <v>67.21933149101153</v>
      </c>
      <c r="BJ146" s="57"/>
      <c r="BK146" s="809"/>
      <c r="BL146" s="57"/>
      <c r="BM146" s="57"/>
      <c r="BN146" s="197">
        <f>BN144*BN145</f>
        <v>88.206206765775391</v>
      </c>
      <c r="BO146" s="57"/>
      <c r="BP146" s="809"/>
      <c r="BQ146" s="57"/>
      <c r="BR146" s="57"/>
      <c r="BS146" s="197">
        <f>BS144*BS145</f>
        <v>120.35105074328584</v>
      </c>
      <c r="BT146" s="159"/>
      <c r="BU146" s="371"/>
      <c r="BV146" s="235"/>
      <c r="BW146" s="159"/>
      <c r="BX146" s="159"/>
      <c r="BY146" s="159"/>
      <c r="BZ146" s="531"/>
      <c r="CA146" s="531"/>
      <c r="CB146" s="333"/>
      <c r="CC146" s="333"/>
      <c r="CD146" s="333"/>
      <c r="CE146" s="333"/>
      <c r="CF146" s="333"/>
      <c r="CG146" s="333"/>
      <c r="CH146" s="371"/>
      <c r="CI146" s="159"/>
      <c r="CJ146"/>
      <c r="CK146"/>
      <c r="CL146"/>
      <c r="CM146"/>
      <c r="CN146"/>
      <c r="CO146"/>
      <c r="CP146" s="412"/>
    </row>
    <row r="147" spans="1:94" s="273" customFormat="1" ht="12.75" customHeight="1" x14ac:dyDescent="0.2">
      <c r="A147" s="577" t="s">
        <v>165</v>
      </c>
      <c r="B147" s="57"/>
      <c r="C147" s="57"/>
      <c r="D147" s="57"/>
      <c r="E147" s="57"/>
      <c r="F147" s="197">
        <f>F144-F146</f>
        <v>-9.5150000000000112</v>
      </c>
      <c r="G147" s="57">
        <f t="shared" ref="G147:P147" si="574">G144-G146</f>
        <v>-5.4331899999999749</v>
      </c>
      <c r="H147" s="57">
        <f t="shared" si="574"/>
        <v>-16.616297999999979</v>
      </c>
      <c r="I147" s="57">
        <f t="shared" si="574"/>
        <v>23.901215000000015</v>
      </c>
      <c r="J147" s="57">
        <f t="shared" si="574"/>
        <v>11.410500000000008</v>
      </c>
      <c r="K147" s="197">
        <f t="shared" si="574"/>
        <v>13.262227000000072</v>
      </c>
      <c r="L147" s="57">
        <f t="shared" si="574"/>
        <v>19.152000000000001</v>
      </c>
      <c r="M147" s="57">
        <f>M144-M146</f>
        <v>22.548000000000034</v>
      </c>
      <c r="N147" s="57">
        <f>N144-N146</f>
        <v>16.607179999999961</v>
      </c>
      <c r="O147" s="57">
        <f>O144-O146</f>
        <v>5.3170000000000144</v>
      </c>
      <c r="P147" s="197">
        <f t="shared" si="574"/>
        <v>63.624179999999896</v>
      </c>
      <c r="Q147" s="57">
        <f t="shared" ref="Q147:AJ147" si="575">Q144-Q146</f>
        <v>14.615999999999998</v>
      </c>
      <c r="R147" s="57">
        <f t="shared" si="575"/>
        <v>3.6099999999999968</v>
      </c>
      <c r="S147" s="57">
        <f t="shared" si="575"/>
        <v>10.835000000000003</v>
      </c>
      <c r="T147" s="57">
        <f>T144-T146</f>
        <v>13.081000000000035</v>
      </c>
      <c r="U147" s="197">
        <f t="shared" si="575"/>
        <v>42.142000000000174</v>
      </c>
      <c r="V147" s="57">
        <f t="shared" si="575"/>
        <v>17.406999999999989</v>
      </c>
      <c r="W147" s="57">
        <f t="shared" si="575"/>
        <v>26.803999999999991</v>
      </c>
      <c r="X147" s="57">
        <f t="shared" si="575"/>
        <v>28.597000000000008</v>
      </c>
      <c r="Y147" s="57">
        <f>Y144-Y146</f>
        <v>23.876999999999981</v>
      </c>
      <c r="Z147" s="197">
        <f t="shared" si="575"/>
        <v>96.684999999999889</v>
      </c>
      <c r="AA147" s="57">
        <f>AA144-AA146</f>
        <v>23.83000000000002</v>
      </c>
      <c r="AB147" s="57">
        <f>AB144-AB146</f>
        <v>35.323999999999998</v>
      </c>
      <c r="AC147" s="57">
        <f>AC144-AC146</f>
        <v>25.165999999999976</v>
      </c>
      <c r="AD147" s="57">
        <f>AD144-AD146</f>
        <v>19.538000000000032</v>
      </c>
      <c r="AE147" s="197">
        <f t="shared" si="575"/>
        <v>103.85799999999992</v>
      </c>
      <c r="AF147" s="57">
        <f>AF144-AF146</f>
        <v>32.751999999999995</v>
      </c>
      <c r="AG147" s="57">
        <f>AG144-AG146</f>
        <v>45.767999999999994</v>
      </c>
      <c r="AH147" s="57">
        <f>AH144-AH146</f>
        <v>57.948000000000022</v>
      </c>
      <c r="AI147" s="57">
        <f>AI144-AI146</f>
        <v>41.012999999999955</v>
      </c>
      <c r="AJ147" s="197">
        <f t="shared" si="575"/>
        <v>177.48100000000008</v>
      </c>
      <c r="AK147" s="57">
        <f>AK144-AK146</f>
        <v>37.864999999999966</v>
      </c>
      <c r="AL147" s="57">
        <f>AL144-AL146</f>
        <v>66.465000000000018</v>
      </c>
      <c r="AM147" s="57">
        <f>AM144-AM146</f>
        <v>73.943999999999988</v>
      </c>
      <c r="AN147" s="57">
        <f t="shared" ref="AN147:AT147" si="576">AN144-AN146</f>
        <v>58.843000000000011</v>
      </c>
      <c r="AO147" s="197">
        <f t="shared" si="576"/>
        <v>237.11699999999985</v>
      </c>
      <c r="AP147" s="57">
        <f t="shared" si="576"/>
        <v>70.72</v>
      </c>
      <c r="AQ147" s="57">
        <f t="shared" si="576"/>
        <v>74.843999999999994</v>
      </c>
      <c r="AR147" s="57">
        <f t="shared" si="576"/>
        <v>97.299999999999983</v>
      </c>
      <c r="AS147" s="57">
        <f t="shared" si="576"/>
        <v>73.340000000000018</v>
      </c>
      <c r="AT147" s="197">
        <f t="shared" si="576"/>
        <v>316.20400000000024</v>
      </c>
      <c r="AU147" s="57">
        <f>AU144-AU146</f>
        <v>72.28600000000003</v>
      </c>
      <c r="AV147" s="57">
        <f t="shared" ref="AV147:AY147" si="577">AV144-AV146</f>
        <v>78.503000000000043</v>
      </c>
      <c r="AW147" s="57">
        <f t="shared" si="577"/>
        <v>86.328999999999979</v>
      </c>
      <c r="AX147" s="57">
        <f t="shared" si="577"/>
        <v>53.860000000000035</v>
      </c>
      <c r="AY147" s="197">
        <f t="shared" si="577"/>
        <v>290.97800000000024</v>
      </c>
      <c r="AZ147" s="57">
        <f>AZ144-AZ146</f>
        <v>35.558999999999948</v>
      </c>
      <c r="BA147" s="57">
        <f t="shared" ref="BA147:BD147" si="578">BA144-BA146</f>
        <v>79.083000000000027</v>
      </c>
      <c r="BB147" s="57">
        <f t="shared" si="578"/>
        <v>65.504999999999967</v>
      </c>
      <c r="BC147" s="57">
        <f t="shared" si="578"/>
        <v>50.376000000000019</v>
      </c>
      <c r="BD147" s="197">
        <f t="shared" si="578"/>
        <v>230.52300000000042</v>
      </c>
      <c r="BE147" s="57">
        <f t="shared" ref="BE147:BI147" si="579">BE144-BE146</f>
        <v>28.381298645798857</v>
      </c>
      <c r="BF147" s="57">
        <f t="shared" si="579"/>
        <v>45.081589104472322</v>
      </c>
      <c r="BG147" s="57">
        <f t="shared" si="579"/>
        <v>80.315070700346595</v>
      </c>
      <c r="BH147" s="57">
        <f t="shared" si="579"/>
        <v>59.083257937585401</v>
      </c>
      <c r="BI147" s="197">
        <f t="shared" si="579"/>
        <v>212.86121638820339</v>
      </c>
      <c r="BJ147" s="57"/>
      <c r="BK147" s="809"/>
      <c r="BL147" s="57"/>
      <c r="BM147" s="57"/>
      <c r="BN147" s="197">
        <f>BN144-BN146</f>
        <v>279.31965475828878</v>
      </c>
      <c r="BO147" s="57"/>
      <c r="BP147" s="809"/>
      <c r="BQ147" s="57"/>
      <c r="BR147" s="57"/>
      <c r="BS147" s="197">
        <f>BS144-BS146</f>
        <v>381.11166068707183</v>
      </c>
      <c r="BT147" s="159"/>
      <c r="BU147" s="371"/>
      <c r="BV147" s="235"/>
      <c r="BW147" s="159"/>
      <c r="BX147" s="159"/>
      <c r="BY147" s="159"/>
      <c r="BZ147" s="531"/>
      <c r="CA147" s="333"/>
      <c r="CB147" s="333"/>
      <c r="CC147" s="333"/>
      <c r="CD147" s="333"/>
      <c r="CE147" s="333"/>
      <c r="CF147" s="333"/>
      <c r="CG147" s="333"/>
      <c r="CH147" s="371"/>
      <c r="CI147" s="159"/>
      <c r="CJ147"/>
      <c r="CK147"/>
      <c r="CL147"/>
      <c r="CM147"/>
      <c r="CN147"/>
      <c r="CO147"/>
      <c r="CP147" s="412"/>
    </row>
    <row r="148" spans="1:94" s="260" customFormat="1" ht="12.75" customHeight="1" x14ac:dyDescent="0.2">
      <c r="A148" s="561" t="s">
        <v>21</v>
      </c>
      <c r="B148" s="18"/>
      <c r="C148" s="18"/>
      <c r="D148" s="18"/>
      <c r="E148" s="18"/>
      <c r="F148" s="166"/>
      <c r="G148" s="18"/>
      <c r="H148" s="18"/>
      <c r="I148" s="18"/>
      <c r="J148" s="18"/>
      <c r="K148" s="166">
        <f>(K147-F147)/ABS(F147)</f>
        <v>2.3938231213872889</v>
      </c>
      <c r="L148" s="18">
        <f t="shared" ref="L148:AE148" si="580">(L147-G147)/ABS(G147)</f>
        <v>4.5250009662831765</v>
      </c>
      <c r="M148" s="18">
        <f t="shared" si="580"/>
        <v>2.3569809592967137</v>
      </c>
      <c r="N148" s="18">
        <f t="shared" si="580"/>
        <v>-0.30517423486630491</v>
      </c>
      <c r="O148" s="18">
        <f t="shared" si="580"/>
        <v>-0.53402567810350021</v>
      </c>
      <c r="P148" s="166">
        <f t="shared" si="580"/>
        <v>3.7973979030821559</v>
      </c>
      <c r="Q148" s="18">
        <f t="shared" si="580"/>
        <v>-0.23684210526315805</v>
      </c>
      <c r="R148" s="18">
        <f t="shared" si="580"/>
        <v>-0.83989710839098852</v>
      </c>
      <c r="S148" s="18">
        <f t="shared" si="580"/>
        <v>-0.34757135166837305</v>
      </c>
      <c r="T148" s="18">
        <f t="shared" si="580"/>
        <v>1.4602219296595824</v>
      </c>
      <c r="U148" s="166">
        <f t="shared" si="580"/>
        <v>-0.33764175821204701</v>
      </c>
      <c r="V148" s="18">
        <f t="shared" si="580"/>
        <v>0.19095511767925505</v>
      </c>
      <c r="W148" s="18">
        <f t="shared" si="580"/>
        <v>6.424930747922442</v>
      </c>
      <c r="X148" s="18">
        <f t="shared" si="580"/>
        <v>1.6393170281495157</v>
      </c>
      <c r="Y148" s="18">
        <f t="shared" si="580"/>
        <v>0.82531916520143089</v>
      </c>
      <c r="Z148" s="166">
        <f t="shared" si="580"/>
        <v>1.2942670020407074</v>
      </c>
      <c r="AA148" s="18">
        <f t="shared" si="580"/>
        <v>0.36898948698799527</v>
      </c>
      <c r="AB148" s="18">
        <f t="shared" si="580"/>
        <v>0.31786300552156432</v>
      </c>
      <c r="AC148" s="18">
        <f t="shared" si="580"/>
        <v>-0.1199776200300742</v>
      </c>
      <c r="AD148" s="18">
        <f t="shared" si="580"/>
        <v>-0.18172299702642511</v>
      </c>
      <c r="AE148" s="166">
        <f t="shared" si="580"/>
        <v>7.4189377876610008E-2</v>
      </c>
      <c r="AF148" s="18">
        <f t="shared" ref="AF148:AM148" si="581">(AF147-AA147)/ABS(AA147)</f>
        <v>0.3744020142677284</v>
      </c>
      <c r="AG148" s="18">
        <f t="shared" si="581"/>
        <v>0.29566300532216044</v>
      </c>
      <c r="AH148" s="18">
        <f t="shared" si="581"/>
        <v>1.3026305332591623</v>
      </c>
      <c r="AI148" s="18">
        <f t="shared" si="581"/>
        <v>1.0991401371685887</v>
      </c>
      <c r="AJ148" s="166">
        <f t="shared" si="581"/>
        <v>0.70888135723776902</v>
      </c>
      <c r="AK148" s="18">
        <f t="shared" si="581"/>
        <v>0.15611260381045347</v>
      </c>
      <c r="AL148" s="18">
        <f t="shared" si="581"/>
        <v>0.45221552176193031</v>
      </c>
      <c r="AM148" s="18">
        <f t="shared" si="581"/>
        <v>0.27604058811348037</v>
      </c>
      <c r="AN148" s="18">
        <f>(AN147-AI147)/ABS(AI147)</f>
        <v>0.43474020432545962</v>
      </c>
      <c r="AO148" s="166">
        <f>(AO147-AJ147)/ABS(AJ147)</f>
        <v>0.33601343242375092</v>
      </c>
      <c r="AP148" s="18">
        <f>(AP147-AK147)/ABS(AK147)</f>
        <v>0.86768783837316943</v>
      </c>
      <c r="AQ148" s="18">
        <f>(AQ147-AL147)/ABS(AL147)</f>
        <v>0.12606635071090008</v>
      </c>
      <c r="AR148" s="18">
        <f>(AR147-AM147)/ABS(AM147)</f>
        <v>0.31586065130368923</v>
      </c>
      <c r="AS148" s="18">
        <f t="shared" ref="AS148:AT148" si="582">(AS147-AN147)/ABS(AN147)</f>
        <v>0.24636745237326452</v>
      </c>
      <c r="AT148" s="166">
        <f t="shared" si="582"/>
        <v>0.33353576504426269</v>
      </c>
      <c r="AU148" s="18">
        <f>(AU147-AP147)/ABS(AP147)</f>
        <v>2.2143665158371479E-2</v>
      </c>
      <c r="AV148" s="18">
        <f>(AV147-AQ147)/ABS(AQ147)</f>
        <v>4.8888354443910653E-2</v>
      </c>
      <c r="AW148" s="18">
        <f>(AW147-AR147)/ABS(AR147)</f>
        <v>-0.11275436793422411</v>
      </c>
      <c r="AX148" s="18">
        <f t="shared" ref="AX148" si="583">(AX147-AS147)/ABS(AS147)</f>
        <v>-0.26561221707117505</v>
      </c>
      <c r="AY148" s="166">
        <f t="shared" ref="AY148" si="584">(AY147-AT147)/ABS(AT147)</f>
        <v>-7.977761192141776E-2</v>
      </c>
      <c r="AZ148" s="18">
        <f>(AZ147-AU147)/ABS(AU147)</f>
        <v>-0.50807901945051692</v>
      </c>
      <c r="BA148" s="18">
        <f>(BA147-AV147)/ABS(AV147)</f>
        <v>7.3882526782413889E-3</v>
      </c>
      <c r="BB148" s="18">
        <f>(BB147-AW147)/ABS(AW147)</f>
        <v>-0.24121674060860218</v>
      </c>
      <c r="BC148" s="18">
        <f t="shared" ref="BC148" si="585">(BC147-AX147)/ABS(AX147)</f>
        <v>-6.4686223542517893E-2</v>
      </c>
      <c r="BD148" s="166">
        <f t="shared" ref="BD148" si="586">(BD147-AY147)/ABS(AY147)</f>
        <v>-0.20776484820158145</v>
      </c>
      <c r="BE148" s="18">
        <f t="shared" ref="BE148:BI148" si="587">(BE147-AZ147)/ABS(AZ147)</f>
        <v>-0.20185329604885124</v>
      </c>
      <c r="BF148" s="18">
        <f t="shared" si="587"/>
        <v>-0.42994589096933217</v>
      </c>
      <c r="BG148" s="18">
        <f t="shared" si="587"/>
        <v>0.22609069079225458</v>
      </c>
      <c r="BH148" s="18">
        <f t="shared" si="587"/>
        <v>0.17284536163223319</v>
      </c>
      <c r="BI148" s="166">
        <f t="shared" si="587"/>
        <v>-7.6616145077918474E-2</v>
      </c>
      <c r="BJ148" s="18"/>
      <c r="BK148" s="808"/>
      <c r="BL148" s="18"/>
      <c r="BM148" s="18"/>
      <c r="BN148" s="166">
        <f>(BN147-BI147)/ABS(BI147)</f>
        <v>0.31221487642390672</v>
      </c>
      <c r="BO148" s="18"/>
      <c r="BP148" s="808"/>
      <c r="BQ148" s="18"/>
      <c r="BR148" s="18"/>
      <c r="BS148" s="166">
        <f>(BS147-BN147)/ABS(BN147)</f>
        <v>0.36442836798172862</v>
      </c>
      <c r="BT148" s="148"/>
      <c r="BU148" s="356"/>
      <c r="BV148" s="224"/>
      <c r="BW148" s="148"/>
      <c r="BX148" s="148"/>
      <c r="BY148" s="148"/>
      <c r="BZ148" s="531"/>
      <c r="CA148" s="322"/>
      <c r="CB148" s="322"/>
      <c r="CC148" s="322"/>
      <c r="CD148" s="322"/>
      <c r="CE148" s="322"/>
      <c r="CF148" s="322"/>
      <c r="CG148" s="322"/>
      <c r="CH148" s="356"/>
      <c r="CI148" s="148"/>
      <c r="CJ148"/>
      <c r="CK148"/>
      <c r="CL148"/>
      <c r="CM148"/>
      <c r="CN148"/>
      <c r="CO148"/>
      <c r="CP148" s="391"/>
    </row>
    <row r="149" spans="1:94" s="275" customFormat="1" ht="12.75" customHeight="1" x14ac:dyDescent="0.2">
      <c r="A149" s="129" t="s">
        <v>166</v>
      </c>
      <c r="B149" s="130"/>
      <c r="C149" s="130"/>
      <c r="D149" s="130"/>
      <c r="E149" s="130"/>
      <c r="F149" s="184"/>
      <c r="G149" s="130"/>
      <c r="H149" s="130"/>
      <c r="I149" s="130"/>
      <c r="J149" s="130"/>
      <c r="K149" s="184"/>
      <c r="L149" s="130"/>
      <c r="M149" s="130"/>
      <c r="N149" s="130"/>
      <c r="O149" s="130"/>
      <c r="P149" s="184"/>
      <c r="Q149" s="130"/>
      <c r="R149" s="130"/>
      <c r="S149" s="130"/>
      <c r="T149" s="130"/>
      <c r="U149" s="184"/>
      <c r="V149" s="130"/>
      <c r="W149" s="130"/>
      <c r="X149" s="130">
        <f t="shared" ref="X149:AF149" si="588">X147/X154</f>
        <v>0.39645922003022288</v>
      </c>
      <c r="Y149" s="130">
        <f t="shared" si="588"/>
        <v>0.33051410536806813</v>
      </c>
      <c r="Z149" s="184">
        <f t="shared" si="588"/>
        <v>1.3402783553744195</v>
      </c>
      <c r="AA149" s="130">
        <f>AA147/AA154</f>
        <v>0.32963536767553836</v>
      </c>
      <c r="AB149" s="130">
        <f>AB147/AB154</f>
        <v>0.48804211166222239</v>
      </c>
      <c r="AC149" s="130">
        <f>AC147/AC154</f>
        <v>0.34746710480897969</v>
      </c>
      <c r="AD149" s="130">
        <f>AD147/AD154</f>
        <v>0.26970541950802068</v>
      </c>
      <c r="AE149" s="184">
        <f>AE147/AE154</f>
        <v>1.4347802061172039</v>
      </c>
      <c r="AF149" s="130">
        <f t="shared" si="588"/>
        <v>0.45183897580222376</v>
      </c>
      <c r="AG149" s="130">
        <f t="shared" ref="AG149:AO149" si="589">AG147/AG154</f>
        <v>0.63047401264584724</v>
      </c>
      <c r="AH149" s="130">
        <f t="shared" si="589"/>
        <v>0.79783015750633357</v>
      </c>
      <c r="AI149" s="130">
        <f t="shared" si="589"/>
        <v>0.56446640425004757</v>
      </c>
      <c r="AJ149" s="184">
        <f t="shared" si="589"/>
        <v>2.4448776052787466</v>
      </c>
      <c r="AK149" s="130">
        <f t="shared" si="589"/>
        <v>0.52095371746188934</v>
      </c>
      <c r="AL149" s="130">
        <f t="shared" si="589"/>
        <v>0.91373384657684931</v>
      </c>
      <c r="AM149" s="130">
        <f t="shared" si="589"/>
        <v>1.0163425194144731</v>
      </c>
      <c r="AN149" s="130">
        <f t="shared" si="589"/>
        <v>0.80854952182038053</v>
      </c>
      <c r="AO149" s="184">
        <f t="shared" si="589"/>
        <v>3.2598331019123146</v>
      </c>
      <c r="AP149" s="130">
        <f t="shared" ref="AP149:AT149" si="590">AP147/AP154</f>
        <v>0.96805103074438081</v>
      </c>
      <c r="AQ149" s="130">
        <f t="shared" si="590"/>
        <v>1.0320747952232547</v>
      </c>
      <c r="AR149" s="130">
        <f t="shared" si="590"/>
        <v>1.3563244026875572</v>
      </c>
      <c r="AS149" s="130">
        <f t="shared" si="590"/>
        <v>1.0251177613463234</v>
      </c>
      <c r="AT149" s="184">
        <f t="shared" si="590"/>
        <v>4.3790715710170653</v>
      </c>
      <c r="AU149" s="130">
        <f>AU147/AU154</f>
        <v>1.0099759682557428</v>
      </c>
      <c r="AV149" s="130">
        <f t="shared" ref="AV149:AY149" si="591">AV147/AV154</f>
        <v>1.1092694644623435</v>
      </c>
      <c r="AW149" s="130">
        <f t="shared" si="591"/>
        <v>1.2381000186441404</v>
      </c>
      <c r="AX149" s="130">
        <f t="shared" si="591"/>
        <v>0.77692030292102465</v>
      </c>
      <c r="AY149" s="184">
        <f t="shared" si="591"/>
        <v>4.1365006254975585</v>
      </c>
      <c r="AZ149" s="130">
        <f>AZ147/AZ154</f>
        <v>0.51276172348157045</v>
      </c>
      <c r="BA149" s="130">
        <f t="shared" ref="BA149:BD149" si="592">BA147/BA154</f>
        <v>1.1400172985440395</v>
      </c>
      <c r="BB149" s="130">
        <f t="shared" si="592"/>
        <v>0.94428427274037718</v>
      </c>
      <c r="BC149" s="130">
        <f t="shared" si="592"/>
        <v>0.73221994505734112</v>
      </c>
      <c r="BD149" s="184">
        <f t="shared" si="592"/>
        <v>3.3302105190926317</v>
      </c>
      <c r="BE149" s="130">
        <f t="shared" ref="BE149:BI149" si="593">BE147/BE154</f>
        <v>0.41252487166672269</v>
      </c>
      <c r="BF149" s="130">
        <f t="shared" si="593"/>
        <v>0.65526517979145504</v>
      </c>
      <c r="BG149" s="130">
        <f t="shared" si="593"/>
        <v>1.1673871815047687</v>
      </c>
      <c r="BH149" s="130">
        <f t="shared" si="593"/>
        <v>0.85878076625511124</v>
      </c>
      <c r="BI149" s="184">
        <f t="shared" si="593"/>
        <v>3.0939579992180608</v>
      </c>
      <c r="BJ149" s="130"/>
      <c r="BK149" s="130"/>
      <c r="BL149" s="130"/>
      <c r="BM149" s="130"/>
      <c r="BN149" s="184">
        <f>BN147/BN154</f>
        <v>4.0599377136046852</v>
      </c>
      <c r="BO149" s="130"/>
      <c r="BP149" s="130"/>
      <c r="BQ149" s="130"/>
      <c r="BR149" s="130"/>
      <c r="BS149" s="184">
        <f>BS147/BS154</f>
        <v>5.539494188681112</v>
      </c>
      <c r="BT149" s="161"/>
      <c r="BU149" s="374"/>
      <c r="BV149" s="236"/>
      <c r="BW149" s="161"/>
      <c r="BX149" s="161"/>
      <c r="BY149" s="161"/>
      <c r="BZ149" s="531"/>
      <c r="CA149" s="327"/>
      <c r="CB149" s="327"/>
      <c r="CC149" s="322"/>
      <c r="CD149" s="322"/>
      <c r="CE149" s="322"/>
      <c r="CF149" s="322"/>
      <c r="CG149" s="327"/>
      <c r="CH149" s="374"/>
      <c r="CI149" s="161"/>
      <c r="CJ149"/>
      <c r="CK149"/>
      <c r="CL149"/>
      <c r="CM149"/>
      <c r="CN149"/>
      <c r="CO149"/>
      <c r="CP149" s="414"/>
    </row>
    <row r="150" spans="1:94" s="260" customFormat="1" ht="12.75" customHeight="1" x14ac:dyDescent="0.2">
      <c r="A150" s="561" t="s">
        <v>21</v>
      </c>
      <c r="B150" s="18"/>
      <c r="C150" s="18"/>
      <c r="D150" s="18"/>
      <c r="E150" s="18"/>
      <c r="F150" s="166"/>
      <c r="G150" s="18"/>
      <c r="H150" s="18"/>
      <c r="I150" s="18"/>
      <c r="J150" s="18"/>
      <c r="K150" s="166"/>
      <c r="L150" s="18"/>
      <c r="M150" s="18"/>
      <c r="N150" s="18"/>
      <c r="O150" s="18"/>
      <c r="P150" s="166"/>
      <c r="Q150" s="18"/>
      <c r="R150" s="18"/>
      <c r="S150" s="18"/>
      <c r="T150" s="18"/>
      <c r="U150" s="166"/>
      <c r="V150" s="18"/>
      <c r="W150" s="18"/>
      <c r="X150" s="18"/>
      <c r="Y150" s="18"/>
      <c r="Z150" s="166"/>
      <c r="AA150" s="18"/>
      <c r="AB150" s="18"/>
      <c r="AC150" s="18"/>
      <c r="AD150" s="18"/>
      <c r="AE150" s="166"/>
      <c r="AF150" s="18"/>
      <c r="AG150" s="18"/>
      <c r="AH150" s="18"/>
      <c r="AI150" s="18"/>
      <c r="AJ150" s="166">
        <f>(AJ149-AE149)/ABS(AE149)</f>
        <v>0.70400845708281967</v>
      </c>
      <c r="AK150" s="18"/>
      <c r="AL150" s="18"/>
      <c r="AM150" s="18"/>
      <c r="AN150" s="18"/>
      <c r="AO150" s="166">
        <f>(AO149-AJ149)/ABS(AJ149)</f>
        <v>0.33333181786850746</v>
      </c>
      <c r="AP150" s="18"/>
      <c r="AQ150" s="18"/>
      <c r="AR150" s="18"/>
      <c r="AS150" s="18"/>
      <c r="AT150" s="166">
        <f>(AT149-AO149)/ABS(AO149)</f>
        <v>0.34334226143300783</v>
      </c>
      <c r="AU150" s="18"/>
      <c r="AV150" s="18"/>
      <c r="AW150" s="18"/>
      <c r="AX150" s="18"/>
      <c r="AY150" s="166">
        <f>(AY149-AT149)/ABS(AT149)</f>
        <v>-5.5393236119949583E-2</v>
      </c>
      <c r="AZ150" s="18"/>
      <c r="BA150" s="18"/>
      <c r="BB150" s="18"/>
      <c r="BC150" s="18"/>
      <c r="BD150" s="166">
        <f>(BD149-AY149)/ABS(AY149)</f>
        <v>-0.19492082303455285</v>
      </c>
      <c r="BE150" s="18"/>
      <c r="BF150" s="18"/>
      <c r="BG150" s="18"/>
      <c r="BH150" s="18"/>
      <c r="BI150" s="166">
        <f>(BI149-BD149)/ABS(BD149)</f>
        <v>-7.0942217772749561E-2</v>
      </c>
      <c r="BJ150" s="18"/>
      <c r="BK150" s="18"/>
      <c r="BL150" s="18"/>
      <c r="BM150" s="18"/>
      <c r="BN150" s="166">
        <f>(BN149-BI149)/ABS(BI149)</f>
        <v>0.31221487642390666</v>
      </c>
      <c r="BO150" s="18"/>
      <c r="BP150" s="18"/>
      <c r="BQ150" s="18"/>
      <c r="BR150" s="18"/>
      <c r="BS150" s="166">
        <f>(BS149-BN149)/ABS(BN149)</f>
        <v>0.36442836798172878</v>
      </c>
      <c r="BT150" s="148"/>
      <c r="BU150" s="356"/>
      <c r="BV150" s="224"/>
      <c r="BW150" s="148"/>
      <c r="BX150" s="148"/>
      <c r="BY150" s="148"/>
      <c r="BZ150" s="531"/>
      <c r="CA150" s="322"/>
      <c r="CB150" s="322"/>
      <c r="CC150" s="322"/>
      <c r="CD150" s="322"/>
      <c r="CE150" s="322"/>
      <c r="CF150" s="322"/>
      <c r="CG150" s="322"/>
      <c r="CH150" s="356"/>
      <c r="CI150" s="148"/>
      <c r="CJ150"/>
      <c r="CK150"/>
      <c r="CL150"/>
      <c r="CM150"/>
      <c r="CN150"/>
      <c r="CO150"/>
      <c r="CP150" s="391"/>
    </row>
    <row r="151" spans="1:94" ht="12.75" customHeight="1" x14ac:dyDescent="0.2">
      <c r="A151" s="578" t="s">
        <v>167</v>
      </c>
      <c r="B151" s="60"/>
      <c r="C151" s="60"/>
      <c r="D151" s="60"/>
      <c r="E151" s="60"/>
      <c r="F151" s="199"/>
      <c r="G151" s="60"/>
      <c r="H151" s="60"/>
      <c r="I151" s="60"/>
      <c r="J151" s="60"/>
      <c r="K151" s="199"/>
      <c r="L151" s="60"/>
      <c r="M151" s="60"/>
      <c r="N151" s="60"/>
      <c r="O151" s="60"/>
      <c r="P151" s="199"/>
      <c r="Q151" s="60"/>
      <c r="R151" s="60"/>
      <c r="S151" s="60"/>
      <c r="T151" s="60"/>
      <c r="U151" s="199"/>
      <c r="V151" s="60"/>
      <c r="W151" s="60"/>
      <c r="X151" s="60"/>
      <c r="Y151" s="60"/>
      <c r="Z151" s="199"/>
      <c r="AA151" s="60"/>
      <c r="AB151" s="60"/>
      <c r="AC151" s="60"/>
      <c r="AD151" s="60"/>
      <c r="AE151" s="199"/>
      <c r="AF151" s="60"/>
      <c r="AG151" s="60"/>
      <c r="AH151" s="60"/>
      <c r="AI151" s="60"/>
      <c r="AJ151" s="199"/>
      <c r="AK151" s="60"/>
      <c r="AL151" s="60"/>
      <c r="AM151" s="60"/>
      <c r="AN151" s="60"/>
      <c r="AO151" s="199"/>
      <c r="AP151" s="60"/>
      <c r="AQ151" s="60"/>
      <c r="AR151" s="60"/>
      <c r="AS151" s="60"/>
      <c r="AT151" s="199"/>
      <c r="AU151" s="60"/>
      <c r="AV151" s="60"/>
      <c r="AW151" s="60"/>
      <c r="AX151" s="60"/>
      <c r="AY151" s="199"/>
      <c r="AZ151" s="60"/>
      <c r="BA151" s="60"/>
      <c r="BB151" s="60"/>
      <c r="BC151" s="60"/>
      <c r="BD151" s="199"/>
      <c r="BE151" s="60"/>
      <c r="BF151" s="60"/>
      <c r="BG151" s="60"/>
      <c r="BH151" s="60"/>
      <c r="BI151" s="199"/>
      <c r="BJ151" s="60"/>
      <c r="BK151" s="60"/>
      <c r="BL151" s="60"/>
      <c r="BM151" s="60"/>
      <c r="BN151" s="199"/>
      <c r="BO151" s="60"/>
      <c r="BP151" s="60"/>
      <c r="BQ151" s="60"/>
      <c r="BR151" s="60"/>
      <c r="BS151" s="199"/>
      <c r="BZ151" s="531"/>
      <c r="CC151" s="322"/>
      <c r="CD151" s="322"/>
      <c r="CE151" s="322"/>
      <c r="CF151" s="322"/>
      <c r="CP151" s="415"/>
    </row>
    <row r="152" spans="1:94" s="275" customFormat="1" ht="12.75" customHeight="1" x14ac:dyDescent="0.2">
      <c r="A152" s="61" t="s">
        <v>168</v>
      </c>
      <c r="B152" s="62"/>
      <c r="C152" s="62"/>
      <c r="D152" s="62"/>
      <c r="E152" s="62"/>
      <c r="F152" s="200"/>
      <c r="G152" s="62"/>
      <c r="H152" s="62"/>
      <c r="I152" s="62"/>
      <c r="J152" s="62"/>
      <c r="K152" s="200"/>
      <c r="L152" s="62"/>
      <c r="M152" s="62"/>
      <c r="N152" s="62"/>
      <c r="O152" s="62"/>
      <c r="P152" s="200"/>
      <c r="Q152" s="62"/>
      <c r="R152" s="62"/>
      <c r="S152" s="62"/>
      <c r="T152" s="62"/>
      <c r="U152" s="200"/>
      <c r="V152" s="62">
        <f>V147/V155</f>
        <v>0.24290757873878385</v>
      </c>
      <c r="W152" s="62">
        <f t="shared" ref="W152:AC152" si="594">W147/W155</f>
        <v>0.36852091181565694</v>
      </c>
      <c r="X152" s="62">
        <f t="shared" si="594"/>
        <v>0.39294547653072454</v>
      </c>
      <c r="Y152" s="62">
        <f t="shared" si="594"/>
        <v>0.32946062671615611</v>
      </c>
      <c r="Z152" s="200">
        <f t="shared" si="594"/>
        <v>1.3351884330161696</v>
      </c>
      <c r="AA152" s="62">
        <f>AA147/AA155</f>
        <v>0.32869418888536422</v>
      </c>
      <c r="AB152" s="62">
        <f>AB147/AB155</f>
        <v>0.48666372754326015</v>
      </c>
      <c r="AC152" s="62">
        <f t="shared" si="594"/>
        <v>0.34636241019571107</v>
      </c>
      <c r="AD152" s="62">
        <f>AD147/AD155</f>
        <v>0.26903322638833471</v>
      </c>
      <c r="AE152" s="200">
        <f t="shared" ref="AE152:AJ152" si="595">AE147/AE155</f>
        <v>1.4307283272030957</v>
      </c>
      <c r="AF152" s="62">
        <f t="shared" si="595"/>
        <v>0.44986539201142789</v>
      </c>
      <c r="AG152" s="62">
        <f t="shared" si="595"/>
        <v>0.62702761946514673</v>
      </c>
      <c r="AH152" s="62">
        <f>AH147/AH155</f>
        <v>0.79377559826308541</v>
      </c>
      <c r="AI152" s="62">
        <f>AI147/AI155</f>
        <v>0.56032515882232337</v>
      </c>
      <c r="AJ152" s="200">
        <f t="shared" si="595"/>
        <v>2.4312798805463101</v>
      </c>
      <c r="AK152" s="62">
        <f>AK147/AK155</f>
        <v>0.51690010101837391</v>
      </c>
      <c r="AL152" s="62">
        <f>AL147/AL155</f>
        <v>0.90682729827816766</v>
      </c>
      <c r="AM152" s="62">
        <f>AM147/AM155</f>
        <v>1.0087445261449053</v>
      </c>
      <c r="AN152" s="62">
        <f t="shared" ref="AN152:AT152" si="596">AN147/AN155</f>
        <v>0.80250668266870351</v>
      </c>
      <c r="AO152" s="200">
        <f t="shared" si="596"/>
        <v>3.2351488525663745</v>
      </c>
      <c r="AP152" s="62">
        <f t="shared" si="596"/>
        <v>0.96388169551587832</v>
      </c>
      <c r="AQ152" s="62">
        <f t="shared" si="596"/>
        <v>1.0280628013351465</v>
      </c>
      <c r="AR152" s="62">
        <f t="shared" si="596"/>
        <v>1.3528921023359286</v>
      </c>
      <c r="AS152" s="62">
        <f t="shared" si="596"/>
        <v>1.023272686683782</v>
      </c>
      <c r="AT152" s="200">
        <f t="shared" si="596"/>
        <v>4.3658907022340072</v>
      </c>
      <c r="AU152" s="62">
        <f>AU147/AU155</f>
        <v>1.0070914081112339</v>
      </c>
      <c r="AV152" s="62">
        <f t="shared" ref="AV152:AX152" si="597">AV147/AV155</f>
        <v>1.1070325610254825</v>
      </c>
      <c r="AW152" s="62">
        <f t="shared" si="597"/>
        <v>1.2366634196653674</v>
      </c>
      <c r="AX152" s="62">
        <f t="shared" si="597"/>
        <v>0.77439576713490865</v>
      </c>
      <c r="AY152" s="200">
        <f>AY147/AY155</f>
        <v>4.1268792193793651</v>
      </c>
      <c r="AZ152" s="62">
        <f>AZ147/AZ155</f>
        <v>0.51096390389699886</v>
      </c>
      <c r="BA152" s="62">
        <f t="shared" ref="BA152:BC152" si="598">BA147/BA155</f>
        <v>1.1368870487773324</v>
      </c>
      <c r="BB152" s="62">
        <f t="shared" si="598"/>
        <v>0.94308790924011587</v>
      </c>
      <c r="BC152" s="62">
        <f t="shared" si="598"/>
        <v>0.73113597770714533</v>
      </c>
      <c r="BD152" s="200">
        <f>BD147/BD155</f>
        <v>3.3227103692813347</v>
      </c>
      <c r="BE152" s="62">
        <f t="shared" ref="BE152:BH152" si="599">BE147/BE155</f>
        <v>0.41553877958709895</v>
      </c>
      <c r="BF152" s="62">
        <f t="shared" si="599"/>
        <v>0.66005254911379685</v>
      </c>
      <c r="BG152" s="62">
        <f t="shared" si="599"/>
        <v>1.1759161156712532</v>
      </c>
      <c r="BH152" s="62">
        <f t="shared" si="599"/>
        <v>0.8650550210481025</v>
      </c>
      <c r="BI152" s="200">
        <f>BI147/BI155</f>
        <v>3.1165624654202548</v>
      </c>
      <c r="BJ152" s="62"/>
      <c r="BK152" s="62"/>
      <c r="BL152" s="62"/>
      <c r="BM152" s="62"/>
      <c r="BN152" s="200">
        <f>BN147/BN155</f>
        <v>4.0895996304288253</v>
      </c>
      <c r="BO152" s="62"/>
      <c r="BP152" s="62"/>
      <c r="BQ152" s="62"/>
      <c r="BR152" s="62"/>
      <c r="BS152" s="200">
        <f>BS147/BS155</f>
        <v>5.5799657494446828</v>
      </c>
      <c r="BT152" s="161"/>
      <c r="BU152" s="374"/>
      <c r="BV152" s="236"/>
      <c r="BW152" s="161"/>
      <c r="BX152" s="161"/>
      <c r="BY152" s="161"/>
      <c r="BZ152" s="531"/>
      <c r="CA152" s="327"/>
      <c r="CB152" s="327"/>
      <c r="CC152" s="322"/>
      <c r="CD152" s="322"/>
      <c r="CE152" s="322"/>
      <c r="CF152" s="322"/>
      <c r="CG152" s="327"/>
      <c r="CH152" s="374"/>
      <c r="CI152" s="161"/>
      <c r="CJ152"/>
      <c r="CK152"/>
      <c r="CL152"/>
      <c r="CM152"/>
      <c r="CN152"/>
      <c r="CO152"/>
      <c r="CP152" s="416"/>
    </row>
    <row r="153" spans="1:94" s="260" customFormat="1" ht="12.75" customHeight="1" x14ac:dyDescent="0.2">
      <c r="A153" s="561" t="s">
        <v>21</v>
      </c>
      <c r="B153" s="18"/>
      <c r="C153" s="18"/>
      <c r="D153" s="18"/>
      <c r="E153" s="18"/>
      <c r="F153" s="166"/>
      <c r="G153" s="18"/>
      <c r="H153" s="18"/>
      <c r="I153" s="18"/>
      <c r="J153" s="18"/>
      <c r="K153" s="166"/>
      <c r="L153" s="18"/>
      <c r="M153" s="18"/>
      <c r="N153" s="18"/>
      <c r="O153" s="18"/>
      <c r="P153" s="166"/>
      <c r="Q153" s="18"/>
      <c r="R153" s="18"/>
      <c r="S153" s="18"/>
      <c r="T153" s="18"/>
      <c r="U153" s="166"/>
      <c r="V153" s="18"/>
      <c r="W153" s="18"/>
      <c r="X153" s="18"/>
      <c r="Y153" s="18"/>
      <c r="Z153" s="166"/>
      <c r="AA153" s="18"/>
      <c r="AB153" s="18"/>
      <c r="AC153" s="18"/>
      <c r="AD153" s="18"/>
      <c r="AE153" s="166">
        <f>(AE152-Z152)/ABS(Z152)</f>
        <v>7.155536389055063E-2</v>
      </c>
      <c r="AF153" s="18"/>
      <c r="AG153" s="18"/>
      <c r="AH153" s="18"/>
      <c r="AI153" s="18"/>
      <c r="AJ153" s="166">
        <f>(AJ152-AE152)/ABS(AE152)</f>
        <v>0.6993302182666461</v>
      </c>
      <c r="AK153" s="18"/>
      <c r="AL153" s="18"/>
      <c r="AM153" s="18"/>
      <c r="AN153" s="18"/>
      <c r="AO153" s="166">
        <f>(AO152-AJ152)/ABS(AJ152)</f>
        <v>0.33063613056323021</v>
      </c>
      <c r="AP153" s="18"/>
      <c r="AQ153" s="18"/>
      <c r="AR153" s="18"/>
      <c r="AS153" s="18"/>
      <c r="AT153" s="166">
        <f>(AT152-AO152)/ABS(AO152)</f>
        <v>0.34951771964700767</v>
      </c>
      <c r="AU153" s="18"/>
      <c r="AV153" s="18"/>
      <c r="AW153" s="18"/>
      <c r="AX153" s="18"/>
      <c r="AY153" s="166">
        <f>(AY152-AT152)/ABS(AT152)</f>
        <v>-5.4745182405125485E-2</v>
      </c>
      <c r="AZ153" s="18"/>
      <c r="BA153" s="18"/>
      <c r="BB153" s="18"/>
      <c r="BC153" s="18"/>
      <c r="BD153" s="166">
        <f>(BD152-AY152)/ABS(AY152)</f>
        <v>-0.19486125165033741</v>
      </c>
      <c r="BE153" s="18"/>
      <c r="BF153" s="18"/>
      <c r="BG153" s="18"/>
      <c r="BH153" s="18"/>
      <c r="BI153" s="166">
        <f>(BI152-BD152)/ABS(BD152)</f>
        <v>-6.2042092433613867E-2</v>
      </c>
      <c r="BJ153" s="18"/>
      <c r="BK153" s="18"/>
      <c r="BL153" s="18"/>
      <c r="BM153" s="18"/>
      <c r="BN153" s="166">
        <f>(BN152-BI152)/ABS(BI152)</f>
        <v>0.31221487642390661</v>
      </c>
      <c r="BO153" s="18"/>
      <c r="BP153" s="18"/>
      <c r="BQ153" s="18"/>
      <c r="BR153" s="18"/>
      <c r="BS153" s="166">
        <f>(BS152-BN152)/ABS(BN152)</f>
        <v>0.36442836798172867</v>
      </c>
      <c r="BT153" s="148"/>
      <c r="BU153" s="356"/>
      <c r="BV153" s="224"/>
      <c r="BW153" s="148"/>
      <c r="BX153" s="148"/>
      <c r="BY153" s="148"/>
      <c r="BZ153" s="531"/>
      <c r="CA153" s="322"/>
      <c r="CB153" s="322"/>
      <c r="CC153" s="322"/>
      <c r="CD153" s="322"/>
      <c r="CE153" s="322"/>
      <c r="CF153" s="322"/>
      <c r="CG153" s="322"/>
      <c r="CH153" s="356"/>
      <c r="CI153" s="148"/>
      <c r="CJ153"/>
      <c r="CK153"/>
      <c r="CL153"/>
      <c r="CM153"/>
      <c r="CN153"/>
      <c r="CO153"/>
      <c r="CP153" s="391"/>
    </row>
    <row r="154" spans="1:94" s="276" customFormat="1" ht="12.75" customHeight="1" x14ac:dyDescent="0.2">
      <c r="A154" s="579" t="s">
        <v>169</v>
      </c>
      <c r="B154" s="63"/>
      <c r="C154" s="63"/>
      <c r="D154" s="63"/>
      <c r="E154" s="63"/>
      <c r="F154" s="201">
        <f>K154</f>
        <v>72.114000000000004</v>
      </c>
      <c r="G154" s="859"/>
      <c r="H154" s="859"/>
      <c r="I154" s="859"/>
      <c r="J154" s="859"/>
      <c r="K154" s="201">
        <f>P154</f>
        <v>72.114000000000004</v>
      </c>
      <c r="L154" s="859"/>
      <c r="M154" s="859"/>
      <c r="N154" s="859"/>
      <c r="O154" s="859"/>
      <c r="P154" s="201">
        <f>U154</f>
        <v>72.114000000000004</v>
      </c>
      <c r="Q154" s="859"/>
      <c r="R154" s="859"/>
      <c r="S154" s="859"/>
      <c r="T154" s="859"/>
      <c r="U154" s="201">
        <f>W154</f>
        <v>72.114000000000004</v>
      </c>
      <c r="V154" s="859">
        <v>71.319999999999993</v>
      </c>
      <c r="W154" s="859">
        <v>72.114000000000004</v>
      </c>
      <c r="X154" s="859">
        <v>72.131</v>
      </c>
      <c r="Y154" s="859">
        <v>72.242000000000004</v>
      </c>
      <c r="Z154" s="306">
        <v>72.138000000000005</v>
      </c>
      <c r="AA154" s="859">
        <v>72.292000000000002</v>
      </c>
      <c r="AB154" s="859">
        <v>72.379000000000005</v>
      </c>
      <c r="AC154" s="859">
        <v>72.427000000000007</v>
      </c>
      <c r="AD154" s="859">
        <v>72.441999999999993</v>
      </c>
      <c r="AE154" s="306">
        <v>72.385999999999996</v>
      </c>
      <c r="AF154" s="859">
        <v>72.486000000000004</v>
      </c>
      <c r="AG154" s="859">
        <v>72.593000000000004</v>
      </c>
      <c r="AH154" s="859">
        <v>72.632000000000005</v>
      </c>
      <c r="AI154" s="859">
        <v>72.658000000000001</v>
      </c>
      <c r="AJ154" s="306">
        <v>72.593000000000004</v>
      </c>
      <c r="AK154" s="859">
        <v>72.683999999999997</v>
      </c>
      <c r="AL154" s="859">
        <v>72.739999999999995</v>
      </c>
      <c r="AM154" s="859">
        <v>72.754999999999995</v>
      </c>
      <c r="AN154" s="859">
        <v>72.775999999999996</v>
      </c>
      <c r="AO154" s="306">
        <v>72.739000000000004</v>
      </c>
      <c r="AP154" s="859">
        <v>73.054000000000002</v>
      </c>
      <c r="AQ154" s="859">
        <v>72.518000000000001</v>
      </c>
      <c r="AR154" s="859">
        <v>71.738</v>
      </c>
      <c r="AS154" s="859">
        <v>71.543000000000006</v>
      </c>
      <c r="AT154" s="734">
        <v>72.207999999999998</v>
      </c>
      <c r="AU154" s="859">
        <v>71.572000000000003</v>
      </c>
      <c r="AV154" s="859">
        <v>70.77</v>
      </c>
      <c r="AW154" s="859">
        <v>69.727000000000004</v>
      </c>
      <c r="AX154" s="859">
        <v>69.325000000000003</v>
      </c>
      <c r="AY154" s="734">
        <v>70.343999999999994</v>
      </c>
      <c r="AZ154" s="859">
        <v>69.347999999999999</v>
      </c>
      <c r="BA154" s="859">
        <v>69.37</v>
      </c>
      <c r="BB154" s="859">
        <v>69.37</v>
      </c>
      <c r="BC154" s="859">
        <v>68.799000000000007</v>
      </c>
      <c r="BD154" s="734">
        <f>AVERAGE(AZ154:BC154)</f>
        <v>69.221750000000014</v>
      </c>
      <c r="BE154" s="785">
        <f>BC154*(1+BE157)</f>
        <v>68.799000000000007</v>
      </c>
      <c r="BF154" s="785">
        <f t="shared" ref="BF154:BH154" si="600">BE154*(1+BF157)</f>
        <v>68.799000000000007</v>
      </c>
      <c r="BG154" s="785">
        <f t="shared" si="600"/>
        <v>68.799000000000007</v>
      </c>
      <c r="BH154" s="785">
        <f t="shared" si="600"/>
        <v>68.799000000000007</v>
      </c>
      <c r="BI154" s="306">
        <f>AVERAGE(BE154:BH154)</f>
        <v>68.799000000000007</v>
      </c>
      <c r="BJ154" s="785"/>
      <c r="BK154" s="785"/>
      <c r="BL154" s="785"/>
      <c r="BM154" s="785"/>
      <c r="BN154" s="306">
        <f>BI154*(1+BN157)</f>
        <v>68.799000000000007</v>
      </c>
      <c r="BO154" s="785"/>
      <c r="BP154" s="785"/>
      <c r="BQ154" s="785"/>
      <c r="BR154" s="785"/>
      <c r="BS154" s="306">
        <f>BN154*(1+BS157)</f>
        <v>68.799000000000007</v>
      </c>
      <c r="BT154" s="162"/>
      <c r="BU154" s="375"/>
      <c r="BV154" s="237"/>
      <c r="BW154" s="162"/>
      <c r="BX154" s="162"/>
      <c r="BY154" s="162"/>
      <c r="BZ154" s="531"/>
      <c r="CA154" s="334"/>
      <c r="CB154" s="334"/>
      <c r="CC154" s="322"/>
      <c r="CD154" s="322"/>
      <c r="CE154" s="322"/>
      <c r="CF154" s="322"/>
      <c r="CG154" s="334"/>
      <c r="CH154" s="375"/>
      <c r="CI154" s="162"/>
      <c r="CJ154"/>
      <c r="CK154"/>
      <c r="CL154"/>
      <c r="CM154"/>
      <c r="CN154"/>
      <c r="CO154"/>
      <c r="CP154" s="417"/>
    </row>
    <row r="155" spans="1:94" s="276" customFormat="1" ht="12.75" customHeight="1" x14ac:dyDescent="0.2">
      <c r="A155" s="579" t="s">
        <v>170</v>
      </c>
      <c r="B155" s="63"/>
      <c r="C155" s="63"/>
      <c r="D155" s="63"/>
      <c r="E155" s="63"/>
      <c r="F155" s="201">
        <f>K155</f>
        <v>72.114000000000004</v>
      </c>
      <c r="G155" s="859"/>
      <c r="H155" s="859"/>
      <c r="I155" s="859"/>
      <c r="J155" s="859"/>
      <c r="K155" s="201">
        <f>P155</f>
        <v>72.114000000000004</v>
      </c>
      <c r="L155" s="859"/>
      <c r="M155" s="859"/>
      <c r="N155" s="859"/>
      <c r="O155" s="859"/>
      <c r="P155" s="201">
        <f>U155</f>
        <v>72.114000000000004</v>
      </c>
      <c r="Q155" s="859"/>
      <c r="R155" s="859"/>
      <c r="S155" s="859"/>
      <c r="T155" s="859"/>
      <c r="U155" s="201">
        <f>U154</f>
        <v>72.114000000000004</v>
      </c>
      <c r="V155" s="859">
        <v>71.661000000000001</v>
      </c>
      <c r="W155" s="859">
        <v>72.733999999999995</v>
      </c>
      <c r="X155" s="859">
        <v>72.775999999999996</v>
      </c>
      <c r="Y155" s="859">
        <v>72.472999999999999</v>
      </c>
      <c r="Z155" s="306">
        <v>72.412999999999997</v>
      </c>
      <c r="AA155" s="859">
        <v>72.498999999999995</v>
      </c>
      <c r="AB155" s="859">
        <v>72.584000000000003</v>
      </c>
      <c r="AC155" s="859">
        <v>72.658000000000001</v>
      </c>
      <c r="AD155" s="859">
        <v>72.623000000000005</v>
      </c>
      <c r="AE155" s="306">
        <v>72.590999999999994</v>
      </c>
      <c r="AF155" s="859">
        <v>72.804000000000002</v>
      </c>
      <c r="AG155" s="859">
        <v>72.992000000000004</v>
      </c>
      <c r="AH155" s="859">
        <v>73.003</v>
      </c>
      <c r="AI155" s="859">
        <v>73.194999999999993</v>
      </c>
      <c r="AJ155" s="306">
        <v>72.998999999999995</v>
      </c>
      <c r="AK155" s="859">
        <v>73.254000000000005</v>
      </c>
      <c r="AL155" s="859">
        <v>73.293999999999997</v>
      </c>
      <c r="AM155" s="859">
        <v>73.302999999999997</v>
      </c>
      <c r="AN155" s="859">
        <v>73.323999999999998</v>
      </c>
      <c r="AO155" s="306">
        <v>73.293999999999997</v>
      </c>
      <c r="AP155" s="859">
        <v>73.37</v>
      </c>
      <c r="AQ155" s="859">
        <v>72.801000000000002</v>
      </c>
      <c r="AR155" s="859">
        <v>71.92</v>
      </c>
      <c r="AS155" s="859">
        <v>71.671999999999997</v>
      </c>
      <c r="AT155" s="734">
        <v>72.426000000000002</v>
      </c>
      <c r="AU155" s="859">
        <v>71.777000000000001</v>
      </c>
      <c r="AV155" s="859">
        <v>70.912999999999997</v>
      </c>
      <c r="AW155" s="859">
        <v>69.808000000000007</v>
      </c>
      <c r="AX155" s="859">
        <v>69.551000000000002</v>
      </c>
      <c r="AY155" s="734">
        <v>70.507999999999996</v>
      </c>
      <c r="AZ155" s="859">
        <v>69.591999999999999</v>
      </c>
      <c r="BA155" s="859">
        <v>69.561000000000007</v>
      </c>
      <c r="BB155" s="859">
        <v>69.457999999999998</v>
      </c>
      <c r="BC155" s="859">
        <v>68.900999999999996</v>
      </c>
      <c r="BD155" s="734">
        <f>AVERAGE(AZ155:BC155)</f>
        <v>69.378</v>
      </c>
      <c r="BE155" s="859">
        <v>68.3</v>
      </c>
      <c r="BF155" s="785">
        <f t="shared" ref="BF155:BH155" si="601">BE155*(1+BF157)</f>
        <v>68.3</v>
      </c>
      <c r="BG155" s="785">
        <f t="shared" si="601"/>
        <v>68.3</v>
      </c>
      <c r="BH155" s="785">
        <f t="shared" si="601"/>
        <v>68.3</v>
      </c>
      <c r="BI155" s="306">
        <f>AVERAGE(BE155:BH155)</f>
        <v>68.3</v>
      </c>
      <c r="BJ155" s="785"/>
      <c r="BK155" s="785"/>
      <c r="BL155" s="785"/>
      <c r="BM155" s="785"/>
      <c r="BN155" s="306">
        <f>BI155*(1+BN157)</f>
        <v>68.3</v>
      </c>
      <c r="BO155" s="785"/>
      <c r="BP155" s="785"/>
      <c r="BQ155" s="785"/>
      <c r="BR155" s="785"/>
      <c r="BS155" s="306">
        <f>BN155*(1+BS157)</f>
        <v>68.3</v>
      </c>
      <c r="BT155" s="162"/>
      <c r="BU155" s="375"/>
      <c r="BV155" s="237"/>
      <c r="BW155" s="162"/>
      <c r="BX155" s="162"/>
      <c r="BY155" s="162"/>
      <c r="BZ155" s="531" t="s">
        <v>514</v>
      </c>
      <c r="CA155" s="334"/>
      <c r="CB155" s="334"/>
      <c r="CC155" s="322"/>
      <c r="CD155" s="322"/>
      <c r="CE155" s="322"/>
      <c r="CF155" s="322"/>
      <c r="CG155" s="334"/>
      <c r="CH155" s="375"/>
      <c r="CI155" s="162"/>
      <c r="CJ155"/>
      <c r="CK155"/>
      <c r="CL155"/>
      <c r="CM155"/>
      <c r="CN155"/>
      <c r="CO155"/>
      <c r="CP155" s="417"/>
    </row>
    <row r="156" spans="1:94" s="276" customFormat="1" ht="12.75" customHeight="1" x14ac:dyDescent="0.2">
      <c r="A156" s="606" t="s">
        <v>359</v>
      </c>
      <c r="B156" s="63"/>
      <c r="C156" s="63"/>
      <c r="D156" s="63"/>
      <c r="E156" s="63"/>
      <c r="F156" s="201"/>
      <c r="G156" s="446"/>
      <c r="H156" s="446"/>
      <c r="I156" s="446"/>
      <c r="J156" s="446"/>
      <c r="K156" s="201"/>
      <c r="L156" s="446"/>
      <c r="M156" s="446"/>
      <c r="N156" s="446"/>
      <c r="O156" s="446"/>
      <c r="P156" s="201"/>
      <c r="Q156" s="446"/>
      <c r="R156" s="446"/>
      <c r="S156" s="446"/>
      <c r="T156" s="446"/>
      <c r="U156" s="201"/>
      <c r="V156" s="446"/>
      <c r="W156" s="446"/>
      <c r="X156" s="446"/>
      <c r="Y156" s="446"/>
      <c r="Z156" s="306"/>
      <c r="AA156" s="446"/>
      <c r="AB156" s="446"/>
      <c r="AC156" s="446"/>
      <c r="AD156" s="446"/>
      <c r="AE156" s="306"/>
      <c r="AF156" s="446"/>
      <c r="AG156" s="446"/>
      <c r="AH156" s="446"/>
      <c r="AI156" s="446"/>
      <c r="AJ156" s="306"/>
      <c r="AK156" s="446"/>
      <c r="AL156" s="446"/>
      <c r="AM156" s="446"/>
      <c r="AN156" s="446"/>
      <c r="AO156" s="306"/>
      <c r="AP156" s="446"/>
      <c r="AQ156" s="446"/>
      <c r="AR156" s="446"/>
      <c r="AS156" s="446"/>
      <c r="AT156" s="306"/>
      <c r="AU156" s="446"/>
      <c r="AV156" s="446"/>
      <c r="AW156" s="446"/>
      <c r="AX156" s="446"/>
      <c r="AY156" s="306"/>
      <c r="AZ156" s="446"/>
      <c r="BA156" s="446"/>
      <c r="BB156" s="446"/>
      <c r="BC156" s="446"/>
      <c r="BD156" s="306"/>
      <c r="BE156" s="619">
        <f>BE154-BC154</f>
        <v>0</v>
      </c>
      <c r="BF156" s="619">
        <f t="shared" ref="BF156:BH156" si="602">BF154-BE154</f>
        <v>0</v>
      </c>
      <c r="BG156" s="619">
        <f t="shared" si="602"/>
        <v>0</v>
      </c>
      <c r="BH156" s="619">
        <f t="shared" si="602"/>
        <v>0</v>
      </c>
      <c r="BI156" s="727"/>
      <c r="BJ156" s="785"/>
      <c r="BK156" s="785"/>
      <c r="BL156" s="785"/>
      <c r="BM156" s="785"/>
      <c r="BN156" s="607">
        <f>+(BI154*(BN157))</f>
        <v>0</v>
      </c>
      <c r="BO156" s="785"/>
      <c r="BP156" s="785"/>
      <c r="BQ156" s="785"/>
      <c r="BR156" s="785"/>
      <c r="BS156" s="607">
        <f>+(BN154*(BS157))</f>
        <v>0</v>
      </c>
      <c r="BT156" s="162"/>
      <c r="BU156" s="375"/>
      <c r="BV156" s="237"/>
      <c r="BW156" s="162"/>
      <c r="BX156" s="162"/>
      <c r="BY156" s="162"/>
      <c r="BZ156" s="531" t="s">
        <v>515</v>
      </c>
      <c r="CA156" s="334"/>
      <c r="CB156" s="334"/>
      <c r="CC156" s="322"/>
      <c r="CD156" s="322"/>
      <c r="CE156" s="322"/>
      <c r="CF156" s="322"/>
      <c r="CG156" s="334"/>
      <c r="CH156" s="375"/>
      <c r="CI156" s="162"/>
      <c r="CJ156"/>
      <c r="CK156"/>
      <c r="CL156"/>
      <c r="CM156"/>
      <c r="CN156"/>
      <c r="CO156"/>
      <c r="CP156" s="417"/>
    </row>
    <row r="157" spans="1:94" s="276" customFormat="1" ht="12.75" customHeight="1" x14ac:dyDescent="0.2">
      <c r="A157" s="606" t="s">
        <v>360</v>
      </c>
      <c r="B157" s="63"/>
      <c r="C157" s="63"/>
      <c r="D157" s="63"/>
      <c r="E157" s="63"/>
      <c r="F157" s="201"/>
      <c r="G157" s="609"/>
      <c r="H157" s="609"/>
      <c r="I157" s="609"/>
      <c r="J157" s="609"/>
      <c r="K157" s="201"/>
      <c r="L157" s="609"/>
      <c r="M157" s="609"/>
      <c r="N157" s="609"/>
      <c r="O157" s="609"/>
      <c r="P157" s="201"/>
      <c r="Q157" s="609"/>
      <c r="R157" s="609"/>
      <c r="S157" s="609"/>
      <c r="T157" s="609"/>
      <c r="U157" s="201"/>
      <c r="V157" s="609"/>
      <c r="W157" s="609">
        <f>(W155/V155-1)*4</f>
        <v>5.9893107827130088E-2</v>
      </c>
      <c r="X157" s="609">
        <f>(X155/W155-1)*4</f>
        <v>2.3097863447629763E-3</v>
      </c>
      <c r="Y157" s="609">
        <f>(Y155/X155-1)*4</f>
        <v>-1.6653841925909685E-2</v>
      </c>
      <c r="Z157" s="608"/>
      <c r="AA157" s="609">
        <f>(AA155/Y155-1)*4</f>
        <v>1.4350171788111155E-3</v>
      </c>
      <c r="AB157" s="609">
        <f>(AB155/AA155-1)*4</f>
        <v>4.6897198582049882E-3</v>
      </c>
      <c r="AC157" s="609">
        <f>(AC155/AB155-1)*4</f>
        <v>4.0780337264409994E-3</v>
      </c>
      <c r="AD157" s="609">
        <f>(AD155/AC155-1)*4</f>
        <v>-1.9268353106332015E-3</v>
      </c>
      <c r="AE157" s="608">
        <f>(AE155/Z155-1)</f>
        <v>2.4581221603854342E-3</v>
      </c>
      <c r="AF157" s="609">
        <f>(AF155/AD155-1)*4</f>
        <v>9.9692934745192474E-3</v>
      </c>
      <c r="AG157" s="609">
        <f>(AG155/AF155-1)*4</f>
        <v>1.0329102796549527E-2</v>
      </c>
      <c r="AH157" s="609">
        <f>(AH155/AG155-1)*4</f>
        <v>6.0280578693561182E-4</v>
      </c>
      <c r="AI157" s="609">
        <f>(AI155/AH155-1)*4</f>
        <v>1.0520115611686975E-2</v>
      </c>
      <c r="AJ157" s="608">
        <f>(AJ155/AE155-1)</f>
        <v>5.620531470843515E-3</v>
      </c>
      <c r="AK157" s="609">
        <f>(AK155/AI155-1)*4</f>
        <v>3.2242639524566741E-3</v>
      </c>
      <c r="AL157" s="609">
        <f>(AL155/AK155-1)*4</f>
        <v>2.1841810686105134E-3</v>
      </c>
      <c r="AM157" s="609">
        <f>(AM155/AL155-1)*4</f>
        <v>4.9117253799746408E-4</v>
      </c>
      <c r="AN157" s="609">
        <f>(AN155/AM155-1)*4</f>
        <v>1.1459285431705268E-3</v>
      </c>
      <c r="AO157" s="608">
        <f>(AO155/AJ155-1)</f>
        <v>4.0411512486473455E-3</v>
      </c>
      <c r="AP157" s="609">
        <f>(AP155/AN155-1)*4</f>
        <v>2.5094102885825365E-3</v>
      </c>
      <c r="AQ157" s="609">
        <f>(AQ155/AP155-1)*4</f>
        <v>-3.1020853209759114E-2</v>
      </c>
      <c r="AR157" s="609">
        <f>(AR155/AQ155-1)*4</f>
        <v>-4.8405928489993144E-2</v>
      </c>
      <c r="AS157" s="609">
        <f>(AS155/AR155-1)*4</f>
        <v>-1.3793103448276334E-2</v>
      </c>
      <c r="AT157" s="608">
        <f>(AT155/AO155-1)</f>
        <v>-1.1842715638387791E-2</v>
      </c>
      <c r="AU157" s="609">
        <f>(AU155/AS155-1)*4</f>
        <v>5.8600290210959471E-3</v>
      </c>
      <c r="AV157" s="609">
        <f>(AV155/AU155-1)*4</f>
        <v>-4.814912855092901E-2</v>
      </c>
      <c r="AW157" s="609">
        <f>(AW155/AV155-1)*4</f>
        <v>-6.2329897197974216E-2</v>
      </c>
      <c r="AX157" s="609">
        <f>(AX155/AW155-1)*4</f>
        <v>-1.4726105890442653E-2</v>
      </c>
      <c r="AY157" s="608">
        <f>(AY155/AT155-1)</f>
        <v>-2.6482202523955611E-2</v>
      </c>
      <c r="AZ157" s="609">
        <f>(AZ155/AX155-1)*4</f>
        <v>2.3579819125529866E-3</v>
      </c>
      <c r="BA157" s="609">
        <f>(BA155/AZ155-1)*4</f>
        <v>-1.7818140016090389E-3</v>
      </c>
      <c r="BB157" s="609">
        <f>(BB155/BA155-1)*4</f>
        <v>-5.9228590733320097E-3</v>
      </c>
      <c r="BC157" s="609">
        <f>(BC155/BB155-1)*4</f>
        <v>-3.2076938581588887E-2</v>
      </c>
      <c r="BD157" s="608">
        <f>(BD155/AY155-1)</f>
        <v>-1.6026550178703025E-2</v>
      </c>
      <c r="BE157" s="610">
        <v>0</v>
      </c>
      <c r="BF157" s="610">
        <v>0</v>
      </c>
      <c r="BG157" s="610">
        <v>0</v>
      </c>
      <c r="BH157" s="610">
        <v>0</v>
      </c>
      <c r="BI157" s="608">
        <f>(BI155/BD155-1)</f>
        <v>-1.5538066822335606E-2</v>
      </c>
      <c r="BJ157" s="610"/>
      <c r="BK157" s="610"/>
      <c r="BL157" s="610"/>
      <c r="BM157" s="610"/>
      <c r="BN157" s="611">
        <v>0</v>
      </c>
      <c r="BO157" s="610"/>
      <c r="BP157" s="610"/>
      <c r="BQ157" s="610"/>
      <c r="BR157" s="610"/>
      <c r="BS157" s="611">
        <v>0</v>
      </c>
      <c r="BT157" s="162"/>
      <c r="BU157" s="375"/>
      <c r="BV157" s="237"/>
      <c r="BW157" s="162"/>
      <c r="BX157" s="162"/>
      <c r="BY157" s="162"/>
      <c r="BZ157" s="531"/>
      <c r="CA157" s="334"/>
      <c r="CB157" s="334"/>
      <c r="CC157" s="322"/>
      <c r="CD157" s="322"/>
      <c r="CE157" s="322"/>
      <c r="CF157" s="322"/>
      <c r="CG157" s="334"/>
      <c r="CH157" s="375"/>
      <c r="CI157" s="162"/>
      <c r="CJ157"/>
      <c r="CK157"/>
      <c r="CL157"/>
      <c r="CM157"/>
      <c r="CN157"/>
      <c r="CO157"/>
      <c r="CP157" s="417"/>
    </row>
    <row r="158" spans="1:94" s="276" customFormat="1" ht="12.75" customHeight="1" x14ac:dyDescent="0.2">
      <c r="A158" s="579" t="s">
        <v>171</v>
      </c>
      <c r="B158" s="63"/>
      <c r="C158" s="63"/>
      <c r="D158" s="63"/>
      <c r="E158" s="63"/>
      <c r="F158" s="201">
        <f>F155</f>
        <v>72.114000000000004</v>
      </c>
      <c r="G158" s="63"/>
      <c r="H158" s="63"/>
      <c r="I158" s="63"/>
      <c r="J158" s="63"/>
      <c r="K158" s="201">
        <f>K155</f>
        <v>72.114000000000004</v>
      </c>
      <c r="L158" s="63"/>
      <c r="M158" s="63"/>
      <c r="N158" s="63"/>
      <c r="O158" s="63"/>
      <c r="P158" s="201">
        <f>P155</f>
        <v>72.114000000000004</v>
      </c>
      <c r="Q158" s="63"/>
      <c r="R158" s="63"/>
      <c r="S158" s="63"/>
      <c r="T158" s="63"/>
      <c r="U158" s="201">
        <f>U155</f>
        <v>72.114000000000004</v>
      </c>
      <c r="V158" s="63"/>
      <c r="W158" s="63"/>
      <c r="X158" s="63"/>
      <c r="Y158" s="63"/>
      <c r="Z158" s="306">
        <f>Z155</f>
        <v>72.412999999999997</v>
      </c>
      <c r="AA158" s="63"/>
      <c r="AB158" s="63"/>
      <c r="AC158" s="63"/>
      <c r="AD158" s="63"/>
      <c r="AE158" s="306">
        <f>AE155</f>
        <v>72.590999999999994</v>
      </c>
      <c r="AF158" s="63"/>
      <c r="AG158" s="63"/>
      <c r="AH158" s="63"/>
      <c r="AI158" s="63"/>
      <c r="AJ158" s="306">
        <f>AJ155</f>
        <v>72.998999999999995</v>
      </c>
      <c r="AK158" s="63"/>
      <c r="AL158" s="63"/>
      <c r="AM158" s="63"/>
      <c r="AN158" s="63"/>
      <c r="AO158" s="306">
        <f>AO155</f>
        <v>73.293999999999997</v>
      </c>
      <c r="AP158" s="63"/>
      <c r="AQ158" s="63"/>
      <c r="AR158" s="63"/>
      <c r="AS158" s="63"/>
      <c r="AT158" s="306">
        <f>AT155</f>
        <v>72.426000000000002</v>
      </c>
      <c r="AU158" s="63"/>
      <c r="AV158" s="63"/>
      <c r="AW158" s="63"/>
      <c r="AX158" s="63"/>
      <c r="AY158" s="306">
        <f>AY155</f>
        <v>70.507999999999996</v>
      </c>
      <c r="AZ158" s="63"/>
      <c r="BA158" s="63"/>
      <c r="BB158" s="63"/>
      <c r="BC158" s="63"/>
      <c r="BD158" s="306">
        <f>BD155</f>
        <v>69.378</v>
      </c>
      <c r="BE158" s="63"/>
      <c r="BF158" s="63"/>
      <c r="BG158" s="63"/>
      <c r="BH158" s="63"/>
      <c r="BI158" s="306">
        <f>BI155</f>
        <v>68.3</v>
      </c>
      <c r="BJ158" s="63"/>
      <c r="BK158" s="63"/>
      <c r="BL158" s="63"/>
      <c r="BM158" s="63"/>
      <c r="BN158" s="306">
        <f>BN155</f>
        <v>68.3</v>
      </c>
      <c r="BO158" s="63"/>
      <c r="BP158" s="63"/>
      <c r="BQ158" s="63"/>
      <c r="BR158" s="63"/>
      <c r="BS158" s="306">
        <f>BS155</f>
        <v>68.3</v>
      </c>
      <c r="BT158" s="162"/>
      <c r="BU158" s="375"/>
      <c r="BV158" s="237"/>
      <c r="BW158" s="162"/>
      <c r="BX158" s="162"/>
      <c r="BY158" s="162"/>
      <c r="BZ158" s="531"/>
      <c r="CA158" s="331"/>
      <c r="CB158" s="331"/>
      <c r="CC158" s="322"/>
      <c r="CD158" s="322"/>
      <c r="CE158" s="322"/>
      <c r="CF158" s="322"/>
      <c r="CG158" s="331"/>
      <c r="CH158" s="375"/>
      <c r="CI158" s="162"/>
      <c r="CJ158"/>
      <c r="CK158"/>
      <c r="CL158"/>
      <c r="CM158"/>
      <c r="CN158"/>
      <c r="CO158"/>
      <c r="CP158" s="417"/>
    </row>
    <row r="159" spans="1:94" s="276" customFormat="1" ht="12.75" customHeight="1" x14ac:dyDescent="0.2">
      <c r="A159" s="612" t="s">
        <v>361</v>
      </c>
      <c r="B159" s="70"/>
      <c r="C159" s="70"/>
      <c r="D159" s="70"/>
      <c r="E159" s="70"/>
      <c r="F159" s="202"/>
      <c r="G159" s="70"/>
      <c r="H159" s="70"/>
      <c r="I159" s="70"/>
      <c r="J159" s="70"/>
      <c r="K159" s="202"/>
      <c r="L159" s="70"/>
      <c r="M159" s="70"/>
      <c r="N159" s="70"/>
      <c r="O159" s="70"/>
      <c r="P159" s="202"/>
      <c r="Q159" s="70"/>
      <c r="R159" s="70"/>
      <c r="S159" s="70"/>
      <c r="T159" s="70"/>
      <c r="U159" s="202"/>
      <c r="V159" s="70"/>
      <c r="W159" s="70"/>
      <c r="X159" s="70"/>
      <c r="Y159" s="70"/>
      <c r="Z159" s="202"/>
      <c r="AA159" s="70"/>
      <c r="AB159" s="70"/>
      <c r="AC159" s="70"/>
      <c r="AD159" s="70"/>
      <c r="AE159" s="202"/>
      <c r="AF159" s="70"/>
      <c r="AG159" s="70"/>
      <c r="AH159" s="70"/>
      <c r="AI159" s="70"/>
      <c r="AJ159" s="202"/>
      <c r="AK159" s="70"/>
      <c r="AL159" s="70"/>
      <c r="AM159" s="70"/>
      <c r="AN159" s="70"/>
      <c r="AO159" s="202"/>
      <c r="AP159" s="70"/>
      <c r="AQ159" s="70"/>
      <c r="AR159" s="70"/>
      <c r="AS159" s="70"/>
      <c r="AT159" s="202"/>
      <c r="AU159" s="70"/>
      <c r="AV159" s="70"/>
      <c r="AW159" s="70"/>
      <c r="AX159" s="70"/>
      <c r="AY159" s="202"/>
      <c r="AZ159" s="70"/>
      <c r="BA159" s="70"/>
      <c r="BB159" s="70"/>
      <c r="BC159" s="70"/>
      <c r="BD159" s="202"/>
      <c r="BE159" s="70"/>
      <c r="BF159" s="70"/>
      <c r="BG159" s="70"/>
      <c r="BH159" s="70"/>
      <c r="BI159" s="202"/>
      <c r="BJ159" s="70"/>
      <c r="BK159" s="70"/>
      <c r="BL159" s="70"/>
      <c r="BM159" s="70"/>
      <c r="BN159" s="202"/>
      <c r="BO159" s="70"/>
      <c r="BP159" s="70"/>
      <c r="BQ159" s="70"/>
      <c r="BR159" s="70"/>
      <c r="BS159" s="202"/>
      <c r="BT159" s="162"/>
      <c r="BU159" s="375"/>
      <c r="BV159" s="237"/>
      <c r="BW159" s="162"/>
      <c r="BX159" s="162"/>
      <c r="BY159" s="162"/>
      <c r="BZ159" s="531"/>
      <c r="CA159" s="331"/>
      <c r="CB159" s="331"/>
      <c r="CC159" s="322"/>
      <c r="CD159" s="322"/>
      <c r="CE159" s="322"/>
      <c r="CF159" s="322"/>
      <c r="CG159" s="331"/>
      <c r="CH159" s="375"/>
      <c r="CI159" s="162"/>
      <c r="CJ159"/>
      <c r="CK159"/>
      <c r="CL159"/>
      <c r="CM159"/>
      <c r="CN159"/>
      <c r="CO159"/>
      <c r="CP159" s="417"/>
    </row>
    <row r="160" spans="1:94" s="276" customFormat="1" ht="12.75" customHeight="1" x14ac:dyDescent="0.2">
      <c r="A160" s="613" t="s">
        <v>362</v>
      </c>
      <c r="B160" s="63"/>
      <c r="C160" s="63"/>
      <c r="D160" s="63"/>
      <c r="E160" s="63"/>
      <c r="F160" s="201"/>
      <c r="G160" s="228"/>
      <c r="H160" s="154"/>
      <c r="I160" s="154"/>
      <c r="J160" s="154"/>
      <c r="K160" s="201"/>
      <c r="L160" s="228"/>
      <c r="M160" s="154"/>
      <c r="N160" s="154"/>
      <c r="O160" s="154"/>
      <c r="P160" s="201"/>
      <c r="Q160" s="228"/>
      <c r="R160" s="154"/>
      <c r="S160" s="154"/>
      <c r="T160" s="154"/>
      <c r="U160" s="201"/>
      <c r="V160" s="228"/>
      <c r="W160" s="154">
        <f>AVERAGE(V163,W163)</f>
        <v>11.99</v>
      </c>
      <c r="X160" s="154">
        <f>AVERAGE(W163,X163)</f>
        <v>12.245000000000001</v>
      </c>
      <c r="Y160" s="154">
        <f>AVERAGE(X163,Y163)</f>
        <v>14.05</v>
      </c>
      <c r="Z160" s="174">
        <f>AVERAGE(U163,Z163)</f>
        <v>15.6</v>
      </c>
      <c r="AA160" s="228">
        <f>AVERAGE(Z163,AA163)</f>
        <v>17.834996499999999</v>
      </c>
      <c r="AB160" s="154">
        <f>AVERAGE(AA163,AB163)</f>
        <v>19.764992499999998</v>
      </c>
      <c r="AC160" s="154">
        <f>AVERAGE(AB163,AC163)</f>
        <v>18.269989500000001</v>
      </c>
      <c r="AD160" s="154">
        <f>AVERAGE(AC163,AD163)</f>
        <v>17.405243499999997</v>
      </c>
      <c r="AE160" s="174">
        <f>AVERAGE(Z163,AE163)</f>
        <v>16.66525</v>
      </c>
      <c r="AF160" s="228">
        <f>AVERAGE(AE163,AF163)</f>
        <v>21.545242999999999</v>
      </c>
      <c r="AG160" s="154">
        <f>AVERAGE(AF163,AG163)</f>
        <v>28.539985999999999</v>
      </c>
      <c r="AH160" s="154">
        <f>AVERAGE(AG163,AH163)</f>
        <v>32.994987999999999</v>
      </c>
      <c r="AI160" s="154">
        <f>AVERAGE(AH163,AI163)</f>
        <v>39.839989500000001</v>
      </c>
      <c r="AJ160" s="174">
        <f>AVERAGE(AE163,AJ163)</f>
        <v>31.570244500000001</v>
      </c>
      <c r="AK160" s="228">
        <f>AVERAGE(AJ163,AK163)</f>
        <v>52.404991500000001</v>
      </c>
      <c r="AL160" s="154">
        <f>AVERAGE(AK163,AL163)</f>
        <v>61.319992499999998</v>
      </c>
      <c r="AM160" s="154">
        <f>AVERAGE(AL163,AM163)</f>
        <v>66.189995500000009</v>
      </c>
      <c r="AN160" s="154">
        <f>AVERAGE(AM163,AN163)</f>
        <v>72.360000999999997</v>
      </c>
      <c r="AO160" s="174">
        <f>AVERAGE(AJ163,AO163)</f>
        <v>60.494995500000002</v>
      </c>
      <c r="AP160" s="228">
        <f>AVERAGE(AO163,AP163)</f>
        <v>76.470001499999995</v>
      </c>
      <c r="AQ160" s="154">
        <f>AVERAGE(AP163,AQ163)</f>
        <v>69.730003999999994</v>
      </c>
      <c r="AR160" s="154">
        <f>AVERAGE(AQ163,AR163)</f>
        <v>54.700005500000003</v>
      </c>
      <c r="AS160" s="154">
        <f>AVERAGE(AR163,AS163)</f>
        <v>43.575005500000003</v>
      </c>
      <c r="AT160" s="174">
        <f>AVERAGE(AO163,AT163)</f>
        <v>57.715004499999992</v>
      </c>
      <c r="AU160" s="228">
        <f>AVERAGE(AT163,AU163)</f>
        <v>43.915001500000002</v>
      </c>
      <c r="AV160" s="154">
        <f>AVERAGE(AU163,AV163)</f>
        <v>46.424996</v>
      </c>
      <c r="AW160" s="154">
        <f>AVERAGE(AV163,AW163)</f>
        <v>43.699997499999995</v>
      </c>
      <c r="AX160" s="154">
        <f>AVERAGE(AW163,AX163)</f>
        <v>50.194999999999993</v>
      </c>
      <c r="AY160" s="174">
        <f>AVERAGE(AT163,AY163)</f>
        <v>48.855003999999994</v>
      </c>
      <c r="AZ160" s="228">
        <f>AVERAGE(AY163,AZ163)</f>
        <v>55.465004499999999</v>
      </c>
      <c r="BA160" s="154">
        <f>AVERAGE(AZ163,BA163)</f>
        <v>52.360000999999997</v>
      </c>
      <c r="BB160" s="154">
        <f>AVERAGE(BA163,BB163)</f>
        <v>42.529999000000004</v>
      </c>
      <c r="BC160" s="154">
        <f>AVERAGE(BB163,BC163)</f>
        <v>39.130005499999996</v>
      </c>
      <c r="BD160" s="174">
        <f>AVERAGE(AY163,BD163)</f>
        <v>51.355003999999994</v>
      </c>
      <c r="BE160" s="154">
        <f>AVERAGE(BC163,BE163)</f>
        <v>45.410632087499991</v>
      </c>
      <c r="BF160" s="154">
        <f t="shared" ref="BF160:BH160" si="603">AVERAGE(BE163,BF163)</f>
        <v>46.545897889687488</v>
      </c>
      <c r="BG160" s="154">
        <f t="shared" si="603"/>
        <v>47.709545336929672</v>
      </c>
      <c r="BH160" s="154">
        <f t="shared" si="603"/>
        <v>48.902283970352912</v>
      </c>
      <c r="BI160" s="174">
        <f>AVERAGE(BD163,BI163)</f>
        <v>47.178011435610728</v>
      </c>
      <c r="BJ160" s="63"/>
      <c r="BK160" s="63"/>
      <c r="BL160" s="63"/>
      <c r="BM160" s="63"/>
      <c r="BN160" s="174">
        <f>AVERAGE(BI163,BN163)</f>
        <v>51.98131666478254</v>
      </c>
      <c r="BO160" s="63"/>
      <c r="BP160" s="63"/>
      <c r="BQ160" s="63"/>
      <c r="BR160" s="63"/>
      <c r="BS160" s="174">
        <f>AVERAGE(BN163,BS163)</f>
        <v>57.179448331260801</v>
      </c>
      <c r="BT160" s="162"/>
      <c r="BU160" s="375"/>
      <c r="BV160" s="237"/>
      <c r="BW160" s="162"/>
      <c r="BX160" s="162"/>
      <c r="BY160" s="162"/>
      <c r="BZ160" s="531"/>
      <c r="CA160" s="331"/>
      <c r="CB160" s="331"/>
      <c r="CC160" s="322"/>
      <c r="CD160" s="322"/>
      <c r="CE160" s="322"/>
      <c r="CF160" s="322"/>
      <c r="CG160" s="331"/>
      <c r="CH160" s="375"/>
      <c r="CI160" s="162"/>
      <c r="CJ160"/>
      <c r="CK160"/>
      <c r="CL160"/>
      <c r="CM160"/>
      <c r="CN160"/>
      <c r="CO160"/>
      <c r="CP160" s="417"/>
    </row>
    <row r="161" spans="1:94" s="276" customFormat="1" ht="12.75" customHeight="1" x14ac:dyDescent="0.2">
      <c r="A161" s="614" t="s">
        <v>363</v>
      </c>
      <c r="B161" s="63"/>
      <c r="C161" s="63"/>
      <c r="D161" s="63"/>
      <c r="E161" s="63"/>
      <c r="F161" s="201"/>
      <c r="G161" s="616"/>
      <c r="H161" s="617"/>
      <c r="I161" s="617"/>
      <c r="J161" s="617"/>
      <c r="K161" s="201"/>
      <c r="L161" s="616"/>
      <c r="M161" s="617"/>
      <c r="N161" s="617"/>
      <c r="O161" s="617"/>
      <c r="P161" s="201"/>
      <c r="Q161" s="616"/>
      <c r="R161" s="617"/>
      <c r="S161" s="617"/>
      <c r="T161" s="617"/>
      <c r="U161" s="201"/>
      <c r="V161" s="616"/>
      <c r="W161" s="617"/>
      <c r="X161" s="617"/>
      <c r="Y161" s="617"/>
      <c r="Z161" s="220"/>
      <c r="AA161" s="616">
        <f>AA160/Y160-1</f>
        <v>0.26939476868327383</v>
      </c>
      <c r="AB161" s="617">
        <f>AB160/AA160-1</f>
        <v>0.10821398254830039</v>
      </c>
      <c r="AC161" s="617">
        <f>AC160/AB160-1</f>
        <v>-7.5638935860967149E-2</v>
      </c>
      <c r="AD161" s="617">
        <f>AD160/AC160-1</f>
        <v>-4.7331499561069967E-2</v>
      </c>
      <c r="AE161" s="220">
        <f>AE160/Z160-1</f>
        <v>6.8285256410256512E-2</v>
      </c>
      <c r="AF161" s="616">
        <f>AF160/AD160-1</f>
        <v>0.23785932670232413</v>
      </c>
      <c r="AG161" s="617">
        <f>AG160/AF160-1</f>
        <v>0.32465370662099291</v>
      </c>
      <c r="AH161" s="617">
        <f>AH160/AG160-1</f>
        <v>0.15609685302578646</v>
      </c>
      <c r="AI161" s="617">
        <f>AI160/AH160-1</f>
        <v>0.20745579601362496</v>
      </c>
      <c r="AJ161" s="220">
        <f>AJ160/AE160-1</f>
        <v>0.89437569193381439</v>
      </c>
      <c r="AK161" s="616">
        <f>AK160/AI160-1</f>
        <v>0.31538667950703148</v>
      </c>
      <c r="AL161" s="617">
        <f>AL160/AK160-1</f>
        <v>0.17011740188909297</v>
      </c>
      <c r="AM161" s="617">
        <f>AM160/AL160-1</f>
        <v>7.9419497645894399E-2</v>
      </c>
      <c r="AN161" s="617">
        <f>AN160/AM160-1</f>
        <v>9.3216587391972139E-2</v>
      </c>
      <c r="AO161" s="220">
        <f>AO160/AJ160-1</f>
        <v>0.91620294546657699</v>
      </c>
      <c r="AP161" s="616">
        <f>AP160/AN160-1</f>
        <v>5.6799342775022854E-2</v>
      </c>
      <c r="AQ161" s="617">
        <f>AQ160/AP160-1</f>
        <v>-8.8139105110387694E-2</v>
      </c>
      <c r="AR161" s="617">
        <f>AR160/AQ160-1</f>
        <v>-0.21554564230341922</v>
      </c>
      <c r="AS161" s="617">
        <f>AS160/AR160-1</f>
        <v>-0.20338206364531353</v>
      </c>
      <c r="AT161" s="220">
        <f>AT160/AO160-1</f>
        <v>-4.5954065737553562E-2</v>
      </c>
      <c r="AU161" s="616">
        <f>AU160/AS160-1</f>
        <v>7.8025463473549994E-3</v>
      </c>
      <c r="AV161" s="617">
        <f>AV160/AU160-1</f>
        <v>5.7155742098744966E-2</v>
      </c>
      <c r="AW161" s="617">
        <f>AW160/AV160-1</f>
        <v>-5.8696795579691763E-2</v>
      </c>
      <c r="AX161" s="617">
        <f>AX160/AW160-1</f>
        <v>0.14862706799926007</v>
      </c>
      <c r="AY161" s="220">
        <f>AY160/AT160-1</f>
        <v>-0.15351294826633854</v>
      </c>
      <c r="AZ161" s="616">
        <f>AZ160/AX160-1</f>
        <v>0.10499062655642999</v>
      </c>
      <c r="BA161" s="617">
        <f>BA160/AZ160-1</f>
        <v>-5.5981307997550078E-2</v>
      </c>
      <c r="BB161" s="617">
        <f>BB160/BA160-1</f>
        <v>-0.18773876646793786</v>
      </c>
      <c r="BC161" s="617">
        <f>BC160/BB160-1</f>
        <v>-7.9943418291639423E-2</v>
      </c>
      <c r="BD161" s="220">
        <f>BD160/AY160-1</f>
        <v>5.117183083231347E-2</v>
      </c>
      <c r="BE161" s="617">
        <f>BE160/BC160-1</f>
        <v>0.16050666252781376</v>
      </c>
      <c r="BF161" s="617">
        <f t="shared" ref="BF161:BH161" si="604">BF160/BE160-1</f>
        <v>2.4999999999999911E-2</v>
      </c>
      <c r="BG161" s="617">
        <f t="shared" si="604"/>
        <v>2.4999999999999911E-2</v>
      </c>
      <c r="BH161" s="617">
        <f t="shared" si="604"/>
        <v>2.4999999999999911E-2</v>
      </c>
      <c r="BI161" s="220">
        <f>BI160/BD160-1</f>
        <v>-8.1335648701132746E-2</v>
      </c>
      <c r="BJ161" s="63"/>
      <c r="BK161" s="63"/>
      <c r="BL161" s="63"/>
      <c r="BM161" s="63"/>
      <c r="BN161" s="220">
        <f>BN160/BI160-1</f>
        <v>0.10181237154786471</v>
      </c>
      <c r="BO161" s="63"/>
      <c r="BP161" s="63"/>
      <c r="BQ161" s="63"/>
      <c r="BR161" s="63"/>
      <c r="BS161" s="220">
        <f>BS160/BN160-1</f>
        <v>0.10000000000000009</v>
      </c>
      <c r="BT161" s="162"/>
      <c r="BU161" s="375"/>
      <c r="BV161" s="237"/>
      <c r="BW161" s="162"/>
      <c r="BX161" s="162"/>
      <c r="BY161" s="162"/>
      <c r="BZ161" s="531"/>
      <c r="CA161" s="331"/>
      <c r="CB161" s="331"/>
      <c r="CC161" s="322"/>
      <c r="CD161" s="322"/>
      <c r="CE161" s="322"/>
      <c r="CF161" s="322"/>
      <c r="CG161" s="331"/>
      <c r="CH161" s="375"/>
      <c r="CI161" s="162"/>
      <c r="CJ161"/>
      <c r="CK161"/>
      <c r="CL161"/>
      <c r="CM161"/>
      <c r="CN161"/>
      <c r="CO161"/>
      <c r="CP161" s="417"/>
    </row>
    <row r="162" spans="1:94" s="276" customFormat="1" ht="12.75" customHeight="1" x14ac:dyDescent="0.2">
      <c r="A162" s="587" t="s">
        <v>364</v>
      </c>
      <c r="B162" s="63"/>
      <c r="C162" s="63"/>
      <c r="D162" s="63"/>
      <c r="E162" s="63"/>
      <c r="F162" s="201"/>
      <c r="G162" s="617"/>
      <c r="H162" s="617"/>
      <c r="I162" s="617"/>
      <c r="J162" s="617"/>
      <c r="K162" s="201"/>
      <c r="L162" s="617"/>
      <c r="M162" s="617"/>
      <c r="N162" s="617"/>
      <c r="O162" s="617"/>
      <c r="P162" s="201"/>
      <c r="Q162" s="617"/>
      <c r="R162" s="617"/>
      <c r="S162" s="617"/>
      <c r="T162" s="617"/>
      <c r="U162" s="201"/>
      <c r="V162" s="617"/>
      <c r="W162" s="617"/>
      <c r="X162" s="617"/>
      <c r="Y162" s="617"/>
      <c r="Z162" s="220"/>
      <c r="AA162" s="617" t="e">
        <f t="shared" ref="AA162:AR162" si="605">AA160/V160-1</f>
        <v>#DIV/0!</v>
      </c>
      <c r="AB162" s="617">
        <f t="shared" si="605"/>
        <v>0.64845642201834841</v>
      </c>
      <c r="AC162" s="617">
        <f t="shared" si="605"/>
        <v>0.49203670886075956</v>
      </c>
      <c r="AD162" s="617">
        <f t="shared" si="605"/>
        <v>0.23880736654804235</v>
      </c>
      <c r="AE162" s="220">
        <f t="shared" si="605"/>
        <v>6.8285256410256512E-2</v>
      </c>
      <c r="AF162" s="617">
        <f t="shared" si="605"/>
        <v>0.20803180421145595</v>
      </c>
      <c r="AG162" s="617">
        <f t="shared" si="605"/>
        <v>0.44396644724251733</v>
      </c>
      <c r="AH162" s="617">
        <f t="shared" si="605"/>
        <v>0.80596644568405451</v>
      </c>
      <c r="AI162" s="617">
        <f t="shared" si="605"/>
        <v>1.2889647881111235</v>
      </c>
      <c r="AJ162" s="220">
        <f t="shared" si="605"/>
        <v>0.89437569193381439</v>
      </c>
      <c r="AK162" s="617">
        <f t="shared" si="605"/>
        <v>1.4323230654673984</v>
      </c>
      <c r="AL162" s="617">
        <f t="shared" si="605"/>
        <v>1.1485642109284848</v>
      </c>
      <c r="AM162" s="617">
        <f t="shared" si="605"/>
        <v>1.0060621176767821</v>
      </c>
      <c r="AN162" s="617">
        <f t="shared" si="605"/>
        <v>0.81626556402581363</v>
      </c>
      <c r="AO162" s="220">
        <f t="shared" si="605"/>
        <v>0.91620294546657699</v>
      </c>
      <c r="AP162" s="617">
        <f t="shared" si="605"/>
        <v>0.45921217256566083</v>
      </c>
      <c r="AQ162" s="617">
        <f t="shared" si="605"/>
        <v>0.13714958461549065</v>
      </c>
      <c r="AR162" s="617">
        <f t="shared" si="605"/>
        <v>-0.17359103763649608</v>
      </c>
      <c r="AS162" s="617">
        <f t="shared" ref="AS162:AW162" si="606">AS160/AN160-1</f>
        <v>-0.39780258571306537</v>
      </c>
      <c r="AT162" s="220">
        <f t="shared" si="606"/>
        <v>-4.5954065737553562E-2</v>
      </c>
      <c r="AU162" s="617">
        <f t="shared" si="606"/>
        <v>-0.4257224972069602</v>
      </c>
      <c r="AV162" s="617">
        <f t="shared" si="606"/>
        <v>-0.33421779238676075</v>
      </c>
      <c r="AW162" s="617">
        <f t="shared" si="606"/>
        <v>-0.20109701817123227</v>
      </c>
      <c r="AX162" s="617">
        <f t="shared" ref="AX162" si="607">AX160/AS160-1</f>
        <v>0.15192182821411215</v>
      </c>
      <c r="AY162" s="220">
        <f t="shared" ref="AY162:BI162" si="608">AY160/AT160-1</f>
        <v>-0.15351294826633854</v>
      </c>
      <c r="AZ162" s="617">
        <f t="shared" si="608"/>
        <v>0.26300814312849319</v>
      </c>
      <c r="BA162" s="617">
        <f t="shared" si="608"/>
        <v>0.12784072183872675</v>
      </c>
      <c r="BB162" s="617">
        <f t="shared" si="608"/>
        <v>-2.6773422584291717E-2</v>
      </c>
      <c r="BC162" s="617">
        <f t="shared" ref="BC162" si="609">BC160/AX160-1</f>
        <v>-0.2204401733240362</v>
      </c>
      <c r="BD162" s="220">
        <f t="shared" ref="BD162" si="610">BD160/AY160-1</f>
        <v>5.117183083231347E-2</v>
      </c>
      <c r="BE162" s="617">
        <f t="shared" si="608"/>
        <v>-0.18127416563177257</v>
      </c>
      <c r="BF162" s="617">
        <f t="shared" si="608"/>
        <v>-0.11104092817554589</v>
      </c>
      <c r="BG162" s="617">
        <f t="shared" si="608"/>
        <v>0.12178571499448343</v>
      </c>
      <c r="BH162" s="617">
        <f t="shared" si="608"/>
        <v>0.24973874512624117</v>
      </c>
      <c r="BI162" s="220">
        <f t="shared" si="608"/>
        <v>-8.1335648701132746E-2</v>
      </c>
      <c r="BJ162" s="63"/>
      <c r="BK162" s="63"/>
      <c r="BL162" s="63"/>
      <c r="BM162" s="63"/>
      <c r="BN162" s="220">
        <f>BN160/BI160-1</f>
        <v>0.10181237154786471</v>
      </c>
      <c r="BO162" s="63"/>
      <c r="BP162" s="63"/>
      <c r="BQ162" s="63"/>
      <c r="BR162" s="63"/>
      <c r="BS162" s="220">
        <f>BS160/BN160-1</f>
        <v>0.10000000000000009</v>
      </c>
      <c r="BT162" s="162"/>
      <c r="BU162" s="375"/>
      <c r="BV162" s="237"/>
      <c r="BW162" s="162"/>
      <c r="BX162" s="162"/>
      <c r="BY162" s="162"/>
      <c r="BZ162" s="531"/>
      <c r="CA162" s="334"/>
      <c r="CB162" s="334"/>
      <c r="CC162" s="334"/>
      <c r="CD162" s="334"/>
      <c r="CE162" s="334"/>
      <c r="CF162" s="334"/>
      <c r="CG162" s="334"/>
      <c r="CH162" s="375"/>
      <c r="CI162" s="162"/>
      <c r="CJ162"/>
      <c r="CK162"/>
      <c r="CL162"/>
      <c r="CM162"/>
      <c r="CN162"/>
      <c r="CO162"/>
      <c r="CP162" s="417"/>
    </row>
    <row r="163" spans="1:94" s="276" customFormat="1" ht="12.75" customHeight="1" x14ac:dyDescent="0.2">
      <c r="A163" s="613" t="s">
        <v>365</v>
      </c>
      <c r="B163" s="63"/>
      <c r="C163" s="63"/>
      <c r="D163" s="63"/>
      <c r="E163" s="63"/>
      <c r="F163" s="201"/>
      <c r="G163" s="860"/>
      <c r="H163" s="867"/>
      <c r="I163" s="860"/>
      <c r="J163" s="860"/>
      <c r="K163" s="201"/>
      <c r="L163" s="860"/>
      <c r="M163" s="867"/>
      <c r="N163" s="860"/>
      <c r="O163" s="860"/>
      <c r="P163" s="201"/>
      <c r="Q163" s="860"/>
      <c r="R163" s="867"/>
      <c r="S163" s="860"/>
      <c r="T163" s="860"/>
      <c r="U163" s="201"/>
      <c r="V163" s="860"/>
      <c r="W163" s="867">
        <v>11.99</v>
      </c>
      <c r="X163" s="860">
        <v>12.5</v>
      </c>
      <c r="Y163" s="860">
        <v>15.6</v>
      </c>
      <c r="Z163" s="174">
        <f>Y163</f>
        <v>15.6</v>
      </c>
      <c r="AA163" s="860">
        <v>20.069993</v>
      </c>
      <c r="AB163" s="867">
        <v>19.459992</v>
      </c>
      <c r="AC163" s="860">
        <v>17.079986999999999</v>
      </c>
      <c r="AD163" s="860">
        <v>17.730499999999999</v>
      </c>
      <c r="AE163" s="174">
        <f>AD163</f>
        <v>17.730499999999999</v>
      </c>
      <c r="AF163" s="860">
        <v>25.359985999999999</v>
      </c>
      <c r="AG163" s="867">
        <v>31.719985999999999</v>
      </c>
      <c r="AH163" s="860">
        <v>34.26999</v>
      </c>
      <c r="AI163" s="860">
        <v>45.409989000000003</v>
      </c>
      <c r="AJ163" s="174">
        <f>AI163</f>
        <v>45.409989000000003</v>
      </c>
      <c r="AK163" s="860">
        <v>59.399994</v>
      </c>
      <c r="AL163" s="867">
        <v>63.239991000000003</v>
      </c>
      <c r="AM163" s="860">
        <v>69.14</v>
      </c>
      <c r="AN163" s="860">
        <v>75.580001999999993</v>
      </c>
      <c r="AO163" s="174">
        <f>AN163</f>
        <v>75.580001999999993</v>
      </c>
      <c r="AP163" s="860">
        <v>77.360000999999997</v>
      </c>
      <c r="AQ163" s="867">
        <v>62.100006999999998</v>
      </c>
      <c r="AR163" s="860">
        <v>47.300004000000001</v>
      </c>
      <c r="AS163" s="860">
        <v>39.850006999999998</v>
      </c>
      <c r="AT163" s="174">
        <f>AS163</f>
        <v>39.850006999999998</v>
      </c>
      <c r="AU163" s="860">
        <v>47.979996</v>
      </c>
      <c r="AV163" s="867">
        <v>44.869996</v>
      </c>
      <c r="AW163" s="860">
        <v>42.529998999999997</v>
      </c>
      <c r="AX163" s="860">
        <v>57.860000999999997</v>
      </c>
      <c r="AY163" s="174">
        <f>AX163</f>
        <v>57.860000999999997</v>
      </c>
      <c r="AZ163" s="860">
        <v>53.070008000000001</v>
      </c>
      <c r="BA163" s="867">
        <v>51.649994</v>
      </c>
      <c r="BB163" s="860">
        <v>33.410004000000001</v>
      </c>
      <c r="BC163" s="860">
        <v>44.850006999999998</v>
      </c>
      <c r="BD163" s="174">
        <f>BC163</f>
        <v>44.850006999999998</v>
      </c>
      <c r="BE163" s="154">
        <f>BC163*(1+BE165)</f>
        <v>45.971257174999991</v>
      </c>
      <c r="BF163" s="154">
        <f t="shared" ref="BF163:BH163" si="611">BE163*(1+BF165)</f>
        <v>47.120538604374985</v>
      </c>
      <c r="BG163" s="154">
        <f t="shared" si="611"/>
        <v>48.298552069484359</v>
      </c>
      <c r="BH163" s="154">
        <f t="shared" si="611"/>
        <v>49.506015871221464</v>
      </c>
      <c r="BI163" s="174">
        <f>BH163</f>
        <v>49.506015871221464</v>
      </c>
      <c r="BJ163" s="63"/>
      <c r="BK163" s="63"/>
      <c r="BL163" s="63"/>
      <c r="BM163" s="63"/>
      <c r="BN163" s="174">
        <f>BI163*(1+BN165)</f>
        <v>54.456617458343615</v>
      </c>
      <c r="BO163" s="63"/>
      <c r="BP163" s="63"/>
      <c r="BQ163" s="63"/>
      <c r="BR163" s="63"/>
      <c r="BS163" s="174">
        <f>BN163*(1+BS165)</f>
        <v>59.902279204177979</v>
      </c>
      <c r="BT163" s="162"/>
      <c r="BU163" s="375"/>
      <c r="BV163" s="237"/>
      <c r="BW163" s="162"/>
      <c r="BX163" s="162"/>
      <c r="BY163" s="162"/>
      <c r="BZ163" s="531"/>
      <c r="CA163" s="334"/>
      <c r="CB163" s="334"/>
      <c r="CC163" s="334"/>
      <c r="CD163" s="334"/>
      <c r="CE163" s="334"/>
      <c r="CF163" s="334"/>
      <c r="CG163" s="334"/>
      <c r="CH163" s="375"/>
      <c r="CI163" s="162"/>
      <c r="CJ163"/>
      <c r="CK163"/>
      <c r="CL163"/>
      <c r="CM163"/>
      <c r="CN163"/>
      <c r="CO163"/>
      <c r="CP163" s="417"/>
    </row>
    <row r="164" spans="1:94" s="276" customFormat="1" ht="12.75" customHeight="1" x14ac:dyDescent="0.2">
      <c r="A164" s="615" t="s">
        <v>366</v>
      </c>
      <c r="B164" s="63"/>
      <c r="C164" s="63"/>
      <c r="D164" s="63"/>
      <c r="E164" s="63"/>
      <c r="F164" s="201"/>
      <c r="G164" s="228"/>
      <c r="H164" s="154"/>
      <c r="I164" s="154"/>
      <c r="J164" s="154"/>
      <c r="K164" s="201"/>
      <c r="L164" s="228"/>
      <c r="M164" s="154"/>
      <c r="N164" s="154"/>
      <c r="O164" s="154"/>
      <c r="P164" s="201"/>
      <c r="Q164" s="228"/>
      <c r="R164" s="154"/>
      <c r="S164" s="154"/>
      <c r="T164" s="154"/>
      <c r="U164" s="201"/>
      <c r="V164" s="228"/>
      <c r="W164" s="154">
        <f>W163-V163</f>
        <v>11.99</v>
      </c>
      <c r="X164" s="154">
        <f>X163-W163</f>
        <v>0.50999999999999979</v>
      </c>
      <c r="Y164" s="154">
        <f>Y163-X163</f>
        <v>3.0999999999999996</v>
      </c>
      <c r="Z164" s="174">
        <f>Z163-U163</f>
        <v>15.6</v>
      </c>
      <c r="AA164" s="228">
        <f>AA163-Z163</f>
        <v>4.4699930000000005</v>
      </c>
      <c r="AB164" s="154">
        <f>AB163-AA163</f>
        <v>-0.61000100000000046</v>
      </c>
      <c r="AC164" s="154">
        <f>AC163-AB163</f>
        <v>-2.3800050000000006</v>
      </c>
      <c r="AD164" s="154">
        <f>AD163-AC163</f>
        <v>0.65051300000000012</v>
      </c>
      <c r="AE164" s="174">
        <f>AE163-Z163</f>
        <v>2.1304999999999996</v>
      </c>
      <c r="AF164" s="228">
        <f>AF163-AE163</f>
        <v>7.629486</v>
      </c>
      <c r="AG164" s="154">
        <f>AG163-AF163</f>
        <v>6.3599999999999994</v>
      </c>
      <c r="AH164" s="154">
        <f>AH163-AG163</f>
        <v>2.5500040000000013</v>
      </c>
      <c r="AI164" s="154">
        <f>AI163-AH163</f>
        <v>11.139999000000003</v>
      </c>
      <c r="AJ164" s="174">
        <f>AJ163-AE163</f>
        <v>27.679489000000004</v>
      </c>
      <c r="AK164" s="228">
        <f>AK163-AJ163</f>
        <v>13.990004999999996</v>
      </c>
      <c r="AL164" s="154">
        <f>AL163-AK163</f>
        <v>3.8399970000000039</v>
      </c>
      <c r="AM164" s="154">
        <f>AM163-AL163</f>
        <v>5.9000089999999972</v>
      </c>
      <c r="AN164" s="154">
        <f>AN163-AM163</f>
        <v>6.4400019999999927</v>
      </c>
      <c r="AO164" s="174">
        <f>AO163-AJ163</f>
        <v>30.17001299999999</v>
      </c>
      <c r="AP164" s="228">
        <f>AP163-AO163</f>
        <v>1.7799990000000037</v>
      </c>
      <c r="AQ164" s="154">
        <f>AQ163-AP163</f>
        <v>-15.259993999999999</v>
      </c>
      <c r="AR164" s="154">
        <f>AR163-AQ163</f>
        <v>-14.800002999999997</v>
      </c>
      <c r="AS164" s="154">
        <f>AS163-AR163</f>
        <v>-7.4499970000000033</v>
      </c>
      <c r="AT164" s="174">
        <f>AT163-AO163</f>
        <v>-35.729994999999995</v>
      </c>
      <c r="AU164" s="228">
        <f>AU163-AT163</f>
        <v>8.1299890000000019</v>
      </c>
      <c r="AV164" s="154">
        <f>AV163-AU163</f>
        <v>-3.1099999999999994</v>
      </c>
      <c r="AW164" s="154">
        <f>AW163-AV163</f>
        <v>-2.3399970000000039</v>
      </c>
      <c r="AX164" s="154">
        <f>AX163-AW163</f>
        <v>15.330002</v>
      </c>
      <c r="AY164" s="174">
        <f>AY163-AT163</f>
        <v>18.009993999999999</v>
      </c>
      <c r="AZ164" s="228">
        <f>AZ163-AY163</f>
        <v>-4.7899929999999955</v>
      </c>
      <c r="BA164" s="154">
        <f>BA163-AZ163</f>
        <v>-1.4200140000000019</v>
      </c>
      <c r="BB164" s="154">
        <f>BB163-BA163</f>
        <v>-18.239989999999999</v>
      </c>
      <c r="BC164" s="154">
        <f>BC163-BB163</f>
        <v>11.440002999999997</v>
      </c>
      <c r="BD164" s="174">
        <f>BD163-AY163</f>
        <v>-13.009993999999999</v>
      </c>
      <c r="BE164" s="154">
        <f>BE163-BC163</f>
        <v>1.121250174999993</v>
      </c>
      <c r="BF164" s="154">
        <f t="shared" ref="BF164:BH164" si="612">BF163-BE163</f>
        <v>1.1492814293749944</v>
      </c>
      <c r="BG164" s="154">
        <f t="shared" si="612"/>
        <v>1.1780134651093732</v>
      </c>
      <c r="BH164" s="154">
        <f t="shared" si="612"/>
        <v>1.2074638017371058</v>
      </c>
      <c r="BI164" s="174">
        <f>BI163-BD163</f>
        <v>4.6560088712214664</v>
      </c>
      <c r="BJ164" s="63"/>
      <c r="BK164" s="63"/>
      <c r="BL164" s="63"/>
      <c r="BM164" s="63"/>
      <c r="BN164" s="174">
        <f>BN163-BI163</f>
        <v>4.9506015871221507</v>
      </c>
      <c r="BO164" s="63"/>
      <c r="BP164" s="63"/>
      <c r="BQ164" s="63"/>
      <c r="BR164" s="63"/>
      <c r="BS164" s="174">
        <f>BS163-BN163</f>
        <v>5.4456617458343644</v>
      </c>
      <c r="BT164" s="162"/>
      <c r="BU164" s="375"/>
      <c r="BV164" s="237"/>
      <c r="BW164" s="162"/>
      <c r="BX164" s="162"/>
      <c r="BY164" s="162"/>
      <c r="BZ164" s="531"/>
      <c r="CA164" s="331"/>
      <c r="CB164" s="331"/>
      <c r="CC164" s="331"/>
      <c r="CD164" s="331"/>
      <c r="CE164" s="331"/>
      <c r="CF164" s="331"/>
      <c r="CG164" s="331"/>
      <c r="CH164" s="375"/>
      <c r="CI164" s="162"/>
      <c r="CJ164"/>
      <c r="CK164"/>
      <c r="CL164"/>
      <c r="CM164"/>
      <c r="CN164"/>
      <c r="CO164"/>
      <c r="CP164" s="417"/>
    </row>
    <row r="165" spans="1:94" s="276" customFormat="1" ht="12.75" customHeight="1" x14ac:dyDescent="0.2">
      <c r="A165" s="614" t="s">
        <v>367</v>
      </c>
      <c r="B165" s="63"/>
      <c r="C165" s="63"/>
      <c r="D165" s="63"/>
      <c r="E165" s="63"/>
      <c r="F165" s="201"/>
      <c r="G165" s="616"/>
      <c r="H165" s="711"/>
      <c r="I165" s="617"/>
      <c r="J165" s="617"/>
      <c r="K165" s="201"/>
      <c r="L165" s="616"/>
      <c r="M165" s="711"/>
      <c r="N165" s="617"/>
      <c r="O165" s="617"/>
      <c r="P165" s="201"/>
      <c r="Q165" s="616"/>
      <c r="R165" s="711"/>
      <c r="S165" s="617"/>
      <c r="T165" s="617"/>
      <c r="U165" s="201"/>
      <c r="V165" s="616"/>
      <c r="W165" s="711"/>
      <c r="X165" s="617">
        <f>X163/W163-1</f>
        <v>4.2535446205171024E-2</v>
      </c>
      <c r="Y165" s="617">
        <f>Y163/X163-1</f>
        <v>0.248</v>
      </c>
      <c r="Z165" s="220"/>
      <c r="AA165" s="616">
        <f>AA163/Z163-1</f>
        <v>0.28653801282051283</v>
      </c>
      <c r="AB165" s="711">
        <f>AB163/AA163-1</f>
        <v>-3.0393682748170336E-2</v>
      </c>
      <c r="AC165" s="617">
        <f>AC163/AB163-1</f>
        <v>-0.12230246548919443</v>
      </c>
      <c r="AD165" s="617">
        <f>AD163/AC163-1</f>
        <v>3.8086270206177497E-2</v>
      </c>
      <c r="AE165" s="220">
        <f>AE163/Z163-1</f>
        <v>0.1365705128205128</v>
      </c>
      <c r="AF165" s="616">
        <f>AF163/AE163-1</f>
        <v>0.43030292433941519</v>
      </c>
      <c r="AG165" s="711">
        <f>AG163/AF163-1</f>
        <v>0.2507887819811887</v>
      </c>
      <c r="AH165" s="617">
        <f>AH163/AG163-1</f>
        <v>8.0391082139821934E-2</v>
      </c>
      <c r="AI165" s="617">
        <f>AI163/AH163-1</f>
        <v>0.32506572076618645</v>
      </c>
      <c r="AJ165" s="220">
        <f>AJ163/AE163-1</f>
        <v>1.5611228673754267</v>
      </c>
      <c r="AK165" s="616">
        <f>AK163/AJ163-1</f>
        <v>0.30808210501878763</v>
      </c>
      <c r="AL165" s="711">
        <f>AL163/AK163-1</f>
        <v>6.4646420671355731E-2</v>
      </c>
      <c r="AM165" s="617">
        <f>AM163/AL163-1</f>
        <v>9.32955382615408E-2</v>
      </c>
      <c r="AN165" s="617">
        <f>AN163/AM163-1</f>
        <v>9.3144373734451724E-2</v>
      </c>
      <c r="AO165" s="220">
        <f>AO163/AJ163-1</f>
        <v>0.66439155050224707</v>
      </c>
      <c r="AP165" s="616">
        <f>AP163/AO163-1</f>
        <v>2.3551190168002334E-2</v>
      </c>
      <c r="AQ165" s="711">
        <f>AQ163/AP163-1</f>
        <v>-0.19725948555765915</v>
      </c>
      <c r="AR165" s="617">
        <f>AR163/AQ163-1</f>
        <v>-0.23832530324835544</v>
      </c>
      <c r="AS165" s="617">
        <f>AS163/AR163-1</f>
        <v>-0.15750520866763573</v>
      </c>
      <c r="AT165" s="220">
        <f>AT163/AO163-1</f>
        <v>-0.47274403353416161</v>
      </c>
      <c r="AU165" s="616">
        <f>AU163/AT163-1</f>
        <v>0.20401474458963098</v>
      </c>
      <c r="AV165" s="711">
        <f>AV163/AU163-1</f>
        <v>-6.4818679851494809E-2</v>
      </c>
      <c r="AW165" s="617">
        <f>AW163/AV163-1</f>
        <v>-5.2150595244091491E-2</v>
      </c>
      <c r="AX165" s="617">
        <f>AX163/AW163-1</f>
        <v>0.36045150153894912</v>
      </c>
      <c r="AY165" s="220">
        <f>AY163/AT163-1</f>
        <v>0.45194456302103037</v>
      </c>
      <c r="AZ165" s="616">
        <f>AZ163/AY163-1</f>
        <v>-8.2785912845041221E-2</v>
      </c>
      <c r="BA165" s="711">
        <f>BA163/AZ163-1</f>
        <v>-2.6757373015658947E-2</v>
      </c>
      <c r="BB165" s="617">
        <f>BB163/BA163-1</f>
        <v>-0.35314602359876357</v>
      </c>
      <c r="BC165" s="617">
        <f>BC163/BB163-1</f>
        <v>0.34241250016013169</v>
      </c>
      <c r="BD165" s="220">
        <f>BD163/AY163-1</f>
        <v>-0.22485298608964766</v>
      </c>
      <c r="BE165" s="618">
        <v>2.5000000000000001E-2</v>
      </c>
      <c r="BF165" s="618">
        <v>2.5000000000000001E-2</v>
      </c>
      <c r="BG165" s="618">
        <v>2.5000000000000001E-2</v>
      </c>
      <c r="BH165" s="618">
        <v>2.5000000000000001E-2</v>
      </c>
      <c r="BI165" s="220">
        <f>BI163/BD163-1</f>
        <v>0.10381289062499954</v>
      </c>
      <c r="BJ165" s="63"/>
      <c r="BK165" s="63"/>
      <c r="BL165" s="63"/>
      <c r="BM165" s="63"/>
      <c r="BN165" s="835">
        <v>0.1</v>
      </c>
      <c r="BO165" s="63"/>
      <c r="BP165" s="63"/>
      <c r="BQ165" s="63"/>
      <c r="BR165" s="63"/>
      <c r="BS165" s="835">
        <v>0.1</v>
      </c>
      <c r="BT165" s="162"/>
      <c r="BU165" s="375"/>
      <c r="BV165" s="237"/>
      <c r="BW165" s="162"/>
      <c r="BX165" s="162"/>
      <c r="BY165" s="162"/>
      <c r="BZ165" s="531"/>
      <c r="CA165" s="331"/>
      <c r="CB165" s="331"/>
      <c r="CC165" s="331"/>
      <c r="CD165" s="331"/>
      <c r="CE165" s="331"/>
      <c r="CF165" s="331"/>
      <c r="CG165" s="331"/>
      <c r="CH165" s="375"/>
      <c r="CI165" s="162"/>
      <c r="CJ165"/>
      <c r="CK165"/>
      <c r="CL165"/>
      <c r="CM165"/>
      <c r="CN165"/>
      <c r="CO165"/>
      <c r="CP165" s="417"/>
    </row>
    <row r="166" spans="1:94" ht="12.75" customHeight="1" x14ac:dyDescent="0.2">
      <c r="A166" s="131" t="s">
        <v>172</v>
      </c>
      <c r="B166" s="70"/>
      <c r="C166" s="70"/>
      <c r="D166" s="70"/>
      <c r="E166" s="70"/>
      <c r="F166" s="202"/>
      <c r="G166" s="70"/>
      <c r="H166" s="70"/>
      <c r="I166" s="70"/>
      <c r="J166" s="70"/>
      <c r="K166" s="202"/>
      <c r="L166" s="70"/>
      <c r="M166" s="70"/>
      <c r="N166" s="70"/>
      <c r="O166" s="70"/>
      <c r="P166" s="202"/>
      <c r="Q166" s="70"/>
      <c r="R166" s="70"/>
      <c r="S166" s="70"/>
      <c r="T166" s="70"/>
      <c r="U166" s="202"/>
      <c r="V166" s="70"/>
      <c r="W166" s="70"/>
      <c r="X166" s="70"/>
      <c r="Y166" s="70"/>
      <c r="Z166" s="202"/>
      <c r="AA166" s="70"/>
      <c r="AB166" s="70"/>
      <c r="AC166" s="70"/>
      <c r="AD166" s="70"/>
      <c r="AE166" s="202"/>
      <c r="AF166" s="70"/>
      <c r="AG166" s="70"/>
      <c r="AH166" s="70"/>
      <c r="AI166" s="70"/>
      <c r="AJ166" s="202"/>
      <c r="AK166" s="70"/>
      <c r="AL166" s="70"/>
      <c r="AM166" s="70"/>
      <c r="AN166" s="70"/>
      <c r="AO166" s="202"/>
      <c r="AP166" s="70"/>
      <c r="AQ166" s="70"/>
      <c r="AR166" s="70"/>
      <c r="AS166" s="70"/>
      <c r="AT166" s="202"/>
      <c r="AU166" s="70"/>
      <c r="AV166" s="70"/>
      <c r="AW166" s="70"/>
      <c r="AX166" s="70"/>
      <c r="AY166" s="202"/>
      <c r="AZ166" s="70"/>
      <c r="BA166" s="70"/>
      <c r="BB166" s="70"/>
      <c r="BC166" s="70"/>
      <c r="BD166" s="202"/>
      <c r="BE166" s="70"/>
      <c r="BF166" s="70"/>
      <c r="BG166" s="70"/>
      <c r="BH166" s="70"/>
      <c r="BI166" s="202"/>
      <c r="BJ166" s="70"/>
      <c r="BK166" s="70"/>
      <c r="BL166" s="70"/>
      <c r="BM166" s="70"/>
      <c r="BN166" s="202"/>
      <c r="BO166" s="70"/>
      <c r="BP166" s="70"/>
      <c r="BQ166" s="70"/>
      <c r="BR166" s="70"/>
      <c r="BS166" s="202"/>
      <c r="BZ166" s="531"/>
      <c r="CA166" s="331"/>
      <c r="CB166" s="331"/>
      <c r="CC166" s="331"/>
      <c r="CD166" s="331"/>
      <c r="CE166" s="331"/>
      <c r="CF166" s="331"/>
      <c r="CG166" s="331"/>
      <c r="CP166" s="70"/>
    </row>
    <row r="167" spans="1:94" s="260" customFormat="1" ht="12.75" customHeight="1" x14ac:dyDescent="0.2">
      <c r="A167" s="148" t="s">
        <v>173</v>
      </c>
      <c r="B167" s="18"/>
      <c r="C167" s="18"/>
      <c r="D167" s="18"/>
      <c r="E167" s="18"/>
      <c r="F167" s="166">
        <f>K167</f>
        <v>0.376</v>
      </c>
      <c r="G167" s="18">
        <f>K167</f>
        <v>0.376</v>
      </c>
      <c r="H167" s="18">
        <f>K167</f>
        <v>0.376</v>
      </c>
      <c r="I167" s="18">
        <f>K167</f>
        <v>0.376</v>
      </c>
      <c r="J167" s="18">
        <f>K167</f>
        <v>0.376</v>
      </c>
      <c r="K167" s="166">
        <f>P167</f>
        <v>0.376</v>
      </c>
      <c r="L167" s="18">
        <f>P167</f>
        <v>0.376</v>
      </c>
      <c r="M167" s="18">
        <f>P167</f>
        <v>0.376</v>
      </c>
      <c r="N167" s="18">
        <f>P167</f>
        <v>0.376</v>
      </c>
      <c r="O167" s="18">
        <f>P167</f>
        <v>0.376</v>
      </c>
      <c r="P167" s="166">
        <f>U167</f>
        <v>0.376</v>
      </c>
      <c r="Q167" s="18">
        <f>U167</f>
        <v>0.376</v>
      </c>
      <c r="R167" s="18">
        <f>U167</f>
        <v>0.376</v>
      </c>
      <c r="S167" s="18">
        <f>U167</f>
        <v>0.376</v>
      </c>
      <c r="T167" s="18">
        <f>U167</f>
        <v>0.376</v>
      </c>
      <c r="U167" s="166">
        <f>Z167</f>
        <v>0.376</v>
      </c>
      <c r="V167" s="18">
        <f>Z167</f>
        <v>0.376</v>
      </c>
      <c r="W167" s="18">
        <f>Z167</f>
        <v>0.376</v>
      </c>
      <c r="X167" s="18">
        <f>Z167</f>
        <v>0.376</v>
      </c>
      <c r="Y167" s="18">
        <f>Z167</f>
        <v>0.376</v>
      </c>
      <c r="Z167" s="166">
        <f>AE167</f>
        <v>0.376</v>
      </c>
      <c r="AA167" s="18">
        <f>AB167</f>
        <v>0.376</v>
      </c>
      <c r="AB167" s="18">
        <f>AC167</f>
        <v>0.376</v>
      </c>
      <c r="AC167" s="18">
        <f>AD167</f>
        <v>0.376</v>
      </c>
      <c r="AD167" s="18">
        <f>AE167</f>
        <v>0.376</v>
      </c>
      <c r="AE167" s="166">
        <v>0.376</v>
      </c>
      <c r="AF167" s="18">
        <f>AG167</f>
        <v>0.376</v>
      </c>
      <c r="AG167" s="18">
        <f>AH167</f>
        <v>0.376</v>
      </c>
      <c r="AH167" s="18">
        <f>AI167</f>
        <v>0.376</v>
      </c>
      <c r="AI167" s="18">
        <f>AJ167</f>
        <v>0.376</v>
      </c>
      <c r="AJ167" s="166">
        <v>0.376</v>
      </c>
      <c r="AK167" s="18">
        <f>AL167</f>
        <v>0.376</v>
      </c>
      <c r="AL167" s="18">
        <f>AM167</f>
        <v>0.376</v>
      </c>
      <c r="AM167" s="18">
        <f>AN167</f>
        <v>0.376</v>
      </c>
      <c r="AN167" s="18">
        <f>AO167</f>
        <v>0.376</v>
      </c>
      <c r="AO167" s="166">
        <v>0.376</v>
      </c>
      <c r="AP167" s="18">
        <f>AQ167</f>
        <v>0.376</v>
      </c>
      <c r="AQ167" s="18">
        <f>AR167</f>
        <v>0.376</v>
      </c>
      <c r="AR167" s="18">
        <f>AS167</f>
        <v>0.376</v>
      </c>
      <c r="AS167" s="18">
        <f>AT167</f>
        <v>0.376</v>
      </c>
      <c r="AT167" s="166">
        <v>0.376</v>
      </c>
      <c r="AU167" s="18">
        <f>AV167</f>
        <v>0.376</v>
      </c>
      <c r="AV167" s="18">
        <f>AW167</f>
        <v>0.376</v>
      </c>
      <c r="AW167" s="18">
        <f>AX167</f>
        <v>0.376</v>
      </c>
      <c r="AX167" s="18">
        <f>AY167</f>
        <v>0.376</v>
      </c>
      <c r="AY167" s="490">
        <v>0.376</v>
      </c>
      <c r="AZ167" s="18">
        <f>BA167</f>
        <v>0.376</v>
      </c>
      <c r="BA167" s="18">
        <f>BB167</f>
        <v>0.376</v>
      </c>
      <c r="BB167" s="18">
        <f>BC167</f>
        <v>0.376</v>
      </c>
      <c r="BC167" s="18">
        <f>BD167</f>
        <v>0.376</v>
      </c>
      <c r="BD167" s="490">
        <v>0.376</v>
      </c>
      <c r="BE167" s="18">
        <v>0.21</v>
      </c>
      <c r="BF167" s="18">
        <v>0.21</v>
      </c>
      <c r="BG167" s="18">
        <v>0.21</v>
      </c>
      <c r="BH167" s="18">
        <v>0.21</v>
      </c>
      <c r="BI167" s="214">
        <v>0.21</v>
      </c>
      <c r="BJ167" s="18"/>
      <c r="BK167" s="18"/>
      <c r="BL167" s="18"/>
      <c r="BM167" s="18"/>
      <c r="BN167" s="214">
        <v>0.21</v>
      </c>
      <c r="BO167" s="18"/>
      <c r="BP167" s="18"/>
      <c r="BQ167" s="18"/>
      <c r="BR167" s="18"/>
      <c r="BS167" s="214">
        <v>0.21</v>
      </c>
      <c r="BT167" s="148"/>
      <c r="BU167" s="356"/>
      <c r="BV167" s="224"/>
      <c r="BW167" s="148"/>
      <c r="BX167" s="148"/>
      <c r="BY167" s="148"/>
      <c r="BZ167" s="531"/>
      <c r="CA167" s="334"/>
      <c r="CB167" s="334"/>
      <c r="CC167" s="334"/>
      <c r="CD167" s="334"/>
      <c r="CE167" s="334"/>
      <c r="CF167" s="334"/>
      <c r="CG167" s="334"/>
      <c r="CH167" s="356"/>
      <c r="CI167" s="148"/>
      <c r="CJ167"/>
      <c r="CK167"/>
      <c r="CL167"/>
      <c r="CM167"/>
      <c r="CN167"/>
      <c r="CO167"/>
      <c r="CP167" s="391"/>
    </row>
    <row r="168" spans="1:94" ht="12.75" customHeight="1" x14ac:dyDescent="0.2">
      <c r="A168" s="64" t="s">
        <v>174</v>
      </c>
      <c r="B168" s="35"/>
      <c r="C168" s="35"/>
      <c r="D168" s="35"/>
      <c r="E168" s="35"/>
      <c r="F168" s="170"/>
      <c r="G168" s="35"/>
      <c r="H168" s="35"/>
      <c r="I168" s="35"/>
      <c r="J168" s="35"/>
      <c r="K168" s="170"/>
      <c r="L168" s="35"/>
      <c r="M168" s="35"/>
      <c r="N168" s="35"/>
      <c r="O168" s="35"/>
      <c r="P168" s="170"/>
      <c r="Q168" s="35"/>
      <c r="R168" s="35"/>
      <c r="S168" s="35"/>
      <c r="T168" s="35"/>
      <c r="U168" s="170"/>
      <c r="V168" s="35"/>
      <c r="W168" s="35"/>
      <c r="X168" s="35"/>
      <c r="Y168" s="35"/>
      <c r="Z168" s="170"/>
      <c r="AA168" s="35"/>
      <c r="AB168" s="35"/>
      <c r="AC168" s="35"/>
      <c r="AD168" s="35"/>
      <c r="AE168" s="170"/>
      <c r="AF168" s="35"/>
      <c r="AG168" s="35"/>
      <c r="AH168" s="35"/>
      <c r="AI168" s="35"/>
      <c r="AJ168" s="170"/>
      <c r="AK168" s="35"/>
      <c r="AL168" s="35"/>
      <c r="AM168" s="35"/>
      <c r="AN168" s="35"/>
      <c r="AO168" s="170"/>
      <c r="AP168" s="35"/>
      <c r="AQ168" s="35"/>
      <c r="AR168" s="35"/>
      <c r="AS168" s="35"/>
      <c r="AT168" s="170"/>
      <c r="AU168" s="35"/>
      <c r="AV168" s="35"/>
      <c r="AW168" s="35"/>
      <c r="AX168" s="35"/>
      <c r="AY168" s="170"/>
      <c r="AZ168" s="35"/>
      <c r="BA168" s="35"/>
      <c r="BB168" s="35"/>
      <c r="BC168" s="35"/>
      <c r="BD168" s="170"/>
      <c r="BE168" s="35"/>
      <c r="BF168" s="35"/>
      <c r="BG168" s="35"/>
      <c r="BH168" s="35"/>
      <c r="BI168" s="170"/>
      <c r="BJ168" s="35"/>
      <c r="BK168" s="35"/>
      <c r="BL168" s="35"/>
      <c r="BM168" s="35"/>
      <c r="BN168" s="170"/>
      <c r="BO168" s="35"/>
      <c r="BP168" s="35"/>
      <c r="BQ168" s="35"/>
      <c r="BR168" s="35"/>
      <c r="BS168" s="170"/>
      <c r="BZ168" s="531"/>
      <c r="CA168" s="334"/>
      <c r="CB168" s="334"/>
      <c r="CC168" s="334"/>
      <c r="CD168" s="334"/>
      <c r="CE168" s="334"/>
      <c r="CF168" s="334"/>
      <c r="CG168" s="334"/>
    </row>
    <row r="169" spans="1:94" ht="12.75" customHeight="1" x14ac:dyDescent="0.2">
      <c r="A169" s="153" t="s">
        <v>175</v>
      </c>
      <c r="B169" s="35"/>
      <c r="C169" s="35"/>
      <c r="D169" s="35"/>
      <c r="E169" s="35"/>
      <c r="F169" s="170"/>
      <c r="G169" s="35"/>
      <c r="H169" s="35"/>
      <c r="I169" s="35"/>
      <c r="J169" s="35"/>
      <c r="K169" s="170"/>
      <c r="L169" s="35"/>
      <c r="M169" s="35"/>
      <c r="N169" s="35"/>
      <c r="O169" s="35"/>
      <c r="P169" s="170"/>
      <c r="Q169" s="35"/>
      <c r="R169" s="35"/>
      <c r="S169" s="35"/>
      <c r="T169" s="35"/>
      <c r="U169" s="170"/>
      <c r="V169" s="35"/>
      <c r="W169" s="35"/>
      <c r="X169" s="35"/>
      <c r="Y169" s="35"/>
      <c r="Z169" s="170"/>
      <c r="AA169" s="35"/>
      <c r="AB169" s="35"/>
      <c r="AC169" s="35"/>
      <c r="AD169" s="35"/>
      <c r="AE169" s="170"/>
      <c r="AF169" s="35"/>
      <c r="AG169" s="35"/>
      <c r="AH169" s="35"/>
      <c r="AI169" s="35"/>
      <c r="AJ169" s="170"/>
      <c r="AK169" s="35"/>
      <c r="AL169" s="35"/>
      <c r="AM169" s="35"/>
      <c r="AN169" s="35"/>
      <c r="AO169" s="170"/>
      <c r="AP169" s="35"/>
      <c r="AQ169" s="35"/>
      <c r="AR169" s="35"/>
      <c r="AS169" s="35"/>
      <c r="AT169" s="170"/>
      <c r="AU169" s="35"/>
      <c r="AV169" s="35"/>
      <c r="AW169" s="35"/>
      <c r="AX169" s="35"/>
      <c r="AY169" s="170"/>
      <c r="AZ169" s="35"/>
      <c r="BA169" s="35"/>
      <c r="BB169" s="35"/>
      <c r="BC169" s="35"/>
      <c r="BD169" s="170"/>
      <c r="BE169" s="35"/>
      <c r="BF169" s="35"/>
      <c r="BG169" s="35"/>
      <c r="BH169" s="35"/>
      <c r="BI169" s="170"/>
      <c r="BJ169" s="35"/>
      <c r="BK169" s="35"/>
      <c r="BL169" s="35"/>
      <c r="BM169" s="35"/>
      <c r="BN169" s="170"/>
      <c r="BO169" s="35"/>
      <c r="BP169" s="35"/>
      <c r="BQ169" s="35"/>
      <c r="BR169" s="35"/>
      <c r="BS169" s="170"/>
      <c r="BZ169" s="531"/>
      <c r="CA169" s="331"/>
      <c r="CB169" s="331"/>
      <c r="CC169" s="331"/>
      <c r="CD169" s="331"/>
      <c r="CE169" s="331"/>
      <c r="CF169" s="331"/>
      <c r="CG169" s="331"/>
    </row>
    <row r="170" spans="1:94" s="256" customFormat="1" ht="12.75" customHeight="1" x14ac:dyDescent="0.2">
      <c r="A170" s="65" t="s">
        <v>176</v>
      </c>
      <c r="B170" s="66"/>
      <c r="C170" s="66"/>
      <c r="D170" s="66"/>
      <c r="E170" s="66"/>
      <c r="F170" s="183"/>
      <c r="G170" s="861"/>
      <c r="H170" s="861"/>
      <c r="I170" s="861"/>
      <c r="J170" s="861"/>
      <c r="K170" s="183"/>
      <c r="L170" s="861"/>
      <c r="M170" s="861"/>
      <c r="N170" s="861"/>
      <c r="O170" s="861"/>
      <c r="P170" s="183"/>
      <c r="Q170" s="861"/>
      <c r="R170" s="861"/>
      <c r="S170" s="861"/>
      <c r="T170" s="861"/>
      <c r="U170" s="183"/>
      <c r="V170" s="861"/>
      <c r="W170" s="861"/>
      <c r="X170" s="861"/>
      <c r="Y170" s="861"/>
      <c r="Z170" s="183"/>
      <c r="AA170" s="861"/>
      <c r="AB170" s="861"/>
      <c r="AC170" s="861"/>
      <c r="AD170" s="861"/>
      <c r="AE170" s="183"/>
      <c r="AF170" s="861"/>
      <c r="AG170" s="861"/>
      <c r="AH170" s="861"/>
      <c r="AI170" s="861"/>
      <c r="AJ170" s="183"/>
      <c r="AK170" s="861"/>
      <c r="AL170" s="861"/>
      <c r="AM170" s="861"/>
      <c r="AN170" s="861"/>
      <c r="AO170" s="183"/>
      <c r="AP170" s="861"/>
      <c r="AQ170" s="861"/>
      <c r="AR170" s="861"/>
      <c r="AS170" s="861"/>
      <c r="AT170" s="183"/>
      <c r="AU170" s="861"/>
      <c r="AV170" s="861"/>
      <c r="AW170" s="861"/>
      <c r="AX170" s="861"/>
      <c r="AY170" s="183"/>
      <c r="AZ170" s="861"/>
      <c r="BA170" s="861"/>
      <c r="BB170" s="861"/>
      <c r="BC170" s="861"/>
      <c r="BD170" s="183"/>
      <c r="BE170" s="66"/>
      <c r="BF170" s="66"/>
      <c r="BG170" s="66"/>
      <c r="BH170" s="66"/>
      <c r="BI170" s="183"/>
      <c r="BJ170" s="66"/>
      <c r="BK170" s="66"/>
      <c r="BL170" s="66"/>
      <c r="BM170" s="66"/>
      <c r="BN170" s="183"/>
      <c r="BO170" s="66"/>
      <c r="BP170" s="66"/>
      <c r="BQ170" s="66"/>
      <c r="BR170" s="66"/>
      <c r="BS170" s="183"/>
      <c r="BT170" s="72"/>
      <c r="BU170" s="373"/>
      <c r="BV170" s="238"/>
      <c r="BW170" s="72"/>
      <c r="BX170" s="72"/>
      <c r="BY170" s="72"/>
      <c r="BZ170" s="531"/>
      <c r="CA170" s="331"/>
      <c r="CB170" s="331"/>
      <c r="CC170" s="331"/>
      <c r="CD170" s="331"/>
      <c r="CE170" s="331"/>
      <c r="CF170" s="331"/>
      <c r="CG170" s="331"/>
      <c r="CH170" s="373"/>
      <c r="CI170" s="72"/>
      <c r="CJ170"/>
      <c r="CK170"/>
      <c r="CL170"/>
      <c r="CM170"/>
      <c r="CN170"/>
      <c r="CO170"/>
      <c r="CP170" s="418"/>
    </row>
    <row r="171" spans="1:94" s="256" customFormat="1" ht="12.75" customHeight="1" x14ac:dyDescent="0.2">
      <c r="A171" s="65" t="s">
        <v>177</v>
      </c>
      <c r="B171" s="66"/>
      <c r="C171" s="66"/>
      <c r="D171" s="66"/>
      <c r="E171" s="66"/>
      <c r="F171" s="874"/>
      <c r="G171" s="861">
        <v>50.645000000000003</v>
      </c>
      <c r="H171" s="861">
        <v>0</v>
      </c>
      <c r="I171" s="861">
        <v>0</v>
      </c>
      <c r="J171" s="861">
        <v>0</v>
      </c>
      <c r="K171" s="183">
        <f>SUM(G171:J171)</f>
        <v>50.645000000000003</v>
      </c>
      <c r="L171" s="861"/>
      <c r="M171" s="861"/>
      <c r="N171" s="861"/>
      <c r="O171" s="861"/>
      <c r="P171" s="183">
        <f>SUM(L171:O171)</f>
        <v>0</v>
      </c>
      <c r="Q171" s="861"/>
      <c r="R171" s="861"/>
      <c r="S171" s="861"/>
      <c r="T171" s="861"/>
      <c r="U171" s="183">
        <f>SUM(Q171:T171)</f>
        <v>0</v>
      </c>
      <c r="V171" s="861"/>
      <c r="W171" s="861"/>
      <c r="X171" s="861">
        <v>-0.04</v>
      </c>
      <c r="Y171" s="861"/>
      <c r="Z171" s="183">
        <f>SUM(V171:Y171)</f>
        <v>-0.04</v>
      </c>
      <c r="AA171" s="861"/>
      <c r="AB171" s="861"/>
      <c r="AC171" s="861"/>
      <c r="AD171" s="861"/>
      <c r="AE171" s="183">
        <f>SUM(AA171:AD171)</f>
        <v>0</v>
      </c>
      <c r="AF171" s="861"/>
      <c r="AG171" s="861"/>
      <c r="AH171" s="861"/>
      <c r="AI171" s="861"/>
      <c r="AJ171" s="183">
        <f>SUM(AF171:AI171)</f>
        <v>0</v>
      </c>
      <c r="AK171" s="861"/>
      <c r="AL171" s="861"/>
      <c r="AM171" s="861"/>
      <c r="AN171" s="861">
        <v>-1.35</v>
      </c>
      <c r="AO171" s="183">
        <f>SUM(AK171:AN171)</f>
        <v>-1.35</v>
      </c>
      <c r="AP171" s="861"/>
      <c r="AQ171" s="861"/>
      <c r="AR171" s="861"/>
      <c r="AS171" s="861"/>
      <c r="AT171" s="183">
        <f>SUM(AP171:AS171)</f>
        <v>0</v>
      </c>
      <c r="AU171" s="861"/>
      <c r="AV171" s="861"/>
      <c r="AW171" s="861"/>
      <c r="AX171" s="861"/>
      <c r="AY171" s="183">
        <f>SUM(AU171:AX171)</f>
        <v>0</v>
      </c>
      <c r="AZ171" s="861"/>
      <c r="BA171" s="861"/>
      <c r="BB171" s="861"/>
      <c r="BC171" s="861"/>
      <c r="BD171" s="183">
        <f>SUM(AZ171:BC171)</f>
        <v>0</v>
      </c>
      <c r="BE171" s="66"/>
      <c r="BF171" s="66"/>
      <c r="BG171" s="66"/>
      <c r="BH171" s="66"/>
      <c r="BI171" s="183">
        <f>SUM(BE171:BH171)</f>
        <v>0</v>
      </c>
      <c r="BJ171" s="66"/>
      <c r="BK171" s="66"/>
      <c r="BL171" s="66"/>
      <c r="BM171" s="66"/>
      <c r="BN171" s="317">
        <v>0</v>
      </c>
      <c r="BO171" s="66"/>
      <c r="BP171" s="66"/>
      <c r="BQ171" s="66"/>
      <c r="BR171" s="66"/>
      <c r="BS171" s="317">
        <v>0</v>
      </c>
      <c r="BT171" s="72"/>
      <c r="BU171" s="373"/>
      <c r="BV171" s="238"/>
      <c r="BW171" s="72"/>
      <c r="BX171" s="72"/>
      <c r="BY171" s="72"/>
      <c r="BZ171" s="531"/>
      <c r="CA171" s="331"/>
      <c r="CB171" s="331"/>
      <c r="CC171" s="331"/>
      <c r="CD171" s="331"/>
      <c r="CE171" s="331"/>
      <c r="CF171" s="331"/>
      <c r="CG171" s="331"/>
      <c r="CH171" s="373"/>
      <c r="CI171" s="72"/>
      <c r="CJ171"/>
      <c r="CK171"/>
      <c r="CL171"/>
      <c r="CM171"/>
      <c r="CN171"/>
      <c r="CO171"/>
      <c r="CP171" s="418"/>
    </row>
    <row r="172" spans="1:94" s="256" customFormat="1" ht="12.75" customHeight="1" x14ac:dyDescent="0.2">
      <c r="A172" s="65" t="s">
        <v>178</v>
      </c>
      <c r="B172" s="66"/>
      <c r="C172" s="66"/>
      <c r="D172" s="66"/>
      <c r="E172" s="66"/>
      <c r="F172" s="874">
        <v>-0.627</v>
      </c>
      <c r="G172" s="861">
        <v>0.22800000000000001</v>
      </c>
      <c r="H172" s="861">
        <v>1.022</v>
      </c>
      <c r="I172" s="861">
        <v>-18.852</v>
      </c>
      <c r="J172" s="861">
        <v>-0.83499999999999996</v>
      </c>
      <c r="K172" s="183">
        <f>SUM(G172:J172)</f>
        <v>-18.437000000000001</v>
      </c>
      <c r="L172" s="861"/>
      <c r="M172" s="861"/>
      <c r="N172" s="861"/>
      <c r="O172" s="861"/>
      <c r="P172" s="183">
        <f>SUM(L172:O172)</f>
        <v>0</v>
      </c>
      <c r="Q172" s="861"/>
      <c r="R172" s="861"/>
      <c r="S172" s="861">
        <v>49.722999999999999</v>
      </c>
      <c r="T172" s="861"/>
      <c r="U172" s="183">
        <f>SUM(Q172:T172)</f>
        <v>49.722999999999999</v>
      </c>
      <c r="V172" s="861"/>
      <c r="W172" s="861"/>
      <c r="X172" s="861">
        <v>-1.7999999999999999E-2</v>
      </c>
      <c r="Y172" s="861"/>
      <c r="Z172" s="183">
        <f>SUM(V172:Y172)</f>
        <v>-1.7999999999999999E-2</v>
      </c>
      <c r="AA172" s="861"/>
      <c r="AB172" s="861"/>
      <c r="AC172" s="861"/>
      <c r="AD172" s="861"/>
      <c r="AE172" s="183">
        <f>SUM(AA172:AD172)</f>
        <v>0</v>
      </c>
      <c r="AF172" s="861"/>
      <c r="AG172" s="861"/>
      <c r="AH172" s="861"/>
      <c r="AI172" s="861"/>
      <c r="AJ172" s="183">
        <f>SUM(AF172:AI172)</f>
        <v>0</v>
      </c>
      <c r="AK172" s="861"/>
      <c r="AL172" s="861"/>
      <c r="AM172" s="861"/>
      <c r="AN172" s="861"/>
      <c r="AO172" s="183">
        <f>SUM(AK172:AN172)</f>
        <v>0</v>
      </c>
      <c r="AP172" s="861"/>
      <c r="AQ172" s="861"/>
      <c r="AR172" s="861"/>
      <c r="AS172" s="861"/>
      <c r="AT172" s="183">
        <f>SUM(AP172:AS172)</f>
        <v>0</v>
      </c>
      <c r="AU172" s="861"/>
      <c r="AV172" s="861"/>
      <c r="AW172" s="861"/>
      <c r="AX172" s="861"/>
      <c r="AY172" s="183">
        <f>SUM(AU172:AX172)</f>
        <v>0</v>
      </c>
      <c r="AZ172" s="861"/>
      <c r="BA172" s="861"/>
      <c r="BB172" s="861"/>
      <c r="BC172" s="861">
        <f>250.338-BC147</f>
        <v>199.96199999999999</v>
      </c>
      <c r="BD172" s="183">
        <f>SUM(AZ172:BC172)</f>
        <v>199.96199999999999</v>
      </c>
      <c r="BE172" s="66"/>
      <c r="BF172" s="66"/>
      <c r="BG172" s="66"/>
      <c r="BH172" s="66"/>
      <c r="BI172" s="183">
        <f>SUM(BE172:BH172)</f>
        <v>0</v>
      </c>
      <c r="BJ172" s="66"/>
      <c r="BK172" s="66"/>
      <c r="BL172" s="66"/>
      <c r="BM172" s="66"/>
      <c r="BN172" s="317">
        <v>0</v>
      </c>
      <c r="BO172" s="66"/>
      <c r="BP172" s="66"/>
      <c r="BQ172" s="66"/>
      <c r="BR172" s="66"/>
      <c r="BS172" s="317">
        <v>0</v>
      </c>
      <c r="BT172" s="72"/>
      <c r="BU172" s="373"/>
      <c r="BV172" s="238"/>
      <c r="BW172" s="72"/>
      <c r="BX172" s="72"/>
      <c r="BY172" s="72"/>
      <c r="BZ172" s="531"/>
      <c r="CA172" s="331"/>
      <c r="CB172" s="331"/>
      <c r="CC172" s="331"/>
      <c r="CD172" s="331"/>
      <c r="CE172" s="331"/>
      <c r="CF172" s="331"/>
      <c r="CG172" s="331"/>
      <c r="CH172" s="373"/>
      <c r="CI172" s="72"/>
      <c r="CJ172"/>
      <c r="CK172"/>
      <c r="CL172"/>
      <c r="CM172"/>
      <c r="CN172"/>
      <c r="CO172"/>
      <c r="CP172" s="418"/>
    </row>
    <row r="173" spans="1:94" s="256" customFormat="1" ht="12.75" customHeight="1" x14ac:dyDescent="0.2">
      <c r="A173" s="65" t="s">
        <v>179</v>
      </c>
      <c r="B173" s="66"/>
      <c r="C173" s="66"/>
      <c r="D173" s="66"/>
      <c r="E173" s="66"/>
      <c r="F173" s="874">
        <v>10.3</v>
      </c>
      <c r="G173" s="861">
        <v>9.9321900000000003</v>
      </c>
      <c r="H173" s="861">
        <v>34.051298000000003</v>
      </c>
      <c r="I173" s="861">
        <v>-54.161214999999999</v>
      </c>
      <c r="J173" s="861">
        <v>0.30449999999999999</v>
      </c>
      <c r="K173" s="183">
        <f>SUM(G173:J173)</f>
        <v>-9.8732269999999964</v>
      </c>
      <c r="L173" s="861">
        <f>18.959-L147</f>
        <v>-0.19300000000000139</v>
      </c>
      <c r="M173" s="861">
        <f>41.526-L176-M147</f>
        <v>1.899999999996993E-2</v>
      </c>
      <c r="N173" s="861">
        <f>14.658-N147</f>
        <v>-1.9491799999999611</v>
      </c>
      <c r="O173" s="861">
        <f>83.693-N176-M176-L176-O147</f>
        <v>22.191999999999975</v>
      </c>
      <c r="P173" s="183">
        <f>SUM(L173:O173)</f>
        <v>20.068819999999981</v>
      </c>
      <c r="Q173" s="861">
        <f>11.276-Q147</f>
        <v>-3.3399999999999981</v>
      </c>
      <c r="R173" s="861">
        <f>-2.754-Q176-R147</f>
        <v>-17.639999999999997</v>
      </c>
      <c r="S173" s="861">
        <v>2.5939999999999999</v>
      </c>
      <c r="T173" s="861">
        <v>-1</v>
      </c>
      <c r="U173" s="221">
        <f>SUM(Q173:T173)</f>
        <v>-19.385999999999996</v>
      </c>
      <c r="V173" s="861">
        <v>-9.11</v>
      </c>
      <c r="W173" s="861">
        <v>-0.71</v>
      </c>
      <c r="X173" s="861">
        <v>-0.96600000000000541</v>
      </c>
      <c r="Y173" s="861">
        <v>0.114</v>
      </c>
      <c r="Z173" s="183">
        <f>SUM(V173:Y173)</f>
        <v>-10.672000000000004</v>
      </c>
      <c r="AA173" s="861">
        <v>-0.41100000000001646</v>
      </c>
      <c r="AB173" s="861">
        <v>-0.73299999999999998</v>
      </c>
      <c r="AC173" s="861">
        <f>8.288+0.921+(-18.859+15.368)</f>
        <v>5.7179999999999982</v>
      </c>
      <c r="AD173" s="861">
        <f>0.414-0.474+0.105+(12.414-12.431)</f>
        <v>2.8000000000000538E-2</v>
      </c>
      <c r="AE173" s="183">
        <f>SUM(AA173:AD173)</f>
        <v>4.6019999999999825</v>
      </c>
      <c r="AF173" s="861">
        <f>-0.17-0.023+(20.506-19.13)-3.381</f>
        <v>-2.1979999999999986</v>
      </c>
      <c r="AG173" s="861">
        <v>-3.7</v>
      </c>
      <c r="AH173" s="861">
        <v>3.1549999999999998</v>
      </c>
      <c r="AI173" s="861">
        <v>2.1800000000000002</v>
      </c>
      <c r="AJ173" s="183">
        <f>SUM(AF173:AI173)</f>
        <v>-0.56299999999999883</v>
      </c>
      <c r="AK173" s="861">
        <f>-0.15-0.009</f>
        <v>-0.159</v>
      </c>
      <c r="AL173" s="861">
        <v>-1.6159999999999997</v>
      </c>
      <c r="AM173" s="861">
        <v>-6.944</v>
      </c>
      <c r="AN173" s="861">
        <v>-1.5840000000000001</v>
      </c>
      <c r="AO173" s="183">
        <f>SUM(AK173:AN173)</f>
        <v>-10.302999999999999</v>
      </c>
      <c r="AP173" s="861"/>
      <c r="AQ173" s="861"/>
      <c r="AR173" s="861"/>
      <c r="AS173" s="861">
        <f>-73.34+74.4</f>
        <v>1.0600000000000023</v>
      </c>
      <c r="AT173" s="183">
        <f>SUM(AP173:AS173)</f>
        <v>1.0600000000000023</v>
      </c>
      <c r="AU173" s="861"/>
      <c r="AV173" s="861"/>
      <c r="AW173" s="861"/>
      <c r="AX173" s="861"/>
      <c r="AY173" s="183">
        <f>SUM(AU173:AX173)</f>
        <v>0</v>
      </c>
      <c r="AZ173" s="861"/>
      <c r="BA173" s="861"/>
      <c r="BB173" s="861"/>
      <c r="BC173" s="861"/>
      <c r="BD173" s="183">
        <f>SUM(AZ173:BC173)</f>
        <v>0</v>
      </c>
      <c r="BE173" s="136"/>
      <c r="BF173" s="136"/>
      <c r="BG173" s="136"/>
      <c r="BH173" s="136"/>
      <c r="BI173" s="183">
        <f>SUM(BE173:BH173)</f>
        <v>0</v>
      </c>
      <c r="BJ173" s="812"/>
      <c r="BK173" s="812"/>
      <c r="BL173" s="136"/>
      <c r="BM173" s="136"/>
      <c r="BN173" s="317">
        <v>0</v>
      </c>
      <c r="BO173" s="812"/>
      <c r="BP173" s="812"/>
      <c r="BQ173" s="136"/>
      <c r="BR173" s="136"/>
      <c r="BS173" s="317">
        <v>0</v>
      </c>
      <c r="BT173" s="72"/>
      <c r="BU173" s="373"/>
      <c r="BV173" s="238"/>
      <c r="BW173" s="72"/>
      <c r="BX173" s="72"/>
      <c r="BY173" s="72"/>
      <c r="BZ173" s="531"/>
      <c r="CA173" s="331"/>
      <c r="CB173" s="331"/>
      <c r="CC173" s="331"/>
      <c r="CD173" s="331"/>
      <c r="CE173" s="331"/>
      <c r="CF173" s="331"/>
      <c r="CG173" s="331"/>
      <c r="CH173" s="373"/>
      <c r="CI173" s="72"/>
      <c r="CJ173"/>
      <c r="CK173"/>
      <c r="CL173"/>
      <c r="CM173"/>
      <c r="CN173"/>
      <c r="CO173"/>
      <c r="CP173" s="418"/>
    </row>
    <row r="174" spans="1:94" s="256" customFormat="1" ht="12.75" customHeight="1" x14ac:dyDescent="0.2">
      <c r="A174" s="67" t="s">
        <v>180</v>
      </c>
      <c r="B174" s="68"/>
      <c r="C174" s="68"/>
      <c r="D174" s="68"/>
      <c r="E174" s="68"/>
      <c r="F174" s="203">
        <f t="shared" ref="F174:P174" si="613">SUM(F170:F173)</f>
        <v>9.673</v>
      </c>
      <c r="G174" s="68">
        <f t="shared" si="613"/>
        <v>60.805190000000003</v>
      </c>
      <c r="H174" s="68">
        <f t="shared" si="613"/>
        <v>35.073298000000001</v>
      </c>
      <c r="I174" s="68">
        <f t="shared" si="613"/>
        <v>-73.013215000000002</v>
      </c>
      <c r="J174" s="68">
        <f t="shared" si="613"/>
        <v>-0.53049999999999997</v>
      </c>
      <c r="K174" s="203">
        <f t="shared" si="613"/>
        <v>22.334773000000002</v>
      </c>
      <c r="L174" s="68">
        <f t="shared" si="613"/>
        <v>-0.19300000000000139</v>
      </c>
      <c r="M174" s="68">
        <f t="shared" si="613"/>
        <v>1.899999999996993E-2</v>
      </c>
      <c r="N174" s="68">
        <f t="shared" si="613"/>
        <v>-1.9491799999999611</v>
      </c>
      <c r="O174" s="68">
        <f t="shared" si="613"/>
        <v>22.191999999999975</v>
      </c>
      <c r="P174" s="203">
        <f t="shared" si="613"/>
        <v>20.068819999999981</v>
      </c>
      <c r="Q174" s="68">
        <f t="shared" ref="Q174:Z174" si="614">SUM(Q170:Q173)</f>
        <v>-3.3399999999999981</v>
      </c>
      <c r="R174" s="68">
        <f t="shared" si="614"/>
        <v>-17.639999999999997</v>
      </c>
      <c r="S174" s="68">
        <f t="shared" si="614"/>
        <v>52.317</v>
      </c>
      <c r="T174" s="68">
        <f t="shared" si="614"/>
        <v>-1</v>
      </c>
      <c r="U174" s="203">
        <f t="shared" si="614"/>
        <v>30.337000000000003</v>
      </c>
      <c r="V174" s="68">
        <f t="shared" si="614"/>
        <v>-9.11</v>
      </c>
      <c r="W174" s="68">
        <f t="shared" si="614"/>
        <v>-0.71</v>
      </c>
      <c r="X174" s="68">
        <f t="shared" si="614"/>
        <v>-1.0240000000000054</v>
      </c>
      <c r="Y174" s="68">
        <f t="shared" si="614"/>
        <v>0.114</v>
      </c>
      <c r="Z174" s="203">
        <f t="shared" si="614"/>
        <v>-10.730000000000004</v>
      </c>
      <c r="AA174" s="68">
        <f t="shared" ref="AA174:AL174" si="615">SUM(AA170:AA173)</f>
        <v>-0.41100000000001646</v>
      </c>
      <c r="AB174" s="68">
        <f t="shared" si="615"/>
        <v>-0.73299999999999998</v>
      </c>
      <c r="AC174" s="68">
        <f t="shared" si="615"/>
        <v>5.7179999999999982</v>
      </c>
      <c r="AD174" s="68">
        <f t="shared" si="615"/>
        <v>2.8000000000000538E-2</v>
      </c>
      <c r="AE174" s="203">
        <f t="shared" si="615"/>
        <v>4.6019999999999825</v>
      </c>
      <c r="AF174" s="68">
        <f t="shared" si="615"/>
        <v>-2.1979999999999986</v>
      </c>
      <c r="AG174" s="68">
        <f t="shared" si="615"/>
        <v>-3.7</v>
      </c>
      <c r="AH174" s="68">
        <f t="shared" si="615"/>
        <v>3.1549999999999998</v>
      </c>
      <c r="AI174" s="68">
        <f t="shared" si="615"/>
        <v>2.1800000000000002</v>
      </c>
      <c r="AJ174" s="203">
        <f t="shared" si="615"/>
        <v>-0.56299999999999883</v>
      </c>
      <c r="AK174" s="68">
        <f t="shared" si="615"/>
        <v>-0.159</v>
      </c>
      <c r="AL174" s="68">
        <f t="shared" si="615"/>
        <v>-1.6159999999999997</v>
      </c>
      <c r="AM174" s="68">
        <f>SUM(AM170:AM173)</f>
        <v>-6.944</v>
      </c>
      <c r="AN174" s="68">
        <f>SUM(AN170:AN173)</f>
        <v>-2.9340000000000002</v>
      </c>
      <c r="AO174" s="203">
        <f>SUM(AO170:AO173)</f>
        <v>-11.652999999999999</v>
      </c>
      <c r="AP174" s="68">
        <f>SUM(AP170:AP173)</f>
        <v>0</v>
      </c>
      <c r="AQ174" s="68">
        <v>0</v>
      </c>
      <c r="AR174" s="68">
        <f t="shared" ref="AR174:AT174" si="616">SUM(AR170:AR173)</f>
        <v>0</v>
      </c>
      <c r="AS174" s="68">
        <f t="shared" si="616"/>
        <v>1.0600000000000023</v>
      </c>
      <c r="AT174" s="203">
        <f t="shared" si="616"/>
        <v>1.0600000000000023</v>
      </c>
      <c r="AU174" s="68">
        <f>SUM(AU170:AU173)</f>
        <v>0</v>
      </c>
      <c r="AV174" s="68">
        <f>SUM(AV170:AV173)</f>
        <v>0</v>
      </c>
      <c r="AW174" s="68">
        <f t="shared" ref="AW174:AY174" si="617">SUM(AW170:AW173)</f>
        <v>0</v>
      </c>
      <c r="AX174" s="68">
        <f t="shared" si="617"/>
        <v>0</v>
      </c>
      <c r="AY174" s="203">
        <f t="shared" si="617"/>
        <v>0</v>
      </c>
      <c r="AZ174" s="68">
        <f>SUM(AZ170:AZ173)</f>
        <v>0</v>
      </c>
      <c r="BA174" s="68">
        <v>0</v>
      </c>
      <c r="BB174" s="68">
        <f t="shared" ref="BB174:BD174" si="618">SUM(BB170:BB173)</f>
        <v>0</v>
      </c>
      <c r="BC174" s="68">
        <f t="shared" si="618"/>
        <v>199.96199999999999</v>
      </c>
      <c r="BD174" s="203">
        <f t="shared" si="618"/>
        <v>199.96199999999999</v>
      </c>
      <c r="BE174" s="68">
        <f t="shared" ref="BE174:BI174" si="619">SUM(BE170:BE173)</f>
        <v>0</v>
      </c>
      <c r="BF174" s="68">
        <f t="shared" si="619"/>
        <v>0</v>
      </c>
      <c r="BG174" s="68">
        <f t="shared" si="619"/>
        <v>0</v>
      </c>
      <c r="BH174" s="68">
        <f t="shared" si="619"/>
        <v>0</v>
      </c>
      <c r="BI174" s="203">
        <f t="shared" si="619"/>
        <v>0</v>
      </c>
      <c r="BJ174" s="68"/>
      <c r="BK174" s="68"/>
      <c r="BL174" s="68"/>
      <c r="BM174" s="68"/>
      <c r="BN174" s="203">
        <f>SUM(BN170:BN173)</f>
        <v>0</v>
      </c>
      <c r="BO174" s="68"/>
      <c r="BP174" s="68"/>
      <c r="BQ174" s="68"/>
      <c r="BR174" s="68"/>
      <c r="BS174" s="203">
        <f>SUM(BS170:BS173)</f>
        <v>0</v>
      </c>
      <c r="BT174" s="72"/>
      <c r="BU174" s="373"/>
      <c r="BV174" s="238"/>
      <c r="BW174" s="72"/>
      <c r="BX174" s="72"/>
      <c r="BY174" s="72"/>
      <c r="BZ174" s="531"/>
      <c r="CA174" s="331"/>
      <c r="CB174" s="331"/>
      <c r="CC174" s="331"/>
      <c r="CD174" s="331"/>
      <c r="CE174" s="331"/>
      <c r="CF174" s="331"/>
      <c r="CG174" s="331"/>
      <c r="CH174" s="373"/>
      <c r="CI174" s="72"/>
      <c r="CJ174"/>
      <c r="CK174"/>
      <c r="CL174"/>
      <c r="CM174"/>
      <c r="CN174"/>
      <c r="CO174"/>
      <c r="CP174" s="419"/>
    </row>
    <row r="175" spans="1:94" ht="12.75" customHeight="1" x14ac:dyDescent="0.2">
      <c r="A175" s="580" t="s">
        <v>181</v>
      </c>
      <c r="B175" s="35"/>
      <c r="C175" s="35"/>
      <c r="D175" s="35"/>
      <c r="E175" s="35"/>
      <c r="F175" s="170"/>
      <c r="G175" s="35"/>
      <c r="H175" s="35"/>
      <c r="I175" s="35"/>
      <c r="J175" s="35"/>
      <c r="K175" s="170"/>
      <c r="L175" s="35"/>
      <c r="M175" s="35"/>
      <c r="N175" s="35"/>
      <c r="O175" s="35"/>
      <c r="P175" s="170"/>
      <c r="Q175" s="35"/>
      <c r="R175" s="35"/>
      <c r="S175" s="35"/>
      <c r="T175" s="35"/>
      <c r="U175" s="170"/>
      <c r="V175" s="35"/>
      <c r="W175" s="35"/>
      <c r="X175" s="35"/>
      <c r="Y175" s="35"/>
      <c r="Z175" s="170"/>
      <c r="AA175" s="35"/>
      <c r="AB175" s="35"/>
      <c r="AC175" s="35"/>
      <c r="AD175" s="35"/>
      <c r="AE175" s="170"/>
      <c r="AF175" s="35"/>
      <c r="AG175" s="35"/>
      <c r="AH175" s="35"/>
      <c r="AI175" s="35"/>
      <c r="AJ175" s="183"/>
      <c r="AK175" s="35"/>
      <c r="AL175" s="35"/>
      <c r="AM175" s="35"/>
      <c r="AN175" s="35"/>
      <c r="AO175" s="183"/>
      <c r="AP175" s="35"/>
      <c r="AQ175" s="35"/>
      <c r="AR175" s="35"/>
      <c r="AS175" s="35"/>
      <c r="AT175" s="183"/>
      <c r="AU175" s="35"/>
      <c r="AV175" s="35"/>
      <c r="AW175" s="35"/>
      <c r="AX175" s="35"/>
      <c r="AY175" s="183"/>
      <c r="AZ175" s="35"/>
      <c r="BA175" s="35"/>
      <c r="BB175" s="35"/>
      <c r="BC175" s="35"/>
      <c r="BD175" s="183"/>
      <c r="BE175" s="35"/>
      <c r="BF175" s="35"/>
      <c r="BG175" s="35"/>
      <c r="BH175" s="35"/>
      <c r="BI175" s="170"/>
      <c r="BJ175" s="35"/>
      <c r="BK175" s="35"/>
      <c r="BL175" s="35"/>
      <c r="BM175" s="35"/>
      <c r="BN175" s="170"/>
      <c r="BO175" s="35"/>
      <c r="BP175" s="35"/>
      <c r="BQ175" s="35"/>
      <c r="BR175" s="35"/>
      <c r="BS175" s="170"/>
      <c r="BZ175" s="531"/>
    </row>
    <row r="176" spans="1:94" s="256" customFormat="1" ht="12.75" customHeight="1" x14ac:dyDescent="0.2">
      <c r="A176" s="65" t="s">
        <v>182</v>
      </c>
      <c r="B176" s="66"/>
      <c r="C176" s="66"/>
      <c r="D176" s="66"/>
      <c r="E176" s="66"/>
      <c r="F176" s="183">
        <f t="shared" ref="F176:Y176" si="620">F147+F174</f>
        <v>0.15799999999998882</v>
      </c>
      <c r="G176" s="66">
        <f t="shared" si="620"/>
        <v>55.372000000000028</v>
      </c>
      <c r="H176" s="66">
        <f t="shared" si="620"/>
        <v>18.457000000000022</v>
      </c>
      <c r="I176" s="66">
        <f t="shared" si="620"/>
        <v>-49.111999999999988</v>
      </c>
      <c r="J176" s="66">
        <f t="shared" si="620"/>
        <v>10.880000000000008</v>
      </c>
      <c r="K176" s="183">
        <f t="shared" si="620"/>
        <v>35.597000000000072</v>
      </c>
      <c r="L176" s="66">
        <f t="shared" si="620"/>
        <v>18.959</v>
      </c>
      <c r="M176" s="66">
        <f t="shared" si="620"/>
        <v>22.567000000000004</v>
      </c>
      <c r="N176" s="66">
        <f t="shared" si="620"/>
        <v>14.657999999999999</v>
      </c>
      <c r="O176" s="66">
        <f t="shared" si="620"/>
        <v>27.50899999999999</v>
      </c>
      <c r="P176" s="183">
        <f t="shared" si="620"/>
        <v>83.69299999999987</v>
      </c>
      <c r="Q176" s="66">
        <f t="shared" si="620"/>
        <v>11.276</v>
      </c>
      <c r="R176" s="66">
        <f t="shared" si="620"/>
        <v>-14.030000000000001</v>
      </c>
      <c r="S176" s="66">
        <f t="shared" si="620"/>
        <v>63.152000000000001</v>
      </c>
      <c r="T176" s="66">
        <f t="shared" si="620"/>
        <v>12.081000000000035</v>
      </c>
      <c r="U176" s="183">
        <f t="shared" si="620"/>
        <v>72.479000000000184</v>
      </c>
      <c r="V176" s="66">
        <f t="shared" si="620"/>
        <v>8.2969999999999899</v>
      </c>
      <c r="W176" s="66">
        <f t="shared" si="620"/>
        <v>26.093999999999991</v>
      </c>
      <c r="X176" s="66">
        <f t="shared" si="620"/>
        <v>27.573000000000004</v>
      </c>
      <c r="Y176" s="66">
        <f t="shared" si="620"/>
        <v>23.990999999999982</v>
      </c>
      <c r="Z176" s="183">
        <f>SUM(V176:Y176)</f>
        <v>85.95499999999997</v>
      </c>
      <c r="AA176" s="66">
        <f>AA147+AA174</f>
        <v>23.419000000000004</v>
      </c>
      <c r="AB176" s="66">
        <f>AB147+AB174</f>
        <v>34.591000000000001</v>
      </c>
      <c r="AC176" s="66">
        <f>AC147+AC174</f>
        <v>30.883999999999972</v>
      </c>
      <c r="AD176" s="66">
        <f>AD147+AD174</f>
        <v>19.566000000000034</v>
      </c>
      <c r="AE176" s="183">
        <f>SUM(AA176:AD176)</f>
        <v>108.46000000000001</v>
      </c>
      <c r="AF176" s="66">
        <f t="shared" ref="AF176:AQ176" si="621">AF147+AF174</f>
        <v>30.553999999999995</v>
      </c>
      <c r="AG176" s="66">
        <f t="shared" si="621"/>
        <v>42.067999999999991</v>
      </c>
      <c r="AH176" s="66">
        <f t="shared" si="621"/>
        <v>61.103000000000023</v>
      </c>
      <c r="AI176" s="66">
        <f t="shared" si="621"/>
        <v>43.192999999999955</v>
      </c>
      <c r="AJ176" s="183">
        <f t="shared" si="621"/>
        <v>176.91800000000009</v>
      </c>
      <c r="AK176" s="66">
        <f t="shared" si="621"/>
        <v>37.705999999999968</v>
      </c>
      <c r="AL176" s="66">
        <f t="shared" si="621"/>
        <v>64.849000000000018</v>
      </c>
      <c r="AM176" s="66">
        <f t="shared" si="621"/>
        <v>66.999999999999986</v>
      </c>
      <c r="AN176" s="66">
        <f t="shared" si="621"/>
        <v>55.909000000000013</v>
      </c>
      <c r="AO176" s="183">
        <f t="shared" si="621"/>
        <v>225.46399999999986</v>
      </c>
      <c r="AP176" s="66">
        <f t="shared" si="621"/>
        <v>70.72</v>
      </c>
      <c r="AQ176" s="66">
        <f t="shared" si="621"/>
        <v>74.843999999999994</v>
      </c>
      <c r="AR176" s="66">
        <f t="shared" ref="AR176:AV176" si="622">AR147+AR174</f>
        <v>97.299999999999983</v>
      </c>
      <c r="AS176" s="66">
        <f t="shared" si="622"/>
        <v>74.40000000000002</v>
      </c>
      <c r="AT176" s="183">
        <f t="shared" si="622"/>
        <v>317.26400000000024</v>
      </c>
      <c r="AU176" s="66">
        <f t="shared" si="622"/>
        <v>72.28600000000003</v>
      </c>
      <c r="AV176" s="66">
        <f t="shared" si="622"/>
        <v>78.503000000000043</v>
      </c>
      <c r="AW176" s="66">
        <f t="shared" ref="AW176:BA176" si="623">AW147+AW174</f>
        <v>86.328999999999979</v>
      </c>
      <c r="AX176" s="66">
        <f t="shared" si="623"/>
        <v>53.860000000000035</v>
      </c>
      <c r="AY176" s="183">
        <f t="shared" si="623"/>
        <v>290.97800000000024</v>
      </c>
      <c r="AZ176" s="66">
        <f t="shared" si="623"/>
        <v>35.558999999999948</v>
      </c>
      <c r="BA176" s="66">
        <f t="shared" si="623"/>
        <v>79.083000000000027</v>
      </c>
      <c r="BB176" s="66">
        <f t="shared" ref="BB176:BD176" si="624">BB147+BB174</f>
        <v>65.504999999999967</v>
      </c>
      <c r="BC176" s="66">
        <f t="shared" si="624"/>
        <v>250.33800000000002</v>
      </c>
      <c r="BD176" s="183">
        <f t="shared" si="624"/>
        <v>430.48500000000041</v>
      </c>
      <c r="BE176" s="66">
        <f t="shared" ref="BE176:BH176" si="625">BE147+BE174</f>
        <v>28.381298645798857</v>
      </c>
      <c r="BF176" s="66">
        <f t="shared" si="625"/>
        <v>45.081589104472322</v>
      </c>
      <c r="BG176" s="66">
        <f t="shared" si="625"/>
        <v>80.315070700346595</v>
      </c>
      <c r="BH176" s="66">
        <f t="shared" si="625"/>
        <v>59.083257937585401</v>
      </c>
      <c r="BI176" s="183">
        <f>BI147+BI174</f>
        <v>212.86121638820339</v>
      </c>
      <c r="BJ176" s="66"/>
      <c r="BK176" s="66"/>
      <c r="BL176" s="66"/>
      <c r="BM176" s="66"/>
      <c r="BN176" s="183">
        <f>BN147+BN174</f>
        <v>279.31965475828878</v>
      </c>
      <c r="BO176" s="66"/>
      <c r="BP176" s="66"/>
      <c r="BQ176" s="66"/>
      <c r="BR176" s="66"/>
      <c r="BS176" s="183">
        <f>BS147+BS174</f>
        <v>381.11166068707183</v>
      </c>
      <c r="BT176" s="72"/>
      <c r="BU176" s="373"/>
      <c r="BV176" s="238"/>
      <c r="BW176" s="72"/>
      <c r="BX176" s="72"/>
      <c r="BY176" s="72"/>
      <c r="BZ176" s="531"/>
      <c r="CA176" s="331"/>
      <c r="CB176" s="331"/>
      <c r="CC176" s="319"/>
      <c r="CD176" s="319"/>
      <c r="CE176" s="319"/>
      <c r="CF176" s="331"/>
      <c r="CG176" s="331"/>
      <c r="CH176" s="373"/>
      <c r="CI176" s="72"/>
      <c r="CJ176"/>
      <c r="CK176"/>
      <c r="CL176"/>
      <c r="CM176"/>
      <c r="CN176"/>
      <c r="CO176"/>
      <c r="CP176" s="418"/>
    </row>
    <row r="177" spans="1:94" s="268" customFormat="1" ht="12.75" customHeight="1" x14ac:dyDescent="0.2">
      <c r="A177" s="581" t="s">
        <v>183</v>
      </c>
      <c r="B177" s="69"/>
      <c r="C177" s="69"/>
      <c r="D177" s="69"/>
      <c r="E177" s="69"/>
      <c r="F177" s="204"/>
      <c r="G177" s="69"/>
      <c r="H177" s="69"/>
      <c r="I177" s="69"/>
      <c r="J177" s="69"/>
      <c r="K177" s="204"/>
      <c r="L177" s="69"/>
      <c r="M177" s="69"/>
      <c r="N177" s="69"/>
      <c r="O177" s="69"/>
      <c r="P177" s="204"/>
      <c r="Q177" s="69"/>
      <c r="R177" s="69"/>
      <c r="S177" s="69"/>
      <c r="T177" s="69"/>
      <c r="U177" s="204"/>
      <c r="V177" s="69"/>
      <c r="W177" s="69"/>
      <c r="X177" s="69"/>
      <c r="Y177" s="69"/>
      <c r="Z177" s="204"/>
      <c r="AA177" s="69"/>
      <c r="AB177" s="69"/>
      <c r="AC177" s="69"/>
      <c r="AD177" s="69"/>
      <c r="AE177" s="204"/>
      <c r="AF177" s="69"/>
      <c r="AG177" s="69"/>
      <c r="AH177" s="69"/>
      <c r="AI177" s="69"/>
      <c r="AJ177" s="204"/>
      <c r="AK177" s="69"/>
      <c r="AL177" s="69"/>
      <c r="AM177" s="69"/>
      <c r="AN177" s="69"/>
      <c r="AO177" s="204"/>
      <c r="AP177" s="69"/>
      <c r="AQ177" s="69"/>
      <c r="AR177" s="69"/>
      <c r="AS177" s="69"/>
      <c r="AT177" s="204"/>
      <c r="AU177" s="69"/>
      <c r="AV177" s="69"/>
      <c r="AW177" s="69"/>
      <c r="AX177" s="69"/>
      <c r="AY177" s="204"/>
      <c r="AZ177" s="69"/>
      <c r="BA177" s="69"/>
      <c r="BB177" s="69"/>
      <c r="BC177" s="69"/>
      <c r="BD177" s="204"/>
      <c r="BE177" s="69"/>
      <c r="BF177" s="69"/>
      <c r="BG177" s="69"/>
      <c r="BH177" s="69"/>
      <c r="BI177" s="204"/>
      <c r="BJ177" s="69"/>
      <c r="BK177" s="69"/>
      <c r="BL177" s="69"/>
      <c r="BM177" s="69"/>
      <c r="BN177" s="204"/>
      <c r="BO177" s="69"/>
      <c r="BP177" s="69"/>
      <c r="BQ177" s="69"/>
      <c r="BR177" s="69"/>
      <c r="BS177" s="204"/>
      <c r="BT177" s="155"/>
      <c r="BU177" s="365"/>
      <c r="BV177" s="230"/>
      <c r="BW177" s="155"/>
      <c r="BX177" s="155"/>
      <c r="BY177" s="155"/>
      <c r="BZ177" s="531"/>
      <c r="CA177" s="327"/>
      <c r="CB177" s="327"/>
      <c r="CC177" s="322"/>
      <c r="CD177" s="322"/>
      <c r="CE177" s="322"/>
      <c r="CF177" s="327"/>
      <c r="CG177" s="327"/>
      <c r="CH177" s="365"/>
      <c r="CI177" s="155"/>
      <c r="CJ177"/>
      <c r="CK177"/>
      <c r="CL177"/>
      <c r="CM177"/>
      <c r="CN177"/>
      <c r="CO177"/>
      <c r="CP177" s="420"/>
    </row>
    <row r="178" spans="1:94" s="254" customFormat="1" ht="12.75" customHeight="1" x14ac:dyDescent="0.2">
      <c r="A178" s="8" t="s">
        <v>184</v>
      </c>
      <c r="B178" s="8"/>
      <c r="C178" s="8"/>
      <c r="D178" s="8"/>
      <c r="E178" s="8"/>
      <c r="F178" s="181"/>
      <c r="G178" s="8"/>
      <c r="H178" s="8"/>
      <c r="I178" s="8"/>
      <c r="J178" s="8"/>
      <c r="K178" s="181"/>
      <c r="L178" s="8"/>
      <c r="M178" s="8"/>
      <c r="N178" s="8"/>
      <c r="O178" s="8"/>
      <c r="P178" s="181"/>
      <c r="Q178" s="8"/>
      <c r="R178" s="8"/>
      <c r="S178" s="8"/>
      <c r="T178" s="8"/>
      <c r="U178" s="181"/>
      <c r="V178" s="8"/>
      <c r="W178" s="8"/>
      <c r="X178" s="8"/>
      <c r="Y178" s="8"/>
      <c r="Z178" s="181"/>
      <c r="AA178" s="8"/>
      <c r="AB178" s="8"/>
      <c r="AC178" s="8"/>
      <c r="AD178" s="8"/>
      <c r="AE178" s="181"/>
      <c r="AF178" s="8"/>
      <c r="AG178" s="8"/>
      <c r="AH178" s="8"/>
      <c r="AI178" s="8"/>
      <c r="AJ178" s="181"/>
      <c r="AK178" s="8"/>
      <c r="AL178" s="8"/>
      <c r="AM178" s="8"/>
      <c r="AN178" s="8"/>
      <c r="AO178" s="181"/>
      <c r="AP178" s="8"/>
      <c r="AQ178" s="8"/>
      <c r="AR178" s="8"/>
      <c r="AS178" s="8"/>
      <c r="AT178" s="181"/>
      <c r="AU178" s="8"/>
      <c r="AV178" s="8"/>
      <c r="AW178" s="8"/>
      <c r="AX178" s="8"/>
      <c r="AY178" s="181"/>
      <c r="AZ178" s="8"/>
      <c r="BA178" s="8"/>
      <c r="BB178" s="8"/>
      <c r="BC178" s="8"/>
      <c r="BD178" s="181"/>
      <c r="BE178" s="8"/>
      <c r="BF178" s="8"/>
      <c r="BG178" s="8"/>
      <c r="BH178" s="8"/>
      <c r="BI178" s="181"/>
      <c r="BJ178" s="8"/>
      <c r="BK178" s="8"/>
      <c r="BL178" s="8"/>
      <c r="BM178" s="8"/>
      <c r="BN178" s="181"/>
      <c r="BO178" s="8"/>
      <c r="BP178" s="8"/>
      <c r="BQ178" s="8"/>
      <c r="BR178" s="8"/>
      <c r="BS178" s="181"/>
      <c r="BT178" s="249"/>
      <c r="BU178" s="8"/>
      <c r="BV178" s="280"/>
      <c r="BW178" s="249"/>
      <c r="BX178" s="249"/>
      <c r="BY178" s="249"/>
      <c r="BZ178" s="432"/>
      <c r="CA178" s="320"/>
      <c r="CB178" s="320"/>
      <c r="CC178" s="319"/>
      <c r="CD178" s="319"/>
      <c r="CE178" s="319"/>
      <c r="CF178" s="320"/>
      <c r="CG178" s="320"/>
      <c r="CH178" s="8"/>
      <c r="CI178" s="249"/>
      <c r="CJ178"/>
      <c r="CK178"/>
      <c r="CL178"/>
      <c r="CM178"/>
      <c r="CN178"/>
      <c r="CO178"/>
      <c r="CP178" s="320"/>
    </row>
    <row r="179" spans="1:94" s="254" customFormat="1" ht="12.75" customHeight="1" x14ac:dyDescent="0.2">
      <c r="A179" s="9" t="s">
        <v>185</v>
      </c>
      <c r="B179" s="9"/>
      <c r="C179" s="9"/>
      <c r="D179" s="9"/>
      <c r="E179" s="9"/>
      <c r="F179" s="165"/>
      <c r="G179" s="9"/>
      <c r="H179" s="9"/>
      <c r="I179" s="9"/>
      <c r="J179" s="9"/>
      <c r="K179" s="165"/>
      <c r="L179" s="9"/>
      <c r="M179" s="9"/>
      <c r="N179" s="9"/>
      <c r="O179" s="9"/>
      <c r="P179" s="165"/>
      <c r="Q179" s="9"/>
      <c r="R179" s="9"/>
      <c r="S179" s="9"/>
      <c r="T179" s="9"/>
      <c r="U179" s="165"/>
      <c r="V179" s="9"/>
      <c r="W179" s="9"/>
      <c r="X179" s="9"/>
      <c r="Y179" s="9"/>
      <c r="Z179" s="165"/>
      <c r="AA179" s="9"/>
      <c r="AB179" s="9"/>
      <c r="AC179" s="9"/>
      <c r="AD179" s="9"/>
      <c r="AE179" s="165"/>
      <c r="AF179" s="9"/>
      <c r="AG179" s="9"/>
      <c r="AH179" s="9"/>
      <c r="AI179" s="9"/>
      <c r="AJ179" s="165"/>
      <c r="AK179" s="9"/>
      <c r="AL179" s="9"/>
      <c r="AM179" s="9"/>
      <c r="AN179" s="9"/>
      <c r="AO179" s="165"/>
      <c r="AP179" s="9"/>
      <c r="AQ179" s="9"/>
      <c r="AR179" s="9"/>
      <c r="AS179" s="9"/>
      <c r="AT179" s="165"/>
      <c r="AU179" s="9"/>
      <c r="AV179" s="9"/>
      <c r="AW179" s="9"/>
      <c r="AX179" s="9"/>
      <c r="AY179" s="165"/>
      <c r="AZ179" s="9"/>
      <c r="BA179" s="9"/>
      <c r="BB179" s="9"/>
      <c r="BC179" s="9"/>
      <c r="BD179" s="165"/>
      <c r="BE179" s="9"/>
      <c r="BF179" s="9"/>
      <c r="BG179" s="9"/>
      <c r="BH179" s="9"/>
      <c r="BI179" s="165"/>
      <c r="BJ179" s="9"/>
      <c r="BK179" s="9"/>
      <c r="BL179" s="9"/>
      <c r="BM179" s="9"/>
      <c r="BN179" s="165"/>
      <c r="BO179" s="9"/>
      <c r="BP179" s="9"/>
      <c r="BQ179" s="9"/>
      <c r="BR179" s="9"/>
      <c r="BS179" s="165"/>
      <c r="BT179" s="249"/>
      <c r="BU179" s="8"/>
      <c r="BV179" s="280"/>
      <c r="BW179" s="249"/>
      <c r="BX179" s="249"/>
      <c r="BY179" s="249"/>
      <c r="BZ179" s="432"/>
      <c r="CA179" s="320"/>
      <c r="CB179" s="320"/>
      <c r="CC179" s="319"/>
      <c r="CD179" s="319"/>
      <c r="CE179" s="319"/>
      <c r="CF179" s="320"/>
      <c r="CG179" s="320"/>
      <c r="CH179" s="8"/>
      <c r="CI179" s="249"/>
      <c r="CJ179"/>
      <c r="CK179"/>
      <c r="CL179"/>
      <c r="CM179"/>
      <c r="CN179"/>
      <c r="CO179"/>
      <c r="CP179" s="320"/>
    </row>
    <row r="180" spans="1:94" s="255" customFormat="1" ht="12.75" hidden="1" customHeight="1" x14ac:dyDescent="0.2">
      <c r="A180" s="10" t="s">
        <v>186</v>
      </c>
      <c r="B180" s="10"/>
      <c r="C180" s="10"/>
      <c r="D180" s="10"/>
      <c r="E180" s="10"/>
      <c r="F180" s="185"/>
      <c r="G180" s="10"/>
      <c r="H180" s="10"/>
      <c r="I180" s="10"/>
      <c r="J180" s="10"/>
      <c r="K180" s="185"/>
      <c r="L180" s="10"/>
      <c r="M180" s="10"/>
      <c r="N180" s="10"/>
      <c r="O180" s="10"/>
      <c r="P180" s="185"/>
      <c r="Q180" s="10"/>
      <c r="R180" s="10"/>
      <c r="S180" s="10"/>
      <c r="T180" s="10"/>
      <c r="U180" s="185"/>
      <c r="V180" s="10"/>
      <c r="W180" s="10"/>
      <c r="X180" s="10"/>
      <c r="Y180" s="10"/>
      <c r="Z180" s="185"/>
      <c r="AA180" s="10"/>
      <c r="AB180" s="10"/>
      <c r="AC180" s="10"/>
      <c r="AD180" s="10"/>
      <c r="AE180" s="185"/>
      <c r="AF180" s="10"/>
      <c r="AG180" s="10"/>
      <c r="AH180" s="10"/>
      <c r="AI180" s="10"/>
      <c r="AJ180" s="185"/>
      <c r="AK180" s="10"/>
      <c r="AL180" s="10"/>
      <c r="AM180" s="10"/>
      <c r="AN180" s="10"/>
      <c r="AO180" s="185"/>
      <c r="AP180" s="10"/>
      <c r="AQ180" s="10"/>
      <c r="AR180" s="10"/>
      <c r="AS180" s="10"/>
      <c r="AT180" s="185"/>
      <c r="AU180" s="10"/>
      <c r="AV180" s="10"/>
      <c r="AW180" s="10"/>
      <c r="AX180" s="10"/>
      <c r="AY180" s="185"/>
      <c r="AZ180" s="10"/>
      <c r="BA180" s="10"/>
      <c r="BB180" s="10"/>
      <c r="BC180" s="10"/>
      <c r="BD180" s="185"/>
      <c r="BE180" s="10"/>
      <c r="BF180" s="10"/>
      <c r="BG180" s="10"/>
      <c r="BH180" s="10"/>
      <c r="BI180" s="185"/>
      <c r="BJ180" s="10"/>
      <c r="BK180" s="10"/>
      <c r="BL180" s="10"/>
      <c r="BM180" s="10"/>
      <c r="BN180" s="185"/>
      <c r="BO180" s="10"/>
      <c r="BP180" s="10"/>
      <c r="BQ180" s="10"/>
      <c r="BR180" s="10"/>
      <c r="BS180" s="185"/>
      <c r="BT180" s="251"/>
      <c r="BU180" s="376"/>
      <c r="BV180" s="284"/>
      <c r="BW180" s="251"/>
      <c r="BX180" s="251"/>
      <c r="BY180" s="251"/>
      <c r="BZ180" s="552"/>
      <c r="CA180" s="10"/>
      <c r="CB180" s="10"/>
      <c r="CC180" s="331"/>
      <c r="CD180" s="331"/>
      <c r="CE180" s="331"/>
      <c r="CF180" s="10"/>
      <c r="CG180" s="10"/>
      <c r="CH180" s="376"/>
      <c r="CI180" s="251"/>
      <c r="CJ180"/>
      <c r="CK180"/>
      <c r="CL180"/>
      <c r="CM180"/>
      <c r="CN180"/>
      <c r="CO180"/>
      <c r="CP180" s="10"/>
    </row>
    <row r="181" spans="1:94" s="256" customFormat="1" ht="12.75" hidden="1" customHeight="1" x14ac:dyDescent="0.2">
      <c r="A181" s="72" t="s">
        <v>187</v>
      </c>
      <c r="B181" s="72"/>
      <c r="C181" s="72"/>
      <c r="D181" s="72"/>
      <c r="E181" s="72"/>
      <c r="F181" s="183">
        <f>F117</f>
        <v>762.55600000000004</v>
      </c>
      <c r="G181" s="72"/>
      <c r="H181" s="72"/>
      <c r="I181" s="72"/>
      <c r="J181" s="72">
        <f>J117+I117+H117+G117</f>
        <v>788.83600000000001</v>
      </c>
      <c r="K181" s="183">
        <f>K117</f>
        <v>788.83600000000001</v>
      </c>
      <c r="L181" s="72">
        <f>L117+H117+J117+I117</f>
        <v>754.78500000000008</v>
      </c>
      <c r="M181" s="72">
        <f>M117+I117+L117+J117</f>
        <v>729.976</v>
      </c>
      <c r="N181" s="72">
        <f>N117+J117+M117+L117</f>
        <v>705.34699999999998</v>
      </c>
      <c r="O181" s="72">
        <f>O117+N117+M117+L117</f>
        <v>700.03600000000006</v>
      </c>
      <c r="P181" s="183">
        <f>P117</f>
        <v>700.03599999999994</v>
      </c>
      <c r="Q181" s="72">
        <f>Q117+M117+O117+N117</f>
        <v>714.05899999999997</v>
      </c>
      <c r="R181" s="72">
        <f>R117+N117+Q117+O117</f>
        <v>711.01099999999997</v>
      </c>
      <c r="S181" s="72">
        <f>S117+O117+R117+Q117</f>
        <v>736.05799999999999</v>
      </c>
      <c r="T181" s="72">
        <f>T117+S117+R117+Q117</f>
        <v>781.2650000000001</v>
      </c>
      <c r="U181" s="183">
        <f>U117</f>
        <v>781.2650000000001</v>
      </c>
      <c r="V181" s="72">
        <f>V117+R117+T117+S117</f>
        <v>829.87599999999998</v>
      </c>
      <c r="W181" s="72">
        <f>W117+S117+V117+T117</f>
        <v>928.40800000000013</v>
      </c>
      <c r="X181" s="72">
        <f>X117+T117+W117+V117</f>
        <v>1013.4670000000001</v>
      </c>
      <c r="Y181" s="72">
        <f>Y117+X117+W117+V117</f>
        <v>1071.1860000000001</v>
      </c>
      <c r="Z181" s="183">
        <f>Z117</f>
        <v>1071.1859999999999</v>
      </c>
      <c r="AA181" s="72">
        <f>AA117+W117+Y117+X117</f>
        <v>1140.019</v>
      </c>
      <c r="AB181" s="72">
        <f>AB117+X117+AA117+Y117</f>
        <v>1210.4359999999999</v>
      </c>
      <c r="AC181" s="72">
        <f>AC117+Y117+AB117+AA117</f>
        <v>1264.039</v>
      </c>
      <c r="AD181" s="72">
        <f>AD117+AC117+AB117+AA117</f>
        <v>1318.3879999999999</v>
      </c>
      <c r="AE181" s="183">
        <f>AE117</f>
        <v>1318.3879999999999</v>
      </c>
      <c r="AF181" s="72">
        <f>AF117+AB117+AD117+AC117</f>
        <v>1387.33</v>
      </c>
      <c r="AG181" s="72">
        <f>AG117+AC117+AF117+AD117</f>
        <v>1448.3609999999999</v>
      </c>
      <c r="AH181" s="72">
        <f>AH117+AD117+AG117+AF117</f>
        <v>1562.6689999999999</v>
      </c>
      <c r="AI181" s="72">
        <f>AI117+AH117+AG117+AF117</f>
        <v>1654.3849999999998</v>
      </c>
      <c r="AJ181" s="183">
        <f>AJ117</f>
        <v>1654.385</v>
      </c>
      <c r="AK181" s="72">
        <f>AK117+AG117+AI117+AH117</f>
        <v>1721.9349999999999</v>
      </c>
      <c r="AL181" s="72">
        <f>AL117+AH117+AK117+AI117</f>
        <v>1813.933</v>
      </c>
      <c r="AM181" s="72">
        <f>AM117+AI117+AL117+AK117</f>
        <v>1877.0769999999998</v>
      </c>
      <c r="AN181" s="72">
        <f>AN117+AM117+AL117+AK117</f>
        <v>1931.58</v>
      </c>
      <c r="AO181" s="183">
        <f>AO117</f>
        <v>1931.58</v>
      </c>
      <c r="AP181" s="72">
        <f>AP117+AL117+AN117+AM117</f>
        <v>1986.9480000000001</v>
      </c>
      <c r="AQ181" s="72">
        <f>AQ117+AM117+AP117+AN117</f>
        <v>2041.0320000000002</v>
      </c>
      <c r="AR181" s="72">
        <f>AR117+AN117+AQ117+AP117</f>
        <v>2096.1040000000003</v>
      </c>
      <c r="AS181" s="72">
        <f>AS117+AR117+AQ117+AP117</f>
        <v>2141.4629999999997</v>
      </c>
      <c r="AT181" s="183">
        <f>AT117</f>
        <v>2141.4630000000002</v>
      </c>
      <c r="AU181" s="72">
        <f>AU117+AQ117+AS117+AR117</f>
        <v>2186.2510000000002</v>
      </c>
      <c r="AV181" s="72">
        <f>AV117+AR117+AU117+AS117</f>
        <v>2216.9630000000002</v>
      </c>
      <c r="AW181" s="72">
        <f>AW117+AS117+AV117+AU117</f>
        <v>2263.451</v>
      </c>
      <c r="AX181" s="72">
        <f>AX117+AW117+AV117+AU117</f>
        <v>2321.9560000000001</v>
      </c>
      <c r="AY181" s="183">
        <f>AY117</f>
        <v>2321.9560000000001</v>
      </c>
      <c r="AZ181" s="72">
        <f>AZ117+AV117+AX117+AW117</f>
        <v>2375.5590000000002</v>
      </c>
      <c r="BA181" s="72">
        <f>BA117+AW117+AZ117+AX117</f>
        <v>2493.1080000000002</v>
      </c>
      <c r="BB181" s="72">
        <f>BB117+AX117+BA117+AZ117</f>
        <v>2559.0099999999998</v>
      </c>
      <c r="BC181" s="72">
        <f t="shared" ref="BC181:BH181" si="626">BC117+BB117+BA117+AZ117</f>
        <v>2647.6660000000002</v>
      </c>
      <c r="BD181" s="183">
        <f>BD117</f>
        <v>2647.6660000000002</v>
      </c>
      <c r="BE181" s="72">
        <f>BE117+BA117+BC117+BB117</f>
        <v>2763.29472538763</v>
      </c>
      <c r="BF181" s="72">
        <f>BF117+BE117+BB117+BC117</f>
        <v>2887.4890300517814</v>
      </c>
      <c r="BG181" s="72">
        <f>BG117+BF117+BE117+BC117</f>
        <v>3082.5701613813862</v>
      </c>
      <c r="BH181" s="72">
        <f t="shared" si="626"/>
        <v>3192.4160038284108</v>
      </c>
      <c r="BI181" s="183">
        <f>BI117</f>
        <v>3192.4160038284112</v>
      </c>
      <c r="BJ181" s="72"/>
      <c r="BK181" s="72"/>
      <c r="BL181" s="72"/>
      <c r="BM181" s="72"/>
      <c r="BN181" s="183">
        <f>BN117</f>
        <v>3607.680969557302</v>
      </c>
      <c r="BO181" s="72"/>
      <c r="BP181" s="72"/>
      <c r="BQ181" s="72"/>
      <c r="BR181" s="72"/>
      <c r="BS181" s="183">
        <f>BS117</f>
        <v>4077.8711528186313</v>
      </c>
      <c r="BT181" s="72"/>
      <c r="BU181" s="373"/>
      <c r="BV181" s="238"/>
      <c r="BW181" s="72"/>
      <c r="BX181" s="72"/>
      <c r="BY181" s="72"/>
      <c r="BZ181" s="531"/>
      <c r="CA181" s="331"/>
      <c r="CB181" s="331"/>
      <c r="CC181" s="331"/>
      <c r="CD181" s="331"/>
      <c r="CE181" s="331"/>
      <c r="CF181" s="331"/>
      <c r="CG181" s="331"/>
      <c r="CH181" s="373"/>
      <c r="CI181" s="72"/>
      <c r="CJ181"/>
      <c r="CK181"/>
      <c r="CL181"/>
      <c r="CM181"/>
      <c r="CN181"/>
      <c r="CO181"/>
      <c r="CP181" s="421"/>
    </row>
    <row r="182" spans="1:94" s="256" customFormat="1" ht="12.75" hidden="1" customHeight="1" x14ac:dyDescent="0.2">
      <c r="A182" s="72" t="s">
        <v>188</v>
      </c>
      <c r="B182" s="72"/>
      <c r="C182" s="72"/>
      <c r="D182" s="72"/>
      <c r="E182" s="72"/>
      <c r="F182" s="183">
        <f>F29</f>
        <v>686.12400000000002</v>
      </c>
      <c r="G182" s="72"/>
      <c r="H182" s="72"/>
      <c r="I182" s="72"/>
      <c r="J182" s="72">
        <f>J29+I29+H29+G29</f>
        <v>659.02700000000004</v>
      </c>
      <c r="K182" s="183">
        <f>K29</f>
        <v>659.02700000000004</v>
      </c>
      <c r="L182" s="72">
        <f>L29+H29+J29+I29</f>
        <v>614.16599999999994</v>
      </c>
      <c r="M182" s="72">
        <f>M29+I29+L29+J29</f>
        <v>577.12699999999995</v>
      </c>
      <c r="N182" s="72">
        <f>N29+J29+M29+L29</f>
        <v>548.59799999999996</v>
      </c>
      <c r="O182" s="72">
        <f>O29+N29+M29+L29</f>
        <v>536.18000000000006</v>
      </c>
      <c r="P182" s="183">
        <f>P29</f>
        <v>536.17999999999995</v>
      </c>
      <c r="Q182" s="72">
        <f>Q29+M29+O29+N29</f>
        <v>539.46100000000001</v>
      </c>
      <c r="R182" s="72">
        <f>R29+N29+Q29+O29</f>
        <v>528.49799999999993</v>
      </c>
      <c r="S182" s="72">
        <f>S29+O29+R29+Q29</f>
        <v>530.41200000000003</v>
      </c>
      <c r="T182" s="72">
        <f>T29+S29+R29+Q29</f>
        <v>537.96900000000005</v>
      </c>
      <c r="U182" s="183">
        <f>U29</f>
        <v>537.96900000000005</v>
      </c>
      <c r="V182" s="72">
        <f>V29+R29+T29+S29</f>
        <v>554.33999999999992</v>
      </c>
      <c r="W182" s="72">
        <f>W29+S29+V29+T29</f>
        <v>608.38600000000008</v>
      </c>
      <c r="X182" s="72">
        <f>X29+T29+W29+V29</f>
        <v>656.83500000000004</v>
      </c>
      <c r="Y182" s="72">
        <f>Y29+X29+W29+V29</f>
        <v>689.65</v>
      </c>
      <c r="Z182" s="183">
        <f>Z29</f>
        <v>689.65</v>
      </c>
      <c r="AA182" s="72">
        <f>AA29+W29+Y29+X29</f>
        <v>716.44799999999998</v>
      </c>
      <c r="AB182" s="72">
        <f>AB29+X29+AA29+Y29</f>
        <v>747.84199999999998</v>
      </c>
      <c r="AC182" s="72">
        <f>AC29+Y29+AB29+AA29</f>
        <v>763.34100000000001</v>
      </c>
      <c r="AD182" s="72">
        <f>AD29+AC29+AB29+AA29</f>
        <v>782.79200000000003</v>
      </c>
      <c r="AE182" s="183">
        <f>AE29</f>
        <v>782.79200000000003</v>
      </c>
      <c r="AF182" s="72">
        <f>AF29+AB29+AD29+AC29</f>
        <v>821.6110000000001</v>
      </c>
      <c r="AG182" s="72">
        <f>AG29+AC29+AF29+AD29</f>
        <v>850.91800000000001</v>
      </c>
      <c r="AH182" s="72">
        <f>AH29+AD29+AG29+AF29</f>
        <v>928.2360000000001</v>
      </c>
      <c r="AI182" s="72">
        <f>AI29+AH29+AG29+AF29</f>
        <v>986.01800000000003</v>
      </c>
      <c r="AJ182" s="183">
        <f>AJ29</f>
        <v>986.01800000000003</v>
      </c>
      <c r="AK182" s="72">
        <f>AK29+AG29+AI29+AH29</f>
        <v>1020.999</v>
      </c>
      <c r="AL182" s="72">
        <f>AL29+AH29+AK29+AI29</f>
        <v>1082.367</v>
      </c>
      <c r="AM182" s="72">
        <f>AM29+AI29+AL29+AK29</f>
        <v>1119.9059999999999</v>
      </c>
      <c r="AN182" s="72">
        <f>AN29+AM29+AL29+AK29</f>
        <v>1144.972</v>
      </c>
      <c r="AO182" s="183">
        <f>AO29</f>
        <v>1144.972</v>
      </c>
      <c r="AP182" s="72">
        <f>AP29+AL29+AN29+AM29</f>
        <v>1164.56</v>
      </c>
      <c r="AQ182" s="72">
        <f>AQ29+AM29+AP29+AN29</f>
        <v>1170.646</v>
      </c>
      <c r="AR182" s="72">
        <f>AR29+AN29+AQ29+AP29</f>
        <v>1173.42</v>
      </c>
      <c r="AS182" s="72">
        <f>AS29+AR29+AQ29+AP29</f>
        <v>1169.338</v>
      </c>
      <c r="AT182" s="183">
        <f>AT29</f>
        <v>1169.338</v>
      </c>
      <c r="AU182" s="72">
        <f>AU29+AQ29+AS29+AR29</f>
        <v>1168.498</v>
      </c>
      <c r="AV182" s="72">
        <f>AV29+AR29+AU29+AS29</f>
        <v>1156.326</v>
      </c>
      <c r="AW182" s="72">
        <f>AW29+AS29+AV29+AU29</f>
        <v>1167.518</v>
      </c>
      <c r="AX182" s="72">
        <f>AX29+AW29+AV29+AU29</f>
        <v>1200.6210000000001</v>
      </c>
      <c r="AY182" s="183">
        <f>AY29</f>
        <v>1200.6210000000001</v>
      </c>
      <c r="AZ182" s="72">
        <f>AZ29+AV29+AX29+AW29</f>
        <v>1227.7570000000001</v>
      </c>
      <c r="BA182" s="72">
        <f>BA29+AW29+AZ29+AX29</f>
        <v>1303.278</v>
      </c>
      <c r="BB182" s="72">
        <f>BB29+AX29+BA29+AZ29</f>
        <v>1328.481</v>
      </c>
      <c r="BC182" s="72">
        <f t="shared" ref="BC182:BH182" si="627">BC29+BB29+BA29+AZ29</f>
        <v>1366.0339999999999</v>
      </c>
      <c r="BD182" s="183">
        <f>BD29</f>
        <v>1366.0340000000001</v>
      </c>
      <c r="BE182" s="72">
        <f>BE29+BA29+BC29+BB29</f>
        <v>1421.8826582199999</v>
      </c>
      <c r="BF182" s="72">
        <f>BF29+BE29+BB29+BC29</f>
        <v>1473.6542006200002</v>
      </c>
      <c r="BG182" s="72">
        <f>BG29+BF29+BE29+BC29</f>
        <v>1584.2208534200001</v>
      </c>
      <c r="BH182" s="72">
        <f t="shared" si="627"/>
        <v>1647.8931803200001</v>
      </c>
      <c r="BI182" s="183">
        <f>BI29</f>
        <v>1647.8931803200001</v>
      </c>
      <c r="BJ182" s="72"/>
      <c r="BK182" s="72"/>
      <c r="BL182" s="72"/>
      <c r="BM182" s="72"/>
      <c r="BN182" s="183">
        <f>BN29</f>
        <v>1835.3410295813999</v>
      </c>
      <c r="BO182" s="72"/>
      <c r="BP182" s="72"/>
      <c r="BQ182" s="72"/>
      <c r="BR182" s="72"/>
      <c r="BS182" s="183">
        <f>BS29</f>
        <v>2044.1110716962844</v>
      </c>
      <c r="BT182" s="72"/>
      <c r="BU182" s="373"/>
      <c r="BV182" s="238"/>
      <c r="BW182" s="72"/>
      <c r="BX182" s="72"/>
      <c r="BY182" s="72"/>
      <c r="BZ182" s="531"/>
      <c r="CA182" s="331"/>
      <c r="CB182" s="331"/>
      <c r="CC182" s="331"/>
      <c r="CD182" s="331"/>
      <c r="CE182" s="331"/>
      <c r="CF182" s="331"/>
      <c r="CG182" s="331"/>
      <c r="CH182" s="373"/>
      <c r="CI182" s="72"/>
      <c r="CJ182"/>
      <c r="CK182"/>
      <c r="CL182"/>
      <c r="CM182"/>
      <c r="CN182"/>
      <c r="CO182"/>
      <c r="CP182" s="421"/>
    </row>
    <row r="183" spans="1:94" s="256" customFormat="1" ht="12.75" hidden="1" customHeight="1" x14ac:dyDescent="0.2">
      <c r="A183" s="72" t="s">
        <v>189</v>
      </c>
      <c r="B183" s="72"/>
      <c r="C183" s="72"/>
      <c r="D183" s="72"/>
      <c r="E183" s="72"/>
      <c r="F183" s="183">
        <f>F119</f>
        <v>741.44</v>
      </c>
      <c r="G183" s="72"/>
      <c r="H183" s="72"/>
      <c r="I183" s="72"/>
      <c r="J183" s="72">
        <f>J119+I119+H119+G119</f>
        <v>736.86777300000006</v>
      </c>
      <c r="K183" s="183">
        <f>K119</f>
        <v>736.86777299999994</v>
      </c>
      <c r="L183" s="72">
        <f>L119+H119+J119+I119</f>
        <v>675.26858300000004</v>
      </c>
      <c r="M183" s="72">
        <f>M119+I119+L119+J119</f>
        <v>609.76428499999997</v>
      </c>
      <c r="N183" s="72">
        <f>N119+J119+M119+L119</f>
        <v>591.49232000000006</v>
      </c>
      <c r="O183" s="72">
        <f>O119+N119+M119+L119</f>
        <v>590.46882000000005</v>
      </c>
      <c r="P183" s="183">
        <f>P119</f>
        <v>590.46882000000005</v>
      </c>
      <c r="Q183" s="72">
        <f>Q119+M119+O119+N119</f>
        <v>611.83181999999999</v>
      </c>
      <c r="R183" s="72">
        <f>R119+N119+Q119+O119</f>
        <v>638.80282</v>
      </c>
      <c r="S183" s="72">
        <f>S119+O119+R119+Q119</f>
        <v>672.19800000000009</v>
      </c>
      <c r="T183" s="72">
        <f>T119+S119+R119+Q119</f>
        <v>713.83500000000004</v>
      </c>
      <c r="U183" s="183">
        <f>U119</f>
        <v>713.83499999999992</v>
      </c>
      <c r="V183" s="72">
        <f>V119+R119+T119+S119</f>
        <v>759.54300000000001</v>
      </c>
      <c r="W183" s="72">
        <f>W119+S119+V119+T119</f>
        <v>821.37300000000005</v>
      </c>
      <c r="X183" s="72">
        <f>X119+T119+W119+V119</f>
        <v>878.96100000000001</v>
      </c>
      <c r="Y183" s="72">
        <f>Y119+X119+W119+V119</f>
        <v>920.16200000000003</v>
      </c>
      <c r="Z183" s="183">
        <f>Z119</f>
        <v>920.16200000000003</v>
      </c>
      <c r="AA183" s="72">
        <f>AA119+W119+Y119+X119</f>
        <v>977.495</v>
      </c>
      <c r="AB183" s="72">
        <f>AB119+X119+AA119+Y119</f>
        <v>1032.3399999999999</v>
      </c>
      <c r="AC183" s="72">
        <f>AC119+Y119+AB119+AA119</f>
        <v>1091.5439999999999</v>
      </c>
      <c r="AD183" s="72">
        <f>AD119+AC119+AB119+AA119</f>
        <v>1151.846</v>
      </c>
      <c r="AE183" s="183">
        <f>AE119</f>
        <v>1151.846</v>
      </c>
      <c r="AF183" s="72">
        <f>AF119+AB119+AD119+AC119</f>
        <v>1205.424</v>
      </c>
      <c r="AG183" s="72">
        <f>AG119+AC119+AF119+AD119</f>
        <v>1250.123</v>
      </c>
      <c r="AH183" s="72">
        <f>AH119+AD119+AG119+AF119</f>
        <v>1312.1469999999999</v>
      </c>
      <c r="AI183" s="72">
        <f>AI119+AH119+AG119+AF119</f>
        <v>1371.1289999999999</v>
      </c>
      <c r="AJ183" s="183">
        <f>AJ119</f>
        <v>1371.1289999999999</v>
      </c>
      <c r="AK183" s="72">
        <f>AK119+AG119+AI119+AH119</f>
        <v>1431.81</v>
      </c>
      <c r="AL183" s="72">
        <f>AL119+AH119+AK119+AI119</f>
        <v>1490.1</v>
      </c>
      <c r="AM183" s="72">
        <f>AM119+AI119+AL119+AK119</f>
        <v>1535.425</v>
      </c>
      <c r="AN183" s="72">
        <f>AN119+AM119+AL119+AK119</f>
        <v>1558.7570000000001</v>
      </c>
      <c r="AO183" s="183">
        <f>AO119</f>
        <v>1558.7570000000001</v>
      </c>
      <c r="AP183" s="72">
        <f>AP119+AL119+AN119+AM119</f>
        <v>1562.271</v>
      </c>
      <c r="AQ183" s="72">
        <f>AQ119+AM119+AP119+AN119</f>
        <v>1603.3130000000001</v>
      </c>
      <c r="AR183" s="72">
        <f>AR119+AN119+AQ119+AP119</f>
        <v>1611.4450000000002</v>
      </c>
      <c r="AS183" s="72">
        <f>AS119+AR119+AQ119+AP119</f>
        <v>1633.944</v>
      </c>
      <c r="AT183" s="183">
        <f>AT119</f>
        <v>1633.944</v>
      </c>
      <c r="AU183" s="72">
        <f>AU119+AQ119+AS119+AR119</f>
        <v>1672.9830000000002</v>
      </c>
      <c r="AV183" s="72">
        <f>AV119+AR119+AU119+AS119</f>
        <v>1692.664</v>
      </c>
      <c r="AW183" s="72">
        <f>AW119+AS119+AV119+AU119</f>
        <v>1753.6729999999998</v>
      </c>
      <c r="AX183" s="72">
        <f>AX119+AW119+AV119+AU119</f>
        <v>1836.9189999999999</v>
      </c>
      <c r="AY183" s="183">
        <f>AY119</f>
        <v>1836.9189999999999</v>
      </c>
      <c r="AZ183" s="72">
        <f>AZ119+AV119+AX119+AW119</f>
        <v>1942.951</v>
      </c>
      <c r="BA183" s="72">
        <f>BA119+AW119+AZ119+AX119</f>
        <v>2056.6869999999999</v>
      </c>
      <c r="BB183" s="72">
        <f>BB119+AX119+BA119+AZ119</f>
        <v>2153.11</v>
      </c>
      <c r="BC183" s="72">
        <f t="shared" ref="BC183:BH183" si="628">BC119+BB119+BA119+AZ119</f>
        <v>2246.1639999999998</v>
      </c>
      <c r="BD183" s="183">
        <f>BD119</f>
        <v>2246.1639999999998</v>
      </c>
      <c r="BE183" s="72">
        <f>BE119+BA119+BC119+BB119</f>
        <v>2373.6349113799997</v>
      </c>
      <c r="BF183" s="72">
        <f>BF119+BE119+BB119+BC119</f>
        <v>2557.1403356435294</v>
      </c>
      <c r="BG183" s="72">
        <f>BG119+BF119+BE119+BC119</f>
        <v>2743.8167423674154</v>
      </c>
      <c r="BH183" s="72">
        <f t="shared" si="628"/>
        <v>2850.8354559491963</v>
      </c>
      <c r="BI183" s="183">
        <f>BI119</f>
        <v>2850.8354559491963</v>
      </c>
      <c r="BJ183" s="72"/>
      <c r="BK183" s="72"/>
      <c r="BL183" s="72"/>
      <c r="BM183" s="72"/>
      <c r="BN183" s="183">
        <f>BN119</f>
        <v>3154.4518293078031</v>
      </c>
      <c r="BO183" s="72"/>
      <c r="BP183" s="72"/>
      <c r="BQ183" s="72"/>
      <c r="BR183" s="72"/>
      <c r="BS183" s="183">
        <f>BS119</f>
        <v>3476.3181757123302</v>
      </c>
      <c r="BT183" s="72"/>
      <c r="BU183" s="373"/>
      <c r="BV183" s="238"/>
      <c r="BW183" s="72"/>
      <c r="BX183" s="72"/>
      <c r="BY183" s="72"/>
      <c r="BZ183" s="531"/>
      <c r="CA183" s="331"/>
      <c r="CB183" s="331"/>
      <c r="CC183" s="331"/>
      <c r="CD183" s="331"/>
      <c r="CE183" s="331"/>
      <c r="CF183" s="331"/>
      <c r="CG183" s="331"/>
      <c r="CH183" s="373"/>
      <c r="CI183" s="72"/>
      <c r="CJ183"/>
      <c r="CK183"/>
      <c r="CL183"/>
      <c r="CM183"/>
      <c r="CN183"/>
      <c r="CO183"/>
      <c r="CP183" s="421"/>
    </row>
    <row r="184" spans="1:94" s="256" customFormat="1" ht="12.75" hidden="1" customHeight="1" x14ac:dyDescent="0.2">
      <c r="A184" s="72" t="s">
        <v>190</v>
      </c>
      <c r="B184" s="72"/>
      <c r="C184" s="72"/>
      <c r="D184" s="72"/>
      <c r="E184" s="72"/>
      <c r="F184" s="183">
        <f>F57</f>
        <v>261.52999999999997</v>
      </c>
      <c r="G184" s="72"/>
      <c r="H184" s="72"/>
      <c r="I184" s="72"/>
      <c r="J184" s="72">
        <f>J57+I57+H57+G57</f>
        <v>289.22077300000001</v>
      </c>
      <c r="K184" s="183">
        <f>K57</f>
        <v>289.22077300000001</v>
      </c>
      <c r="L184" s="72">
        <f>L57+H57+J57+I57</f>
        <v>244.528583</v>
      </c>
      <c r="M184" s="72">
        <f>M57+I57+L57+J57</f>
        <v>194.842285</v>
      </c>
      <c r="N184" s="72">
        <f>N57+J57+M57+L57</f>
        <v>186.36232000000001</v>
      </c>
      <c r="O184" s="72">
        <f>O57+N57+M57+L57</f>
        <v>182.55582000000001</v>
      </c>
      <c r="P184" s="183">
        <f>P57</f>
        <v>182.55582000000001</v>
      </c>
      <c r="Q184" s="72">
        <f>Q57+M57+O57+N57</f>
        <v>201.11982</v>
      </c>
      <c r="R184" s="72">
        <f>R57+N57+Q57+O57</f>
        <v>216.19481999999999</v>
      </c>
      <c r="S184" s="72">
        <f>S57+O57+R57+Q57</f>
        <v>230.453</v>
      </c>
      <c r="T184" s="72">
        <f>T57+S57+R57+Q57</f>
        <v>250.26899999999998</v>
      </c>
      <c r="U184" s="183">
        <f>U57</f>
        <v>250.26900000000001</v>
      </c>
      <c r="V184" s="72">
        <f>V57+R57+T57+S57</f>
        <v>277.274</v>
      </c>
      <c r="W184" s="72">
        <f>W57+S57+V57+T57</f>
        <v>322.654</v>
      </c>
      <c r="X184" s="72">
        <f>X57+T57+W57+V57</f>
        <v>359.99600000000004</v>
      </c>
      <c r="Y184" s="72">
        <f>Y57+X57+W57+V57</f>
        <v>384.84300000000002</v>
      </c>
      <c r="Z184" s="183">
        <f>Z57</f>
        <v>384.84300000000007</v>
      </c>
      <c r="AA184" s="72">
        <f>AA57+W57+Y57+X57</f>
        <v>411.85199999999998</v>
      </c>
      <c r="AB184" s="72">
        <f>AB57+X57+AA57+Y57</f>
        <v>427.09699999999998</v>
      </c>
      <c r="AC184" s="72">
        <f>AC57+Y57+AB57+AA57</f>
        <v>446.54399999999998</v>
      </c>
      <c r="AD184" s="72">
        <f>AD57+AC57+AB57+AA57</f>
        <v>471.71699999999998</v>
      </c>
      <c r="AE184" s="183">
        <f>AE57</f>
        <v>471.71699999999998</v>
      </c>
      <c r="AF184" s="72">
        <f>AF57+AB57+AD57+AC57</f>
        <v>491.53499999999997</v>
      </c>
      <c r="AG184" s="72">
        <f>AG57+AC57+AF57+AD57</f>
        <v>501.91300000000001</v>
      </c>
      <c r="AH184" s="72">
        <f>AH57+AD57+AG57+AF57</f>
        <v>529.61699999999996</v>
      </c>
      <c r="AI184" s="72">
        <f>AI57+AH57+AG57+AF57</f>
        <v>551.48099999999999</v>
      </c>
      <c r="AJ184" s="183">
        <f>AJ57</f>
        <v>551.48099999999999</v>
      </c>
      <c r="AK184" s="72">
        <f>AK57+AG57+AI57+AH57</f>
        <v>571.66699999999992</v>
      </c>
      <c r="AL184" s="72">
        <f>AL57+AH57+AK57+AI57</f>
        <v>596.56399999999996</v>
      </c>
      <c r="AM184" s="72">
        <f>AM57+AI57+AL57+AK57</f>
        <v>607.93399999999997</v>
      </c>
      <c r="AN184" s="72">
        <f>AN57+AM57+AL57+AK57</f>
        <v>599.75099999999998</v>
      </c>
      <c r="AO184" s="183">
        <f>AO57</f>
        <v>599.75099999999998</v>
      </c>
      <c r="AP184" s="72">
        <f>AP57+AL57+AN57+AM57</f>
        <v>562.01099999999997</v>
      </c>
      <c r="AQ184" s="72">
        <f>AQ57+AM57+AP57+AN57</f>
        <v>539.202</v>
      </c>
      <c r="AR184" s="72">
        <f>AR57+AN57+AQ57+AP57</f>
        <v>493.00800000000004</v>
      </c>
      <c r="AS184" s="72">
        <f>AS57+AR57+AQ57+AP57</f>
        <v>465.327</v>
      </c>
      <c r="AT184" s="183">
        <f>AT57</f>
        <v>465.327</v>
      </c>
      <c r="AU184" s="72">
        <f>AU57+AQ57+AS57+AR57</f>
        <v>440.57799999999997</v>
      </c>
      <c r="AV184" s="72">
        <f>AV57+AR57+AU57+AS57</f>
        <v>422.19399999999996</v>
      </c>
      <c r="AW184" s="72">
        <f>AW57+AS57+AV57+AU57</f>
        <v>428.221</v>
      </c>
      <c r="AX184" s="72">
        <f>AX57+AW57+AV57+AU57</f>
        <v>447.553</v>
      </c>
      <c r="AY184" s="183">
        <f>AY57</f>
        <v>447.553</v>
      </c>
      <c r="AZ184" s="72">
        <f>AZ57+AV57+AX57+AW57</f>
        <v>501.35300000000001</v>
      </c>
      <c r="BA184" s="72">
        <f>BA57+AW57+AZ57+AX57</f>
        <v>530.45500000000004</v>
      </c>
      <c r="BB184" s="72">
        <f>BB57+AX57+BA57+AZ57</f>
        <v>566.91100000000006</v>
      </c>
      <c r="BC184" s="72">
        <f t="shared" ref="BC184:BH184" si="629">BC57+BB57+BA57+AZ57</f>
        <v>615.58100000000002</v>
      </c>
      <c r="BD184" s="183">
        <f>BD57</f>
        <v>615.58100000000002</v>
      </c>
      <c r="BE184" s="72">
        <f>BE57+BA57+BC57+BB57</f>
        <v>680.04899999999998</v>
      </c>
      <c r="BF184" s="72">
        <f>BF57+BE57+BB57+BC57</f>
        <v>770.84243744000003</v>
      </c>
      <c r="BG184" s="72">
        <f>BG57+BF57+BE57+BC57</f>
        <v>854.64918077999994</v>
      </c>
      <c r="BH184" s="72">
        <f t="shared" si="629"/>
        <v>897.51082166999993</v>
      </c>
      <c r="BI184" s="183">
        <f>BI57</f>
        <v>897.51082166999981</v>
      </c>
      <c r="BJ184" s="72"/>
      <c r="BK184" s="72"/>
      <c r="BL184" s="72"/>
      <c r="BM184" s="72"/>
      <c r="BN184" s="183">
        <f>BN57</f>
        <v>957.9232143321185</v>
      </c>
      <c r="BO184" s="72"/>
      <c r="BP184" s="72"/>
      <c r="BQ184" s="72"/>
      <c r="BR184" s="72"/>
      <c r="BS184" s="183">
        <f>BS57</f>
        <v>1019.9691859433559</v>
      </c>
      <c r="BT184" s="72"/>
      <c r="BU184" s="373"/>
      <c r="BV184" s="238"/>
      <c r="BW184" s="72"/>
      <c r="BX184" s="72"/>
      <c r="BY184" s="72"/>
      <c r="BZ184" s="531"/>
      <c r="CA184" s="331"/>
      <c r="CB184" s="331"/>
      <c r="CC184" s="331"/>
      <c r="CD184" s="331"/>
      <c r="CE184" s="331"/>
      <c r="CF184" s="331"/>
      <c r="CG184" s="331"/>
      <c r="CH184" s="373"/>
      <c r="CI184" s="72"/>
      <c r="CJ184"/>
      <c r="CK184"/>
      <c r="CL184"/>
      <c r="CM184"/>
      <c r="CN184"/>
      <c r="CO184"/>
      <c r="CP184" s="421"/>
    </row>
    <row r="185" spans="1:94" s="256" customFormat="1" ht="12.75" hidden="1" customHeight="1" x14ac:dyDescent="0.2">
      <c r="A185" s="72" t="s">
        <v>191</v>
      </c>
      <c r="B185" s="72"/>
      <c r="C185" s="72"/>
      <c r="D185" s="72"/>
      <c r="E185" s="72"/>
      <c r="F185" s="183">
        <f>F183-F184</f>
        <v>479.91000000000008</v>
      </c>
      <c r="G185" s="72"/>
      <c r="H185" s="72"/>
      <c r="I185" s="72"/>
      <c r="J185" s="72">
        <f t="shared" ref="J185:AJ185" si="630">J183-J184</f>
        <v>447.64700000000005</v>
      </c>
      <c r="K185" s="183">
        <f t="shared" si="630"/>
        <v>447.64699999999993</v>
      </c>
      <c r="L185" s="72">
        <f t="shared" si="630"/>
        <v>430.74</v>
      </c>
      <c r="M185" s="72">
        <f t="shared" si="630"/>
        <v>414.92199999999997</v>
      </c>
      <c r="N185" s="72">
        <f t="shared" si="630"/>
        <v>405.13000000000005</v>
      </c>
      <c r="O185" s="72">
        <f t="shared" si="630"/>
        <v>407.91300000000001</v>
      </c>
      <c r="P185" s="183">
        <f t="shared" si="630"/>
        <v>407.91300000000001</v>
      </c>
      <c r="Q185" s="72">
        <f t="shared" si="630"/>
        <v>410.71199999999999</v>
      </c>
      <c r="R185" s="72">
        <f t="shared" si="630"/>
        <v>422.608</v>
      </c>
      <c r="S185" s="72">
        <f t="shared" si="630"/>
        <v>441.74500000000012</v>
      </c>
      <c r="T185" s="72">
        <f t="shared" si="630"/>
        <v>463.56600000000003</v>
      </c>
      <c r="U185" s="183">
        <f t="shared" si="630"/>
        <v>463.56599999999992</v>
      </c>
      <c r="V185" s="72">
        <f>V183-V184</f>
        <v>482.26900000000001</v>
      </c>
      <c r="W185" s="72">
        <f t="shared" si="630"/>
        <v>498.71900000000005</v>
      </c>
      <c r="X185" s="72">
        <f t="shared" ref="X185:AE185" si="631">X183-X184</f>
        <v>518.96499999999992</v>
      </c>
      <c r="Y185" s="72">
        <f t="shared" si="631"/>
        <v>535.31899999999996</v>
      </c>
      <c r="Z185" s="183">
        <f t="shared" si="631"/>
        <v>535.31899999999996</v>
      </c>
      <c r="AA185" s="72">
        <f t="shared" si="631"/>
        <v>565.64300000000003</v>
      </c>
      <c r="AB185" s="72">
        <f t="shared" si="630"/>
        <v>605.24299999999994</v>
      </c>
      <c r="AC185" s="72">
        <f t="shared" si="631"/>
        <v>644.99999999999989</v>
      </c>
      <c r="AD185" s="72">
        <f t="shared" si="631"/>
        <v>680.12900000000002</v>
      </c>
      <c r="AE185" s="183">
        <f t="shared" si="631"/>
        <v>680.12900000000002</v>
      </c>
      <c r="AF185" s="72">
        <f>AF183-AF184</f>
        <v>713.88900000000001</v>
      </c>
      <c r="AG185" s="72">
        <f>AG183-AG184</f>
        <v>748.21</v>
      </c>
      <c r="AH185" s="72">
        <f>AH183-AH184</f>
        <v>782.53</v>
      </c>
      <c r="AI185" s="72">
        <f>AI183-AI184</f>
        <v>819.64799999999991</v>
      </c>
      <c r="AJ185" s="183">
        <f t="shared" si="630"/>
        <v>819.64799999999991</v>
      </c>
      <c r="AK185" s="72">
        <f t="shared" ref="AK185:AT185" si="632">AK183-AK184</f>
        <v>860.14300000000003</v>
      </c>
      <c r="AL185" s="72">
        <f t="shared" si="632"/>
        <v>893.53599999999994</v>
      </c>
      <c r="AM185" s="72">
        <f t="shared" si="632"/>
        <v>927.49099999999999</v>
      </c>
      <c r="AN185" s="72">
        <f t="shared" si="632"/>
        <v>959.00600000000009</v>
      </c>
      <c r="AO185" s="183">
        <f t="shared" si="632"/>
        <v>959.00600000000009</v>
      </c>
      <c r="AP185" s="72">
        <f t="shared" si="632"/>
        <v>1000.26</v>
      </c>
      <c r="AQ185" s="72">
        <f t="shared" si="632"/>
        <v>1064.1110000000001</v>
      </c>
      <c r="AR185" s="72">
        <f t="shared" si="632"/>
        <v>1118.4370000000001</v>
      </c>
      <c r="AS185" s="72">
        <f t="shared" si="632"/>
        <v>1168.617</v>
      </c>
      <c r="AT185" s="183">
        <f t="shared" si="632"/>
        <v>1168.617</v>
      </c>
      <c r="AU185" s="72">
        <f t="shared" ref="AU185:BC185" si="633">AU183-AU184</f>
        <v>1232.4050000000002</v>
      </c>
      <c r="AV185" s="72">
        <f t="shared" si="633"/>
        <v>1270.47</v>
      </c>
      <c r="AW185" s="72">
        <f t="shared" si="633"/>
        <v>1325.4519999999998</v>
      </c>
      <c r="AX185" s="72">
        <f t="shared" si="633"/>
        <v>1389.366</v>
      </c>
      <c r="AY185" s="183">
        <f t="shared" si="633"/>
        <v>1389.366</v>
      </c>
      <c r="AZ185" s="72">
        <f t="shared" si="633"/>
        <v>1441.598</v>
      </c>
      <c r="BA185" s="72">
        <f t="shared" si="633"/>
        <v>1526.232</v>
      </c>
      <c r="BB185" s="72">
        <f t="shared" si="633"/>
        <v>1586.1990000000001</v>
      </c>
      <c r="BC185" s="72">
        <f t="shared" si="633"/>
        <v>1630.5829999999996</v>
      </c>
      <c r="BD185" s="183">
        <f>BD183-BD184</f>
        <v>1630.5829999999996</v>
      </c>
      <c r="BE185" s="72">
        <f t="shared" ref="BE185:BH185" si="634">BE183-BE184</f>
        <v>1693.5859113799997</v>
      </c>
      <c r="BF185" s="72">
        <f t="shared" si="634"/>
        <v>1786.2978982035293</v>
      </c>
      <c r="BG185" s="72">
        <f t="shared" si="634"/>
        <v>1889.1675615874155</v>
      </c>
      <c r="BH185" s="72">
        <f t="shared" si="634"/>
        <v>1953.3246342791963</v>
      </c>
      <c r="BI185" s="183">
        <f>BI183-BI184</f>
        <v>1953.3246342791965</v>
      </c>
      <c r="BJ185" s="72"/>
      <c r="BK185" s="72"/>
      <c r="BL185" s="72"/>
      <c r="BM185" s="72"/>
      <c r="BN185" s="183">
        <f>BN183-BN184</f>
        <v>2196.5286149756848</v>
      </c>
      <c r="BO185" s="72"/>
      <c r="BP185" s="72"/>
      <c r="BQ185" s="72"/>
      <c r="BR185" s="72"/>
      <c r="BS185" s="183">
        <f>BS183-BS184</f>
        <v>2456.3489897689742</v>
      </c>
      <c r="BT185" s="72"/>
      <c r="BU185" s="373"/>
      <c r="BV185" s="238"/>
      <c r="BW185" s="72"/>
      <c r="BX185" s="72"/>
      <c r="BY185" s="72"/>
      <c r="BZ185" s="531"/>
      <c r="CA185" s="331"/>
      <c r="CB185" s="331"/>
      <c r="CC185" s="559"/>
      <c r="CD185" s="559"/>
      <c r="CE185" s="559"/>
      <c r="CF185" s="331"/>
      <c r="CG185" s="331"/>
      <c r="CH185" s="373"/>
      <c r="CI185" s="72"/>
      <c r="CJ185"/>
      <c r="CK185"/>
      <c r="CL185"/>
      <c r="CM185"/>
      <c r="CN185"/>
      <c r="CO185"/>
      <c r="CP185" s="421"/>
    </row>
    <row r="186" spans="1:94" s="256" customFormat="1" ht="12.75" hidden="1" customHeight="1" x14ac:dyDescent="0.2">
      <c r="A186" s="72" t="s">
        <v>192</v>
      </c>
      <c r="B186" s="72"/>
      <c r="C186" s="72"/>
      <c r="D186" s="72"/>
      <c r="E186" s="72"/>
      <c r="F186" s="183">
        <f>F81</f>
        <v>119.111</v>
      </c>
      <c r="G186" s="72"/>
      <c r="H186" s="72"/>
      <c r="I186" s="72"/>
      <c r="J186" s="72">
        <f>J81+I81+H81+G81</f>
        <v>105.54100000000001</v>
      </c>
      <c r="K186" s="183">
        <f>K81</f>
        <v>105.541</v>
      </c>
      <c r="L186" s="72">
        <f>L81+H81+J81+I81</f>
        <v>99.13900000000001</v>
      </c>
      <c r="M186" s="72">
        <f>M81+I81+L81+J81</f>
        <v>94.164000000000016</v>
      </c>
      <c r="N186" s="72">
        <f>N81+J81+M81+L81</f>
        <v>90.305000000000007</v>
      </c>
      <c r="O186" s="72">
        <f>O81+N81+M81+L81</f>
        <v>89.97399999999999</v>
      </c>
      <c r="P186" s="183">
        <f>P81</f>
        <v>89.97399999999999</v>
      </c>
      <c r="Q186" s="72">
        <f>Q81+M81+O81+N81</f>
        <v>89.8</v>
      </c>
      <c r="R186" s="72">
        <f>R81+N81+Q81+O81</f>
        <v>91.697000000000003</v>
      </c>
      <c r="S186" s="72">
        <f>S81+O81+R81+Q81</f>
        <v>95.087999999999994</v>
      </c>
      <c r="T186" s="72">
        <f>T81+S81+R81+Q81</f>
        <v>101.34399999999999</v>
      </c>
      <c r="U186" s="183">
        <f>U81</f>
        <v>101.34399999999999</v>
      </c>
      <c r="V186" s="72">
        <f>V81+R81+T81+S81</f>
        <v>106.47600000000001</v>
      </c>
      <c r="W186" s="72">
        <f>W81+S81+V81+T81</f>
        <v>110.684</v>
      </c>
      <c r="X186" s="72">
        <f>X81+T81+W81+V81</f>
        <v>114.41799999999999</v>
      </c>
      <c r="Y186" s="72">
        <f>Y81+X81+W81+V81</f>
        <v>116.485</v>
      </c>
      <c r="Z186" s="183">
        <f>Z81</f>
        <v>116.485</v>
      </c>
      <c r="AA186" s="72">
        <f>AA81+W81+Y81+X81</f>
        <v>121.64999999999999</v>
      </c>
      <c r="AB186" s="72">
        <f>AB81+X81+AA81+Y81</f>
        <v>128.62899999999999</v>
      </c>
      <c r="AC186" s="72">
        <f>AC81+Y81+AB81+AA81</f>
        <v>136.94499999999999</v>
      </c>
      <c r="AD186" s="72">
        <f>AD81+AC81+AB81+AA81</f>
        <v>143.572</v>
      </c>
      <c r="AE186" s="183">
        <f>AE81</f>
        <v>143.572</v>
      </c>
      <c r="AF186" s="72">
        <f>AF81+AB81+AD81+AC81</f>
        <v>151.77100000000002</v>
      </c>
      <c r="AG186" s="72">
        <f>AG81+AC81+AF81+AD81</f>
        <v>157.626</v>
      </c>
      <c r="AH186" s="72">
        <f>AH81+AD81+AG81+AF81</f>
        <v>162.22399999999999</v>
      </c>
      <c r="AI186" s="72">
        <f>AI81+AH81+AG81+AF81</f>
        <v>169.73699999999999</v>
      </c>
      <c r="AJ186" s="183">
        <f>AJ81</f>
        <v>169.73699999999999</v>
      </c>
      <c r="AK186" s="72">
        <f>AK81+AG81+AI81+AH81</f>
        <v>175.05200000000002</v>
      </c>
      <c r="AL186" s="72">
        <f>AL81+AH81+AK81+AI81</f>
        <v>181.35899999999998</v>
      </c>
      <c r="AM186" s="72">
        <f>AM81+AI81+AL81+AK81</f>
        <v>189.23400000000001</v>
      </c>
      <c r="AN186" s="72">
        <f>AN81+AM81+AL81+AK81</f>
        <v>195.827</v>
      </c>
      <c r="AO186" s="183">
        <f>AO81</f>
        <v>195.827</v>
      </c>
      <c r="AP186" s="72">
        <f>AP81+AL81+AN81+AM81</f>
        <v>202.22800000000001</v>
      </c>
      <c r="AQ186" s="72">
        <f>AQ81+AM81+AP81+AN81</f>
        <v>207.13299999999998</v>
      </c>
      <c r="AR186" s="72">
        <f>AR81+AN81+AQ81+AP81</f>
        <v>210.649</v>
      </c>
      <c r="AS186" s="72">
        <f>AS81+AR81+AQ81+AP81</f>
        <v>211.53100000000001</v>
      </c>
      <c r="AT186" s="183">
        <f>AT81</f>
        <v>211.53100000000001</v>
      </c>
      <c r="AU186" s="72">
        <f>AU81+AQ81+AS81+AR81</f>
        <v>210.94500000000002</v>
      </c>
      <c r="AV186" s="72">
        <f>AV81+AR81+AU81+AS81</f>
        <v>207.68200000000002</v>
      </c>
      <c r="AW186" s="72">
        <f>AW81+AS81+AV81+AU81</f>
        <v>203.524</v>
      </c>
      <c r="AX186" s="72">
        <f>AX81+AW81+AV81+AU81</f>
        <v>201.67499999999998</v>
      </c>
      <c r="AY186" s="183">
        <f>AY81</f>
        <v>201.67499999999998</v>
      </c>
      <c r="AZ186" s="72">
        <f>AZ81+AV81+AX81+AW81</f>
        <v>206.54299999999998</v>
      </c>
      <c r="BA186" s="72">
        <f>BA81+AW81+AZ81+AX81</f>
        <v>209.24499999999998</v>
      </c>
      <c r="BB186" s="72">
        <f>BB81+AX81+BA81+AZ81</f>
        <v>213.274</v>
      </c>
      <c r="BC186" s="72">
        <f t="shared" ref="BC186:BH186" si="635">BC81+BB81+BA81+AZ81</f>
        <v>205.852</v>
      </c>
      <c r="BD186" s="183">
        <f>BD81</f>
        <v>205.85199999999998</v>
      </c>
      <c r="BE186" s="72">
        <f>BE81+BA81+BC81+BB81</f>
        <v>198.98200000000003</v>
      </c>
      <c r="BF186" s="72">
        <f>BF81+BE81+BB81+BC81</f>
        <v>195.27145882352943</v>
      </c>
      <c r="BG186" s="72">
        <f>BG81+BF81+BE81+BC81</f>
        <v>190.46328820741564</v>
      </c>
      <c r="BH186" s="72">
        <f t="shared" si="635"/>
        <v>185.65337039919649</v>
      </c>
      <c r="BI186" s="183">
        <f>BI81</f>
        <v>185.65337039919649</v>
      </c>
      <c r="BJ186" s="72"/>
      <c r="BK186" s="72"/>
      <c r="BL186" s="72"/>
      <c r="BM186" s="72"/>
      <c r="BN186" s="183">
        <f>BN81</f>
        <v>184.93931897458421</v>
      </c>
      <c r="BO186" s="72"/>
      <c r="BP186" s="72"/>
      <c r="BQ186" s="72"/>
      <c r="BR186" s="72"/>
      <c r="BS186" s="183">
        <f>BS81</f>
        <v>187.22428353334354</v>
      </c>
      <c r="BT186" s="72"/>
      <c r="BU186" s="373"/>
      <c r="BV186" s="238"/>
      <c r="BW186" s="72"/>
      <c r="BX186" s="72"/>
      <c r="BY186" s="72"/>
      <c r="BZ186" s="531"/>
      <c r="CA186" s="331"/>
      <c r="CB186" s="331"/>
      <c r="CC186" s="559"/>
      <c r="CD186" s="559"/>
      <c r="CE186" s="559"/>
      <c r="CF186" s="331"/>
      <c r="CG186" s="331"/>
      <c r="CH186" s="373"/>
      <c r="CI186" s="72"/>
      <c r="CJ186"/>
      <c r="CK186"/>
      <c r="CL186"/>
      <c r="CM186"/>
      <c r="CN186"/>
      <c r="CO186"/>
      <c r="CP186" s="421"/>
    </row>
    <row r="187" spans="1:94" s="256" customFormat="1" ht="12.75" hidden="1" customHeight="1" x14ac:dyDescent="0.2">
      <c r="A187" s="72" t="s">
        <v>193</v>
      </c>
      <c r="B187" s="72"/>
      <c r="C187" s="72"/>
      <c r="D187" s="72"/>
      <c r="E187" s="72"/>
      <c r="F187" s="183">
        <v>0</v>
      </c>
      <c r="G187" s="72"/>
      <c r="H187" s="72"/>
      <c r="I187" s="72"/>
      <c r="J187" s="72">
        <v>0</v>
      </c>
      <c r="K187" s="183">
        <v>0</v>
      </c>
      <c r="L187" s="72">
        <v>0</v>
      </c>
      <c r="M187" s="72">
        <v>0</v>
      </c>
      <c r="N187" s="72">
        <v>0</v>
      </c>
      <c r="O187" s="72">
        <v>0</v>
      </c>
      <c r="P187" s="183">
        <v>0</v>
      </c>
      <c r="Q187" s="72">
        <v>0</v>
      </c>
      <c r="R187" s="72">
        <v>0</v>
      </c>
      <c r="S187" s="72">
        <v>0</v>
      </c>
      <c r="T187" s="72">
        <v>0</v>
      </c>
      <c r="U187" s="183">
        <v>0</v>
      </c>
      <c r="V187" s="72">
        <v>0</v>
      </c>
      <c r="W187" s="72">
        <v>0</v>
      </c>
      <c r="X187" s="72">
        <v>0</v>
      </c>
      <c r="Y187" s="72">
        <v>0</v>
      </c>
      <c r="Z187" s="316">
        <v>0</v>
      </c>
      <c r="AA187" s="72">
        <v>0</v>
      </c>
      <c r="AB187" s="72">
        <v>0</v>
      </c>
      <c r="AC187" s="72">
        <v>0</v>
      </c>
      <c r="AD187" s="72">
        <v>0</v>
      </c>
      <c r="AE187" s="316">
        <v>0</v>
      </c>
      <c r="AF187" s="72">
        <v>0</v>
      </c>
      <c r="AG187" s="72">
        <v>0</v>
      </c>
      <c r="AH187" s="72">
        <v>0</v>
      </c>
      <c r="AI187" s="72">
        <v>0</v>
      </c>
      <c r="AJ187" s="316">
        <v>0</v>
      </c>
      <c r="AK187" s="72">
        <v>0</v>
      </c>
      <c r="AL187" s="72">
        <v>0</v>
      </c>
      <c r="AM187" s="72">
        <v>0</v>
      </c>
      <c r="AN187" s="72">
        <v>0</v>
      </c>
      <c r="AO187" s="316">
        <v>0</v>
      </c>
      <c r="AP187" s="72">
        <v>0</v>
      </c>
      <c r="AQ187" s="72">
        <v>0</v>
      </c>
      <c r="AR187" s="72">
        <v>0</v>
      </c>
      <c r="AS187" s="72">
        <v>0</v>
      </c>
      <c r="AT187" s="316">
        <v>0</v>
      </c>
      <c r="AU187" s="72">
        <v>0</v>
      </c>
      <c r="AV187" s="72">
        <v>0</v>
      </c>
      <c r="AW187" s="72">
        <v>0</v>
      </c>
      <c r="AX187" s="72">
        <v>0</v>
      </c>
      <c r="AY187" s="316">
        <v>0</v>
      </c>
      <c r="AZ187" s="72">
        <v>0</v>
      </c>
      <c r="BA187" s="72">
        <v>0</v>
      </c>
      <c r="BB187" s="72">
        <v>0</v>
      </c>
      <c r="BC187" s="786">
        <v>0</v>
      </c>
      <c r="BD187" s="317">
        <v>0</v>
      </c>
      <c r="BE187" s="786">
        <v>0</v>
      </c>
      <c r="BF187" s="786">
        <v>0</v>
      </c>
      <c r="BG187" s="786">
        <v>0</v>
      </c>
      <c r="BH187" s="786">
        <v>0</v>
      </c>
      <c r="BI187" s="317">
        <v>0</v>
      </c>
      <c r="BJ187" s="72"/>
      <c r="BK187" s="72"/>
      <c r="BL187" s="72"/>
      <c r="BM187" s="72"/>
      <c r="BN187" s="317">
        <v>0</v>
      </c>
      <c r="BO187" s="72"/>
      <c r="BP187" s="72"/>
      <c r="BQ187" s="72"/>
      <c r="BR187" s="72"/>
      <c r="BS187" s="317">
        <v>0</v>
      </c>
      <c r="BT187" s="72"/>
      <c r="BU187" s="373"/>
      <c r="BV187" s="238"/>
      <c r="BW187" s="72"/>
      <c r="BX187" s="72"/>
      <c r="BY187" s="72"/>
      <c r="BZ187" s="531"/>
      <c r="CA187" s="331"/>
      <c r="CB187" s="331"/>
      <c r="CC187" s="559"/>
      <c r="CD187" s="559"/>
      <c r="CE187" s="559"/>
      <c r="CF187" s="331"/>
      <c r="CG187" s="331"/>
      <c r="CH187" s="373"/>
      <c r="CI187" s="72"/>
      <c r="CJ187"/>
      <c r="CK187"/>
      <c r="CL187"/>
      <c r="CM187"/>
      <c r="CN187"/>
      <c r="CO187"/>
      <c r="CP187" s="421"/>
    </row>
    <row r="188" spans="1:94" s="256" customFormat="1" ht="12.75" hidden="1" customHeight="1" x14ac:dyDescent="0.2">
      <c r="A188" s="72" t="s">
        <v>38</v>
      </c>
      <c r="B188" s="72"/>
      <c r="C188" s="72"/>
      <c r="D188" s="72"/>
      <c r="E188" s="72"/>
      <c r="F188" s="183">
        <f>F92</f>
        <v>5.4950000000000001</v>
      </c>
      <c r="G188" s="72"/>
      <c r="H188" s="72"/>
      <c r="I188" s="72"/>
      <c r="J188" s="72">
        <f>J92+I92+H92+G92</f>
        <v>4.7300000000000004</v>
      </c>
      <c r="K188" s="183">
        <f>K92</f>
        <v>4.7300000000000004</v>
      </c>
      <c r="L188" s="72">
        <f>L92+H92+J92+I92</f>
        <v>4.5739999999999998</v>
      </c>
      <c r="M188" s="72">
        <f>M92+I92+L92+J92</f>
        <v>4.9390000000000001</v>
      </c>
      <c r="N188" s="72">
        <f>N92+J92+M92+L92</f>
        <v>5.6749999999999998</v>
      </c>
      <c r="O188" s="72">
        <f>O92+N92+M92+L92</f>
        <v>5.9339999999999993</v>
      </c>
      <c r="P188" s="183">
        <f>P92</f>
        <v>5.9340000000000002</v>
      </c>
      <c r="Q188" s="72">
        <f>Q92+M92+O92+N92</f>
        <v>6.2200000000000006</v>
      </c>
      <c r="R188" s="72">
        <f>R92+N92+Q92+O92</f>
        <v>6.391</v>
      </c>
      <c r="S188" s="72">
        <f>S92+O92+R92+Q92</f>
        <v>5.7770000000000001</v>
      </c>
      <c r="T188" s="72">
        <f>T92+S92+R92+Q92</f>
        <v>5.6960000000000006</v>
      </c>
      <c r="U188" s="183">
        <f>U92</f>
        <v>5.6959999999999997</v>
      </c>
      <c r="V188" s="72">
        <f>V92+R92+T92+S92</f>
        <v>5.8239999999999998</v>
      </c>
      <c r="W188" s="72">
        <f>W92+S92+V92+T92</f>
        <v>6.0570000000000004</v>
      </c>
      <c r="X188" s="72">
        <f>X92+T92+W92+V92</f>
        <v>6.5980000000000008</v>
      </c>
      <c r="Y188" s="72">
        <f>Y92+X92+W92+V92</f>
        <v>7.76</v>
      </c>
      <c r="Z188" s="183">
        <f>Z92</f>
        <v>7.76</v>
      </c>
      <c r="AA188" s="72">
        <f>AA92+W92+Y92+X92</f>
        <v>9.0839999999999996</v>
      </c>
      <c r="AB188" s="72">
        <f>AB92+X92+AA92+Y92</f>
        <v>10.72</v>
      </c>
      <c r="AC188" s="72">
        <f>AC92+Y92+AB92+AA92</f>
        <v>12.475999999999999</v>
      </c>
      <c r="AD188" s="72">
        <f>AD92+AC92+AB92+AA92</f>
        <v>15.256</v>
      </c>
      <c r="AE188" s="183">
        <f>AE92</f>
        <v>15.256</v>
      </c>
      <c r="AF188" s="72">
        <f>AF92+AB92+AD92+AC92</f>
        <v>18.71</v>
      </c>
      <c r="AG188" s="72">
        <f>AG92+AC92+AF92+AD92</f>
        <v>22.987000000000002</v>
      </c>
      <c r="AH188" s="72">
        <f>AH92+AD92+AG92+AF92</f>
        <v>27.646999999999998</v>
      </c>
      <c r="AI188" s="72">
        <f>AI92+AH92+AG92+AF92</f>
        <v>31.946999999999996</v>
      </c>
      <c r="AJ188" s="183">
        <f>AJ92</f>
        <v>31.946999999999999</v>
      </c>
      <c r="AK188" s="72">
        <f>AK92+AG92+AI92+AH92</f>
        <v>36.744</v>
      </c>
      <c r="AL188" s="72">
        <f>AL92+AH92+AK92+AI92</f>
        <v>40.483999999999995</v>
      </c>
      <c r="AM188" s="72">
        <f>AM92+AI92+AL92+AK92</f>
        <v>43.347000000000001</v>
      </c>
      <c r="AN188" s="72">
        <f>AN92+AM92+AL92+AK92</f>
        <v>46.971000000000004</v>
      </c>
      <c r="AO188" s="183">
        <f>AO92</f>
        <v>46.970999999999997</v>
      </c>
      <c r="AP188" s="72">
        <f>AP92+AL92+AN92+AM92</f>
        <v>50.713000000000001</v>
      </c>
      <c r="AQ188" s="72">
        <f>AQ92+AM92+AP92+AN92</f>
        <v>56.507999999999996</v>
      </c>
      <c r="AR188" s="72">
        <f>AR92+AN92+AQ92+AP92</f>
        <v>64.798000000000002</v>
      </c>
      <c r="AS188" s="72">
        <f>AS92+AR92+AQ92+AP92</f>
        <v>73.908000000000001</v>
      </c>
      <c r="AT188" s="183">
        <f>AT92</f>
        <v>73.907999999999987</v>
      </c>
      <c r="AU188" s="72">
        <f>AU92+AQ92+AS92+AR92</f>
        <v>82.153999999999996</v>
      </c>
      <c r="AV188" s="72">
        <f>AV92+AR92+AU92+AS92</f>
        <v>89.972000000000008</v>
      </c>
      <c r="AW188" s="72">
        <f>AW92+AS92+AV92+AU92</f>
        <v>95.647999999999996</v>
      </c>
      <c r="AX188" s="72">
        <f>AX92+AW92+AV92+AU92</f>
        <v>101.136</v>
      </c>
      <c r="AY188" s="183">
        <f>AY92</f>
        <v>101.136</v>
      </c>
      <c r="AZ188" s="72">
        <f>AZ92+AV92+AX92+AW92</f>
        <v>109.536</v>
      </c>
      <c r="BA188" s="72">
        <f>BA92+AW92+AZ92+AX92</f>
        <v>119.91</v>
      </c>
      <c r="BB188" s="72">
        <f>BB92+AX92+BA92+AZ92</f>
        <v>131.446</v>
      </c>
      <c r="BC188" s="72">
        <f t="shared" ref="BC188:BH188" si="636">BC92+BB92+BA92+AZ92</f>
        <v>140.15200000000002</v>
      </c>
      <c r="BD188" s="183">
        <f>BD92</f>
        <v>140.15200000000002</v>
      </c>
      <c r="BE188" s="72">
        <f>BE92+BA92+BC92+BB92</f>
        <v>147.94300000000001</v>
      </c>
      <c r="BF188" s="72">
        <f>BF92+BE92+BB92+BC92</f>
        <v>162.0754</v>
      </c>
      <c r="BG188" s="72">
        <f>BG92+BF92+BE92+BC92</f>
        <v>180.49539999999999</v>
      </c>
      <c r="BH188" s="72">
        <f t="shared" si="636"/>
        <v>198.73140000000001</v>
      </c>
      <c r="BI188" s="183">
        <f>BI92</f>
        <v>198.73139999999998</v>
      </c>
      <c r="BJ188" s="72"/>
      <c r="BK188" s="72"/>
      <c r="BL188" s="72"/>
      <c r="BM188" s="72"/>
      <c r="BN188" s="183">
        <f>BN92</f>
        <v>238.47767999999996</v>
      </c>
      <c r="BO188" s="72"/>
      <c r="BP188" s="72"/>
      <c r="BQ188" s="72"/>
      <c r="BR188" s="72"/>
      <c r="BS188" s="183">
        <f>BS92</f>
        <v>268.28738999999996</v>
      </c>
      <c r="BT188" s="72"/>
      <c r="BU188" s="373"/>
      <c r="BV188" s="238"/>
      <c r="BW188" s="72"/>
      <c r="BX188" s="72"/>
      <c r="BY188" s="72"/>
      <c r="BZ188" s="531"/>
      <c r="CA188" s="331"/>
      <c r="CB188" s="331"/>
      <c r="CC188" s="559"/>
      <c r="CD188" s="559"/>
      <c r="CE188" s="559"/>
      <c r="CF188" s="331"/>
      <c r="CG188" s="331"/>
      <c r="CH188" s="373"/>
      <c r="CI188" s="72"/>
      <c r="CJ188"/>
      <c r="CK188"/>
      <c r="CL188"/>
      <c r="CM188"/>
      <c r="CN188"/>
      <c r="CO188"/>
      <c r="CP188" s="421"/>
    </row>
    <row r="189" spans="1:94" s="256" customFormat="1" ht="12.75" hidden="1" customHeight="1" x14ac:dyDescent="0.2">
      <c r="A189" s="72" t="s">
        <v>194</v>
      </c>
      <c r="B189" s="72"/>
      <c r="C189" s="72"/>
      <c r="D189" s="72"/>
      <c r="E189" s="72"/>
      <c r="F189" s="183">
        <f>F121</f>
        <v>21.115999999999985</v>
      </c>
      <c r="G189" s="72"/>
      <c r="H189" s="72"/>
      <c r="I189" s="72"/>
      <c r="J189" s="72">
        <f>J121+I121+H121+G121</f>
        <v>51.96822700000007</v>
      </c>
      <c r="K189" s="183">
        <f>K121</f>
        <v>51.96822700000007</v>
      </c>
      <c r="L189" s="72">
        <f>L121+H121+J121+I121</f>
        <v>79.516417000000047</v>
      </c>
      <c r="M189" s="72">
        <f>M121+I121+L121+J121</f>
        <v>120.21171500000005</v>
      </c>
      <c r="N189" s="72">
        <f>N121+J121+M121+L121</f>
        <v>113.85468</v>
      </c>
      <c r="O189" s="72">
        <f>O121+N121+M121+L121</f>
        <v>109.56718000000001</v>
      </c>
      <c r="P189" s="183">
        <f>P121</f>
        <v>109.56717999999989</v>
      </c>
      <c r="Q189" s="72">
        <f>Q121+M121+O121+N121</f>
        <v>102.22718</v>
      </c>
      <c r="R189" s="72">
        <f>R121+N121+Q121+O121</f>
        <v>72.20817999999997</v>
      </c>
      <c r="S189" s="72">
        <f>S121+O121+R121+Q121</f>
        <v>63.860000000000014</v>
      </c>
      <c r="T189" s="72">
        <f>T121+S121+R121+Q121</f>
        <v>67.430000000000035</v>
      </c>
      <c r="U189" s="183">
        <f>U121</f>
        <v>67.430000000000177</v>
      </c>
      <c r="V189" s="72">
        <f>V121+R121+T121+S121</f>
        <v>70.333000000000027</v>
      </c>
      <c r="W189" s="72">
        <f>W121+S121+V121+T121</f>
        <v>107.03500000000003</v>
      </c>
      <c r="X189" s="72">
        <f>X121+T121+W121+V121</f>
        <v>134.50600000000003</v>
      </c>
      <c r="Y189" s="72">
        <f>Y121+X121+W121+V121</f>
        <v>151.02399999999997</v>
      </c>
      <c r="Z189" s="183">
        <f>Z121</f>
        <v>151.02399999999989</v>
      </c>
      <c r="AA189" s="72">
        <f>AA121+W121+Y121+X121</f>
        <v>162.524</v>
      </c>
      <c r="AB189" s="72">
        <f>AB121+X121+AA121+Y121</f>
        <v>178.096</v>
      </c>
      <c r="AC189" s="72">
        <f>AC121+Y121+AB121+AA121</f>
        <v>172.49499999999998</v>
      </c>
      <c r="AD189" s="72">
        <f>AD121+AC121+AB121+AA121</f>
        <v>166.54200000000003</v>
      </c>
      <c r="AE189" s="183">
        <f>AE121</f>
        <v>166.54199999999992</v>
      </c>
      <c r="AF189" s="72">
        <f>AF121+AB121+AD121+AC121</f>
        <v>181.90600000000001</v>
      </c>
      <c r="AG189" s="72">
        <f>AG121+AC121+AF121+AD121</f>
        <v>198.238</v>
      </c>
      <c r="AH189" s="72">
        <f>AH121+AD121+AG121+AF121</f>
        <v>250.52200000000005</v>
      </c>
      <c r="AI189" s="72">
        <f>AI121+AH121+AG121+AF121</f>
        <v>283.25599999999997</v>
      </c>
      <c r="AJ189" s="183">
        <f>AJ121</f>
        <v>283.25600000000009</v>
      </c>
      <c r="AK189" s="72">
        <f>AK121+AG121+AI121+AH121</f>
        <v>290.12499999999994</v>
      </c>
      <c r="AL189" s="72">
        <f>AL121+AH121+AK121+AI121</f>
        <v>323.83299999999997</v>
      </c>
      <c r="AM189" s="72">
        <f>AM121+AI121+AL121+AK121</f>
        <v>341.65199999999993</v>
      </c>
      <c r="AN189" s="72">
        <f>AN121+AM121+AL121+AK121</f>
        <v>372.82299999999998</v>
      </c>
      <c r="AO189" s="183">
        <f>AO121</f>
        <v>372.82299999999987</v>
      </c>
      <c r="AP189" s="72">
        <f>AP121+AL121+AN121+AM121</f>
        <v>424.67700000000002</v>
      </c>
      <c r="AQ189" s="72">
        <f>AQ121+AM121+AP121+AN121</f>
        <v>437.71899999999999</v>
      </c>
      <c r="AR189" s="72">
        <f>AR121+AN121+AQ121+AP121</f>
        <v>484.65899999999999</v>
      </c>
      <c r="AS189" s="72">
        <f>AS121+AR121+AQ121+AP121</f>
        <v>507.51900000000001</v>
      </c>
      <c r="AT189" s="183">
        <f>AT121</f>
        <v>507.51900000000023</v>
      </c>
      <c r="AU189" s="72">
        <f>AU121+AQ121+AS121+AR121</f>
        <v>513.26800000000003</v>
      </c>
      <c r="AV189" s="72">
        <f>AV121+AR121+AU121+AS121</f>
        <v>524.29900000000009</v>
      </c>
      <c r="AW189" s="72">
        <f>AW121+AS121+AV121+AU121</f>
        <v>509.77800000000008</v>
      </c>
      <c r="AX189" s="72">
        <f>AX121+AW121+AV121+AU121</f>
        <v>485.03700000000009</v>
      </c>
      <c r="AY189" s="183">
        <f>AY121</f>
        <v>485.03700000000026</v>
      </c>
      <c r="AZ189" s="72">
        <f>AZ121+AV121+AX121+AW121</f>
        <v>432.608</v>
      </c>
      <c r="BA189" s="72">
        <f>BA121+AW121+AZ121+AX121</f>
        <v>436.42099999999999</v>
      </c>
      <c r="BB189" s="72">
        <f>BB121+AX121+BA121+AZ121</f>
        <v>405.9</v>
      </c>
      <c r="BC189" s="72">
        <f t="shared" ref="BC189:BH191" si="637">BC121+BB121+BA121+AZ121</f>
        <v>401.50199999999995</v>
      </c>
      <c r="BD189" s="183">
        <f>BD121</f>
        <v>401.50200000000041</v>
      </c>
      <c r="BE189" s="72">
        <f>BE121+BA121+BC121+BB121</f>
        <v>389.65981400763008</v>
      </c>
      <c r="BF189" s="72">
        <f>BF121+BE121+BB121+BC121</f>
        <v>330.3486944082515</v>
      </c>
      <c r="BG189" s="72">
        <f>BG121+BF121+BE121+BC121</f>
        <v>338.75341901397076</v>
      </c>
      <c r="BH189" s="72">
        <f t="shared" si="637"/>
        <v>341.58054787921469</v>
      </c>
      <c r="BI189" s="183">
        <f>BI121</f>
        <v>341.58054787921492</v>
      </c>
      <c r="BJ189" s="72"/>
      <c r="BK189" s="72"/>
      <c r="BL189" s="72"/>
      <c r="BM189" s="72"/>
      <c r="BN189" s="183">
        <f>BN121</f>
        <v>453.22914024949887</v>
      </c>
      <c r="BO189" s="72"/>
      <c r="BP189" s="72"/>
      <c r="BQ189" s="72"/>
      <c r="BR189" s="72"/>
      <c r="BS189" s="183">
        <f>BS121</f>
        <v>601.55297710630111</v>
      </c>
      <c r="BT189" s="72"/>
      <c r="BU189" s="373"/>
      <c r="BV189" s="238"/>
      <c r="BW189" s="72"/>
      <c r="BX189" s="72"/>
      <c r="BY189" s="72"/>
      <c r="BZ189" s="531"/>
      <c r="CA189" s="331"/>
      <c r="CB189" s="331"/>
      <c r="CC189" s="559"/>
      <c r="CD189" s="559"/>
      <c r="CE189" s="559"/>
      <c r="CF189" s="331"/>
      <c r="CG189" s="331"/>
      <c r="CH189" s="373"/>
      <c r="CI189" s="72"/>
      <c r="CJ189"/>
      <c r="CK189"/>
      <c r="CL189"/>
      <c r="CM189"/>
      <c r="CN189"/>
      <c r="CO189"/>
      <c r="CP189" s="421"/>
    </row>
    <row r="190" spans="1:94" s="256" customFormat="1" ht="12.75" hidden="1" customHeight="1" x14ac:dyDescent="0.2">
      <c r="A190" s="72" t="s">
        <v>195</v>
      </c>
      <c r="B190" s="72"/>
      <c r="C190" s="72"/>
      <c r="D190" s="72"/>
      <c r="E190" s="72"/>
      <c r="F190" s="183">
        <f>F122</f>
        <v>26.610999999999986</v>
      </c>
      <c r="G190" s="72"/>
      <c r="H190" s="72"/>
      <c r="I190" s="72"/>
      <c r="J190" s="72">
        <f>J122+I122+H122+G122</f>
        <v>56.69822700000006</v>
      </c>
      <c r="K190" s="183">
        <f>K122</f>
        <v>56.698227000000074</v>
      </c>
      <c r="L190" s="72">
        <f>L122+H122+J122+I122</f>
        <v>84.090417000000045</v>
      </c>
      <c r="M190" s="72">
        <f>M122+I122+L122+J122</f>
        <v>125.15071500000005</v>
      </c>
      <c r="N190" s="72">
        <f>N122+J122+M122+L122</f>
        <v>119.52968000000001</v>
      </c>
      <c r="O190" s="72">
        <f>O122+N122+M122+L122</f>
        <v>115.50118000000001</v>
      </c>
      <c r="P190" s="183">
        <f>P122</f>
        <v>115.50117999999989</v>
      </c>
      <c r="Q190" s="72">
        <f>Q122+M122+O122+N122</f>
        <v>108.44718</v>
      </c>
      <c r="R190" s="72">
        <f>R122+N122+Q122+O122</f>
        <v>78.599179999999976</v>
      </c>
      <c r="S190" s="72">
        <f>S122+O122+R122+Q122</f>
        <v>69.637</v>
      </c>
      <c r="T190" s="72">
        <f>T122+S122+R122+Q122</f>
        <v>73.126000000000033</v>
      </c>
      <c r="U190" s="183">
        <f>U122</f>
        <v>73.126000000000175</v>
      </c>
      <c r="V190" s="72">
        <f>V122+R122+T122+S122</f>
        <v>76.157000000000025</v>
      </c>
      <c r="W190" s="72">
        <f>W122+S122+V122+T122</f>
        <v>113.09200000000001</v>
      </c>
      <c r="X190" s="72">
        <f>X122+T122+W122+V122</f>
        <v>141.10400000000001</v>
      </c>
      <c r="Y190" s="72">
        <f>Y122+X122+W122+V122</f>
        <v>158.78399999999996</v>
      </c>
      <c r="Z190" s="183">
        <f>Z122</f>
        <v>158.78399999999988</v>
      </c>
      <c r="AA190" s="72">
        <f>AA122+W122+Y122+X122</f>
        <v>171.608</v>
      </c>
      <c r="AB190" s="72">
        <f>AB122+X122+AA122+Y122</f>
        <v>188.816</v>
      </c>
      <c r="AC190" s="72">
        <f>AC122+Y122+AB122+AA122</f>
        <v>184.97099999999998</v>
      </c>
      <c r="AD190" s="72">
        <f>AD122+AC122+AB122+AA122</f>
        <v>181.79800000000003</v>
      </c>
      <c r="AE190" s="183">
        <f>AE122</f>
        <v>181.79799999999992</v>
      </c>
      <c r="AF190" s="72">
        <f>AF122+AB122+AD122+AC122</f>
        <v>200.61599999999999</v>
      </c>
      <c r="AG190" s="72">
        <f>AG122+AC122+AF122+AD122</f>
        <v>221.22499999999999</v>
      </c>
      <c r="AH190" s="72">
        <f>AH122+AD122+AG122+AF122</f>
        <v>278.16900000000004</v>
      </c>
      <c r="AI190" s="72">
        <f>AI122+AH122+AG122+AF122</f>
        <v>315.20299999999997</v>
      </c>
      <c r="AJ190" s="183">
        <f>AJ122</f>
        <v>315.20300000000009</v>
      </c>
      <c r="AK190" s="72">
        <f>AK122+AG122+AI122+AH122</f>
        <v>326.86899999999991</v>
      </c>
      <c r="AL190" s="72">
        <f>AL122+AH122+AK122+AI122</f>
        <v>364.31699999999995</v>
      </c>
      <c r="AM190" s="72">
        <f>AM122+AI122+AL122+AK122</f>
        <v>384.99899999999991</v>
      </c>
      <c r="AN190" s="72">
        <f>AN122+AM122+AL122+AK122</f>
        <v>419.79399999999998</v>
      </c>
      <c r="AO190" s="183">
        <f>AO122</f>
        <v>419.79399999999987</v>
      </c>
      <c r="AP190" s="72">
        <f>AP122+AL122+AN122+AM122</f>
        <v>475.39</v>
      </c>
      <c r="AQ190" s="72">
        <f>AQ122+AM122+AP122+AN122</f>
        <v>494.22700000000003</v>
      </c>
      <c r="AR190" s="72">
        <f>AR122+AN122+AQ122+AP122</f>
        <v>549.45699999999999</v>
      </c>
      <c r="AS190" s="72">
        <f>AS122+AR122+AQ122+AP122</f>
        <v>581.42699999999991</v>
      </c>
      <c r="AT190" s="183">
        <f>AT122</f>
        <v>581.42700000000025</v>
      </c>
      <c r="AU190" s="72">
        <f>AU122+AQ122+AS122+AR122</f>
        <v>595.42200000000003</v>
      </c>
      <c r="AV190" s="72">
        <f>AV122+AR122+AU122+AS122</f>
        <v>614.27100000000007</v>
      </c>
      <c r="AW190" s="72">
        <f>AW122+AS122+AV122+AU122</f>
        <v>605.42600000000004</v>
      </c>
      <c r="AX190" s="72">
        <f>AX122+AW122+AV122+AU122</f>
        <v>586.17300000000012</v>
      </c>
      <c r="AY190" s="183">
        <f>AY122</f>
        <v>586.17300000000023</v>
      </c>
      <c r="AZ190" s="72">
        <f>AZ122+AV122+AX122+AW122</f>
        <v>542.14400000000001</v>
      </c>
      <c r="BA190" s="72">
        <f>BA122+AW122+AZ122+AX122</f>
        <v>556.33100000000002</v>
      </c>
      <c r="BB190" s="72">
        <f>BB122+AX122+BA122+AZ122</f>
        <v>537.346</v>
      </c>
      <c r="BC190" s="72">
        <f t="shared" si="637"/>
        <v>541.654</v>
      </c>
      <c r="BD190" s="183">
        <f>BD122</f>
        <v>541.65400000000045</v>
      </c>
      <c r="BE190" s="72">
        <f>BE122+BA122+BC122+BB122</f>
        <v>537.60281400763017</v>
      </c>
      <c r="BF190" s="72">
        <f>BF122+BE122+BB122+BC122</f>
        <v>492.42409440825145</v>
      </c>
      <c r="BG190" s="72">
        <f>BG122+BF122+BE122+BC122</f>
        <v>519.24881901397077</v>
      </c>
      <c r="BH190" s="72">
        <f t="shared" si="637"/>
        <v>540.31194787921459</v>
      </c>
      <c r="BI190" s="183">
        <f>BI122</f>
        <v>540.31194787921493</v>
      </c>
      <c r="BJ190" s="72"/>
      <c r="BK190" s="72"/>
      <c r="BL190" s="72"/>
      <c r="BM190" s="72"/>
      <c r="BN190" s="183">
        <f>BN122</f>
        <v>691.70682024949883</v>
      </c>
      <c r="BO190" s="72"/>
      <c r="BP190" s="72"/>
      <c r="BQ190" s="72"/>
      <c r="BR190" s="72"/>
      <c r="BS190" s="183">
        <f>BS122</f>
        <v>869.84036710630107</v>
      </c>
      <c r="BT190" s="72"/>
      <c r="BU190" s="373"/>
      <c r="BV190" s="238"/>
      <c r="BW190" s="72"/>
      <c r="BX190" s="72"/>
      <c r="BY190" s="72"/>
      <c r="BZ190" s="531"/>
      <c r="CA190" s="331"/>
      <c r="CB190" s="331"/>
      <c r="CC190" s="559"/>
      <c r="CD190" s="559"/>
      <c r="CE190" s="559"/>
      <c r="CF190" s="331"/>
      <c r="CG190" s="331"/>
      <c r="CH190" s="373"/>
      <c r="CI190" s="72"/>
      <c r="CJ190"/>
      <c r="CK190"/>
      <c r="CL190"/>
      <c r="CM190"/>
      <c r="CN190"/>
      <c r="CO190"/>
      <c r="CP190" s="421"/>
    </row>
    <row r="191" spans="1:94" s="256" customFormat="1" ht="12.75" hidden="1" customHeight="1" x14ac:dyDescent="0.2">
      <c r="A191" s="72" t="s">
        <v>196</v>
      </c>
      <c r="B191" s="72"/>
      <c r="C191" s="72"/>
      <c r="D191" s="72"/>
      <c r="E191" s="72"/>
      <c r="F191" s="183">
        <f>F123</f>
        <v>145.72199999999998</v>
      </c>
      <c r="G191" s="72"/>
      <c r="H191" s="72"/>
      <c r="I191" s="72"/>
      <c r="J191" s="72">
        <f>J123+I123+H123+G123</f>
        <v>162.23922700000006</v>
      </c>
      <c r="K191" s="183">
        <f>K123</f>
        <v>162.23922700000008</v>
      </c>
      <c r="L191" s="72">
        <f>L123+H123+J123+I123</f>
        <v>183.22941700000007</v>
      </c>
      <c r="M191" s="72">
        <f>M123+I123+L123+J123</f>
        <v>219.31471500000006</v>
      </c>
      <c r="N191" s="72">
        <f>N123+J123+M123+L123</f>
        <v>209.83468000000002</v>
      </c>
      <c r="O191" s="72">
        <f>O123+N123+M123+L123</f>
        <v>205.47518000000002</v>
      </c>
      <c r="P191" s="183">
        <f>P123</f>
        <v>205.47517999999988</v>
      </c>
      <c r="Q191" s="72">
        <f>Q123+M123+O123+N123</f>
        <v>198.24718000000001</v>
      </c>
      <c r="R191" s="72">
        <f>R123+N123+Q123+O123</f>
        <v>170.29617999999996</v>
      </c>
      <c r="S191" s="72">
        <f>S123+O123+R123+Q123</f>
        <v>164.72500000000002</v>
      </c>
      <c r="T191" s="72">
        <f>T123+S123+R123+Q123</f>
        <v>174.47000000000003</v>
      </c>
      <c r="U191" s="183">
        <f>U123</f>
        <v>174.47000000000017</v>
      </c>
      <c r="V191" s="72">
        <f>V123+R123+T123+S123</f>
        <v>182.63300000000004</v>
      </c>
      <c r="W191" s="72">
        <f>W123+S123+V123+T123</f>
        <v>223.77600000000001</v>
      </c>
      <c r="X191" s="72">
        <f>X123+T123+W123+V123</f>
        <v>255.52199999999999</v>
      </c>
      <c r="Y191" s="72">
        <f>Y123+X123+W123+V123</f>
        <v>275.26899999999995</v>
      </c>
      <c r="Z191" s="183">
        <f>Z123</f>
        <v>275.26899999999989</v>
      </c>
      <c r="AA191" s="72">
        <f>AA123+W123+Y123+X123</f>
        <v>293.25799999999998</v>
      </c>
      <c r="AB191" s="72">
        <f>AB123+X123+AA123+Y123</f>
        <v>317.44499999999999</v>
      </c>
      <c r="AC191" s="72">
        <f>AC123+Y123+AB123+AA123</f>
        <v>321.91599999999994</v>
      </c>
      <c r="AD191" s="72">
        <f>AD123+AC123+AB123+AA123</f>
        <v>325.37</v>
      </c>
      <c r="AE191" s="183">
        <f>AE123</f>
        <v>325.36999999999989</v>
      </c>
      <c r="AF191" s="72">
        <f>AF123+AB123+AD123+AC123</f>
        <v>352.38700000000006</v>
      </c>
      <c r="AG191" s="72">
        <f>AG123+AC123+AF123+AD123</f>
        <v>378.851</v>
      </c>
      <c r="AH191" s="72">
        <f>AH123+AD123+AG123+AF123</f>
        <v>440.39300000000003</v>
      </c>
      <c r="AI191" s="72">
        <f>AI123+AH123+AG123+AF123</f>
        <v>484.93999999999994</v>
      </c>
      <c r="AJ191" s="183">
        <f>AJ123</f>
        <v>484.94000000000005</v>
      </c>
      <c r="AK191" s="72">
        <f>AK123+AG123+AI123+AH123</f>
        <v>501.92099999999994</v>
      </c>
      <c r="AL191" s="72">
        <f>AL123+AH123+AK123+AI123</f>
        <v>545.67599999999993</v>
      </c>
      <c r="AM191" s="72">
        <f>AM123+AI123+AL123+AK123</f>
        <v>574.23299999999995</v>
      </c>
      <c r="AN191" s="72">
        <f>AN123+AM123+AL123+AK123</f>
        <v>615.62099999999998</v>
      </c>
      <c r="AO191" s="183">
        <f>AO123</f>
        <v>615.62099999999987</v>
      </c>
      <c r="AP191" s="72">
        <f>AP123+AL123+AN123+AM123</f>
        <v>677.61800000000005</v>
      </c>
      <c r="AQ191" s="72">
        <f>AQ123+AM123+AP123+AN123</f>
        <v>701.36000000000013</v>
      </c>
      <c r="AR191" s="72">
        <f>AR123+AN123+AQ123+AP123</f>
        <v>760.10599999999999</v>
      </c>
      <c r="AS191" s="72">
        <f>AS123+AR123+AQ123+AP123</f>
        <v>792.95800000000008</v>
      </c>
      <c r="AT191" s="183">
        <f>AT123</f>
        <v>792.95800000000031</v>
      </c>
      <c r="AU191" s="72">
        <f>AU123+AQ123+AS123+AR123</f>
        <v>806.36700000000008</v>
      </c>
      <c r="AV191" s="72">
        <f>AV123+AR123+AU123+AS123</f>
        <v>821.95300000000009</v>
      </c>
      <c r="AW191" s="72">
        <f>AW123+AS123+AV123+AU123</f>
        <v>808.95000000000016</v>
      </c>
      <c r="AX191" s="72">
        <f>AX123+AW123+AV123+AU123</f>
        <v>787.84800000000007</v>
      </c>
      <c r="AY191" s="183">
        <f>AY123</f>
        <v>787.84800000000018</v>
      </c>
      <c r="AZ191" s="72">
        <f>AZ123+AV123+AX123+AW123</f>
        <v>748.6869999999999</v>
      </c>
      <c r="BA191" s="72">
        <f>BA123+AW123+AZ123+AX123</f>
        <v>765.57600000000002</v>
      </c>
      <c r="BB191" s="72">
        <f>BB123+AX123+BA123+AZ123</f>
        <v>750.61999999999989</v>
      </c>
      <c r="BC191" s="72">
        <f t="shared" si="637"/>
        <v>747.50600000000009</v>
      </c>
      <c r="BD191" s="183">
        <f>BD123</f>
        <v>747.50600000000043</v>
      </c>
      <c r="BE191" s="72">
        <f>BE123+BA123+BC123+BB123</f>
        <v>736.58481400763014</v>
      </c>
      <c r="BF191" s="72">
        <f>BF123+BE123+BB123+BC123</f>
        <v>687.69555323178088</v>
      </c>
      <c r="BG191" s="72">
        <f>BG123+BF123+BE123+BC123</f>
        <v>709.71210722138642</v>
      </c>
      <c r="BH191" s="72">
        <f t="shared" si="637"/>
        <v>725.96531827841125</v>
      </c>
      <c r="BI191" s="183">
        <f>BI123</f>
        <v>725.96531827841136</v>
      </c>
      <c r="BJ191" s="72"/>
      <c r="BK191" s="72"/>
      <c r="BL191" s="72"/>
      <c r="BM191" s="72"/>
      <c r="BN191" s="183">
        <f>BN123</f>
        <v>876.64613922408307</v>
      </c>
      <c r="BO191" s="72"/>
      <c r="BP191" s="72"/>
      <c r="BQ191" s="72"/>
      <c r="BR191" s="72"/>
      <c r="BS191" s="183">
        <f>BS123</f>
        <v>1057.0646506396447</v>
      </c>
      <c r="BT191" s="72"/>
      <c r="BU191" s="373"/>
      <c r="BV191" s="238"/>
      <c r="BW191" s="72"/>
      <c r="BX191" s="72"/>
      <c r="BY191" s="72"/>
      <c r="BZ191" s="531"/>
      <c r="CA191" s="331"/>
      <c r="CB191" s="331"/>
      <c r="CC191" s="559"/>
      <c r="CD191" s="559"/>
      <c r="CE191" s="559"/>
      <c r="CF191" s="331"/>
      <c r="CG191" s="331"/>
      <c r="CH191" s="373"/>
      <c r="CI191" s="72"/>
      <c r="CJ191"/>
      <c r="CK191"/>
      <c r="CL191"/>
      <c r="CM191"/>
      <c r="CN191"/>
      <c r="CO191"/>
      <c r="CP191" s="421"/>
    </row>
    <row r="192" spans="1:94" s="256" customFormat="1" ht="12.75" hidden="1" customHeight="1" x14ac:dyDescent="0.2">
      <c r="A192" s="72" t="s">
        <v>197</v>
      </c>
      <c r="B192" s="72"/>
      <c r="C192" s="72"/>
      <c r="D192" s="72"/>
      <c r="E192" s="72"/>
      <c r="F192" s="183">
        <f>F191+F187</f>
        <v>145.72199999999998</v>
      </c>
      <c r="G192" s="72"/>
      <c r="H192" s="72"/>
      <c r="I192" s="72"/>
      <c r="J192" s="72">
        <f t="shared" ref="J192:AJ192" si="638">J191+J187</f>
        <v>162.23922700000006</v>
      </c>
      <c r="K192" s="183">
        <f t="shared" si="638"/>
        <v>162.23922700000008</v>
      </c>
      <c r="L192" s="72">
        <f t="shared" si="638"/>
        <v>183.22941700000007</v>
      </c>
      <c r="M192" s="72">
        <f t="shared" si="638"/>
        <v>219.31471500000006</v>
      </c>
      <c r="N192" s="72">
        <f t="shared" si="638"/>
        <v>209.83468000000002</v>
      </c>
      <c r="O192" s="72">
        <f t="shared" si="638"/>
        <v>205.47518000000002</v>
      </c>
      <c r="P192" s="183">
        <f t="shared" si="638"/>
        <v>205.47517999999988</v>
      </c>
      <c r="Q192" s="72">
        <f t="shared" si="638"/>
        <v>198.24718000000001</v>
      </c>
      <c r="R192" s="72">
        <f t="shared" si="638"/>
        <v>170.29617999999996</v>
      </c>
      <c r="S192" s="72">
        <f t="shared" si="638"/>
        <v>164.72500000000002</v>
      </c>
      <c r="T192" s="72">
        <f t="shared" si="638"/>
        <v>174.47000000000003</v>
      </c>
      <c r="U192" s="183">
        <f t="shared" si="638"/>
        <v>174.47000000000017</v>
      </c>
      <c r="V192" s="72">
        <f>V191+V187</f>
        <v>182.63300000000004</v>
      </c>
      <c r="W192" s="72">
        <f t="shared" si="638"/>
        <v>223.77600000000001</v>
      </c>
      <c r="X192" s="72">
        <f t="shared" ref="X192:AE192" si="639">X191+X187</f>
        <v>255.52199999999999</v>
      </c>
      <c r="Y192" s="72">
        <f t="shared" si="639"/>
        <v>275.26899999999995</v>
      </c>
      <c r="Z192" s="183">
        <f t="shared" si="639"/>
        <v>275.26899999999989</v>
      </c>
      <c r="AA192" s="72">
        <f t="shared" si="639"/>
        <v>293.25799999999998</v>
      </c>
      <c r="AB192" s="72">
        <f t="shared" si="638"/>
        <v>317.44499999999999</v>
      </c>
      <c r="AC192" s="72">
        <f t="shared" si="639"/>
        <v>321.91599999999994</v>
      </c>
      <c r="AD192" s="72">
        <f t="shared" si="639"/>
        <v>325.37</v>
      </c>
      <c r="AE192" s="183">
        <f t="shared" si="639"/>
        <v>325.36999999999989</v>
      </c>
      <c r="AF192" s="72">
        <f>AF191+AF187</f>
        <v>352.38700000000006</v>
      </c>
      <c r="AG192" s="72">
        <f>AG191+AG187</f>
        <v>378.851</v>
      </c>
      <c r="AH192" s="72">
        <f>AH191+AH187</f>
        <v>440.39300000000003</v>
      </c>
      <c r="AI192" s="72">
        <f>AI191+AI187</f>
        <v>484.93999999999994</v>
      </c>
      <c r="AJ192" s="183">
        <f t="shared" si="638"/>
        <v>484.94000000000005</v>
      </c>
      <c r="AK192" s="72">
        <f t="shared" ref="AK192:AT192" si="640">AK191+AK187</f>
        <v>501.92099999999994</v>
      </c>
      <c r="AL192" s="72">
        <f t="shared" si="640"/>
        <v>545.67599999999993</v>
      </c>
      <c r="AM192" s="72">
        <f t="shared" si="640"/>
        <v>574.23299999999995</v>
      </c>
      <c r="AN192" s="72">
        <f t="shared" si="640"/>
        <v>615.62099999999998</v>
      </c>
      <c r="AO192" s="183">
        <f t="shared" si="640"/>
        <v>615.62099999999987</v>
      </c>
      <c r="AP192" s="72">
        <f t="shared" si="640"/>
        <v>677.61800000000005</v>
      </c>
      <c r="AQ192" s="72">
        <f t="shared" si="640"/>
        <v>701.36000000000013</v>
      </c>
      <c r="AR192" s="72">
        <f t="shared" si="640"/>
        <v>760.10599999999999</v>
      </c>
      <c r="AS192" s="72">
        <f t="shared" si="640"/>
        <v>792.95800000000008</v>
      </c>
      <c r="AT192" s="183">
        <f t="shared" si="640"/>
        <v>792.95800000000031</v>
      </c>
      <c r="AU192" s="72">
        <f t="shared" ref="AU192:BC192" si="641">AU191+AU187</f>
        <v>806.36700000000008</v>
      </c>
      <c r="AV192" s="72">
        <f t="shared" si="641"/>
        <v>821.95300000000009</v>
      </c>
      <c r="AW192" s="72">
        <f t="shared" si="641"/>
        <v>808.95000000000016</v>
      </c>
      <c r="AX192" s="72">
        <f t="shared" si="641"/>
        <v>787.84800000000007</v>
      </c>
      <c r="AY192" s="183">
        <f t="shared" si="641"/>
        <v>787.84800000000018</v>
      </c>
      <c r="AZ192" s="72">
        <f t="shared" si="641"/>
        <v>748.6869999999999</v>
      </c>
      <c r="BA192" s="72">
        <f t="shared" si="641"/>
        <v>765.57600000000002</v>
      </c>
      <c r="BB192" s="72">
        <f t="shared" si="641"/>
        <v>750.61999999999989</v>
      </c>
      <c r="BC192" s="72">
        <f t="shared" si="641"/>
        <v>747.50600000000009</v>
      </c>
      <c r="BD192" s="183">
        <f>BD191+BD187</f>
        <v>747.50600000000043</v>
      </c>
      <c r="BE192" s="72">
        <f t="shared" ref="BE192:BH192" si="642">BE191+BE187</f>
        <v>736.58481400763014</v>
      </c>
      <c r="BF192" s="72">
        <f t="shared" si="642"/>
        <v>687.69555323178088</v>
      </c>
      <c r="BG192" s="72">
        <f t="shared" si="642"/>
        <v>709.71210722138642</v>
      </c>
      <c r="BH192" s="72">
        <f t="shared" si="642"/>
        <v>725.96531827841125</v>
      </c>
      <c r="BI192" s="183">
        <f>BI191+BI187</f>
        <v>725.96531827841136</v>
      </c>
      <c r="BJ192" s="72"/>
      <c r="BK192" s="72"/>
      <c r="BL192" s="72"/>
      <c r="BM192" s="72"/>
      <c r="BN192" s="183">
        <f>BN191+BN187</f>
        <v>876.64613922408307</v>
      </c>
      <c r="BO192" s="72"/>
      <c r="BP192" s="72"/>
      <c r="BQ192" s="72"/>
      <c r="BR192" s="72"/>
      <c r="BS192" s="183">
        <f>BS191+BS187</f>
        <v>1057.0646506396447</v>
      </c>
      <c r="BT192" s="72"/>
      <c r="BU192" s="373"/>
      <c r="BV192" s="238"/>
      <c r="BW192" s="72"/>
      <c r="BX192" s="72"/>
      <c r="BY192" s="72"/>
      <c r="BZ192" s="531"/>
      <c r="CA192" s="331"/>
      <c r="CB192" s="331"/>
      <c r="CC192" s="559"/>
      <c r="CD192" s="559"/>
      <c r="CE192" s="559"/>
      <c r="CF192" s="331"/>
      <c r="CG192" s="331"/>
      <c r="CH192" s="373"/>
      <c r="CI192" s="72"/>
      <c r="CJ192"/>
      <c r="CK192"/>
      <c r="CL192"/>
      <c r="CM192"/>
      <c r="CN192"/>
      <c r="CO192"/>
      <c r="CP192" s="421"/>
    </row>
    <row r="193" spans="1:94" s="256" customFormat="1" ht="12.75" hidden="1" customHeight="1" x14ac:dyDescent="0.2">
      <c r="A193" s="72" t="s">
        <v>198</v>
      </c>
      <c r="B193" s="72"/>
      <c r="C193" s="72"/>
      <c r="D193" s="72"/>
      <c r="E193" s="72"/>
      <c r="F193" s="183">
        <f>F134</f>
        <v>5.9509999999999996</v>
      </c>
      <c r="G193" s="72"/>
      <c r="H193" s="72"/>
      <c r="I193" s="72"/>
      <c r="J193" s="72">
        <f>J134+I134+H134+G134</f>
        <v>1.976</v>
      </c>
      <c r="K193" s="183">
        <f>K134</f>
        <v>1.976</v>
      </c>
      <c r="L193" s="72">
        <f>L134+H134+J134+I134</f>
        <v>1.153</v>
      </c>
      <c r="M193" s="72">
        <f>M134+I134+L134+J134</f>
        <v>0.71599999999999997</v>
      </c>
      <c r="N193" s="72">
        <f>N134+J134+M134+L134</f>
        <v>0.24199999999999999</v>
      </c>
      <c r="O193" s="72">
        <f>O134+N134+M134+L134</f>
        <v>0</v>
      </c>
      <c r="P193" s="183">
        <f>P134</f>
        <v>0</v>
      </c>
      <c r="Q193" s="72">
        <f>Q134+M134+O134+N134</f>
        <v>0</v>
      </c>
      <c r="R193" s="72">
        <f>R134+N134+Q134+O134</f>
        <v>0</v>
      </c>
      <c r="S193" s="72">
        <f>S134+O134+R134+Q134</f>
        <v>0</v>
      </c>
      <c r="T193" s="72">
        <f>T134+S134+R134+Q134</f>
        <v>0</v>
      </c>
      <c r="U193" s="183">
        <f>U134</f>
        <v>0</v>
      </c>
      <c r="V193" s="72">
        <f>V134+R134+T134+S134</f>
        <v>0.41499999999999998</v>
      </c>
      <c r="W193" s="72">
        <f>W134+S134+V134+T134</f>
        <v>1.125</v>
      </c>
      <c r="X193" s="72">
        <f>X134+T134+W134+V134</f>
        <v>1.224</v>
      </c>
      <c r="Y193" s="72">
        <f>Y134+X134+W134+V134</f>
        <v>1.5430000000000001</v>
      </c>
      <c r="Z193" s="183">
        <f>Z134</f>
        <v>1.5429999999999999</v>
      </c>
      <c r="AA193" s="72">
        <f>AA134+W134+Y134+X134</f>
        <v>1.5429999999999999</v>
      </c>
      <c r="AB193" s="72">
        <f>AB134+X134+AA134+Y134</f>
        <v>1.0129999999999999</v>
      </c>
      <c r="AC193" s="72">
        <f>AC134+Y134+AB134+AA134</f>
        <v>1.085</v>
      </c>
      <c r="AD193" s="72">
        <f>AD134+AC134+AB134+AA134</f>
        <v>0.92500000000000004</v>
      </c>
      <c r="AE193" s="183">
        <f>AE134</f>
        <v>0.92500000000000004</v>
      </c>
      <c r="AF193" s="72">
        <f>AF134+AB134+AD134+AC134</f>
        <v>0.626</v>
      </c>
      <c r="AG193" s="72">
        <f>AG134+AC134+AF134+AD134</f>
        <v>0.55100000000000005</v>
      </c>
      <c r="AH193" s="72">
        <f>AH134+AD134+AG134+AF134</f>
        <v>0.46699999999999997</v>
      </c>
      <c r="AI193" s="72">
        <f>AI134+AH134+AG134+AF134</f>
        <v>0.40099999999999997</v>
      </c>
      <c r="AJ193" s="183">
        <f>AJ134</f>
        <v>0.40100000000000002</v>
      </c>
      <c r="AK193" s="72">
        <f>AK134+AG134+AI134+AH134</f>
        <v>0.35299999999999998</v>
      </c>
      <c r="AL193" s="72">
        <f>AL134+AH134+AK134+AI134</f>
        <v>0.33099999999999996</v>
      </c>
      <c r="AM193" s="72">
        <f>AM134+AI134+AL134+AK134</f>
        <v>0.32800000000000001</v>
      </c>
      <c r="AN193" s="72">
        <f>AN134+AM134+AL134+AK134</f>
        <v>0.33600000000000002</v>
      </c>
      <c r="AO193" s="183">
        <f>AO134</f>
        <v>0.33600000000000008</v>
      </c>
      <c r="AP193" s="72">
        <f>AP134+AL134+AN134+AM134</f>
        <v>0.40200000000000008</v>
      </c>
      <c r="AQ193" s="72">
        <f>AQ134+AM134+AP134+AN134</f>
        <v>0.496</v>
      </c>
      <c r="AR193" s="72">
        <f>AR134+AN134+AQ134+AP134</f>
        <v>0.64500000000000002</v>
      </c>
      <c r="AS193" s="72">
        <f>AS134+AR134+AQ134+AP134</f>
        <v>2.125</v>
      </c>
      <c r="AT193" s="183">
        <f>AT134</f>
        <v>2.125</v>
      </c>
      <c r="AU193" s="72">
        <f>AU134+AQ134+AS134+AR134</f>
        <v>3.5569999999999999</v>
      </c>
      <c r="AV193" s="72">
        <f>AV134+AR134+AU134+AS134</f>
        <v>4.827</v>
      </c>
      <c r="AW193" s="72">
        <f>AW134+AS134+AV134+AU134</f>
        <v>5.8159999999999998</v>
      </c>
      <c r="AX193" s="72">
        <f>AX134+AW134+AV134+AU134</f>
        <v>5.2759999999999998</v>
      </c>
      <c r="AY193" s="183">
        <f>AY134</f>
        <v>5.2759999999999998</v>
      </c>
      <c r="AZ193" s="72">
        <f>AZ134+AV134+AX134+AW134</f>
        <v>5.0229999999999997</v>
      </c>
      <c r="BA193" s="72">
        <f>BA134+AW134+AZ134+AX134</f>
        <v>5.4039999999999999</v>
      </c>
      <c r="BB193" s="72">
        <f>BB134+AX134+BA134+AZ134</f>
        <v>6.7869999999999999</v>
      </c>
      <c r="BC193" s="72">
        <f t="shared" ref="BC193:BH193" si="643">BC134+BB134+BA134+AZ134</f>
        <v>8.7360000000000007</v>
      </c>
      <c r="BD193" s="183">
        <f>BD134</f>
        <v>8.7360000000000007</v>
      </c>
      <c r="BE193" s="72">
        <f>BE134+BA134+BC134+BB134</f>
        <v>11.523</v>
      </c>
      <c r="BF193" s="72">
        <f>BF134+BE134+BB134+BC134</f>
        <v>14.295</v>
      </c>
      <c r="BG193" s="72">
        <f>BG134+BF134+BE134+BC134</f>
        <v>16.689999999999998</v>
      </c>
      <c r="BH193" s="72">
        <f t="shared" si="643"/>
        <v>19</v>
      </c>
      <c r="BI193" s="183">
        <f>BI134</f>
        <v>19</v>
      </c>
      <c r="BJ193" s="72"/>
      <c r="BK193" s="72"/>
      <c r="BL193" s="72"/>
      <c r="BM193" s="72"/>
      <c r="BN193" s="183">
        <f>BN134</f>
        <v>14.296721274565284</v>
      </c>
      <c r="BO193" s="72"/>
      <c r="BP193" s="72"/>
      <c r="BQ193" s="72"/>
      <c r="BR193" s="72"/>
      <c r="BS193" s="183">
        <f>BS134</f>
        <v>14.909734324056586</v>
      </c>
      <c r="BT193" s="72"/>
      <c r="BU193" s="373"/>
      <c r="BV193" s="238"/>
      <c r="BW193" s="72"/>
      <c r="BX193" s="72"/>
      <c r="BY193" s="72"/>
      <c r="BZ193" s="531"/>
      <c r="CA193" s="331"/>
      <c r="CB193" s="331"/>
      <c r="CC193" s="559"/>
      <c r="CD193" s="559"/>
      <c r="CE193" s="559"/>
      <c r="CF193" s="331"/>
      <c r="CG193" s="331"/>
      <c r="CH193" s="373"/>
      <c r="CI193" s="72"/>
      <c r="CJ193"/>
      <c r="CK193"/>
      <c r="CL193"/>
      <c r="CM193"/>
      <c r="CN193"/>
      <c r="CO193"/>
      <c r="CP193" s="421"/>
    </row>
    <row r="194" spans="1:94" s="256" customFormat="1" ht="12.75" hidden="1" customHeight="1" x14ac:dyDescent="0.2">
      <c r="A194" s="72" t="s">
        <v>199</v>
      </c>
      <c r="B194" s="72"/>
      <c r="C194" s="72"/>
      <c r="D194" s="72"/>
      <c r="E194" s="72"/>
      <c r="F194" s="183">
        <f>F138</f>
        <v>38.162999999999997</v>
      </c>
      <c r="G194" s="72"/>
      <c r="H194" s="72"/>
      <c r="I194" s="72"/>
      <c r="J194" s="72">
        <f>J138+I138+H138+G138</f>
        <v>40.245999999999995</v>
      </c>
      <c r="K194" s="183">
        <f>K138</f>
        <v>40.245999999999995</v>
      </c>
      <c r="L194" s="72">
        <f>L138+H138+J138+I138</f>
        <v>30.347999999999999</v>
      </c>
      <c r="M194" s="72">
        <f>M138+I138+L138+J138</f>
        <v>20.408999999999999</v>
      </c>
      <c r="N194" s="72">
        <f>N138+J138+M138+L138</f>
        <v>10.436999999999999</v>
      </c>
      <c r="O194" s="72">
        <f>O138+N138+M138+L138</f>
        <v>0</v>
      </c>
      <c r="P194" s="183">
        <f>P138</f>
        <v>0</v>
      </c>
      <c r="Q194" s="72">
        <f>Q138+M138+O138+N138</f>
        <v>0</v>
      </c>
      <c r="R194" s="72">
        <f>R138+N138+Q138+O138</f>
        <v>0</v>
      </c>
      <c r="S194" s="72">
        <f>S138+O138+R138+Q138</f>
        <v>0</v>
      </c>
      <c r="T194" s="72">
        <f>T138+S138+R138+Q138</f>
        <v>0</v>
      </c>
      <c r="U194" s="183">
        <f>U138</f>
        <v>0</v>
      </c>
      <c r="V194" s="72">
        <f>V138+R138+T138+S138</f>
        <v>0</v>
      </c>
      <c r="W194" s="72">
        <f>W138+S138+V138+T138</f>
        <v>0</v>
      </c>
      <c r="X194" s="72">
        <f>X138+T138+W138+V138</f>
        <v>0.44400000000000001</v>
      </c>
      <c r="Y194" s="72">
        <f>Y138+X138+W138+V138</f>
        <v>0.81699999999999995</v>
      </c>
      <c r="Z194" s="183">
        <f>Z138</f>
        <v>0.81699999999999995</v>
      </c>
      <c r="AA194" s="72">
        <f>AA138+W138+Y138+X138</f>
        <v>1.357</v>
      </c>
      <c r="AB194" s="72">
        <f>AB138+X138+AA138+Y138</f>
        <v>2.1509999999999998</v>
      </c>
      <c r="AC194" s="72">
        <f>AC138+Y138+AB138+AA138</f>
        <v>1.7170000000000001</v>
      </c>
      <c r="AD194" s="72">
        <f>AD138+AC138+AB138+AA138</f>
        <v>1.35</v>
      </c>
      <c r="AE194" s="183">
        <f>AE138</f>
        <v>1.35</v>
      </c>
      <c r="AF194" s="72">
        <f>AF138+AB138+AD138+AC138</f>
        <v>0.81900000000000006</v>
      </c>
      <c r="AG194" s="72">
        <f>AG138+AC138+AF138+AD138</f>
        <v>0.12</v>
      </c>
      <c r="AH194" s="72">
        <f>AH138+AD138+AG138+AF138</f>
        <v>0.14600000000000002</v>
      </c>
      <c r="AI194" s="72">
        <f>AI138+AH138+AG138+AF138</f>
        <v>0.214</v>
      </c>
      <c r="AJ194" s="183">
        <f>AJ138</f>
        <v>0.21399999999999997</v>
      </c>
      <c r="AK194" s="72">
        <f>AK138+AG138+AI138+AH138</f>
        <v>0.312</v>
      </c>
      <c r="AL194" s="72">
        <f>AL138+AH138+AK138+AI138</f>
        <v>0.32</v>
      </c>
      <c r="AM194" s="72">
        <f>AM138+AI138+AL138+AK138</f>
        <v>1.1619999999999999</v>
      </c>
      <c r="AN194" s="72">
        <f>AN138+AM138+AL138+AK138</f>
        <v>2.7470000000000003</v>
      </c>
      <c r="AO194" s="183">
        <f>AO138</f>
        <v>2.7469999999999999</v>
      </c>
      <c r="AP194" s="72">
        <f>AP138+AL138+AN138+AM138</f>
        <v>5.452</v>
      </c>
      <c r="AQ194" s="72">
        <f>AQ138+AM138+AP138+AN138</f>
        <v>9.7680000000000007</v>
      </c>
      <c r="AR194" s="72">
        <f>AR138+AN138+AQ138+AP138</f>
        <v>14.840999999999999</v>
      </c>
      <c r="AS194" s="72">
        <f>AS138+AR138+AQ138+AP138</f>
        <v>20.382000000000001</v>
      </c>
      <c r="AT194" s="183">
        <f>AT138</f>
        <v>20.381999999999998</v>
      </c>
      <c r="AU194" s="72">
        <f>AU138+AQ138+AS138+AR138</f>
        <v>25.63</v>
      </c>
      <c r="AV194" s="72">
        <f>AV138+AR138+AU138+AS138</f>
        <v>31.376999999999999</v>
      </c>
      <c r="AW194" s="72">
        <f>AW138+AS138+AV138+AU138</f>
        <v>36.788000000000004</v>
      </c>
      <c r="AX194" s="72">
        <f>AX138+AW138+AV138+AU138</f>
        <v>41.654000000000003</v>
      </c>
      <c r="AY194" s="183">
        <f>AY138</f>
        <v>41.654000000000003</v>
      </c>
      <c r="AZ194" s="72">
        <f>AZ138+AV138+AX138+AW138</f>
        <v>46.067000000000007</v>
      </c>
      <c r="BA194" s="72">
        <f>BA138+AW138+AZ138+AX138</f>
        <v>49.647000000000006</v>
      </c>
      <c r="BB194" s="72">
        <f>BB138+AX138+BA138+AZ138</f>
        <v>53.303000000000004</v>
      </c>
      <c r="BC194" s="72">
        <f t="shared" ref="BC194:BH194" si="644">BC138+BB138+BA138+AZ138</f>
        <v>57.302</v>
      </c>
      <c r="BD194" s="183">
        <f>BD138</f>
        <v>57.302000000000007</v>
      </c>
      <c r="BE194" s="72">
        <f>BE138+BA138+BC138+BB138</f>
        <v>62.728999999999999</v>
      </c>
      <c r="BF194" s="72">
        <f>BF138+BE138+BB138+BC138</f>
        <v>66.882999999999996</v>
      </c>
      <c r="BG194" s="72">
        <f>BG138+BF138+BE138+BC138</f>
        <v>69.765000000000001</v>
      </c>
      <c r="BH194" s="72">
        <f t="shared" si="644"/>
        <v>71.5</v>
      </c>
      <c r="BI194" s="183">
        <f>BI138</f>
        <v>71.5</v>
      </c>
      <c r="BJ194" s="72"/>
      <c r="BK194" s="72"/>
      <c r="BL194" s="72"/>
      <c r="BM194" s="72"/>
      <c r="BN194" s="183">
        <f>BN138</f>
        <v>91</v>
      </c>
      <c r="BO194" s="72"/>
      <c r="BP194" s="72"/>
      <c r="BQ194" s="72"/>
      <c r="BR194" s="72"/>
      <c r="BS194" s="183">
        <f>BS138</f>
        <v>106</v>
      </c>
      <c r="BT194" s="72"/>
      <c r="BU194" s="373"/>
      <c r="BV194" s="238"/>
      <c r="BW194" s="72"/>
      <c r="BX194" s="72"/>
      <c r="BY194" s="72"/>
      <c r="BZ194" s="531"/>
      <c r="CA194" s="331"/>
      <c r="CB194" s="331"/>
      <c r="CC194" s="559"/>
      <c r="CD194" s="559"/>
      <c r="CE194" s="559"/>
      <c r="CF194" s="331"/>
      <c r="CG194" s="331"/>
      <c r="CH194" s="373"/>
      <c r="CI194" s="72"/>
      <c r="CJ194"/>
      <c r="CK194"/>
      <c r="CL194"/>
      <c r="CM194"/>
      <c r="CN194"/>
      <c r="CO194"/>
      <c r="CP194" s="421"/>
    </row>
    <row r="195" spans="1:94" s="256" customFormat="1" ht="12.75" hidden="1" customHeight="1" x14ac:dyDescent="0.2">
      <c r="A195" s="72" t="s">
        <v>200</v>
      </c>
      <c r="B195" s="72"/>
      <c r="C195" s="72"/>
      <c r="D195" s="72"/>
      <c r="E195" s="72"/>
      <c r="F195" s="183">
        <f>F194-F193</f>
        <v>32.211999999999996</v>
      </c>
      <c r="G195" s="72"/>
      <c r="H195" s="72"/>
      <c r="I195" s="72"/>
      <c r="J195" s="72">
        <f t="shared" ref="J195:AJ195" si="645">J194-J193</f>
        <v>38.269999999999996</v>
      </c>
      <c r="K195" s="183">
        <f t="shared" si="645"/>
        <v>38.269999999999996</v>
      </c>
      <c r="L195" s="72">
        <f t="shared" si="645"/>
        <v>29.195</v>
      </c>
      <c r="M195" s="72">
        <f t="shared" si="645"/>
        <v>19.692999999999998</v>
      </c>
      <c r="N195" s="72">
        <f t="shared" si="645"/>
        <v>10.195</v>
      </c>
      <c r="O195" s="72">
        <f t="shared" si="645"/>
        <v>0</v>
      </c>
      <c r="P195" s="183">
        <f t="shared" si="645"/>
        <v>0</v>
      </c>
      <c r="Q195" s="72">
        <f t="shared" si="645"/>
        <v>0</v>
      </c>
      <c r="R195" s="72">
        <f t="shared" si="645"/>
        <v>0</v>
      </c>
      <c r="S195" s="72">
        <f t="shared" si="645"/>
        <v>0</v>
      </c>
      <c r="T195" s="72">
        <f t="shared" si="645"/>
        <v>0</v>
      </c>
      <c r="U195" s="183">
        <f t="shared" si="645"/>
        <v>0</v>
      </c>
      <c r="V195" s="72">
        <f>V194-V193</f>
        <v>-0.41499999999999998</v>
      </c>
      <c r="W195" s="72">
        <f t="shared" si="645"/>
        <v>-1.125</v>
      </c>
      <c r="X195" s="72">
        <f t="shared" ref="X195:AE195" si="646">X194-X193</f>
        <v>-0.78</v>
      </c>
      <c r="Y195" s="72">
        <f t="shared" si="646"/>
        <v>-0.7260000000000002</v>
      </c>
      <c r="Z195" s="183">
        <f t="shared" si="646"/>
        <v>-0.72599999999999998</v>
      </c>
      <c r="AA195" s="72">
        <f t="shared" si="646"/>
        <v>-0.18599999999999994</v>
      </c>
      <c r="AB195" s="72">
        <f t="shared" si="645"/>
        <v>1.1379999999999999</v>
      </c>
      <c r="AC195" s="72">
        <f t="shared" si="646"/>
        <v>0.63200000000000012</v>
      </c>
      <c r="AD195" s="72">
        <f t="shared" si="646"/>
        <v>0.42500000000000004</v>
      </c>
      <c r="AE195" s="183">
        <f t="shared" si="646"/>
        <v>0.42500000000000004</v>
      </c>
      <c r="AF195" s="72">
        <f>AF194-AF193</f>
        <v>0.19300000000000006</v>
      </c>
      <c r="AG195" s="72">
        <f>AG194-AG193</f>
        <v>-0.43100000000000005</v>
      </c>
      <c r="AH195" s="72">
        <f>AH194-AH193</f>
        <v>-0.32099999999999995</v>
      </c>
      <c r="AI195" s="72">
        <f>AI194-AI193</f>
        <v>-0.18699999999999997</v>
      </c>
      <c r="AJ195" s="183">
        <f t="shared" si="645"/>
        <v>-0.18700000000000006</v>
      </c>
      <c r="AK195" s="72">
        <f t="shared" ref="AK195:AT195" si="647">AK194-AK193</f>
        <v>-4.0999999999999981E-2</v>
      </c>
      <c r="AL195" s="72">
        <f t="shared" si="647"/>
        <v>-1.0999999999999954E-2</v>
      </c>
      <c r="AM195" s="72">
        <f t="shared" si="647"/>
        <v>0.83399999999999985</v>
      </c>
      <c r="AN195" s="72">
        <f t="shared" si="647"/>
        <v>2.4110000000000005</v>
      </c>
      <c r="AO195" s="183">
        <f t="shared" si="647"/>
        <v>2.4109999999999996</v>
      </c>
      <c r="AP195" s="72">
        <f t="shared" si="647"/>
        <v>5.05</v>
      </c>
      <c r="AQ195" s="72">
        <f t="shared" si="647"/>
        <v>9.2720000000000002</v>
      </c>
      <c r="AR195" s="72">
        <f t="shared" si="647"/>
        <v>14.196</v>
      </c>
      <c r="AS195" s="72">
        <f t="shared" si="647"/>
        <v>18.257000000000001</v>
      </c>
      <c r="AT195" s="183">
        <f t="shared" si="647"/>
        <v>18.256999999999998</v>
      </c>
      <c r="AU195" s="72">
        <f t="shared" ref="AU195:BC195" si="648">AU194-AU193</f>
        <v>22.073</v>
      </c>
      <c r="AV195" s="72">
        <f t="shared" si="648"/>
        <v>26.549999999999997</v>
      </c>
      <c r="AW195" s="72">
        <f t="shared" si="648"/>
        <v>30.972000000000005</v>
      </c>
      <c r="AX195" s="72">
        <f t="shared" si="648"/>
        <v>36.378</v>
      </c>
      <c r="AY195" s="183">
        <f t="shared" si="648"/>
        <v>36.378</v>
      </c>
      <c r="AZ195" s="72">
        <f t="shared" si="648"/>
        <v>41.044000000000011</v>
      </c>
      <c r="BA195" s="72">
        <f t="shared" si="648"/>
        <v>44.243000000000009</v>
      </c>
      <c r="BB195" s="72">
        <f t="shared" si="648"/>
        <v>46.516000000000005</v>
      </c>
      <c r="BC195" s="72">
        <f t="shared" si="648"/>
        <v>48.566000000000003</v>
      </c>
      <c r="BD195" s="183">
        <f>BD194-BD193</f>
        <v>48.566000000000003</v>
      </c>
      <c r="BE195" s="72">
        <f t="shared" ref="BE195:BH195" si="649">BE194-BE193</f>
        <v>51.206000000000003</v>
      </c>
      <c r="BF195" s="72">
        <f t="shared" si="649"/>
        <v>52.587999999999994</v>
      </c>
      <c r="BG195" s="72">
        <f t="shared" si="649"/>
        <v>53.075000000000003</v>
      </c>
      <c r="BH195" s="72">
        <f t="shared" si="649"/>
        <v>52.5</v>
      </c>
      <c r="BI195" s="183">
        <f>BI194-BI193</f>
        <v>52.5</v>
      </c>
      <c r="BJ195" s="72"/>
      <c r="BK195" s="72"/>
      <c r="BL195" s="72"/>
      <c r="BM195" s="72"/>
      <c r="BN195" s="183">
        <f>BN194-BN193</f>
        <v>76.703278725434714</v>
      </c>
      <c r="BO195" s="72"/>
      <c r="BP195" s="72"/>
      <c r="BQ195" s="72"/>
      <c r="BR195" s="72"/>
      <c r="BS195" s="183">
        <f>BS194-BS193</f>
        <v>91.090265675943414</v>
      </c>
      <c r="BT195" s="72"/>
      <c r="BU195" s="373"/>
      <c r="BV195" s="238"/>
      <c r="BW195" s="72"/>
      <c r="BX195" s="72"/>
      <c r="BY195" s="72"/>
      <c r="BZ195" s="531"/>
      <c r="CA195" s="331"/>
      <c r="CB195" s="331"/>
      <c r="CC195" s="559"/>
      <c r="CD195" s="559"/>
      <c r="CE195" s="559"/>
      <c r="CF195" s="331"/>
      <c r="CG195" s="331"/>
      <c r="CH195" s="373"/>
      <c r="CI195" s="72"/>
      <c r="CJ195"/>
      <c r="CK195"/>
      <c r="CL195"/>
      <c r="CM195"/>
      <c r="CN195"/>
      <c r="CO195"/>
      <c r="CP195" s="421"/>
    </row>
    <row r="196" spans="1:94" s="256" customFormat="1" ht="12.75" hidden="1" customHeight="1" x14ac:dyDescent="0.2">
      <c r="A196" s="72" t="s">
        <v>201</v>
      </c>
      <c r="B196" s="72"/>
      <c r="C196" s="72"/>
      <c r="D196" s="72"/>
      <c r="E196" s="72"/>
      <c r="F196" s="183">
        <f>F144</f>
        <v>-9.4710000000000107</v>
      </c>
      <c r="G196" s="72"/>
      <c r="H196" s="72"/>
      <c r="I196" s="72"/>
      <c r="J196" s="72">
        <f>J144+I144+H144+G144</f>
        <v>13.650227000000072</v>
      </c>
      <c r="K196" s="183">
        <f>K144</f>
        <v>13.650227000000072</v>
      </c>
      <c r="L196" s="72">
        <f>L144+H144+J144+I144</f>
        <v>50.224417000000045</v>
      </c>
      <c r="M196" s="72">
        <f>M144+I144+L144+J144</f>
        <v>101.21371500000005</v>
      </c>
      <c r="N196" s="72">
        <f>N144+J144+M144+L144</f>
        <v>104.58768000000001</v>
      </c>
      <c r="O196" s="72">
        <f>O144+N144+M144+L144</f>
        <v>110.86718</v>
      </c>
      <c r="P196" s="183">
        <f>P144</f>
        <v>110.86717999999989</v>
      </c>
      <c r="Q196" s="72">
        <f>Q144+M144+O144+N144</f>
        <v>103.52718000000002</v>
      </c>
      <c r="R196" s="72">
        <f>R144+N144+Q144+O144</f>
        <v>73.508179999999967</v>
      </c>
      <c r="S196" s="72">
        <f>S144+O144+R144+Q144</f>
        <v>65.160000000000011</v>
      </c>
      <c r="T196" s="72">
        <f>T144+S144+R144+Q144</f>
        <v>68.730000000000032</v>
      </c>
      <c r="U196" s="183">
        <f>U144</f>
        <v>68.730000000000175</v>
      </c>
      <c r="V196" s="72">
        <f>V144+R144+T144+S144</f>
        <v>72.848000000000027</v>
      </c>
      <c r="W196" s="72">
        <f>W144+S144+V144+T144</f>
        <v>110.21400000000001</v>
      </c>
      <c r="X196" s="72">
        <f>X144+T144+W144+V144</f>
        <v>137.41700000000003</v>
      </c>
      <c r="Y196" s="72">
        <f>Y144+X144+W144+V144</f>
        <v>153.85699999999997</v>
      </c>
      <c r="Z196" s="183">
        <f>Z144</f>
        <v>153.85699999999989</v>
      </c>
      <c r="AA196" s="72">
        <f>AA144+W144+Y144+X144</f>
        <v>164.18899999999999</v>
      </c>
      <c r="AB196" s="72">
        <f>AB144+X144+AA144+Y144</f>
        <v>178.86799999999999</v>
      </c>
      <c r="AC196" s="72">
        <f>AC144+Y144+AB144+AA144</f>
        <v>173.27199999999999</v>
      </c>
      <c r="AD196" s="72">
        <f>AD144+AC144+AB144+AA144</f>
        <v>167.13600000000002</v>
      </c>
      <c r="AE196" s="183">
        <f>AE144</f>
        <v>167.13599999999991</v>
      </c>
      <c r="AF196" s="72">
        <f>AF144+AB144+AD144+AC144</f>
        <v>182.14299999999997</v>
      </c>
      <c r="AG196" s="72">
        <f>AG144+AC144+AF144+AD144</f>
        <v>198.44800000000001</v>
      </c>
      <c r="AH196" s="72">
        <f>AH144+AD144+AG144+AF144</f>
        <v>250.64200000000005</v>
      </c>
      <c r="AI196" s="72">
        <f>AI144+AH144+AG144+AF144</f>
        <v>283.37399999999997</v>
      </c>
      <c r="AJ196" s="183">
        <f>AJ144</f>
        <v>283.37400000000008</v>
      </c>
      <c r="AK196" s="72">
        <f>AK144+AG144+AI144+AH144</f>
        <v>290.2589999999999</v>
      </c>
      <c r="AL196" s="72">
        <f>AL144+AH144+AK144+AI144</f>
        <v>323.92999999999995</v>
      </c>
      <c r="AM196" s="72">
        <f>AM144+AI144+AL144+AK144</f>
        <v>341.77999999999992</v>
      </c>
      <c r="AN196" s="72">
        <f>AN144+AM144+AL144+AK144</f>
        <v>370.71999999999997</v>
      </c>
      <c r="AO196" s="183">
        <f>AO144</f>
        <v>370.71999999999986</v>
      </c>
      <c r="AP196" s="72">
        <f>AP144+AL144+AN144+AM144</f>
        <v>422.32600000000002</v>
      </c>
      <c r="AQ196" s="72">
        <f>AQ144+AM144+AP144+AN144</f>
        <v>433.87900000000002</v>
      </c>
      <c r="AR196" s="72">
        <f>AR144+AN144+AQ144+AP144</f>
        <v>477.96199999999999</v>
      </c>
      <c r="AS196" s="72">
        <f>AS144+AR144+AQ144+AP144</f>
        <v>500.8</v>
      </c>
      <c r="AT196" s="183">
        <f>AT144</f>
        <v>500.80000000000024</v>
      </c>
      <c r="AU196" s="72">
        <f>AU144+AQ144+AS144+AR144</f>
        <v>503.52700000000004</v>
      </c>
      <c r="AV196" s="72">
        <f>AV144+AR144+AU144+AS144</f>
        <v>509.91000000000008</v>
      </c>
      <c r="AW196" s="72">
        <f>AW144+AS144+AV144+AU144</f>
        <v>490.99000000000012</v>
      </c>
      <c r="AX196" s="72">
        <f>AX144+AW144+AV144+AU144</f>
        <v>460.83600000000013</v>
      </c>
      <c r="AY196" s="183">
        <f>AY144</f>
        <v>460.83600000000024</v>
      </c>
      <c r="AZ196" s="72">
        <f>AZ144+AV144+AX144+AW144</f>
        <v>404.06300000000005</v>
      </c>
      <c r="BA196" s="72">
        <f>BA144+AW144+AZ144+AX144</f>
        <v>405.30099999999999</v>
      </c>
      <c r="BB196" s="72">
        <f>BB144+AX144+BA144+AZ144</f>
        <v>372.70899999999995</v>
      </c>
      <c r="BC196" s="72">
        <f t="shared" ref="BC196:BH196" si="650">BC144+BB144+BA144+AZ144</f>
        <v>366.36299999999994</v>
      </c>
      <c r="BD196" s="183">
        <f>BD144</f>
        <v>366.3630000000004</v>
      </c>
      <c r="BE196" s="72">
        <f>BE144+BA144+BC144+BB144</f>
        <v>346.00381400763007</v>
      </c>
      <c r="BF196" s="72">
        <f>BF144+BE144+BB144+BC144</f>
        <v>279.77269440825148</v>
      </c>
      <c r="BG196" s="72">
        <f>BG144+BF144+BE144+BC144</f>
        <v>282.30141901397076</v>
      </c>
      <c r="BH196" s="72">
        <f t="shared" si="650"/>
        <v>280.08054787921469</v>
      </c>
      <c r="BI196" s="183">
        <f>BI144</f>
        <v>280.08054787921492</v>
      </c>
      <c r="BJ196" s="72"/>
      <c r="BK196" s="72"/>
      <c r="BL196" s="72"/>
      <c r="BM196" s="72"/>
      <c r="BN196" s="183">
        <f>BN144</f>
        <v>367.52586152406417</v>
      </c>
      <c r="BO196" s="72"/>
      <c r="BP196" s="72"/>
      <c r="BQ196" s="72"/>
      <c r="BR196" s="72"/>
      <c r="BS196" s="183">
        <f>BS144</f>
        <v>501.46271143035767</v>
      </c>
      <c r="BT196" s="72"/>
      <c r="BU196" s="373"/>
      <c r="BV196" s="238"/>
      <c r="BW196" s="72"/>
      <c r="BX196" s="72"/>
      <c r="BY196" s="72"/>
      <c r="BZ196" s="531"/>
      <c r="CA196" s="331"/>
      <c r="CB196" s="331"/>
      <c r="CC196" s="559"/>
      <c r="CD196" s="559"/>
      <c r="CE196" s="559"/>
      <c r="CF196" s="331"/>
      <c r="CG196" s="331"/>
      <c r="CH196" s="373"/>
      <c r="CI196" s="72"/>
      <c r="CJ196"/>
      <c r="CK196"/>
      <c r="CL196"/>
      <c r="CM196"/>
      <c r="CN196"/>
      <c r="CO196"/>
      <c r="CP196" s="421"/>
    </row>
    <row r="197" spans="1:94" s="256" customFormat="1" ht="12.75" hidden="1" customHeight="1" x14ac:dyDescent="0.2">
      <c r="A197" s="72" t="s">
        <v>202</v>
      </c>
      <c r="B197" s="72"/>
      <c r="C197" s="72"/>
      <c r="D197" s="72"/>
      <c r="E197" s="72"/>
      <c r="F197" s="183">
        <f>F147</f>
        <v>-9.5150000000000112</v>
      </c>
      <c r="G197" s="72"/>
      <c r="H197" s="72"/>
      <c r="I197" s="72"/>
      <c r="J197" s="72">
        <f>J147+I147+H147+G147</f>
        <v>13.262227000000067</v>
      </c>
      <c r="K197" s="183">
        <f>K147</f>
        <v>13.262227000000072</v>
      </c>
      <c r="L197" s="72">
        <f>L147+H147+J147+I147</f>
        <v>37.847417000000043</v>
      </c>
      <c r="M197" s="72">
        <f>M147+I147+L147+J147</f>
        <v>77.011715000000066</v>
      </c>
      <c r="N197" s="72">
        <f>N147+J147+M147+L147</f>
        <v>69.717680000000001</v>
      </c>
      <c r="O197" s="72">
        <f>O147+N147+M147+L147</f>
        <v>63.62418000000001</v>
      </c>
      <c r="P197" s="183">
        <f>P147</f>
        <v>63.624179999999896</v>
      </c>
      <c r="Q197" s="72">
        <f>Q147+M147+O147+N147</f>
        <v>59.088180000000008</v>
      </c>
      <c r="R197" s="72">
        <f>R147+N147+Q147+O147</f>
        <v>40.15017999999997</v>
      </c>
      <c r="S197" s="72">
        <f>S147+O147+R147+Q147</f>
        <v>34.378000000000007</v>
      </c>
      <c r="T197" s="72">
        <f>T147+S147+R147+Q147</f>
        <v>42.142000000000031</v>
      </c>
      <c r="U197" s="183">
        <f>U147</f>
        <v>42.142000000000174</v>
      </c>
      <c r="V197" s="72">
        <f>V147+R147+T147+S147</f>
        <v>44.933000000000021</v>
      </c>
      <c r="W197" s="72">
        <f>W147+S147+V147+T147</f>
        <v>68.127000000000024</v>
      </c>
      <c r="X197" s="72">
        <f>X147+T147+W147+V147</f>
        <v>85.88900000000001</v>
      </c>
      <c r="Y197" s="72">
        <f>Y147+X147+W147+V147</f>
        <v>96.684999999999974</v>
      </c>
      <c r="Z197" s="183">
        <f>Z147</f>
        <v>96.684999999999889</v>
      </c>
      <c r="AA197" s="72">
        <f>AA147+W147+Y147+X147</f>
        <v>103.108</v>
      </c>
      <c r="AB197" s="72">
        <f>AB147+X147+AA147+Y147</f>
        <v>111.62800000000001</v>
      </c>
      <c r="AC197" s="72">
        <f>AC147+Y147+AB147+AA147</f>
        <v>108.19699999999997</v>
      </c>
      <c r="AD197" s="72">
        <f>AD147+AC147+AB147+AA147</f>
        <v>103.85800000000003</v>
      </c>
      <c r="AE197" s="183">
        <f>AE147</f>
        <v>103.85799999999992</v>
      </c>
      <c r="AF197" s="72">
        <f>AF147+AB147+AD147+AC147</f>
        <v>112.78</v>
      </c>
      <c r="AG197" s="72">
        <f>AG147+AC147+AF147+AD147</f>
        <v>123.22399999999999</v>
      </c>
      <c r="AH197" s="72">
        <f>AH147+AD147+AG147+AF147</f>
        <v>156.00600000000003</v>
      </c>
      <c r="AI197" s="72">
        <f>AI147+AH147+AG147+AF147</f>
        <v>177.48099999999999</v>
      </c>
      <c r="AJ197" s="183">
        <f>AJ147</f>
        <v>177.48100000000008</v>
      </c>
      <c r="AK197" s="72">
        <f>AK147+AG147+AI147+AH147</f>
        <v>182.59399999999994</v>
      </c>
      <c r="AL197" s="72">
        <f>AL147+AH147+AK147+AI147</f>
        <v>203.29099999999997</v>
      </c>
      <c r="AM197" s="72">
        <f>AM147+AI147+AL147+AK147</f>
        <v>219.28699999999992</v>
      </c>
      <c r="AN197" s="72">
        <f>AN147+AM147+AL147+AK147</f>
        <v>237.11699999999996</v>
      </c>
      <c r="AO197" s="183">
        <f>AO147</f>
        <v>237.11699999999985</v>
      </c>
      <c r="AP197" s="72">
        <f>AP147+AL147+AN147+AM147</f>
        <v>269.97199999999998</v>
      </c>
      <c r="AQ197" s="72">
        <f>AQ147+AM147+AP147+AN147</f>
        <v>278.351</v>
      </c>
      <c r="AR197" s="72">
        <f>AR147+AN147+AQ147+AP147</f>
        <v>301.70699999999999</v>
      </c>
      <c r="AS197" s="72">
        <f>AS147+AR147+AQ147+AP147</f>
        <v>316.20399999999995</v>
      </c>
      <c r="AT197" s="183">
        <f>AT147</f>
        <v>316.20400000000024</v>
      </c>
      <c r="AU197" s="72">
        <f>AU147+AQ147+AS147+AR147</f>
        <v>317.77</v>
      </c>
      <c r="AV197" s="72">
        <f>AV147+AR147+AU147+AS147</f>
        <v>321.42900000000009</v>
      </c>
      <c r="AW197" s="72">
        <f>AW147+AS147+AV147+AU147</f>
        <v>310.45800000000008</v>
      </c>
      <c r="AX197" s="72">
        <f>AX147+AW147+AV147+AU147</f>
        <v>290.97800000000007</v>
      </c>
      <c r="AY197" s="183">
        <f>AY147</f>
        <v>290.97800000000024</v>
      </c>
      <c r="AZ197" s="72">
        <f>AZ147+AV147+AX147+AW147</f>
        <v>254.251</v>
      </c>
      <c r="BA197" s="72">
        <f>BA147+AW147+AZ147+AX147</f>
        <v>254.83099999999999</v>
      </c>
      <c r="BB197" s="72">
        <f>BB147+AX147+BA147+AZ147</f>
        <v>234.00699999999998</v>
      </c>
      <c r="BC197" s="72">
        <f t="shared" ref="BC197:BH197" si="651">BC147+BB147+BA147+AZ147</f>
        <v>230.52299999999994</v>
      </c>
      <c r="BD197" s="183">
        <f>BD147</f>
        <v>230.52300000000042</v>
      </c>
      <c r="BE197" s="72">
        <f>BE147+BA147+BC147+BB147</f>
        <v>223.34529864579886</v>
      </c>
      <c r="BF197" s="72">
        <f>BF147+BE147+BB147+BC147</f>
        <v>189.34388775027116</v>
      </c>
      <c r="BG197" s="72">
        <f>BG147+BF147+BE147+BC147</f>
        <v>204.15395845061778</v>
      </c>
      <c r="BH197" s="72">
        <f t="shared" si="651"/>
        <v>212.86121638820319</v>
      </c>
      <c r="BI197" s="183">
        <f>BI147</f>
        <v>212.86121638820339</v>
      </c>
      <c r="BJ197" s="72"/>
      <c r="BK197" s="72"/>
      <c r="BL197" s="72"/>
      <c r="BM197" s="72"/>
      <c r="BN197" s="183">
        <f>BN147</f>
        <v>279.31965475828878</v>
      </c>
      <c r="BO197" s="72"/>
      <c r="BP197" s="72"/>
      <c r="BQ197" s="72"/>
      <c r="BR197" s="72"/>
      <c r="BS197" s="183">
        <f>BS147</f>
        <v>381.11166068707183</v>
      </c>
      <c r="BT197" s="72"/>
      <c r="BU197" s="373"/>
      <c r="BV197" s="238"/>
      <c r="BW197" s="72"/>
      <c r="BX197" s="72"/>
      <c r="BY197" s="72"/>
      <c r="BZ197" s="531"/>
      <c r="CA197" s="331"/>
      <c r="CB197" s="331"/>
      <c r="CC197" s="559"/>
      <c r="CD197" s="559"/>
      <c r="CE197" s="559"/>
      <c r="CF197" s="331"/>
      <c r="CG197" s="331"/>
      <c r="CH197" s="373"/>
      <c r="CI197" s="72"/>
      <c r="CJ197"/>
      <c r="CK197"/>
      <c r="CL197"/>
      <c r="CM197"/>
      <c r="CN197"/>
      <c r="CO197"/>
      <c r="CP197" s="421"/>
    </row>
    <row r="198" spans="1:94" s="255" customFormat="1" ht="12.75" hidden="1" customHeight="1" x14ac:dyDescent="0.2">
      <c r="A198" s="10" t="s">
        <v>203</v>
      </c>
      <c r="B198" s="10"/>
      <c r="C198" s="10"/>
      <c r="D198" s="10"/>
      <c r="E198" s="10"/>
      <c r="F198" s="185"/>
      <c r="G198" s="10"/>
      <c r="H198" s="10"/>
      <c r="I198" s="10"/>
      <c r="J198" s="10"/>
      <c r="K198" s="185"/>
      <c r="L198" s="10"/>
      <c r="M198" s="10"/>
      <c r="N198" s="10"/>
      <c r="O198" s="10"/>
      <c r="P198" s="185"/>
      <c r="Q198" s="10"/>
      <c r="R198" s="10"/>
      <c r="S198" s="10"/>
      <c r="T198" s="10"/>
      <c r="U198" s="185"/>
      <c r="V198" s="10"/>
      <c r="W198" s="10"/>
      <c r="X198" s="10"/>
      <c r="Y198" s="10"/>
      <c r="Z198" s="185"/>
      <c r="AA198" s="10"/>
      <c r="AB198" s="10"/>
      <c r="AC198" s="10"/>
      <c r="AD198" s="10"/>
      <c r="AE198" s="185"/>
      <c r="AF198" s="10"/>
      <c r="AG198" s="10"/>
      <c r="AH198" s="10"/>
      <c r="AI198" s="10"/>
      <c r="AJ198" s="185"/>
      <c r="AK198" s="10"/>
      <c r="AL198" s="10"/>
      <c r="AM198" s="10"/>
      <c r="AN198" s="10"/>
      <c r="AO198" s="185"/>
      <c r="AP198" s="10"/>
      <c r="AQ198" s="10"/>
      <c r="AR198" s="10"/>
      <c r="AS198" s="10"/>
      <c r="AT198" s="185"/>
      <c r="AU198" s="10"/>
      <c r="AV198" s="10"/>
      <c r="AW198" s="10"/>
      <c r="AX198" s="10"/>
      <c r="AY198" s="185"/>
      <c r="AZ198" s="10"/>
      <c r="BA198" s="10"/>
      <c r="BB198" s="10"/>
      <c r="BC198" s="10"/>
      <c r="BD198" s="185"/>
      <c r="BE198" s="10"/>
      <c r="BF198" s="10"/>
      <c r="BG198" s="10"/>
      <c r="BH198" s="10"/>
      <c r="BI198" s="185"/>
      <c r="BJ198" s="10"/>
      <c r="BK198" s="10"/>
      <c r="BL198" s="10"/>
      <c r="BM198" s="10"/>
      <c r="BN198" s="185"/>
      <c r="BO198" s="10"/>
      <c r="BP198" s="10"/>
      <c r="BQ198" s="10"/>
      <c r="BR198" s="10"/>
      <c r="BS198" s="185"/>
      <c r="BT198" s="251"/>
      <c r="BU198" s="376"/>
      <c r="BV198" s="284"/>
      <c r="BW198" s="251"/>
      <c r="BX198" s="251"/>
      <c r="BY198" s="251"/>
      <c r="BZ198" s="552"/>
      <c r="CA198" s="10"/>
      <c r="CB198" s="10"/>
      <c r="CC198" s="560"/>
      <c r="CD198" s="560"/>
      <c r="CE198" s="560"/>
      <c r="CF198" s="10"/>
      <c r="CG198" s="10"/>
      <c r="CH198" s="376"/>
      <c r="CI198" s="251"/>
      <c r="CJ198"/>
      <c r="CK198"/>
      <c r="CL198"/>
      <c r="CM198"/>
      <c r="CN198"/>
      <c r="CO198"/>
      <c r="CP198" s="10"/>
    </row>
    <row r="199" spans="1:94" s="260" customFormat="1" ht="12.75" hidden="1" customHeight="1" x14ac:dyDescent="0.2">
      <c r="A199" s="148" t="s">
        <v>187</v>
      </c>
      <c r="B199" s="18"/>
      <c r="C199" s="18"/>
      <c r="D199" s="18"/>
      <c r="E199" s="18"/>
      <c r="F199" s="166">
        <f t="shared" ref="F199:F206" si="652">F181/F$181</f>
        <v>1</v>
      </c>
      <c r="G199" s="18"/>
      <c r="H199" s="18"/>
      <c r="I199" s="18"/>
      <c r="J199" s="18">
        <f t="shared" ref="J199:AO199" si="653">J181/J$181</f>
        <v>1</v>
      </c>
      <c r="K199" s="166">
        <f t="shared" si="653"/>
        <v>1</v>
      </c>
      <c r="L199" s="18">
        <f t="shared" si="653"/>
        <v>1</v>
      </c>
      <c r="M199" s="18">
        <f t="shared" si="653"/>
        <v>1</v>
      </c>
      <c r="N199" s="18">
        <f t="shared" si="653"/>
        <v>1</v>
      </c>
      <c r="O199" s="18">
        <f t="shared" si="653"/>
        <v>1</v>
      </c>
      <c r="P199" s="166">
        <f t="shared" si="653"/>
        <v>1</v>
      </c>
      <c r="Q199" s="18">
        <f t="shared" si="653"/>
        <v>1</v>
      </c>
      <c r="R199" s="18">
        <f t="shared" si="653"/>
        <v>1</v>
      </c>
      <c r="S199" s="18">
        <f t="shared" si="653"/>
        <v>1</v>
      </c>
      <c r="T199" s="18">
        <f t="shared" si="653"/>
        <v>1</v>
      </c>
      <c r="U199" s="166">
        <f t="shared" si="653"/>
        <v>1</v>
      </c>
      <c r="V199" s="18">
        <f t="shared" si="653"/>
        <v>1</v>
      </c>
      <c r="W199" s="18">
        <f t="shared" si="653"/>
        <v>1</v>
      </c>
      <c r="X199" s="18">
        <f t="shared" si="653"/>
        <v>1</v>
      </c>
      <c r="Y199" s="18">
        <f t="shared" si="653"/>
        <v>1</v>
      </c>
      <c r="Z199" s="166">
        <f t="shared" si="653"/>
        <v>1</v>
      </c>
      <c r="AA199" s="18">
        <f t="shared" si="653"/>
        <v>1</v>
      </c>
      <c r="AB199" s="18">
        <f t="shared" si="653"/>
        <v>1</v>
      </c>
      <c r="AC199" s="18">
        <f t="shared" si="653"/>
        <v>1</v>
      </c>
      <c r="AD199" s="18">
        <f t="shared" si="653"/>
        <v>1</v>
      </c>
      <c r="AE199" s="166">
        <f t="shared" si="653"/>
        <v>1</v>
      </c>
      <c r="AF199" s="18">
        <f t="shared" si="653"/>
        <v>1</v>
      </c>
      <c r="AG199" s="18">
        <f t="shared" si="653"/>
        <v>1</v>
      </c>
      <c r="AH199" s="18">
        <f t="shared" si="653"/>
        <v>1</v>
      </c>
      <c r="AI199" s="18">
        <f t="shared" si="653"/>
        <v>1</v>
      </c>
      <c r="AJ199" s="166">
        <f t="shared" si="653"/>
        <v>1</v>
      </c>
      <c r="AK199" s="18">
        <f t="shared" si="653"/>
        <v>1</v>
      </c>
      <c r="AL199" s="18">
        <f t="shared" si="653"/>
        <v>1</v>
      </c>
      <c r="AM199" s="18">
        <f t="shared" si="653"/>
        <v>1</v>
      </c>
      <c r="AN199" s="18">
        <f t="shared" si="653"/>
        <v>1</v>
      </c>
      <c r="AO199" s="166">
        <f t="shared" si="653"/>
        <v>1</v>
      </c>
      <c r="AP199" s="18">
        <f t="shared" ref="AP199:AS215" si="654">AP181/AP$181</f>
        <v>1</v>
      </c>
      <c r="AQ199" s="18">
        <f t="shared" si="654"/>
        <v>1</v>
      </c>
      <c r="AR199" s="18">
        <f t="shared" si="654"/>
        <v>1</v>
      </c>
      <c r="AS199" s="18">
        <f t="shared" si="654"/>
        <v>1</v>
      </c>
      <c r="AT199" s="166">
        <f t="shared" ref="AT199:AX215" si="655">AT181/AT$181</f>
        <v>1</v>
      </c>
      <c r="AU199" s="18">
        <f t="shared" si="655"/>
        <v>1</v>
      </c>
      <c r="AV199" s="18">
        <f t="shared" si="655"/>
        <v>1</v>
      </c>
      <c r="AW199" s="18">
        <f t="shared" si="655"/>
        <v>1</v>
      </c>
      <c r="AX199" s="18">
        <f t="shared" si="655"/>
        <v>1</v>
      </c>
      <c r="AY199" s="166">
        <f t="shared" ref="AY199:BD215" si="656">AY181/AY$181</f>
        <v>1</v>
      </c>
      <c r="AZ199" s="18">
        <f t="shared" si="656"/>
        <v>1</v>
      </c>
      <c r="BA199" s="18">
        <f t="shared" si="656"/>
        <v>1</v>
      </c>
      <c r="BB199" s="18">
        <f t="shared" si="656"/>
        <v>1</v>
      </c>
      <c r="BC199" s="18">
        <f t="shared" si="656"/>
        <v>1</v>
      </c>
      <c r="BD199" s="166">
        <f t="shared" si="656"/>
        <v>1</v>
      </c>
      <c r="BE199" s="18">
        <f t="shared" ref="BE199:BH199" si="657">BE181/BE$181</f>
        <v>1</v>
      </c>
      <c r="BF199" s="18">
        <f t="shared" si="657"/>
        <v>1</v>
      </c>
      <c r="BG199" s="18">
        <f t="shared" si="657"/>
        <v>1</v>
      </c>
      <c r="BH199" s="18">
        <f t="shared" si="657"/>
        <v>1</v>
      </c>
      <c r="BI199" s="166">
        <f t="shared" ref="BI199:BI215" si="658">BI181/BI$181</f>
        <v>1</v>
      </c>
      <c r="BJ199" s="18"/>
      <c r="BK199" s="18"/>
      <c r="BL199" s="18"/>
      <c r="BM199" s="18"/>
      <c r="BN199" s="166">
        <f t="shared" ref="BN199:BN215" si="659">BN181/BN$181</f>
        <v>1</v>
      </c>
      <c r="BO199" s="18"/>
      <c r="BP199" s="18"/>
      <c r="BQ199" s="18"/>
      <c r="BR199" s="18"/>
      <c r="BS199" s="166">
        <f t="shared" ref="BS199:BS215" si="660">BS181/BS$181</f>
        <v>1</v>
      </c>
      <c r="BT199" s="148"/>
      <c r="BU199" s="356"/>
      <c r="BV199" s="224"/>
      <c r="BW199" s="148"/>
      <c r="BX199" s="148"/>
      <c r="BY199" s="148"/>
      <c r="BZ199" s="531"/>
      <c r="CA199" s="322"/>
      <c r="CB199" s="322"/>
      <c r="CC199" s="558"/>
      <c r="CD199" s="558"/>
      <c r="CE199" s="558"/>
      <c r="CF199" s="322"/>
      <c r="CG199" s="322"/>
      <c r="CH199" s="356"/>
      <c r="CI199" s="148"/>
      <c r="CJ199"/>
      <c r="CK199"/>
      <c r="CL199"/>
      <c r="CM199"/>
      <c r="CN199"/>
      <c r="CO199"/>
      <c r="CP199" s="391"/>
    </row>
    <row r="200" spans="1:94" s="260" customFormat="1" ht="12.75" hidden="1" customHeight="1" x14ac:dyDescent="0.2">
      <c r="A200" s="148" t="s">
        <v>188</v>
      </c>
      <c r="B200" s="18"/>
      <c r="C200" s="18"/>
      <c r="D200" s="18"/>
      <c r="E200" s="18"/>
      <c r="F200" s="166">
        <f t="shared" si="652"/>
        <v>0.89976867272698657</v>
      </c>
      <c r="G200" s="18"/>
      <c r="H200" s="18"/>
      <c r="I200" s="18"/>
      <c r="J200" s="18">
        <f t="shared" ref="J200:AJ200" si="661">J182/J$181</f>
        <v>0.8354423479658637</v>
      </c>
      <c r="K200" s="166">
        <f t="shared" si="661"/>
        <v>0.8354423479658637</v>
      </c>
      <c r="L200" s="18">
        <f t="shared" si="661"/>
        <v>0.8136966155925196</v>
      </c>
      <c r="M200" s="18">
        <f t="shared" si="661"/>
        <v>0.79061092419476797</v>
      </c>
      <c r="N200" s="18">
        <f t="shared" si="661"/>
        <v>0.77777037401449212</v>
      </c>
      <c r="O200" s="18">
        <f t="shared" si="661"/>
        <v>0.76593203778091412</v>
      </c>
      <c r="P200" s="166">
        <f t="shared" si="661"/>
        <v>0.76593203778091412</v>
      </c>
      <c r="Q200" s="18">
        <f t="shared" si="661"/>
        <v>0.7554851909996233</v>
      </c>
      <c r="R200" s="18">
        <f t="shared" si="661"/>
        <v>0.74330495590082291</v>
      </c>
      <c r="S200" s="18">
        <f t="shared" si="661"/>
        <v>0.72061169092653032</v>
      </c>
      <c r="T200" s="18">
        <f t="shared" si="661"/>
        <v>0.68858709912769678</v>
      </c>
      <c r="U200" s="166">
        <f t="shared" si="661"/>
        <v>0.68858709912769678</v>
      </c>
      <c r="V200" s="18">
        <f t="shared" si="661"/>
        <v>0.66797931257199861</v>
      </c>
      <c r="W200" s="18">
        <f t="shared" si="661"/>
        <v>0.65530025592196539</v>
      </c>
      <c r="X200" s="18">
        <f t="shared" si="661"/>
        <v>0.64810694378800693</v>
      </c>
      <c r="Y200" s="18">
        <f t="shared" si="661"/>
        <v>0.6438190939762094</v>
      </c>
      <c r="Z200" s="166">
        <f t="shared" si="661"/>
        <v>0.64381909397620962</v>
      </c>
      <c r="AA200" s="18">
        <f t="shared" si="661"/>
        <v>0.62845268368334206</v>
      </c>
      <c r="AB200" s="18">
        <f t="shared" si="661"/>
        <v>0.61782861712639081</v>
      </c>
      <c r="AC200" s="18">
        <f t="shared" si="661"/>
        <v>0.60389038629346092</v>
      </c>
      <c r="AD200" s="18">
        <f t="shared" si="661"/>
        <v>0.59374933631070681</v>
      </c>
      <c r="AE200" s="166">
        <f t="shared" si="661"/>
        <v>0.59374933631070681</v>
      </c>
      <c r="AF200" s="18">
        <f t="shared" si="661"/>
        <v>0.59222463292799854</v>
      </c>
      <c r="AG200" s="18">
        <f t="shared" si="661"/>
        <v>0.58750408220050121</v>
      </c>
      <c r="AH200" s="18">
        <f t="shared" si="661"/>
        <v>0.59400679222535302</v>
      </c>
      <c r="AI200" s="18">
        <f t="shared" si="661"/>
        <v>0.59600274422217325</v>
      </c>
      <c r="AJ200" s="166">
        <f t="shared" si="661"/>
        <v>0.59600274422217325</v>
      </c>
      <c r="AK200" s="18">
        <f t="shared" ref="AK200:AO209" si="662">AK182/AK$181</f>
        <v>0.59293701562486389</v>
      </c>
      <c r="AL200" s="18">
        <f t="shared" si="662"/>
        <v>0.59669623960752682</v>
      </c>
      <c r="AM200" s="18">
        <f t="shared" si="662"/>
        <v>0.59662230158911977</v>
      </c>
      <c r="AN200" s="18">
        <f t="shared" si="662"/>
        <v>0.59276447260791687</v>
      </c>
      <c r="AO200" s="166">
        <f t="shared" si="662"/>
        <v>0.59276447260791687</v>
      </c>
      <c r="AP200" s="18">
        <f t="shared" si="654"/>
        <v>0.58610492071257014</v>
      </c>
      <c r="AQ200" s="18">
        <f t="shared" si="654"/>
        <v>0.5735559266096758</v>
      </c>
      <c r="AR200" s="18">
        <f t="shared" si="654"/>
        <v>0.55981000942701309</v>
      </c>
      <c r="AS200" s="18">
        <f t="shared" si="654"/>
        <v>0.54604632440532486</v>
      </c>
      <c r="AT200" s="166">
        <f t="shared" si="655"/>
        <v>0.54604632440532475</v>
      </c>
      <c r="AU200" s="18">
        <f t="shared" si="655"/>
        <v>0.53447568463090467</v>
      </c>
      <c r="AV200" s="18">
        <f t="shared" si="655"/>
        <v>0.52158109991010215</v>
      </c>
      <c r="AW200" s="18">
        <f t="shared" si="655"/>
        <v>0.51581324269886997</v>
      </c>
      <c r="AX200" s="18">
        <f t="shared" si="655"/>
        <v>0.51707310560579101</v>
      </c>
      <c r="AY200" s="166">
        <f t="shared" si="656"/>
        <v>0.51707310560579101</v>
      </c>
      <c r="AZ200" s="18">
        <f t="shared" si="656"/>
        <v>0.51682867064131011</v>
      </c>
      <c r="BA200" s="18">
        <f t="shared" si="656"/>
        <v>0.52275232360571622</v>
      </c>
      <c r="BB200" s="18">
        <f t="shared" si="656"/>
        <v>0.5191386512752979</v>
      </c>
      <c r="BC200" s="18">
        <f t="shared" si="656"/>
        <v>0.51593894396045414</v>
      </c>
      <c r="BD200" s="166">
        <f t="shared" si="656"/>
        <v>0.51593894396045425</v>
      </c>
      <c r="BE200" s="18">
        <f t="shared" ref="BE200:BH200" si="663">BE182/BE$181</f>
        <v>0.51456062401036173</v>
      </c>
      <c r="BF200" s="18">
        <f t="shared" si="663"/>
        <v>0.51035837202594436</v>
      </c>
      <c r="BG200" s="18">
        <f t="shared" si="663"/>
        <v>0.51392856301121992</v>
      </c>
      <c r="BH200" s="18">
        <f t="shared" si="663"/>
        <v>0.51618998850519882</v>
      </c>
      <c r="BI200" s="166">
        <f t="shared" si="658"/>
        <v>0.5161899885051987</v>
      </c>
      <c r="BJ200" s="18"/>
      <c r="BK200" s="18"/>
      <c r="BL200" s="18"/>
      <c r="BM200" s="18"/>
      <c r="BN200" s="166">
        <f t="shared" si="659"/>
        <v>0.50873152173614022</v>
      </c>
      <c r="BO200" s="18"/>
      <c r="BP200" s="18"/>
      <c r="BQ200" s="18"/>
      <c r="BR200" s="18"/>
      <c r="BS200" s="166">
        <f t="shared" si="660"/>
        <v>0.50126916596749049</v>
      </c>
      <c r="BT200" s="148"/>
      <c r="BU200" s="356"/>
      <c r="BV200" s="224"/>
      <c r="BW200" s="148"/>
      <c r="BX200" s="148"/>
      <c r="BY200" s="148"/>
      <c r="BZ200" s="531"/>
      <c r="CA200" s="322"/>
      <c r="CB200" s="322"/>
      <c r="CC200" s="558"/>
      <c r="CD200" s="558"/>
      <c r="CE200" s="558"/>
      <c r="CF200" s="322"/>
      <c r="CG200" s="322"/>
      <c r="CH200" s="356"/>
      <c r="CI200" s="148"/>
      <c r="CJ200"/>
      <c r="CK200"/>
      <c r="CL200"/>
      <c r="CM200"/>
      <c r="CN200"/>
      <c r="CO200"/>
      <c r="CP200" s="391"/>
    </row>
    <row r="201" spans="1:94" s="260" customFormat="1" ht="12.75" hidden="1" customHeight="1" x14ac:dyDescent="0.2">
      <c r="A201" s="148" t="s">
        <v>189</v>
      </c>
      <c r="B201" s="18"/>
      <c r="C201" s="18"/>
      <c r="D201" s="18"/>
      <c r="E201" s="18"/>
      <c r="F201" s="166">
        <f t="shared" si="652"/>
        <v>0.97230891895152616</v>
      </c>
      <c r="G201" s="18"/>
      <c r="H201" s="18"/>
      <c r="I201" s="18"/>
      <c r="J201" s="18">
        <f t="shared" ref="J201:AJ201" si="664">J183/J$181</f>
        <v>0.93412036595692904</v>
      </c>
      <c r="K201" s="166">
        <f t="shared" si="664"/>
        <v>0.93412036595692882</v>
      </c>
      <c r="L201" s="18">
        <f t="shared" si="664"/>
        <v>0.89465024212192867</v>
      </c>
      <c r="M201" s="18">
        <f t="shared" si="664"/>
        <v>0.83532100370423135</v>
      </c>
      <c r="N201" s="18">
        <f t="shared" si="664"/>
        <v>0.83858344899744397</v>
      </c>
      <c r="O201" s="18">
        <f t="shared" si="664"/>
        <v>0.84348350656251969</v>
      </c>
      <c r="P201" s="166">
        <f t="shared" si="664"/>
        <v>0.8434835065625198</v>
      </c>
      <c r="Q201" s="18">
        <f t="shared" si="664"/>
        <v>0.8568365079076099</v>
      </c>
      <c r="R201" s="18">
        <f t="shared" si="664"/>
        <v>0.89844294954649084</v>
      </c>
      <c r="S201" s="18">
        <f t="shared" si="664"/>
        <v>0.91324053267541427</v>
      </c>
      <c r="T201" s="18">
        <f t="shared" si="664"/>
        <v>0.91369125712786303</v>
      </c>
      <c r="U201" s="166">
        <f t="shared" si="664"/>
        <v>0.91369125712786292</v>
      </c>
      <c r="V201" s="18">
        <f t="shared" si="664"/>
        <v>0.91524878415570521</v>
      </c>
      <c r="W201" s="18">
        <f t="shared" si="664"/>
        <v>0.88471124764112319</v>
      </c>
      <c r="X201" s="18">
        <f t="shared" si="664"/>
        <v>0.86728132243082401</v>
      </c>
      <c r="Y201" s="18">
        <f t="shared" si="664"/>
        <v>0.85901234706204144</v>
      </c>
      <c r="Z201" s="166">
        <f t="shared" si="664"/>
        <v>0.85901234706204166</v>
      </c>
      <c r="AA201" s="18">
        <f t="shared" si="664"/>
        <v>0.85743746376156893</v>
      </c>
      <c r="AB201" s="18">
        <f t="shared" si="664"/>
        <v>0.8528662399333794</v>
      </c>
      <c r="AC201" s="18">
        <f t="shared" si="664"/>
        <v>0.86353664720787882</v>
      </c>
      <c r="AD201" s="18">
        <f t="shared" si="664"/>
        <v>0.87367755167674466</v>
      </c>
      <c r="AE201" s="166">
        <f t="shared" si="664"/>
        <v>0.87367755167674466</v>
      </c>
      <c r="AF201" s="18">
        <f t="shared" si="664"/>
        <v>0.86888051148609202</v>
      </c>
      <c r="AG201" s="18">
        <f t="shared" si="664"/>
        <v>0.8631294269867803</v>
      </c>
      <c r="AH201" s="18">
        <f t="shared" si="664"/>
        <v>0.8396832598586137</v>
      </c>
      <c r="AI201" s="18">
        <f t="shared" si="664"/>
        <v>0.82878471456160452</v>
      </c>
      <c r="AJ201" s="166">
        <f t="shared" si="664"/>
        <v>0.82878471456160441</v>
      </c>
      <c r="AK201" s="18">
        <f t="shared" si="662"/>
        <v>0.83151222316754114</v>
      </c>
      <c r="AL201" s="18">
        <f t="shared" si="662"/>
        <v>0.82147466306638661</v>
      </c>
      <c r="AM201" s="18">
        <f t="shared" si="662"/>
        <v>0.81798722162170234</v>
      </c>
      <c r="AN201" s="18">
        <f t="shared" si="662"/>
        <v>0.80698547303243984</v>
      </c>
      <c r="AO201" s="166">
        <f t="shared" si="662"/>
        <v>0.80698547303243984</v>
      </c>
      <c r="AP201" s="18">
        <f t="shared" si="654"/>
        <v>0.7862666763297278</v>
      </c>
      <c r="AQ201" s="18">
        <f t="shared" si="654"/>
        <v>0.78554035409537915</v>
      </c>
      <c r="AR201" s="18">
        <f t="shared" si="654"/>
        <v>0.76878103376550011</v>
      </c>
      <c r="AS201" s="18">
        <f t="shared" si="654"/>
        <v>0.76300361014876283</v>
      </c>
      <c r="AT201" s="166">
        <f t="shared" si="655"/>
        <v>0.76300361014876272</v>
      </c>
      <c r="AU201" s="18">
        <f t="shared" si="655"/>
        <v>0.76522915255384671</v>
      </c>
      <c r="AV201" s="18">
        <f t="shared" si="655"/>
        <v>0.76350575088533268</v>
      </c>
      <c r="AW201" s="18">
        <f t="shared" si="655"/>
        <v>0.77477842462681978</v>
      </c>
      <c r="AX201" s="18">
        <f t="shared" si="655"/>
        <v>0.79110844477673126</v>
      </c>
      <c r="AY201" s="166">
        <f t="shared" si="656"/>
        <v>0.79110844477673126</v>
      </c>
      <c r="AZ201" s="18">
        <f t="shared" si="656"/>
        <v>0.81789212560075331</v>
      </c>
      <c r="BA201" s="18">
        <f t="shared" si="656"/>
        <v>0.82494901945683852</v>
      </c>
      <c r="BB201" s="18">
        <f t="shared" si="656"/>
        <v>0.84138397270819587</v>
      </c>
      <c r="BC201" s="18">
        <f t="shared" si="656"/>
        <v>0.84835625037296991</v>
      </c>
      <c r="BD201" s="166">
        <f t="shared" si="656"/>
        <v>0.84835625037296991</v>
      </c>
      <c r="BE201" s="18">
        <f t="shared" ref="BE201:BH201" si="665">BE183/BE$181</f>
        <v>0.85898724069218868</v>
      </c>
      <c r="BF201" s="18">
        <f t="shared" si="665"/>
        <v>0.88559309110091133</v>
      </c>
      <c r="BG201" s="18">
        <f t="shared" si="665"/>
        <v>0.89010682603176627</v>
      </c>
      <c r="BH201" s="18">
        <f t="shared" si="665"/>
        <v>0.89300249482849847</v>
      </c>
      <c r="BI201" s="166">
        <f t="shared" si="658"/>
        <v>0.89300249482849836</v>
      </c>
      <c r="BJ201" s="18"/>
      <c r="BK201" s="18"/>
      <c r="BL201" s="18"/>
      <c r="BM201" s="18"/>
      <c r="BN201" s="166">
        <f t="shared" si="659"/>
        <v>0.87437105883974142</v>
      </c>
      <c r="BO201" s="18"/>
      <c r="BP201" s="18"/>
      <c r="BQ201" s="18"/>
      <c r="BR201" s="18"/>
      <c r="BS201" s="166">
        <f t="shared" si="660"/>
        <v>0.85248357425650723</v>
      </c>
      <c r="BT201" s="148"/>
      <c r="BU201" s="356"/>
      <c r="BV201" s="224"/>
      <c r="BW201" s="148"/>
      <c r="BX201" s="148"/>
      <c r="BY201" s="148"/>
      <c r="BZ201" s="531"/>
      <c r="CA201" s="322"/>
      <c r="CB201" s="322"/>
      <c r="CC201" s="558"/>
      <c r="CD201" s="558"/>
      <c r="CE201" s="558"/>
      <c r="CF201" s="322"/>
      <c r="CG201" s="322"/>
      <c r="CH201" s="356"/>
      <c r="CI201" s="148"/>
      <c r="CJ201"/>
      <c r="CK201"/>
      <c r="CL201"/>
      <c r="CM201"/>
      <c r="CN201"/>
      <c r="CO201"/>
      <c r="CP201" s="391"/>
    </row>
    <row r="202" spans="1:94" s="260" customFormat="1" ht="12.75" hidden="1" customHeight="1" x14ac:dyDescent="0.2">
      <c r="A202" s="148" t="s">
        <v>190</v>
      </c>
      <c r="B202" s="18"/>
      <c r="C202" s="18"/>
      <c r="D202" s="18"/>
      <c r="E202" s="18"/>
      <c r="F202" s="166">
        <f t="shared" si="652"/>
        <v>0.34296497568703144</v>
      </c>
      <c r="G202" s="18"/>
      <c r="H202" s="18"/>
      <c r="I202" s="18"/>
      <c r="J202" s="18">
        <f t="shared" ref="J202:AJ202" si="666">J184/J$181</f>
        <v>0.36664246180448157</v>
      </c>
      <c r="K202" s="166">
        <f t="shared" si="666"/>
        <v>0.36664246180448157</v>
      </c>
      <c r="L202" s="18">
        <f t="shared" si="666"/>
        <v>0.3239711745728916</v>
      </c>
      <c r="M202" s="18">
        <f t="shared" si="666"/>
        <v>0.26691601504707002</v>
      </c>
      <c r="N202" s="18">
        <f t="shared" si="666"/>
        <v>0.26421367071810048</v>
      </c>
      <c r="O202" s="18">
        <f t="shared" si="666"/>
        <v>0.26078061699684013</v>
      </c>
      <c r="P202" s="166">
        <f t="shared" si="666"/>
        <v>0.26078061699684019</v>
      </c>
      <c r="Q202" s="18">
        <f t="shared" si="666"/>
        <v>0.28165714597813346</v>
      </c>
      <c r="R202" s="18">
        <f t="shared" si="666"/>
        <v>0.30406677252531961</v>
      </c>
      <c r="S202" s="18">
        <f t="shared" si="666"/>
        <v>0.31309081621285278</v>
      </c>
      <c r="T202" s="18">
        <f t="shared" si="666"/>
        <v>0.32033816950714539</v>
      </c>
      <c r="U202" s="166">
        <f t="shared" si="666"/>
        <v>0.32033816950714544</v>
      </c>
      <c r="V202" s="18">
        <f t="shared" si="666"/>
        <v>0.33411497621331382</v>
      </c>
      <c r="W202" s="18">
        <f t="shared" si="666"/>
        <v>0.34753470456954266</v>
      </c>
      <c r="X202" s="18">
        <f t="shared" si="666"/>
        <v>0.35521235521235522</v>
      </c>
      <c r="Y202" s="18">
        <f t="shared" si="666"/>
        <v>0.35926813830651255</v>
      </c>
      <c r="Z202" s="166">
        <f t="shared" si="666"/>
        <v>0.35926813830651266</v>
      </c>
      <c r="AA202" s="18">
        <f t="shared" si="666"/>
        <v>0.36126766308280822</v>
      </c>
      <c r="AB202" s="18">
        <f t="shared" si="666"/>
        <v>0.35284558621851964</v>
      </c>
      <c r="AC202" s="18">
        <f t="shared" si="666"/>
        <v>0.35326758114267043</v>
      </c>
      <c r="AD202" s="18">
        <f t="shared" si="666"/>
        <v>0.35779831127103706</v>
      </c>
      <c r="AE202" s="166">
        <f t="shared" si="666"/>
        <v>0.35779831127103706</v>
      </c>
      <c r="AF202" s="18">
        <f t="shared" si="666"/>
        <v>0.35430286954077256</v>
      </c>
      <c r="AG202" s="18">
        <f t="shared" si="666"/>
        <v>0.34653860467107306</v>
      </c>
      <c r="AH202" s="18">
        <f t="shared" si="666"/>
        <v>0.33891822260504306</v>
      </c>
      <c r="AI202" s="18">
        <f t="shared" si="666"/>
        <v>0.33334501944831468</v>
      </c>
      <c r="AJ202" s="166">
        <f t="shared" si="666"/>
        <v>0.33334501944831463</v>
      </c>
      <c r="AK202" s="18">
        <f t="shared" si="662"/>
        <v>0.33199104495814297</v>
      </c>
      <c r="AL202" s="18">
        <f t="shared" si="662"/>
        <v>0.3288787402842332</v>
      </c>
      <c r="AM202" s="18">
        <f t="shared" si="662"/>
        <v>0.32387270207881724</v>
      </c>
      <c r="AN202" s="18">
        <f t="shared" si="662"/>
        <v>0.31049762370701706</v>
      </c>
      <c r="AO202" s="166">
        <f t="shared" si="662"/>
        <v>0.31049762370701706</v>
      </c>
      <c r="AP202" s="18">
        <f t="shared" si="654"/>
        <v>0.28285138815912642</v>
      </c>
      <c r="AQ202" s="18">
        <f t="shared" si="654"/>
        <v>0.26418106134543701</v>
      </c>
      <c r="AR202" s="18">
        <f t="shared" si="654"/>
        <v>0.23520207012629143</v>
      </c>
      <c r="AS202" s="18">
        <f t="shared" si="654"/>
        <v>0.2172939714578305</v>
      </c>
      <c r="AT202" s="166">
        <f t="shared" si="655"/>
        <v>0.21729397145783044</v>
      </c>
      <c r="AU202" s="18">
        <f t="shared" si="655"/>
        <v>0.20152214910364818</v>
      </c>
      <c r="AV202" s="18">
        <f t="shared" si="655"/>
        <v>0.19043800009291986</v>
      </c>
      <c r="AW202" s="18">
        <f t="shared" si="655"/>
        <v>0.18918942800175484</v>
      </c>
      <c r="AX202" s="18">
        <f t="shared" si="655"/>
        <v>0.19274826913171481</v>
      </c>
      <c r="AY202" s="166">
        <f t="shared" si="656"/>
        <v>0.19274826913171481</v>
      </c>
      <c r="AZ202" s="18">
        <f t="shared" si="656"/>
        <v>0.21104632635939582</v>
      </c>
      <c r="BA202" s="18">
        <f t="shared" si="656"/>
        <v>0.21276856036722036</v>
      </c>
      <c r="BB202" s="18">
        <f t="shared" si="656"/>
        <v>0.22153528122203514</v>
      </c>
      <c r="BC202" s="18">
        <f t="shared" si="656"/>
        <v>0.23249949200541156</v>
      </c>
      <c r="BD202" s="166">
        <f t="shared" si="656"/>
        <v>0.23249949200541156</v>
      </c>
      <c r="BE202" s="18">
        <f t="shared" ref="BE202:BH202" si="667">BE184/BE$181</f>
        <v>0.24610078460038456</v>
      </c>
      <c r="BF202" s="18">
        <f t="shared" si="667"/>
        <v>0.26695943410256923</v>
      </c>
      <c r="BG202" s="18">
        <f t="shared" si="667"/>
        <v>0.27725214221791067</v>
      </c>
      <c r="BH202" s="18">
        <f t="shared" si="667"/>
        <v>0.28113842951347395</v>
      </c>
      <c r="BI202" s="166">
        <f t="shared" si="658"/>
        <v>0.2811384295134739</v>
      </c>
      <c r="BJ202" s="18"/>
      <c r="BK202" s="18"/>
      <c r="BL202" s="18"/>
      <c r="BM202" s="18"/>
      <c r="BN202" s="166">
        <f t="shared" si="659"/>
        <v>0.26552326062513926</v>
      </c>
      <c r="BO202" s="18"/>
      <c r="BP202" s="18"/>
      <c r="BQ202" s="18"/>
      <c r="BR202" s="18"/>
      <c r="BS202" s="166">
        <f t="shared" si="660"/>
        <v>0.25012295575801885</v>
      </c>
      <c r="BT202" s="148"/>
      <c r="BU202" s="356"/>
      <c r="BV202" s="224"/>
      <c r="BW202" s="148"/>
      <c r="BX202" s="148"/>
      <c r="BY202" s="148"/>
      <c r="BZ202" s="531"/>
      <c r="CA202" s="322"/>
      <c r="CB202" s="322"/>
      <c r="CC202" s="558"/>
      <c r="CD202" s="558"/>
      <c r="CE202" s="558"/>
      <c r="CF202" s="322"/>
      <c r="CG202" s="322"/>
      <c r="CH202" s="356"/>
      <c r="CI202" s="148"/>
      <c r="CJ202"/>
      <c r="CK202"/>
      <c r="CL202"/>
      <c r="CM202"/>
      <c r="CN202"/>
      <c r="CO202"/>
      <c r="CP202" s="391"/>
    </row>
    <row r="203" spans="1:94" s="260" customFormat="1" ht="12.75" hidden="1" customHeight="1" x14ac:dyDescent="0.2">
      <c r="A203" s="148" t="s">
        <v>191</v>
      </c>
      <c r="B203" s="18"/>
      <c r="C203" s="18"/>
      <c r="D203" s="18"/>
      <c r="E203" s="18"/>
      <c r="F203" s="166">
        <f t="shared" si="652"/>
        <v>0.62934394326449472</v>
      </c>
      <c r="G203" s="18"/>
      <c r="H203" s="18"/>
      <c r="I203" s="18"/>
      <c r="J203" s="18">
        <f t="shared" ref="J203:AJ203" si="668">J185/J$181</f>
        <v>0.56747790415244748</v>
      </c>
      <c r="K203" s="166">
        <f t="shared" si="668"/>
        <v>0.56747790415244737</v>
      </c>
      <c r="L203" s="18">
        <f t="shared" si="668"/>
        <v>0.57067906754903708</v>
      </c>
      <c r="M203" s="18">
        <f t="shared" si="668"/>
        <v>0.56840498865716127</v>
      </c>
      <c r="N203" s="18">
        <f t="shared" si="668"/>
        <v>0.57436977827934343</v>
      </c>
      <c r="O203" s="18">
        <f t="shared" si="668"/>
        <v>0.58270288956567939</v>
      </c>
      <c r="P203" s="166">
        <f t="shared" si="668"/>
        <v>0.5827028895656795</v>
      </c>
      <c r="Q203" s="18">
        <f t="shared" si="668"/>
        <v>0.57517936192947638</v>
      </c>
      <c r="R203" s="18">
        <f t="shared" si="668"/>
        <v>0.59437617702117129</v>
      </c>
      <c r="S203" s="18">
        <f t="shared" si="668"/>
        <v>0.60014971646256154</v>
      </c>
      <c r="T203" s="18">
        <f t="shared" si="668"/>
        <v>0.5933530876207177</v>
      </c>
      <c r="U203" s="166">
        <f t="shared" si="668"/>
        <v>0.59335308762071748</v>
      </c>
      <c r="V203" s="18">
        <f t="shared" si="668"/>
        <v>0.58113380794239144</v>
      </c>
      <c r="W203" s="18">
        <f t="shared" si="668"/>
        <v>0.53717654307158058</v>
      </c>
      <c r="X203" s="18">
        <f t="shared" si="668"/>
        <v>0.51206896721846873</v>
      </c>
      <c r="Y203" s="18">
        <f t="shared" si="668"/>
        <v>0.49974420875552883</v>
      </c>
      <c r="Z203" s="166">
        <f t="shared" si="668"/>
        <v>0.49974420875552894</v>
      </c>
      <c r="AA203" s="18">
        <f t="shared" si="668"/>
        <v>0.49616980067876065</v>
      </c>
      <c r="AB203" s="18">
        <f t="shared" si="668"/>
        <v>0.50002065371485971</v>
      </c>
      <c r="AC203" s="18">
        <f t="shared" si="668"/>
        <v>0.51026906606520839</v>
      </c>
      <c r="AD203" s="18">
        <f t="shared" si="668"/>
        <v>0.51587924040570765</v>
      </c>
      <c r="AE203" s="166">
        <f t="shared" si="668"/>
        <v>0.51587924040570765</v>
      </c>
      <c r="AF203" s="18">
        <f t="shared" si="668"/>
        <v>0.51457764194531941</v>
      </c>
      <c r="AG203" s="18">
        <f t="shared" si="668"/>
        <v>0.5165908223157073</v>
      </c>
      <c r="AH203" s="18">
        <f t="shared" si="668"/>
        <v>0.50076503725357069</v>
      </c>
      <c r="AI203" s="18">
        <f t="shared" si="668"/>
        <v>0.49543969511328984</v>
      </c>
      <c r="AJ203" s="166">
        <f t="shared" si="668"/>
        <v>0.49543969511328978</v>
      </c>
      <c r="AK203" s="18">
        <f t="shared" si="662"/>
        <v>0.49952117820939818</v>
      </c>
      <c r="AL203" s="18">
        <f t="shared" si="662"/>
        <v>0.49259592278215347</v>
      </c>
      <c r="AM203" s="18">
        <f t="shared" si="662"/>
        <v>0.4941145195428851</v>
      </c>
      <c r="AN203" s="18">
        <f t="shared" si="662"/>
        <v>0.49648784932542278</v>
      </c>
      <c r="AO203" s="166">
        <f t="shared" si="662"/>
        <v>0.49648784932542278</v>
      </c>
      <c r="AP203" s="18">
        <f t="shared" si="654"/>
        <v>0.50341528817060133</v>
      </c>
      <c r="AQ203" s="18">
        <f t="shared" si="654"/>
        <v>0.52135929274994219</v>
      </c>
      <c r="AR203" s="18">
        <f t="shared" si="654"/>
        <v>0.53357896363920876</v>
      </c>
      <c r="AS203" s="18">
        <f t="shared" si="654"/>
        <v>0.54570963869093236</v>
      </c>
      <c r="AT203" s="166">
        <f t="shared" si="655"/>
        <v>0.54570963869093225</v>
      </c>
      <c r="AU203" s="18">
        <f t="shared" si="655"/>
        <v>0.56370700345019853</v>
      </c>
      <c r="AV203" s="18">
        <f t="shared" si="655"/>
        <v>0.57306775079241279</v>
      </c>
      <c r="AW203" s="18">
        <f t="shared" si="655"/>
        <v>0.58558899662506492</v>
      </c>
      <c r="AX203" s="18">
        <f t="shared" si="655"/>
        <v>0.59836017564501653</v>
      </c>
      <c r="AY203" s="166">
        <f t="shared" si="656"/>
        <v>0.59836017564501653</v>
      </c>
      <c r="AZ203" s="18">
        <f t="shared" si="656"/>
        <v>0.6068457992413574</v>
      </c>
      <c r="BA203" s="18">
        <f t="shared" si="656"/>
        <v>0.61218045908961816</v>
      </c>
      <c r="BB203" s="18">
        <f t="shared" si="656"/>
        <v>0.61984869148616073</v>
      </c>
      <c r="BC203" s="18">
        <f t="shared" si="656"/>
        <v>0.61585675836755827</v>
      </c>
      <c r="BD203" s="166">
        <f t="shared" si="656"/>
        <v>0.61585675836755827</v>
      </c>
      <c r="BE203" s="18">
        <f t="shared" ref="BE203:BH203" si="669">BE185/BE$181</f>
        <v>0.61288645609180414</v>
      </c>
      <c r="BF203" s="18">
        <f t="shared" si="669"/>
        <v>0.61863365699834216</v>
      </c>
      <c r="BG203" s="18">
        <f t="shared" si="669"/>
        <v>0.61285468381385566</v>
      </c>
      <c r="BH203" s="18">
        <f t="shared" si="669"/>
        <v>0.61186406531502446</v>
      </c>
      <c r="BI203" s="166">
        <f t="shared" si="658"/>
        <v>0.61186406531502446</v>
      </c>
      <c r="BJ203" s="18"/>
      <c r="BK203" s="18"/>
      <c r="BL203" s="18"/>
      <c r="BM203" s="18"/>
      <c r="BN203" s="166">
        <f t="shared" si="659"/>
        <v>0.60884779821460222</v>
      </c>
      <c r="BO203" s="18"/>
      <c r="BP203" s="18"/>
      <c r="BQ203" s="18"/>
      <c r="BR203" s="18"/>
      <c r="BS203" s="166">
        <f t="shared" si="660"/>
        <v>0.60236061849848832</v>
      </c>
      <c r="BT203" s="148"/>
      <c r="BU203" s="356"/>
      <c r="BV203" s="224"/>
      <c r="BW203" s="148"/>
      <c r="BX203" s="148"/>
      <c r="BY203" s="148"/>
      <c r="BZ203" s="531"/>
      <c r="CA203" s="322"/>
      <c r="CB203" s="322"/>
      <c r="CC203" s="558"/>
      <c r="CD203" s="558"/>
      <c r="CE203" s="558"/>
      <c r="CF203" s="322"/>
      <c r="CG203" s="322"/>
      <c r="CH203" s="356"/>
      <c r="CI203" s="148"/>
      <c r="CJ203"/>
      <c r="CK203"/>
      <c r="CL203"/>
      <c r="CM203"/>
      <c r="CN203"/>
      <c r="CO203"/>
      <c r="CP203" s="391"/>
    </row>
    <row r="204" spans="1:94" s="260" customFormat="1" ht="12.75" hidden="1" customHeight="1" x14ac:dyDescent="0.2">
      <c r="A204" s="148" t="s">
        <v>192</v>
      </c>
      <c r="B204" s="18"/>
      <c r="C204" s="18"/>
      <c r="D204" s="18"/>
      <c r="E204" s="18"/>
      <c r="F204" s="166">
        <f t="shared" si="652"/>
        <v>0.1561996758270868</v>
      </c>
      <c r="G204" s="18"/>
      <c r="H204" s="18"/>
      <c r="I204" s="18"/>
      <c r="J204" s="18">
        <f t="shared" ref="J204:AJ204" si="670">J186/J$181</f>
        <v>0.13379333600393492</v>
      </c>
      <c r="K204" s="166">
        <f t="shared" si="670"/>
        <v>0.13379333600393489</v>
      </c>
      <c r="L204" s="18">
        <f t="shared" si="670"/>
        <v>0.13134733732122392</v>
      </c>
      <c r="M204" s="18">
        <f t="shared" si="670"/>
        <v>0.12899602178701769</v>
      </c>
      <c r="N204" s="18">
        <f t="shared" si="670"/>
        <v>0.1280291827993881</v>
      </c>
      <c r="O204" s="18">
        <f t="shared" si="670"/>
        <v>0.12852767571953441</v>
      </c>
      <c r="P204" s="166">
        <f t="shared" si="670"/>
        <v>0.12852767571953441</v>
      </c>
      <c r="Q204" s="18">
        <f t="shared" si="670"/>
        <v>0.12575991619740107</v>
      </c>
      <c r="R204" s="18">
        <f t="shared" si="670"/>
        <v>0.12896706239425271</v>
      </c>
      <c r="S204" s="18">
        <f t="shared" si="670"/>
        <v>0.12918547179705947</v>
      </c>
      <c r="T204" s="18">
        <f t="shared" si="670"/>
        <v>0.12971782941767515</v>
      </c>
      <c r="U204" s="166">
        <f t="shared" si="670"/>
        <v>0.12971782941767515</v>
      </c>
      <c r="V204" s="18">
        <f t="shared" si="670"/>
        <v>0.12830350558396678</v>
      </c>
      <c r="W204" s="18">
        <f t="shared" si="670"/>
        <v>0.11921913641416272</v>
      </c>
      <c r="X204" s="18">
        <f t="shared" si="670"/>
        <v>0.1128976079142192</v>
      </c>
      <c r="Y204" s="18">
        <f t="shared" si="670"/>
        <v>0.10874395296428443</v>
      </c>
      <c r="Z204" s="166">
        <f t="shared" si="670"/>
        <v>0.10874395296428445</v>
      </c>
      <c r="AA204" s="18">
        <f t="shared" si="670"/>
        <v>0.10670874783665886</v>
      </c>
      <c r="AB204" s="18">
        <f t="shared" si="670"/>
        <v>0.10626666754789184</v>
      </c>
      <c r="AC204" s="18">
        <f t="shared" si="670"/>
        <v>0.1083392205462015</v>
      </c>
      <c r="AD204" s="18">
        <f t="shared" si="670"/>
        <v>0.10889965624687119</v>
      </c>
      <c r="AE204" s="166">
        <f t="shared" si="670"/>
        <v>0.10889965624687119</v>
      </c>
      <c r="AF204" s="18">
        <f t="shared" si="670"/>
        <v>0.10939790821217736</v>
      </c>
      <c r="AG204" s="18">
        <f t="shared" si="670"/>
        <v>0.10883060231530677</v>
      </c>
      <c r="AH204" s="18">
        <f t="shared" si="670"/>
        <v>0.10381213167983751</v>
      </c>
      <c r="AI204" s="18">
        <f t="shared" si="670"/>
        <v>0.1025982464782986</v>
      </c>
      <c r="AJ204" s="166">
        <f t="shared" si="670"/>
        <v>0.10259824647829859</v>
      </c>
      <c r="AK204" s="18">
        <f t="shared" si="662"/>
        <v>0.10166005104722305</v>
      </c>
      <c r="AL204" s="18">
        <f t="shared" si="662"/>
        <v>9.9981090812064161E-2</v>
      </c>
      <c r="AM204" s="18">
        <f t="shared" si="662"/>
        <v>0.10081312593995879</v>
      </c>
      <c r="AN204" s="18">
        <f t="shared" si="662"/>
        <v>0.10138177036415784</v>
      </c>
      <c r="AO204" s="166">
        <f t="shared" si="662"/>
        <v>0.10138177036415784</v>
      </c>
      <c r="AP204" s="18">
        <f t="shared" si="654"/>
        <v>0.10177820456297799</v>
      </c>
      <c r="AQ204" s="18">
        <f t="shared" si="654"/>
        <v>0.10148444512383929</v>
      </c>
      <c r="AR204" s="18">
        <f t="shared" si="654"/>
        <v>0.10049549068176006</v>
      </c>
      <c r="AS204" s="18">
        <f t="shared" si="654"/>
        <v>9.8778732109777306E-2</v>
      </c>
      <c r="AT204" s="166">
        <f t="shared" si="655"/>
        <v>9.8778732109777279E-2</v>
      </c>
      <c r="AU204" s="18">
        <f t="shared" si="655"/>
        <v>9.6487091372399608E-2</v>
      </c>
      <c r="AV204" s="18">
        <f t="shared" si="655"/>
        <v>9.3678604469267193E-2</v>
      </c>
      <c r="AW204" s="18">
        <f t="shared" si="655"/>
        <v>8.9917563932243288E-2</v>
      </c>
      <c r="AX204" s="18">
        <f t="shared" si="655"/>
        <v>8.6855651011474799E-2</v>
      </c>
      <c r="AY204" s="166">
        <f t="shared" si="656"/>
        <v>8.6855651011474799E-2</v>
      </c>
      <c r="AZ204" s="18">
        <f t="shared" si="656"/>
        <v>8.6945009574588533E-2</v>
      </c>
      <c r="BA204" s="18">
        <f t="shared" si="656"/>
        <v>8.3929376505149381E-2</v>
      </c>
      <c r="BB204" s="18">
        <f t="shared" si="656"/>
        <v>8.3342386313457167E-2</v>
      </c>
      <c r="BC204" s="18">
        <f t="shared" si="656"/>
        <v>7.7748477338153682E-2</v>
      </c>
      <c r="BD204" s="166">
        <f t="shared" si="656"/>
        <v>7.7748477338153668E-2</v>
      </c>
      <c r="BE204" s="18">
        <f t="shared" ref="BE204:BH204" si="671">BE186/BE$181</f>
        <v>7.2008967473452257E-2</v>
      </c>
      <c r="BF204" s="18">
        <f t="shared" si="671"/>
        <v>6.7626736168077364E-2</v>
      </c>
      <c r="BG204" s="18">
        <f t="shared" si="671"/>
        <v>6.1787170522037263E-2</v>
      </c>
      <c r="BH204" s="18">
        <f t="shared" si="671"/>
        <v>5.8154504355496642E-2</v>
      </c>
      <c r="BI204" s="166">
        <f t="shared" si="658"/>
        <v>5.8154504355496628E-2</v>
      </c>
      <c r="BJ204" s="18"/>
      <c r="BK204" s="18"/>
      <c r="BL204" s="18"/>
      <c r="BM204" s="18"/>
      <c r="BN204" s="166">
        <f t="shared" si="659"/>
        <v>5.1262658903366967E-2</v>
      </c>
      <c r="BO204" s="18"/>
      <c r="BP204" s="18"/>
      <c r="BQ204" s="18"/>
      <c r="BR204" s="18"/>
      <c r="BS204" s="166">
        <f t="shared" si="660"/>
        <v>4.5912260715725114E-2</v>
      </c>
      <c r="BT204" s="148"/>
      <c r="BU204" s="356"/>
      <c r="BV204" s="224"/>
      <c r="BW204" s="148"/>
      <c r="BX204" s="148"/>
      <c r="BY204" s="148"/>
      <c r="BZ204" s="531"/>
      <c r="CA204" s="322"/>
      <c r="CB204" s="322"/>
      <c r="CC204" s="558"/>
      <c r="CD204" s="558"/>
      <c r="CE204" s="558"/>
      <c r="CF204" s="322"/>
      <c r="CG204" s="322"/>
      <c r="CH204" s="356"/>
      <c r="CI204" s="148"/>
      <c r="CJ204"/>
      <c r="CK204"/>
      <c r="CL204"/>
      <c r="CM204"/>
      <c r="CN204"/>
      <c r="CO204"/>
      <c r="CP204" s="391"/>
    </row>
    <row r="205" spans="1:94" s="260" customFormat="1" ht="12.75" hidden="1" customHeight="1" x14ac:dyDescent="0.2">
      <c r="A205" s="148" t="s">
        <v>193</v>
      </c>
      <c r="B205" s="18"/>
      <c r="C205" s="18"/>
      <c r="D205" s="18"/>
      <c r="E205" s="18"/>
      <c r="F205" s="166">
        <f t="shared" si="652"/>
        <v>0</v>
      </c>
      <c r="G205" s="18"/>
      <c r="H205" s="18"/>
      <c r="I205" s="18"/>
      <c r="J205" s="18">
        <f t="shared" ref="J205:AJ205" si="672">J187/J$181</f>
        <v>0</v>
      </c>
      <c r="K205" s="166">
        <f t="shared" si="672"/>
        <v>0</v>
      </c>
      <c r="L205" s="18">
        <f t="shared" si="672"/>
        <v>0</v>
      </c>
      <c r="M205" s="18">
        <f t="shared" si="672"/>
        <v>0</v>
      </c>
      <c r="N205" s="18">
        <f t="shared" si="672"/>
        <v>0</v>
      </c>
      <c r="O205" s="18">
        <f t="shared" si="672"/>
        <v>0</v>
      </c>
      <c r="P205" s="166">
        <f t="shared" si="672"/>
        <v>0</v>
      </c>
      <c r="Q205" s="18">
        <f t="shared" si="672"/>
        <v>0</v>
      </c>
      <c r="R205" s="18">
        <f t="shared" si="672"/>
        <v>0</v>
      </c>
      <c r="S205" s="18">
        <f t="shared" si="672"/>
        <v>0</v>
      </c>
      <c r="T205" s="18">
        <f t="shared" si="672"/>
        <v>0</v>
      </c>
      <c r="U205" s="166">
        <f t="shared" si="672"/>
        <v>0</v>
      </c>
      <c r="V205" s="18">
        <f t="shared" si="672"/>
        <v>0</v>
      </c>
      <c r="W205" s="18">
        <f t="shared" si="672"/>
        <v>0</v>
      </c>
      <c r="X205" s="18">
        <f t="shared" si="672"/>
        <v>0</v>
      </c>
      <c r="Y205" s="18">
        <f t="shared" si="672"/>
        <v>0</v>
      </c>
      <c r="Z205" s="166">
        <f t="shared" si="672"/>
        <v>0</v>
      </c>
      <c r="AA205" s="18">
        <f t="shared" si="672"/>
        <v>0</v>
      </c>
      <c r="AB205" s="18">
        <f t="shared" si="672"/>
        <v>0</v>
      </c>
      <c r="AC205" s="18">
        <f t="shared" si="672"/>
        <v>0</v>
      </c>
      <c r="AD205" s="18">
        <f t="shared" si="672"/>
        <v>0</v>
      </c>
      <c r="AE205" s="166">
        <f t="shared" si="672"/>
        <v>0</v>
      </c>
      <c r="AF205" s="18">
        <f t="shared" si="672"/>
        <v>0</v>
      </c>
      <c r="AG205" s="18">
        <f t="shared" si="672"/>
        <v>0</v>
      </c>
      <c r="AH205" s="18">
        <f t="shared" si="672"/>
        <v>0</v>
      </c>
      <c r="AI205" s="18">
        <f t="shared" si="672"/>
        <v>0</v>
      </c>
      <c r="AJ205" s="166">
        <f t="shared" si="672"/>
        <v>0</v>
      </c>
      <c r="AK205" s="18">
        <f t="shared" si="662"/>
        <v>0</v>
      </c>
      <c r="AL205" s="18">
        <f t="shared" si="662"/>
        <v>0</v>
      </c>
      <c r="AM205" s="18">
        <f t="shared" si="662"/>
        <v>0</v>
      </c>
      <c r="AN205" s="18">
        <f t="shared" si="662"/>
        <v>0</v>
      </c>
      <c r="AO205" s="166">
        <f t="shared" si="662"/>
        <v>0</v>
      </c>
      <c r="AP205" s="18">
        <f t="shared" si="654"/>
        <v>0</v>
      </c>
      <c r="AQ205" s="18">
        <f t="shared" si="654"/>
        <v>0</v>
      </c>
      <c r="AR205" s="18">
        <f t="shared" si="654"/>
        <v>0</v>
      </c>
      <c r="AS205" s="18">
        <f t="shared" si="654"/>
        <v>0</v>
      </c>
      <c r="AT205" s="166">
        <f t="shared" si="655"/>
        <v>0</v>
      </c>
      <c r="AU205" s="18">
        <f t="shared" si="655"/>
        <v>0</v>
      </c>
      <c r="AV205" s="18">
        <f t="shared" si="655"/>
        <v>0</v>
      </c>
      <c r="AW205" s="18">
        <f t="shared" si="655"/>
        <v>0</v>
      </c>
      <c r="AX205" s="18">
        <f t="shared" si="655"/>
        <v>0</v>
      </c>
      <c r="AY205" s="166">
        <f t="shared" si="656"/>
        <v>0</v>
      </c>
      <c r="AZ205" s="18">
        <f t="shared" si="656"/>
        <v>0</v>
      </c>
      <c r="BA205" s="18">
        <f t="shared" si="656"/>
        <v>0</v>
      </c>
      <c r="BB205" s="18">
        <f t="shared" si="656"/>
        <v>0</v>
      </c>
      <c r="BC205" s="18">
        <f t="shared" si="656"/>
        <v>0</v>
      </c>
      <c r="BD205" s="166">
        <f t="shared" si="656"/>
        <v>0</v>
      </c>
      <c r="BE205" s="18">
        <f t="shared" ref="BE205:BH205" si="673">BE187/BE$181</f>
        <v>0</v>
      </c>
      <c r="BF205" s="18">
        <f t="shared" si="673"/>
        <v>0</v>
      </c>
      <c r="BG205" s="18">
        <f t="shared" si="673"/>
        <v>0</v>
      </c>
      <c r="BH205" s="18">
        <f t="shared" si="673"/>
        <v>0</v>
      </c>
      <c r="BI205" s="166">
        <f t="shared" si="658"/>
        <v>0</v>
      </c>
      <c r="BJ205" s="18"/>
      <c r="BK205" s="18"/>
      <c r="BL205" s="18"/>
      <c r="BM205" s="18"/>
      <c r="BN205" s="166">
        <f t="shared" si="659"/>
        <v>0</v>
      </c>
      <c r="BO205" s="18"/>
      <c r="BP205" s="18"/>
      <c r="BQ205" s="18"/>
      <c r="BR205" s="18"/>
      <c r="BS205" s="166">
        <f t="shared" si="660"/>
        <v>0</v>
      </c>
      <c r="BT205" s="148"/>
      <c r="BU205" s="356"/>
      <c r="BV205" s="224"/>
      <c r="BW205" s="148"/>
      <c r="BX205" s="148"/>
      <c r="BY205" s="148"/>
      <c r="BZ205" s="531"/>
      <c r="CA205" s="322"/>
      <c r="CB205" s="322"/>
      <c r="CC205" s="558"/>
      <c r="CD205" s="558"/>
      <c r="CE205" s="558"/>
      <c r="CF205" s="322"/>
      <c r="CG205" s="322"/>
      <c r="CH205" s="356"/>
      <c r="CI205" s="148"/>
      <c r="CJ205"/>
      <c r="CK205"/>
      <c r="CL205"/>
      <c r="CM205"/>
      <c r="CN205"/>
      <c r="CO205"/>
      <c r="CP205" s="391"/>
    </row>
    <row r="206" spans="1:94" s="260" customFormat="1" ht="12.75" hidden="1" customHeight="1" x14ac:dyDescent="0.2">
      <c r="A206" s="148" t="s">
        <v>38</v>
      </c>
      <c r="B206" s="18"/>
      <c r="C206" s="18"/>
      <c r="D206" s="18"/>
      <c r="E206" s="18"/>
      <c r="F206" s="166">
        <f t="shared" si="652"/>
        <v>7.206028147440975E-3</v>
      </c>
      <c r="G206" s="18"/>
      <c r="H206" s="18"/>
      <c r="I206" s="18"/>
      <c r="J206" s="18">
        <f t="shared" ref="J206:AJ206" si="674">J188/J$181</f>
        <v>5.9961766450821212E-3</v>
      </c>
      <c r="K206" s="166">
        <f t="shared" si="674"/>
        <v>5.9961766450821212E-3</v>
      </c>
      <c r="L206" s="18">
        <f t="shared" si="674"/>
        <v>6.0600038421537248E-3</v>
      </c>
      <c r="M206" s="18">
        <f t="shared" si="674"/>
        <v>6.7659758676997597E-3</v>
      </c>
      <c r="N206" s="18">
        <f t="shared" si="674"/>
        <v>8.0456853151711135E-3</v>
      </c>
      <c r="O206" s="18">
        <f t="shared" si="674"/>
        <v>8.4767069122159422E-3</v>
      </c>
      <c r="P206" s="166">
        <f t="shared" si="674"/>
        <v>8.4767069122159439E-3</v>
      </c>
      <c r="Q206" s="18">
        <f t="shared" si="674"/>
        <v>8.7107647967464893E-3</v>
      </c>
      <c r="R206" s="18">
        <f t="shared" si="674"/>
        <v>8.9886091776357896E-3</v>
      </c>
      <c r="S206" s="18">
        <f t="shared" si="674"/>
        <v>7.8485662814615151E-3</v>
      </c>
      <c r="T206" s="18">
        <f t="shared" si="674"/>
        <v>7.2907400177916583E-3</v>
      </c>
      <c r="U206" s="166">
        <f t="shared" si="674"/>
        <v>7.2907400177916575E-3</v>
      </c>
      <c r="V206" s="18">
        <f t="shared" si="674"/>
        <v>7.0179159296087611E-3</v>
      </c>
      <c r="W206" s="18">
        <f t="shared" si="674"/>
        <v>6.5240713134742476E-3</v>
      </c>
      <c r="X206" s="18">
        <f t="shared" si="674"/>
        <v>6.5103254472025241E-3</v>
      </c>
      <c r="Y206" s="18">
        <f t="shared" si="674"/>
        <v>7.2443067777211417E-3</v>
      </c>
      <c r="Z206" s="166">
        <f t="shared" si="674"/>
        <v>7.2443067777211434E-3</v>
      </c>
      <c r="AA206" s="18">
        <f t="shared" si="674"/>
        <v>7.9682882478274483E-3</v>
      </c>
      <c r="AB206" s="18">
        <f t="shared" si="674"/>
        <v>8.8563129318691789E-3</v>
      </c>
      <c r="AC206" s="18">
        <f t="shared" si="674"/>
        <v>9.8699486329140163E-3</v>
      </c>
      <c r="AD206" s="18">
        <f t="shared" si="674"/>
        <v>1.1571707266753035E-2</v>
      </c>
      <c r="AE206" s="166">
        <f t="shared" si="674"/>
        <v>1.1571707266753035E-2</v>
      </c>
      <c r="AF206" s="18">
        <f t="shared" si="674"/>
        <v>1.3486337064721445E-2</v>
      </c>
      <c r="AG206" s="18">
        <f t="shared" si="674"/>
        <v>1.587104319986523E-2</v>
      </c>
      <c r="AH206" s="18">
        <f t="shared" si="674"/>
        <v>1.7692166415280524E-2</v>
      </c>
      <c r="AI206" s="18">
        <f t="shared" si="674"/>
        <v>1.9310499067629362E-2</v>
      </c>
      <c r="AJ206" s="166">
        <f t="shared" si="674"/>
        <v>1.9310499067629359E-2</v>
      </c>
      <c r="AK206" s="18">
        <f t="shared" si="662"/>
        <v>2.1338784565038751E-2</v>
      </c>
      <c r="AL206" s="18">
        <f t="shared" si="662"/>
        <v>2.2318354647056973E-2</v>
      </c>
      <c r="AM206" s="18">
        <f t="shared" si="662"/>
        <v>2.3092819314284925E-2</v>
      </c>
      <c r="AN206" s="18">
        <f t="shared" si="662"/>
        <v>2.4317398192153578E-2</v>
      </c>
      <c r="AO206" s="166">
        <f t="shared" si="662"/>
        <v>2.4317398192153571E-2</v>
      </c>
      <c r="AP206" s="18">
        <f t="shared" si="654"/>
        <v>2.5523063512482461E-2</v>
      </c>
      <c r="AQ206" s="18">
        <f t="shared" si="654"/>
        <v>2.7685994144138842E-2</v>
      </c>
      <c r="AR206" s="18">
        <f t="shared" si="654"/>
        <v>3.0913542457816974E-2</v>
      </c>
      <c r="AS206" s="18">
        <f t="shared" si="654"/>
        <v>3.4512854062853295E-2</v>
      </c>
      <c r="AT206" s="166">
        <f t="shared" si="655"/>
        <v>3.4512854062853281E-2</v>
      </c>
      <c r="AU206" s="18">
        <f t="shared" si="655"/>
        <v>3.7577570004542017E-2</v>
      </c>
      <c r="AV206" s="18">
        <f t="shared" si="655"/>
        <v>4.0583446814403311E-2</v>
      </c>
      <c r="AW206" s="18">
        <f t="shared" si="655"/>
        <v>4.2257596917273668E-2</v>
      </c>
      <c r="AX206" s="18">
        <f t="shared" si="655"/>
        <v>4.3556380913333408E-2</v>
      </c>
      <c r="AY206" s="166">
        <f t="shared" si="656"/>
        <v>4.3556380913333408E-2</v>
      </c>
      <c r="AZ206" s="18">
        <f t="shared" si="656"/>
        <v>4.610956831634154E-2</v>
      </c>
      <c r="BA206" s="18">
        <f t="shared" si="656"/>
        <v>4.8096592686718745E-2</v>
      </c>
      <c r="BB206" s="18">
        <f t="shared" si="656"/>
        <v>5.1365957929042874E-2</v>
      </c>
      <c r="BC206" s="18">
        <f t="shared" si="656"/>
        <v>5.2934169189014023E-2</v>
      </c>
      <c r="BD206" s="166">
        <f t="shared" si="656"/>
        <v>5.2934169189014023E-2</v>
      </c>
      <c r="BE206" s="18">
        <f t="shared" ref="BE206:BH206" si="675">BE188/BE$181</f>
        <v>5.3538624975751306E-2</v>
      </c>
      <c r="BF206" s="18">
        <f t="shared" si="675"/>
        <v>5.6130221903247714E-2</v>
      </c>
      <c r="BG206" s="18">
        <f t="shared" si="675"/>
        <v>5.8553541541813581E-2</v>
      </c>
      <c r="BH206" s="18">
        <f t="shared" si="675"/>
        <v>6.2251097526662323E-2</v>
      </c>
      <c r="BI206" s="166">
        <f t="shared" si="658"/>
        <v>6.2251097526662309E-2</v>
      </c>
      <c r="BJ206" s="18"/>
      <c r="BK206" s="18"/>
      <c r="BL206" s="18"/>
      <c r="BM206" s="18"/>
      <c r="BN206" s="166">
        <f t="shared" si="659"/>
        <v>6.6102762969438372E-2</v>
      </c>
      <c r="BO206" s="18"/>
      <c r="BP206" s="18"/>
      <c r="BQ206" s="18"/>
      <c r="BR206" s="18"/>
      <c r="BS206" s="166">
        <f t="shared" si="660"/>
        <v>6.579104143949209E-2</v>
      </c>
      <c r="BT206" s="148"/>
      <c r="BU206" s="356"/>
      <c r="BV206" s="224"/>
      <c r="BW206" s="148"/>
      <c r="BX206" s="148"/>
      <c r="BY206" s="148"/>
      <c r="BZ206" s="531"/>
      <c r="CA206" s="322"/>
      <c r="CB206" s="322"/>
      <c r="CC206" s="558"/>
      <c r="CD206" s="558"/>
      <c r="CE206" s="558"/>
      <c r="CF206" s="322"/>
      <c r="CG206" s="322"/>
      <c r="CH206" s="356"/>
      <c r="CI206" s="148"/>
      <c r="CJ206"/>
      <c r="CK206"/>
      <c r="CL206"/>
      <c r="CM206"/>
      <c r="CN206"/>
      <c r="CO206"/>
      <c r="CP206" s="391"/>
    </row>
    <row r="207" spans="1:94" s="260" customFormat="1" ht="12.75" hidden="1" customHeight="1" x14ac:dyDescent="0.2">
      <c r="A207" s="148" t="s">
        <v>194</v>
      </c>
      <c r="B207" s="18"/>
      <c r="C207" s="18"/>
      <c r="D207" s="18"/>
      <c r="E207" s="18"/>
      <c r="F207" s="166">
        <f t="shared" ref="F207:F215" si="676">F189/F$181</f>
        <v>2.7691081048473797E-2</v>
      </c>
      <c r="G207" s="18"/>
      <c r="H207" s="18"/>
      <c r="I207" s="18"/>
      <c r="J207" s="18">
        <f t="shared" ref="J207:P215" si="677">J189/J$181</f>
        <v>6.587963404307115E-2</v>
      </c>
      <c r="K207" s="166">
        <f t="shared" si="677"/>
        <v>6.587963404307115E-2</v>
      </c>
      <c r="L207" s="18">
        <f t="shared" si="677"/>
        <v>0.10534975787807128</v>
      </c>
      <c r="M207" s="18">
        <f t="shared" si="677"/>
        <v>0.16467899629576871</v>
      </c>
      <c r="N207" s="18">
        <f t="shared" si="677"/>
        <v>0.1614165510025562</v>
      </c>
      <c r="O207" s="18">
        <f t="shared" si="677"/>
        <v>0.15651649343748036</v>
      </c>
      <c r="P207" s="166">
        <f t="shared" si="677"/>
        <v>0.15651649343748023</v>
      </c>
      <c r="Q207" s="18">
        <f t="shared" ref="Q207:V209" si="678">Q189/Q$181</f>
        <v>0.14316349209239013</v>
      </c>
      <c r="R207" s="18">
        <f t="shared" si="678"/>
        <v>0.10155705045350912</v>
      </c>
      <c r="S207" s="18">
        <f t="shared" si="678"/>
        <v>8.6759467324585851E-2</v>
      </c>
      <c r="T207" s="18">
        <f t="shared" si="678"/>
        <v>8.6308742872136884E-2</v>
      </c>
      <c r="U207" s="166">
        <f t="shared" si="678"/>
        <v>8.6308742872137065E-2</v>
      </c>
      <c r="V207" s="18">
        <f t="shared" si="678"/>
        <v>8.4751215844294847E-2</v>
      </c>
      <c r="W207" s="18">
        <f>W189/W$181</f>
        <v>0.11528875235887671</v>
      </c>
      <c r="X207" s="18">
        <f t="shared" ref="X207:AB209" si="679">X189/X$181</f>
        <v>0.13271867756917594</v>
      </c>
      <c r="Y207" s="18">
        <f t="shared" si="679"/>
        <v>0.14098765293795845</v>
      </c>
      <c r="Z207" s="166">
        <f t="shared" si="679"/>
        <v>0.1409876529379584</v>
      </c>
      <c r="AA207" s="18">
        <f t="shared" si="679"/>
        <v>0.14256253623843113</v>
      </c>
      <c r="AB207" s="18">
        <f t="shared" si="679"/>
        <v>0.14713376006662063</v>
      </c>
      <c r="AC207" s="18">
        <f t="shared" ref="AC207:AF215" si="680">AC189/AC$181</f>
        <v>0.1364633527921211</v>
      </c>
      <c r="AD207" s="18">
        <f t="shared" si="680"/>
        <v>0.1263224483232554</v>
      </c>
      <c r="AE207" s="166">
        <f t="shared" si="680"/>
        <v>0.12632244832325532</v>
      </c>
      <c r="AF207" s="18">
        <f t="shared" si="680"/>
        <v>0.13111948851390803</v>
      </c>
      <c r="AG207" s="18">
        <f t="shared" ref="AG207:AI215" si="681">AG189/AG$181</f>
        <v>0.13687057301321978</v>
      </c>
      <c r="AH207" s="18">
        <f t="shared" si="681"/>
        <v>0.16031674014138636</v>
      </c>
      <c r="AI207" s="18">
        <f t="shared" si="681"/>
        <v>0.17121528543839554</v>
      </c>
      <c r="AJ207" s="166">
        <f t="shared" ref="AJ207:AJ215" si="682">AJ189/AJ$181</f>
        <v>0.17121528543839559</v>
      </c>
      <c r="AK207" s="18">
        <f t="shared" si="662"/>
        <v>0.1684877768324588</v>
      </c>
      <c r="AL207" s="18">
        <f t="shared" si="662"/>
        <v>0.1785253369336133</v>
      </c>
      <c r="AM207" s="18">
        <f t="shared" si="662"/>
        <v>0.18201277837829774</v>
      </c>
      <c r="AN207" s="18">
        <f t="shared" si="662"/>
        <v>0.19301452696756025</v>
      </c>
      <c r="AO207" s="166">
        <f t="shared" si="662"/>
        <v>0.19301452696756016</v>
      </c>
      <c r="AP207" s="18">
        <f t="shared" si="654"/>
        <v>0.2137333236702722</v>
      </c>
      <c r="AQ207" s="18">
        <f t="shared" si="654"/>
        <v>0.21445964590462077</v>
      </c>
      <c r="AR207" s="18">
        <f t="shared" si="654"/>
        <v>0.23121896623449978</v>
      </c>
      <c r="AS207" s="18">
        <f t="shared" si="654"/>
        <v>0.23699638985123725</v>
      </c>
      <c r="AT207" s="166">
        <f t="shared" si="655"/>
        <v>0.2369963898512373</v>
      </c>
      <c r="AU207" s="18">
        <f t="shared" si="655"/>
        <v>0.23477084744615326</v>
      </c>
      <c r="AV207" s="18">
        <f t="shared" si="655"/>
        <v>0.23649424911466724</v>
      </c>
      <c r="AW207" s="18">
        <f t="shared" si="655"/>
        <v>0.22522157537318019</v>
      </c>
      <c r="AX207" s="18">
        <f t="shared" si="655"/>
        <v>0.20889155522326869</v>
      </c>
      <c r="AY207" s="166">
        <f t="shared" si="656"/>
        <v>0.20889155522326877</v>
      </c>
      <c r="AZ207" s="18">
        <f t="shared" si="656"/>
        <v>0.18210787439924664</v>
      </c>
      <c r="BA207" s="18">
        <f t="shared" si="656"/>
        <v>0.17505098054316137</v>
      </c>
      <c r="BB207" s="18">
        <f t="shared" si="656"/>
        <v>0.15861602729180427</v>
      </c>
      <c r="BC207" s="18">
        <f t="shared" si="656"/>
        <v>0.15164374962702998</v>
      </c>
      <c r="BD207" s="166">
        <f t="shared" si="656"/>
        <v>0.15164374962703014</v>
      </c>
      <c r="BE207" s="18">
        <f t="shared" ref="BE207:BH207" si="683">BE189/BE$181</f>
        <v>0.14101275930781118</v>
      </c>
      <c r="BF207" s="18">
        <f t="shared" si="683"/>
        <v>0.11440690889908847</v>
      </c>
      <c r="BG207" s="18">
        <f t="shared" si="683"/>
        <v>0.10989317396823366</v>
      </c>
      <c r="BH207" s="18">
        <f t="shared" si="683"/>
        <v>0.10699750517150154</v>
      </c>
      <c r="BI207" s="166">
        <f t="shared" si="658"/>
        <v>0.10699750517150161</v>
      </c>
      <c r="BJ207" s="18"/>
      <c r="BK207" s="18"/>
      <c r="BL207" s="18"/>
      <c r="BM207" s="18"/>
      <c r="BN207" s="166">
        <f t="shared" si="659"/>
        <v>0.12562894116025858</v>
      </c>
      <c r="BO207" s="18"/>
      <c r="BP207" s="18"/>
      <c r="BQ207" s="18"/>
      <c r="BR207" s="18"/>
      <c r="BS207" s="166">
        <f t="shared" si="660"/>
        <v>0.14751642574349283</v>
      </c>
      <c r="BT207" s="148"/>
      <c r="BU207" s="356"/>
      <c r="BV207" s="224"/>
      <c r="BW207" s="148"/>
      <c r="BX207" s="148"/>
      <c r="BY207" s="148"/>
      <c r="BZ207" s="531"/>
      <c r="CA207" s="322"/>
      <c r="CB207" s="322"/>
      <c r="CC207" s="558"/>
      <c r="CD207" s="558"/>
      <c r="CE207" s="558"/>
      <c r="CF207" s="322"/>
      <c r="CG207" s="322"/>
      <c r="CH207" s="356"/>
      <c r="CI207" s="148"/>
      <c r="CJ207"/>
      <c r="CK207"/>
      <c r="CL207"/>
      <c r="CM207"/>
      <c r="CN207"/>
      <c r="CO207"/>
      <c r="CP207" s="391"/>
    </row>
    <row r="208" spans="1:94" s="260" customFormat="1" ht="12.75" hidden="1" customHeight="1" x14ac:dyDescent="0.2">
      <c r="A208" s="148" t="s">
        <v>195</v>
      </c>
      <c r="B208" s="18"/>
      <c r="C208" s="18"/>
      <c r="D208" s="18"/>
      <c r="E208" s="18"/>
      <c r="F208" s="166">
        <f t="shared" si="676"/>
        <v>3.4897109195914773E-2</v>
      </c>
      <c r="G208" s="18"/>
      <c r="H208" s="18"/>
      <c r="I208" s="18"/>
      <c r="J208" s="18">
        <f t="shared" si="677"/>
        <v>7.1875810688153255E-2</v>
      </c>
      <c r="K208" s="166">
        <f t="shared" si="677"/>
        <v>7.1875810688153269E-2</v>
      </c>
      <c r="L208" s="18">
        <f t="shared" si="677"/>
        <v>0.11140976172022501</v>
      </c>
      <c r="M208" s="18">
        <f t="shared" si="677"/>
        <v>0.17144497216346846</v>
      </c>
      <c r="N208" s="18">
        <f t="shared" si="677"/>
        <v>0.16946223631772733</v>
      </c>
      <c r="O208" s="18">
        <f t="shared" si="677"/>
        <v>0.16499320034969631</v>
      </c>
      <c r="P208" s="166">
        <f t="shared" si="677"/>
        <v>0.16499320034969617</v>
      </c>
      <c r="Q208" s="18">
        <f t="shared" si="678"/>
        <v>0.15187425688913661</v>
      </c>
      <c r="R208" s="18">
        <f t="shared" si="678"/>
        <v>0.11054565963114492</v>
      </c>
      <c r="S208" s="18">
        <f t="shared" si="678"/>
        <v>9.4608033606047345E-2</v>
      </c>
      <c r="T208" s="18">
        <f t="shared" si="678"/>
        <v>9.3599482889928545E-2</v>
      </c>
      <c r="U208" s="166">
        <f t="shared" si="678"/>
        <v>9.3599482889928726E-2</v>
      </c>
      <c r="V208" s="18">
        <f t="shared" si="678"/>
        <v>9.1769131773903598E-2</v>
      </c>
      <c r="W208" s="18">
        <f>W190/W$181</f>
        <v>0.12181282367235094</v>
      </c>
      <c r="X208" s="18">
        <f t="shared" si="679"/>
        <v>0.13922900301637844</v>
      </c>
      <c r="Y208" s="18">
        <f t="shared" si="679"/>
        <v>0.14823195971567957</v>
      </c>
      <c r="Z208" s="166">
        <f t="shared" si="679"/>
        <v>0.14823195971567954</v>
      </c>
      <c r="AA208" s="18">
        <f t="shared" si="679"/>
        <v>0.15053082448625857</v>
      </c>
      <c r="AB208" s="18">
        <f t="shared" si="679"/>
        <v>0.15599007299848983</v>
      </c>
      <c r="AC208" s="18">
        <f t="shared" si="680"/>
        <v>0.14633330142503512</v>
      </c>
      <c r="AD208" s="18">
        <f t="shared" si="680"/>
        <v>0.13789415559000845</v>
      </c>
      <c r="AE208" s="166">
        <f t="shared" si="680"/>
        <v>0.13789415559000834</v>
      </c>
      <c r="AF208" s="18">
        <f t="shared" si="680"/>
        <v>0.14460582557862944</v>
      </c>
      <c r="AG208" s="18">
        <f t="shared" si="681"/>
        <v>0.15274161621308502</v>
      </c>
      <c r="AH208" s="18">
        <f t="shared" si="681"/>
        <v>0.17800890655666687</v>
      </c>
      <c r="AI208" s="18">
        <f t="shared" si="681"/>
        <v>0.19052578450602492</v>
      </c>
      <c r="AJ208" s="166">
        <f t="shared" si="682"/>
        <v>0.19052578450602495</v>
      </c>
      <c r="AK208" s="18">
        <f t="shared" si="662"/>
        <v>0.18982656139749754</v>
      </c>
      <c r="AL208" s="18">
        <f t="shared" si="662"/>
        <v>0.20084369158067025</v>
      </c>
      <c r="AM208" s="18">
        <f t="shared" si="662"/>
        <v>0.20510559769258266</v>
      </c>
      <c r="AN208" s="18">
        <f t="shared" si="662"/>
        <v>0.21733192515971381</v>
      </c>
      <c r="AO208" s="166">
        <f t="shared" si="662"/>
        <v>0.21733192515971375</v>
      </c>
      <c r="AP208" s="18">
        <f t="shared" si="654"/>
        <v>0.23925638718275463</v>
      </c>
      <c r="AQ208" s="18">
        <f t="shared" si="654"/>
        <v>0.24214564004875966</v>
      </c>
      <c r="AR208" s="18">
        <f t="shared" si="654"/>
        <v>0.26213250869231675</v>
      </c>
      <c r="AS208" s="18">
        <f t="shared" si="654"/>
        <v>0.27150924391409048</v>
      </c>
      <c r="AT208" s="166">
        <f t="shared" si="655"/>
        <v>0.27150924391409059</v>
      </c>
      <c r="AU208" s="18">
        <f t="shared" si="655"/>
        <v>0.27234841745069527</v>
      </c>
      <c r="AV208" s="18">
        <f t="shared" si="655"/>
        <v>0.27707769592907056</v>
      </c>
      <c r="AW208" s="18">
        <f t="shared" si="655"/>
        <v>0.26747917229045381</v>
      </c>
      <c r="AX208" s="18">
        <f t="shared" si="655"/>
        <v>0.2524479361366021</v>
      </c>
      <c r="AY208" s="166">
        <f t="shared" si="656"/>
        <v>0.25244793613660216</v>
      </c>
      <c r="AZ208" s="18">
        <f t="shared" si="656"/>
        <v>0.22821744271558819</v>
      </c>
      <c r="BA208" s="18">
        <f t="shared" si="656"/>
        <v>0.22314757322988013</v>
      </c>
      <c r="BB208" s="18">
        <f t="shared" si="656"/>
        <v>0.20998198522084716</v>
      </c>
      <c r="BC208" s="18">
        <f t="shared" si="656"/>
        <v>0.20457791881604401</v>
      </c>
      <c r="BD208" s="166">
        <f t="shared" si="656"/>
        <v>0.20457791881604417</v>
      </c>
      <c r="BE208" s="18">
        <f t="shared" ref="BE208:BH208" si="684">BE190/BE$181</f>
        <v>0.19455138428356253</v>
      </c>
      <c r="BF208" s="18">
        <f t="shared" si="684"/>
        <v>0.17053713080233618</v>
      </c>
      <c r="BG208" s="18">
        <f t="shared" si="684"/>
        <v>0.16844671551004725</v>
      </c>
      <c r="BH208" s="18">
        <f t="shared" si="684"/>
        <v>0.16924860269816383</v>
      </c>
      <c r="BI208" s="166">
        <f t="shared" si="658"/>
        <v>0.16924860269816391</v>
      </c>
      <c r="BJ208" s="18"/>
      <c r="BK208" s="18"/>
      <c r="BL208" s="18"/>
      <c r="BM208" s="18"/>
      <c r="BN208" s="166">
        <f t="shared" si="659"/>
        <v>0.19173170412969695</v>
      </c>
      <c r="BO208" s="18"/>
      <c r="BP208" s="18"/>
      <c r="BQ208" s="18"/>
      <c r="BR208" s="18"/>
      <c r="BS208" s="166">
        <f t="shared" si="660"/>
        <v>0.21330746718298491</v>
      </c>
      <c r="BT208" s="148"/>
      <c r="BU208" s="356"/>
      <c r="BV208" s="224"/>
      <c r="BW208" s="148"/>
      <c r="BX208" s="148"/>
      <c r="BY208" s="148"/>
      <c r="BZ208" s="531"/>
      <c r="CA208" s="322"/>
      <c r="CB208" s="322"/>
      <c r="CC208" s="558"/>
      <c r="CD208" s="558"/>
      <c r="CE208" s="558"/>
      <c r="CF208" s="322"/>
      <c r="CG208" s="322"/>
      <c r="CH208" s="356"/>
      <c r="CI208" s="148"/>
      <c r="CJ208"/>
      <c r="CK208"/>
      <c r="CL208"/>
      <c r="CM208"/>
      <c r="CN208"/>
      <c r="CO208"/>
      <c r="CP208" s="391"/>
    </row>
    <row r="209" spans="1:94" s="260" customFormat="1" ht="12.75" hidden="1" customHeight="1" x14ac:dyDescent="0.2">
      <c r="A209" s="148" t="s">
        <v>196</v>
      </c>
      <c r="B209" s="18"/>
      <c r="C209" s="18"/>
      <c r="D209" s="18"/>
      <c r="E209" s="18"/>
      <c r="F209" s="166">
        <f t="shared" si="676"/>
        <v>0.19109678502300156</v>
      </c>
      <c r="G209" s="18"/>
      <c r="H209" s="18"/>
      <c r="I209" s="18"/>
      <c r="J209" s="18">
        <f t="shared" si="677"/>
        <v>0.20566914669208816</v>
      </c>
      <c r="K209" s="166">
        <f t="shared" si="677"/>
        <v>0.20566914669208819</v>
      </c>
      <c r="L209" s="18">
        <f t="shared" si="677"/>
        <v>0.24275709904144896</v>
      </c>
      <c r="M209" s="18">
        <f t="shared" si="677"/>
        <v>0.30044099395048612</v>
      </c>
      <c r="N209" s="18">
        <f t="shared" si="677"/>
        <v>0.29749141911711546</v>
      </c>
      <c r="O209" s="18">
        <f t="shared" si="677"/>
        <v>0.29352087606923072</v>
      </c>
      <c r="P209" s="166">
        <f t="shared" si="677"/>
        <v>0.29352087606923055</v>
      </c>
      <c r="Q209" s="18">
        <f t="shared" si="678"/>
        <v>0.27763417308653771</v>
      </c>
      <c r="R209" s="18">
        <f t="shared" si="678"/>
        <v>0.23951272202539761</v>
      </c>
      <c r="S209" s="18">
        <f t="shared" si="678"/>
        <v>0.22379350540310686</v>
      </c>
      <c r="T209" s="18">
        <f t="shared" si="678"/>
        <v>0.22331731230760371</v>
      </c>
      <c r="U209" s="166">
        <f t="shared" si="678"/>
        <v>0.22331731230760388</v>
      </c>
      <c r="V209" s="18">
        <f t="shared" si="678"/>
        <v>0.22007263735787039</v>
      </c>
      <c r="W209" s="18">
        <f>W191/W$181</f>
        <v>0.24103196008651367</v>
      </c>
      <c r="X209" s="18">
        <f t="shared" si="679"/>
        <v>0.25212661093059763</v>
      </c>
      <c r="Y209" s="18">
        <f t="shared" si="679"/>
        <v>0.256975912679964</v>
      </c>
      <c r="Z209" s="166">
        <f t="shared" si="679"/>
        <v>0.256975912679964</v>
      </c>
      <c r="AA209" s="18">
        <f t="shared" si="679"/>
        <v>0.25723957232291739</v>
      </c>
      <c r="AB209" s="18">
        <f t="shared" si="679"/>
        <v>0.26225674054638165</v>
      </c>
      <c r="AC209" s="18">
        <f t="shared" si="680"/>
        <v>0.25467252197123658</v>
      </c>
      <c r="AD209" s="18">
        <f t="shared" si="680"/>
        <v>0.2467938118368796</v>
      </c>
      <c r="AE209" s="166">
        <f t="shared" si="680"/>
        <v>0.24679381183687951</v>
      </c>
      <c r="AF209" s="18">
        <f t="shared" si="680"/>
        <v>0.25400373379080687</v>
      </c>
      <c r="AG209" s="18">
        <f t="shared" si="681"/>
        <v>0.26157221852839174</v>
      </c>
      <c r="AH209" s="18">
        <f t="shared" si="681"/>
        <v>0.2818210382365044</v>
      </c>
      <c r="AI209" s="18">
        <f t="shared" si="681"/>
        <v>0.29312403098432349</v>
      </c>
      <c r="AJ209" s="166">
        <f t="shared" si="682"/>
        <v>0.29312403098432349</v>
      </c>
      <c r="AK209" s="18">
        <f t="shared" si="662"/>
        <v>0.29148661244472057</v>
      </c>
      <c r="AL209" s="18">
        <f t="shared" si="662"/>
        <v>0.30082478239273441</v>
      </c>
      <c r="AM209" s="18">
        <f t="shared" si="662"/>
        <v>0.30591872363254147</v>
      </c>
      <c r="AN209" s="18">
        <f t="shared" si="662"/>
        <v>0.31871369552387163</v>
      </c>
      <c r="AO209" s="166">
        <f t="shared" si="662"/>
        <v>0.31871369552387158</v>
      </c>
      <c r="AP209" s="18">
        <f t="shared" si="654"/>
        <v>0.34103459174573264</v>
      </c>
      <c r="AQ209" s="18">
        <f t="shared" si="654"/>
        <v>0.34363008517259902</v>
      </c>
      <c r="AR209" s="18">
        <f t="shared" si="654"/>
        <v>0.3626279993740768</v>
      </c>
      <c r="AS209" s="18">
        <f t="shared" si="654"/>
        <v>0.37028797602386787</v>
      </c>
      <c r="AT209" s="166">
        <f t="shared" si="655"/>
        <v>0.37028797602386793</v>
      </c>
      <c r="AU209" s="18">
        <f t="shared" si="655"/>
        <v>0.3688355088230949</v>
      </c>
      <c r="AV209" s="18">
        <f t="shared" si="655"/>
        <v>0.37075630039833773</v>
      </c>
      <c r="AW209" s="18">
        <f t="shared" si="655"/>
        <v>0.35739673622269719</v>
      </c>
      <c r="AX209" s="18">
        <f t="shared" si="655"/>
        <v>0.3393035871480769</v>
      </c>
      <c r="AY209" s="166">
        <f t="shared" si="656"/>
        <v>0.33930358714807696</v>
      </c>
      <c r="AZ209" s="18">
        <f t="shared" si="656"/>
        <v>0.3151624522901767</v>
      </c>
      <c r="BA209" s="18">
        <f t="shared" si="656"/>
        <v>0.30707694973502953</v>
      </c>
      <c r="BB209" s="18">
        <f t="shared" si="656"/>
        <v>0.29332437153430424</v>
      </c>
      <c r="BC209" s="18">
        <f t="shared" si="656"/>
        <v>0.28232639615419769</v>
      </c>
      <c r="BD209" s="166">
        <f t="shared" si="656"/>
        <v>0.28232639615419786</v>
      </c>
      <c r="BE209" s="18">
        <f t="shared" ref="BE209:BH209" si="685">BE191/BE$181</f>
        <v>0.26656035175701476</v>
      </c>
      <c r="BF209" s="18">
        <f t="shared" si="685"/>
        <v>0.23816386697041353</v>
      </c>
      <c r="BG209" s="18">
        <f t="shared" si="685"/>
        <v>0.2302338860320845</v>
      </c>
      <c r="BH209" s="18">
        <f t="shared" si="685"/>
        <v>0.22740310705366054</v>
      </c>
      <c r="BI209" s="166">
        <f t="shared" si="658"/>
        <v>0.22740310705366054</v>
      </c>
      <c r="BJ209" s="18"/>
      <c r="BK209" s="18"/>
      <c r="BL209" s="18"/>
      <c r="BM209" s="18"/>
      <c r="BN209" s="166">
        <f t="shared" si="659"/>
        <v>0.24299436303306393</v>
      </c>
      <c r="BO209" s="18"/>
      <c r="BP209" s="18"/>
      <c r="BQ209" s="18"/>
      <c r="BR209" s="18"/>
      <c r="BS209" s="166">
        <f t="shared" si="660"/>
        <v>0.25921972789871006</v>
      </c>
      <c r="BT209" s="148"/>
      <c r="BU209" s="356"/>
      <c r="BV209" s="224"/>
      <c r="BW209" s="148"/>
      <c r="BX209" s="148"/>
      <c r="BY209" s="148"/>
      <c r="BZ209" s="531"/>
      <c r="CA209" s="322"/>
      <c r="CB209" s="322"/>
      <c r="CC209" s="558"/>
      <c r="CD209" s="558"/>
      <c r="CE209" s="558"/>
      <c r="CF209" s="322"/>
      <c r="CG209" s="322"/>
      <c r="CH209" s="356"/>
      <c r="CI209" s="148"/>
      <c r="CJ209"/>
      <c r="CK209"/>
      <c r="CL209"/>
      <c r="CM209"/>
      <c r="CN209"/>
      <c r="CO209"/>
      <c r="CP209" s="391"/>
    </row>
    <row r="210" spans="1:94" s="260" customFormat="1" ht="12.75" hidden="1" customHeight="1" x14ac:dyDescent="0.2">
      <c r="A210" s="148" t="s">
        <v>197</v>
      </c>
      <c r="B210" s="18"/>
      <c r="C210" s="18"/>
      <c r="D210" s="18"/>
      <c r="E210" s="18"/>
      <c r="F210" s="166">
        <f t="shared" si="676"/>
        <v>0.19109678502300156</v>
      </c>
      <c r="G210" s="18"/>
      <c r="H210" s="18"/>
      <c r="I210" s="18"/>
      <c r="J210" s="18">
        <f t="shared" si="677"/>
        <v>0.20566914669208816</v>
      </c>
      <c r="K210" s="166">
        <f t="shared" si="677"/>
        <v>0.20566914669208819</v>
      </c>
      <c r="L210" s="18">
        <f t="shared" si="677"/>
        <v>0.24275709904144896</v>
      </c>
      <c r="M210" s="18">
        <f t="shared" si="677"/>
        <v>0.30044099395048612</v>
      </c>
      <c r="N210" s="18">
        <f t="shared" si="677"/>
        <v>0.29749141911711546</v>
      </c>
      <c r="O210" s="18">
        <f t="shared" si="677"/>
        <v>0.29352087606923072</v>
      </c>
      <c r="P210" s="166">
        <f t="shared" si="677"/>
        <v>0.29352087606923055</v>
      </c>
      <c r="Q210" s="18">
        <f t="shared" ref="Q210:AB215" si="686">Q192/Q$181</f>
        <v>0.27763417308653771</v>
      </c>
      <c r="R210" s="18">
        <f t="shared" si="686"/>
        <v>0.23951272202539761</v>
      </c>
      <c r="S210" s="18">
        <f t="shared" si="686"/>
        <v>0.22379350540310686</v>
      </c>
      <c r="T210" s="18">
        <f t="shared" si="686"/>
        <v>0.22331731230760371</v>
      </c>
      <c r="U210" s="166">
        <f t="shared" si="686"/>
        <v>0.22331731230760388</v>
      </c>
      <c r="V210" s="18">
        <f t="shared" ref="V210:W215" si="687">V192/V$181</f>
        <v>0.22007263735787039</v>
      </c>
      <c r="W210" s="18">
        <f t="shared" si="687"/>
        <v>0.24103196008651367</v>
      </c>
      <c r="X210" s="18">
        <f t="shared" si="686"/>
        <v>0.25212661093059763</v>
      </c>
      <c r="Y210" s="18">
        <f t="shared" si="686"/>
        <v>0.256975912679964</v>
      </c>
      <c r="Z210" s="166">
        <f t="shared" si="686"/>
        <v>0.256975912679964</v>
      </c>
      <c r="AA210" s="18">
        <f t="shared" si="686"/>
        <v>0.25723957232291739</v>
      </c>
      <c r="AB210" s="18">
        <f t="shared" si="686"/>
        <v>0.26225674054638165</v>
      </c>
      <c r="AC210" s="18">
        <f t="shared" si="680"/>
        <v>0.25467252197123658</v>
      </c>
      <c r="AD210" s="18">
        <f t="shared" si="680"/>
        <v>0.2467938118368796</v>
      </c>
      <c r="AE210" s="166">
        <f t="shared" si="680"/>
        <v>0.24679381183687951</v>
      </c>
      <c r="AF210" s="18">
        <f t="shared" si="680"/>
        <v>0.25400373379080687</v>
      </c>
      <c r="AG210" s="18">
        <f t="shared" si="681"/>
        <v>0.26157221852839174</v>
      </c>
      <c r="AH210" s="18">
        <f t="shared" si="681"/>
        <v>0.2818210382365044</v>
      </c>
      <c r="AI210" s="18">
        <f t="shared" si="681"/>
        <v>0.29312403098432349</v>
      </c>
      <c r="AJ210" s="166">
        <f t="shared" si="682"/>
        <v>0.29312403098432349</v>
      </c>
      <c r="AK210" s="18">
        <f t="shared" ref="AK210:AO215" si="688">AK192/AK$181</f>
        <v>0.29148661244472057</v>
      </c>
      <c r="AL210" s="18">
        <f t="shared" si="688"/>
        <v>0.30082478239273441</v>
      </c>
      <c r="AM210" s="18">
        <f t="shared" si="688"/>
        <v>0.30591872363254147</v>
      </c>
      <c r="AN210" s="18">
        <f t="shared" si="688"/>
        <v>0.31871369552387163</v>
      </c>
      <c r="AO210" s="166">
        <f t="shared" si="688"/>
        <v>0.31871369552387158</v>
      </c>
      <c r="AP210" s="18">
        <f t="shared" si="654"/>
        <v>0.34103459174573264</v>
      </c>
      <c r="AQ210" s="18">
        <f t="shared" si="654"/>
        <v>0.34363008517259902</v>
      </c>
      <c r="AR210" s="18">
        <f t="shared" si="654"/>
        <v>0.3626279993740768</v>
      </c>
      <c r="AS210" s="18">
        <f t="shared" si="654"/>
        <v>0.37028797602386787</v>
      </c>
      <c r="AT210" s="166">
        <f t="shared" si="655"/>
        <v>0.37028797602386793</v>
      </c>
      <c r="AU210" s="18">
        <f t="shared" si="655"/>
        <v>0.3688355088230949</v>
      </c>
      <c r="AV210" s="18">
        <f t="shared" si="655"/>
        <v>0.37075630039833773</v>
      </c>
      <c r="AW210" s="18">
        <f t="shared" si="655"/>
        <v>0.35739673622269719</v>
      </c>
      <c r="AX210" s="18">
        <f t="shared" si="655"/>
        <v>0.3393035871480769</v>
      </c>
      <c r="AY210" s="166">
        <f t="shared" si="656"/>
        <v>0.33930358714807696</v>
      </c>
      <c r="AZ210" s="18">
        <f t="shared" si="656"/>
        <v>0.3151624522901767</v>
      </c>
      <c r="BA210" s="18">
        <f t="shared" si="656"/>
        <v>0.30707694973502953</v>
      </c>
      <c r="BB210" s="18">
        <f t="shared" si="656"/>
        <v>0.29332437153430424</v>
      </c>
      <c r="BC210" s="18">
        <f t="shared" si="656"/>
        <v>0.28232639615419769</v>
      </c>
      <c r="BD210" s="166">
        <f t="shared" si="656"/>
        <v>0.28232639615419786</v>
      </c>
      <c r="BE210" s="18">
        <f t="shared" ref="BE210:BH210" si="689">BE192/BE$181</f>
        <v>0.26656035175701476</v>
      </c>
      <c r="BF210" s="18">
        <f t="shared" si="689"/>
        <v>0.23816386697041353</v>
      </c>
      <c r="BG210" s="18">
        <f t="shared" si="689"/>
        <v>0.2302338860320845</v>
      </c>
      <c r="BH210" s="18">
        <f t="shared" si="689"/>
        <v>0.22740310705366054</v>
      </c>
      <c r="BI210" s="166">
        <f t="shared" si="658"/>
        <v>0.22740310705366054</v>
      </c>
      <c r="BJ210" s="18"/>
      <c r="BK210" s="18"/>
      <c r="BL210" s="18"/>
      <c r="BM210" s="18"/>
      <c r="BN210" s="166">
        <f t="shared" si="659"/>
        <v>0.24299436303306393</v>
      </c>
      <c r="BO210" s="18"/>
      <c r="BP210" s="18"/>
      <c r="BQ210" s="18"/>
      <c r="BR210" s="18"/>
      <c r="BS210" s="166">
        <f t="shared" si="660"/>
        <v>0.25921972789871006</v>
      </c>
      <c r="BT210" s="148"/>
      <c r="BU210" s="356"/>
      <c r="BV210" s="224"/>
      <c r="BW210" s="148"/>
      <c r="BX210" s="148"/>
      <c r="BY210" s="148"/>
      <c r="BZ210" s="531"/>
      <c r="CA210" s="322"/>
      <c r="CB210" s="322"/>
      <c r="CC210" s="558"/>
      <c r="CD210" s="558"/>
      <c r="CE210" s="558"/>
      <c r="CF210" s="322"/>
      <c r="CG210" s="322"/>
      <c r="CH210" s="356"/>
      <c r="CI210" s="148"/>
      <c r="CJ210"/>
      <c r="CK210"/>
      <c r="CL210"/>
      <c r="CM210"/>
      <c r="CN210"/>
      <c r="CO210"/>
      <c r="CP210" s="391"/>
    </row>
    <row r="211" spans="1:94" s="260" customFormat="1" ht="12.75" hidden="1" customHeight="1" x14ac:dyDescent="0.2">
      <c r="A211" s="148" t="s">
        <v>198</v>
      </c>
      <c r="B211" s="18"/>
      <c r="C211" s="18"/>
      <c r="D211" s="18"/>
      <c r="E211" s="18"/>
      <c r="F211" s="166">
        <f t="shared" si="676"/>
        <v>7.8040170164551843E-3</v>
      </c>
      <c r="G211" s="18"/>
      <c r="H211" s="18"/>
      <c r="I211" s="18"/>
      <c r="J211" s="18">
        <f t="shared" si="677"/>
        <v>2.504956670334518E-3</v>
      </c>
      <c r="K211" s="166">
        <f t="shared" si="677"/>
        <v>2.504956670334518E-3</v>
      </c>
      <c r="L211" s="18">
        <f t="shared" si="677"/>
        <v>1.5275873261922268E-3</v>
      </c>
      <c r="M211" s="18">
        <f t="shared" si="677"/>
        <v>9.8085416506844066E-4</v>
      </c>
      <c r="N211" s="18">
        <f t="shared" si="677"/>
        <v>3.4309354119319994E-4</v>
      </c>
      <c r="O211" s="18">
        <f t="shared" si="677"/>
        <v>0</v>
      </c>
      <c r="P211" s="166">
        <f t="shared" si="677"/>
        <v>0</v>
      </c>
      <c r="Q211" s="18">
        <f t="shared" si="686"/>
        <v>0</v>
      </c>
      <c r="R211" s="18">
        <f t="shared" si="686"/>
        <v>0</v>
      </c>
      <c r="S211" s="18">
        <f t="shared" si="686"/>
        <v>0</v>
      </c>
      <c r="T211" s="18">
        <f t="shared" si="686"/>
        <v>0</v>
      </c>
      <c r="U211" s="166">
        <f t="shared" si="686"/>
        <v>0</v>
      </c>
      <c r="V211" s="18">
        <f t="shared" si="687"/>
        <v>5.000747099566682E-4</v>
      </c>
      <c r="W211" s="18">
        <f t="shared" si="687"/>
        <v>1.2117517298429138E-3</v>
      </c>
      <c r="X211" s="18">
        <f t="shared" si="686"/>
        <v>1.2077354270045298E-3</v>
      </c>
      <c r="Y211" s="18">
        <f t="shared" si="686"/>
        <v>1.4404594533535726E-3</v>
      </c>
      <c r="Z211" s="166">
        <f t="shared" si="686"/>
        <v>1.4404594533535726E-3</v>
      </c>
      <c r="AA211" s="18">
        <f t="shared" si="686"/>
        <v>1.3534862138262606E-3</v>
      </c>
      <c r="AB211" s="18">
        <f t="shared" si="686"/>
        <v>8.3688852611786167E-4</v>
      </c>
      <c r="AC211" s="18">
        <f t="shared" si="680"/>
        <v>8.5835959175310252E-4</v>
      </c>
      <c r="AD211" s="18">
        <f t="shared" si="680"/>
        <v>7.0161439576209739E-4</v>
      </c>
      <c r="AE211" s="166">
        <f t="shared" si="680"/>
        <v>7.0161439576209739E-4</v>
      </c>
      <c r="AF211" s="18">
        <f t="shared" si="680"/>
        <v>4.5122645657485967E-4</v>
      </c>
      <c r="AG211" s="18">
        <f t="shared" si="681"/>
        <v>3.8043001710208994E-4</v>
      </c>
      <c r="AH211" s="18">
        <f t="shared" si="681"/>
        <v>2.9884767663529514E-4</v>
      </c>
      <c r="AI211" s="18">
        <f t="shared" si="681"/>
        <v>2.4238614349138805E-4</v>
      </c>
      <c r="AJ211" s="166">
        <f t="shared" si="682"/>
        <v>2.4238614349138805E-4</v>
      </c>
      <c r="AK211" s="18">
        <f t="shared" si="688"/>
        <v>2.0500193096719679E-4</v>
      </c>
      <c r="AL211" s="18">
        <f t="shared" si="688"/>
        <v>1.824764200221287E-4</v>
      </c>
      <c r="AM211" s="18">
        <f t="shared" si="688"/>
        <v>1.7473976826736467E-4</v>
      </c>
      <c r="AN211" s="18">
        <f t="shared" si="688"/>
        <v>1.7395085888236575E-4</v>
      </c>
      <c r="AO211" s="166">
        <f t="shared" si="688"/>
        <v>1.7395085888236578E-4</v>
      </c>
      <c r="AP211" s="18">
        <f t="shared" si="654"/>
        <v>2.0232034255551735E-4</v>
      </c>
      <c r="AQ211" s="18">
        <f t="shared" si="654"/>
        <v>2.4301431824684766E-4</v>
      </c>
      <c r="AR211" s="18">
        <f t="shared" si="654"/>
        <v>3.0771373939461014E-4</v>
      </c>
      <c r="AS211" s="18">
        <f t="shared" si="654"/>
        <v>9.9231226502629298E-4</v>
      </c>
      <c r="AT211" s="166">
        <f t="shared" si="655"/>
        <v>9.9231226502629276E-4</v>
      </c>
      <c r="AU211" s="18">
        <f t="shared" si="655"/>
        <v>1.6269861054380305E-3</v>
      </c>
      <c r="AV211" s="18">
        <f t="shared" si="655"/>
        <v>2.1773029139412789E-3</v>
      </c>
      <c r="AW211" s="18">
        <f t="shared" si="655"/>
        <v>2.5695276814033082E-3</v>
      </c>
      <c r="AX211" s="18">
        <f t="shared" si="655"/>
        <v>2.2722222126517469E-3</v>
      </c>
      <c r="AY211" s="166">
        <f t="shared" si="656"/>
        <v>2.2722222126517469E-3</v>
      </c>
      <c r="AZ211" s="18">
        <f t="shared" si="656"/>
        <v>2.1144496937352424E-3</v>
      </c>
      <c r="BA211" s="18">
        <f t="shared" si="656"/>
        <v>2.1675755723378205E-3</v>
      </c>
      <c r="BB211" s="18">
        <f t="shared" si="656"/>
        <v>2.6521975295133665E-3</v>
      </c>
      <c r="BC211" s="18">
        <f t="shared" si="656"/>
        <v>3.299509832433547E-3</v>
      </c>
      <c r="BD211" s="166">
        <f t="shared" si="656"/>
        <v>3.299509832433547E-3</v>
      </c>
      <c r="BE211" s="18">
        <f t="shared" ref="BE211:BH211" si="690">BE193/BE$181</f>
        <v>4.1700220733362327E-3</v>
      </c>
      <c r="BF211" s="18">
        <f t="shared" si="690"/>
        <v>4.9506681588132812E-3</v>
      </c>
      <c r="BG211" s="18">
        <f t="shared" si="690"/>
        <v>5.4143130979120166E-3</v>
      </c>
      <c r="BH211" s="18">
        <f t="shared" si="690"/>
        <v>5.9516052974345479E-3</v>
      </c>
      <c r="BI211" s="166">
        <f t="shared" si="658"/>
        <v>5.951605297434547E-3</v>
      </c>
      <c r="BJ211" s="18"/>
      <c r="BK211" s="18"/>
      <c r="BL211" s="18"/>
      <c r="BM211" s="18"/>
      <c r="BN211" s="166">
        <f t="shared" si="659"/>
        <v>3.962856304425286E-3</v>
      </c>
      <c r="BO211" s="18"/>
      <c r="BP211" s="18"/>
      <c r="BQ211" s="18"/>
      <c r="BR211" s="18"/>
      <c r="BS211" s="166">
        <f t="shared" si="660"/>
        <v>3.6562543948331847E-3</v>
      </c>
      <c r="BT211" s="148"/>
      <c r="BU211" s="356"/>
      <c r="BV211" s="224"/>
      <c r="BW211" s="148"/>
      <c r="BX211" s="148"/>
      <c r="BY211" s="148"/>
      <c r="BZ211" s="531"/>
      <c r="CA211" s="322"/>
      <c r="CB211" s="322"/>
      <c r="CC211" s="558"/>
      <c r="CD211" s="558"/>
      <c r="CE211" s="558"/>
      <c r="CF211" s="322"/>
      <c r="CG211" s="322"/>
      <c r="CH211" s="356"/>
      <c r="CI211" s="148"/>
      <c r="CJ211"/>
      <c r="CK211"/>
      <c r="CL211"/>
      <c r="CM211"/>
      <c r="CN211"/>
      <c r="CO211"/>
      <c r="CP211" s="391"/>
    </row>
    <row r="212" spans="1:94" s="260" customFormat="1" ht="12.75" hidden="1" customHeight="1" x14ac:dyDescent="0.2">
      <c r="A212" s="148" t="s">
        <v>199</v>
      </c>
      <c r="B212" s="18"/>
      <c r="C212" s="18"/>
      <c r="D212" s="18"/>
      <c r="E212" s="18"/>
      <c r="F212" s="166">
        <f t="shared" si="676"/>
        <v>5.0046160544274777E-2</v>
      </c>
      <c r="G212" s="18"/>
      <c r="H212" s="18"/>
      <c r="I212" s="18"/>
      <c r="J212" s="18">
        <f t="shared" si="677"/>
        <v>5.1019476798726218E-2</v>
      </c>
      <c r="K212" s="166">
        <f t="shared" si="677"/>
        <v>5.1019476798726218E-2</v>
      </c>
      <c r="L212" s="18">
        <f t="shared" si="677"/>
        <v>4.020747630119835E-2</v>
      </c>
      <c r="M212" s="18">
        <f t="shared" si="677"/>
        <v>2.7958453428605871E-2</v>
      </c>
      <c r="N212" s="18">
        <f t="shared" si="677"/>
        <v>1.4796972270386064E-2</v>
      </c>
      <c r="O212" s="18">
        <f t="shared" si="677"/>
        <v>0</v>
      </c>
      <c r="P212" s="166">
        <f t="shared" si="677"/>
        <v>0</v>
      </c>
      <c r="Q212" s="18">
        <f t="shared" si="686"/>
        <v>0</v>
      </c>
      <c r="R212" s="18">
        <f t="shared" si="686"/>
        <v>0</v>
      </c>
      <c r="S212" s="18">
        <f t="shared" si="686"/>
        <v>0</v>
      </c>
      <c r="T212" s="18">
        <f t="shared" si="686"/>
        <v>0</v>
      </c>
      <c r="U212" s="166">
        <f t="shared" si="686"/>
        <v>0</v>
      </c>
      <c r="V212" s="18">
        <f t="shared" si="687"/>
        <v>0</v>
      </c>
      <c r="W212" s="18">
        <f t="shared" si="687"/>
        <v>0</v>
      </c>
      <c r="X212" s="18">
        <f t="shared" si="686"/>
        <v>4.381001058741922E-4</v>
      </c>
      <c r="Y212" s="18">
        <f t="shared" si="686"/>
        <v>7.6270600997399129E-4</v>
      </c>
      <c r="Z212" s="166">
        <f t="shared" si="686"/>
        <v>7.627060099739914E-4</v>
      </c>
      <c r="AA212" s="18">
        <f t="shared" si="686"/>
        <v>1.1903310383423434E-3</v>
      </c>
      <c r="AB212" s="18">
        <f t="shared" si="686"/>
        <v>1.7770456265345711E-3</v>
      </c>
      <c r="AC212" s="18">
        <f t="shared" si="680"/>
        <v>1.358344165013896E-3</v>
      </c>
      <c r="AD212" s="18">
        <f t="shared" si="680"/>
        <v>1.023977766787926E-3</v>
      </c>
      <c r="AE212" s="166">
        <f t="shared" si="680"/>
        <v>1.023977766787926E-3</v>
      </c>
      <c r="AF212" s="18">
        <f t="shared" si="680"/>
        <v>5.9034260053484038E-4</v>
      </c>
      <c r="AG212" s="18">
        <f t="shared" si="681"/>
        <v>8.2852272327133919E-5</v>
      </c>
      <c r="AH212" s="18">
        <f t="shared" si="681"/>
        <v>9.3429894622597644E-5</v>
      </c>
      <c r="AI212" s="18">
        <f t="shared" si="681"/>
        <v>1.2935320375849637E-4</v>
      </c>
      <c r="AJ212" s="166">
        <f t="shared" si="682"/>
        <v>1.2935320375849634E-4</v>
      </c>
      <c r="AK212" s="18">
        <f t="shared" si="688"/>
        <v>1.8119150839027026E-4</v>
      </c>
      <c r="AL212" s="18">
        <f t="shared" si="688"/>
        <v>1.7641224896399152E-4</v>
      </c>
      <c r="AM212" s="18">
        <f t="shared" si="688"/>
        <v>6.190475936788955E-4</v>
      </c>
      <c r="AN212" s="18">
        <f t="shared" si="688"/>
        <v>1.4221518135412463E-3</v>
      </c>
      <c r="AO212" s="166">
        <f t="shared" si="688"/>
        <v>1.4221518135412461E-3</v>
      </c>
      <c r="AP212" s="18">
        <f t="shared" si="654"/>
        <v>2.7439067353549262E-3</v>
      </c>
      <c r="AQ212" s="18">
        <f t="shared" si="654"/>
        <v>4.7858142351516293E-3</v>
      </c>
      <c r="AR212" s="18">
        <f t="shared" si="654"/>
        <v>7.0802784594657508E-3</v>
      </c>
      <c r="AS212" s="18">
        <f t="shared" si="654"/>
        <v>9.5177922756545432E-3</v>
      </c>
      <c r="AT212" s="166">
        <f t="shared" si="655"/>
        <v>9.5177922756545397E-3</v>
      </c>
      <c r="AU212" s="18">
        <f t="shared" si="655"/>
        <v>1.1723265077980523E-2</v>
      </c>
      <c r="AV212" s="18">
        <f t="shared" si="655"/>
        <v>1.4153145541896728E-2</v>
      </c>
      <c r="AW212" s="18">
        <f t="shared" si="655"/>
        <v>1.6253057830719553E-2</v>
      </c>
      <c r="AX212" s="18">
        <f t="shared" si="655"/>
        <v>1.7939185755457897E-2</v>
      </c>
      <c r="AY212" s="166">
        <f t="shared" si="656"/>
        <v>1.7939185755457897E-2</v>
      </c>
      <c r="AZ212" s="18">
        <f t="shared" si="656"/>
        <v>1.9392067298686332E-2</v>
      </c>
      <c r="BA212" s="18">
        <f t="shared" si="656"/>
        <v>1.9913698082874871E-2</v>
      </c>
      <c r="BB212" s="18">
        <f t="shared" si="656"/>
        <v>2.0829539548497273E-2</v>
      </c>
      <c r="BC212" s="18">
        <f t="shared" si="656"/>
        <v>2.164245792331812E-2</v>
      </c>
      <c r="BD212" s="166">
        <f t="shared" si="656"/>
        <v>2.1642457923318124E-2</v>
      </c>
      <c r="BE212" s="18">
        <f t="shared" ref="BE212:BH212" si="691">BE194/BE$181</f>
        <v>2.2700799673549293E-2</v>
      </c>
      <c r="BF212" s="18">
        <f t="shared" si="691"/>
        <v>2.3163031721994312E-2</v>
      </c>
      <c r="BG212" s="18">
        <f t="shared" si="691"/>
        <v>2.2632088272967758E-2</v>
      </c>
      <c r="BH212" s="18">
        <f t="shared" si="691"/>
        <v>2.2396830461398429E-2</v>
      </c>
      <c r="BI212" s="166">
        <f t="shared" si="658"/>
        <v>2.2396830461398426E-2</v>
      </c>
      <c r="BJ212" s="18"/>
      <c r="BK212" s="18"/>
      <c r="BL212" s="18"/>
      <c r="BM212" s="18"/>
      <c r="BN212" s="166">
        <f t="shared" si="659"/>
        <v>2.5223959870034351E-2</v>
      </c>
      <c r="BO212" s="18"/>
      <c r="BP212" s="18"/>
      <c r="BQ212" s="18"/>
      <c r="BR212" s="18"/>
      <c r="BS212" s="166">
        <f t="shared" si="660"/>
        <v>2.5993955185840686E-2</v>
      </c>
      <c r="BT212" s="148"/>
      <c r="BU212" s="356"/>
      <c r="BV212" s="224"/>
      <c r="BW212" s="148"/>
      <c r="BX212" s="148"/>
      <c r="BY212" s="148"/>
      <c r="BZ212" s="531"/>
      <c r="CA212" s="322"/>
      <c r="CB212" s="322"/>
      <c r="CC212" s="558"/>
      <c r="CD212" s="558"/>
      <c r="CE212" s="558"/>
      <c r="CF212" s="322"/>
      <c r="CG212" s="322"/>
      <c r="CH212" s="356"/>
      <c r="CI212" s="148"/>
      <c r="CJ212"/>
      <c r="CK212"/>
      <c r="CL212"/>
      <c r="CM212"/>
      <c r="CN212"/>
      <c r="CO212"/>
      <c r="CP212" s="391"/>
    </row>
    <row r="213" spans="1:94" s="260" customFormat="1" ht="12.75" hidden="1" customHeight="1" x14ac:dyDescent="0.2">
      <c r="A213" s="148" t="s">
        <v>200</v>
      </c>
      <c r="B213" s="18"/>
      <c r="C213" s="18"/>
      <c r="D213" s="18"/>
      <c r="E213" s="18"/>
      <c r="F213" s="166">
        <f t="shared" si="676"/>
        <v>4.2242143527819589E-2</v>
      </c>
      <c r="G213" s="18"/>
      <c r="H213" s="18"/>
      <c r="I213" s="18"/>
      <c r="J213" s="18">
        <f t="shared" si="677"/>
        <v>4.8514520128391699E-2</v>
      </c>
      <c r="K213" s="166">
        <f t="shared" si="677"/>
        <v>4.8514520128391699E-2</v>
      </c>
      <c r="L213" s="18">
        <f t="shared" si="677"/>
        <v>3.8679888975006127E-2</v>
      </c>
      <c r="M213" s="18">
        <f t="shared" si="677"/>
        <v>2.6977599263537429E-2</v>
      </c>
      <c r="N213" s="18">
        <f t="shared" si="677"/>
        <v>1.4453878729192866E-2</v>
      </c>
      <c r="O213" s="18">
        <f t="shared" si="677"/>
        <v>0</v>
      </c>
      <c r="P213" s="166">
        <f t="shared" si="677"/>
        <v>0</v>
      </c>
      <c r="Q213" s="18">
        <f t="shared" si="686"/>
        <v>0</v>
      </c>
      <c r="R213" s="18">
        <f t="shared" si="686"/>
        <v>0</v>
      </c>
      <c r="S213" s="18">
        <f t="shared" si="686"/>
        <v>0</v>
      </c>
      <c r="T213" s="18">
        <f t="shared" si="686"/>
        <v>0</v>
      </c>
      <c r="U213" s="166">
        <f t="shared" si="686"/>
        <v>0</v>
      </c>
      <c r="V213" s="18">
        <f t="shared" si="687"/>
        <v>-5.000747099566682E-4</v>
      </c>
      <c r="W213" s="18">
        <f t="shared" si="687"/>
        <v>-1.2117517298429138E-3</v>
      </c>
      <c r="X213" s="18">
        <f t="shared" si="686"/>
        <v>-7.6963532113033767E-4</v>
      </c>
      <c r="Y213" s="18">
        <f t="shared" si="686"/>
        <v>-6.7775344337958122E-4</v>
      </c>
      <c r="Z213" s="166">
        <f t="shared" si="686"/>
        <v>-6.7775344337958122E-4</v>
      </c>
      <c r="AA213" s="18">
        <f t="shared" si="686"/>
        <v>-1.6315517548391733E-4</v>
      </c>
      <c r="AB213" s="18">
        <f t="shared" si="686"/>
        <v>9.4015710041670929E-4</v>
      </c>
      <c r="AC213" s="18">
        <f t="shared" si="680"/>
        <v>4.9998457326079352E-4</v>
      </c>
      <c r="AD213" s="18">
        <f t="shared" si="680"/>
        <v>3.2236337102582854E-4</v>
      </c>
      <c r="AE213" s="166">
        <f t="shared" si="680"/>
        <v>3.2236337102582854E-4</v>
      </c>
      <c r="AF213" s="18">
        <f t="shared" si="680"/>
        <v>1.3911614395998074E-4</v>
      </c>
      <c r="AG213" s="18">
        <f t="shared" si="681"/>
        <v>-2.9757774477495605E-4</v>
      </c>
      <c r="AH213" s="18">
        <f t="shared" si="681"/>
        <v>-2.0541778201269749E-4</v>
      </c>
      <c r="AI213" s="18">
        <f t="shared" si="681"/>
        <v>-1.1303293973289168E-4</v>
      </c>
      <c r="AJ213" s="166">
        <f t="shared" si="682"/>
        <v>-1.1303293973289171E-4</v>
      </c>
      <c r="AK213" s="18">
        <f t="shared" si="688"/>
        <v>-2.3810422576926529E-5</v>
      </c>
      <c r="AL213" s="18">
        <f t="shared" si="688"/>
        <v>-6.0641710581371831E-6</v>
      </c>
      <c r="AM213" s="18">
        <f t="shared" si="688"/>
        <v>4.4430782541153075E-4</v>
      </c>
      <c r="AN213" s="18">
        <f t="shared" si="688"/>
        <v>1.2482009546588807E-3</v>
      </c>
      <c r="AO213" s="166">
        <f t="shared" si="688"/>
        <v>1.24820095465888E-3</v>
      </c>
      <c r="AP213" s="18">
        <f t="shared" si="654"/>
        <v>2.5415863927994086E-3</v>
      </c>
      <c r="AQ213" s="18">
        <f t="shared" si="654"/>
        <v>4.5427999169047814E-3</v>
      </c>
      <c r="AR213" s="18">
        <f t="shared" si="654"/>
        <v>6.7725647200711407E-3</v>
      </c>
      <c r="AS213" s="18">
        <f t="shared" si="654"/>
        <v>8.5254800106282502E-3</v>
      </c>
      <c r="AT213" s="166">
        <f t="shared" si="655"/>
        <v>8.5254800106282468E-3</v>
      </c>
      <c r="AU213" s="18">
        <f t="shared" si="655"/>
        <v>1.0096278972542493E-2</v>
      </c>
      <c r="AV213" s="18">
        <f t="shared" si="655"/>
        <v>1.1975842627955448E-2</v>
      </c>
      <c r="AW213" s="18">
        <f t="shared" si="655"/>
        <v>1.3683530149316244E-2</v>
      </c>
      <c r="AX213" s="18">
        <f t="shared" si="655"/>
        <v>1.566696354280615E-2</v>
      </c>
      <c r="AY213" s="166">
        <f t="shared" si="656"/>
        <v>1.566696354280615E-2</v>
      </c>
      <c r="AZ213" s="18">
        <f t="shared" si="656"/>
        <v>1.7277617604951091E-2</v>
      </c>
      <c r="BA213" s="18">
        <f t="shared" si="656"/>
        <v>1.774612251053705E-2</v>
      </c>
      <c r="BB213" s="18">
        <f t="shared" si="656"/>
        <v>1.8177342018983907E-2</v>
      </c>
      <c r="BC213" s="18">
        <f t="shared" si="656"/>
        <v>1.8342948090884575E-2</v>
      </c>
      <c r="BD213" s="166">
        <f t="shared" si="656"/>
        <v>1.8342948090884575E-2</v>
      </c>
      <c r="BE213" s="18">
        <f t="shared" ref="BE213:BH213" si="692">BE195/BE$181</f>
        <v>1.8530777600213065E-2</v>
      </c>
      <c r="BF213" s="18">
        <f t="shared" si="692"/>
        <v>1.8212363563181028E-2</v>
      </c>
      <c r="BG213" s="18">
        <f t="shared" si="692"/>
        <v>1.7217775175055742E-2</v>
      </c>
      <c r="BH213" s="18">
        <f t="shared" si="692"/>
        <v>1.6445225163963881E-2</v>
      </c>
      <c r="BI213" s="166">
        <f t="shared" si="658"/>
        <v>1.6445225163963881E-2</v>
      </c>
      <c r="BJ213" s="18"/>
      <c r="BK213" s="18"/>
      <c r="BL213" s="18"/>
      <c r="BM213" s="18"/>
      <c r="BN213" s="166">
        <f t="shared" si="659"/>
        <v>2.1261103565609063E-2</v>
      </c>
      <c r="BO213" s="18"/>
      <c r="BP213" s="18"/>
      <c r="BQ213" s="18"/>
      <c r="BR213" s="18"/>
      <c r="BS213" s="166">
        <f t="shared" si="660"/>
        <v>2.2337700791007501E-2</v>
      </c>
      <c r="BT213" s="148"/>
      <c r="BU213" s="356"/>
      <c r="BV213" s="224"/>
      <c r="BW213" s="148"/>
      <c r="BX213" s="148"/>
      <c r="BY213" s="148"/>
      <c r="BZ213" s="531"/>
      <c r="CA213" s="322"/>
      <c r="CB213" s="322"/>
      <c r="CC213" s="558"/>
      <c r="CD213" s="558"/>
      <c r="CE213" s="558"/>
      <c r="CF213" s="322"/>
      <c r="CG213" s="322"/>
      <c r="CH213" s="356"/>
      <c r="CI213" s="148"/>
      <c r="CJ213"/>
      <c r="CK213"/>
      <c r="CL213"/>
      <c r="CM213"/>
      <c r="CN213"/>
      <c r="CO213"/>
      <c r="CP213" s="391"/>
    </row>
    <row r="214" spans="1:94" s="260" customFormat="1" ht="12.75" hidden="1" customHeight="1" x14ac:dyDescent="0.2">
      <c r="A214" s="148" t="s">
        <v>201</v>
      </c>
      <c r="B214" s="18"/>
      <c r="C214" s="18"/>
      <c r="D214" s="18"/>
      <c r="E214" s="18"/>
      <c r="F214" s="166">
        <f t="shared" si="676"/>
        <v>-1.2420071443933312E-2</v>
      </c>
      <c r="G214" s="18"/>
      <c r="H214" s="18"/>
      <c r="I214" s="18"/>
      <c r="J214" s="18">
        <f t="shared" si="677"/>
        <v>1.7304264764792774E-2</v>
      </c>
      <c r="K214" s="166">
        <f t="shared" si="677"/>
        <v>1.7304264764792774E-2</v>
      </c>
      <c r="L214" s="18">
        <f t="shared" si="677"/>
        <v>6.6541355485336934E-2</v>
      </c>
      <c r="M214" s="18">
        <f t="shared" si="677"/>
        <v>0.13865348312821249</v>
      </c>
      <c r="N214" s="18">
        <f t="shared" si="677"/>
        <v>0.14827833676190585</v>
      </c>
      <c r="O214" s="18">
        <f t="shared" si="677"/>
        <v>0.15837354078933083</v>
      </c>
      <c r="P214" s="166">
        <f t="shared" si="677"/>
        <v>0.15837354078933069</v>
      </c>
      <c r="Q214" s="18">
        <f t="shared" si="686"/>
        <v>0.1449840699438002</v>
      </c>
      <c r="R214" s="18">
        <f t="shared" si="686"/>
        <v>0.10338543285546914</v>
      </c>
      <c r="S214" s="18">
        <f t="shared" si="686"/>
        <v>8.8525632490917855E-2</v>
      </c>
      <c r="T214" s="18">
        <f t="shared" si="686"/>
        <v>8.7972710923950287E-2</v>
      </c>
      <c r="U214" s="166">
        <f t="shared" si="686"/>
        <v>8.7972710923950467E-2</v>
      </c>
      <c r="V214" s="18">
        <f t="shared" si="687"/>
        <v>8.7781789086562367E-2</v>
      </c>
      <c r="W214" s="18">
        <f t="shared" si="687"/>
        <v>0.11871289346925058</v>
      </c>
      <c r="X214" s="18">
        <f t="shared" si="686"/>
        <v>0.13559099605611236</v>
      </c>
      <c r="Y214" s="18">
        <f t="shared" si="686"/>
        <v>0.14363238503863937</v>
      </c>
      <c r="Z214" s="166">
        <f t="shared" si="686"/>
        <v>0.14363238503863932</v>
      </c>
      <c r="AA214" s="18">
        <f t="shared" si="686"/>
        <v>0.14402303821252102</v>
      </c>
      <c r="AB214" s="18">
        <f t="shared" si="686"/>
        <v>0.14777154678149032</v>
      </c>
      <c r="AC214" s="18">
        <f t="shared" si="680"/>
        <v>0.13707804901589271</v>
      </c>
      <c r="AD214" s="18">
        <f t="shared" si="680"/>
        <v>0.12677299854064208</v>
      </c>
      <c r="AE214" s="166">
        <f t="shared" si="680"/>
        <v>0.126772998540642</v>
      </c>
      <c r="AF214" s="18">
        <f t="shared" si="680"/>
        <v>0.1312903202554547</v>
      </c>
      <c r="AG214" s="18">
        <f t="shared" si="681"/>
        <v>0.13701556448979227</v>
      </c>
      <c r="AH214" s="18">
        <f t="shared" si="681"/>
        <v>0.16039353183559671</v>
      </c>
      <c r="AI214" s="18">
        <f t="shared" si="681"/>
        <v>0.17128661103672965</v>
      </c>
      <c r="AJ214" s="166">
        <f t="shared" si="682"/>
        <v>0.17128661103672971</v>
      </c>
      <c r="AK214" s="18">
        <f t="shared" si="688"/>
        <v>0.16856559626234435</v>
      </c>
      <c r="AL214" s="18">
        <f t="shared" si="688"/>
        <v>0.17857881189658051</v>
      </c>
      <c r="AM214" s="18">
        <f t="shared" si="688"/>
        <v>0.18208096950737768</v>
      </c>
      <c r="AN214" s="18">
        <f t="shared" si="688"/>
        <v>0.19192578096687685</v>
      </c>
      <c r="AO214" s="166">
        <f t="shared" si="688"/>
        <v>0.19192578096687679</v>
      </c>
      <c r="AP214" s="18">
        <f t="shared" si="654"/>
        <v>0.21255010196542637</v>
      </c>
      <c r="AQ214" s="18">
        <f t="shared" si="654"/>
        <v>0.21257824473109682</v>
      </c>
      <c r="AR214" s="18">
        <f t="shared" si="654"/>
        <v>0.22802399117601033</v>
      </c>
      <c r="AS214" s="18">
        <f t="shared" si="654"/>
        <v>0.23385881521184351</v>
      </c>
      <c r="AT214" s="166">
        <f t="shared" si="655"/>
        <v>0.2338588152118436</v>
      </c>
      <c r="AU214" s="18">
        <f t="shared" si="655"/>
        <v>0.23031527487008582</v>
      </c>
      <c r="AV214" s="18">
        <f t="shared" si="655"/>
        <v>0.23000383858458623</v>
      </c>
      <c r="AW214" s="18">
        <f t="shared" si="655"/>
        <v>0.21692097597871574</v>
      </c>
      <c r="AX214" s="18">
        <f t="shared" si="655"/>
        <v>0.19846887710189173</v>
      </c>
      <c r="AY214" s="166">
        <f t="shared" si="656"/>
        <v>0.19846887710189176</v>
      </c>
      <c r="AZ214" s="18">
        <f t="shared" si="656"/>
        <v>0.17009175524581793</v>
      </c>
      <c r="BA214" s="18">
        <f t="shared" si="656"/>
        <v>0.16256856903110492</v>
      </c>
      <c r="BB214" s="18">
        <f t="shared" si="656"/>
        <v>0.14564577707785431</v>
      </c>
      <c r="BC214" s="18">
        <f t="shared" si="656"/>
        <v>0.13837206052425038</v>
      </c>
      <c r="BD214" s="166">
        <f t="shared" si="656"/>
        <v>0.13837206052425055</v>
      </c>
      <c r="BE214" s="18">
        <f t="shared" ref="BE214:BH214" si="693">BE196/BE$181</f>
        <v>0.12521422736009213</v>
      </c>
      <c r="BF214" s="18">
        <f t="shared" si="693"/>
        <v>9.6891344519925093E-2</v>
      </c>
      <c r="BG214" s="18">
        <f t="shared" si="693"/>
        <v>9.1579884393438615E-2</v>
      </c>
      <c r="BH214" s="18">
        <f t="shared" si="693"/>
        <v>8.7733098550858146E-2</v>
      </c>
      <c r="BI214" s="166">
        <f t="shared" si="658"/>
        <v>8.7733098550858202E-2</v>
      </c>
      <c r="BJ214" s="18"/>
      <c r="BK214" s="18"/>
      <c r="BL214" s="18"/>
      <c r="BM214" s="18"/>
      <c r="BN214" s="166">
        <f t="shared" si="659"/>
        <v>0.1018731602448659</v>
      </c>
      <c r="BO214" s="18"/>
      <c r="BP214" s="18"/>
      <c r="BQ214" s="18"/>
      <c r="BR214" s="18"/>
      <c r="BS214" s="166">
        <f t="shared" si="660"/>
        <v>0.12297169102161205</v>
      </c>
      <c r="BT214" s="148"/>
      <c r="BU214" s="356"/>
      <c r="BV214" s="224"/>
      <c r="BW214" s="148"/>
      <c r="BX214" s="148"/>
      <c r="BY214" s="148"/>
      <c r="BZ214" s="531"/>
      <c r="CA214" s="322"/>
      <c r="CB214" s="322"/>
      <c r="CC214" s="558"/>
      <c r="CD214" s="558"/>
      <c r="CE214" s="558"/>
      <c r="CF214" s="322"/>
      <c r="CG214" s="322"/>
      <c r="CH214" s="356"/>
      <c r="CI214" s="148"/>
      <c r="CJ214"/>
      <c r="CK214"/>
      <c r="CL214"/>
      <c r="CM214"/>
      <c r="CN214"/>
      <c r="CO214"/>
      <c r="CP214" s="391"/>
    </row>
    <row r="215" spans="1:94" s="260" customFormat="1" ht="12.75" hidden="1" customHeight="1" x14ac:dyDescent="0.2">
      <c r="A215" s="148" t="s">
        <v>202</v>
      </c>
      <c r="B215" s="18"/>
      <c r="C215" s="18"/>
      <c r="D215" s="18"/>
      <c r="E215" s="18"/>
      <c r="F215" s="166">
        <f t="shared" si="676"/>
        <v>-1.2477772124276788E-2</v>
      </c>
      <c r="G215" s="18"/>
      <c r="H215" s="18"/>
      <c r="I215" s="18"/>
      <c r="J215" s="18">
        <f t="shared" si="677"/>
        <v>1.6812400803208862E-2</v>
      </c>
      <c r="K215" s="166">
        <f t="shared" si="677"/>
        <v>1.6812400803208869E-2</v>
      </c>
      <c r="L215" s="18">
        <f t="shared" si="677"/>
        <v>5.0143308359334164E-2</v>
      </c>
      <c r="M215" s="18">
        <f t="shared" si="677"/>
        <v>0.10549896845923711</v>
      </c>
      <c r="N215" s="18">
        <f t="shared" si="677"/>
        <v>9.8841676508158408E-2</v>
      </c>
      <c r="O215" s="18">
        <f t="shared" si="677"/>
        <v>9.0887011525121575E-2</v>
      </c>
      <c r="P215" s="166">
        <f t="shared" si="677"/>
        <v>9.0887011525121422E-2</v>
      </c>
      <c r="Q215" s="18">
        <f t="shared" si="686"/>
        <v>8.2749716760099665E-2</v>
      </c>
      <c r="R215" s="18">
        <f t="shared" si="686"/>
        <v>5.6469140421174881E-2</v>
      </c>
      <c r="S215" s="18">
        <f t="shared" si="686"/>
        <v>4.6705558529355033E-2</v>
      </c>
      <c r="T215" s="18">
        <f t="shared" si="686"/>
        <v>5.3940724338092744E-2</v>
      </c>
      <c r="U215" s="166">
        <f t="shared" si="686"/>
        <v>5.3940724338092924E-2</v>
      </c>
      <c r="V215" s="18">
        <f t="shared" si="687"/>
        <v>5.4144233596344543E-2</v>
      </c>
      <c r="W215" s="18">
        <f t="shared" si="687"/>
        <v>7.3380453421340627E-2</v>
      </c>
      <c r="X215" s="18">
        <f t="shared" si="686"/>
        <v>8.4747702687902021E-2</v>
      </c>
      <c r="Y215" s="18">
        <f t="shared" si="686"/>
        <v>9.0259768144841282E-2</v>
      </c>
      <c r="Z215" s="166">
        <f t="shared" si="686"/>
        <v>9.0259768144841226E-2</v>
      </c>
      <c r="AA215" s="18">
        <f t="shared" si="686"/>
        <v>9.0444106633310498E-2</v>
      </c>
      <c r="AB215" s="18">
        <f t="shared" si="686"/>
        <v>9.2221315294654174E-2</v>
      </c>
      <c r="AC215" s="18">
        <f t="shared" si="680"/>
        <v>8.5596251381484259E-2</v>
      </c>
      <c r="AD215" s="18">
        <f t="shared" si="680"/>
        <v>7.8776505854118842E-2</v>
      </c>
      <c r="AE215" s="166">
        <f t="shared" si="680"/>
        <v>7.8776505854118758E-2</v>
      </c>
      <c r="AF215" s="18">
        <f t="shared" si="680"/>
        <v>8.1292843087080943E-2</v>
      </c>
      <c r="AG215" s="18">
        <f t="shared" si="681"/>
        <v>8.5078236710322913E-2</v>
      </c>
      <c r="AH215" s="18">
        <f t="shared" si="681"/>
        <v>9.983304205817102E-2</v>
      </c>
      <c r="AI215" s="18">
        <f t="shared" si="681"/>
        <v>0.10727913998253129</v>
      </c>
      <c r="AJ215" s="166">
        <f t="shared" si="682"/>
        <v>0.10727913998253132</v>
      </c>
      <c r="AK215" s="18">
        <f t="shared" si="688"/>
        <v>0.10604000731734935</v>
      </c>
      <c r="AL215" s="18">
        <f t="shared" si="688"/>
        <v>0.11207194532543373</v>
      </c>
      <c r="AM215" s="18">
        <f t="shared" si="688"/>
        <v>0.11682365720745604</v>
      </c>
      <c r="AN215" s="18">
        <f t="shared" si="688"/>
        <v>0.12275805299288664</v>
      </c>
      <c r="AO215" s="166">
        <f t="shared" si="688"/>
        <v>0.12275805299288658</v>
      </c>
      <c r="AP215" s="18">
        <f t="shared" si="654"/>
        <v>0.13587270527462217</v>
      </c>
      <c r="AQ215" s="18">
        <f t="shared" si="654"/>
        <v>0.13637757761759736</v>
      </c>
      <c r="AR215" s="18">
        <f t="shared" si="654"/>
        <v>0.14393703747523975</v>
      </c>
      <c r="AS215" s="18">
        <f t="shared" si="654"/>
        <v>0.147657932917823</v>
      </c>
      <c r="AT215" s="166">
        <f t="shared" si="655"/>
        <v>0.14765793291782309</v>
      </c>
      <c r="AU215" s="18">
        <f t="shared" si="655"/>
        <v>0.14534927599804412</v>
      </c>
      <c r="AV215" s="18">
        <f t="shared" si="655"/>
        <v>0.14498618154655718</v>
      </c>
      <c r="AW215" s="18">
        <f t="shared" si="655"/>
        <v>0.13716135228904894</v>
      </c>
      <c r="AX215" s="18">
        <f t="shared" si="655"/>
        <v>0.12531589745886659</v>
      </c>
      <c r="AY215" s="166">
        <f t="shared" si="656"/>
        <v>0.12531589745886668</v>
      </c>
      <c r="AZ215" s="18">
        <f t="shared" si="656"/>
        <v>0.10702786165277309</v>
      </c>
      <c r="BA215" s="18">
        <f t="shared" si="656"/>
        <v>0.10221418406262384</v>
      </c>
      <c r="BB215" s="18">
        <f t="shared" si="656"/>
        <v>9.144434761880571E-2</v>
      </c>
      <c r="BC215" s="18">
        <f t="shared" si="656"/>
        <v>8.7066495547399078E-2</v>
      </c>
      <c r="BD215" s="166">
        <f t="shared" si="656"/>
        <v>8.7066495547399259E-2</v>
      </c>
      <c r="BE215" s="18">
        <f t="shared" ref="BE215:BH215" si="694">BE197/BE$181</f>
        <v>8.0825724666220095E-2</v>
      </c>
      <c r="BF215" s="18">
        <f t="shared" si="694"/>
        <v>6.5573889902146451E-2</v>
      </c>
      <c r="BG215" s="18">
        <f t="shared" si="694"/>
        <v>6.6228487191717533E-2</v>
      </c>
      <c r="BH215" s="18">
        <f t="shared" si="694"/>
        <v>6.6677154898652197E-2</v>
      </c>
      <c r="BI215" s="166">
        <f t="shared" si="658"/>
        <v>6.6677154898652252E-2</v>
      </c>
      <c r="BJ215" s="18"/>
      <c r="BK215" s="18"/>
      <c r="BL215" s="18"/>
      <c r="BM215" s="18"/>
      <c r="BN215" s="166">
        <f t="shared" si="659"/>
        <v>7.7423601786098084E-2</v>
      </c>
      <c r="BO215" s="18"/>
      <c r="BP215" s="18"/>
      <c r="BQ215" s="18"/>
      <c r="BR215" s="18"/>
      <c r="BS215" s="166">
        <f t="shared" si="660"/>
        <v>9.345848517642516E-2</v>
      </c>
      <c r="BT215" s="148"/>
      <c r="BU215" s="356"/>
      <c r="BV215" s="224"/>
      <c r="BW215" s="148"/>
      <c r="BX215" s="148"/>
      <c r="BY215" s="148"/>
      <c r="BZ215" s="531"/>
      <c r="CA215" s="322"/>
      <c r="CB215" s="322"/>
      <c r="CC215" s="558"/>
      <c r="CD215" s="558"/>
      <c r="CE215" s="558"/>
      <c r="CF215" s="322"/>
      <c r="CG215" s="322"/>
      <c r="CH215" s="356"/>
      <c r="CI215" s="148"/>
      <c r="CJ215"/>
      <c r="CK215"/>
      <c r="CL215"/>
      <c r="CM215"/>
      <c r="CN215"/>
      <c r="CO215"/>
      <c r="CP215" s="391"/>
    </row>
    <row r="216" spans="1:94" ht="12.75" customHeight="1" x14ac:dyDescent="0.2">
      <c r="A216" s="8" t="s">
        <v>204</v>
      </c>
      <c r="B216" s="15"/>
      <c r="C216" s="15"/>
      <c r="D216" s="15"/>
      <c r="E216" s="15"/>
      <c r="F216" s="164"/>
      <c r="G216" s="15"/>
      <c r="H216" s="15"/>
      <c r="I216" s="15"/>
      <c r="J216" s="15"/>
      <c r="K216" s="164"/>
      <c r="L216" s="15"/>
      <c r="M216" s="15"/>
      <c r="N216" s="15"/>
      <c r="O216" s="15"/>
      <c r="P216" s="164"/>
      <c r="Q216" s="15"/>
      <c r="R216" s="15"/>
      <c r="S216" s="15"/>
      <c r="T216" s="15"/>
      <c r="U216" s="164"/>
      <c r="V216" s="15"/>
      <c r="W216" s="15"/>
      <c r="X216" s="15"/>
      <c r="Y216" s="15"/>
      <c r="Z216" s="164"/>
      <c r="AA216" s="15"/>
      <c r="AB216" s="15"/>
      <c r="AC216" s="15"/>
      <c r="AD216" s="15"/>
      <c r="AE216" s="164"/>
      <c r="AF216" s="15"/>
      <c r="AG216" s="15"/>
      <c r="AH216" s="15"/>
      <c r="AI216" s="15"/>
      <c r="AJ216" s="164"/>
      <c r="AK216" s="15"/>
      <c r="AL216" s="15"/>
      <c r="AM216" s="15"/>
      <c r="AN216" s="15"/>
      <c r="AO216" s="164"/>
      <c r="AP216" s="15"/>
      <c r="AQ216" s="15"/>
      <c r="AR216" s="15"/>
      <c r="AS216" s="15"/>
      <c r="AT216" s="164"/>
      <c r="AU216" s="15"/>
      <c r="AV216" s="15"/>
      <c r="AW216" s="15"/>
      <c r="AX216" s="15"/>
      <c r="AY216" s="164"/>
      <c r="AZ216" s="15"/>
      <c r="BA216" s="15"/>
      <c r="BB216" s="15"/>
      <c r="BC216" s="15"/>
      <c r="BD216" s="164"/>
      <c r="BE216" s="15"/>
      <c r="BF216" s="15"/>
      <c r="BG216" s="15"/>
      <c r="BH216" s="15"/>
      <c r="BI216" s="164"/>
      <c r="BJ216" s="15"/>
      <c r="BK216" s="15"/>
      <c r="BL216" s="15"/>
      <c r="BM216" s="15"/>
      <c r="BN216" s="164"/>
      <c r="BO216" s="15"/>
      <c r="BP216" s="15"/>
      <c r="BQ216" s="15"/>
      <c r="BR216" s="15"/>
      <c r="BS216" s="164"/>
      <c r="BZ216" s="531"/>
    </row>
    <row r="217" spans="1:94" s="254" customFormat="1" ht="12.75" customHeight="1" x14ac:dyDescent="0.2">
      <c r="A217" s="9" t="s">
        <v>205</v>
      </c>
      <c r="B217" s="9"/>
      <c r="C217" s="9"/>
      <c r="D217" s="9"/>
      <c r="E217" s="9"/>
      <c r="F217" s="165"/>
      <c r="G217" s="9"/>
      <c r="H217" s="9"/>
      <c r="I217" s="9"/>
      <c r="J217" s="9"/>
      <c r="K217" s="165"/>
      <c r="L217" s="9"/>
      <c r="M217" s="9"/>
      <c r="N217" s="9"/>
      <c r="O217" s="9"/>
      <c r="P217" s="165"/>
      <c r="Q217" s="9"/>
      <c r="R217" s="9"/>
      <c r="S217" s="9"/>
      <c r="T217" s="9"/>
      <c r="U217" s="165"/>
      <c r="V217" s="9"/>
      <c r="W217" s="9"/>
      <c r="X217" s="9"/>
      <c r="Y217" s="9"/>
      <c r="Z217" s="165"/>
      <c r="AA217" s="9"/>
      <c r="AB217" s="9"/>
      <c r="AC217" s="9"/>
      <c r="AD217" s="9"/>
      <c r="AE217" s="165"/>
      <c r="AF217" s="9"/>
      <c r="AG217" s="9"/>
      <c r="AH217" s="9"/>
      <c r="AI217" s="9"/>
      <c r="AJ217" s="165"/>
      <c r="AK217" s="9"/>
      <c r="AL217" s="9"/>
      <c r="AM217" s="9"/>
      <c r="AN217" s="9"/>
      <c r="AO217" s="165"/>
      <c r="AP217" s="9"/>
      <c r="AQ217" s="9"/>
      <c r="AR217" s="9"/>
      <c r="AS217" s="9"/>
      <c r="AT217" s="165"/>
      <c r="AU217" s="9"/>
      <c r="AV217" s="9"/>
      <c r="AW217" s="9"/>
      <c r="AX217" s="9"/>
      <c r="AY217" s="165"/>
      <c r="AZ217" s="9"/>
      <c r="BA217" s="9"/>
      <c r="BB217" s="9"/>
      <c r="BC217" s="9"/>
      <c r="BD217" s="165"/>
      <c r="BE217" s="9"/>
      <c r="BF217" s="9"/>
      <c r="BG217" s="9"/>
      <c r="BH217" s="9"/>
      <c r="BI217" s="165"/>
      <c r="BJ217" s="9"/>
      <c r="BK217" s="9"/>
      <c r="BL217" s="9"/>
      <c r="BM217" s="9"/>
      <c r="BN217" s="165"/>
      <c r="BO217" s="9"/>
      <c r="BP217" s="9"/>
      <c r="BQ217" s="9"/>
      <c r="BR217" s="9"/>
      <c r="BS217" s="165"/>
      <c r="BT217" s="249"/>
      <c r="BU217" s="8"/>
      <c r="BV217" s="280"/>
      <c r="BW217" s="249"/>
      <c r="BX217" s="249"/>
      <c r="BY217" s="249"/>
      <c r="BZ217" s="432"/>
      <c r="CA217" s="320"/>
      <c r="CB217" s="320"/>
      <c r="CC217" s="319"/>
      <c r="CD217" s="319"/>
      <c r="CE217" s="319"/>
      <c r="CF217" s="320"/>
      <c r="CG217" s="320"/>
      <c r="CH217" s="8"/>
      <c r="CI217" s="249"/>
      <c r="CJ217"/>
      <c r="CK217"/>
      <c r="CL217"/>
      <c r="CM217"/>
      <c r="CN217"/>
      <c r="CO217"/>
      <c r="CP217" s="320"/>
    </row>
    <row r="218" spans="1:94" s="140" customFormat="1" ht="12.75" customHeight="1" x14ac:dyDescent="0.2">
      <c r="A218" s="74" t="s">
        <v>206</v>
      </c>
      <c r="B218" s="45"/>
      <c r="C218" s="45"/>
      <c r="D218" s="45"/>
      <c r="E218" s="45"/>
      <c r="F218" s="178">
        <f t="shared" ref="F218:T218" si="695">F176</f>
        <v>0.15799999999998882</v>
      </c>
      <c r="G218" s="45">
        <f t="shared" si="695"/>
        <v>55.372000000000028</v>
      </c>
      <c r="H218" s="45">
        <f t="shared" si="695"/>
        <v>18.457000000000022</v>
      </c>
      <c r="I218" s="45">
        <f t="shared" si="695"/>
        <v>-49.111999999999988</v>
      </c>
      <c r="J218" s="45">
        <f t="shared" si="695"/>
        <v>10.880000000000008</v>
      </c>
      <c r="K218" s="178">
        <f t="shared" si="695"/>
        <v>35.597000000000072</v>
      </c>
      <c r="L218" s="45">
        <f t="shared" si="695"/>
        <v>18.959</v>
      </c>
      <c r="M218" s="45">
        <f t="shared" si="695"/>
        <v>22.567000000000004</v>
      </c>
      <c r="N218" s="45">
        <f t="shared" si="695"/>
        <v>14.657999999999999</v>
      </c>
      <c r="O218" s="45">
        <f t="shared" si="695"/>
        <v>27.50899999999999</v>
      </c>
      <c r="P218" s="178">
        <f>P176</f>
        <v>83.69299999999987</v>
      </c>
      <c r="Q218" s="45">
        <f t="shared" si="695"/>
        <v>11.276</v>
      </c>
      <c r="R218" s="45">
        <f t="shared" si="695"/>
        <v>-14.030000000000001</v>
      </c>
      <c r="S218" s="45">
        <f t="shared" si="695"/>
        <v>63.152000000000001</v>
      </c>
      <c r="T218" s="45">
        <f t="shared" si="695"/>
        <v>12.081000000000035</v>
      </c>
      <c r="U218" s="178">
        <f>U176</f>
        <v>72.479000000000184</v>
      </c>
      <c r="V218" s="45">
        <f>V176</f>
        <v>8.2969999999999899</v>
      </c>
      <c r="W218" s="45">
        <v>16.917000000000002</v>
      </c>
      <c r="X218" s="45">
        <f>X176</f>
        <v>27.573000000000004</v>
      </c>
      <c r="Y218" s="45">
        <f>Y176</f>
        <v>23.990999999999982</v>
      </c>
      <c r="Z218" s="178">
        <f>SUM(V218:Y218)</f>
        <v>76.777999999999977</v>
      </c>
      <c r="AA218" s="45">
        <f>AA176</f>
        <v>23.419000000000004</v>
      </c>
      <c r="AB218" s="45">
        <f>AB176</f>
        <v>34.591000000000001</v>
      </c>
      <c r="AC218" s="45">
        <f>AC176</f>
        <v>30.883999999999972</v>
      </c>
      <c r="AD218" s="45">
        <f>AD176</f>
        <v>19.566000000000034</v>
      </c>
      <c r="AE218" s="178">
        <f>SUM(AA218:AD218)</f>
        <v>108.46000000000001</v>
      </c>
      <c r="AF218" s="45">
        <f>AF176</f>
        <v>30.553999999999995</v>
      </c>
      <c r="AG218" s="45">
        <f>AG176</f>
        <v>42.067999999999991</v>
      </c>
      <c r="AH218" s="45">
        <f>AH176</f>
        <v>61.103000000000023</v>
      </c>
      <c r="AI218" s="45">
        <f>AI176</f>
        <v>43.192999999999955</v>
      </c>
      <c r="AJ218" s="178">
        <f>SUM(AF218:AI218)</f>
        <v>176.91799999999998</v>
      </c>
      <c r="AK218" s="45">
        <f t="shared" ref="AK218:AV218" si="696">AK176</f>
        <v>37.705999999999968</v>
      </c>
      <c r="AL218" s="45">
        <f t="shared" si="696"/>
        <v>64.849000000000018</v>
      </c>
      <c r="AM218" s="45">
        <f>AM176</f>
        <v>66.999999999999986</v>
      </c>
      <c r="AN218" s="45">
        <f t="shared" si="696"/>
        <v>55.909000000000013</v>
      </c>
      <c r="AO218" s="178">
        <f t="shared" si="696"/>
        <v>225.46399999999986</v>
      </c>
      <c r="AP218" s="45">
        <f t="shared" si="696"/>
        <v>70.72</v>
      </c>
      <c r="AQ218" s="45">
        <f t="shared" si="696"/>
        <v>74.843999999999994</v>
      </c>
      <c r="AR218" s="45">
        <f t="shared" si="696"/>
        <v>97.299999999999983</v>
      </c>
      <c r="AS218" s="45">
        <f t="shared" si="696"/>
        <v>74.40000000000002</v>
      </c>
      <c r="AT218" s="178">
        <f t="shared" si="696"/>
        <v>317.26400000000024</v>
      </c>
      <c r="AU218" s="45">
        <f t="shared" si="696"/>
        <v>72.28600000000003</v>
      </c>
      <c r="AV218" s="45">
        <f t="shared" si="696"/>
        <v>78.503000000000043</v>
      </c>
      <c r="AW218" s="45">
        <f>AW176</f>
        <v>86.328999999999979</v>
      </c>
      <c r="AX218" s="45">
        <f>AX176</f>
        <v>53.860000000000035</v>
      </c>
      <c r="AY218" s="178">
        <f t="shared" ref="AY218:BC218" si="697">AY176</f>
        <v>290.97800000000024</v>
      </c>
      <c r="AZ218" s="45">
        <f t="shared" si="697"/>
        <v>35.558999999999948</v>
      </c>
      <c r="BA218" s="45">
        <f t="shared" si="697"/>
        <v>79.083000000000027</v>
      </c>
      <c r="BB218" s="45">
        <f t="shared" si="697"/>
        <v>65.504999999999967</v>
      </c>
      <c r="BC218" s="45">
        <f t="shared" si="697"/>
        <v>250.33800000000002</v>
      </c>
      <c r="BD218" s="178">
        <f>BD176</f>
        <v>430.48500000000041</v>
      </c>
      <c r="BE218" s="45">
        <f t="shared" ref="BE218:BH218" si="698">BE176</f>
        <v>28.381298645798857</v>
      </c>
      <c r="BF218" s="45">
        <f t="shared" si="698"/>
        <v>45.081589104472322</v>
      </c>
      <c r="BG218" s="45">
        <f t="shared" si="698"/>
        <v>80.315070700346595</v>
      </c>
      <c r="BH218" s="45">
        <f t="shared" si="698"/>
        <v>59.083257937585401</v>
      </c>
      <c r="BI218" s="178">
        <f>BI176</f>
        <v>212.86121638820339</v>
      </c>
      <c r="BJ218" s="45"/>
      <c r="BK218" s="45"/>
      <c r="BL218" s="45"/>
      <c r="BM218" s="45"/>
      <c r="BN218" s="178">
        <f>BN176</f>
        <v>279.31965475828878</v>
      </c>
      <c r="BO218" s="45"/>
      <c r="BP218" s="45"/>
      <c r="BQ218" s="45"/>
      <c r="BR218" s="45"/>
      <c r="BS218" s="178">
        <f>BS176</f>
        <v>381.11166068707183</v>
      </c>
      <c r="BT218" s="44"/>
      <c r="BU218" s="368"/>
      <c r="BV218" s="232"/>
      <c r="BW218" s="44"/>
      <c r="BX218" s="44"/>
      <c r="BY218" s="44"/>
      <c r="BZ218" s="531"/>
      <c r="CA218" s="331"/>
      <c r="CB218" s="331"/>
      <c r="CC218" s="322"/>
      <c r="CD218" s="322"/>
      <c r="CE218" s="322"/>
      <c r="CF218" s="331"/>
      <c r="CG218" s="331"/>
      <c r="CH218" s="368"/>
      <c r="CI218" s="44"/>
      <c r="CJ218"/>
      <c r="CK218"/>
      <c r="CL218"/>
      <c r="CM218"/>
      <c r="CN218"/>
      <c r="CO218"/>
      <c r="CP218" s="407"/>
    </row>
    <row r="219" spans="1:94" s="277" customFormat="1" ht="12.75" customHeight="1" x14ac:dyDescent="0.2">
      <c r="A219" s="582" t="s">
        <v>207</v>
      </c>
      <c r="B219" s="75"/>
      <c r="C219" s="75"/>
      <c r="D219" s="75"/>
      <c r="E219" s="75"/>
      <c r="F219" s="186">
        <f>F92</f>
        <v>5.4950000000000001</v>
      </c>
      <c r="G219" s="75">
        <v>1.288</v>
      </c>
      <c r="H219" s="75">
        <f>2.21-G219</f>
        <v>0.92199999999999993</v>
      </c>
      <c r="I219" s="75">
        <f>3.606-H219-G219</f>
        <v>1.3960000000000001</v>
      </c>
      <c r="J219" s="75">
        <f>4.73-I219-H219-G219</f>
        <v>1.1240000000000008</v>
      </c>
      <c r="K219" s="186">
        <f>SUM(G219:J219)</f>
        <v>4.7300000000000004</v>
      </c>
      <c r="L219" s="75">
        <v>1.1319999999999999</v>
      </c>
      <c r="M219" s="75">
        <f>2.419-L219</f>
        <v>1.2870000000000001</v>
      </c>
      <c r="N219" s="75">
        <f>3.102-M219-L219</f>
        <v>0.68299999999999983</v>
      </c>
      <c r="O219" s="75">
        <f>4.924-N219-M219-L219</f>
        <v>1.8220000000000007</v>
      </c>
      <c r="P219" s="186">
        <f>SUM(L219:O219)</f>
        <v>4.9240000000000004</v>
      </c>
      <c r="Q219" s="75">
        <v>1.4179999999999999</v>
      </c>
      <c r="R219" s="75">
        <f>2.876-Q219</f>
        <v>1.458</v>
      </c>
      <c r="S219" s="75">
        <f>4.394-R219-Q219</f>
        <v>1.518</v>
      </c>
      <c r="T219" s="75">
        <f>5.62-S219-R219-Q219</f>
        <v>1.2260000000000002</v>
      </c>
      <c r="U219" s="186">
        <f>SUM(Q219:T219)</f>
        <v>5.62</v>
      </c>
      <c r="V219" s="75">
        <v>1.546</v>
      </c>
      <c r="W219" s="75">
        <f>W221</f>
        <v>1.6910000000000001</v>
      </c>
      <c r="X219" s="75">
        <f>X221</f>
        <v>2.0590000000000002</v>
      </c>
      <c r="Y219" s="75">
        <f>Y92</f>
        <v>2.464</v>
      </c>
      <c r="Z219" s="447">
        <f>SUM(V219:Y219)</f>
        <v>7.76</v>
      </c>
      <c r="AA219" s="75">
        <f>AA221</f>
        <v>2.87</v>
      </c>
      <c r="AB219" s="75">
        <f>AB221</f>
        <v>3.327</v>
      </c>
      <c r="AC219" s="75">
        <f>AC221</f>
        <v>3.8149999999999999</v>
      </c>
      <c r="AD219" s="75">
        <f>AD221</f>
        <v>5.2439999999999998</v>
      </c>
      <c r="AE219" s="447">
        <f>SUM(AA219:AD219)</f>
        <v>15.256</v>
      </c>
      <c r="AF219" s="75">
        <f>AF221</f>
        <v>6.3239999999999998</v>
      </c>
      <c r="AG219" s="75">
        <f>AG221</f>
        <v>7.6040000000000001</v>
      </c>
      <c r="AH219" s="75">
        <f>AH221</f>
        <v>8.4749999999999996</v>
      </c>
      <c r="AI219" s="75">
        <f>AI221</f>
        <v>9.5440000000000005</v>
      </c>
      <c r="AJ219" s="447">
        <f>SUM(AF219:AI219)</f>
        <v>31.946999999999999</v>
      </c>
      <c r="AK219" s="75">
        <f>AK221</f>
        <v>11.121</v>
      </c>
      <c r="AL219" s="75">
        <f>AL221</f>
        <v>11.343999999999999</v>
      </c>
      <c r="AM219" s="75">
        <f>AM221</f>
        <v>11.337999999999999</v>
      </c>
      <c r="AN219" s="75">
        <f>AN92</f>
        <v>13.167999999999999</v>
      </c>
      <c r="AO219" s="186">
        <f>SUM(AK219:AN219)</f>
        <v>46.970999999999997</v>
      </c>
      <c r="AP219" s="75">
        <f>AP92</f>
        <v>14.863</v>
      </c>
      <c r="AQ219" s="75">
        <f>AQ92</f>
        <v>17.138999999999999</v>
      </c>
      <c r="AR219" s="75">
        <f>AR92</f>
        <v>19.628</v>
      </c>
      <c r="AS219" s="75">
        <f>AS92</f>
        <v>22.277999999999999</v>
      </c>
      <c r="AT219" s="186">
        <f>SUM(AP219:AS219)</f>
        <v>73.907999999999987</v>
      </c>
      <c r="AU219" s="75">
        <f>AU92</f>
        <v>23.109000000000002</v>
      </c>
      <c r="AV219" s="75">
        <f>AV92</f>
        <v>24.957000000000001</v>
      </c>
      <c r="AW219" s="75">
        <f>AW92</f>
        <v>25.303999999999998</v>
      </c>
      <c r="AX219" s="75">
        <f>AX92</f>
        <v>27.765999999999998</v>
      </c>
      <c r="AY219" s="186">
        <f>SUM(AU219:AX219)</f>
        <v>101.136</v>
      </c>
      <c r="AZ219" s="75">
        <f t="shared" ref="AZ219:BC219" si="699">AZ92</f>
        <v>31.509</v>
      </c>
      <c r="BA219" s="75">
        <f t="shared" si="699"/>
        <v>35.331000000000003</v>
      </c>
      <c r="BB219" s="75">
        <f t="shared" si="699"/>
        <v>36.840000000000003</v>
      </c>
      <c r="BC219" s="75">
        <f t="shared" si="699"/>
        <v>36.472000000000001</v>
      </c>
      <c r="BD219" s="186">
        <f>BD92</f>
        <v>140.15200000000002</v>
      </c>
      <c r="BE219" s="75">
        <f t="shared" ref="BE219:BH219" si="700">BE92</f>
        <v>39.299999999999997</v>
      </c>
      <c r="BF219" s="75">
        <f t="shared" si="700"/>
        <v>49.4634</v>
      </c>
      <c r="BG219" s="75">
        <f t="shared" si="700"/>
        <v>55.260000000000005</v>
      </c>
      <c r="BH219" s="75">
        <f t="shared" si="700"/>
        <v>54.707999999999998</v>
      </c>
      <c r="BI219" s="186">
        <f>BI92</f>
        <v>198.73139999999998</v>
      </c>
      <c r="BJ219" s="75"/>
      <c r="BK219" s="75"/>
      <c r="BL219" s="75"/>
      <c r="BM219" s="75"/>
      <c r="BN219" s="186">
        <f>BN92</f>
        <v>238.47767999999996</v>
      </c>
      <c r="BO219" s="75"/>
      <c r="BP219" s="75"/>
      <c r="BQ219" s="75"/>
      <c r="BR219" s="75"/>
      <c r="BS219" s="186">
        <f>BS92</f>
        <v>268.28738999999996</v>
      </c>
      <c r="BT219" s="163"/>
      <c r="BU219" s="377"/>
      <c r="BV219" s="239"/>
      <c r="BW219" s="163"/>
      <c r="BX219" s="163"/>
      <c r="BY219" s="163"/>
      <c r="BZ219" s="531"/>
      <c r="CA219" s="331"/>
      <c r="CB219" s="335"/>
      <c r="CC219" s="319"/>
      <c r="CD219" s="319"/>
      <c r="CE219" s="319"/>
      <c r="CF219" s="335"/>
      <c r="CG219" s="335"/>
      <c r="CH219" s="377"/>
      <c r="CI219" s="163"/>
      <c r="CJ219"/>
      <c r="CK219"/>
      <c r="CL219"/>
      <c r="CM219"/>
      <c r="CN219"/>
      <c r="CO219"/>
      <c r="CP219" s="422"/>
    </row>
    <row r="220" spans="1:94" s="277" customFormat="1" ht="12.75" customHeight="1" x14ac:dyDescent="0.2">
      <c r="A220" s="582" t="s">
        <v>208</v>
      </c>
      <c r="B220" s="75"/>
      <c r="C220" s="75"/>
      <c r="D220" s="75"/>
      <c r="E220" s="75"/>
      <c r="F220" s="875">
        <v>0</v>
      </c>
      <c r="G220" s="862">
        <v>0</v>
      </c>
      <c r="H220" s="862">
        <v>0</v>
      </c>
      <c r="I220" s="862">
        <v>0</v>
      </c>
      <c r="J220" s="862">
        <v>0</v>
      </c>
      <c r="K220" s="186">
        <f>SUM(G220:J220)</f>
        <v>0</v>
      </c>
      <c r="L220" s="862">
        <v>-8.9999999999999993E-3</v>
      </c>
      <c r="M220" s="862">
        <f>-0.051-L220</f>
        <v>-4.1999999999999996E-2</v>
      </c>
      <c r="N220" s="862">
        <v>0</v>
      </c>
      <c r="O220" s="862">
        <f>1.047-N220-M220-L220</f>
        <v>1.0979999999999999</v>
      </c>
      <c r="P220" s="186">
        <f>SUM(L220:O220)</f>
        <v>1.0469999999999999</v>
      </c>
      <c r="Q220" s="862">
        <v>4.4999999999999998E-2</v>
      </c>
      <c r="R220" s="862">
        <f>0.051-Q220</f>
        <v>5.9999999999999984E-3</v>
      </c>
      <c r="S220" s="862">
        <f>0.068-R220-Q220</f>
        <v>1.7000000000000008E-2</v>
      </c>
      <c r="T220" s="862">
        <f>0.574-S220-R220-Q220</f>
        <v>0.50599999999999989</v>
      </c>
      <c r="U220" s="186">
        <f>SUM(Q220:T220)</f>
        <v>0.57399999999999984</v>
      </c>
      <c r="V220" s="862">
        <v>-0.24199999999999999</v>
      </c>
      <c r="W220" s="862">
        <v>0</v>
      </c>
      <c r="X220" s="862">
        <v>0</v>
      </c>
      <c r="Y220" s="862">
        <f>1.047-X220-W220-V220</f>
        <v>1.2889999999999999</v>
      </c>
      <c r="Z220" s="447">
        <f>SUM(V220:Y220)</f>
        <v>1.0469999999999999</v>
      </c>
      <c r="AA220" s="862">
        <v>0</v>
      </c>
      <c r="AB220" s="862">
        <v>0</v>
      </c>
      <c r="AC220" s="862">
        <v>0</v>
      </c>
      <c r="AD220" s="862">
        <v>0</v>
      </c>
      <c r="AE220" s="447">
        <f>SUM(AA220:AD220)</f>
        <v>0</v>
      </c>
      <c r="AF220" s="862">
        <v>0</v>
      </c>
      <c r="AG220" s="862">
        <v>0</v>
      </c>
      <c r="AH220" s="862">
        <v>0</v>
      </c>
      <c r="AI220" s="862">
        <v>0</v>
      </c>
      <c r="AJ220" s="447">
        <f>SUM(AF220:AI220)</f>
        <v>0</v>
      </c>
      <c r="AK220" s="862">
        <v>0</v>
      </c>
      <c r="AL220" s="862">
        <v>0</v>
      </c>
      <c r="AM220" s="862">
        <v>0</v>
      </c>
      <c r="AN220" s="862">
        <v>0</v>
      </c>
      <c r="AO220" s="186">
        <f>SUM(AK220:AN220)</f>
        <v>0</v>
      </c>
      <c r="AP220" s="862">
        <v>0</v>
      </c>
      <c r="AQ220" s="862">
        <v>0</v>
      </c>
      <c r="AR220" s="862">
        <v>0</v>
      </c>
      <c r="AS220" s="862">
        <v>0</v>
      </c>
      <c r="AT220" s="186">
        <f>SUM(AP220:AS220)</f>
        <v>0</v>
      </c>
      <c r="AU220" s="862">
        <v>0</v>
      </c>
      <c r="AV220" s="862">
        <v>0</v>
      </c>
      <c r="AW220" s="862">
        <v>0</v>
      </c>
      <c r="AX220" s="862">
        <v>0</v>
      </c>
      <c r="AY220" s="186">
        <f>SUM(AU220:AX220)</f>
        <v>0</v>
      </c>
      <c r="AZ220" s="862">
        <v>0</v>
      </c>
      <c r="BA220" s="862">
        <v>0</v>
      </c>
      <c r="BB220" s="862">
        <v>0</v>
      </c>
      <c r="BC220" s="862">
        <v>0</v>
      </c>
      <c r="BD220" s="186">
        <f>SUM(AZ220:BC220)</f>
        <v>0</v>
      </c>
      <c r="BE220" s="787">
        <v>0</v>
      </c>
      <c r="BF220" s="787">
        <v>0</v>
      </c>
      <c r="BG220" s="787">
        <v>0</v>
      </c>
      <c r="BH220" s="787">
        <v>0</v>
      </c>
      <c r="BI220" s="186">
        <f>SUM(BE220:BH220)</f>
        <v>0</v>
      </c>
      <c r="BJ220" s="75"/>
      <c r="BK220" s="75"/>
      <c r="BL220" s="787"/>
      <c r="BM220" s="787"/>
      <c r="BN220" s="813">
        <v>0</v>
      </c>
      <c r="BO220" s="75"/>
      <c r="BP220" s="75"/>
      <c r="BQ220" s="787"/>
      <c r="BR220" s="787"/>
      <c r="BS220" s="813">
        <v>0</v>
      </c>
      <c r="BT220" s="163"/>
      <c r="BU220" s="377"/>
      <c r="BV220" s="239"/>
      <c r="BW220" s="163"/>
      <c r="BX220" s="163"/>
      <c r="BY220" s="163"/>
      <c r="BZ220" s="531"/>
      <c r="CA220" s="331"/>
      <c r="CB220" s="335"/>
      <c r="CC220" s="319"/>
      <c r="CD220" s="335"/>
      <c r="CE220" s="335"/>
      <c r="CF220" s="335"/>
      <c r="CG220" s="335"/>
      <c r="CH220" s="377"/>
      <c r="CI220" s="163"/>
      <c r="CJ220"/>
      <c r="CK220"/>
      <c r="CL220"/>
      <c r="CM220"/>
      <c r="CN220"/>
      <c r="CO220"/>
      <c r="CP220" s="422"/>
    </row>
    <row r="221" spans="1:94" s="140" customFormat="1" ht="12.75" customHeight="1" x14ac:dyDescent="0.2">
      <c r="A221" s="44" t="s">
        <v>209</v>
      </c>
      <c r="B221" s="45"/>
      <c r="C221" s="45"/>
      <c r="D221" s="45"/>
      <c r="E221" s="45"/>
      <c r="F221" s="178">
        <f>F220+F219</f>
        <v>5.4950000000000001</v>
      </c>
      <c r="G221" s="45">
        <f t="shared" ref="G221:R221" si="701">G220+G219</f>
        <v>1.288</v>
      </c>
      <c r="H221" s="45">
        <f t="shared" si="701"/>
        <v>0.92199999999999993</v>
      </c>
      <c r="I221" s="45">
        <f t="shared" si="701"/>
        <v>1.3960000000000001</v>
      </c>
      <c r="J221" s="45">
        <f t="shared" si="701"/>
        <v>1.1240000000000008</v>
      </c>
      <c r="K221" s="178">
        <f t="shared" si="701"/>
        <v>4.7300000000000004</v>
      </c>
      <c r="L221" s="45">
        <f t="shared" si="701"/>
        <v>1.123</v>
      </c>
      <c r="M221" s="45">
        <f t="shared" si="701"/>
        <v>1.2450000000000001</v>
      </c>
      <c r="N221" s="45">
        <f t="shared" si="701"/>
        <v>0.68299999999999983</v>
      </c>
      <c r="O221" s="45">
        <f t="shared" si="701"/>
        <v>2.9200000000000008</v>
      </c>
      <c r="P221" s="178">
        <f t="shared" si="701"/>
        <v>5.9710000000000001</v>
      </c>
      <c r="Q221" s="45">
        <f>Q220+Q219</f>
        <v>1.4629999999999999</v>
      </c>
      <c r="R221" s="45">
        <f t="shared" si="701"/>
        <v>1.464</v>
      </c>
      <c r="S221" s="45">
        <f>S220+S219</f>
        <v>1.5349999999999999</v>
      </c>
      <c r="T221" s="45">
        <f>T220+T219</f>
        <v>1.7320000000000002</v>
      </c>
      <c r="U221" s="178">
        <f>U220+U219</f>
        <v>6.194</v>
      </c>
      <c r="V221" s="45">
        <f>V220+V219</f>
        <v>1.304</v>
      </c>
      <c r="W221" s="45">
        <f>W92</f>
        <v>1.6910000000000001</v>
      </c>
      <c r="X221" s="45">
        <f>X92</f>
        <v>2.0590000000000002</v>
      </c>
      <c r="Y221" s="45">
        <f t="shared" ref="Y221:AE221" si="702">Y220+Y219</f>
        <v>3.7530000000000001</v>
      </c>
      <c r="Z221" s="178">
        <f t="shared" si="702"/>
        <v>8.8070000000000004</v>
      </c>
      <c r="AA221" s="45">
        <f>AA92</f>
        <v>2.87</v>
      </c>
      <c r="AB221" s="45">
        <f>AB92</f>
        <v>3.327</v>
      </c>
      <c r="AC221" s="45">
        <f>AC92</f>
        <v>3.8149999999999999</v>
      </c>
      <c r="AD221" s="45">
        <f>AD92</f>
        <v>5.2439999999999998</v>
      </c>
      <c r="AE221" s="178">
        <f t="shared" si="702"/>
        <v>15.256</v>
      </c>
      <c r="AF221" s="45">
        <f>AF92</f>
        <v>6.3239999999999998</v>
      </c>
      <c r="AG221" s="45">
        <f>AG92</f>
        <v>7.6040000000000001</v>
      </c>
      <c r="AH221" s="45">
        <f>AH92</f>
        <v>8.4749999999999996</v>
      </c>
      <c r="AI221" s="45">
        <f>AI92</f>
        <v>9.5440000000000005</v>
      </c>
      <c r="AJ221" s="178">
        <f>AJ220+AJ219</f>
        <v>31.946999999999999</v>
      </c>
      <c r="AK221" s="45">
        <f>AK92</f>
        <v>11.121</v>
      </c>
      <c r="AL221" s="45">
        <f>AL92</f>
        <v>11.343999999999999</v>
      </c>
      <c r="AM221" s="45">
        <f>AM92</f>
        <v>11.337999999999999</v>
      </c>
      <c r="AN221" s="45">
        <f>AN92</f>
        <v>13.167999999999999</v>
      </c>
      <c r="AO221" s="178">
        <f t="shared" ref="AO221:AV221" si="703">AO220+AO219</f>
        <v>46.970999999999997</v>
      </c>
      <c r="AP221" s="45">
        <f t="shared" si="703"/>
        <v>14.863</v>
      </c>
      <c r="AQ221" s="45">
        <f t="shared" si="703"/>
        <v>17.138999999999999</v>
      </c>
      <c r="AR221" s="45">
        <f t="shared" si="703"/>
        <v>19.628</v>
      </c>
      <c r="AS221" s="45">
        <f t="shared" si="703"/>
        <v>22.277999999999999</v>
      </c>
      <c r="AT221" s="178">
        <f t="shared" si="703"/>
        <v>73.907999999999987</v>
      </c>
      <c r="AU221" s="45">
        <f t="shared" si="703"/>
        <v>23.109000000000002</v>
      </c>
      <c r="AV221" s="45">
        <f t="shared" si="703"/>
        <v>24.957000000000001</v>
      </c>
      <c r="AW221" s="45">
        <f>AW220+AW219</f>
        <v>25.303999999999998</v>
      </c>
      <c r="AX221" s="45">
        <f>AX220+AX219</f>
        <v>27.765999999999998</v>
      </c>
      <c r="AY221" s="178">
        <f t="shared" ref="AY221:BC221" si="704">AY220+AY219</f>
        <v>101.136</v>
      </c>
      <c r="AZ221" s="45">
        <f t="shared" si="704"/>
        <v>31.509</v>
      </c>
      <c r="BA221" s="45">
        <f t="shared" si="704"/>
        <v>35.331000000000003</v>
      </c>
      <c r="BB221" s="45">
        <f t="shared" si="704"/>
        <v>36.840000000000003</v>
      </c>
      <c r="BC221" s="45">
        <f t="shared" si="704"/>
        <v>36.472000000000001</v>
      </c>
      <c r="BD221" s="178">
        <f>BD220+BD219</f>
        <v>140.15200000000002</v>
      </c>
      <c r="BE221" s="45">
        <f t="shared" ref="BE221:BH221" si="705">BE220+BE219</f>
        <v>39.299999999999997</v>
      </c>
      <c r="BF221" s="45">
        <f t="shared" si="705"/>
        <v>49.4634</v>
      </c>
      <c r="BG221" s="45">
        <f t="shared" si="705"/>
        <v>55.260000000000005</v>
      </c>
      <c r="BH221" s="45">
        <f t="shared" si="705"/>
        <v>54.707999999999998</v>
      </c>
      <c r="BI221" s="178">
        <f>BI220+BI219</f>
        <v>198.73139999999998</v>
      </c>
      <c r="BJ221" s="45"/>
      <c r="BK221" s="45"/>
      <c r="BL221" s="45"/>
      <c r="BM221" s="45"/>
      <c r="BN221" s="178">
        <f>BN220+BN219</f>
        <v>238.47767999999996</v>
      </c>
      <c r="BO221" s="45"/>
      <c r="BP221" s="45"/>
      <c r="BQ221" s="45"/>
      <c r="BR221" s="45"/>
      <c r="BS221" s="178">
        <f>BS220+BS219</f>
        <v>268.28738999999996</v>
      </c>
      <c r="BT221" s="44"/>
      <c r="BU221" s="368"/>
      <c r="BV221" s="232"/>
      <c r="BW221" s="44"/>
      <c r="BX221" s="44"/>
      <c r="BY221" s="44"/>
      <c r="BZ221" s="531"/>
      <c r="CA221" s="331"/>
      <c r="CB221" s="322"/>
      <c r="CC221" s="331"/>
      <c r="CD221" s="331"/>
      <c r="CE221" s="331"/>
      <c r="CF221" s="331"/>
      <c r="CG221" s="322"/>
      <c r="CH221" s="368"/>
      <c r="CI221" s="44"/>
      <c r="CJ221"/>
      <c r="CK221"/>
      <c r="CL221"/>
      <c r="CM221"/>
      <c r="CN221"/>
      <c r="CO221"/>
      <c r="CP221" s="407"/>
    </row>
    <row r="222" spans="1:94" s="133" customFormat="1" ht="12.75" customHeight="1" x14ac:dyDescent="0.2">
      <c r="A222" s="583" t="s">
        <v>210</v>
      </c>
      <c r="B222" s="80"/>
      <c r="C222" s="80"/>
      <c r="D222" s="80"/>
      <c r="E222" s="80"/>
      <c r="F222" s="874">
        <v>0</v>
      </c>
      <c r="G222" s="861">
        <v>0</v>
      </c>
      <c r="H222" s="861">
        <v>0</v>
      </c>
      <c r="I222" s="861">
        <v>0</v>
      </c>
      <c r="J222" s="861">
        <v>0</v>
      </c>
      <c r="K222" s="187">
        <f>SUM(G222:J222)</f>
        <v>0</v>
      </c>
      <c r="L222" s="861">
        <v>0</v>
      </c>
      <c r="M222" s="861">
        <v>0</v>
      </c>
      <c r="N222" s="861">
        <v>0</v>
      </c>
      <c r="O222" s="861">
        <v>0</v>
      </c>
      <c r="P222" s="187">
        <f>SUM(L222:O222)</f>
        <v>0</v>
      </c>
      <c r="Q222" s="861">
        <v>0</v>
      </c>
      <c r="R222" s="861">
        <v>0</v>
      </c>
      <c r="S222" s="861">
        <f>-54.073-R222-Q222</f>
        <v>-54.073</v>
      </c>
      <c r="T222" s="861">
        <f>-52.811-S222-R222-Q222</f>
        <v>1.2620000000000005</v>
      </c>
      <c r="U222" s="187">
        <f>SUM(Q222:T222)</f>
        <v>-52.811</v>
      </c>
      <c r="V222" s="861">
        <v>5.47</v>
      </c>
      <c r="W222" s="861">
        <v>0</v>
      </c>
      <c r="X222" s="861">
        <v>0</v>
      </c>
      <c r="Y222" s="861">
        <v>38.71</v>
      </c>
      <c r="Z222" s="187">
        <f>SUM(V222:Y222)</f>
        <v>44.18</v>
      </c>
      <c r="AA222" s="861">
        <v>0</v>
      </c>
      <c r="AB222" s="861">
        <v>0</v>
      </c>
      <c r="AC222" s="861">
        <v>0</v>
      </c>
      <c r="AD222" s="861">
        <v>0</v>
      </c>
      <c r="AE222" s="187">
        <f>SUM(AA222:AD222)</f>
        <v>0</v>
      </c>
      <c r="AF222" s="861">
        <v>0</v>
      </c>
      <c r="AG222" s="861">
        <v>0</v>
      </c>
      <c r="AH222" s="861">
        <v>0</v>
      </c>
      <c r="AI222" s="861">
        <v>0</v>
      </c>
      <c r="AJ222" s="187">
        <f>SUM(AF222:AI222)</f>
        <v>0</v>
      </c>
      <c r="AK222" s="861">
        <v>0</v>
      </c>
      <c r="AL222" s="861">
        <v>0</v>
      </c>
      <c r="AM222" s="861">
        <v>0</v>
      </c>
      <c r="AN222" s="861">
        <v>0</v>
      </c>
      <c r="AO222" s="187">
        <f>SUM(AK222:AN222)</f>
        <v>0</v>
      </c>
      <c r="AP222" s="861">
        <v>0</v>
      </c>
      <c r="AQ222" s="861">
        <v>0</v>
      </c>
      <c r="AR222" s="861">
        <v>0</v>
      </c>
      <c r="AS222" s="861">
        <v>0</v>
      </c>
      <c r="AT222" s="187">
        <f>SUM(AP222:AS222)</f>
        <v>0</v>
      </c>
      <c r="AU222" s="861">
        <v>0</v>
      </c>
      <c r="AV222" s="861">
        <v>0</v>
      </c>
      <c r="AW222" s="861">
        <v>0</v>
      </c>
      <c r="AX222" s="861">
        <v>0</v>
      </c>
      <c r="AY222" s="187">
        <f>SUM(AU222:AX222)</f>
        <v>0</v>
      </c>
      <c r="AZ222" s="861">
        <v>0</v>
      </c>
      <c r="BA222" s="861">
        <v>0</v>
      </c>
      <c r="BB222" s="861">
        <v>0</v>
      </c>
      <c r="BC222" s="861">
        <v>0</v>
      </c>
      <c r="BD222" s="183">
        <f>SUM(AZ222:BC222)</f>
        <v>0</v>
      </c>
      <c r="BE222" s="66">
        <f t="shared" ref="BE222" si="706">BE146*BE223</f>
        <v>8.9625153618312172</v>
      </c>
      <c r="BF222" s="66">
        <f t="shared" ref="BF222:BH222" si="707">BF146*BF223</f>
        <v>14.236291296149155</v>
      </c>
      <c r="BG222" s="66">
        <f t="shared" si="707"/>
        <v>25.362653905372607</v>
      </c>
      <c r="BH222" s="66">
        <f t="shared" si="707"/>
        <v>18.657870927658546</v>
      </c>
      <c r="BI222" s="183">
        <f>SUM(BE222:BH222)</f>
        <v>67.21933149101153</v>
      </c>
      <c r="BJ222" s="66"/>
      <c r="BK222" s="66"/>
      <c r="BL222" s="66"/>
      <c r="BM222" s="66"/>
      <c r="BN222" s="183">
        <f>BN146*BN223</f>
        <v>88.206206765775391</v>
      </c>
      <c r="BO222" s="66"/>
      <c r="BP222" s="66"/>
      <c r="BQ222" s="66"/>
      <c r="BR222" s="66"/>
      <c r="BS222" s="183">
        <f>BS146*BS223</f>
        <v>120.35105074328584</v>
      </c>
      <c r="BT222" s="71"/>
      <c r="BU222" s="378"/>
      <c r="BV222" s="240"/>
      <c r="BW222" s="71"/>
      <c r="BX222" s="71"/>
      <c r="BY222" s="71"/>
      <c r="BZ222" s="531"/>
      <c r="CA222" s="535"/>
      <c r="CB222" s="836"/>
      <c r="CC222" s="709"/>
      <c r="CD222" s="331"/>
      <c r="CE222" s="331"/>
      <c r="CF222" s="535"/>
      <c r="CG222" s="535"/>
      <c r="CH222" s="378"/>
      <c r="CI222" s="71"/>
      <c r="CJ222"/>
      <c r="CK222"/>
      <c r="CL222"/>
      <c r="CM222"/>
      <c r="CN222"/>
      <c r="CO222"/>
      <c r="CP222" s="423"/>
    </row>
    <row r="223" spans="1:94" s="260" customFormat="1" ht="12.75" customHeight="1" x14ac:dyDescent="0.2">
      <c r="A223" s="584" t="s">
        <v>211</v>
      </c>
      <c r="B223" s="18"/>
      <c r="C223" s="18"/>
      <c r="D223" s="18"/>
      <c r="E223" s="18"/>
      <c r="F223" s="166">
        <f>F222/F146</f>
        <v>0</v>
      </c>
      <c r="G223" s="18">
        <v>0</v>
      </c>
      <c r="H223" s="18">
        <v>0</v>
      </c>
      <c r="I223" s="18">
        <v>0</v>
      </c>
      <c r="J223" s="18">
        <f t="shared" ref="J223:X223" si="708">J222/J146</f>
        <v>0</v>
      </c>
      <c r="K223" s="166">
        <f t="shared" si="708"/>
        <v>0</v>
      </c>
      <c r="L223" s="18">
        <f t="shared" si="708"/>
        <v>0</v>
      </c>
      <c r="M223" s="18">
        <f t="shared" si="708"/>
        <v>0</v>
      </c>
      <c r="N223" s="18">
        <f t="shared" si="708"/>
        <v>0</v>
      </c>
      <c r="O223" s="18">
        <f t="shared" si="708"/>
        <v>0</v>
      </c>
      <c r="P223" s="166">
        <f t="shared" si="708"/>
        <v>0</v>
      </c>
      <c r="Q223" s="18">
        <f t="shared" si="708"/>
        <v>0</v>
      </c>
      <c r="R223" s="18">
        <f t="shared" si="708"/>
        <v>0</v>
      </c>
      <c r="S223" s="18">
        <f t="shared" si="708"/>
        <v>-6.6822787938704886</v>
      </c>
      <c r="T223" s="18">
        <f t="shared" si="708"/>
        <v>0.14730944321232642</v>
      </c>
      <c r="U223" s="166">
        <f t="shared" si="708"/>
        <v>-1.9862720024071008</v>
      </c>
      <c r="V223" s="18">
        <f t="shared" si="708"/>
        <v>0.52035768645357683</v>
      </c>
      <c r="W223" s="18">
        <f t="shared" si="708"/>
        <v>0</v>
      </c>
      <c r="X223" s="18">
        <f t="shared" si="708"/>
        <v>0</v>
      </c>
      <c r="Y223" s="18">
        <v>0</v>
      </c>
      <c r="Z223" s="172">
        <f t="shared" ref="Z223:BA223" si="709">Z222/Z146</f>
        <v>0.77275589449380822</v>
      </c>
      <c r="AA223" s="18">
        <f t="shared" si="709"/>
        <v>0</v>
      </c>
      <c r="AB223" s="18">
        <f t="shared" si="709"/>
        <v>0</v>
      </c>
      <c r="AC223" s="18">
        <f t="shared" si="709"/>
        <v>0</v>
      </c>
      <c r="AD223" s="18">
        <f t="shared" si="709"/>
        <v>0</v>
      </c>
      <c r="AE223" s="172">
        <f t="shared" si="709"/>
        <v>0</v>
      </c>
      <c r="AF223" s="18">
        <f t="shared" si="709"/>
        <v>0</v>
      </c>
      <c r="AG223" s="18">
        <f t="shared" si="709"/>
        <v>0</v>
      </c>
      <c r="AH223" s="18">
        <f t="shared" si="709"/>
        <v>0</v>
      </c>
      <c r="AI223" s="18">
        <f t="shared" si="709"/>
        <v>0</v>
      </c>
      <c r="AJ223" s="172">
        <f t="shared" si="709"/>
        <v>0</v>
      </c>
      <c r="AK223" s="18">
        <f t="shared" si="709"/>
        <v>0</v>
      </c>
      <c r="AL223" s="18">
        <f t="shared" si="709"/>
        <v>0</v>
      </c>
      <c r="AM223" s="18">
        <f t="shared" si="709"/>
        <v>0</v>
      </c>
      <c r="AN223" s="18">
        <f t="shared" si="709"/>
        <v>0</v>
      </c>
      <c r="AO223" s="166">
        <f t="shared" si="709"/>
        <v>0</v>
      </c>
      <c r="AP223" s="18">
        <f t="shared" si="709"/>
        <v>0</v>
      </c>
      <c r="AQ223" s="18">
        <f t="shared" si="709"/>
        <v>0</v>
      </c>
      <c r="AR223" s="18">
        <f t="shared" si="709"/>
        <v>0</v>
      </c>
      <c r="AS223" s="18">
        <f t="shared" si="709"/>
        <v>0</v>
      </c>
      <c r="AT223" s="166">
        <f>AT222/AT146</f>
        <v>0</v>
      </c>
      <c r="AU223" s="18">
        <f t="shared" si="709"/>
        <v>0</v>
      </c>
      <c r="AV223" s="18">
        <f t="shared" si="709"/>
        <v>0</v>
      </c>
      <c r="AW223" s="18">
        <f t="shared" si="709"/>
        <v>0</v>
      </c>
      <c r="AX223" s="18">
        <f t="shared" si="709"/>
        <v>0</v>
      </c>
      <c r="AY223" s="166">
        <f>AY222/AY146</f>
        <v>0</v>
      </c>
      <c r="AZ223" s="18">
        <f t="shared" si="709"/>
        <v>0</v>
      </c>
      <c r="BA223" s="18">
        <f t="shared" si="709"/>
        <v>0</v>
      </c>
      <c r="BB223" s="18">
        <f t="shared" ref="BB223:BC223" si="710">BB222/BB146</f>
        <v>0</v>
      </c>
      <c r="BC223" s="18">
        <f t="shared" si="710"/>
        <v>0</v>
      </c>
      <c r="BD223" s="166">
        <f>BD222/BD146</f>
        <v>0</v>
      </c>
      <c r="BE223" s="139">
        <v>1</v>
      </c>
      <c r="BF223" s="139">
        <v>1</v>
      </c>
      <c r="BG223" s="139">
        <v>1</v>
      </c>
      <c r="BH223" s="139">
        <v>1</v>
      </c>
      <c r="BI223" s="166">
        <f>BI222/BI146</f>
        <v>1</v>
      </c>
      <c r="BJ223" s="18"/>
      <c r="BK223" s="18"/>
      <c r="BL223" s="139"/>
      <c r="BM223" s="139"/>
      <c r="BN223" s="214">
        <v>1</v>
      </c>
      <c r="BO223" s="18"/>
      <c r="BP223" s="18"/>
      <c r="BQ223" s="139"/>
      <c r="BR223" s="139"/>
      <c r="BS223" s="214">
        <v>1</v>
      </c>
      <c r="BT223" s="148"/>
      <c r="BU223" s="356"/>
      <c r="BV223" s="224"/>
      <c r="BW223" s="148"/>
      <c r="BX223" s="148"/>
      <c r="BY223" s="148"/>
      <c r="BZ223" s="531" t="s">
        <v>516</v>
      </c>
      <c r="CA223" s="322"/>
      <c r="CB223" s="322"/>
      <c r="CC223" s="331"/>
      <c r="CD223" s="331"/>
      <c r="CE223" s="331"/>
      <c r="CF223" s="322"/>
      <c r="CG223" s="322"/>
      <c r="CH223" s="356"/>
      <c r="CI223" s="148"/>
      <c r="CJ223"/>
      <c r="CK223"/>
      <c r="CL223"/>
      <c r="CM223"/>
      <c r="CN223"/>
      <c r="CO223"/>
      <c r="CP223" s="391"/>
    </row>
    <row r="224" spans="1:94" s="140" customFormat="1" ht="12.75" customHeight="1" x14ac:dyDescent="0.2">
      <c r="A224" s="134" t="s">
        <v>212</v>
      </c>
      <c r="B224" s="45"/>
      <c r="C224" s="45"/>
      <c r="D224" s="45"/>
      <c r="E224" s="45"/>
      <c r="F224" s="178">
        <f t="shared" ref="F224:N224" si="711">F225-F222-F221-F218</f>
        <v>-14.593999999999989</v>
      </c>
      <c r="G224" s="45">
        <f t="shared" si="711"/>
        <v>-72.739000000000033</v>
      </c>
      <c r="H224" s="45">
        <f t="shared" si="711"/>
        <v>-46.404000000000025</v>
      </c>
      <c r="I224" s="45">
        <f t="shared" si="711"/>
        <v>39.891999999999989</v>
      </c>
      <c r="J224" s="45">
        <f t="shared" si="711"/>
        <v>-6.5320000000000142</v>
      </c>
      <c r="K224" s="178">
        <f t="shared" si="711"/>
        <v>-85.783000000000072</v>
      </c>
      <c r="L224" s="45">
        <f t="shared" si="711"/>
        <v>8.3939999999999984</v>
      </c>
      <c r="M224" s="45">
        <f t="shared" si="711"/>
        <v>-6.7760000000000034</v>
      </c>
      <c r="N224" s="45">
        <f t="shared" si="711"/>
        <v>-11.837999999999999</v>
      </c>
      <c r="O224" s="45">
        <f>(N265-O265)+(N269-O269)+(O279-N279)+(O283-N283)</f>
        <v>7.9690000000000332</v>
      </c>
      <c r="P224" s="178">
        <f t="shared" ref="P224:V224" si="712">P225-P222-P221-P218</f>
        <v>-15.338999999999871</v>
      </c>
      <c r="Q224" s="45">
        <f t="shared" si="712"/>
        <v>-10.994</v>
      </c>
      <c r="R224" s="45">
        <f t="shared" si="712"/>
        <v>4.6270000000000007</v>
      </c>
      <c r="S224" s="45">
        <f t="shared" si="712"/>
        <v>0.18800000000000239</v>
      </c>
      <c r="T224" s="45">
        <f t="shared" si="712"/>
        <v>7.3499999999999659</v>
      </c>
      <c r="U224" s="178">
        <f t="shared" si="712"/>
        <v>1.1709999999998075</v>
      </c>
      <c r="V224" s="45">
        <f t="shared" si="712"/>
        <v>-21.01499999999999</v>
      </c>
      <c r="W224" s="45">
        <f>W225-W222-W221-W218</f>
        <v>25.238</v>
      </c>
      <c r="X224" s="45">
        <f>X225-X222-X221-X218</f>
        <v>81.953999999999994</v>
      </c>
      <c r="Y224" s="45">
        <f>Y225-Y222-Y221-Y218</f>
        <v>-44.743999999999986</v>
      </c>
      <c r="Z224" s="178">
        <f>SUM(V224:Y224)</f>
        <v>41.433000000000021</v>
      </c>
      <c r="AA224" s="45">
        <f>AA225-AA222-AA221-AA218</f>
        <v>53.384999999999998</v>
      </c>
      <c r="AB224" s="45">
        <f>AB225-AB222-AB221-AB218</f>
        <v>-20.172000000000004</v>
      </c>
      <c r="AC224" s="45">
        <f>AC225-AC222-AC221-AC218</f>
        <v>-43.311999999999969</v>
      </c>
      <c r="AD224" s="45">
        <f>AD225-AD222-AD221-AD218</f>
        <v>1.3999999999963819E-2</v>
      </c>
      <c r="AE224" s="178">
        <f>SUM(AA224:AD224)</f>
        <v>-10.085000000000012</v>
      </c>
      <c r="AF224" s="45">
        <f>AF225-AF222-AF221-AF218</f>
        <v>48.315000000000005</v>
      </c>
      <c r="AG224" s="45">
        <f>AG225-AG222-AG221-AG218</f>
        <v>-0.60499999999999687</v>
      </c>
      <c r="AH224" s="45">
        <f>AH225-AH222-AH221-AH218</f>
        <v>-30.207000000000015</v>
      </c>
      <c r="AI224" s="45">
        <f>AI225-AI222-AI221-AI218</f>
        <v>-30.991999999999951</v>
      </c>
      <c r="AJ224" s="178">
        <f>SUM(AF224:AI224)</f>
        <v>-13.488999999999958</v>
      </c>
      <c r="AK224" s="45">
        <f t="shared" ref="AK224:BC224" si="713">AK225-AK222-AK221-AK218</f>
        <v>41.812000000000033</v>
      </c>
      <c r="AL224" s="45">
        <f t="shared" si="713"/>
        <v>-22.697000000000024</v>
      </c>
      <c r="AM224" s="45">
        <f t="shared" si="713"/>
        <v>-16.178000000000004</v>
      </c>
      <c r="AN224" s="45">
        <f t="shared" si="713"/>
        <v>-14.859999999999971</v>
      </c>
      <c r="AO224" s="178">
        <f t="shared" si="713"/>
        <v>-11.92299999999986</v>
      </c>
      <c r="AP224" s="45">
        <f t="shared" si="713"/>
        <v>82.25200000000001</v>
      </c>
      <c r="AQ224" s="45">
        <f t="shared" si="713"/>
        <v>37.052999999999983</v>
      </c>
      <c r="AR224" s="45">
        <f t="shared" si="713"/>
        <v>-47.516999999999982</v>
      </c>
      <c r="AS224" s="45">
        <f t="shared" si="713"/>
        <v>10.024999999999991</v>
      </c>
      <c r="AT224" s="178">
        <f>AT225-AT222-AT221-AT218</f>
        <v>81.812999999999761</v>
      </c>
      <c r="AU224" s="45">
        <f t="shared" si="713"/>
        <v>162.70399999999995</v>
      </c>
      <c r="AV224" s="45">
        <f t="shared" si="713"/>
        <v>-0.73799999999999955</v>
      </c>
      <c r="AW224" s="45">
        <f t="shared" si="713"/>
        <v>-32.413000000000011</v>
      </c>
      <c r="AX224" s="45">
        <f t="shared" si="713"/>
        <v>-47.989000000000033</v>
      </c>
      <c r="AY224" s="178">
        <f>AY225-AY222-AY221-AY218</f>
        <v>81.563999999999794</v>
      </c>
      <c r="AZ224" s="45">
        <f t="shared" si="713"/>
        <v>107.09400000000008</v>
      </c>
      <c r="BA224" s="45">
        <f t="shared" si="713"/>
        <v>35.153999999999982</v>
      </c>
      <c r="BB224" s="45">
        <f t="shared" si="713"/>
        <v>-39.603000000000009</v>
      </c>
      <c r="BC224" s="45">
        <f t="shared" si="713"/>
        <v>-248.042</v>
      </c>
      <c r="BD224" s="178">
        <f>+SUM(AZ224:BC224)</f>
        <v>-145.39699999999996</v>
      </c>
      <c r="BE224" s="45">
        <f>(BD265-BE265)+(BD269-BE269)+(BE279-BD279)+(BE283-BD283)</f>
        <v>210.61443528074784</v>
      </c>
      <c r="BF224" s="45">
        <f>(BE265-BF265)+(BE269-BF269)+(BF279-BE279)+(BF283-BE283)</f>
        <v>-63.998665622299356</v>
      </c>
      <c r="BG224" s="45">
        <f>(BF265-BG265)+(BF269-BG269)+(BG279-BF279)+(BG283-BF283)</f>
        <v>-65.044934341774095</v>
      </c>
      <c r="BH224" s="45">
        <f>(BG265-BH265)+(BG269-BH269)+(BH279-BG279)+(BH283-BG283)</f>
        <v>-92.02435725861119</v>
      </c>
      <c r="BI224" s="178">
        <f>+SUM(BE224:BH224)</f>
        <v>-10.453521941936813</v>
      </c>
      <c r="BJ224" s="45"/>
      <c r="BK224" s="45"/>
      <c r="BL224" s="45"/>
      <c r="BM224" s="45"/>
      <c r="BN224" s="178">
        <f>(BI265-BN265)+(BI269-BN269)+(BN279-BI279)+(BN283-BI283)</f>
        <v>-7.9779381246771912</v>
      </c>
      <c r="BO224" s="45"/>
      <c r="BP224" s="45"/>
      <c r="BQ224" s="45"/>
      <c r="BR224" s="45"/>
      <c r="BS224" s="178">
        <f>(BN265-BS265)+(BN269-BS269)+(BS279-BN279)+(BS283-BN283)</f>
        <v>-3.0767347746287506</v>
      </c>
      <c r="BT224" s="44"/>
      <c r="BU224" s="368"/>
      <c r="BV224" s="232"/>
      <c r="BW224" s="44"/>
      <c r="BX224" s="44"/>
      <c r="BY224" s="44"/>
      <c r="BZ224" s="531" t="s">
        <v>517</v>
      </c>
      <c r="CA224" s="331"/>
      <c r="CB224" s="331"/>
      <c r="CC224" s="331"/>
      <c r="CD224" s="331"/>
      <c r="CE224" s="331"/>
      <c r="CF224" s="331"/>
      <c r="CG224" s="331"/>
      <c r="CH224" s="368"/>
      <c r="CI224" s="44"/>
      <c r="CJ224"/>
      <c r="CK224"/>
      <c r="CL224"/>
      <c r="CM224"/>
      <c r="CN224"/>
      <c r="CO224"/>
      <c r="CP224" s="407"/>
    </row>
    <row r="225" spans="1:94" s="140" customFormat="1" ht="12.75" customHeight="1" x14ac:dyDescent="0.2">
      <c r="A225" s="132" t="s">
        <v>213</v>
      </c>
      <c r="B225" s="137"/>
      <c r="C225" s="137"/>
      <c r="D225" s="137"/>
      <c r="E225" s="137"/>
      <c r="F225" s="876">
        <v>-8.9410000000000007</v>
      </c>
      <c r="G225" s="863">
        <v>-16.079000000000001</v>
      </c>
      <c r="H225" s="863">
        <f>-43.104-G225</f>
        <v>-27.024999999999999</v>
      </c>
      <c r="I225" s="863">
        <f>-50.928-H225-G225</f>
        <v>-7.8239999999999981</v>
      </c>
      <c r="J225" s="863">
        <f>-45.456-I225-H225-G225</f>
        <v>5.4719999999999942</v>
      </c>
      <c r="K225" s="205">
        <f>SUM(G225:J225)</f>
        <v>-45.456000000000003</v>
      </c>
      <c r="L225" s="863">
        <v>28.475999999999999</v>
      </c>
      <c r="M225" s="863">
        <f>45.512-L225</f>
        <v>17.036000000000001</v>
      </c>
      <c r="N225" s="863">
        <f>49.015-M225-L225</f>
        <v>3.5030000000000001</v>
      </c>
      <c r="O225" s="863">
        <f>74.325-N225-M225-L225</f>
        <v>25.310000000000002</v>
      </c>
      <c r="P225" s="205">
        <f>SUM(L225:O225)</f>
        <v>74.325000000000003</v>
      </c>
      <c r="Q225" s="863">
        <v>1.7450000000000001</v>
      </c>
      <c r="R225" s="863">
        <f>-6.194-Q225</f>
        <v>-7.9390000000000001</v>
      </c>
      <c r="S225" s="863">
        <f>4.608-R225-Q225</f>
        <v>10.802</v>
      </c>
      <c r="T225" s="863">
        <f>27.033-S225-R225-Q225</f>
        <v>22.425000000000001</v>
      </c>
      <c r="U225" s="205">
        <f>SUM(Q225:T225)</f>
        <v>27.033000000000001</v>
      </c>
      <c r="V225" s="863">
        <v>-5.944</v>
      </c>
      <c r="W225" s="863">
        <f>37.902-V225</f>
        <v>43.846000000000004</v>
      </c>
      <c r="X225" s="863">
        <f>149.488-W225-V225</f>
        <v>111.586</v>
      </c>
      <c r="Y225" s="863">
        <v>21.71</v>
      </c>
      <c r="Z225" s="205">
        <f>Z224+Z222+Z221+Z218</f>
        <v>171.19800000000001</v>
      </c>
      <c r="AA225" s="863">
        <v>79.674000000000007</v>
      </c>
      <c r="AB225" s="863">
        <f>97.42-AA225</f>
        <v>17.745999999999995</v>
      </c>
      <c r="AC225" s="863">
        <f>88.807-AB225-AA225</f>
        <v>-8.6129999999999995</v>
      </c>
      <c r="AD225" s="863">
        <f>113.631-AC225-AB225-AA225</f>
        <v>24.823999999999998</v>
      </c>
      <c r="AE225" s="205">
        <f>AE224+AE222+AE221+AE218</f>
        <v>113.631</v>
      </c>
      <c r="AF225" s="863">
        <v>85.192999999999998</v>
      </c>
      <c r="AG225" s="863">
        <f>134.26-AF225</f>
        <v>49.066999999999993</v>
      </c>
      <c r="AH225" s="863">
        <f>173.631-AG225-AF225</f>
        <v>39.371000000000009</v>
      </c>
      <c r="AI225" s="863">
        <f>195.376-AH225-AG225-AF225</f>
        <v>21.745000000000005</v>
      </c>
      <c r="AJ225" s="205">
        <f>AJ224+AJ222+AJ221+AJ218</f>
        <v>195.37600000000003</v>
      </c>
      <c r="AK225" s="863">
        <v>90.638999999999996</v>
      </c>
      <c r="AL225" s="863">
        <f>144.135-AK225</f>
        <v>53.495999999999995</v>
      </c>
      <c r="AM225" s="863">
        <f>206.295-AL225-AK225</f>
        <v>62.159999999999982</v>
      </c>
      <c r="AN225" s="863">
        <f>260.512-SUM(AK225:AM225)</f>
        <v>54.217000000000041</v>
      </c>
      <c r="AO225" s="205">
        <f>SUM(AK225:AN225)</f>
        <v>260.512</v>
      </c>
      <c r="AP225" s="863">
        <v>167.83500000000001</v>
      </c>
      <c r="AQ225" s="863">
        <f>296.871-AP225</f>
        <v>129.03599999999997</v>
      </c>
      <c r="AR225" s="863">
        <f>366.282-AQ225-AP225</f>
        <v>69.411000000000001</v>
      </c>
      <c r="AS225" s="863">
        <f>472.985-AR225-AQ225-AP225</f>
        <v>106.703</v>
      </c>
      <c r="AT225" s="205">
        <f>SUM(AP225:AS225)</f>
        <v>472.98500000000001</v>
      </c>
      <c r="AU225" s="863">
        <v>258.09899999999999</v>
      </c>
      <c r="AV225" s="863">
        <f>360.821-AU225</f>
        <v>102.72200000000004</v>
      </c>
      <c r="AW225" s="863">
        <f>440.041-AV225-AU225</f>
        <v>79.21999999999997</v>
      </c>
      <c r="AX225" s="863">
        <f>473.678-AW225-AV225-AU225</f>
        <v>33.637</v>
      </c>
      <c r="AY225" s="205">
        <f>SUM(AU225:AX225)</f>
        <v>473.678</v>
      </c>
      <c r="AZ225" s="863">
        <v>174.16200000000001</v>
      </c>
      <c r="BA225" s="863">
        <f>323.73-AZ225</f>
        <v>149.56800000000001</v>
      </c>
      <c r="BB225" s="863">
        <f>386.472-BA225-AZ225</f>
        <v>62.741999999999962</v>
      </c>
      <c r="BC225" s="863">
        <f>425.24-BB225-BA225-AZ225</f>
        <v>38.768000000000029</v>
      </c>
      <c r="BD225" s="205">
        <f>BD224+BD222+BD221+BD218</f>
        <v>425.24000000000046</v>
      </c>
      <c r="BE225" s="137">
        <f t="shared" ref="BE225" si="714">BE224+BE222+BE221+BE218</f>
        <v>287.2582492883779</v>
      </c>
      <c r="BF225" s="137">
        <f t="shared" ref="BF225:BH225" si="715">BF224+BF222+BF221+BF218</f>
        <v>44.78261477832212</v>
      </c>
      <c r="BG225" s="137">
        <f t="shared" si="715"/>
        <v>95.892790263945116</v>
      </c>
      <c r="BH225" s="137">
        <f t="shared" si="715"/>
        <v>40.42477160663276</v>
      </c>
      <c r="BI225" s="205">
        <f>BI224+BI222+BI221+BI218</f>
        <v>468.35842593727807</v>
      </c>
      <c r="BJ225" s="137"/>
      <c r="BK225" s="137"/>
      <c r="BL225" s="137"/>
      <c r="BM225" s="137"/>
      <c r="BN225" s="205">
        <f>BN224+BN222+BN221+BN218</f>
        <v>598.02560339938691</v>
      </c>
      <c r="BO225" s="137"/>
      <c r="BP225" s="137"/>
      <c r="BQ225" s="137"/>
      <c r="BR225" s="137"/>
      <c r="BS225" s="205">
        <f>BS224+BS222+BS221+BS218</f>
        <v>766.67336665572884</v>
      </c>
      <c r="BT225" s="44"/>
      <c r="BU225" s="368"/>
      <c r="BV225" s="232"/>
      <c r="BW225" s="44"/>
      <c r="BX225" s="44"/>
      <c r="BY225" s="44"/>
      <c r="BZ225" s="531"/>
      <c r="CA225" s="535"/>
      <c r="CB225" s="331"/>
      <c r="CC225" s="331"/>
      <c r="CD225" s="331"/>
      <c r="CE225" s="331"/>
      <c r="CF225" s="331"/>
      <c r="CG225" s="331"/>
      <c r="CH225" s="368"/>
      <c r="CI225" s="44"/>
      <c r="CJ225"/>
      <c r="CK225"/>
      <c r="CL225"/>
      <c r="CM225"/>
      <c r="CN225"/>
      <c r="CO225"/>
      <c r="CP225" s="137"/>
    </row>
    <row r="226" spans="1:94" s="254" customFormat="1" ht="12.75" customHeight="1" x14ac:dyDescent="0.2">
      <c r="A226" s="9" t="s">
        <v>214</v>
      </c>
      <c r="B226" s="9"/>
      <c r="C226" s="9"/>
      <c r="D226" s="9"/>
      <c r="E226" s="9"/>
      <c r="F226" s="165"/>
      <c r="G226" s="9"/>
      <c r="H226" s="9"/>
      <c r="I226" s="9"/>
      <c r="J226" s="9"/>
      <c r="K226" s="165"/>
      <c r="L226" s="9"/>
      <c r="M226" s="9"/>
      <c r="N226" s="9"/>
      <c r="O226" s="9"/>
      <c r="P226" s="165"/>
      <c r="Q226" s="9"/>
      <c r="R226" s="9"/>
      <c r="S226" s="9"/>
      <c r="T226" s="9"/>
      <c r="U226" s="165"/>
      <c r="V226" s="9"/>
      <c r="W226" s="9"/>
      <c r="X226" s="9"/>
      <c r="Y226" s="9"/>
      <c r="Z226" s="448"/>
      <c r="AA226" s="9"/>
      <c r="AB226" s="9"/>
      <c r="AC226" s="9"/>
      <c r="AD226" s="9"/>
      <c r="AE226" s="448"/>
      <c r="AF226" s="9"/>
      <c r="AG226" s="9"/>
      <c r="AH226" s="9"/>
      <c r="AI226" s="9"/>
      <c r="AJ226" s="448"/>
      <c r="AK226" s="9"/>
      <c r="AL226" s="9"/>
      <c r="AM226" s="9"/>
      <c r="AN226" s="9"/>
      <c r="AO226" s="165"/>
      <c r="AP226" s="9"/>
      <c r="AQ226" s="9"/>
      <c r="AR226" s="9"/>
      <c r="AS226" s="9"/>
      <c r="AT226" s="165"/>
      <c r="AU226" s="9"/>
      <c r="AV226" s="9"/>
      <c r="AW226" s="9"/>
      <c r="AX226" s="9"/>
      <c r="AY226" s="165"/>
      <c r="AZ226" s="9"/>
      <c r="BA226" s="9"/>
      <c r="BB226" s="9"/>
      <c r="BC226" s="9"/>
      <c r="BD226" s="165"/>
      <c r="BE226" s="9"/>
      <c r="BF226" s="9"/>
      <c r="BG226" s="9"/>
      <c r="BH226" s="9"/>
      <c r="BI226" s="165"/>
      <c r="BJ226" s="9"/>
      <c r="BK226" s="9"/>
      <c r="BL226" s="9"/>
      <c r="BM226" s="9"/>
      <c r="BN226" s="165"/>
      <c r="BO226" s="9"/>
      <c r="BP226" s="9"/>
      <c r="BQ226" s="9"/>
      <c r="BR226" s="9"/>
      <c r="BS226" s="165"/>
      <c r="BT226" s="249"/>
      <c r="BU226" s="8"/>
      <c r="BV226" s="280"/>
      <c r="BW226" s="249"/>
      <c r="BX226" s="249"/>
      <c r="BY226" s="249"/>
      <c r="BZ226" s="432"/>
      <c r="CA226" s="534"/>
      <c r="CB226" s="601"/>
      <c r="CC226" s="320"/>
      <c r="CD226" s="320"/>
      <c r="CE226" s="331"/>
      <c r="CF226" s="597"/>
      <c r="CG226" s="320"/>
      <c r="CH226" s="8"/>
      <c r="CI226" s="249"/>
      <c r="CJ226"/>
      <c r="CK226"/>
      <c r="CL226"/>
      <c r="CM226"/>
      <c r="CN226"/>
      <c r="CO226"/>
      <c r="CP226" s="320"/>
    </row>
    <row r="227" spans="1:94" s="140" customFormat="1" ht="12.75" customHeight="1" x14ac:dyDescent="0.2">
      <c r="A227" s="44" t="s">
        <v>215</v>
      </c>
      <c r="B227" s="45"/>
      <c r="C227" s="45"/>
      <c r="D227" s="45"/>
      <c r="E227" s="45"/>
      <c r="F227" s="178">
        <f t="shared" ref="F227:AJ227" si="716">F228</f>
        <v>-16.256</v>
      </c>
      <c r="G227" s="745">
        <f t="shared" si="716"/>
        <v>1.3979999999999997</v>
      </c>
      <c r="H227" s="745">
        <f t="shared" si="716"/>
        <v>6.6319999999999997</v>
      </c>
      <c r="I227" s="745">
        <f t="shared" si="716"/>
        <v>-1.4089999999999989</v>
      </c>
      <c r="J227" s="745">
        <f t="shared" si="716"/>
        <v>-6.5970000000000013</v>
      </c>
      <c r="K227" s="178">
        <f t="shared" si="716"/>
        <v>2.3999999999999133E-2</v>
      </c>
      <c r="L227" s="745">
        <f t="shared" si="716"/>
        <v>-2.5649999999999999</v>
      </c>
      <c r="M227" s="745">
        <f t="shared" si="716"/>
        <v>-6.2520000000000007</v>
      </c>
      <c r="N227" s="745">
        <f t="shared" si="716"/>
        <v>4.9440000000000008</v>
      </c>
      <c r="O227" s="745">
        <f t="shared" si="716"/>
        <v>-18.547000000000001</v>
      </c>
      <c r="P227" s="178">
        <f t="shared" si="716"/>
        <v>-22.42</v>
      </c>
      <c r="Q227" s="745">
        <f t="shared" si="716"/>
        <v>-2.0279999999999996</v>
      </c>
      <c r="R227" s="745">
        <f t="shared" si="716"/>
        <v>-6.1779999999999999</v>
      </c>
      <c r="S227" s="745">
        <f t="shared" si="716"/>
        <v>-9.1230000000000011</v>
      </c>
      <c r="T227" s="745">
        <f t="shared" si="716"/>
        <v>-13.469999999999999</v>
      </c>
      <c r="U227" s="178">
        <f t="shared" si="716"/>
        <v>-30.798999999999999</v>
      </c>
      <c r="V227" s="745">
        <f t="shared" si="716"/>
        <v>-14.212</v>
      </c>
      <c r="W227" s="745">
        <f t="shared" si="716"/>
        <v>-13.184000000000001</v>
      </c>
      <c r="X227" s="745">
        <f t="shared" si="716"/>
        <v>-9.3709999999999951</v>
      </c>
      <c r="Y227" s="745">
        <f t="shared" si="716"/>
        <v>-30.600000000000012</v>
      </c>
      <c r="Z227" s="178">
        <f t="shared" si="716"/>
        <v>-67.367000000000004</v>
      </c>
      <c r="AA227" s="745">
        <f t="shared" si="716"/>
        <v>-8.3790000000000013</v>
      </c>
      <c r="AB227" s="745">
        <f t="shared" si="716"/>
        <v>-6.1009999999999991</v>
      </c>
      <c r="AC227" s="745">
        <f t="shared" si="716"/>
        <v>-14.047999999999998</v>
      </c>
      <c r="AD227" s="745">
        <f t="shared" si="716"/>
        <v>-7.8689999999999998</v>
      </c>
      <c r="AE227" s="178">
        <f t="shared" si="716"/>
        <v>-36.396999999999998</v>
      </c>
      <c r="AF227" s="745">
        <f t="shared" si="716"/>
        <v>-25.715</v>
      </c>
      <c r="AG227" s="745">
        <f t="shared" si="716"/>
        <v>-7.8490000000000002</v>
      </c>
      <c r="AH227" s="745">
        <f t="shared" si="716"/>
        <v>-24.792000000000005</v>
      </c>
      <c r="AI227" s="745">
        <f t="shared" si="716"/>
        <v>-31.683999999999987</v>
      </c>
      <c r="AJ227" s="178">
        <f t="shared" si="716"/>
        <v>-90.039999999999992</v>
      </c>
      <c r="AK227" s="745">
        <f>-38/4-304/7*2-116/15*5</f>
        <v>-135.02380952380952</v>
      </c>
      <c r="AL227" s="745">
        <f>-38/4-304/7*1-116/15*3</f>
        <v>-76.128571428571433</v>
      </c>
      <c r="AM227" s="745">
        <f>-38/4-304/7*1-116/15*3</f>
        <v>-76.128571428571433</v>
      </c>
      <c r="AN227" s="745">
        <f>-302.371-SUM(AK227:AM227)</f>
        <v>-15.090047619047596</v>
      </c>
      <c r="AO227" s="178">
        <f>SUM(AK227:AN227)</f>
        <v>-302.37099999999998</v>
      </c>
      <c r="AP227" s="730">
        <f>-(5*44)-102/4-67/4</f>
        <v>-262.25</v>
      </c>
      <c r="AQ227" s="730">
        <f>-(3*44)-102/4-67/4</f>
        <v>-174.25</v>
      </c>
      <c r="AR227" s="730">
        <f>-(3*47)-102/4-50/4</f>
        <v>-179</v>
      </c>
      <c r="AS227" s="864">
        <f>-701.282-AR227-AQ227-AP227</f>
        <v>-85.782000000000039</v>
      </c>
      <c r="AT227" s="178">
        <f>SUM(AP227:AS227)</f>
        <v>-701.28200000000004</v>
      </c>
      <c r="AU227" s="730">
        <f>-(1*44)-(3*47)-25-16.25</f>
        <v>-226.25</v>
      </c>
      <c r="AV227" s="730">
        <f>-(2*44)-(2*47)-100/4-65/4</f>
        <v>-223.25</v>
      </c>
      <c r="AW227" s="730">
        <f>-(2*47)-100/4-65/4</f>
        <v>-135.25</v>
      </c>
      <c r="AX227" s="864">
        <f>-826.269-AW227-AV227-AU227</f>
        <v>-241.51900000000001</v>
      </c>
      <c r="AY227" s="178">
        <f>SUM(AU227:AX227)</f>
        <v>-826.26900000000001</v>
      </c>
      <c r="AZ227" s="730">
        <f>-3*(55)-2*(45/2)-93/2-8.75</f>
        <v>-265.25</v>
      </c>
      <c r="BA227" s="730">
        <f>-(99/2)*3-(116/2)</f>
        <v>-206.5</v>
      </c>
      <c r="BB227" s="730">
        <f>-(116/2)*3-(99/2)</f>
        <v>-223.5</v>
      </c>
      <c r="BC227" s="864">
        <f>-792.003-BB227-BA227-AZ227</f>
        <v>-96.753000000000043</v>
      </c>
      <c r="BD227" s="178">
        <f>SUM(AZ227:BC227)</f>
        <v>-792.00300000000004</v>
      </c>
      <c r="BE227" s="730">
        <f>+$BI$227/4</f>
        <v>-233.25</v>
      </c>
      <c r="BF227" s="730">
        <f>+$BI$227/4+-285</f>
        <v>-518.25</v>
      </c>
      <c r="BG227" s="730">
        <f>+$BI$227/4</f>
        <v>-233.25</v>
      </c>
      <c r="BH227" s="745">
        <f>+BI227-SUM(BE227:BG227)</f>
        <v>51.75</v>
      </c>
      <c r="BI227" s="732">
        <f>-649+-284</f>
        <v>-933</v>
      </c>
      <c r="BJ227" s="76"/>
      <c r="BK227" s="76"/>
      <c r="BL227" s="76"/>
      <c r="BM227" s="76"/>
      <c r="BN227" s="732">
        <f>-(CF94)-100-65</f>
        <v>-963</v>
      </c>
      <c r="BO227" s="76"/>
      <c r="BP227" s="76"/>
      <c r="BQ227" s="76"/>
      <c r="BR227" s="76"/>
      <c r="BS227" s="732">
        <f>-(CG94)-100-65</f>
        <v>-963</v>
      </c>
      <c r="BT227" s="44"/>
      <c r="BU227" s="368"/>
      <c r="BV227" s="232"/>
      <c r="BW227" s="44"/>
      <c r="BX227" s="44"/>
      <c r="BY227" s="44"/>
      <c r="BZ227" s="534" t="s">
        <v>525</v>
      </c>
      <c r="CA227" s="534"/>
      <c r="CB227" s="526"/>
      <c r="CC227" s="331"/>
      <c r="CD227" s="596"/>
      <c r="CE227" s="331"/>
      <c r="CF227" s="327"/>
      <c r="CG227" s="331"/>
      <c r="CH227" s="368"/>
      <c r="CI227" s="44"/>
      <c r="CJ227"/>
      <c r="CK227"/>
      <c r="CL227"/>
      <c r="CM227"/>
      <c r="CN227"/>
      <c r="CO227"/>
      <c r="CP227" s="407"/>
    </row>
    <row r="228" spans="1:94" s="140" customFormat="1" ht="12.75" customHeight="1" x14ac:dyDescent="0.2">
      <c r="A228" s="44" t="s">
        <v>216</v>
      </c>
      <c r="B228" s="45"/>
      <c r="C228" s="45"/>
      <c r="D228" s="45"/>
      <c r="E228" s="45"/>
      <c r="F228" s="877">
        <f>-9.597-6.659</f>
        <v>-16.256</v>
      </c>
      <c r="G228" s="864">
        <f>4.438-3.04</f>
        <v>1.3979999999999997</v>
      </c>
      <c r="H228" s="864">
        <f>14.693-6.663-G228</f>
        <v>6.6319999999999997</v>
      </c>
      <c r="I228" s="864">
        <f>14.693-8.072-H228-G228</f>
        <v>-1.4089999999999989</v>
      </c>
      <c r="J228" s="864">
        <f>14.693-14.669-I228-H228-G228</f>
        <v>-6.5970000000000013</v>
      </c>
      <c r="K228" s="178">
        <f>SUM(G228:J228)</f>
        <v>2.3999999999999133E-2</v>
      </c>
      <c r="L228" s="864">
        <f>-0.5-2.065</f>
        <v>-2.5649999999999999</v>
      </c>
      <c r="M228" s="864">
        <f>-5.912-2.905-L228</f>
        <v>-6.2520000000000007</v>
      </c>
      <c r="N228" s="864">
        <f>-1.489-2.384-M228-L228</f>
        <v>4.9440000000000008</v>
      </c>
      <c r="O228" s="864">
        <f>-20.036-2.384-N228-M228-L228</f>
        <v>-18.547000000000001</v>
      </c>
      <c r="P228" s="178">
        <f>SUM(L228:O228)</f>
        <v>-22.42</v>
      </c>
      <c r="Q228" s="864">
        <f>-1.009-1.019</f>
        <v>-2.0279999999999996</v>
      </c>
      <c r="R228" s="864">
        <f>-3.148-5.058-Q228</f>
        <v>-6.1779999999999999</v>
      </c>
      <c r="S228" s="864">
        <f>-4.539-12.79-R228-Q228</f>
        <v>-9.1230000000000011</v>
      </c>
      <c r="T228" s="864">
        <f>-5.325-25.474-S228-R228-Q228</f>
        <v>-13.469999999999999</v>
      </c>
      <c r="U228" s="178">
        <f>SUM(Q228:T228)</f>
        <v>-30.798999999999999</v>
      </c>
      <c r="V228" s="864">
        <f>-1.488-12.724</f>
        <v>-14.212</v>
      </c>
      <c r="W228" s="864">
        <f>-7.305-20.091-V228</f>
        <v>-13.184000000000001</v>
      </c>
      <c r="X228" s="864">
        <f>-9.573-27.194-W228-V228</f>
        <v>-9.3709999999999951</v>
      </c>
      <c r="Y228" s="864">
        <f>Z228-X228-W228-V228</f>
        <v>-30.600000000000012</v>
      </c>
      <c r="Z228" s="178">
        <f>-53.274-14.093</f>
        <v>-67.367000000000004</v>
      </c>
      <c r="AA228" s="864">
        <f>1.444-9.823</f>
        <v>-8.3790000000000013</v>
      </c>
      <c r="AB228" s="864">
        <f>-19.218+4.738-AA228</f>
        <v>-6.1009999999999991</v>
      </c>
      <c r="AC228" s="864">
        <f>-21.711-6.817-AB228-AA228</f>
        <v>-14.047999999999998</v>
      </c>
      <c r="AD228" s="864">
        <f>-23.771-12.626-AC228-AB228-AA228</f>
        <v>-7.8689999999999998</v>
      </c>
      <c r="AE228" s="178">
        <f>SUM(AA228:AD228)</f>
        <v>-36.396999999999998</v>
      </c>
      <c r="AF228" s="864">
        <f>-15.127-10.588</f>
        <v>-25.715</v>
      </c>
      <c r="AG228" s="864">
        <f>-19.748-13.816-AF228</f>
        <v>-7.8490000000000002</v>
      </c>
      <c r="AH228" s="864">
        <f>-41.328-17.028-AG228-AF228</f>
        <v>-24.792000000000005</v>
      </c>
      <c r="AI228" s="864">
        <f>-70.228-19.812-AH228-AG228-AF228</f>
        <v>-31.683999999999987</v>
      </c>
      <c r="AJ228" s="178">
        <f>SUM(AF228:AI228)</f>
        <v>-90.039999999999992</v>
      </c>
      <c r="AK228" s="864">
        <f>-73.201-4.086</f>
        <v>-77.286999999999992</v>
      </c>
      <c r="AL228" s="864">
        <f>-94.009-7.43-AK228</f>
        <v>-24.152000000000001</v>
      </c>
      <c r="AM228" s="864">
        <f>-115.955-26.261-AL228-AK228</f>
        <v>-40.777000000000015</v>
      </c>
      <c r="AN228" s="864">
        <f>-186.569-SUM(AK228:AM228)</f>
        <v>-44.35299999999998</v>
      </c>
      <c r="AO228" s="178">
        <f>SUM(AK228:AN228)</f>
        <v>-186.56899999999999</v>
      </c>
      <c r="AP228" s="864">
        <f>-184.609-50.388</f>
        <v>-234.99700000000001</v>
      </c>
      <c r="AQ228" s="864">
        <f>-308.163-70.971-AP228</f>
        <v>-144.137</v>
      </c>
      <c r="AR228" s="864">
        <f>-451.799-87.658-AQ228-AP228</f>
        <v>-160.32299999999998</v>
      </c>
      <c r="AS228" s="864">
        <f>-548.8-142.323-AR228-AQ228-AP228</f>
        <v>-151.66599999999994</v>
      </c>
      <c r="AT228" s="178">
        <f>SUM(AP228:AS228)</f>
        <v>-691.12299999999993</v>
      </c>
      <c r="AU228" s="864">
        <f>-50.358-159.829</f>
        <v>-210.18700000000001</v>
      </c>
      <c r="AV228" s="864">
        <f>-303.175-60.772-AU228</f>
        <v>-153.76</v>
      </c>
      <c r="AW228" s="864">
        <f>-447.455-109.26-AV228-AU228</f>
        <v>-192.76800000000003</v>
      </c>
      <c r="AX228" s="864">
        <f>-548.8-143.323-AW228-AV228-AU228</f>
        <v>-135.4079999999999</v>
      </c>
      <c r="AY228" s="178">
        <f>SUM(AU228:AX228)</f>
        <v>-692.12299999999993</v>
      </c>
      <c r="AZ228" s="864">
        <f>-112.265-44.752</f>
        <v>-157.017</v>
      </c>
      <c r="BA228" s="864">
        <f>-269.519-79.357-AZ228</f>
        <v>-191.85899999999998</v>
      </c>
      <c r="BB228" s="864">
        <f>-428.061-BA228-AZ228</f>
        <v>-79.185000000000002</v>
      </c>
      <c r="BC228" s="864">
        <f>-628.881-149.477-BB228-BA228-AZ228</f>
        <v>-350.29700000000003</v>
      </c>
      <c r="BD228" s="178">
        <f>SUM(AZ228:BC228)</f>
        <v>-778.35799999999995</v>
      </c>
      <c r="BE228" s="730">
        <f>+$BI$228/4</f>
        <v>-130.25</v>
      </c>
      <c r="BF228" s="730">
        <f>+$BI$228/4</f>
        <v>-130.25</v>
      </c>
      <c r="BG228" s="730">
        <f>+$BI$228/4</f>
        <v>-130.25</v>
      </c>
      <c r="BH228" s="745">
        <f>+BI228-SUM(BE228:BG228)</f>
        <v>-130.25</v>
      </c>
      <c r="BI228" s="318">
        <f>-354-167</f>
        <v>-521</v>
      </c>
      <c r="BJ228" s="76"/>
      <c r="BK228" s="76"/>
      <c r="BL228" s="76"/>
      <c r="BM228" s="76"/>
      <c r="BN228" s="318">
        <f>-CF94*0.8</f>
        <v>-638.40000000000009</v>
      </c>
      <c r="BO228" s="76"/>
      <c r="BP228" s="76"/>
      <c r="BQ228" s="76"/>
      <c r="BR228" s="76"/>
      <c r="BS228" s="318">
        <f>-CG94*0.8</f>
        <v>-638.40000000000009</v>
      </c>
      <c r="BT228" s="44"/>
      <c r="BU228" s="368"/>
      <c r="BV228" s="232"/>
      <c r="BW228" s="44"/>
      <c r="BX228" s="44"/>
      <c r="BY228" s="44"/>
      <c r="BZ228" s="531"/>
      <c r="CA228" s="531"/>
      <c r="CB228" s="531"/>
      <c r="CC228" s="331"/>
      <c r="CD228" s="331"/>
      <c r="CE228" s="331"/>
      <c r="CF228" s="331"/>
      <c r="CG228" s="331"/>
      <c r="CH228" s="368"/>
      <c r="CI228" s="44"/>
      <c r="CJ228"/>
      <c r="CK228"/>
      <c r="CL228"/>
      <c r="CM228"/>
      <c r="CN228"/>
      <c r="CO228"/>
      <c r="CP228" s="407"/>
    </row>
    <row r="229" spans="1:94" ht="12.75" customHeight="1" x14ac:dyDescent="0.2">
      <c r="A229" s="585" t="s">
        <v>217</v>
      </c>
      <c r="B229" s="35"/>
      <c r="C229" s="35"/>
      <c r="D229" s="35"/>
      <c r="E229" s="35"/>
      <c r="F229" s="170"/>
      <c r="G229" s="58"/>
      <c r="H229" s="58"/>
      <c r="I229" s="58"/>
      <c r="J229" s="58"/>
      <c r="K229" s="170"/>
      <c r="L229" s="58"/>
      <c r="M229" s="58"/>
      <c r="N229" s="58"/>
      <c r="O229" s="58"/>
      <c r="P229" s="170"/>
      <c r="Q229" s="58"/>
      <c r="R229" s="58"/>
      <c r="S229" s="58"/>
      <c r="T229" s="58"/>
      <c r="U229" s="182"/>
      <c r="V229" s="58"/>
      <c r="W229" s="58"/>
      <c r="X229" s="58"/>
      <c r="Y229" s="58"/>
      <c r="Z229" s="210"/>
      <c r="AA229" s="58"/>
      <c r="AB229" s="58"/>
      <c r="AC229" s="58"/>
      <c r="AD229" s="58"/>
      <c r="AE229" s="210"/>
      <c r="AF229" s="58"/>
      <c r="AG229" s="58"/>
      <c r="AH229" s="58"/>
      <c r="AI229" s="58"/>
      <c r="AJ229" s="849"/>
      <c r="AK229" s="58"/>
      <c r="AL229" s="58"/>
      <c r="AM229" s="58"/>
      <c r="AN229" s="58"/>
      <c r="AO229" s="849"/>
      <c r="AP229" s="58"/>
      <c r="AQ229" s="58"/>
      <c r="AR229" s="58"/>
      <c r="AS229" s="58"/>
      <c r="AT229" s="849"/>
      <c r="AU229" s="58"/>
      <c r="AV229" s="58"/>
      <c r="AW229" s="58"/>
      <c r="AX229" s="58"/>
      <c r="AY229" s="849"/>
      <c r="AZ229" s="58"/>
      <c r="BA229" s="58"/>
      <c r="BB229" s="58"/>
      <c r="BC229" s="58"/>
      <c r="BD229" s="849"/>
      <c r="BE229" s="159"/>
      <c r="BF229" s="159"/>
      <c r="BG229" s="159"/>
      <c r="BH229" s="159"/>
      <c r="BI229" s="213">
        <f>357+300</f>
        <v>657</v>
      </c>
      <c r="BJ229" s="438"/>
      <c r="BK229" s="438"/>
      <c r="BL229" s="438"/>
      <c r="BM229" s="438"/>
      <c r="BN229" s="213">
        <f>-BN227*0.5</f>
        <v>481.5</v>
      </c>
      <c r="BO229" s="438"/>
      <c r="BP229" s="438"/>
      <c r="BQ229" s="438"/>
      <c r="BR229" s="438"/>
      <c r="BS229" s="213">
        <f>-BS227*0.5</f>
        <v>481.5</v>
      </c>
      <c r="BZ229" s="531" t="s">
        <v>526</v>
      </c>
      <c r="CA229" s="531"/>
      <c r="CB229" s="531"/>
    </row>
    <row r="230" spans="1:94" s="260" customFormat="1" ht="12.75" customHeight="1" x14ac:dyDescent="0.2">
      <c r="A230" s="586" t="s">
        <v>218</v>
      </c>
      <c r="B230" s="18"/>
      <c r="C230" s="18"/>
      <c r="D230" s="18"/>
      <c r="E230" s="18"/>
      <c r="F230" s="166"/>
      <c r="G230" s="18"/>
      <c r="H230" s="18"/>
      <c r="I230" s="18"/>
      <c r="J230" s="18"/>
      <c r="K230" s="166"/>
      <c r="L230" s="18"/>
      <c r="M230" s="18"/>
      <c r="N230" s="18"/>
      <c r="O230" s="18"/>
      <c r="P230" s="166"/>
      <c r="Q230" s="18"/>
      <c r="R230" s="18"/>
      <c r="S230" s="18"/>
      <c r="T230" s="18"/>
      <c r="U230" s="166"/>
      <c r="V230" s="18"/>
      <c r="W230" s="18"/>
      <c r="X230" s="18"/>
      <c r="Y230" s="18"/>
      <c r="Z230" s="172"/>
      <c r="AA230" s="18"/>
      <c r="AB230" s="18"/>
      <c r="AC230" s="18"/>
      <c r="AD230" s="18"/>
      <c r="AE230" s="172"/>
      <c r="AF230" s="18"/>
      <c r="AG230" s="18"/>
      <c r="AH230" s="18"/>
      <c r="AI230" s="18"/>
      <c r="AJ230" s="172"/>
      <c r="AK230" s="18"/>
      <c r="AL230" s="18"/>
      <c r="AM230" s="18"/>
      <c r="AN230" s="18"/>
      <c r="AO230" s="166"/>
      <c r="AP230" s="18"/>
      <c r="AQ230" s="18"/>
      <c r="AR230" s="18"/>
      <c r="AS230" s="18"/>
      <c r="AT230" s="166"/>
      <c r="AU230" s="18"/>
      <c r="AV230" s="18"/>
      <c r="AW230" s="18"/>
      <c r="AX230" s="18"/>
      <c r="AY230" s="166"/>
      <c r="AZ230" s="18"/>
      <c r="BA230" s="18"/>
      <c r="BB230" s="18"/>
      <c r="BC230" s="18"/>
      <c r="BD230" s="166"/>
      <c r="BE230" s="18"/>
      <c r="BF230" s="18"/>
      <c r="BG230" s="18"/>
      <c r="BH230" s="18"/>
      <c r="BI230" s="166">
        <f>-BI229/BI227</f>
        <v>0.70418006430868163</v>
      </c>
      <c r="BJ230" s="18"/>
      <c r="BK230" s="18"/>
      <c r="BL230" s="18"/>
      <c r="BM230" s="18"/>
      <c r="BN230" s="166">
        <f>-BN229/BN227</f>
        <v>0.5</v>
      </c>
      <c r="BO230" s="18"/>
      <c r="BP230" s="18"/>
      <c r="BQ230" s="18"/>
      <c r="BR230" s="18"/>
      <c r="BS230" s="166">
        <f>-BS229/BS227</f>
        <v>0.5</v>
      </c>
      <c r="BT230" s="148"/>
      <c r="BU230" s="356"/>
      <c r="BV230" s="224"/>
      <c r="BW230" s="148"/>
      <c r="BX230" s="148"/>
      <c r="BY230" s="148"/>
      <c r="BZ230" s="531"/>
      <c r="CA230" s="531"/>
      <c r="CB230" s="531"/>
      <c r="CC230" s="322"/>
      <c r="CD230" s="322"/>
      <c r="CE230" s="322"/>
      <c r="CF230" s="322"/>
      <c r="CG230" s="322"/>
      <c r="CH230" s="356"/>
      <c r="CI230" s="148"/>
      <c r="CJ230"/>
      <c r="CK230"/>
      <c r="CL230"/>
      <c r="CM230"/>
      <c r="CN230"/>
      <c r="CO230"/>
      <c r="CP230" s="391"/>
    </row>
    <row r="231" spans="1:94" s="260" customFormat="1" ht="12.75" customHeight="1" x14ac:dyDescent="0.2">
      <c r="A231" s="587" t="s">
        <v>219</v>
      </c>
      <c r="B231" s="18"/>
      <c r="C231" s="18"/>
      <c r="D231" s="18"/>
      <c r="E231" s="18"/>
      <c r="F231" s="166">
        <f>-F228/F117</f>
        <v>2.1317778628717102E-2</v>
      </c>
      <c r="G231" s="18"/>
      <c r="H231" s="18"/>
      <c r="I231" s="18"/>
      <c r="J231" s="18"/>
      <c r="K231" s="166">
        <f>-K228/K117</f>
        <v>-3.0424574943333128E-5</v>
      </c>
      <c r="L231" s="18"/>
      <c r="M231" s="18"/>
      <c r="N231" s="18"/>
      <c r="O231" s="18"/>
      <c r="P231" s="166">
        <f>-P228/P117</f>
        <v>3.202692432960591E-2</v>
      </c>
      <c r="Q231" s="18"/>
      <c r="R231" s="18"/>
      <c r="S231" s="18"/>
      <c r="T231" s="18"/>
      <c r="U231" s="166">
        <f>-U228/U117</f>
        <v>3.9421963098308505E-2</v>
      </c>
      <c r="V231" s="18"/>
      <c r="W231" s="18"/>
      <c r="X231" s="18"/>
      <c r="Y231" s="18"/>
      <c r="Z231" s="172">
        <f>-Z228/Z117</f>
        <v>6.2890104986435602E-2</v>
      </c>
      <c r="AA231" s="18"/>
      <c r="AB231" s="18"/>
      <c r="AC231" s="18"/>
      <c r="AD231" s="18"/>
      <c r="AE231" s="172">
        <f>-AE228/AE117</f>
        <v>2.7607199094651955E-2</v>
      </c>
      <c r="AF231" s="18"/>
      <c r="AG231" s="18"/>
      <c r="AH231" s="18"/>
      <c r="AI231" s="18"/>
      <c r="AJ231" s="172">
        <f>-AJ228/AJ117</f>
        <v>5.4425058254275752E-2</v>
      </c>
      <c r="AK231" s="18"/>
      <c r="AL231" s="18"/>
      <c r="AM231" s="18"/>
      <c r="AN231" s="18"/>
      <c r="AO231" s="166">
        <f>-AO228/AO117</f>
        <v>9.6588802948881225E-2</v>
      </c>
      <c r="AP231" s="18"/>
      <c r="AQ231" s="18"/>
      <c r="AR231" s="18"/>
      <c r="AS231" s="18"/>
      <c r="AT231" s="166">
        <f>-AT228/AT117</f>
        <v>0.32273403743141948</v>
      </c>
      <c r="AU231" s="18"/>
      <c r="AV231" s="18"/>
      <c r="AW231" s="18"/>
      <c r="AX231" s="18"/>
      <c r="AY231" s="166">
        <f>-AY228/AY117</f>
        <v>0.29807756908399635</v>
      </c>
      <c r="AZ231" s="18"/>
      <c r="BA231" s="18"/>
      <c r="BB231" s="18"/>
      <c r="BC231" s="18"/>
      <c r="BD231" s="166">
        <f>-BD228/BD117</f>
        <v>0.29397892332341008</v>
      </c>
      <c r="BE231" s="18"/>
      <c r="BF231" s="18"/>
      <c r="BG231" s="18"/>
      <c r="BH231" s="18"/>
      <c r="BI231" s="166">
        <f>-BI228/BI117</f>
        <v>0.16319928210333678</v>
      </c>
      <c r="BJ231" s="18"/>
      <c r="BK231" s="18"/>
      <c r="BL231" s="18"/>
      <c r="BM231" s="18"/>
      <c r="BN231" s="166">
        <f>-BN228/BN117</f>
        <v>0.17695578001131793</v>
      </c>
      <c r="BO231" s="18"/>
      <c r="BP231" s="18"/>
      <c r="BQ231" s="18"/>
      <c r="BR231" s="18"/>
      <c r="BS231" s="166">
        <f>-BS228/BS117</f>
        <v>0.15655227349661036</v>
      </c>
      <c r="BT231" s="148"/>
      <c r="BU231" s="356"/>
      <c r="BV231" s="224"/>
      <c r="BW231" s="148"/>
      <c r="BX231" s="148"/>
      <c r="BY231" s="148"/>
      <c r="BZ231" s="531"/>
      <c r="CA231" s="531"/>
      <c r="CB231" s="539"/>
      <c r="CC231" s="322"/>
      <c r="CD231" s="322"/>
      <c r="CE231" s="595"/>
      <c r="CF231" s="322"/>
      <c r="CG231" s="322"/>
      <c r="CH231" s="356"/>
      <c r="CI231" s="148"/>
      <c r="CJ231"/>
      <c r="CK231"/>
      <c r="CL231"/>
      <c r="CM231"/>
      <c r="CN231"/>
      <c r="CO231"/>
      <c r="CP231" s="391"/>
    </row>
    <row r="232" spans="1:94" s="260" customFormat="1" ht="12.75" customHeight="1" x14ac:dyDescent="0.2">
      <c r="A232" s="587" t="s">
        <v>220</v>
      </c>
      <c r="B232" s="18"/>
      <c r="C232" s="18"/>
      <c r="D232" s="18"/>
      <c r="E232" s="18"/>
      <c r="F232" s="166">
        <f>-F228/F219</f>
        <v>2.9583257506824387</v>
      </c>
      <c r="G232" s="18"/>
      <c r="H232" s="18"/>
      <c r="I232" s="18"/>
      <c r="J232" s="18"/>
      <c r="K232" s="166">
        <f>-K228/K219</f>
        <v>-5.073995771670007E-3</v>
      </c>
      <c r="L232" s="18"/>
      <c r="M232" s="18"/>
      <c r="N232" s="18"/>
      <c r="O232" s="18"/>
      <c r="P232" s="166">
        <f>-P228/P219</f>
        <v>4.5532087733549957</v>
      </c>
      <c r="Q232" s="18"/>
      <c r="R232" s="18"/>
      <c r="S232" s="18"/>
      <c r="T232" s="18"/>
      <c r="U232" s="166">
        <f>-U228/U219</f>
        <v>5.4802491103202842</v>
      </c>
      <c r="V232" s="18"/>
      <c r="W232" s="18"/>
      <c r="X232" s="18"/>
      <c r="Y232" s="18"/>
      <c r="Z232" s="172">
        <f>-Z228/Z219</f>
        <v>8.6813144329896907</v>
      </c>
      <c r="AA232" s="18"/>
      <c r="AB232" s="18"/>
      <c r="AC232" s="18"/>
      <c r="AD232" s="18"/>
      <c r="AE232" s="172">
        <f>-AE228/AE219</f>
        <v>2.3857498689040377</v>
      </c>
      <c r="AF232" s="18"/>
      <c r="AG232" s="18"/>
      <c r="AH232" s="18"/>
      <c r="AI232" s="18"/>
      <c r="AJ232" s="172">
        <f>-AJ228/AJ219</f>
        <v>2.8184180048204839</v>
      </c>
      <c r="AK232" s="18"/>
      <c r="AL232" s="18"/>
      <c r="AM232" s="18"/>
      <c r="AN232" s="18"/>
      <c r="AO232" s="166">
        <f>-AO228/AO219</f>
        <v>3.9720040024696091</v>
      </c>
      <c r="AP232" s="18"/>
      <c r="AQ232" s="18"/>
      <c r="AR232" s="18"/>
      <c r="AS232" s="18"/>
      <c r="AT232" s="166">
        <f>-AT228/AT219</f>
        <v>9.351125723872924</v>
      </c>
      <c r="AU232" s="18"/>
      <c r="AV232" s="18"/>
      <c r="AW232" s="18"/>
      <c r="AX232" s="18"/>
      <c r="AY232" s="166">
        <f>-AY228/AY219</f>
        <v>6.8434879765859833</v>
      </c>
      <c r="AZ232" s="18"/>
      <c r="BA232" s="18"/>
      <c r="BB232" s="18"/>
      <c r="BC232" s="18"/>
      <c r="BD232" s="166">
        <f>-BD228/BD219</f>
        <v>5.5536703008162558</v>
      </c>
      <c r="BE232" s="18"/>
      <c r="BF232" s="18"/>
      <c r="BG232" s="18"/>
      <c r="BH232" s="18"/>
      <c r="BI232" s="166">
        <f>-BI228/BI219</f>
        <v>2.6216289927007006</v>
      </c>
      <c r="BJ232" s="18"/>
      <c r="BK232" s="18"/>
      <c r="BL232" s="18"/>
      <c r="BM232" s="18"/>
      <c r="BN232" s="166">
        <f>-BN228/BN219</f>
        <v>2.6769800846771075</v>
      </c>
      <c r="BO232" s="18"/>
      <c r="BP232" s="18"/>
      <c r="BQ232" s="18"/>
      <c r="BR232" s="18"/>
      <c r="BS232" s="166">
        <f>-BS228/BS219</f>
        <v>2.379537853046318</v>
      </c>
      <c r="BT232" s="148"/>
      <c r="BU232" s="356"/>
      <c r="BV232" s="224"/>
      <c r="BW232" s="148"/>
      <c r="BX232" s="148"/>
      <c r="BY232" s="148"/>
      <c r="BZ232" s="531"/>
      <c r="CA232" s="531"/>
      <c r="CB232" s="531"/>
      <c r="CC232" s="328"/>
      <c r="CD232" s="322"/>
      <c r="CE232" s="322"/>
      <c r="CF232" s="322"/>
      <c r="CG232" s="322"/>
      <c r="CH232" s="356"/>
      <c r="CI232" s="148"/>
      <c r="CJ232"/>
      <c r="CK232"/>
      <c r="CL232"/>
      <c r="CM232"/>
      <c r="CN232"/>
      <c r="CO232"/>
      <c r="CP232" s="391"/>
    </row>
    <row r="233" spans="1:94" s="521" customFormat="1" ht="12.75" customHeight="1" x14ac:dyDescent="0.2">
      <c r="A233" s="516" t="s">
        <v>221</v>
      </c>
      <c r="B233" s="516"/>
      <c r="C233" s="516"/>
      <c r="D233" s="516"/>
      <c r="E233" s="516"/>
      <c r="F233" s="517">
        <f t="shared" ref="F233:AJ233" si="717">F228+F225</f>
        <v>-25.197000000000003</v>
      </c>
      <c r="G233" s="516">
        <f t="shared" si="717"/>
        <v>-14.681000000000001</v>
      </c>
      <c r="H233" s="516">
        <f t="shared" si="717"/>
        <v>-20.393000000000001</v>
      </c>
      <c r="I233" s="516">
        <f t="shared" si="717"/>
        <v>-9.232999999999997</v>
      </c>
      <c r="J233" s="516">
        <f t="shared" si="717"/>
        <v>-1.1250000000000071</v>
      </c>
      <c r="K233" s="517">
        <f t="shared" si="717"/>
        <v>-45.432000000000002</v>
      </c>
      <c r="L233" s="516">
        <f t="shared" si="717"/>
        <v>25.910999999999998</v>
      </c>
      <c r="M233" s="516">
        <f t="shared" si="717"/>
        <v>10.784000000000001</v>
      </c>
      <c r="N233" s="516">
        <f t="shared" si="717"/>
        <v>8.447000000000001</v>
      </c>
      <c r="O233" s="516">
        <f t="shared" si="717"/>
        <v>6.7630000000000017</v>
      </c>
      <c r="P233" s="517">
        <f t="shared" si="717"/>
        <v>51.905000000000001</v>
      </c>
      <c r="Q233" s="516">
        <f t="shared" si="717"/>
        <v>-0.28299999999999947</v>
      </c>
      <c r="R233" s="516">
        <f t="shared" si="717"/>
        <v>-14.117000000000001</v>
      </c>
      <c r="S233" s="516">
        <f t="shared" si="717"/>
        <v>1.6789999999999985</v>
      </c>
      <c r="T233" s="516">
        <f t="shared" si="717"/>
        <v>8.9550000000000018</v>
      </c>
      <c r="U233" s="517">
        <f t="shared" si="717"/>
        <v>-3.7659999999999982</v>
      </c>
      <c r="V233" s="516">
        <f t="shared" si="717"/>
        <v>-20.155999999999999</v>
      </c>
      <c r="W233" s="516">
        <f t="shared" si="717"/>
        <v>30.662000000000003</v>
      </c>
      <c r="X233" s="516">
        <f t="shared" si="717"/>
        <v>102.215</v>
      </c>
      <c r="Y233" s="516">
        <f t="shared" si="717"/>
        <v>-8.8900000000000112</v>
      </c>
      <c r="Z233" s="517">
        <f t="shared" si="717"/>
        <v>103.831</v>
      </c>
      <c r="AA233" s="516">
        <f t="shared" si="717"/>
        <v>71.295000000000002</v>
      </c>
      <c r="AB233" s="516">
        <f t="shared" si="717"/>
        <v>11.644999999999996</v>
      </c>
      <c r="AC233" s="516">
        <f t="shared" si="717"/>
        <v>-22.660999999999998</v>
      </c>
      <c r="AD233" s="516">
        <f t="shared" si="717"/>
        <v>16.954999999999998</v>
      </c>
      <c r="AE233" s="517">
        <f t="shared" si="717"/>
        <v>77.234000000000009</v>
      </c>
      <c r="AF233" s="516">
        <f t="shared" si="717"/>
        <v>59.477999999999994</v>
      </c>
      <c r="AG233" s="516">
        <f t="shared" si="717"/>
        <v>41.217999999999989</v>
      </c>
      <c r="AH233" s="516">
        <f t="shared" si="717"/>
        <v>14.579000000000004</v>
      </c>
      <c r="AI233" s="516">
        <f t="shared" si="717"/>
        <v>-9.9389999999999823</v>
      </c>
      <c r="AJ233" s="517">
        <f t="shared" si="717"/>
        <v>105.33600000000004</v>
      </c>
      <c r="AK233" s="516">
        <f>AK227+AK225</f>
        <v>-44.384809523809523</v>
      </c>
      <c r="AL233" s="516">
        <f>AL228+AL225</f>
        <v>29.343999999999994</v>
      </c>
      <c r="AM233" s="516">
        <f>AM228+AM225</f>
        <v>21.382999999999967</v>
      </c>
      <c r="AN233" s="516">
        <f>AN227+AN225</f>
        <v>39.126952380952446</v>
      </c>
      <c r="AO233" s="517">
        <f>SUM(AK233:AN233)</f>
        <v>45.469142857142884</v>
      </c>
      <c r="AP233" s="516">
        <f t="shared" ref="AP233:BC233" si="718">AP227+AP225</f>
        <v>-94.414999999999992</v>
      </c>
      <c r="AQ233" s="516">
        <f t="shared" si="718"/>
        <v>-45.214000000000027</v>
      </c>
      <c r="AR233" s="516">
        <f t="shared" si="718"/>
        <v>-109.589</v>
      </c>
      <c r="AS233" s="516">
        <f t="shared" si="718"/>
        <v>20.920999999999964</v>
      </c>
      <c r="AT233" s="517">
        <f t="shared" si="718"/>
        <v>-228.29700000000003</v>
      </c>
      <c r="AU233" s="516">
        <f t="shared" si="718"/>
        <v>31.84899999999999</v>
      </c>
      <c r="AV233" s="516">
        <f t="shared" si="718"/>
        <v>-120.52799999999996</v>
      </c>
      <c r="AW233" s="516">
        <f t="shared" si="718"/>
        <v>-56.03000000000003</v>
      </c>
      <c r="AX233" s="516">
        <f t="shared" si="718"/>
        <v>-207.88200000000001</v>
      </c>
      <c r="AY233" s="517">
        <f t="shared" si="718"/>
        <v>-352.59100000000001</v>
      </c>
      <c r="AZ233" s="516">
        <f t="shared" si="718"/>
        <v>-91.087999999999994</v>
      </c>
      <c r="BA233" s="516">
        <f t="shared" si="718"/>
        <v>-56.931999999999988</v>
      </c>
      <c r="BB233" s="516">
        <f t="shared" si="718"/>
        <v>-160.75800000000004</v>
      </c>
      <c r="BC233" s="516">
        <f t="shared" si="718"/>
        <v>-57.985000000000014</v>
      </c>
      <c r="BD233" s="517">
        <f>BD227+BD225</f>
        <v>-366.76299999999958</v>
      </c>
      <c r="BE233" s="516">
        <f t="shared" ref="BE233:BH233" si="719">BE227+BE225</f>
        <v>54.008249288377897</v>
      </c>
      <c r="BF233" s="516">
        <f t="shared" si="719"/>
        <v>-473.46738522167789</v>
      </c>
      <c r="BG233" s="516">
        <f t="shared" si="719"/>
        <v>-137.35720973605487</v>
      </c>
      <c r="BH233" s="516">
        <f t="shared" si="719"/>
        <v>92.17477160663276</v>
      </c>
      <c r="BI233" s="517">
        <f>BI227+BI225</f>
        <v>-464.64157406272193</v>
      </c>
      <c r="BJ233" s="516"/>
      <c r="BK233" s="516"/>
      <c r="BL233" s="516"/>
      <c r="BM233" s="516"/>
      <c r="BN233" s="517">
        <f>BN227+BN225</f>
        <v>-364.97439660061309</v>
      </c>
      <c r="BO233" s="516"/>
      <c r="BP233" s="516"/>
      <c r="BQ233" s="516"/>
      <c r="BR233" s="516"/>
      <c r="BS233" s="517">
        <f>BS227+BS225</f>
        <v>-196.32663334427116</v>
      </c>
      <c r="BT233" s="92"/>
      <c r="BU233" s="518"/>
      <c r="BV233" s="519"/>
      <c r="BW233" s="92"/>
      <c r="BX233" s="92"/>
      <c r="BY233" s="92"/>
      <c r="BZ233" s="531"/>
      <c r="CA233" s="532"/>
      <c r="CB233" s="322"/>
      <c r="CC233" s="322"/>
      <c r="CD233" s="322"/>
      <c r="CE233" s="322"/>
      <c r="CF233" s="326"/>
      <c r="CG233" s="326"/>
      <c r="CH233" s="518"/>
      <c r="CI233" s="92"/>
      <c r="CJ233"/>
      <c r="CK233"/>
      <c r="CL233"/>
      <c r="CM233"/>
      <c r="CN233"/>
      <c r="CO233"/>
      <c r="CP233" s="520"/>
    </row>
    <row r="234" spans="1:94" s="133" customFormat="1" ht="12.75" customHeight="1" x14ac:dyDescent="0.2">
      <c r="A234" s="51" t="s">
        <v>222</v>
      </c>
      <c r="B234" s="80"/>
      <c r="C234" s="80"/>
      <c r="D234" s="80"/>
      <c r="E234" s="80"/>
      <c r="F234" s="874">
        <v>0.29499999999999998</v>
      </c>
      <c r="G234" s="861">
        <v>0.72499999999999998</v>
      </c>
      <c r="H234" s="861">
        <f>1.069-G234</f>
        <v>0.34399999999999997</v>
      </c>
      <c r="I234" s="861">
        <f>1.073-H234-G234</f>
        <v>4.0000000000000036E-3</v>
      </c>
      <c r="J234" s="861">
        <f>8.327-I234-H234-G234</f>
        <v>7.2540000000000004</v>
      </c>
      <c r="K234" s="187">
        <f>SUM(G234:J234)</f>
        <v>8.327</v>
      </c>
      <c r="L234" s="861">
        <v>1E-3</v>
      </c>
      <c r="M234" s="861">
        <f>0.335-L234</f>
        <v>0.33400000000000002</v>
      </c>
      <c r="N234" s="861">
        <v>0.32600000000000001</v>
      </c>
      <c r="O234" s="861">
        <f>19.491-N234-M234-L234</f>
        <v>18.829999999999998</v>
      </c>
      <c r="P234" s="187">
        <f>SUM(L234:O234)</f>
        <v>19.491</v>
      </c>
      <c r="Q234" s="861">
        <v>0.01</v>
      </c>
      <c r="R234" s="861">
        <f>0.123-Q234</f>
        <v>0.113</v>
      </c>
      <c r="S234" s="861">
        <f>0.23-R234-Q234</f>
        <v>0.10700000000000001</v>
      </c>
      <c r="T234" s="861">
        <f>0.333-S234-R234-Q234</f>
        <v>0.10300000000000001</v>
      </c>
      <c r="U234" s="187">
        <f>SUM(Q234:T234)</f>
        <v>0.33300000000000002</v>
      </c>
      <c r="V234" s="861">
        <v>4.2999999999999997E-2</v>
      </c>
      <c r="W234" s="861">
        <f>5.537-V234</f>
        <v>5.4939999999999998</v>
      </c>
      <c r="X234" s="861">
        <v>5.6040000000000001</v>
      </c>
      <c r="Y234" s="861">
        <v>-10.991</v>
      </c>
      <c r="Z234" s="187">
        <f>SUM(V234:Y234)</f>
        <v>0.15000000000000036</v>
      </c>
      <c r="AA234" s="861">
        <v>0</v>
      </c>
      <c r="AB234" s="861">
        <f>9.074-AA234</f>
        <v>9.0739999999999998</v>
      </c>
      <c r="AC234" s="861">
        <f>9.06-AB234-AA234</f>
        <v>-1.3999999999999346E-2</v>
      </c>
      <c r="AD234" s="861">
        <f>9.06-AC234-AB234-AA234</f>
        <v>0</v>
      </c>
      <c r="AE234" s="187">
        <f>SUM(AA234:AD234)</f>
        <v>9.06</v>
      </c>
      <c r="AF234" s="861">
        <v>0</v>
      </c>
      <c r="AG234" s="861">
        <v>0</v>
      </c>
      <c r="AH234" s="861">
        <v>0</v>
      </c>
      <c r="AI234" s="861">
        <f>0-AH234-AG234-AF234</f>
        <v>0</v>
      </c>
      <c r="AJ234" s="187">
        <f>SUM(AF234:AI234)</f>
        <v>0</v>
      </c>
      <c r="AK234" s="861">
        <v>0</v>
      </c>
      <c r="AL234" s="861">
        <v>0</v>
      </c>
      <c r="AM234" s="861">
        <v>0</v>
      </c>
      <c r="AN234" s="861">
        <v>0</v>
      </c>
      <c r="AO234" s="187">
        <f>SUM(AK234:AN234)</f>
        <v>0</v>
      </c>
      <c r="AP234" s="861">
        <v>0</v>
      </c>
      <c r="AQ234" s="861">
        <v>0</v>
      </c>
      <c r="AR234" s="861">
        <v>0</v>
      </c>
      <c r="AS234" s="861">
        <v>0</v>
      </c>
      <c r="AT234" s="187">
        <f>SUM(AP234:AS234)</f>
        <v>0</v>
      </c>
      <c r="AU234" s="861">
        <v>0</v>
      </c>
      <c r="AV234" s="861">
        <v>0</v>
      </c>
      <c r="AW234" s="861">
        <v>0</v>
      </c>
      <c r="AX234" s="861">
        <v>0</v>
      </c>
      <c r="AY234" s="187">
        <f>SUM(AU234:AX234)</f>
        <v>0</v>
      </c>
      <c r="AZ234" s="861">
        <v>0</v>
      </c>
      <c r="BA234" s="861">
        <v>0</v>
      </c>
      <c r="BB234" s="861">
        <v>0</v>
      </c>
      <c r="BC234" s="861">
        <v>0</v>
      </c>
      <c r="BD234" s="183">
        <f>SUM(AZ234:BC234)</f>
        <v>0</v>
      </c>
      <c r="BE234" s="136">
        <v>0</v>
      </c>
      <c r="BF234" s="136">
        <v>0</v>
      </c>
      <c r="BG234" s="136">
        <v>0</v>
      </c>
      <c r="BH234" s="136">
        <v>0</v>
      </c>
      <c r="BI234" s="183">
        <f>SUM(BE234:BH234)</f>
        <v>0</v>
      </c>
      <c r="BJ234" s="66"/>
      <c r="BK234" s="66"/>
      <c r="BL234" s="136"/>
      <c r="BM234" s="136"/>
      <c r="BN234" s="317">
        <v>0</v>
      </c>
      <c r="BO234" s="66"/>
      <c r="BP234" s="66"/>
      <c r="BQ234" s="136"/>
      <c r="BR234" s="136"/>
      <c r="BS234" s="317">
        <v>0</v>
      </c>
      <c r="BT234" s="71"/>
      <c r="BU234" s="378"/>
      <c r="BV234" s="240"/>
      <c r="BW234" s="71"/>
      <c r="BX234" s="71"/>
      <c r="BY234" s="71"/>
      <c r="BZ234" s="531"/>
      <c r="CA234" s="532"/>
      <c r="CB234" s="322"/>
      <c r="CC234" s="326"/>
      <c r="CD234" s="326"/>
      <c r="CE234" s="326"/>
      <c r="CF234" s="535"/>
      <c r="CG234" s="535"/>
      <c r="CH234" s="378"/>
      <c r="CI234" s="71"/>
      <c r="CJ234"/>
      <c r="CK234"/>
      <c r="CL234"/>
      <c r="CM234"/>
      <c r="CN234"/>
      <c r="CO234"/>
      <c r="CP234" s="423"/>
    </row>
    <row r="235" spans="1:94" s="140" customFormat="1" ht="12.75" customHeight="1" x14ac:dyDescent="0.2">
      <c r="A235" s="135" t="s">
        <v>130</v>
      </c>
      <c r="B235" s="45"/>
      <c r="C235" s="45"/>
      <c r="D235" s="45"/>
      <c r="E235" s="45"/>
      <c r="F235" s="178">
        <f>F236-F234-F228</f>
        <v>-0.45800000000000196</v>
      </c>
      <c r="G235" s="45">
        <f>G236-G234-G228</f>
        <v>-0.2979999999999996</v>
      </c>
      <c r="H235" s="45">
        <f t="shared" ref="H235:T235" si="720">H236-H234-H228</f>
        <v>1.181</v>
      </c>
      <c r="I235" s="45">
        <f t="shared" si="720"/>
        <v>0.13499999999999868</v>
      </c>
      <c r="J235" s="45">
        <f t="shared" si="720"/>
        <v>-1.0960000000000001</v>
      </c>
      <c r="K235" s="178">
        <f t="shared" si="720"/>
        <v>-7.7999999999999403E-2</v>
      </c>
      <c r="L235" s="45">
        <f t="shared" si="720"/>
        <v>0.59800000000000009</v>
      </c>
      <c r="M235" s="45">
        <f t="shared" si="720"/>
        <v>-0.59799999999999809</v>
      </c>
      <c r="N235" s="45">
        <f t="shared" si="720"/>
        <v>2.5669999999999984</v>
      </c>
      <c r="O235" s="45">
        <f t="shared" si="720"/>
        <v>-2.5669999999999966</v>
      </c>
      <c r="P235" s="178">
        <f t="shared" si="720"/>
        <v>0</v>
      </c>
      <c r="Q235" s="45">
        <f t="shared" si="720"/>
        <v>-0.32500000000000018</v>
      </c>
      <c r="R235" s="45">
        <f t="shared" si="720"/>
        <v>0.32499999999999929</v>
      </c>
      <c r="S235" s="45">
        <f t="shared" si="720"/>
        <v>0</v>
      </c>
      <c r="T235" s="45">
        <f t="shared" si="720"/>
        <v>0</v>
      </c>
      <c r="U235" s="178">
        <f>SUM(Q235:T235)</f>
        <v>-8.8817841970012523E-16</v>
      </c>
      <c r="V235" s="45">
        <f>V236-V234-V228</f>
        <v>0</v>
      </c>
      <c r="W235" s="45">
        <f>W236-W234-W228</f>
        <v>0</v>
      </c>
      <c r="X235" s="45">
        <f>X236-X234-X228</f>
        <v>-5.5370000000000026</v>
      </c>
      <c r="Y235" s="45">
        <f>Y236-Y234-Y228</f>
        <v>5.5370000000000097</v>
      </c>
      <c r="Z235" s="178">
        <f>SUM(V235:Y235)</f>
        <v>7.1054273576010019E-15</v>
      </c>
      <c r="AA235" s="45">
        <f>AA236-AA234-AA228</f>
        <v>0</v>
      </c>
      <c r="AB235" s="45">
        <f>AB236-AB234-AB228</f>
        <v>0</v>
      </c>
      <c r="AC235" s="45">
        <f>AC236-AC234-AC228</f>
        <v>1.399999999999757E-2</v>
      </c>
      <c r="AD235" s="45">
        <f>AD236-AD234-AD228</f>
        <v>0</v>
      </c>
      <c r="AE235" s="178">
        <f>SUM(AA235:AD235)</f>
        <v>1.399999999999757E-2</v>
      </c>
      <c r="AF235" s="45">
        <f>AF236-AF234-AF228</f>
        <v>0</v>
      </c>
      <c r="AG235" s="45">
        <f>AG236-AG234-AG228</f>
        <v>0</v>
      </c>
      <c r="AH235" s="45">
        <f>AH236-AH234-AH228</f>
        <v>0</v>
      </c>
      <c r="AI235" s="45">
        <f>AI236-AI234-AI228</f>
        <v>-6.0000000000002274E-2</v>
      </c>
      <c r="AJ235" s="178">
        <f>SUM(AF235:AI235)</f>
        <v>-6.0000000000002274E-2</v>
      </c>
      <c r="AK235" s="45">
        <f>AK236-AK234-AK227</f>
        <v>57.736809523809512</v>
      </c>
      <c r="AL235" s="45">
        <f>AL236-AL234-AL227</f>
        <v>51.976571428571447</v>
      </c>
      <c r="AM235" s="45">
        <f>AM236-AM234-AM227</f>
        <v>35.351571428571418</v>
      </c>
      <c r="AN235" s="45">
        <f>AN236-AN234-AN227</f>
        <v>-145.06495238095238</v>
      </c>
      <c r="AO235" s="178">
        <f>SUM(AK235:AN235)</f>
        <v>0</v>
      </c>
      <c r="AP235" s="45">
        <f>AP236-AP234-AP227</f>
        <v>27.252999999999986</v>
      </c>
      <c r="AQ235" s="45">
        <f>AQ236-AQ234-AQ227</f>
        <v>30.113</v>
      </c>
      <c r="AR235" s="45">
        <f>AR236-AR234-AR227</f>
        <v>18.677000000000021</v>
      </c>
      <c r="AS235" s="45">
        <f>AS236-AS234-AS227</f>
        <v>-76.043000000000006</v>
      </c>
      <c r="AT235" s="178">
        <f>SUM(AP235:AS235)</f>
        <v>0</v>
      </c>
      <c r="AU235" s="45">
        <f>AU236-AU234-AU227</f>
        <v>13.488</v>
      </c>
      <c r="AV235" s="45">
        <f>AV236-AV234-AV227</f>
        <v>67.560999999999979</v>
      </c>
      <c r="AW235" s="45">
        <f>AW236-AW234-AW227</f>
        <v>-160.072</v>
      </c>
      <c r="AX235" s="45">
        <f>AX236-AX234-AX227</f>
        <v>79.023000000000025</v>
      </c>
      <c r="AY235" s="178">
        <f>SUM(AU235:AX235)</f>
        <v>0</v>
      </c>
      <c r="AZ235" s="45">
        <f>AZ236-AZ234-AZ227</f>
        <v>106.315</v>
      </c>
      <c r="BA235" s="45">
        <f>BA236-BA234-BA227</f>
        <v>9.5819999999999936</v>
      </c>
      <c r="BB235" s="45">
        <f>BB236-BB234-BB227</f>
        <v>20.565999999999974</v>
      </c>
      <c r="BC235" s="45">
        <f>BC236-BC234-BC227</f>
        <v>-136.46299999999991</v>
      </c>
      <c r="BD235" s="178">
        <f>+SUM(AZ235:BC235)</f>
        <v>0</v>
      </c>
      <c r="BE235" s="76">
        <f t="shared" ref="BE235:BH235" si="721">IF(BD255=0,0,IF(BE233&gt;0,0,IF(BD255&gt;-(BE233+BE241+BE245+BE234),IF(-(BE233+BE241+BE245+BE234)&lt;0,0,IF(-(BE233+BE241+BE245+BE234)&gt;0,-(BE233+BE241+BE245+BE234))),BD255)))</f>
        <v>0</v>
      </c>
      <c r="BF235" s="76">
        <f t="shared" si="721"/>
        <v>0</v>
      </c>
      <c r="BG235" s="76">
        <f t="shared" si="721"/>
        <v>0</v>
      </c>
      <c r="BH235" s="76">
        <f t="shared" si="721"/>
        <v>0</v>
      </c>
      <c r="BI235" s="178">
        <f>+SUM(BE235:BH235)</f>
        <v>0</v>
      </c>
      <c r="BJ235" s="45"/>
      <c r="BK235" s="45"/>
      <c r="BL235" s="76"/>
      <c r="BM235" s="76"/>
      <c r="BN235" s="178">
        <f>IF(BI255=0,0,IF(BN233&gt;0,0,IF(BI255&gt;-(BN233+BN241+BN245+BN234),IF(-(BN233+BN241+BN245+BN234)&lt;0,0,IF(-(BN233+BN241+BN245+BN234)&gt;0,-(BN233+BN241+BN245+BN234))),BI255)))</f>
        <v>0</v>
      </c>
      <c r="BO235" s="45"/>
      <c r="BP235" s="45"/>
      <c r="BQ235" s="76"/>
      <c r="BR235" s="76"/>
      <c r="BS235" s="178">
        <f>IF(BN255=0,0,IF(BS233&gt;0,0,IF(BN255&gt;-(BS233+BS241+BS245+BS234),IF(-(BS233+BS241+BS245+BS234)&lt;0,0,IF(-(BS233+BS241+BS245+BS234)&gt;0,-(BS233+BS241+BS245+BS234))),BN255)))</f>
        <v>0</v>
      </c>
      <c r="BT235" s="44"/>
      <c r="BU235" s="368"/>
      <c r="BV235" s="232"/>
      <c r="BW235" s="44"/>
      <c r="BX235" s="44"/>
      <c r="BY235" s="44"/>
      <c r="BZ235" s="531"/>
      <c r="CA235" s="535"/>
      <c r="CB235" s="535"/>
      <c r="CC235" s="535"/>
      <c r="CD235" s="535"/>
      <c r="CE235" s="535"/>
      <c r="CF235" s="331"/>
      <c r="CG235" s="331"/>
      <c r="CH235" s="368"/>
      <c r="CI235" s="44"/>
      <c r="CJ235"/>
      <c r="CK235"/>
      <c r="CL235"/>
      <c r="CM235"/>
      <c r="CN235"/>
      <c r="CO235"/>
      <c r="CP235" s="407"/>
    </row>
    <row r="236" spans="1:94" s="140" customFormat="1" ht="12.75" customHeight="1" x14ac:dyDescent="0.2">
      <c r="A236" s="132" t="s">
        <v>223</v>
      </c>
      <c r="B236" s="137"/>
      <c r="C236" s="137"/>
      <c r="D236" s="137"/>
      <c r="E236" s="137"/>
      <c r="F236" s="876">
        <v>-16.419</v>
      </c>
      <c r="G236" s="863">
        <v>1.825</v>
      </c>
      <c r="H236" s="863">
        <f>9.982-G236</f>
        <v>8.157</v>
      </c>
      <c r="I236" s="863">
        <f>8.712-H236-G236</f>
        <v>-1.2700000000000002</v>
      </c>
      <c r="J236" s="863">
        <f>8.273-I236-H236-G236</f>
        <v>-0.43900000000000072</v>
      </c>
      <c r="K236" s="205">
        <f>SUM(G236:J236)</f>
        <v>8.2729999999999997</v>
      </c>
      <c r="L236" s="863">
        <v>-1.966</v>
      </c>
      <c r="M236" s="863">
        <f>-8.482-L236</f>
        <v>-6.5159999999999991</v>
      </c>
      <c r="N236" s="863">
        <f>-0.645-M236-L236</f>
        <v>7.8369999999999989</v>
      </c>
      <c r="O236" s="863">
        <f>-2.929-N236-M236-L236</f>
        <v>-2.2839999999999989</v>
      </c>
      <c r="P236" s="205">
        <f>SUM(L236:O236)</f>
        <v>-2.9289999999999994</v>
      </c>
      <c r="Q236" s="863">
        <v>-2.343</v>
      </c>
      <c r="R236" s="863">
        <f>-8.083-Q236</f>
        <v>-5.74</v>
      </c>
      <c r="S236" s="863">
        <f>-17.099-R236-Q236</f>
        <v>-9.016</v>
      </c>
      <c r="T236" s="863">
        <f>-30.466-S236-R236-Q236</f>
        <v>-13.367000000000003</v>
      </c>
      <c r="U236" s="205">
        <f>U235+U234+U228</f>
        <v>-30.466000000000001</v>
      </c>
      <c r="V236" s="863">
        <v>-14.169</v>
      </c>
      <c r="W236" s="863">
        <f>-21.859-V236</f>
        <v>-7.6900000000000013</v>
      </c>
      <c r="X236" s="863">
        <f>-31.163-W236-V236</f>
        <v>-9.3039999999999985</v>
      </c>
      <c r="Y236" s="863">
        <v>-36.054000000000002</v>
      </c>
      <c r="Z236" s="205">
        <f>SUM(V236:Y236)</f>
        <v>-67.216999999999999</v>
      </c>
      <c r="AA236" s="863">
        <v>-8.3789999999999996</v>
      </c>
      <c r="AB236" s="863">
        <f>-5.406-AA236</f>
        <v>2.9729999999999999</v>
      </c>
      <c r="AC236" s="863">
        <f>-19.454-AB236-AA236</f>
        <v>-14.048</v>
      </c>
      <c r="AD236" s="863">
        <f>-27.323-AC236-AB236-AA236</f>
        <v>-7.8690000000000015</v>
      </c>
      <c r="AE236" s="205">
        <f>SUM(AA236:AD236)</f>
        <v>-27.323</v>
      </c>
      <c r="AF236" s="863">
        <v>-25.715</v>
      </c>
      <c r="AG236" s="863">
        <f>-33.564-AF236</f>
        <v>-7.8490000000000002</v>
      </c>
      <c r="AH236" s="863">
        <f>-58.356-AG236-AF236</f>
        <v>-24.792000000000005</v>
      </c>
      <c r="AI236" s="863">
        <f>-90.1-AH236-AG236-AF236</f>
        <v>-31.743999999999989</v>
      </c>
      <c r="AJ236" s="205">
        <f>SUM(AF236:AI236)</f>
        <v>-90.1</v>
      </c>
      <c r="AK236" s="863">
        <v>-77.287000000000006</v>
      </c>
      <c r="AL236" s="863">
        <f>-101.439-AK236</f>
        <v>-24.151999999999987</v>
      </c>
      <c r="AM236" s="863">
        <f>-142.216-AL236-AK236</f>
        <v>-40.777000000000015</v>
      </c>
      <c r="AN236" s="863">
        <f>-302.371-SUM(AK236:AM236)</f>
        <v>-160.15499999999997</v>
      </c>
      <c r="AO236" s="205">
        <f>SUM(AK236:AN236)</f>
        <v>-302.37099999999998</v>
      </c>
      <c r="AP236" s="863">
        <v>-234.99700000000001</v>
      </c>
      <c r="AQ236" s="863">
        <f>-379.134-AP236</f>
        <v>-144.137</v>
      </c>
      <c r="AR236" s="863">
        <f>-539.457-AQ236-AP236</f>
        <v>-160.32299999999998</v>
      </c>
      <c r="AS236" s="863">
        <f>-701.282-AR236-AQ236-AP236</f>
        <v>-161.82500000000005</v>
      </c>
      <c r="AT236" s="205">
        <f t="shared" ref="AT236:AY236" si="722">AT235+AT234+AT227</f>
        <v>-701.28200000000004</v>
      </c>
      <c r="AU236" s="863">
        <v>-212.762</v>
      </c>
      <c r="AV236" s="863">
        <f>-368.451-AU236</f>
        <v>-155.68900000000002</v>
      </c>
      <c r="AW236" s="863">
        <f>-663.773-AV236-AU236</f>
        <v>-295.322</v>
      </c>
      <c r="AX236" s="863">
        <f>-826.269-AW236-AV236-AU236</f>
        <v>-162.49599999999998</v>
      </c>
      <c r="AY236" s="205">
        <f t="shared" si="722"/>
        <v>-826.26900000000001</v>
      </c>
      <c r="AZ236" s="863">
        <v>-158.935</v>
      </c>
      <c r="BA236" s="863">
        <f>-355.853-AZ236</f>
        <v>-196.91800000000001</v>
      </c>
      <c r="BB236" s="863">
        <f>-558.787-BA236-AZ236</f>
        <v>-202.93400000000003</v>
      </c>
      <c r="BC236" s="863">
        <f>-792.003-BB236-BA236-AZ236</f>
        <v>-233.21599999999995</v>
      </c>
      <c r="BD236" s="205">
        <f>BD235+BD234+BD227</f>
        <v>-792.00300000000004</v>
      </c>
      <c r="BE236" s="137">
        <f t="shared" ref="BE236" si="723">BE235+BE234+BE227</f>
        <v>-233.25</v>
      </c>
      <c r="BF236" s="137">
        <f t="shared" ref="BF236:BH236" si="724">BF235+BF234+BF227</f>
        <v>-518.25</v>
      </c>
      <c r="BG236" s="137">
        <f t="shared" si="724"/>
        <v>-233.25</v>
      </c>
      <c r="BH236" s="137">
        <f t="shared" si="724"/>
        <v>51.75</v>
      </c>
      <c r="BI236" s="205">
        <f>BI235+BI234+BI227</f>
        <v>-933</v>
      </c>
      <c r="BJ236" s="137"/>
      <c r="BK236" s="137"/>
      <c r="BL236" s="137"/>
      <c r="BM236" s="137"/>
      <c r="BN236" s="205">
        <f>BN235+BN234+BN227</f>
        <v>-963</v>
      </c>
      <c r="BO236" s="137"/>
      <c r="BP236" s="137"/>
      <c r="BQ236" s="137"/>
      <c r="BR236" s="137"/>
      <c r="BS236" s="205">
        <f>BS235+BS234+BS227</f>
        <v>-963</v>
      </c>
      <c r="BT236" s="44"/>
      <c r="BU236" s="368"/>
      <c r="BV236" s="232"/>
      <c r="BW236" s="44"/>
      <c r="BX236" s="44"/>
      <c r="BY236" s="44"/>
      <c r="BZ236" s="531"/>
      <c r="CA236" s="331"/>
      <c r="CB236" s="535"/>
      <c r="CC236" s="535"/>
      <c r="CD236" s="535"/>
      <c r="CE236" s="535"/>
      <c r="CF236" s="331"/>
      <c r="CG236" s="331"/>
      <c r="CH236" s="368"/>
      <c r="CI236" s="44"/>
      <c r="CJ236"/>
      <c r="CK236"/>
      <c r="CL236"/>
      <c r="CM236"/>
      <c r="CN236"/>
      <c r="CO236"/>
      <c r="CP236" s="137"/>
    </row>
    <row r="237" spans="1:94" s="254" customFormat="1" ht="12.75" customHeight="1" x14ac:dyDescent="0.2">
      <c r="A237" s="9" t="s">
        <v>224</v>
      </c>
      <c r="B237" s="9"/>
      <c r="C237" s="9"/>
      <c r="D237" s="9"/>
      <c r="E237" s="9"/>
      <c r="F237" s="165"/>
      <c r="G237" s="9"/>
      <c r="H237" s="9"/>
      <c r="I237" s="9"/>
      <c r="J237" s="9"/>
      <c r="K237" s="165"/>
      <c r="L237" s="9"/>
      <c r="M237" s="9"/>
      <c r="N237" s="9"/>
      <c r="O237" s="9"/>
      <c r="P237" s="165"/>
      <c r="Q237" s="9"/>
      <c r="R237" s="9"/>
      <c r="S237" s="9"/>
      <c r="T237" s="9"/>
      <c r="U237" s="165"/>
      <c r="V237" s="9"/>
      <c r="W237" s="9"/>
      <c r="X237" s="9"/>
      <c r="Y237" s="9"/>
      <c r="Z237" s="448"/>
      <c r="AA237" s="9"/>
      <c r="AB237" s="9"/>
      <c r="AC237" s="9"/>
      <c r="AD237" s="9"/>
      <c r="AE237" s="448"/>
      <c r="AF237" s="9"/>
      <c r="AG237" s="9"/>
      <c r="AH237" s="9"/>
      <c r="AI237" s="9"/>
      <c r="AJ237" s="448"/>
      <c r="AK237" s="9"/>
      <c r="AL237" s="9"/>
      <c r="AM237" s="9"/>
      <c r="AN237" s="9"/>
      <c r="AO237" s="165"/>
      <c r="AP237" s="9"/>
      <c r="AQ237" s="9"/>
      <c r="AR237" s="9"/>
      <c r="AS237" s="9"/>
      <c r="AT237" s="165"/>
      <c r="AU237" s="9"/>
      <c r="AV237" s="9"/>
      <c r="AW237" s="9"/>
      <c r="AX237" s="9"/>
      <c r="AY237" s="165"/>
      <c r="AZ237" s="9"/>
      <c r="BA237" s="9"/>
      <c r="BB237" s="9"/>
      <c r="BC237" s="9"/>
      <c r="BD237" s="165"/>
      <c r="BE237" s="9"/>
      <c r="BF237" s="9"/>
      <c r="BG237" s="9"/>
      <c r="BH237" s="9"/>
      <c r="BI237" s="165"/>
      <c r="BJ237" s="9"/>
      <c r="BK237" s="9"/>
      <c r="BL237" s="9"/>
      <c r="BM237" s="9"/>
      <c r="BN237" s="165"/>
      <c r="BO237" s="9"/>
      <c r="BP237" s="9"/>
      <c r="BQ237" s="9"/>
      <c r="BR237" s="9"/>
      <c r="BS237" s="165"/>
      <c r="BT237" s="249"/>
      <c r="BU237" s="8"/>
      <c r="BV237" s="280"/>
      <c r="BW237" s="249"/>
      <c r="BX237" s="249"/>
      <c r="BY237" s="249"/>
      <c r="BZ237" s="531"/>
      <c r="CA237" s="331"/>
      <c r="CB237" s="535"/>
      <c r="CC237" s="535"/>
      <c r="CD237" s="535"/>
      <c r="CE237" s="535"/>
      <c r="CF237" s="320"/>
      <c r="CG237" s="320"/>
      <c r="CH237" s="8"/>
      <c r="CI237" s="249"/>
      <c r="CJ237"/>
      <c r="CK237"/>
      <c r="CL237"/>
      <c r="CM237"/>
      <c r="CN237"/>
      <c r="CO237"/>
      <c r="CP237" s="320"/>
    </row>
    <row r="238" spans="1:94" s="273" customFormat="1" ht="12.75" customHeight="1" x14ac:dyDescent="0.2">
      <c r="A238" s="152" t="s">
        <v>225</v>
      </c>
      <c r="B238" s="51"/>
      <c r="C238" s="51"/>
      <c r="D238" s="51"/>
      <c r="E238" s="51"/>
      <c r="F238" s="872">
        <v>0</v>
      </c>
      <c r="G238" s="857">
        <v>0</v>
      </c>
      <c r="H238" s="857">
        <v>0</v>
      </c>
      <c r="I238" s="857">
        <v>0</v>
      </c>
      <c r="J238" s="857">
        <v>0</v>
      </c>
      <c r="K238" s="182">
        <f>SUM(G238:J238)</f>
        <v>0</v>
      </c>
      <c r="L238" s="857">
        <v>0</v>
      </c>
      <c r="M238" s="857">
        <v>0</v>
      </c>
      <c r="N238" s="857">
        <v>0</v>
      </c>
      <c r="O238" s="857">
        <v>0</v>
      </c>
      <c r="P238" s="182">
        <f>SUM(L238:O238)</f>
        <v>0</v>
      </c>
      <c r="Q238" s="857">
        <v>0</v>
      </c>
      <c r="R238" s="857">
        <v>0</v>
      </c>
      <c r="S238" s="857">
        <v>0</v>
      </c>
      <c r="T238" s="857">
        <v>0</v>
      </c>
      <c r="U238" s="182">
        <f>SUM(Q238:T238)</f>
        <v>0</v>
      </c>
      <c r="V238" s="857">
        <v>0</v>
      </c>
      <c r="W238" s="857">
        <v>0</v>
      </c>
      <c r="X238" s="857">
        <v>0</v>
      </c>
      <c r="Y238" s="857">
        <v>0</v>
      </c>
      <c r="Z238" s="210">
        <f>SUM(V238:Y238)</f>
        <v>0</v>
      </c>
      <c r="AA238" s="857">
        <v>0</v>
      </c>
      <c r="AB238" s="857">
        <v>0</v>
      </c>
      <c r="AC238" s="857">
        <v>0</v>
      </c>
      <c r="AD238" s="857">
        <v>0</v>
      </c>
      <c r="AE238" s="210">
        <f>SUM(AA238:AD238)</f>
        <v>0</v>
      </c>
      <c r="AF238" s="857">
        <v>0</v>
      </c>
      <c r="AG238" s="857">
        <v>0</v>
      </c>
      <c r="AH238" s="857">
        <v>0</v>
      </c>
      <c r="AI238" s="857">
        <v>0</v>
      </c>
      <c r="AJ238" s="210">
        <f>SUM(AF238:AI238)</f>
        <v>0</v>
      </c>
      <c r="AK238" s="857">
        <v>0</v>
      </c>
      <c r="AL238" s="857">
        <v>0</v>
      </c>
      <c r="AM238" s="857">
        <v>0</v>
      </c>
      <c r="AN238" s="857">
        <v>0</v>
      </c>
      <c r="AO238" s="210">
        <f>SUM(AK238:AN238)</f>
        <v>0</v>
      </c>
      <c r="AP238" s="857">
        <v>0</v>
      </c>
      <c r="AQ238" s="857">
        <v>0</v>
      </c>
      <c r="AR238" s="857">
        <v>0</v>
      </c>
      <c r="AS238" s="857">
        <v>0</v>
      </c>
      <c r="AT238" s="210">
        <f>SUM(AP238:AS238)</f>
        <v>0</v>
      </c>
      <c r="AU238" s="857">
        <v>0</v>
      </c>
      <c r="AV238" s="857">
        <v>0</v>
      </c>
      <c r="AW238" s="857">
        <v>0</v>
      </c>
      <c r="AX238" s="857">
        <v>0</v>
      </c>
      <c r="AY238" s="210">
        <f>SUM(AU238:AX238)</f>
        <v>0</v>
      </c>
      <c r="AZ238" s="857">
        <v>0</v>
      </c>
      <c r="BA238" s="857">
        <v>0</v>
      </c>
      <c r="BB238" s="857">
        <v>0</v>
      </c>
      <c r="BC238" s="857">
        <v>0</v>
      </c>
      <c r="BD238" s="182">
        <f>SUM(AZ238:BC238)</f>
        <v>0</v>
      </c>
      <c r="BE238" s="783">
        <v>0</v>
      </c>
      <c r="BF238" s="783">
        <v>0</v>
      </c>
      <c r="BG238" s="783">
        <v>0</v>
      </c>
      <c r="BH238" s="783">
        <v>0</v>
      </c>
      <c r="BI238" s="213">
        <v>0</v>
      </c>
      <c r="BJ238" s="51"/>
      <c r="BK238" s="51"/>
      <c r="BL238" s="783"/>
      <c r="BM238" s="783"/>
      <c r="BN238" s="213">
        <v>0</v>
      </c>
      <c r="BO238" s="51"/>
      <c r="BP238" s="51"/>
      <c r="BQ238" s="783"/>
      <c r="BR238" s="783"/>
      <c r="BS238" s="213">
        <v>0</v>
      </c>
      <c r="BT238" s="159"/>
      <c r="BU238" s="371"/>
      <c r="BV238" s="235"/>
      <c r="BW238" s="159"/>
      <c r="BX238" s="159"/>
      <c r="BY238" s="159"/>
      <c r="BZ238" s="432"/>
      <c r="CA238" s="320"/>
      <c r="CB238" s="326"/>
      <c r="CC238" s="326"/>
      <c r="CD238" s="326"/>
      <c r="CE238" s="326"/>
      <c r="CF238" s="333"/>
      <c r="CG238" s="333"/>
      <c r="CH238" s="371"/>
      <c r="CI238" s="159"/>
      <c r="CJ238"/>
      <c r="CK238"/>
      <c r="CL238"/>
      <c r="CM238"/>
      <c r="CN238"/>
      <c r="CO238"/>
      <c r="CP238" s="410"/>
    </row>
    <row r="239" spans="1:94" s="273" customFormat="1" ht="12.75" customHeight="1" x14ac:dyDescent="0.2">
      <c r="A239" s="152" t="s">
        <v>226</v>
      </c>
      <c r="B239" s="51"/>
      <c r="C239" s="51"/>
      <c r="D239" s="51"/>
      <c r="E239" s="51"/>
      <c r="F239" s="872">
        <v>-1.2E-2</v>
      </c>
      <c r="G239" s="857">
        <v>0</v>
      </c>
      <c r="H239" s="857">
        <v>0</v>
      </c>
      <c r="I239" s="857">
        <v>0</v>
      </c>
      <c r="J239" s="857">
        <v>-1E-3</v>
      </c>
      <c r="K239" s="182">
        <f>SUM(G239:J239)</f>
        <v>-1E-3</v>
      </c>
      <c r="L239" s="857">
        <v>0</v>
      </c>
      <c r="M239" s="857">
        <v>0</v>
      </c>
      <c r="N239" s="857">
        <v>-4.1000000000000002E-2</v>
      </c>
      <c r="O239" s="857">
        <f>-0.043-N239-M239-L239</f>
        <v>-1.9999999999999948E-3</v>
      </c>
      <c r="P239" s="182">
        <f>SUM(L239:O239)</f>
        <v>-4.2999999999999997E-2</v>
      </c>
      <c r="Q239" s="857">
        <v>0</v>
      </c>
      <c r="R239" s="857">
        <v>0</v>
      </c>
      <c r="S239" s="857">
        <v>0</v>
      </c>
      <c r="T239" s="857">
        <v>0</v>
      </c>
      <c r="U239" s="182">
        <f>SUM(Q239:T239)</f>
        <v>0</v>
      </c>
      <c r="V239" s="857">
        <v>0</v>
      </c>
      <c r="W239" s="857">
        <f>-0.757-V239</f>
        <v>-0.75700000000000001</v>
      </c>
      <c r="X239" s="857">
        <f>-0.757-W239-V239</f>
        <v>0</v>
      </c>
      <c r="Y239" s="857">
        <v>-0.12900000000000003</v>
      </c>
      <c r="Z239" s="210">
        <f>SUM(V239:Y239)</f>
        <v>-0.88600000000000001</v>
      </c>
      <c r="AA239" s="857">
        <v>0.45700000000000002</v>
      </c>
      <c r="AB239" s="857">
        <f>-0.856-AA239</f>
        <v>-1.3129999999999999</v>
      </c>
      <c r="AC239" s="857">
        <f>-0.936-AB239-AA239</f>
        <v>-8.0000000000000127E-2</v>
      </c>
      <c r="AD239" s="857">
        <f>-1.022-AC239-AB239-AA239</f>
        <v>-8.6000000000000021E-2</v>
      </c>
      <c r="AE239" s="210">
        <f>SUM(AA239:AD239)</f>
        <v>-1.022</v>
      </c>
      <c r="AF239" s="857">
        <v>-0.32100000000000001</v>
      </c>
      <c r="AG239" s="857">
        <f>-0.937-AF239</f>
        <v>-0.6160000000000001</v>
      </c>
      <c r="AH239" s="857">
        <f>-1.106-AG239-AF239</f>
        <v>-0.16899999999999998</v>
      </c>
      <c r="AI239" s="857">
        <f>-1.14-AH239-AG239-AF239</f>
        <v>-3.3999999999999753E-2</v>
      </c>
      <c r="AJ239" s="210">
        <f>SUM(AF239:AI239)</f>
        <v>-1.1399999999999999</v>
      </c>
      <c r="AK239" s="857">
        <v>-0.621</v>
      </c>
      <c r="AL239" s="857">
        <f>-1.222-AK239</f>
        <v>-0.60099999999999998</v>
      </c>
      <c r="AM239" s="857">
        <f>-1.501-AL239-AK239</f>
        <v>-0.27899999999999991</v>
      </c>
      <c r="AN239" s="857">
        <f>-1.63-SUM(AK239:AM239)</f>
        <v>-0.129</v>
      </c>
      <c r="AO239" s="210">
        <f>SUM(AK239:AN239)</f>
        <v>-1.63</v>
      </c>
      <c r="AP239" s="857">
        <v>-10.943</v>
      </c>
      <c r="AQ239" s="857">
        <f>-79.415-AP239</f>
        <v>-68.472000000000008</v>
      </c>
      <c r="AR239" s="857">
        <f>-112.162-AQ239-AP239</f>
        <v>-32.747</v>
      </c>
      <c r="AS239" s="857">
        <f>-112.261-AR239-AQ239-AP239</f>
        <v>-9.8999999999987764E-2</v>
      </c>
      <c r="AT239" s="210">
        <f>SUM(AP239:AS239)</f>
        <v>-112.261</v>
      </c>
      <c r="AU239" s="857">
        <v>-9.6010000000000009</v>
      </c>
      <c r="AV239" s="857">
        <f>-62.278-AU239</f>
        <v>-52.677</v>
      </c>
      <c r="AW239" s="857">
        <f>-102.39-AV239-AU239</f>
        <v>-40.112000000000002</v>
      </c>
      <c r="AX239" s="857">
        <f>-102.51-AW239-AV239-AU239</f>
        <v>-0.12000000000000277</v>
      </c>
      <c r="AY239" s="210">
        <f>SUM(AU239:AX239)</f>
        <v>-102.51</v>
      </c>
      <c r="AZ239" s="857">
        <v>-1.034</v>
      </c>
      <c r="BA239" s="857">
        <f>-1.217-AZ239</f>
        <v>-0.18300000000000005</v>
      </c>
      <c r="BB239" s="857">
        <f>-1.238-BA239-AZ239</f>
        <v>-2.0999999999999908E-2</v>
      </c>
      <c r="BC239" s="857">
        <f>-46.58-BB239-BA239-AZ239</f>
        <v>-45.341999999999999</v>
      </c>
      <c r="BD239" s="182">
        <f>SUM(AZ239:BC239)</f>
        <v>-46.58</v>
      </c>
      <c r="BE239" s="783">
        <f t="shared" ref="BE239" si="725">+BE156*BE160</f>
        <v>0</v>
      </c>
      <c r="BF239" s="783">
        <f t="shared" ref="BF239:BH239" si="726">+BF156*BF160</f>
        <v>0</v>
      </c>
      <c r="BG239" s="783">
        <f t="shared" si="726"/>
        <v>0</v>
      </c>
      <c r="BH239" s="783">
        <f t="shared" si="726"/>
        <v>0</v>
      </c>
      <c r="BI239" s="213">
        <f>BI156*BI160</f>
        <v>0</v>
      </c>
      <c r="BJ239" s="51"/>
      <c r="BK239" s="51"/>
      <c r="BL239" s="783"/>
      <c r="BM239" s="783"/>
      <c r="BN239" s="213">
        <f>BN156*BN160</f>
        <v>0</v>
      </c>
      <c r="BO239" s="51"/>
      <c r="BP239" s="51"/>
      <c r="BQ239" s="783"/>
      <c r="BR239" s="783"/>
      <c r="BS239" s="213">
        <f>BS156*BS160</f>
        <v>0</v>
      </c>
      <c r="BT239" s="159"/>
      <c r="BU239" s="371"/>
      <c r="BV239" s="235"/>
      <c r="BW239" s="159"/>
      <c r="BX239" s="159"/>
      <c r="BY239" s="159"/>
      <c r="BZ239" s="531"/>
      <c r="CA239" s="333"/>
      <c r="CB239" s="326"/>
      <c r="CC239" s="326"/>
      <c r="CD239" s="337"/>
      <c r="CE239" s="337"/>
      <c r="CF239" s="333"/>
      <c r="CG239" s="333"/>
      <c r="CH239" s="371"/>
      <c r="CI239" s="159"/>
      <c r="CJ239"/>
      <c r="CK239"/>
      <c r="CL239"/>
      <c r="CM239"/>
      <c r="CN239"/>
      <c r="CO239"/>
      <c r="CP239" s="410"/>
    </row>
    <row r="240" spans="1:94" s="273" customFormat="1" ht="12.75" customHeight="1" x14ac:dyDescent="0.2">
      <c r="A240" s="152" t="s">
        <v>227</v>
      </c>
      <c r="B240" s="51"/>
      <c r="C240" s="51"/>
      <c r="D240" s="51"/>
      <c r="E240" s="51"/>
      <c r="F240" s="872">
        <v>0</v>
      </c>
      <c r="G240" s="857">
        <v>0</v>
      </c>
      <c r="H240" s="857">
        <v>0</v>
      </c>
      <c r="I240" s="857">
        <v>0</v>
      </c>
      <c r="J240" s="857">
        <v>0</v>
      </c>
      <c r="K240" s="182">
        <f>SUM(G240:J240)</f>
        <v>0</v>
      </c>
      <c r="L240" s="857">
        <v>0</v>
      </c>
      <c r="M240" s="857">
        <v>0</v>
      </c>
      <c r="N240" s="857">
        <v>0</v>
      </c>
      <c r="O240" s="857">
        <v>0</v>
      </c>
      <c r="P240" s="182">
        <f>SUM(L240:O240)</f>
        <v>0</v>
      </c>
      <c r="Q240" s="857">
        <v>0</v>
      </c>
      <c r="R240" s="857">
        <v>0</v>
      </c>
      <c r="S240" s="857">
        <v>0</v>
      </c>
      <c r="T240" s="857">
        <v>0</v>
      </c>
      <c r="U240" s="182">
        <f>SUM(Q240:T240)</f>
        <v>0</v>
      </c>
      <c r="V240" s="857">
        <v>0</v>
      </c>
      <c r="W240" s="857">
        <f>171.014-V240</f>
        <v>171.01400000000001</v>
      </c>
      <c r="X240" s="857">
        <f>171.247-W240-V240</f>
        <v>0.23300000000000409</v>
      </c>
      <c r="Y240" s="857">
        <v>3.9999999999943163E-3</v>
      </c>
      <c r="Z240" s="210">
        <f>SUM(V240:Y240)</f>
        <v>171.251</v>
      </c>
      <c r="AA240" s="857">
        <v>0.21299999999999999</v>
      </c>
      <c r="AB240" s="857">
        <f>0.303-AA240</f>
        <v>0.09</v>
      </c>
      <c r="AC240" s="857">
        <f>0.41-AB240-AA240</f>
        <v>0.10699999999999996</v>
      </c>
      <c r="AD240" s="857">
        <f>0.469-AC240-AB240-AA240</f>
        <v>5.9000000000000025E-2</v>
      </c>
      <c r="AE240" s="210">
        <f>SUM(AA240:AD240)</f>
        <v>0.46899999999999997</v>
      </c>
      <c r="AF240" s="857">
        <v>0.44900000000000001</v>
      </c>
      <c r="AG240" s="857">
        <f>0.555-AF240</f>
        <v>0.10600000000000004</v>
      </c>
      <c r="AH240" s="857">
        <f>0.675-AG240-AF240</f>
        <v>0.11999999999999994</v>
      </c>
      <c r="AI240" s="857">
        <f>0.852-AH240-AG240-AF240</f>
        <v>0.17699999999999988</v>
      </c>
      <c r="AJ240" s="210">
        <f>SUM(AF240:AI240)</f>
        <v>0.85199999999999987</v>
      </c>
      <c r="AK240" s="857">
        <v>3.9E-2</v>
      </c>
      <c r="AL240" s="857">
        <f>0.063-AK240</f>
        <v>2.4E-2</v>
      </c>
      <c r="AM240" s="857">
        <f>0.14-AL240-AK240</f>
        <v>7.7000000000000013E-2</v>
      </c>
      <c r="AN240" s="857">
        <f>0.174-SUM(AK240:AM240)</f>
        <v>3.3999999999999975E-2</v>
      </c>
      <c r="AO240" s="210">
        <f>SUM(AK240:AN240)</f>
        <v>0.17399999999999999</v>
      </c>
      <c r="AP240" s="857">
        <v>1.4999999999999999E-2</v>
      </c>
      <c r="AQ240" s="857">
        <f>0.023-AP240</f>
        <v>8.0000000000000002E-3</v>
      </c>
      <c r="AR240" s="857">
        <f>0.032-AQ240-AP240</f>
        <v>9.0000000000000011E-3</v>
      </c>
      <c r="AS240" s="857">
        <f>0.032-AR240-AQ240-AP240</f>
        <v>0</v>
      </c>
      <c r="AT240" s="210">
        <f>SUM(AP240:AS240)</f>
        <v>3.2000000000000001E-2</v>
      </c>
      <c r="AU240" s="857">
        <v>8.7999999999999995E-2</v>
      </c>
      <c r="AV240" s="857">
        <v>0</v>
      </c>
      <c r="AW240" s="857">
        <f>0.092-AV240-AU240</f>
        <v>4.0000000000000036E-3</v>
      </c>
      <c r="AX240" s="857">
        <f>0.092-AW240-AV240-AU240</f>
        <v>0</v>
      </c>
      <c r="AY240" s="210">
        <f>SUM(AU240:AX240)</f>
        <v>9.1999999999999998E-2</v>
      </c>
      <c r="AZ240" s="857">
        <v>0</v>
      </c>
      <c r="BA240" s="857">
        <v>0</v>
      </c>
      <c r="BB240" s="857">
        <v>0</v>
      </c>
      <c r="BC240" s="857">
        <v>0</v>
      </c>
      <c r="BD240" s="182">
        <f>SUM(AZ240:BC240)</f>
        <v>0</v>
      </c>
      <c r="BE240" s="783">
        <v>0</v>
      </c>
      <c r="BF240" s="783">
        <v>0</v>
      </c>
      <c r="BG240" s="783">
        <v>0</v>
      </c>
      <c r="BH240" s="783">
        <v>0</v>
      </c>
      <c r="BI240" s="213">
        <v>0</v>
      </c>
      <c r="BJ240" s="51"/>
      <c r="BK240" s="51"/>
      <c r="BL240" s="783"/>
      <c r="BM240" s="783"/>
      <c r="BN240" s="213">
        <v>0</v>
      </c>
      <c r="BO240" s="51"/>
      <c r="BP240" s="51"/>
      <c r="BQ240" s="783"/>
      <c r="BR240" s="783"/>
      <c r="BS240" s="213">
        <v>0</v>
      </c>
      <c r="BT240" s="159"/>
      <c r="BU240" s="371"/>
      <c r="BV240" s="235"/>
      <c r="BW240" s="159"/>
      <c r="BX240" s="159"/>
      <c r="BY240" s="159"/>
      <c r="BZ240" s="531"/>
      <c r="CA240" s="333"/>
      <c r="CB240" s="326"/>
      <c r="CC240" s="326"/>
      <c r="CD240" s="320"/>
      <c r="CE240" s="320"/>
      <c r="CF240" s="333"/>
      <c r="CG240" s="333"/>
      <c r="CH240" s="371"/>
      <c r="CI240" s="159"/>
      <c r="CJ240"/>
      <c r="CK240"/>
      <c r="CL240"/>
      <c r="CM240"/>
      <c r="CN240"/>
      <c r="CO240"/>
      <c r="CP240" s="410"/>
    </row>
    <row r="241" spans="1:94" s="140" customFormat="1" ht="12.75" customHeight="1" x14ac:dyDescent="0.2">
      <c r="A241" s="588" t="s">
        <v>228</v>
      </c>
      <c r="B241" s="45"/>
      <c r="C241" s="45"/>
      <c r="D241" s="45"/>
      <c r="E241" s="45"/>
      <c r="F241" s="178">
        <f>F240+F239+F238</f>
        <v>-1.2E-2</v>
      </c>
      <c r="G241" s="81">
        <f t="shared" ref="G241:P241" si="727">G240+G239+G238</f>
        <v>0</v>
      </c>
      <c r="H241" s="81">
        <f t="shared" si="727"/>
        <v>0</v>
      </c>
      <c r="I241" s="81">
        <f t="shared" si="727"/>
        <v>0</v>
      </c>
      <c r="J241" s="81">
        <f t="shared" si="727"/>
        <v>-1E-3</v>
      </c>
      <c r="K241" s="178">
        <f t="shared" si="727"/>
        <v>-1E-3</v>
      </c>
      <c r="L241" s="81">
        <f t="shared" si="727"/>
        <v>0</v>
      </c>
      <c r="M241" s="81">
        <f t="shared" si="727"/>
        <v>0</v>
      </c>
      <c r="N241" s="81">
        <f t="shared" si="727"/>
        <v>-4.1000000000000002E-2</v>
      </c>
      <c r="O241" s="81">
        <f t="shared" si="727"/>
        <v>-1.9999999999999948E-3</v>
      </c>
      <c r="P241" s="178">
        <f t="shared" si="727"/>
        <v>-4.2999999999999997E-2</v>
      </c>
      <c r="Q241" s="81">
        <f t="shared" ref="Q241:AK241" si="728">Q240+Q239+Q238</f>
        <v>0</v>
      </c>
      <c r="R241" s="81">
        <f t="shared" si="728"/>
        <v>0</v>
      </c>
      <c r="S241" s="81">
        <f t="shared" si="728"/>
        <v>0</v>
      </c>
      <c r="T241" s="81">
        <f t="shared" si="728"/>
        <v>0</v>
      </c>
      <c r="U241" s="178">
        <f t="shared" si="728"/>
        <v>0</v>
      </c>
      <c r="V241" s="81">
        <f t="shared" si="728"/>
        <v>0</v>
      </c>
      <c r="W241" s="81">
        <f t="shared" si="728"/>
        <v>170.25700000000001</v>
      </c>
      <c r="X241" s="81">
        <f t="shared" si="728"/>
        <v>0.23300000000000409</v>
      </c>
      <c r="Y241" s="81">
        <f t="shared" si="728"/>
        <v>-0.12500000000000572</v>
      </c>
      <c r="Z241" s="178">
        <f t="shared" si="728"/>
        <v>170.36500000000001</v>
      </c>
      <c r="AA241" s="81">
        <f t="shared" si="728"/>
        <v>0.67</v>
      </c>
      <c r="AB241" s="81">
        <f t="shared" ref="AB241:AI241" si="729">AB240+AB239+AB238</f>
        <v>-1.2229999999999999</v>
      </c>
      <c r="AC241" s="81">
        <f t="shared" si="729"/>
        <v>2.699999999999983E-2</v>
      </c>
      <c r="AD241" s="81">
        <f t="shared" si="729"/>
        <v>-2.6999999999999996E-2</v>
      </c>
      <c r="AE241" s="178">
        <f t="shared" si="728"/>
        <v>-0.55300000000000005</v>
      </c>
      <c r="AF241" s="81">
        <f t="shared" si="728"/>
        <v>0.128</v>
      </c>
      <c r="AG241" s="81">
        <f t="shared" si="728"/>
        <v>-0.51</v>
      </c>
      <c r="AH241" s="81">
        <f t="shared" si="728"/>
        <v>-4.9000000000000044E-2</v>
      </c>
      <c r="AI241" s="81">
        <f t="shared" si="729"/>
        <v>0.14300000000000013</v>
      </c>
      <c r="AJ241" s="178">
        <f t="shared" si="728"/>
        <v>-0.28800000000000003</v>
      </c>
      <c r="AK241" s="81">
        <f t="shared" si="728"/>
        <v>-0.58199999999999996</v>
      </c>
      <c r="AL241" s="81">
        <f t="shared" ref="AL241:AT241" si="730">AL240+AL239+AL238</f>
        <v>-0.57699999999999996</v>
      </c>
      <c r="AM241" s="81">
        <f t="shared" si="730"/>
        <v>-0.2019999999999999</v>
      </c>
      <c r="AN241" s="81">
        <f t="shared" si="730"/>
        <v>-9.5000000000000029E-2</v>
      </c>
      <c r="AO241" s="598">
        <f t="shared" si="730"/>
        <v>-1.456</v>
      </c>
      <c r="AP241" s="81">
        <f t="shared" si="730"/>
        <v>-10.927999999999999</v>
      </c>
      <c r="AQ241" s="81">
        <f t="shared" si="730"/>
        <v>-68.464000000000013</v>
      </c>
      <c r="AR241" s="81">
        <f t="shared" si="730"/>
        <v>-32.738</v>
      </c>
      <c r="AS241" s="81">
        <f>AS240+AS239+AS238</f>
        <v>-9.8999999999987764E-2</v>
      </c>
      <c r="AT241" s="598">
        <f t="shared" si="730"/>
        <v>-112.229</v>
      </c>
      <c r="AU241" s="81">
        <f>AU240+AU239+AU238</f>
        <v>-9.5130000000000017</v>
      </c>
      <c r="AV241" s="81">
        <f>AV240+AV239+AV238</f>
        <v>-52.677</v>
      </c>
      <c r="AW241" s="81">
        <f>AW240+AW239+AW238</f>
        <v>-40.108000000000004</v>
      </c>
      <c r="AX241" s="81">
        <f>AX240+AX239+AX238</f>
        <v>-0.12000000000000277</v>
      </c>
      <c r="AY241" s="598">
        <f t="shared" ref="AY241:BC241" si="731">AY240+AY239+AY238</f>
        <v>-102.41800000000001</v>
      </c>
      <c r="AZ241" s="81">
        <f t="shared" si="731"/>
        <v>-1.034</v>
      </c>
      <c r="BA241" s="81">
        <f t="shared" si="731"/>
        <v>-0.18300000000000005</v>
      </c>
      <c r="BB241" s="81">
        <f t="shared" ref="BB241" si="732">BB240+BB239+BB238</f>
        <v>-2.0999999999999908E-2</v>
      </c>
      <c r="BC241" s="81">
        <f t="shared" si="731"/>
        <v>-45.341999999999999</v>
      </c>
      <c r="BD241" s="598">
        <f>BD240+BD239+BD238</f>
        <v>-46.58</v>
      </c>
      <c r="BE241" s="81">
        <f t="shared" ref="BE241:BH241" si="733">BE240+BE239+BE238</f>
        <v>0</v>
      </c>
      <c r="BF241" s="81">
        <f t="shared" si="733"/>
        <v>0</v>
      </c>
      <c r="BG241" s="81">
        <f t="shared" si="733"/>
        <v>0</v>
      </c>
      <c r="BH241" s="81">
        <f t="shared" si="733"/>
        <v>0</v>
      </c>
      <c r="BI241" s="598">
        <f>BI240+BI239+BI238</f>
        <v>0</v>
      </c>
      <c r="BJ241" s="81"/>
      <c r="BK241" s="81"/>
      <c r="BL241" s="81"/>
      <c r="BM241" s="81"/>
      <c r="BN241" s="598">
        <f>BN240+BN239+BN238</f>
        <v>0</v>
      </c>
      <c r="BO241" s="81"/>
      <c r="BP241" s="81"/>
      <c r="BQ241" s="81"/>
      <c r="BR241" s="81"/>
      <c r="BS241" s="598">
        <f>BS240+BS239+BS238</f>
        <v>0</v>
      </c>
      <c r="BT241" s="44"/>
      <c r="BU241" s="368"/>
      <c r="BV241" s="232"/>
      <c r="BW241" s="44"/>
      <c r="BX241" s="44"/>
      <c r="BY241" s="44"/>
      <c r="BZ241" s="531"/>
      <c r="CA241" s="331"/>
      <c r="CB241" s="331"/>
      <c r="CC241" s="331"/>
      <c r="CD241" s="331"/>
      <c r="CE241" s="331"/>
      <c r="CF241" s="331"/>
      <c r="CG241" s="331"/>
      <c r="CH241" s="368"/>
      <c r="CI241" s="44"/>
      <c r="CJ241"/>
      <c r="CK241"/>
      <c r="CL241"/>
      <c r="CM241"/>
      <c r="CN241"/>
      <c r="CO241"/>
      <c r="CP241" s="407"/>
    </row>
    <row r="242" spans="1:94" s="273" customFormat="1" ht="12.75" customHeight="1" x14ac:dyDescent="0.2">
      <c r="A242" s="152" t="s">
        <v>229</v>
      </c>
      <c r="B242" s="51"/>
      <c r="C242" s="51"/>
      <c r="D242" s="51"/>
      <c r="E242" s="51"/>
      <c r="F242" s="182"/>
      <c r="G242" s="51"/>
      <c r="H242" s="51"/>
      <c r="I242" s="51"/>
      <c r="J242" s="51"/>
      <c r="K242" s="182"/>
      <c r="L242" s="51"/>
      <c r="M242" s="51"/>
      <c r="N242" s="51"/>
      <c r="O242" s="51"/>
      <c r="P242" s="182"/>
      <c r="Q242" s="51"/>
      <c r="R242" s="51"/>
      <c r="S242" s="51"/>
      <c r="T242" s="51"/>
      <c r="U242" s="182"/>
      <c r="V242" s="51"/>
      <c r="W242" s="51"/>
      <c r="X242" s="51"/>
      <c r="Y242" s="51"/>
      <c r="Z242" s="182"/>
      <c r="AA242" s="51"/>
      <c r="AB242" s="51"/>
      <c r="AC242" s="51"/>
      <c r="AD242" s="51"/>
      <c r="AE242" s="182"/>
      <c r="AF242" s="51"/>
      <c r="AG242" s="51"/>
      <c r="AH242" s="51"/>
      <c r="AI242" s="51"/>
      <c r="AJ242" s="182"/>
      <c r="AK242" s="51"/>
      <c r="AL242" s="51"/>
      <c r="AM242" s="51"/>
      <c r="AN242" s="51"/>
      <c r="AO242" s="182"/>
      <c r="AP242" s="51"/>
      <c r="AQ242" s="51"/>
      <c r="AR242" s="51"/>
      <c r="AS242" s="51"/>
      <c r="AT242" s="182"/>
      <c r="AU242" s="51"/>
      <c r="AV242" s="51"/>
      <c r="AW242" s="51"/>
      <c r="AX242" s="51"/>
      <c r="AY242" s="182"/>
      <c r="AZ242" s="51"/>
      <c r="BA242" s="51"/>
      <c r="BB242" s="51"/>
      <c r="BC242" s="51"/>
      <c r="BD242" s="182"/>
      <c r="BE242" s="51">
        <f>+$BI$242/4</f>
        <v>164.25</v>
      </c>
      <c r="BF242" s="51">
        <f>+$BI$242/4</f>
        <v>164.25</v>
      </c>
      <c r="BG242" s="51">
        <f>+$BI$242/4</f>
        <v>164.25</v>
      </c>
      <c r="BH242" s="51">
        <f>+BI242-SUM(BE242:BG242)</f>
        <v>164.25</v>
      </c>
      <c r="BI242" s="182">
        <f>+BI229</f>
        <v>657</v>
      </c>
      <c r="BJ242" s="51"/>
      <c r="BK242" s="51"/>
      <c r="BL242" s="51"/>
      <c r="BM242" s="51"/>
      <c r="BN242" s="182">
        <f>+BN229</f>
        <v>481.5</v>
      </c>
      <c r="BO242" s="51"/>
      <c r="BP242" s="51"/>
      <c r="BQ242" s="51"/>
      <c r="BR242" s="51"/>
      <c r="BS242" s="182">
        <f>+BS229</f>
        <v>481.5</v>
      </c>
      <c r="BT242" s="159"/>
      <c r="BU242" s="371"/>
      <c r="BV242" s="235"/>
      <c r="BW242" s="159"/>
      <c r="BX242" s="159"/>
      <c r="BY242" s="159"/>
      <c r="BZ242" s="532"/>
      <c r="CA242" s="333"/>
      <c r="CB242" s="333"/>
      <c r="CC242" s="333"/>
      <c r="CD242" s="333"/>
      <c r="CE242" s="333"/>
      <c r="CF242" s="333"/>
      <c r="CG242" s="333"/>
      <c r="CH242" s="371"/>
      <c r="CI242" s="159"/>
      <c r="CJ242"/>
      <c r="CK242"/>
      <c r="CL242"/>
      <c r="CM242"/>
      <c r="CN242"/>
      <c r="CO242"/>
      <c r="CP242" s="410"/>
    </row>
    <row r="243" spans="1:94" ht="12.75" customHeight="1" x14ac:dyDescent="0.2">
      <c r="A243" s="152" t="s">
        <v>230</v>
      </c>
      <c r="B243" s="35"/>
      <c r="C243" s="35"/>
      <c r="D243" s="35"/>
      <c r="E243" s="35"/>
      <c r="F243" s="170"/>
      <c r="G243" s="35"/>
      <c r="H243" s="35"/>
      <c r="I243" s="35"/>
      <c r="J243" s="35"/>
      <c r="K243" s="170"/>
      <c r="L243" s="35"/>
      <c r="M243" s="35"/>
      <c r="N243" s="35"/>
      <c r="O243" s="35"/>
      <c r="P243" s="170"/>
      <c r="Q243" s="35"/>
      <c r="R243" s="35"/>
      <c r="S243" s="35"/>
      <c r="T243" s="35"/>
      <c r="U243" s="170"/>
      <c r="V243" s="35"/>
      <c r="W243" s="35"/>
      <c r="X243" s="35"/>
      <c r="Y243" s="35"/>
      <c r="Z243" s="170"/>
      <c r="AA243" s="35"/>
      <c r="AB243" s="35"/>
      <c r="AC243" s="35"/>
      <c r="AD243" s="35"/>
      <c r="AE243" s="170"/>
      <c r="AF243" s="35"/>
      <c r="AG243" s="35"/>
      <c r="AH243" s="35"/>
      <c r="AI243" s="35"/>
      <c r="AJ243" s="170"/>
      <c r="AK243" s="35"/>
      <c r="AL243" s="35"/>
      <c r="AM243" s="35"/>
      <c r="AN243" s="35"/>
      <c r="AO243" s="315"/>
      <c r="AP243" s="35"/>
      <c r="AQ243" s="35"/>
      <c r="AR243" s="35"/>
      <c r="AS243" s="35"/>
      <c r="AT243" s="315"/>
      <c r="AU243" s="35"/>
      <c r="AV243" s="35"/>
      <c r="AW243" s="35"/>
      <c r="AX243" s="35"/>
      <c r="AY243" s="315"/>
      <c r="AZ243" s="35"/>
      <c r="BA243" s="35"/>
      <c r="BB243" s="35"/>
      <c r="BC243" s="35"/>
      <c r="BD243" s="213"/>
      <c r="BE243" s="51">
        <f>+$BI$243/4</f>
        <v>-30.25</v>
      </c>
      <c r="BF243" s="51">
        <f>+$BI$243/4</f>
        <v>-30.25</v>
      </c>
      <c r="BG243" s="51">
        <f>+$BI$243/4</f>
        <v>-30.25</v>
      </c>
      <c r="BH243" s="51">
        <f>+BI243-SUM(BE243:BG243)</f>
        <v>-30.25</v>
      </c>
      <c r="BI243" s="213">
        <f>-CB245</f>
        <v>-121</v>
      </c>
      <c r="BJ243" s="814"/>
      <c r="BK243" s="814"/>
      <c r="BL243" s="814"/>
      <c r="BM243" s="814"/>
      <c r="BN243" s="213">
        <f>-CC245</f>
        <v>-122</v>
      </c>
      <c r="BO243" s="814"/>
      <c r="BP243" s="814"/>
      <c r="BQ243" s="814"/>
      <c r="BR243" s="814"/>
      <c r="BS243" s="213">
        <f>-CD245</f>
        <v>-122</v>
      </c>
      <c r="BZ243" s="532" t="s">
        <v>474</v>
      </c>
      <c r="CA243" s="532"/>
      <c r="CB243" s="549"/>
      <c r="CC243" s="331"/>
      <c r="CD243" s="599"/>
    </row>
    <row r="244" spans="1:94" s="273" customFormat="1" ht="12.75" customHeight="1" x14ac:dyDescent="0.2">
      <c r="A244" s="152" t="s">
        <v>231</v>
      </c>
      <c r="B244" s="51"/>
      <c r="C244" s="51"/>
      <c r="D244" s="51"/>
      <c r="E244" s="51"/>
      <c r="F244" s="182"/>
      <c r="G244" s="51"/>
      <c r="H244" s="51"/>
      <c r="I244" s="51"/>
      <c r="J244" s="51"/>
      <c r="K244" s="182"/>
      <c r="L244" s="51"/>
      <c r="M244" s="51"/>
      <c r="N244" s="51"/>
      <c r="O244" s="51"/>
      <c r="P244" s="182"/>
      <c r="Q244" s="51"/>
      <c r="R244" s="51"/>
      <c r="S244" s="51"/>
      <c r="T244" s="51"/>
      <c r="U244" s="182"/>
      <c r="V244" s="51"/>
      <c r="W244" s="51"/>
      <c r="X244" s="51"/>
      <c r="Y244" s="51"/>
      <c r="Z244" s="182"/>
      <c r="AA244" s="51"/>
      <c r="AB244" s="51"/>
      <c r="AC244" s="51"/>
      <c r="AD244" s="51"/>
      <c r="AE244" s="182"/>
      <c r="AF244" s="51"/>
      <c r="AG244" s="51"/>
      <c r="AH244" s="51"/>
      <c r="AI244" s="51"/>
      <c r="AJ244" s="182"/>
      <c r="AK244" s="51"/>
      <c r="AL244" s="51"/>
      <c r="AM244" s="51"/>
      <c r="AN244" s="51"/>
      <c r="AO244" s="182"/>
      <c r="AP244" s="51"/>
      <c r="AQ244" s="51"/>
      <c r="AR244" s="51"/>
      <c r="AS244" s="51"/>
      <c r="AT244" s="182"/>
      <c r="AU244" s="51"/>
      <c r="AV244" s="51"/>
      <c r="AW244" s="51"/>
      <c r="AX244" s="51"/>
      <c r="AY244" s="182"/>
      <c r="AZ244" s="51"/>
      <c r="BA244" s="51"/>
      <c r="BB244" s="51"/>
      <c r="BC244" s="51"/>
      <c r="BD244" s="182"/>
      <c r="BE244" s="51"/>
      <c r="BF244" s="51"/>
      <c r="BG244" s="51"/>
      <c r="BH244" s="51"/>
      <c r="BI244" s="182">
        <f>IF(BD256+BI233+BI242+BI243+BI241&lt;0,-(BD256+BI233+BI242+BI243+BI241),0)</f>
        <v>0</v>
      </c>
      <c r="BJ244" s="51"/>
      <c r="BK244" s="51"/>
      <c r="BL244" s="51"/>
      <c r="BM244" s="51"/>
      <c r="BN244" s="182">
        <f>IF(BI256+BN233+BN242+BN243+BN241&lt;0,-(BI256+BN233+BN242+BN243+BN241),0)</f>
        <v>0</v>
      </c>
      <c r="BO244" s="51"/>
      <c r="BP244" s="51"/>
      <c r="BQ244" s="51"/>
      <c r="BR244" s="51"/>
      <c r="BS244" s="182">
        <f>IF(BN256+BS233+BS242+BS243+BS241&lt;0,-(BN256+BS233+BS242+BS243+BS241),0)</f>
        <v>0</v>
      </c>
      <c r="BT244" s="159"/>
      <c r="BU244" s="371"/>
      <c r="BV244" s="235"/>
      <c r="BW244" s="159"/>
      <c r="BX244" s="159"/>
      <c r="BY244" s="159"/>
      <c r="BZ244" s="531"/>
      <c r="CA244" s="531"/>
      <c r="CB244" s="818">
        <v>2018</v>
      </c>
      <c r="CC244" s="818">
        <v>2019</v>
      </c>
      <c r="CD244" s="818">
        <v>2020</v>
      </c>
      <c r="CE244" s="818">
        <v>2021</v>
      </c>
      <c r="CF244" s="818">
        <v>2022</v>
      </c>
      <c r="CG244" s="818" t="s">
        <v>519</v>
      </c>
      <c r="CH244" s="371"/>
      <c r="CI244" s="159"/>
      <c r="CJ244"/>
      <c r="CK244"/>
      <c r="CL244"/>
      <c r="CM244"/>
      <c r="CN244"/>
      <c r="CO244"/>
      <c r="CP244" s="410"/>
    </row>
    <row r="245" spans="1:94" s="140" customFormat="1" ht="12.75" customHeight="1" x14ac:dyDescent="0.2">
      <c r="A245" s="588" t="s">
        <v>232</v>
      </c>
      <c r="B245" s="45"/>
      <c r="C245" s="45"/>
      <c r="D245" s="45"/>
      <c r="E245" s="45"/>
      <c r="F245" s="877">
        <f>-0.647</f>
        <v>-0.64700000000000002</v>
      </c>
      <c r="G245" s="864">
        <f>-0.21</f>
        <v>-0.21</v>
      </c>
      <c r="H245" s="864">
        <f>-0.433-G245</f>
        <v>-0.223</v>
      </c>
      <c r="I245" s="864">
        <f>-0.715-H245-G245</f>
        <v>-0.28200000000000003</v>
      </c>
      <c r="J245" s="864">
        <f>-0.3+-5.89+5-I245-H245-G245</f>
        <v>-0.47499999999999953</v>
      </c>
      <c r="K245" s="178">
        <f>SUM(G245:J245)</f>
        <v>-1.1899999999999995</v>
      </c>
      <c r="L245" s="864">
        <v>-4.3999999999999997E-2</v>
      </c>
      <c r="M245" s="864">
        <f>-0.08+-0.767+2-L245</f>
        <v>1.1970000000000001</v>
      </c>
      <c r="N245" s="864">
        <f>-1.189+-2.179+2-M245-L245</f>
        <v>-2.5209999999999999</v>
      </c>
      <c r="O245" s="864">
        <f>-1.196+-2.239+2-N245-M245-L245</f>
        <v>-6.6999999999999768E-2</v>
      </c>
      <c r="P245" s="178">
        <f>SUM(L245:O245)</f>
        <v>-1.4349999999999996</v>
      </c>
      <c r="Q245" s="864">
        <v>0</v>
      </c>
      <c r="R245" s="864">
        <v>0</v>
      </c>
      <c r="S245" s="864">
        <f>0-R245-Q245</f>
        <v>0</v>
      </c>
      <c r="T245" s="864">
        <f>0-S245-R245-Q245</f>
        <v>0</v>
      </c>
      <c r="U245" s="178">
        <f>SUM(Q245:T245)</f>
        <v>0</v>
      </c>
      <c r="V245" s="864">
        <v>0</v>
      </c>
      <c r="W245" s="864">
        <f>-20.564+0.008-V245</f>
        <v>-20.556000000000001</v>
      </c>
      <c r="X245" s="864">
        <f>-20.564+0.008-W245-V245</f>
        <v>0</v>
      </c>
      <c r="Y245" s="864">
        <f>(Z245-V245-W245-X245)</f>
        <v>2.3350000000000009</v>
      </c>
      <c r="Z245" s="178">
        <f>-18.221</f>
        <v>-18.221</v>
      </c>
      <c r="AA245" s="864">
        <v>0</v>
      </c>
      <c r="AB245" s="864">
        <v>0</v>
      </c>
      <c r="AC245" s="864">
        <v>0</v>
      </c>
      <c r="AD245" s="864">
        <v>0</v>
      </c>
      <c r="AE245" s="178">
        <f>SUM(AA245:AD245)</f>
        <v>0</v>
      </c>
      <c r="AF245" s="864">
        <v>0</v>
      </c>
      <c r="AG245" s="864">
        <v>0</v>
      </c>
      <c r="AH245" s="864">
        <v>0</v>
      </c>
      <c r="AI245" s="864">
        <v>0</v>
      </c>
      <c r="AJ245" s="178">
        <f>SUM(AF245:AI245)</f>
        <v>0</v>
      </c>
      <c r="AK245" s="864">
        <v>0</v>
      </c>
      <c r="AL245" s="864">
        <v>0</v>
      </c>
      <c r="AM245" s="864">
        <v>0</v>
      </c>
      <c r="AN245" s="864">
        <v>148</v>
      </c>
      <c r="AO245" s="178">
        <f>SUM(AK245:AN245)</f>
        <v>148</v>
      </c>
      <c r="AP245" s="864">
        <v>185</v>
      </c>
      <c r="AQ245" s="864">
        <f>296-AP245+8.504-4.669</f>
        <v>114.83500000000001</v>
      </c>
      <c r="AR245" s="864">
        <f>7.3+416-16.609-AQ245-AP245</f>
        <v>106.85599999999999</v>
      </c>
      <c r="AS245" s="864">
        <f>-26.364+536.78-AR245-AQ245-AP245</f>
        <v>103.72500000000002</v>
      </c>
      <c r="AT245" s="598">
        <f>SUM(AP245:AS245)</f>
        <v>510.41600000000005</v>
      </c>
      <c r="AU245" s="864">
        <f>73.914-9.749</f>
        <v>64.165000000000006</v>
      </c>
      <c r="AV245" s="864">
        <f>300.547-19.665-AU245</f>
        <v>216.71699999999998</v>
      </c>
      <c r="AW245" s="864">
        <f>378.59-29.663-AV245-AU245</f>
        <v>68.044999999999973</v>
      </c>
      <c r="AX245" s="864">
        <f>417.275-64.421-AU245-AW245-AV245</f>
        <v>3.9270000000000209</v>
      </c>
      <c r="AY245" s="598">
        <f>SUM(AU245:AX245)</f>
        <v>352.85399999999998</v>
      </c>
      <c r="AZ245" s="864">
        <f>115.526-10.235</f>
        <v>105.291</v>
      </c>
      <c r="BA245" s="864">
        <f>255.827-50.099-AZ245</f>
        <v>100.43700000000001</v>
      </c>
      <c r="BB245" s="864">
        <f>405.827-63.643-BA245-AZ245</f>
        <v>136.45599999999996</v>
      </c>
      <c r="BC245" s="864">
        <f>629.725-102.738-AZ245-BB245-BA245</f>
        <v>184.80300000000011</v>
      </c>
      <c r="BD245" s="598">
        <f>SUM(AZ245:BC245)</f>
        <v>526.98700000000008</v>
      </c>
      <c r="BE245" s="555">
        <f t="shared" ref="BE245:BH245" si="734">SUM(BE242:BE244)</f>
        <v>134</v>
      </c>
      <c r="BF245" s="555">
        <f t="shared" si="734"/>
        <v>134</v>
      </c>
      <c r="BG245" s="555">
        <f t="shared" si="734"/>
        <v>134</v>
      </c>
      <c r="BH245" s="555">
        <f t="shared" si="734"/>
        <v>134</v>
      </c>
      <c r="BI245" s="598">
        <f>SUM(BI242:BI244)</f>
        <v>536</v>
      </c>
      <c r="BJ245" s="81"/>
      <c r="BK245" s="81"/>
      <c r="BL245" s="718"/>
      <c r="BM245" s="718"/>
      <c r="BN245" s="598">
        <f>SUM(BN242:BN244)</f>
        <v>359.5</v>
      </c>
      <c r="BO245" s="81"/>
      <c r="BP245" s="81"/>
      <c r="BQ245" s="718"/>
      <c r="BR245" s="718"/>
      <c r="BS245" s="598">
        <f>SUM(BS242:BS244)</f>
        <v>359.5</v>
      </c>
      <c r="BT245" s="44"/>
      <c r="BU245" s="368"/>
      <c r="BV245" s="232"/>
      <c r="BW245" s="44"/>
      <c r="BX245" s="44"/>
      <c r="BY245" s="44"/>
      <c r="BZ245" s="531"/>
      <c r="CA245" s="531"/>
      <c r="CB245" s="819">
        <v>121</v>
      </c>
      <c r="CC245" s="819">
        <v>122</v>
      </c>
      <c r="CD245" s="819">
        <v>122</v>
      </c>
      <c r="CE245" s="819">
        <v>120</v>
      </c>
      <c r="CF245" s="819">
        <v>120</v>
      </c>
      <c r="CG245" s="819">
        <v>934</v>
      </c>
      <c r="CH245" s="368"/>
      <c r="CI245" s="44"/>
      <c r="CJ245"/>
      <c r="CK245"/>
      <c r="CL245"/>
      <c r="CM245"/>
      <c r="CN245"/>
      <c r="CO245"/>
      <c r="CP245" s="407"/>
    </row>
    <row r="246" spans="1:94" s="140" customFormat="1" ht="12.75" customHeight="1" x14ac:dyDescent="0.2">
      <c r="A246" s="79" t="s">
        <v>233</v>
      </c>
      <c r="B246" s="45"/>
      <c r="C246" s="45"/>
      <c r="D246" s="45"/>
      <c r="E246" s="45"/>
      <c r="F246" s="178">
        <f t="shared" ref="F246:AK246" si="735">F247-F245-F241</f>
        <v>0</v>
      </c>
      <c r="G246" s="45">
        <f t="shared" si="735"/>
        <v>0</v>
      </c>
      <c r="H246" s="45">
        <f t="shared" si="735"/>
        <v>0</v>
      </c>
      <c r="I246" s="45">
        <f t="shared" si="735"/>
        <v>0</v>
      </c>
      <c r="J246" s="45">
        <f t="shared" si="735"/>
        <v>-5.5597887405056667E-16</v>
      </c>
      <c r="K246" s="178">
        <f t="shared" si="735"/>
        <v>-7.7802347897559798E-16</v>
      </c>
      <c r="L246" s="45">
        <f t="shared" si="735"/>
        <v>0</v>
      </c>
      <c r="M246" s="45">
        <f t="shared" si="735"/>
        <v>0</v>
      </c>
      <c r="N246" s="45">
        <f t="shared" si="735"/>
        <v>7.6327832942979512E-17</v>
      </c>
      <c r="O246" s="45">
        <f t="shared" si="735"/>
        <v>-4.5102810375396984E-16</v>
      </c>
      <c r="P246" s="178">
        <f t="shared" si="735"/>
        <v>-3.7470027081099033E-16</v>
      </c>
      <c r="Q246" s="45">
        <f t="shared" si="735"/>
        <v>0</v>
      </c>
      <c r="R246" s="45">
        <f t="shared" si="735"/>
        <v>2E-3</v>
      </c>
      <c r="S246" s="45">
        <f t="shared" si="735"/>
        <v>0</v>
      </c>
      <c r="T246" s="45">
        <f t="shared" si="735"/>
        <v>-2E-3</v>
      </c>
      <c r="U246" s="178">
        <f t="shared" si="735"/>
        <v>0</v>
      </c>
      <c r="V246" s="45">
        <f t="shared" si="735"/>
        <v>0</v>
      </c>
      <c r="W246" s="45">
        <f>W247-W245-W241</f>
        <v>0</v>
      </c>
      <c r="X246" s="45">
        <f t="shared" si="735"/>
        <v>0</v>
      </c>
      <c r="Y246" s="45">
        <f t="shared" si="735"/>
        <v>4.4890000000000168</v>
      </c>
      <c r="Z246" s="178">
        <f>SUM(V246:Y246)</f>
        <v>4.4890000000000168</v>
      </c>
      <c r="AA246" s="45">
        <f t="shared" si="735"/>
        <v>5.5380000000000003</v>
      </c>
      <c r="AB246" s="45">
        <f t="shared" si="735"/>
        <v>-25.35</v>
      </c>
      <c r="AC246" s="45">
        <f t="shared" si="735"/>
        <v>6.8</v>
      </c>
      <c r="AD246" s="45">
        <f t="shared" si="735"/>
        <v>0.74500000000000177</v>
      </c>
      <c r="AE246" s="178">
        <f>SUM(AA246:AD246)</f>
        <v>-12.266999999999999</v>
      </c>
      <c r="AF246" s="45">
        <f t="shared" si="735"/>
        <v>7.0620000000000003</v>
      </c>
      <c r="AG246" s="45">
        <f t="shared" si="735"/>
        <v>0.71299999999999941</v>
      </c>
      <c r="AH246" s="45">
        <f t="shared" si="735"/>
        <v>0.75999999999999945</v>
      </c>
      <c r="AI246" s="45">
        <f t="shared" si="735"/>
        <v>0.29200000000000037</v>
      </c>
      <c r="AJ246" s="178">
        <f>SUM(AF246:AI246)</f>
        <v>8.8269999999999982</v>
      </c>
      <c r="AK246" s="45">
        <f t="shared" si="735"/>
        <v>0.58799999999999997</v>
      </c>
      <c r="AL246" s="45">
        <f>AL247-AL245-AL241</f>
        <v>-5.5170000000000003</v>
      </c>
      <c r="AM246" s="45">
        <f>AM247-AM245-AM241</f>
        <v>5.4000000000000437E-2</v>
      </c>
      <c r="AN246" s="45">
        <f>AN247-AN245-AN241</f>
        <v>2.3429999999999906</v>
      </c>
      <c r="AO246" s="178">
        <f>SUM(AK246:AN246)</f>
        <v>-2.5320000000000094</v>
      </c>
      <c r="AP246" s="45">
        <f>AP247-AP245-AP241</f>
        <v>1.9329999999999945</v>
      </c>
      <c r="AQ246" s="45">
        <f>AQ247-AQ245-AQ241</f>
        <v>-3.5729999999999933</v>
      </c>
      <c r="AR246" s="45">
        <f>AR247-AR245-AR241</f>
        <v>-3.6340000000000146</v>
      </c>
      <c r="AS246" s="45">
        <f>AS247-AS245-AS241</f>
        <v>6.2319999999999691</v>
      </c>
      <c r="AT246" s="178">
        <f>SUM(AP246:AS246)</f>
        <v>0.95799999999995578</v>
      </c>
      <c r="AU246" s="45">
        <f>AU247-AU245-AU241</f>
        <v>-0.81200000000000117</v>
      </c>
      <c r="AV246" s="45">
        <f>AV247-AV245-AV241</f>
        <v>0.19800000000001461</v>
      </c>
      <c r="AW246" s="45">
        <f>AW247-AW245-AW241</f>
        <v>-1.0999999999981469E-2</v>
      </c>
      <c r="AX246" s="45">
        <f>AX247-AX245-AX241</f>
        <v>4.8000000000000043E-2</v>
      </c>
      <c r="AY246" s="178">
        <f>SUM(AU246:AX246)</f>
        <v>-0.57699999999996798</v>
      </c>
      <c r="AZ246" s="45">
        <f>AZ247-AZ245-AZ241</f>
        <v>-2.2739999999999929</v>
      </c>
      <c r="BA246" s="45">
        <f>BA247-BA245-BA241</f>
        <v>-1.8610000000000111</v>
      </c>
      <c r="BB246" s="45">
        <f>BB247-BB245-BB241</f>
        <v>-1.715999999999938</v>
      </c>
      <c r="BC246" s="45">
        <f>BC247-BC245-BC241</f>
        <v>-7.8440000000001788</v>
      </c>
      <c r="BD246" s="178">
        <f>SUM(AZ246:BC246)</f>
        <v>-13.695000000000121</v>
      </c>
      <c r="BE246" s="76">
        <v>0</v>
      </c>
      <c r="BF246" s="76">
        <v>0</v>
      </c>
      <c r="BG246" s="76">
        <v>0</v>
      </c>
      <c r="BH246" s="76">
        <v>0</v>
      </c>
      <c r="BI246" s="178">
        <f>SUM(BE246:BH246)</f>
        <v>0</v>
      </c>
      <c r="BJ246" s="45"/>
      <c r="BK246" s="45"/>
      <c r="BL246" s="76"/>
      <c r="BM246" s="76"/>
      <c r="BN246" s="318">
        <v>0</v>
      </c>
      <c r="BO246" s="45"/>
      <c r="BP246" s="45"/>
      <c r="BQ246" s="76"/>
      <c r="BR246" s="76"/>
      <c r="BS246" s="318">
        <v>0</v>
      </c>
      <c r="BT246" s="44"/>
      <c r="BU246" s="368"/>
      <c r="BV246" s="232"/>
      <c r="BW246" s="44"/>
      <c r="BX246" s="44"/>
      <c r="BY246" s="44"/>
      <c r="BZ246" s="531"/>
      <c r="CA246" s="531"/>
      <c r="CB246" s="331"/>
      <c r="CC246" s="599"/>
      <c r="CD246" s="331"/>
      <c r="CE246" s="331"/>
      <c r="CF246" s="331"/>
      <c r="CG246" s="319"/>
      <c r="CH246" s="368"/>
      <c r="CI246" s="44"/>
      <c r="CJ246"/>
      <c r="CK246"/>
      <c r="CL246"/>
      <c r="CM246"/>
      <c r="CN246"/>
      <c r="CO246"/>
      <c r="CP246" s="407"/>
    </row>
    <row r="247" spans="1:94" s="140" customFormat="1" ht="12.75" customHeight="1" x14ac:dyDescent="0.2">
      <c r="A247" s="132" t="s">
        <v>234</v>
      </c>
      <c r="B247" s="137"/>
      <c r="C247" s="137"/>
      <c r="D247" s="137"/>
      <c r="E247" s="137"/>
      <c r="F247" s="876">
        <v>-0.65900000000000003</v>
      </c>
      <c r="G247" s="863">
        <v>-0.21</v>
      </c>
      <c r="H247" s="863">
        <f>-0.433-G247</f>
        <v>-0.223</v>
      </c>
      <c r="I247" s="863">
        <f>-0.715-H247-G247</f>
        <v>-0.28200000000000003</v>
      </c>
      <c r="J247" s="863">
        <f>-1.191-I247-H247-G247</f>
        <v>-0.47600000000000009</v>
      </c>
      <c r="K247" s="205">
        <f>SUM(G247:J247)</f>
        <v>-1.1910000000000003</v>
      </c>
      <c r="L247" s="863">
        <f>-0.044</f>
        <v>-4.3999999999999997E-2</v>
      </c>
      <c r="M247" s="863">
        <f>1.153-L247</f>
        <v>1.1970000000000001</v>
      </c>
      <c r="N247" s="863">
        <f>-1.409-M247-L247</f>
        <v>-2.5619999999999998</v>
      </c>
      <c r="O247" s="863">
        <f>-1.478-N247-M247-L247</f>
        <v>-6.9000000000000214E-2</v>
      </c>
      <c r="P247" s="205">
        <f>SUM(L247:O247)</f>
        <v>-1.478</v>
      </c>
      <c r="Q247" s="863">
        <v>0</v>
      </c>
      <c r="R247" s="863">
        <f>0.002-Q247</f>
        <v>2E-3</v>
      </c>
      <c r="S247" s="863">
        <f>0.002-R247-Q247</f>
        <v>0</v>
      </c>
      <c r="T247" s="863">
        <f>0-S247-R247-Q247</f>
        <v>-2E-3</v>
      </c>
      <c r="U247" s="205">
        <f>SUM(Q247:T247)</f>
        <v>0</v>
      </c>
      <c r="V247" s="863">
        <v>0</v>
      </c>
      <c r="W247" s="863">
        <f>149.701-V247</f>
        <v>149.70099999999999</v>
      </c>
      <c r="X247" s="863">
        <f>149.934-W247-V247</f>
        <v>0.23300000000000409</v>
      </c>
      <c r="Y247" s="863">
        <v>6.6990000000000123</v>
      </c>
      <c r="Z247" s="205">
        <f>SUM(V247:Y247)</f>
        <v>156.63300000000001</v>
      </c>
      <c r="AA247" s="863">
        <v>6.2080000000000002</v>
      </c>
      <c r="AB247" s="863">
        <f>-20.365-AA247</f>
        <v>-26.573</v>
      </c>
      <c r="AC247" s="863">
        <f>-13.538-AB247-AA247</f>
        <v>6.827</v>
      </c>
      <c r="AD247" s="863">
        <f>-12.82-AC247-AB247-AA247</f>
        <v>0.71800000000000175</v>
      </c>
      <c r="AE247" s="205">
        <f>SUM(AA247:AD247)</f>
        <v>-12.82</v>
      </c>
      <c r="AF247" s="863">
        <v>7.19</v>
      </c>
      <c r="AG247" s="863">
        <f>7.393-AF247</f>
        <v>0.2029999999999994</v>
      </c>
      <c r="AH247" s="863">
        <f>8.104-AG247-AF247</f>
        <v>0.71099999999999941</v>
      </c>
      <c r="AI247" s="863">
        <f>8.539-AH247-AG247-AF247</f>
        <v>0.4350000000000005</v>
      </c>
      <c r="AJ247" s="205">
        <f>SUM(AF247:AI247)</f>
        <v>8.5389999999999997</v>
      </c>
      <c r="AK247" s="863">
        <v>6.0000000000000001E-3</v>
      </c>
      <c r="AL247" s="863">
        <f>-6.088-AK247</f>
        <v>-6.0940000000000003</v>
      </c>
      <c r="AM247" s="863">
        <f>-6.236-AL247-AK247</f>
        <v>-0.14799999999999947</v>
      </c>
      <c r="AN247" s="863">
        <f>144.012-SUM(AK247:AM247)</f>
        <v>150.24799999999999</v>
      </c>
      <c r="AO247" s="205">
        <f>AO246+AO245+AO241</f>
        <v>144.012</v>
      </c>
      <c r="AP247" s="863">
        <v>176.005</v>
      </c>
      <c r="AQ247" s="863">
        <f>218.803-AP247</f>
        <v>42.798000000000002</v>
      </c>
      <c r="AR247" s="863">
        <f>289.287-AQ247-AP247</f>
        <v>70.48399999999998</v>
      </c>
      <c r="AS247" s="863">
        <f>399.145-AR247-AQ247-AP247</f>
        <v>109.858</v>
      </c>
      <c r="AT247" s="205">
        <f t="shared" ref="AT247:AY247" si="736">AT246+AT245+AT241</f>
        <v>399.14500000000004</v>
      </c>
      <c r="AU247" s="863">
        <v>53.84</v>
      </c>
      <c r="AV247" s="863">
        <f>218.078-AU247</f>
        <v>164.238</v>
      </c>
      <c r="AW247" s="863">
        <f>246.004-AV247-AU247</f>
        <v>27.925999999999988</v>
      </c>
      <c r="AX247" s="863">
        <f>249.859-AW247-AV247-AU247</f>
        <v>3.8550000000000182</v>
      </c>
      <c r="AY247" s="205">
        <f t="shared" si="736"/>
        <v>249.85900000000004</v>
      </c>
      <c r="AZ247" s="863">
        <v>101.983</v>
      </c>
      <c r="BA247" s="863">
        <f>200.376-AZ247</f>
        <v>98.393000000000001</v>
      </c>
      <c r="BB247" s="863">
        <f>335.095-BA247-AZ247</f>
        <v>134.71900000000002</v>
      </c>
      <c r="BC247" s="863">
        <f>466.712-BB247-BA247-AZ247</f>
        <v>131.61699999999993</v>
      </c>
      <c r="BD247" s="205">
        <f>BD246+BD245+BD241</f>
        <v>466.71199999999993</v>
      </c>
      <c r="BE247" s="137">
        <f t="shared" ref="BE247" si="737">BE246+BE245+BE241</f>
        <v>134</v>
      </c>
      <c r="BF247" s="137">
        <f t="shared" ref="BF247:BH247" si="738">BF246+BF245+BF241</f>
        <v>134</v>
      </c>
      <c r="BG247" s="137">
        <f t="shared" si="738"/>
        <v>134</v>
      </c>
      <c r="BH247" s="137">
        <f t="shared" si="738"/>
        <v>134</v>
      </c>
      <c r="BI247" s="205">
        <f>BI246+BI245+BI241</f>
        <v>536</v>
      </c>
      <c r="BJ247" s="137"/>
      <c r="BK247" s="137"/>
      <c r="BL247" s="137"/>
      <c r="BM247" s="137"/>
      <c r="BN247" s="205">
        <f>BN246+BN245+BN241</f>
        <v>359.5</v>
      </c>
      <c r="BO247" s="137"/>
      <c r="BP247" s="137"/>
      <c r="BQ247" s="137"/>
      <c r="BR247" s="137"/>
      <c r="BS247" s="205">
        <f>BS246+BS245+BS241</f>
        <v>359.5</v>
      </c>
      <c r="BT247" s="44"/>
      <c r="BU247" s="368"/>
      <c r="BV247" s="232"/>
      <c r="BW247" s="44"/>
      <c r="BX247" s="44"/>
      <c r="BY247" s="44"/>
      <c r="BZ247" s="531"/>
      <c r="CA247" s="331"/>
      <c r="CB247" s="331"/>
      <c r="CC247" s="331"/>
      <c r="CD247" s="331"/>
      <c r="CE247" s="331"/>
      <c r="CF247" s="331"/>
      <c r="CG247" s="319"/>
      <c r="CH247" s="368"/>
      <c r="CI247" s="44"/>
      <c r="CJ247"/>
      <c r="CK247"/>
      <c r="CL247"/>
      <c r="CM247"/>
      <c r="CN247"/>
      <c r="CO247"/>
      <c r="CP247" s="137"/>
    </row>
    <row r="248" spans="1:94" s="133" customFormat="1" ht="12.75" customHeight="1" x14ac:dyDescent="0.2">
      <c r="A248" s="256" t="s">
        <v>235</v>
      </c>
      <c r="B248" s="80"/>
      <c r="C248" s="80"/>
      <c r="D248" s="80"/>
      <c r="E248" s="80"/>
      <c r="F248" s="187">
        <f t="shared" ref="F248:AP248" si="739">F247+F236+F225</f>
        <v>-26.018999999999998</v>
      </c>
      <c r="G248" s="80">
        <f t="shared" si="739"/>
        <v>-14.464</v>
      </c>
      <c r="H248" s="80">
        <f t="shared" si="739"/>
        <v>-19.090999999999998</v>
      </c>
      <c r="I248" s="80">
        <f t="shared" si="739"/>
        <v>-9.3759999999999977</v>
      </c>
      <c r="J248" s="80">
        <f t="shared" si="739"/>
        <v>4.5569999999999933</v>
      </c>
      <c r="K248" s="187">
        <f t="shared" si="739"/>
        <v>-38.374000000000002</v>
      </c>
      <c r="L248" s="80">
        <f t="shared" si="739"/>
        <v>26.466000000000001</v>
      </c>
      <c r="M248" s="80">
        <f t="shared" si="739"/>
        <v>11.717000000000002</v>
      </c>
      <c r="N248" s="80">
        <f t="shared" si="739"/>
        <v>8.7779999999999987</v>
      </c>
      <c r="O248" s="80">
        <f t="shared" si="739"/>
        <v>22.957000000000004</v>
      </c>
      <c r="P248" s="187">
        <f t="shared" si="739"/>
        <v>69.918000000000006</v>
      </c>
      <c r="Q248" s="80">
        <f t="shared" si="739"/>
        <v>-0.59799999999999986</v>
      </c>
      <c r="R248" s="80">
        <f t="shared" si="739"/>
        <v>-13.677</v>
      </c>
      <c r="S248" s="80">
        <f t="shared" si="739"/>
        <v>1.7859999999999996</v>
      </c>
      <c r="T248" s="80">
        <f t="shared" si="739"/>
        <v>9.0559999999999974</v>
      </c>
      <c r="U248" s="187">
        <f t="shared" si="739"/>
        <v>-3.4329999999999998</v>
      </c>
      <c r="V248" s="80">
        <f t="shared" si="739"/>
        <v>-20.113</v>
      </c>
      <c r="W248" s="80">
        <f t="shared" si="739"/>
        <v>185.857</v>
      </c>
      <c r="X248" s="80">
        <f t="shared" si="739"/>
        <v>102.515</v>
      </c>
      <c r="Y248" s="80">
        <f t="shared" si="739"/>
        <v>-7.6449999999999889</v>
      </c>
      <c r="Z248" s="187">
        <f t="shared" si="739"/>
        <v>260.61400000000003</v>
      </c>
      <c r="AA248" s="80">
        <f t="shared" si="739"/>
        <v>77.503000000000014</v>
      </c>
      <c r="AB248" s="80">
        <f t="shared" si="739"/>
        <v>-5.8540000000000063</v>
      </c>
      <c r="AC248" s="80">
        <f t="shared" si="739"/>
        <v>-15.834</v>
      </c>
      <c r="AD248" s="80">
        <f t="shared" si="739"/>
        <v>17.672999999999998</v>
      </c>
      <c r="AE248" s="187">
        <f t="shared" si="739"/>
        <v>73.488</v>
      </c>
      <c r="AF248" s="80">
        <f t="shared" si="739"/>
        <v>66.668000000000006</v>
      </c>
      <c r="AG248" s="80">
        <f t="shared" si="739"/>
        <v>41.420999999999992</v>
      </c>
      <c r="AH248" s="80">
        <f t="shared" si="739"/>
        <v>15.290000000000003</v>
      </c>
      <c r="AI248" s="80">
        <f t="shared" si="739"/>
        <v>-9.5639999999999858</v>
      </c>
      <c r="AJ248" s="187">
        <f t="shared" si="739"/>
        <v>113.81500000000004</v>
      </c>
      <c r="AK248" s="80">
        <f t="shared" si="739"/>
        <v>13.35799999999999</v>
      </c>
      <c r="AL248" s="80">
        <f>AL247+AL236+AL225</f>
        <v>23.250000000000007</v>
      </c>
      <c r="AM248" s="80">
        <f>AM247+AM236+AM225</f>
        <v>21.234999999999971</v>
      </c>
      <c r="AN248" s="80">
        <f t="shared" si="739"/>
        <v>44.310000000000059</v>
      </c>
      <c r="AO248" s="187">
        <f t="shared" si="739"/>
        <v>102.15300000000002</v>
      </c>
      <c r="AP248" s="80">
        <f t="shared" si="739"/>
        <v>108.84299999999999</v>
      </c>
      <c r="AQ248" s="80">
        <f t="shared" ref="AQ248:BC248" si="740">AQ247+AQ236+AQ225</f>
        <v>27.696999999999974</v>
      </c>
      <c r="AR248" s="80">
        <f t="shared" si="740"/>
        <v>-20.427999999999997</v>
      </c>
      <c r="AS248" s="80">
        <f t="shared" si="740"/>
        <v>54.735999999999962</v>
      </c>
      <c r="AT248" s="187">
        <f t="shared" si="740"/>
        <v>170.84800000000001</v>
      </c>
      <c r="AU248" s="80">
        <f t="shared" si="740"/>
        <v>99.176999999999992</v>
      </c>
      <c r="AV248" s="80">
        <f t="shared" si="740"/>
        <v>111.27100000000002</v>
      </c>
      <c r="AW248" s="80">
        <f t="shared" si="740"/>
        <v>-188.17600000000004</v>
      </c>
      <c r="AX248" s="80">
        <f t="shared" si="740"/>
        <v>-125.00399999999996</v>
      </c>
      <c r="AY248" s="187">
        <f t="shared" si="740"/>
        <v>-102.73199999999997</v>
      </c>
      <c r="AZ248" s="80">
        <f t="shared" si="740"/>
        <v>117.21000000000001</v>
      </c>
      <c r="BA248" s="80">
        <f t="shared" si="740"/>
        <v>51.043000000000006</v>
      </c>
      <c r="BB248" s="80">
        <f t="shared" si="740"/>
        <v>-5.4730000000000416</v>
      </c>
      <c r="BC248" s="80">
        <f t="shared" si="740"/>
        <v>-62.830999999999989</v>
      </c>
      <c r="BD248" s="183">
        <f>BD247+BD236+BD225</f>
        <v>99.949000000000353</v>
      </c>
      <c r="BE248" s="66">
        <f t="shared" ref="BE248:BH248" si="741">BE247+BE236+BE225</f>
        <v>188.0082492883779</v>
      </c>
      <c r="BF248" s="66">
        <f t="shared" si="741"/>
        <v>-339.46738522167789</v>
      </c>
      <c r="BG248" s="66">
        <f t="shared" si="741"/>
        <v>-3.3572097360548838</v>
      </c>
      <c r="BH248" s="66">
        <f t="shared" si="741"/>
        <v>226.17477160663276</v>
      </c>
      <c r="BI248" s="183">
        <f>BI247+BI236+BI225</f>
        <v>71.358425937278071</v>
      </c>
      <c r="BJ248" s="66"/>
      <c r="BK248" s="66"/>
      <c r="BL248" s="66"/>
      <c r="BM248" s="66"/>
      <c r="BN248" s="183">
        <f>BN247+BN236+BN225</f>
        <v>-5.4743966006130904</v>
      </c>
      <c r="BO248" s="66"/>
      <c r="BP248" s="66"/>
      <c r="BQ248" s="66"/>
      <c r="BR248" s="66"/>
      <c r="BS248" s="183">
        <f>BS247+BS236+BS225</f>
        <v>163.17336665572884</v>
      </c>
      <c r="BT248" s="71"/>
      <c r="BU248" s="378"/>
      <c r="BV248" s="240"/>
      <c r="BW248" s="71"/>
      <c r="BX248" s="71"/>
      <c r="BY248" s="71"/>
      <c r="BZ248" s="531"/>
      <c r="CA248" s="535"/>
      <c r="CB248" s="535"/>
      <c r="CC248" s="535"/>
      <c r="CD248" s="535"/>
      <c r="CE248" s="535"/>
      <c r="CF248" s="535"/>
      <c r="CG248" s="535"/>
      <c r="CH248" s="378"/>
      <c r="CI248" s="71"/>
      <c r="CJ248"/>
      <c r="CK248"/>
      <c r="CL248"/>
      <c r="CM248"/>
      <c r="CN248"/>
      <c r="CO248"/>
      <c r="CP248" s="423"/>
    </row>
    <row r="249" spans="1:94" s="133" customFormat="1" ht="12.75" customHeight="1" x14ac:dyDescent="0.2">
      <c r="A249" s="256" t="s">
        <v>236</v>
      </c>
      <c r="B249" s="80"/>
      <c r="C249" s="80"/>
      <c r="D249" s="80"/>
      <c r="E249" s="80"/>
      <c r="F249" s="874">
        <v>0</v>
      </c>
      <c r="G249" s="529">
        <v>0</v>
      </c>
      <c r="H249" s="529">
        <v>0</v>
      </c>
      <c r="I249" s="529">
        <v>0</v>
      </c>
      <c r="J249" s="529">
        <v>0</v>
      </c>
      <c r="K249" s="187">
        <f>SUM(G249:J249)</f>
        <v>0</v>
      </c>
      <c r="L249" s="529">
        <v>0</v>
      </c>
      <c r="M249" s="529">
        <v>0</v>
      </c>
      <c r="N249" s="529">
        <v>0</v>
      </c>
      <c r="O249" s="529">
        <v>0</v>
      </c>
      <c r="P249" s="187">
        <f>SUM(L249:O249)</f>
        <v>0</v>
      </c>
      <c r="Q249" s="529">
        <v>0</v>
      </c>
      <c r="R249" s="529">
        <v>0</v>
      </c>
      <c r="S249" s="529">
        <v>0</v>
      </c>
      <c r="T249" s="529">
        <v>0</v>
      </c>
      <c r="U249" s="187">
        <f>SUM(Q249:T249)</f>
        <v>0</v>
      </c>
      <c r="V249" s="529">
        <v>0</v>
      </c>
      <c r="W249" s="529">
        <v>0</v>
      </c>
      <c r="X249" s="529">
        <v>0</v>
      </c>
      <c r="Y249" s="529">
        <v>0</v>
      </c>
      <c r="Z249" s="187">
        <f>SUM(V249:Y249)</f>
        <v>0</v>
      </c>
      <c r="AA249" s="529">
        <v>0</v>
      </c>
      <c r="AB249" s="529">
        <v>0</v>
      </c>
      <c r="AC249" s="529">
        <v>0</v>
      </c>
      <c r="AD249" s="529">
        <v>0</v>
      </c>
      <c r="AE249" s="187">
        <f>SUM(AA249:AD249)</f>
        <v>0</v>
      </c>
      <c r="AF249" s="529">
        <v>0</v>
      </c>
      <c r="AG249" s="529">
        <v>0</v>
      </c>
      <c r="AH249" s="529">
        <v>0</v>
      </c>
      <c r="AI249" s="529">
        <v>0</v>
      </c>
      <c r="AJ249" s="187">
        <f>SUM(AF249:AI249)</f>
        <v>0</v>
      </c>
      <c r="AK249" s="529">
        <v>0</v>
      </c>
      <c r="AL249" s="529">
        <v>0</v>
      </c>
      <c r="AM249" s="529">
        <v>0</v>
      </c>
      <c r="AN249" s="529">
        <f>AM249</f>
        <v>0</v>
      </c>
      <c r="AO249" s="187">
        <f>SUM(AK249:AN249)</f>
        <v>0</v>
      </c>
      <c r="AP249" s="529">
        <f>AO249</f>
        <v>0</v>
      </c>
      <c r="AQ249" s="529">
        <f>AP249</f>
        <v>0</v>
      </c>
      <c r="AR249" s="529">
        <f>AQ249</f>
        <v>0</v>
      </c>
      <c r="AS249" s="529">
        <f>AR249</f>
        <v>0</v>
      </c>
      <c r="AT249" s="187">
        <f>SUM(AP249:AS249)</f>
        <v>0</v>
      </c>
      <c r="AU249" s="529">
        <f>AT249</f>
        <v>0</v>
      </c>
      <c r="AV249" s="529">
        <f>AU249</f>
        <v>0</v>
      </c>
      <c r="AW249" s="529">
        <f>AV249</f>
        <v>0</v>
      </c>
      <c r="AX249" s="529">
        <f>AW249</f>
        <v>0</v>
      </c>
      <c r="AY249" s="183">
        <f>+SUM(AU249:AX249)</f>
        <v>0</v>
      </c>
      <c r="AZ249" s="529">
        <v>0</v>
      </c>
      <c r="BA249" s="529">
        <v>0</v>
      </c>
      <c r="BB249" s="529">
        <v>0</v>
      </c>
      <c r="BC249" s="529">
        <v>0</v>
      </c>
      <c r="BD249" s="183">
        <f>+SUM(AZ249:BC249)</f>
        <v>0</v>
      </c>
      <c r="BE249" s="771">
        <f t="shared" ref="BE249:BH249" si="742">BD249</f>
        <v>0</v>
      </c>
      <c r="BF249" s="771">
        <f t="shared" si="742"/>
        <v>0</v>
      </c>
      <c r="BG249" s="771">
        <f t="shared" si="742"/>
        <v>0</v>
      </c>
      <c r="BH249" s="771">
        <f t="shared" si="742"/>
        <v>0</v>
      </c>
      <c r="BI249" s="183">
        <f>+SUM(BE249:BH249)</f>
        <v>0</v>
      </c>
      <c r="BJ249" s="66"/>
      <c r="BK249" s="66"/>
      <c r="BL249" s="66"/>
      <c r="BM249" s="66"/>
      <c r="BN249" s="317">
        <f>BI249</f>
        <v>0</v>
      </c>
      <c r="BO249" s="66"/>
      <c r="BP249" s="66"/>
      <c r="BQ249" s="66"/>
      <c r="BR249" s="66"/>
      <c r="BS249" s="317">
        <f>BN249</f>
        <v>0</v>
      </c>
      <c r="BT249" s="71"/>
      <c r="BU249" s="378"/>
      <c r="BV249" s="240"/>
      <c r="BW249" s="71"/>
      <c r="BX249" s="71"/>
      <c r="BY249" s="71"/>
      <c r="BZ249" s="531"/>
      <c r="CA249" s="535"/>
      <c r="CB249" s="535"/>
      <c r="CC249" s="535"/>
      <c r="CD249" s="535"/>
      <c r="CE249" s="535"/>
      <c r="CF249" s="535"/>
      <c r="CG249" s="535"/>
      <c r="CH249" s="378"/>
      <c r="CI249" s="71"/>
      <c r="CJ249"/>
      <c r="CK249"/>
      <c r="CL249"/>
      <c r="CM249"/>
      <c r="CN249"/>
      <c r="CO249"/>
      <c r="CP249" s="423"/>
    </row>
    <row r="250" spans="1:94" s="133" customFormat="1" ht="12.75" customHeight="1" x14ac:dyDescent="0.2">
      <c r="A250" s="589" t="s">
        <v>237</v>
      </c>
      <c r="B250" s="429"/>
      <c r="C250" s="429"/>
      <c r="D250" s="429"/>
      <c r="E250" s="429"/>
      <c r="F250" s="878">
        <v>80.622</v>
      </c>
      <c r="G250" s="429">
        <f>F251</f>
        <v>54.603000000000002</v>
      </c>
      <c r="H250" s="429">
        <f>G251</f>
        <v>40.139000000000003</v>
      </c>
      <c r="I250" s="429">
        <f>H251</f>
        <v>21.048000000000005</v>
      </c>
      <c r="J250" s="429">
        <f>I251</f>
        <v>11.672000000000008</v>
      </c>
      <c r="K250" s="430">
        <f>F251</f>
        <v>54.603000000000002</v>
      </c>
      <c r="L250" s="429">
        <f t="shared" ref="L250:Y250" si="743">K251</f>
        <v>16.228999999999999</v>
      </c>
      <c r="M250" s="429">
        <f t="shared" si="743"/>
        <v>42.695</v>
      </c>
      <c r="N250" s="429">
        <f t="shared" si="743"/>
        <v>54.412000000000006</v>
      </c>
      <c r="O250" s="429">
        <f t="shared" si="743"/>
        <v>63.190000000000005</v>
      </c>
      <c r="P250" s="430">
        <f>K251</f>
        <v>16.228999999999999</v>
      </c>
      <c r="Q250" s="429">
        <f t="shared" si="743"/>
        <v>86.147000000000006</v>
      </c>
      <c r="R250" s="429">
        <f t="shared" si="743"/>
        <v>85.549000000000007</v>
      </c>
      <c r="S250" s="429">
        <f t="shared" si="743"/>
        <v>71.872000000000014</v>
      </c>
      <c r="T250" s="429">
        <f t="shared" si="743"/>
        <v>73.658000000000015</v>
      </c>
      <c r="U250" s="430">
        <f>P251</f>
        <v>86.147000000000006</v>
      </c>
      <c r="V250" s="429">
        <f>U251</f>
        <v>82.713999999999999</v>
      </c>
      <c r="W250" s="429">
        <f>V251</f>
        <v>62.600999999999999</v>
      </c>
      <c r="X250" s="429">
        <f t="shared" si="743"/>
        <v>248.458</v>
      </c>
      <c r="Y250" s="429">
        <f t="shared" si="743"/>
        <v>350.97300000000001</v>
      </c>
      <c r="Z250" s="430">
        <f>U251</f>
        <v>82.713999999999999</v>
      </c>
      <c r="AA250" s="429">
        <f>Z251</f>
        <v>343.32800000000003</v>
      </c>
      <c r="AB250" s="429">
        <f>AA251</f>
        <v>420.83100000000002</v>
      </c>
      <c r="AC250" s="429">
        <f>AB251</f>
        <v>414.97700000000003</v>
      </c>
      <c r="AD250" s="429">
        <f>AC251</f>
        <v>399.14300000000003</v>
      </c>
      <c r="AE250" s="430">
        <f>Z251</f>
        <v>343.32800000000003</v>
      </c>
      <c r="AF250" s="429">
        <f>AE251</f>
        <v>416.81600000000003</v>
      </c>
      <c r="AG250" s="429">
        <f>AF251</f>
        <v>483.48400000000004</v>
      </c>
      <c r="AH250" s="429">
        <f>AG251</f>
        <v>524.90499999999997</v>
      </c>
      <c r="AI250" s="429">
        <f>AH251</f>
        <v>540.19499999999994</v>
      </c>
      <c r="AJ250" s="430">
        <f>AE251</f>
        <v>416.81600000000003</v>
      </c>
      <c r="AK250" s="429">
        <f>AJ251</f>
        <v>530.63100000000009</v>
      </c>
      <c r="AL250" s="429">
        <f>AK251</f>
        <v>543.98900000000003</v>
      </c>
      <c r="AM250" s="429">
        <f>AL251</f>
        <v>567.23900000000003</v>
      </c>
      <c r="AN250" s="429">
        <f>AM251</f>
        <v>588.47400000000005</v>
      </c>
      <c r="AO250" s="430">
        <f>AJ251</f>
        <v>530.63100000000009</v>
      </c>
      <c r="AP250" s="429">
        <f>AO251</f>
        <v>632.78400000000011</v>
      </c>
      <c r="AQ250" s="429">
        <f>AP251</f>
        <v>741.62700000000007</v>
      </c>
      <c r="AR250" s="429">
        <f>AQ251</f>
        <v>769.32400000000007</v>
      </c>
      <c r="AS250" s="429">
        <f>AR251</f>
        <v>748.89600000000007</v>
      </c>
      <c r="AT250" s="430">
        <f>AO251</f>
        <v>632.78400000000011</v>
      </c>
      <c r="AU250" s="429">
        <f>AT251</f>
        <v>803.63200000000006</v>
      </c>
      <c r="AV250" s="429">
        <f>AU251</f>
        <v>902.80900000000008</v>
      </c>
      <c r="AW250" s="429">
        <f>AV251</f>
        <v>1014.0800000000002</v>
      </c>
      <c r="AX250" s="429">
        <f>AW251</f>
        <v>825.90400000000011</v>
      </c>
      <c r="AY250" s="430">
        <f>AT251</f>
        <v>803.63200000000006</v>
      </c>
      <c r="AZ250" s="429">
        <f t="shared" ref="AZ250:BH250" si="744">AY251</f>
        <v>700.90000000000009</v>
      </c>
      <c r="BA250" s="429">
        <f t="shared" si="744"/>
        <v>818.11000000000013</v>
      </c>
      <c r="BB250" s="429">
        <f t="shared" si="744"/>
        <v>869.15300000000013</v>
      </c>
      <c r="BC250" s="429">
        <f t="shared" si="744"/>
        <v>863.68000000000006</v>
      </c>
      <c r="BD250" s="815">
        <f>AY251</f>
        <v>700.90000000000009</v>
      </c>
      <c r="BE250" s="788">
        <f t="shared" si="744"/>
        <v>800.84900000000039</v>
      </c>
      <c r="BF250" s="788">
        <f t="shared" si="744"/>
        <v>988.85724928837828</v>
      </c>
      <c r="BG250" s="788">
        <f t="shared" si="744"/>
        <v>649.3898640667004</v>
      </c>
      <c r="BH250" s="788">
        <f t="shared" si="744"/>
        <v>646.03265433064553</v>
      </c>
      <c r="BI250" s="815">
        <f>BD251</f>
        <v>800.84900000000039</v>
      </c>
      <c r="BJ250" s="788"/>
      <c r="BK250" s="788"/>
      <c r="BL250" s="788"/>
      <c r="BM250" s="788"/>
      <c r="BN250" s="815">
        <f>BI251</f>
        <v>872.20742593727846</v>
      </c>
      <c r="BO250" s="788"/>
      <c r="BP250" s="788"/>
      <c r="BQ250" s="788"/>
      <c r="BR250" s="788"/>
      <c r="BS250" s="815">
        <f>BN251</f>
        <v>866.73302933666537</v>
      </c>
      <c r="BT250" s="71"/>
      <c r="BU250" s="378"/>
      <c r="BV250" s="240"/>
      <c r="BW250" s="71"/>
      <c r="BX250" s="71"/>
      <c r="BY250" s="71"/>
      <c r="BZ250" s="531"/>
      <c r="CA250" s="535"/>
      <c r="CB250" s="535"/>
      <c r="CC250" s="535"/>
      <c r="CD250" s="535"/>
      <c r="CE250" s="535"/>
      <c r="CF250" s="535"/>
      <c r="CG250" s="535"/>
      <c r="CH250" s="378"/>
      <c r="CI250" s="71"/>
      <c r="CJ250"/>
      <c r="CK250"/>
      <c r="CL250"/>
      <c r="CM250"/>
      <c r="CN250"/>
      <c r="CO250"/>
      <c r="CP250" s="431"/>
    </row>
    <row r="251" spans="1:94" s="521" customFormat="1" ht="12.75" customHeight="1" x14ac:dyDescent="0.2">
      <c r="A251" s="138" t="s">
        <v>238</v>
      </c>
      <c r="B251" s="524"/>
      <c r="C251" s="524"/>
      <c r="D251" s="524"/>
      <c r="E251" s="524"/>
      <c r="F251" s="527">
        <f t="shared" ref="F251:AJ251" si="745">F250+F249+F248</f>
        <v>54.603000000000002</v>
      </c>
      <c r="G251" s="528">
        <f t="shared" si="745"/>
        <v>40.139000000000003</v>
      </c>
      <c r="H251" s="528">
        <f t="shared" si="745"/>
        <v>21.048000000000005</v>
      </c>
      <c r="I251" s="528">
        <f t="shared" si="745"/>
        <v>11.672000000000008</v>
      </c>
      <c r="J251" s="528">
        <f t="shared" si="745"/>
        <v>16.228999999999999</v>
      </c>
      <c r="K251" s="527">
        <f t="shared" si="745"/>
        <v>16.228999999999999</v>
      </c>
      <c r="L251" s="528">
        <f t="shared" si="745"/>
        <v>42.695</v>
      </c>
      <c r="M251" s="528">
        <f t="shared" si="745"/>
        <v>54.412000000000006</v>
      </c>
      <c r="N251" s="528">
        <f t="shared" si="745"/>
        <v>63.190000000000005</v>
      </c>
      <c r="O251" s="528">
        <f t="shared" si="745"/>
        <v>86.147000000000006</v>
      </c>
      <c r="P251" s="527">
        <f t="shared" si="745"/>
        <v>86.147000000000006</v>
      </c>
      <c r="Q251" s="528">
        <f t="shared" si="745"/>
        <v>85.549000000000007</v>
      </c>
      <c r="R251" s="528">
        <f t="shared" si="745"/>
        <v>71.872000000000014</v>
      </c>
      <c r="S251" s="528">
        <f t="shared" si="745"/>
        <v>73.658000000000015</v>
      </c>
      <c r="T251" s="528">
        <f t="shared" si="745"/>
        <v>82.714000000000013</v>
      </c>
      <c r="U251" s="527">
        <f t="shared" si="745"/>
        <v>82.713999999999999</v>
      </c>
      <c r="V251" s="528">
        <f t="shared" si="745"/>
        <v>62.600999999999999</v>
      </c>
      <c r="W251" s="528">
        <f t="shared" si="745"/>
        <v>248.458</v>
      </c>
      <c r="X251" s="528">
        <f t="shared" si="745"/>
        <v>350.97300000000001</v>
      </c>
      <c r="Y251" s="528">
        <f t="shared" si="745"/>
        <v>343.32800000000003</v>
      </c>
      <c r="Z251" s="527">
        <f t="shared" si="745"/>
        <v>343.32800000000003</v>
      </c>
      <c r="AA251" s="528">
        <f>AA250+AA249+AA248</f>
        <v>420.83100000000002</v>
      </c>
      <c r="AB251" s="528">
        <f>AB250+AB249+AB248</f>
        <v>414.97700000000003</v>
      </c>
      <c r="AC251" s="528">
        <f>AC250+AC249+AC248</f>
        <v>399.14300000000003</v>
      </c>
      <c r="AD251" s="528">
        <f>AD250+AD249+AD248</f>
        <v>416.81600000000003</v>
      </c>
      <c r="AE251" s="527">
        <f t="shared" si="745"/>
        <v>416.81600000000003</v>
      </c>
      <c r="AF251" s="528">
        <f>AF250+AF249+AF248</f>
        <v>483.48400000000004</v>
      </c>
      <c r="AG251" s="528">
        <f>AG250+AG249+AG248</f>
        <v>524.90499999999997</v>
      </c>
      <c r="AH251" s="528">
        <f>AH250+AH249+AH248</f>
        <v>540.19499999999994</v>
      </c>
      <c r="AI251" s="528">
        <f>AI250+AI249+AI248</f>
        <v>530.63099999999997</v>
      </c>
      <c r="AJ251" s="527">
        <f t="shared" si="745"/>
        <v>530.63100000000009</v>
      </c>
      <c r="AK251" s="528">
        <f t="shared" ref="AK251:AT251" si="746">AK250+AK249+AK248</f>
        <v>543.98900000000003</v>
      </c>
      <c r="AL251" s="528">
        <f t="shared" si="746"/>
        <v>567.23900000000003</v>
      </c>
      <c r="AM251" s="528">
        <f>AM250+AM249+AM248</f>
        <v>588.47400000000005</v>
      </c>
      <c r="AN251" s="528">
        <f t="shared" si="746"/>
        <v>632.78400000000011</v>
      </c>
      <c r="AO251" s="527">
        <f t="shared" si="746"/>
        <v>632.78400000000011</v>
      </c>
      <c r="AP251" s="528">
        <f t="shared" si="746"/>
        <v>741.62700000000007</v>
      </c>
      <c r="AQ251" s="528">
        <f t="shared" si="746"/>
        <v>769.32400000000007</v>
      </c>
      <c r="AR251" s="528">
        <f t="shared" si="746"/>
        <v>748.89600000000007</v>
      </c>
      <c r="AS251" s="528">
        <f t="shared" si="746"/>
        <v>803.63200000000006</v>
      </c>
      <c r="AT251" s="527">
        <f t="shared" si="746"/>
        <v>803.63200000000006</v>
      </c>
      <c r="AU251" s="528">
        <f>AU250+AU249+AU248</f>
        <v>902.80900000000008</v>
      </c>
      <c r="AV251" s="528">
        <f>AV250+AV249+AV248</f>
        <v>1014.0800000000002</v>
      </c>
      <c r="AW251" s="528">
        <f>AW250+AW249+AW248</f>
        <v>825.90400000000011</v>
      </c>
      <c r="AX251" s="528">
        <f>AX250+AX249+AX248</f>
        <v>700.90000000000009</v>
      </c>
      <c r="AY251" s="527">
        <f>AY250+AY249+AY248</f>
        <v>700.90000000000009</v>
      </c>
      <c r="AZ251" s="528">
        <f t="shared" ref="AZ251:BC251" si="747">AZ250+AZ249+AZ248</f>
        <v>818.11000000000013</v>
      </c>
      <c r="BA251" s="528">
        <f t="shared" si="747"/>
        <v>869.15300000000013</v>
      </c>
      <c r="BB251" s="528">
        <f t="shared" si="747"/>
        <v>863.68000000000006</v>
      </c>
      <c r="BC251" s="528">
        <f t="shared" si="747"/>
        <v>800.84900000000005</v>
      </c>
      <c r="BD251" s="527">
        <f>BD250+BD249+BD248</f>
        <v>800.84900000000039</v>
      </c>
      <c r="BE251" s="528">
        <f t="shared" ref="BE251:BH251" si="748">BE250+BE249+BE248</f>
        <v>988.85724928837828</v>
      </c>
      <c r="BF251" s="528">
        <f t="shared" si="748"/>
        <v>649.3898640667004</v>
      </c>
      <c r="BG251" s="528">
        <f t="shared" si="748"/>
        <v>646.03265433064553</v>
      </c>
      <c r="BH251" s="528">
        <f t="shared" si="748"/>
        <v>872.20742593727823</v>
      </c>
      <c r="BI251" s="527">
        <f>BI250+BI249+BI248</f>
        <v>872.20742593727846</v>
      </c>
      <c r="BJ251" s="528"/>
      <c r="BK251" s="528"/>
      <c r="BL251" s="528"/>
      <c r="BM251" s="528"/>
      <c r="BN251" s="527">
        <f>BN250+BN249+BN248</f>
        <v>866.73302933666537</v>
      </c>
      <c r="BO251" s="528"/>
      <c r="BP251" s="528"/>
      <c r="BQ251" s="528"/>
      <c r="BR251" s="528"/>
      <c r="BS251" s="527">
        <f>BS250+BS249+BS248</f>
        <v>1029.9063959923942</v>
      </c>
      <c r="BT251" s="92"/>
      <c r="BU251" s="518"/>
      <c r="BV251" s="519"/>
      <c r="BW251" s="92"/>
      <c r="BX251" s="92"/>
      <c r="BY251" s="92"/>
      <c r="BZ251" s="550"/>
      <c r="CA251" s="326"/>
      <c r="CB251" s="535"/>
      <c r="CC251" s="535"/>
      <c r="CD251" s="535"/>
      <c r="CE251" s="535"/>
      <c r="CF251" s="326"/>
      <c r="CG251" s="326"/>
      <c r="CH251" s="518"/>
      <c r="CI251" s="92"/>
      <c r="CJ251"/>
      <c r="CK251"/>
      <c r="CL251"/>
      <c r="CM251"/>
      <c r="CN251"/>
      <c r="CO251"/>
      <c r="CP251" s="525"/>
    </row>
    <row r="252" spans="1:94" s="4" customFormat="1" ht="12.75" customHeight="1" x14ac:dyDescent="0.2">
      <c r="A252" s="8" t="s">
        <v>239</v>
      </c>
      <c r="B252" s="78"/>
      <c r="C252" s="78"/>
      <c r="D252" s="78"/>
      <c r="E252" s="78"/>
      <c r="F252" s="206"/>
      <c r="G252" s="78"/>
      <c r="H252" s="78"/>
      <c r="I252" s="78"/>
      <c r="J252" s="78"/>
      <c r="K252" s="206"/>
      <c r="L252" s="78"/>
      <c r="M252" s="78"/>
      <c r="N252" s="78"/>
      <c r="O252" s="78"/>
      <c r="P252" s="206"/>
      <c r="Q252" s="78"/>
      <c r="R252" s="78"/>
      <c r="S252" s="78"/>
      <c r="T252" s="78"/>
      <c r="U252" s="206"/>
      <c r="V252" s="78"/>
      <c r="W252" s="78"/>
      <c r="X252" s="78"/>
      <c r="Y252" s="78"/>
      <c r="Z252" s="449"/>
      <c r="AA252" s="78"/>
      <c r="AB252" s="78"/>
      <c r="AC252" s="78"/>
      <c r="AD252" s="78"/>
      <c r="AE252" s="206"/>
      <c r="AF252" s="78"/>
      <c r="AG252" s="78"/>
      <c r="AH252" s="78"/>
      <c r="AI252" s="78"/>
      <c r="AJ252" s="206"/>
      <c r="AK252" s="78"/>
      <c r="AL252" s="78"/>
      <c r="AM252" s="78"/>
      <c r="AN252" s="78"/>
      <c r="AO252" s="206"/>
      <c r="AP252" s="78"/>
      <c r="AQ252" s="78"/>
      <c r="AR252" s="78"/>
      <c r="AS252" s="78"/>
      <c r="AT252" s="206"/>
      <c r="AU252" s="78"/>
      <c r="AV252" s="78"/>
      <c r="AW252" s="78"/>
      <c r="AX252" s="78"/>
      <c r="AY252" s="206"/>
      <c r="AZ252" s="78"/>
      <c r="BA252" s="78"/>
      <c r="BB252" s="78"/>
      <c r="BC252" s="78"/>
      <c r="BD252" s="206"/>
      <c r="BE252" s="78"/>
      <c r="BF252" s="78"/>
      <c r="BG252" s="78"/>
      <c r="BH252" s="78"/>
      <c r="BI252" s="206"/>
      <c r="BJ252" s="78"/>
      <c r="BK252" s="78"/>
      <c r="BL252" s="78"/>
      <c r="BM252" s="78"/>
      <c r="BN252" s="206"/>
      <c r="BO252" s="78"/>
      <c r="BP252" s="78"/>
      <c r="BQ252" s="78"/>
      <c r="BR252" s="78"/>
      <c r="BS252" s="206"/>
      <c r="BT252" s="253"/>
      <c r="BU252" s="379"/>
      <c r="BV252" s="285"/>
      <c r="BW252" s="253"/>
      <c r="BX252" s="253"/>
      <c r="BY252" s="253"/>
      <c r="BZ252" s="434"/>
      <c r="CA252" s="337"/>
      <c r="CB252" s="535"/>
      <c r="CC252" s="535"/>
      <c r="CD252" s="535"/>
      <c r="CE252" s="535"/>
      <c r="CF252" s="337"/>
      <c r="CG252" s="337"/>
      <c r="CH252" s="379"/>
      <c r="CI252" s="253"/>
      <c r="CJ252"/>
      <c r="CK252"/>
      <c r="CL252"/>
      <c r="CM252"/>
      <c r="CN252"/>
      <c r="CO252"/>
      <c r="CP252" s="425"/>
    </row>
    <row r="253" spans="1:94" s="254" customFormat="1" ht="12.75" customHeight="1" x14ac:dyDescent="0.2">
      <c r="A253" s="9" t="s">
        <v>240</v>
      </c>
      <c r="B253" s="9"/>
      <c r="C253" s="9"/>
      <c r="D253" s="9"/>
      <c r="E253" s="9"/>
      <c r="F253" s="165"/>
      <c r="G253" s="9"/>
      <c r="H253" s="9"/>
      <c r="I253" s="9"/>
      <c r="J253" s="9"/>
      <c r="K253" s="165"/>
      <c r="L253" s="9"/>
      <c r="M253" s="9"/>
      <c r="N253" s="9"/>
      <c r="O253" s="9"/>
      <c r="P253" s="165"/>
      <c r="Q253" s="9"/>
      <c r="R253" s="9"/>
      <c r="S253" s="9"/>
      <c r="T253" s="9"/>
      <c r="U253" s="165"/>
      <c r="V253" s="9"/>
      <c r="W253" s="9"/>
      <c r="X253" s="9"/>
      <c r="Y253" s="9"/>
      <c r="Z253" s="165"/>
      <c r="AA253" s="9"/>
      <c r="AB253" s="9"/>
      <c r="AC253" s="9"/>
      <c r="AD253" s="9"/>
      <c r="AE253" s="165"/>
      <c r="AF253" s="9"/>
      <c r="AG253" s="9"/>
      <c r="AH253" s="9"/>
      <c r="AI253" s="9"/>
      <c r="AJ253" s="165"/>
      <c r="AK253" s="9"/>
      <c r="AL253" s="9"/>
      <c r="AM253" s="9"/>
      <c r="AN253" s="9"/>
      <c r="AO253" s="165"/>
      <c r="AP253" s="9"/>
      <c r="AQ253" s="9"/>
      <c r="AR253" s="9"/>
      <c r="AS253" s="9"/>
      <c r="AT253" s="165"/>
      <c r="AU253" s="9"/>
      <c r="AV253" s="9"/>
      <c r="AW253" s="9"/>
      <c r="AX253" s="9"/>
      <c r="AY253" s="165"/>
      <c r="AZ253" s="9"/>
      <c r="BA253" s="9"/>
      <c r="BB253" s="9"/>
      <c r="BC253" s="9"/>
      <c r="BD253" s="165"/>
      <c r="BE253" s="9"/>
      <c r="BF253" s="9"/>
      <c r="BG253" s="9"/>
      <c r="BH253" s="9"/>
      <c r="BI253" s="165"/>
      <c r="BJ253" s="9"/>
      <c r="BK253" s="9"/>
      <c r="BL253" s="9"/>
      <c r="BM253" s="9"/>
      <c r="BN253" s="165"/>
      <c r="BO253" s="9"/>
      <c r="BP253" s="9"/>
      <c r="BQ253" s="9"/>
      <c r="BR253" s="9"/>
      <c r="BS253" s="165"/>
      <c r="BT253" s="249"/>
      <c r="BU253" s="8"/>
      <c r="BV253" s="280"/>
      <c r="BW253" s="249"/>
      <c r="BX253" s="249"/>
      <c r="BY253" s="249"/>
      <c r="BZ253" s="432"/>
      <c r="CA253" s="320"/>
      <c r="CB253" s="535"/>
      <c r="CC253" s="535"/>
      <c r="CD253" s="535"/>
      <c r="CE253" s="535"/>
      <c r="CF253" s="320"/>
      <c r="CG253" s="320"/>
      <c r="CH253" s="8"/>
      <c r="CI253" s="249"/>
      <c r="CJ253"/>
      <c r="CK253"/>
      <c r="CL253"/>
      <c r="CM253"/>
      <c r="CN253"/>
      <c r="CO253"/>
      <c r="CP253" s="320"/>
    </row>
    <row r="254" spans="1:94" s="256" customFormat="1" ht="12.75" customHeight="1" x14ac:dyDescent="0.2">
      <c r="A254" s="51" t="s">
        <v>241</v>
      </c>
      <c r="B254" s="66"/>
      <c r="C254" s="66"/>
      <c r="D254" s="66"/>
      <c r="E254" s="66"/>
      <c r="F254" s="183">
        <f>F251</f>
        <v>54.603000000000002</v>
      </c>
      <c r="G254" s="66">
        <f t="shared" ref="G254:U254" si="749">G251</f>
        <v>40.139000000000003</v>
      </c>
      <c r="H254" s="66">
        <f t="shared" si="749"/>
        <v>21.048000000000005</v>
      </c>
      <c r="I254" s="66">
        <f t="shared" si="749"/>
        <v>11.672000000000008</v>
      </c>
      <c r="J254" s="66">
        <f t="shared" si="749"/>
        <v>16.228999999999999</v>
      </c>
      <c r="K254" s="183">
        <f t="shared" si="749"/>
        <v>16.228999999999999</v>
      </c>
      <c r="L254" s="66">
        <f t="shared" si="749"/>
        <v>42.695</v>
      </c>
      <c r="M254" s="66">
        <f t="shared" si="749"/>
        <v>54.412000000000006</v>
      </c>
      <c r="N254" s="66">
        <f t="shared" si="749"/>
        <v>63.190000000000005</v>
      </c>
      <c r="O254" s="66">
        <f t="shared" si="749"/>
        <v>86.147000000000006</v>
      </c>
      <c r="P254" s="183">
        <f t="shared" si="749"/>
        <v>86.147000000000006</v>
      </c>
      <c r="Q254" s="66">
        <f t="shared" si="749"/>
        <v>85.549000000000007</v>
      </c>
      <c r="R254" s="66">
        <f t="shared" si="749"/>
        <v>71.872000000000014</v>
      </c>
      <c r="S254" s="66">
        <f t="shared" si="749"/>
        <v>73.658000000000015</v>
      </c>
      <c r="T254" s="66">
        <f>T251</f>
        <v>82.714000000000013</v>
      </c>
      <c r="U254" s="183">
        <f t="shared" si="749"/>
        <v>82.713999999999999</v>
      </c>
      <c r="V254" s="66">
        <f t="shared" ref="V254:AE254" si="750">V251</f>
        <v>62.600999999999999</v>
      </c>
      <c r="W254" s="66">
        <f t="shared" si="750"/>
        <v>248.458</v>
      </c>
      <c r="X254" s="66">
        <f t="shared" si="750"/>
        <v>350.97300000000001</v>
      </c>
      <c r="Y254" s="66">
        <f t="shared" si="750"/>
        <v>343.32800000000003</v>
      </c>
      <c r="Z254" s="183">
        <f t="shared" si="750"/>
        <v>343.32800000000003</v>
      </c>
      <c r="AA254" s="66">
        <f>AA251</f>
        <v>420.83100000000002</v>
      </c>
      <c r="AB254" s="66">
        <f>AB251</f>
        <v>414.97700000000003</v>
      </c>
      <c r="AC254" s="66">
        <f>AC251</f>
        <v>399.14300000000003</v>
      </c>
      <c r="AD254" s="66">
        <f>AD251</f>
        <v>416.81600000000003</v>
      </c>
      <c r="AE254" s="183">
        <f t="shared" si="750"/>
        <v>416.81600000000003</v>
      </c>
      <c r="AF254" s="66">
        <f t="shared" ref="AF254:AP254" si="751">AF251</f>
        <v>483.48400000000004</v>
      </c>
      <c r="AG254" s="66">
        <f t="shared" si="751"/>
        <v>524.90499999999997</v>
      </c>
      <c r="AH254" s="66">
        <f t="shared" si="751"/>
        <v>540.19499999999994</v>
      </c>
      <c r="AI254" s="66">
        <f t="shared" si="751"/>
        <v>530.63099999999997</v>
      </c>
      <c r="AJ254" s="183">
        <f t="shared" si="751"/>
        <v>530.63100000000009</v>
      </c>
      <c r="AK254" s="66">
        <f t="shared" si="751"/>
        <v>543.98900000000003</v>
      </c>
      <c r="AL254" s="66">
        <f>AL251</f>
        <v>567.23900000000003</v>
      </c>
      <c r="AM254" s="66">
        <f>AM251</f>
        <v>588.47400000000005</v>
      </c>
      <c r="AN254" s="66">
        <f t="shared" si="751"/>
        <v>632.78400000000011</v>
      </c>
      <c r="AO254" s="183">
        <f t="shared" si="751"/>
        <v>632.78400000000011</v>
      </c>
      <c r="AP254" s="66">
        <f t="shared" si="751"/>
        <v>741.62700000000007</v>
      </c>
      <c r="AQ254" s="66">
        <f t="shared" ref="AQ254:AX254" si="752">AQ251</f>
        <v>769.32400000000007</v>
      </c>
      <c r="AR254" s="66">
        <f t="shared" si="752"/>
        <v>748.89600000000007</v>
      </c>
      <c r="AS254" s="66">
        <f t="shared" si="752"/>
        <v>803.63200000000006</v>
      </c>
      <c r="AT254" s="183">
        <f t="shared" si="752"/>
        <v>803.63200000000006</v>
      </c>
      <c r="AU254" s="66">
        <f t="shared" si="752"/>
        <v>902.80900000000008</v>
      </c>
      <c r="AV254" s="66">
        <f t="shared" si="752"/>
        <v>1014.0800000000002</v>
      </c>
      <c r="AW254" s="66">
        <f t="shared" si="752"/>
        <v>825.90400000000011</v>
      </c>
      <c r="AX254" s="66">
        <f t="shared" si="752"/>
        <v>700.90000000000009</v>
      </c>
      <c r="AY254" s="183">
        <f t="shared" ref="AY254:BD254" si="753">AY251</f>
        <v>700.90000000000009</v>
      </c>
      <c r="AZ254" s="66">
        <f t="shared" si="753"/>
        <v>818.11000000000013</v>
      </c>
      <c r="BA254" s="66">
        <f t="shared" si="753"/>
        <v>869.15300000000013</v>
      </c>
      <c r="BB254" s="66">
        <f t="shared" si="753"/>
        <v>863.68000000000006</v>
      </c>
      <c r="BC254" s="66">
        <f t="shared" si="753"/>
        <v>800.84900000000005</v>
      </c>
      <c r="BD254" s="183">
        <f t="shared" si="753"/>
        <v>800.84900000000039</v>
      </c>
      <c r="BE254" s="66">
        <f t="shared" ref="BE254:BI254" si="754">BE251</f>
        <v>988.85724928837828</v>
      </c>
      <c r="BF254" s="66">
        <f t="shared" si="754"/>
        <v>649.3898640667004</v>
      </c>
      <c r="BG254" s="66">
        <f t="shared" si="754"/>
        <v>646.03265433064553</v>
      </c>
      <c r="BH254" s="66">
        <f t="shared" si="754"/>
        <v>872.20742593727823</v>
      </c>
      <c r="BI254" s="183">
        <f t="shared" si="754"/>
        <v>872.20742593727846</v>
      </c>
      <c r="BJ254" s="66"/>
      <c r="BK254" s="66"/>
      <c r="BL254" s="66"/>
      <c r="BM254" s="66"/>
      <c r="BN254" s="183">
        <f>BN251</f>
        <v>866.73302933666537</v>
      </c>
      <c r="BO254" s="66"/>
      <c r="BP254" s="66"/>
      <c r="BQ254" s="66"/>
      <c r="BR254" s="66"/>
      <c r="BS254" s="183">
        <f>BS251</f>
        <v>1029.9063959923942</v>
      </c>
      <c r="BT254" s="72"/>
      <c r="BU254" s="373"/>
      <c r="BV254" s="238"/>
      <c r="BW254" s="72"/>
      <c r="BX254" s="72"/>
      <c r="BY254" s="72"/>
      <c r="BZ254" s="531"/>
      <c r="CA254" s="331"/>
      <c r="CB254" s="331"/>
      <c r="CC254" s="331"/>
      <c r="CD254" s="331"/>
      <c r="CE254" s="331"/>
      <c r="CF254" s="331"/>
      <c r="CG254" s="331"/>
      <c r="CH254" s="373"/>
      <c r="CI254" s="72"/>
      <c r="CJ254"/>
      <c r="CK254"/>
      <c r="CL254"/>
      <c r="CM254"/>
      <c r="CN254"/>
      <c r="CO254"/>
      <c r="CP254" s="418"/>
    </row>
    <row r="255" spans="1:94" s="256" customFormat="1" ht="12.75" customHeight="1" x14ac:dyDescent="0.2">
      <c r="A255" s="51" t="s">
        <v>242</v>
      </c>
      <c r="B255" s="66"/>
      <c r="C255" s="66"/>
      <c r="D255" s="66"/>
      <c r="E255" s="66"/>
      <c r="F255" s="874">
        <f>37.511-F258</f>
        <v>1.1000000000002785E-2</v>
      </c>
      <c r="G255" s="861">
        <v>0</v>
      </c>
      <c r="H255" s="861">
        <v>0</v>
      </c>
      <c r="I255" s="861">
        <v>0</v>
      </c>
      <c r="J255" s="861">
        <v>0</v>
      </c>
      <c r="K255" s="183">
        <f>72.808-K258</f>
        <v>7.9999999999955662E-3</v>
      </c>
      <c r="L255" s="861">
        <v>0</v>
      </c>
      <c r="M255" s="861">
        <v>0</v>
      </c>
      <c r="N255" s="861">
        <v>0</v>
      </c>
      <c r="O255" s="861">
        <v>0</v>
      </c>
      <c r="P255" s="183">
        <f>O255</f>
        <v>0</v>
      </c>
      <c r="Q255" s="861">
        <v>0</v>
      </c>
      <c r="R255" s="861">
        <v>0</v>
      </c>
      <c r="S255" s="861">
        <f>73.658-S254</f>
        <v>0</v>
      </c>
      <c r="T255" s="861">
        <v>0</v>
      </c>
      <c r="U255" s="183">
        <f t="shared" ref="U255:Z255" si="755">T255</f>
        <v>0</v>
      </c>
      <c r="V255" s="861">
        <v>0</v>
      </c>
      <c r="W255" s="861">
        <v>0</v>
      </c>
      <c r="X255" s="861">
        <v>0</v>
      </c>
      <c r="Y255" s="861">
        <f t="shared" si="755"/>
        <v>0</v>
      </c>
      <c r="Z255" s="183">
        <f t="shared" si="755"/>
        <v>0</v>
      </c>
      <c r="AA255" s="861">
        <f>Z255</f>
        <v>0</v>
      </c>
      <c r="AB255" s="861">
        <v>0</v>
      </c>
      <c r="AC255" s="861">
        <v>0</v>
      </c>
      <c r="AD255" s="861">
        <v>0</v>
      </c>
      <c r="AE255" s="183">
        <f>AD255</f>
        <v>0</v>
      </c>
      <c r="AF255" s="861">
        <f>AE255</f>
        <v>0</v>
      </c>
      <c r="AG255" s="861">
        <f>AF255</f>
        <v>0</v>
      </c>
      <c r="AH255" s="861">
        <f>AG255</f>
        <v>0</v>
      </c>
      <c r="AI255" s="861">
        <v>0</v>
      </c>
      <c r="AJ255" s="183">
        <f t="shared" ref="AJ255:AO255" si="756">AI255</f>
        <v>0</v>
      </c>
      <c r="AK255" s="861">
        <f t="shared" si="756"/>
        <v>0</v>
      </c>
      <c r="AL255" s="861">
        <v>0</v>
      </c>
      <c r="AM255" s="861">
        <v>0</v>
      </c>
      <c r="AN255" s="861">
        <v>0</v>
      </c>
      <c r="AO255" s="183">
        <f t="shared" si="756"/>
        <v>0</v>
      </c>
      <c r="AP255" s="861">
        <v>0</v>
      </c>
      <c r="AQ255" s="861">
        <v>0</v>
      </c>
      <c r="AR255" s="861">
        <v>0</v>
      </c>
      <c r="AS255" s="861">
        <v>0</v>
      </c>
      <c r="AT255" s="183">
        <f>AS255</f>
        <v>0</v>
      </c>
      <c r="AU255" s="861">
        <v>0</v>
      </c>
      <c r="AV255" s="861">
        <v>0</v>
      </c>
      <c r="AW255" s="861">
        <v>0</v>
      </c>
      <c r="AX255" s="861">
        <v>0</v>
      </c>
      <c r="AY255" s="183">
        <f>AX255</f>
        <v>0</v>
      </c>
      <c r="AZ255" s="861">
        <f t="shared" ref="AZ255:BH255" si="757">AY255</f>
        <v>0</v>
      </c>
      <c r="BA255" s="861">
        <f t="shared" si="757"/>
        <v>0</v>
      </c>
      <c r="BB255" s="861">
        <f t="shared" si="757"/>
        <v>0</v>
      </c>
      <c r="BC255" s="861">
        <f t="shared" si="757"/>
        <v>0</v>
      </c>
      <c r="BD255" s="183">
        <f>BC255</f>
        <v>0</v>
      </c>
      <c r="BE255" s="136">
        <f t="shared" si="757"/>
        <v>0</v>
      </c>
      <c r="BF255" s="136">
        <f t="shared" si="757"/>
        <v>0</v>
      </c>
      <c r="BG255" s="136">
        <f t="shared" si="757"/>
        <v>0</v>
      </c>
      <c r="BH255" s="136">
        <f t="shared" si="757"/>
        <v>0</v>
      </c>
      <c r="BI255" s="183">
        <f>BH255</f>
        <v>0</v>
      </c>
      <c r="BJ255" s="66"/>
      <c r="BK255" s="66"/>
      <c r="BL255" s="136"/>
      <c r="BM255" s="136"/>
      <c r="BN255" s="183">
        <f>BI255</f>
        <v>0</v>
      </c>
      <c r="BO255" s="66"/>
      <c r="BP255" s="66"/>
      <c r="BQ255" s="136"/>
      <c r="BR255" s="136"/>
      <c r="BS255" s="183">
        <f>BN255</f>
        <v>0</v>
      </c>
      <c r="BT255" s="72"/>
      <c r="BU255" s="373"/>
      <c r="BV255" s="238"/>
      <c r="BW255" s="72"/>
      <c r="BX255" s="72"/>
      <c r="BY255" s="72"/>
      <c r="BZ255" s="531"/>
      <c r="CA255" s="331"/>
      <c r="CB255" s="331"/>
      <c r="CC255" s="331"/>
      <c r="CD255" s="331"/>
      <c r="CE255" s="331"/>
      <c r="CF255" s="331"/>
      <c r="CG255" s="331"/>
      <c r="CH255" s="373"/>
      <c r="CI255" s="72"/>
      <c r="CJ255"/>
      <c r="CK255"/>
      <c r="CL255"/>
      <c r="CM255"/>
      <c r="CN255"/>
      <c r="CO255"/>
      <c r="CP255" s="418"/>
    </row>
    <row r="256" spans="1:94" s="140" customFormat="1" ht="12.75" customHeight="1" x14ac:dyDescent="0.2">
      <c r="A256" s="13" t="s">
        <v>243</v>
      </c>
      <c r="B256" s="45"/>
      <c r="C256" s="45"/>
      <c r="D256" s="45"/>
      <c r="E256" s="45"/>
      <c r="F256" s="178">
        <f t="shared" ref="F256:AH256" si="758">F255+F254</f>
        <v>54.614000000000004</v>
      </c>
      <c r="G256" s="45">
        <f t="shared" si="758"/>
        <v>40.139000000000003</v>
      </c>
      <c r="H256" s="45">
        <f t="shared" si="758"/>
        <v>21.048000000000005</v>
      </c>
      <c r="I256" s="45">
        <f t="shared" si="758"/>
        <v>11.672000000000008</v>
      </c>
      <c r="J256" s="45">
        <f t="shared" si="758"/>
        <v>16.228999999999999</v>
      </c>
      <c r="K256" s="178">
        <f t="shared" si="758"/>
        <v>16.236999999999995</v>
      </c>
      <c r="L256" s="45">
        <f t="shared" si="758"/>
        <v>42.695</v>
      </c>
      <c r="M256" s="45">
        <f t="shared" si="758"/>
        <v>54.412000000000006</v>
      </c>
      <c r="N256" s="45">
        <f t="shared" si="758"/>
        <v>63.190000000000005</v>
      </c>
      <c r="O256" s="45">
        <f t="shared" si="758"/>
        <v>86.147000000000006</v>
      </c>
      <c r="P256" s="178">
        <f t="shared" si="758"/>
        <v>86.147000000000006</v>
      </c>
      <c r="Q256" s="45">
        <f t="shared" si="758"/>
        <v>85.549000000000007</v>
      </c>
      <c r="R256" s="45">
        <f t="shared" si="758"/>
        <v>71.872000000000014</v>
      </c>
      <c r="S256" s="45">
        <f t="shared" si="758"/>
        <v>73.658000000000015</v>
      </c>
      <c r="T256" s="45">
        <f t="shared" si="758"/>
        <v>82.714000000000013</v>
      </c>
      <c r="U256" s="178">
        <f t="shared" si="758"/>
        <v>82.713999999999999</v>
      </c>
      <c r="V256" s="45">
        <f t="shared" si="758"/>
        <v>62.600999999999999</v>
      </c>
      <c r="W256" s="45">
        <f t="shared" si="758"/>
        <v>248.458</v>
      </c>
      <c r="X256" s="45">
        <f t="shared" si="758"/>
        <v>350.97300000000001</v>
      </c>
      <c r="Y256" s="45">
        <f t="shared" si="758"/>
        <v>343.32800000000003</v>
      </c>
      <c r="Z256" s="178">
        <f t="shared" si="758"/>
        <v>343.32800000000003</v>
      </c>
      <c r="AA256" s="45">
        <f t="shared" si="758"/>
        <v>420.83100000000002</v>
      </c>
      <c r="AB256" s="45">
        <f t="shared" si="758"/>
        <v>414.97700000000003</v>
      </c>
      <c r="AC256" s="45">
        <f t="shared" si="758"/>
        <v>399.14300000000003</v>
      </c>
      <c r="AD256" s="45">
        <f t="shared" si="758"/>
        <v>416.81600000000003</v>
      </c>
      <c r="AE256" s="178">
        <f t="shared" si="758"/>
        <v>416.81600000000003</v>
      </c>
      <c r="AF256" s="45">
        <f t="shared" si="758"/>
        <v>483.48400000000004</v>
      </c>
      <c r="AG256" s="45">
        <f t="shared" si="758"/>
        <v>524.90499999999997</v>
      </c>
      <c r="AH256" s="45">
        <f t="shared" si="758"/>
        <v>540.19499999999994</v>
      </c>
      <c r="AI256" s="45">
        <f t="shared" ref="AI256:AP256" si="759">AI255+AI254</f>
        <v>530.63099999999997</v>
      </c>
      <c r="AJ256" s="178">
        <f t="shared" si="759"/>
        <v>530.63100000000009</v>
      </c>
      <c r="AK256" s="45">
        <f t="shared" si="759"/>
        <v>543.98900000000003</v>
      </c>
      <c r="AL256" s="45">
        <f>AL255+AL254</f>
        <v>567.23900000000003</v>
      </c>
      <c r="AM256" s="45">
        <f>AM255+AM254</f>
        <v>588.47400000000005</v>
      </c>
      <c r="AN256" s="45">
        <f t="shared" si="759"/>
        <v>632.78400000000011</v>
      </c>
      <c r="AO256" s="178">
        <f t="shared" si="759"/>
        <v>632.78400000000011</v>
      </c>
      <c r="AP256" s="45">
        <f t="shared" si="759"/>
        <v>741.62700000000007</v>
      </c>
      <c r="AQ256" s="45">
        <f t="shared" ref="AQ256:AX256" si="760">AQ255+AQ254</f>
        <v>769.32400000000007</v>
      </c>
      <c r="AR256" s="45">
        <f t="shared" si="760"/>
        <v>748.89600000000007</v>
      </c>
      <c r="AS256" s="45">
        <f t="shared" si="760"/>
        <v>803.63200000000006</v>
      </c>
      <c r="AT256" s="178">
        <f t="shared" si="760"/>
        <v>803.63200000000006</v>
      </c>
      <c r="AU256" s="45">
        <f t="shared" si="760"/>
        <v>902.80900000000008</v>
      </c>
      <c r="AV256" s="45">
        <f t="shared" si="760"/>
        <v>1014.0800000000002</v>
      </c>
      <c r="AW256" s="45">
        <f t="shared" si="760"/>
        <v>825.90400000000011</v>
      </c>
      <c r="AX256" s="45">
        <f t="shared" si="760"/>
        <v>700.90000000000009</v>
      </c>
      <c r="AY256" s="178">
        <f t="shared" ref="AY256:BD256" si="761">AY255+AY254</f>
        <v>700.90000000000009</v>
      </c>
      <c r="AZ256" s="45">
        <f t="shared" si="761"/>
        <v>818.11000000000013</v>
      </c>
      <c r="BA256" s="45">
        <f t="shared" si="761"/>
        <v>869.15300000000013</v>
      </c>
      <c r="BB256" s="45">
        <f t="shared" si="761"/>
        <v>863.68000000000006</v>
      </c>
      <c r="BC256" s="45">
        <f t="shared" si="761"/>
        <v>800.84900000000005</v>
      </c>
      <c r="BD256" s="178">
        <f t="shared" si="761"/>
        <v>800.84900000000039</v>
      </c>
      <c r="BE256" s="45">
        <f t="shared" ref="BE256:BI256" si="762">BE255+BE254</f>
        <v>988.85724928837828</v>
      </c>
      <c r="BF256" s="45">
        <f t="shared" si="762"/>
        <v>649.3898640667004</v>
      </c>
      <c r="BG256" s="45">
        <f t="shared" si="762"/>
        <v>646.03265433064553</v>
      </c>
      <c r="BH256" s="45">
        <f t="shared" si="762"/>
        <v>872.20742593727823</v>
      </c>
      <c r="BI256" s="178">
        <f t="shared" si="762"/>
        <v>872.20742593727846</v>
      </c>
      <c r="BJ256" s="45"/>
      <c r="BK256" s="45"/>
      <c r="BL256" s="45"/>
      <c r="BM256" s="45"/>
      <c r="BN256" s="178">
        <f>BN255+BN254</f>
        <v>866.73302933666537</v>
      </c>
      <c r="BO256" s="45"/>
      <c r="BP256" s="45"/>
      <c r="BQ256" s="45"/>
      <c r="BR256" s="45"/>
      <c r="BS256" s="178">
        <f>BS255+BS254</f>
        <v>1029.9063959923942</v>
      </c>
      <c r="BT256" s="44"/>
      <c r="BU256" s="368"/>
      <c r="BV256" s="232"/>
      <c r="BW256" s="44"/>
      <c r="BX256" s="44"/>
      <c r="BY256" s="44"/>
      <c r="BZ256" s="531"/>
      <c r="CA256" s="331"/>
      <c r="CB256" s="331"/>
      <c r="CC256" s="331"/>
      <c r="CD256" s="331"/>
      <c r="CE256" s="331"/>
      <c r="CF256" s="331"/>
      <c r="CG256" s="331"/>
      <c r="CH256" s="368"/>
      <c r="CI256" s="44"/>
      <c r="CJ256"/>
      <c r="CK256"/>
      <c r="CL256"/>
      <c r="CM256"/>
      <c r="CN256"/>
      <c r="CO256"/>
      <c r="CP256" s="407"/>
    </row>
    <row r="257" spans="1:94" s="260" customFormat="1" ht="12.75" customHeight="1" x14ac:dyDescent="0.2">
      <c r="A257" s="590" t="s">
        <v>244</v>
      </c>
      <c r="B257" s="18"/>
      <c r="C257" s="18"/>
      <c r="D257" s="18"/>
      <c r="E257" s="18"/>
      <c r="F257" s="166">
        <f>F256/F181</f>
        <v>7.1619658097241384E-2</v>
      </c>
      <c r="G257" s="18"/>
      <c r="H257" s="18"/>
      <c r="I257" s="18"/>
      <c r="J257" s="18">
        <f t="shared" ref="J257:AP257" si="763">J256/J181</f>
        <v>2.0573351114807133E-2</v>
      </c>
      <c r="K257" s="166">
        <f t="shared" si="763"/>
        <v>2.0583492639788238E-2</v>
      </c>
      <c r="L257" s="18">
        <f t="shared" si="763"/>
        <v>5.6565777009347028E-2</v>
      </c>
      <c r="M257" s="18">
        <f t="shared" si="763"/>
        <v>7.4539436912994403E-2</v>
      </c>
      <c r="N257" s="18">
        <f t="shared" si="763"/>
        <v>8.9587111024786392E-2</v>
      </c>
      <c r="O257" s="18">
        <f t="shared" si="763"/>
        <v>0.12306081401527921</v>
      </c>
      <c r="P257" s="166">
        <f t="shared" si="763"/>
        <v>0.12306081401527923</v>
      </c>
      <c r="Q257" s="18">
        <f t="shared" si="763"/>
        <v>0.11980662662329025</v>
      </c>
      <c r="R257" s="18">
        <f t="shared" si="763"/>
        <v>0.10108423076436232</v>
      </c>
      <c r="S257" s="18">
        <f t="shared" si="763"/>
        <v>0.10007091832437121</v>
      </c>
      <c r="T257" s="18">
        <f t="shared" si="763"/>
        <v>0.10587188725976461</v>
      </c>
      <c r="U257" s="166">
        <f t="shared" si="763"/>
        <v>0.1058718872597646</v>
      </c>
      <c r="V257" s="18">
        <f t="shared" si="763"/>
        <v>7.5434161248186471E-2</v>
      </c>
      <c r="W257" s="18">
        <f t="shared" si="763"/>
        <v>0.26761725448294282</v>
      </c>
      <c r="X257" s="18">
        <f t="shared" si="763"/>
        <v>0.34630925328599743</v>
      </c>
      <c r="Y257" s="18">
        <f t="shared" si="763"/>
        <v>0.32051203059039229</v>
      </c>
      <c r="Z257" s="166">
        <f t="shared" si="763"/>
        <v>0.3205120305903924</v>
      </c>
      <c r="AA257" s="18">
        <f t="shared" si="763"/>
        <v>0.36914384760253999</v>
      </c>
      <c r="AB257" s="18">
        <f t="shared" si="763"/>
        <v>0.3428326652545034</v>
      </c>
      <c r="AC257" s="18">
        <f t="shared" si="763"/>
        <v>0.31576794703327987</v>
      </c>
      <c r="AD257" s="18">
        <f t="shared" si="763"/>
        <v>0.31615579025294532</v>
      </c>
      <c r="AE257" s="166">
        <f t="shared" si="763"/>
        <v>0.31615579025294532</v>
      </c>
      <c r="AF257" s="18">
        <f t="shared" si="763"/>
        <v>0.34849963599143685</v>
      </c>
      <c r="AG257" s="18">
        <f t="shared" si="763"/>
        <v>0.36241310004895189</v>
      </c>
      <c r="AH257" s="18">
        <f t="shared" si="763"/>
        <v>0.34568741044968576</v>
      </c>
      <c r="AI257" s="18">
        <f t="shared" si="763"/>
        <v>0.3207421488952088</v>
      </c>
      <c r="AJ257" s="166">
        <f t="shared" si="763"/>
        <v>0.32074214889520886</v>
      </c>
      <c r="AK257" s="18">
        <f t="shared" si="763"/>
        <v>0.3159172674926754</v>
      </c>
      <c r="AL257" s="18">
        <f>AL256/AL181</f>
        <v>0.31271221153151746</v>
      </c>
      <c r="AM257" s="18">
        <f>AM256/AM181</f>
        <v>0.31350551948588157</v>
      </c>
      <c r="AN257" s="18">
        <f t="shared" si="763"/>
        <v>0.32759916752088969</v>
      </c>
      <c r="AO257" s="166">
        <f t="shared" si="763"/>
        <v>0.32759916752088969</v>
      </c>
      <c r="AP257" s="18">
        <f t="shared" si="763"/>
        <v>0.37324932509557374</v>
      </c>
      <c r="AQ257" s="18">
        <f t="shared" ref="AQ257:AX257" si="764">AQ256/AQ181</f>
        <v>0.37692892615108436</v>
      </c>
      <c r="AR257" s="18">
        <f t="shared" si="764"/>
        <v>0.35727998229095503</v>
      </c>
      <c r="AS257" s="18">
        <f t="shared" si="764"/>
        <v>0.37527241890240465</v>
      </c>
      <c r="AT257" s="166">
        <f t="shared" si="764"/>
        <v>0.37527241890240459</v>
      </c>
      <c r="AU257" s="18">
        <f t="shared" si="764"/>
        <v>0.41294846749069525</v>
      </c>
      <c r="AV257" s="18">
        <f t="shared" si="764"/>
        <v>0.45741854961043554</v>
      </c>
      <c r="AW257" s="18">
        <f t="shared" si="764"/>
        <v>0.36488706846315655</v>
      </c>
      <c r="AX257" s="18">
        <f t="shared" si="764"/>
        <v>0.30185757180583961</v>
      </c>
      <c r="AY257" s="166">
        <f t="shared" ref="AY257:BD257" si="765">AY256/AY181</f>
        <v>0.30185757180583961</v>
      </c>
      <c r="AZ257" s="18">
        <f t="shared" si="765"/>
        <v>0.34438631075885723</v>
      </c>
      <c r="BA257" s="18">
        <f t="shared" si="765"/>
        <v>0.34862228190676059</v>
      </c>
      <c r="BB257" s="18">
        <f t="shared" si="765"/>
        <v>0.33750551971270143</v>
      </c>
      <c r="BC257" s="18">
        <f t="shared" si="765"/>
        <v>0.30247357483912246</v>
      </c>
      <c r="BD257" s="166">
        <f t="shared" si="765"/>
        <v>0.30247357483912257</v>
      </c>
      <c r="BE257" s="18">
        <f t="shared" ref="BE257:BI257" si="766">BE256/BE181</f>
        <v>0.35785442653051175</v>
      </c>
      <c r="BF257" s="18">
        <f t="shared" si="766"/>
        <v>0.22489777703330527</v>
      </c>
      <c r="BG257" s="18">
        <f t="shared" si="766"/>
        <v>0.20957597735298267</v>
      </c>
      <c r="BH257" s="18">
        <f t="shared" si="766"/>
        <v>0.27321233350895036</v>
      </c>
      <c r="BI257" s="166">
        <f t="shared" si="766"/>
        <v>0.27321233350895036</v>
      </c>
      <c r="BJ257" s="18"/>
      <c r="BK257" s="18"/>
      <c r="BL257" s="18"/>
      <c r="BM257" s="18"/>
      <c r="BN257" s="166">
        <f>BN256/BN181</f>
        <v>0.24024658406616869</v>
      </c>
      <c r="BO257" s="18"/>
      <c r="BP257" s="18"/>
      <c r="BQ257" s="18"/>
      <c r="BR257" s="18"/>
      <c r="BS257" s="166">
        <f>BS256/BS181</f>
        <v>0.25255981795317911</v>
      </c>
      <c r="BT257" s="148"/>
      <c r="BU257" s="356"/>
      <c r="BV257" s="224"/>
      <c r="BW257" s="148"/>
      <c r="BX257" s="148"/>
      <c r="BY257" s="148"/>
      <c r="BZ257" s="531"/>
      <c r="CA257" s="322"/>
      <c r="CB257" s="322"/>
      <c r="CC257" s="322"/>
      <c r="CD257" s="322"/>
      <c r="CE257" s="322"/>
      <c r="CF257" s="322"/>
      <c r="CG257" s="322"/>
      <c r="CH257" s="356"/>
      <c r="CI257" s="148"/>
      <c r="CJ257"/>
      <c r="CK257"/>
      <c r="CL257"/>
      <c r="CM257"/>
      <c r="CN257"/>
      <c r="CO257"/>
      <c r="CP257" s="391"/>
    </row>
    <row r="258" spans="1:94" s="256" customFormat="1" ht="12.75" customHeight="1" x14ac:dyDescent="0.2">
      <c r="A258" s="51" t="s">
        <v>31</v>
      </c>
      <c r="B258" s="66"/>
      <c r="C258" s="66"/>
      <c r="D258" s="66"/>
      <c r="E258" s="66"/>
      <c r="F258" s="874">
        <f>64.2-30+3.3</f>
        <v>37.5</v>
      </c>
      <c r="G258" s="861">
        <v>38.951000000000001</v>
      </c>
      <c r="H258" s="861">
        <v>62.045000000000002</v>
      </c>
      <c r="I258" s="861">
        <v>70.59</v>
      </c>
      <c r="J258" s="861">
        <v>72.808000000000007</v>
      </c>
      <c r="K258" s="183">
        <f>99.4-30+3.4</f>
        <v>72.800000000000011</v>
      </c>
      <c r="L258" s="861">
        <v>65.828000000000003</v>
      </c>
      <c r="M258" s="861">
        <v>61.161000000000001</v>
      </c>
      <c r="N258" s="861">
        <v>45.365000000000002</v>
      </c>
      <c r="O258" s="861">
        <v>52.54</v>
      </c>
      <c r="P258" s="183">
        <f>O258</f>
        <v>52.54</v>
      </c>
      <c r="Q258" s="861">
        <v>88.757999999999996</v>
      </c>
      <c r="R258" s="861">
        <v>80.256</v>
      </c>
      <c r="S258" s="861">
        <v>78.885999999999996</v>
      </c>
      <c r="T258" s="861">
        <v>72.736000000000004</v>
      </c>
      <c r="U258" s="183">
        <f>T258</f>
        <v>72.736000000000004</v>
      </c>
      <c r="V258" s="861">
        <v>126.295</v>
      </c>
      <c r="W258" s="861">
        <v>98.403000000000006</v>
      </c>
      <c r="X258" s="861">
        <v>0</v>
      </c>
      <c r="Y258" s="861">
        <v>0</v>
      </c>
      <c r="Z258" s="183">
        <f>Y258</f>
        <v>0</v>
      </c>
      <c r="AA258" s="861">
        <v>0</v>
      </c>
      <c r="AB258" s="861">
        <v>0</v>
      </c>
      <c r="AC258" s="861">
        <v>0</v>
      </c>
      <c r="AD258" s="861">
        <v>0</v>
      </c>
      <c r="AE258" s="183">
        <f>AD258</f>
        <v>0</v>
      </c>
      <c r="AF258" s="861">
        <v>0</v>
      </c>
      <c r="AG258" s="861">
        <v>0</v>
      </c>
      <c r="AH258" s="861">
        <v>0</v>
      </c>
      <c r="AI258" s="861">
        <v>0</v>
      </c>
      <c r="AJ258" s="183">
        <f>AI258</f>
        <v>0</v>
      </c>
      <c r="AK258" s="861">
        <v>0</v>
      </c>
      <c r="AL258" s="861">
        <v>0</v>
      </c>
      <c r="AM258" s="861">
        <v>0</v>
      </c>
      <c r="AN258" s="861">
        <v>0</v>
      </c>
      <c r="AO258" s="183">
        <f>AN258</f>
        <v>0</v>
      </c>
      <c r="AP258" s="861">
        <v>0</v>
      </c>
      <c r="AQ258" s="861">
        <v>0</v>
      </c>
      <c r="AR258" s="861">
        <v>0</v>
      </c>
      <c r="AS258" s="861">
        <v>0</v>
      </c>
      <c r="AT258" s="183">
        <f>AS258</f>
        <v>0</v>
      </c>
      <c r="AU258" s="861">
        <v>0</v>
      </c>
      <c r="AV258" s="861">
        <v>0</v>
      </c>
      <c r="AW258" s="861">
        <v>0</v>
      </c>
      <c r="AX258" s="861">
        <v>0</v>
      </c>
      <c r="AY258" s="183">
        <f>AX258</f>
        <v>0</v>
      </c>
      <c r="AZ258" s="861">
        <f t="shared" ref="AZ258:BC258" si="767">AZ182*AZ259</f>
        <v>0</v>
      </c>
      <c r="BA258" s="861">
        <f t="shared" si="767"/>
        <v>0</v>
      </c>
      <c r="BB258" s="861">
        <f t="shared" si="767"/>
        <v>0</v>
      </c>
      <c r="BC258" s="861">
        <f t="shared" si="767"/>
        <v>0</v>
      </c>
      <c r="BD258" s="183">
        <f>BC258</f>
        <v>0</v>
      </c>
      <c r="BE258" s="66">
        <f t="shared" ref="BE258:BH258" si="768">BE182*BE259</f>
        <v>0</v>
      </c>
      <c r="BF258" s="66">
        <f t="shared" si="768"/>
        <v>0</v>
      </c>
      <c r="BG258" s="66">
        <f t="shared" si="768"/>
        <v>0</v>
      </c>
      <c r="BH258" s="66">
        <f t="shared" si="768"/>
        <v>0</v>
      </c>
      <c r="BI258" s="183">
        <f>BH258</f>
        <v>0</v>
      </c>
      <c r="BJ258" s="66"/>
      <c r="BK258" s="66"/>
      <c r="BL258" s="66"/>
      <c r="BM258" s="66"/>
      <c r="BN258" s="183">
        <f>BN182*BN259</f>
        <v>0</v>
      </c>
      <c r="BO258" s="66"/>
      <c r="BP258" s="66"/>
      <c r="BQ258" s="66"/>
      <c r="BR258" s="66"/>
      <c r="BS258" s="183">
        <f>BS182*BS259</f>
        <v>0</v>
      </c>
      <c r="BT258" s="72"/>
      <c r="BU258" s="373"/>
      <c r="BV258" s="238"/>
      <c r="BW258" s="72"/>
      <c r="BX258" s="72"/>
      <c r="BY258" s="72"/>
      <c r="BZ258" s="531"/>
      <c r="CA258" s="331"/>
      <c r="CB258" s="331"/>
      <c r="CC258" s="331"/>
      <c r="CD258" s="331"/>
      <c r="CE258" s="331"/>
      <c r="CF258" s="331"/>
      <c r="CG258" s="331"/>
      <c r="CH258" s="373"/>
      <c r="CI258" s="72"/>
      <c r="CJ258"/>
      <c r="CK258"/>
      <c r="CL258"/>
      <c r="CM258"/>
      <c r="CN258"/>
      <c r="CO258"/>
      <c r="CP258" s="418"/>
    </row>
    <row r="259" spans="1:94" s="260" customFormat="1" ht="12.75" customHeight="1" x14ac:dyDescent="0.2">
      <c r="A259" s="591" t="s">
        <v>245</v>
      </c>
      <c r="B259" s="18"/>
      <c r="C259" s="18"/>
      <c r="D259" s="18"/>
      <c r="E259" s="18"/>
      <c r="F259" s="166">
        <f>F258/F182</f>
        <v>5.4654843730870803E-2</v>
      </c>
      <c r="G259" s="18"/>
      <c r="H259" s="18"/>
      <c r="I259" s="18"/>
      <c r="J259" s="18">
        <f t="shared" ref="J259:AD259" si="769">J258/J182</f>
        <v>0.11047802290346223</v>
      </c>
      <c r="K259" s="166">
        <f t="shared" si="769"/>
        <v>0.11046588379535285</v>
      </c>
      <c r="L259" s="18">
        <f t="shared" si="769"/>
        <v>0.10718274863799039</v>
      </c>
      <c r="M259" s="18">
        <f t="shared" si="769"/>
        <v>0.10597494139071643</v>
      </c>
      <c r="N259" s="18">
        <f t="shared" si="769"/>
        <v>8.2692609160077146E-2</v>
      </c>
      <c r="O259" s="18">
        <f t="shared" si="769"/>
        <v>9.7989481144391793E-2</v>
      </c>
      <c r="P259" s="166">
        <f t="shared" si="769"/>
        <v>9.7989481144391821E-2</v>
      </c>
      <c r="Q259" s="18">
        <f t="shared" si="769"/>
        <v>0.1645308928727007</v>
      </c>
      <c r="R259" s="18">
        <f t="shared" si="769"/>
        <v>0.15185677145419663</v>
      </c>
      <c r="S259" s="18">
        <f t="shared" si="769"/>
        <v>0.14872589609586509</v>
      </c>
      <c r="T259" s="18">
        <f t="shared" si="769"/>
        <v>0.13520481663441572</v>
      </c>
      <c r="U259" s="166">
        <f t="shared" si="769"/>
        <v>0.13520481663441572</v>
      </c>
      <c r="V259" s="18">
        <f t="shared" si="769"/>
        <v>0.22782949092614643</v>
      </c>
      <c r="W259" s="18">
        <f t="shared" si="769"/>
        <v>0.16174435309162274</v>
      </c>
      <c r="X259" s="18">
        <f t="shared" si="769"/>
        <v>0</v>
      </c>
      <c r="Y259" s="18">
        <f t="shared" si="769"/>
        <v>0</v>
      </c>
      <c r="Z259" s="166">
        <f t="shared" si="769"/>
        <v>0</v>
      </c>
      <c r="AA259" s="18">
        <f t="shared" si="769"/>
        <v>0</v>
      </c>
      <c r="AB259" s="18">
        <f t="shared" si="769"/>
        <v>0</v>
      </c>
      <c r="AC259" s="18">
        <f t="shared" si="769"/>
        <v>0</v>
      </c>
      <c r="AD259" s="18">
        <f t="shared" si="769"/>
        <v>0</v>
      </c>
      <c r="AE259" s="166">
        <f>AE258/AE182</f>
        <v>0</v>
      </c>
      <c r="AF259" s="18">
        <f t="shared" ref="AF259:AU259" si="770">AF258/AF182</f>
        <v>0</v>
      </c>
      <c r="AG259" s="18">
        <f t="shared" si="770"/>
        <v>0</v>
      </c>
      <c r="AH259" s="18">
        <f t="shared" si="770"/>
        <v>0</v>
      </c>
      <c r="AI259" s="18">
        <f t="shared" si="770"/>
        <v>0</v>
      </c>
      <c r="AJ259" s="166">
        <f t="shared" si="770"/>
        <v>0</v>
      </c>
      <c r="AK259" s="18">
        <f t="shared" si="770"/>
        <v>0</v>
      </c>
      <c r="AL259" s="18">
        <f t="shared" si="770"/>
        <v>0</v>
      </c>
      <c r="AM259" s="18">
        <f t="shared" si="770"/>
        <v>0</v>
      </c>
      <c r="AN259" s="18">
        <f t="shared" si="770"/>
        <v>0</v>
      </c>
      <c r="AO259" s="166">
        <f>AO258/AO182</f>
        <v>0</v>
      </c>
      <c r="AP259" s="18">
        <f t="shared" si="770"/>
        <v>0</v>
      </c>
      <c r="AQ259" s="18">
        <f t="shared" si="770"/>
        <v>0</v>
      </c>
      <c r="AR259" s="18">
        <f t="shared" si="770"/>
        <v>0</v>
      </c>
      <c r="AS259" s="18">
        <f t="shared" si="770"/>
        <v>0</v>
      </c>
      <c r="AT259" s="166">
        <f>AT258/AT182</f>
        <v>0</v>
      </c>
      <c r="AU259" s="18">
        <f t="shared" si="770"/>
        <v>0</v>
      </c>
      <c r="AV259" s="18">
        <f t="shared" ref="AV259:AX259" si="771">AV258/AV182</f>
        <v>0</v>
      </c>
      <c r="AW259" s="18">
        <f t="shared" si="771"/>
        <v>0</v>
      </c>
      <c r="AX259" s="18">
        <f t="shared" si="771"/>
        <v>0</v>
      </c>
      <c r="AY259" s="166">
        <f>AY258/AY182</f>
        <v>0</v>
      </c>
      <c r="AZ259" s="18">
        <v>0</v>
      </c>
      <c r="BA259" s="18">
        <v>0</v>
      </c>
      <c r="BB259" s="18">
        <v>0</v>
      </c>
      <c r="BC259" s="18">
        <v>0</v>
      </c>
      <c r="BD259" s="166">
        <f>BD258/BD182</f>
        <v>0</v>
      </c>
      <c r="BE259" s="139">
        <f t="shared" ref="BE259:BH259" si="772">BD259</f>
        <v>0</v>
      </c>
      <c r="BF259" s="139">
        <f t="shared" si="772"/>
        <v>0</v>
      </c>
      <c r="BG259" s="139">
        <f t="shared" si="772"/>
        <v>0</v>
      </c>
      <c r="BH259" s="139">
        <f t="shared" si="772"/>
        <v>0</v>
      </c>
      <c r="BI259" s="166">
        <f>BI258/BI182</f>
        <v>0</v>
      </c>
      <c r="BJ259" s="18"/>
      <c r="BK259" s="18"/>
      <c r="BL259" s="139"/>
      <c r="BM259" s="139"/>
      <c r="BN259" s="214">
        <f>BI259</f>
        <v>0</v>
      </c>
      <c r="BO259" s="18"/>
      <c r="BP259" s="18"/>
      <c r="BQ259" s="139"/>
      <c r="BR259" s="139"/>
      <c r="BS259" s="214">
        <f>BN259</f>
        <v>0</v>
      </c>
      <c r="BT259" s="148"/>
      <c r="BU259" s="356"/>
      <c r="BV259" s="224"/>
      <c r="BW259" s="148"/>
      <c r="BX259" s="148"/>
      <c r="BY259" s="148"/>
      <c r="BZ259" s="531"/>
      <c r="CA259" s="322"/>
      <c r="CB259" s="322"/>
      <c r="CC259" s="322"/>
      <c r="CD259" s="322"/>
      <c r="CE259" s="322"/>
      <c r="CF259" s="322"/>
      <c r="CG259" s="322"/>
      <c r="CH259" s="356"/>
      <c r="CI259" s="148"/>
      <c r="CJ259"/>
      <c r="CK259"/>
      <c r="CL259"/>
      <c r="CM259"/>
      <c r="CN259"/>
      <c r="CO259"/>
      <c r="CP259" s="391"/>
    </row>
    <row r="260" spans="1:94" s="140" customFormat="1" ht="12.75" customHeight="1" x14ac:dyDescent="0.2">
      <c r="A260" s="81" t="s">
        <v>246</v>
      </c>
      <c r="B260" s="45"/>
      <c r="C260" s="45"/>
      <c r="D260" s="45"/>
      <c r="E260" s="45"/>
      <c r="F260" s="178">
        <f>F258+F256</f>
        <v>92.114000000000004</v>
      </c>
      <c r="G260" s="45">
        <f t="shared" ref="G260:U260" si="773">G258+G256</f>
        <v>79.09</v>
      </c>
      <c r="H260" s="45">
        <f t="shared" si="773"/>
        <v>83.093000000000004</v>
      </c>
      <c r="I260" s="45">
        <f t="shared" si="773"/>
        <v>82.262000000000015</v>
      </c>
      <c r="J260" s="45">
        <f t="shared" si="773"/>
        <v>89.037000000000006</v>
      </c>
      <c r="K260" s="178">
        <f t="shared" si="773"/>
        <v>89.037000000000006</v>
      </c>
      <c r="L260" s="45">
        <f t="shared" si="773"/>
        <v>108.523</v>
      </c>
      <c r="M260" s="45">
        <f t="shared" si="773"/>
        <v>115.57300000000001</v>
      </c>
      <c r="N260" s="45">
        <f t="shared" si="773"/>
        <v>108.55500000000001</v>
      </c>
      <c r="O260" s="45">
        <f t="shared" si="773"/>
        <v>138.68700000000001</v>
      </c>
      <c r="P260" s="178">
        <f t="shared" si="773"/>
        <v>138.68700000000001</v>
      </c>
      <c r="Q260" s="45">
        <f t="shared" si="773"/>
        <v>174.30700000000002</v>
      </c>
      <c r="R260" s="45">
        <f t="shared" si="773"/>
        <v>152.12800000000001</v>
      </c>
      <c r="S260" s="45">
        <f t="shared" si="773"/>
        <v>152.54400000000001</v>
      </c>
      <c r="T260" s="45">
        <f t="shared" si="773"/>
        <v>155.45000000000002</v>
      </c>
      <c r="U260" s="178">
        <f t="shared" si="773"/>
        <v>155.44999999999999</v>
      </c>
      <c r="V260" s="45">
        <f t="shared" ref="V260:AE260" si="774">V258+V256</f>
        <v>188.89600000000002</v>
      </c>
      <c r="W260" s="45">
        <f t="shared" si="774"/>
        <v>346.86099999999999</v>
      </c>
      <c r="X260" s="45">
        <f t="shared" si="774"/>
        <v>350.97300000000001</v>
      </c>
      <c r="Y260" s="45">
        <f t="shared" si="774"/>
        <v>343.32800000000003</v>
      </c>
      <c r="Z260" s="178">
        <f t="shared" si="774"/>
        <v>343.32800000000003</v>
      </c>
      <c r="AA260" s="45">
        <f>AA258+AA256</f>
        <v>420.83100000000002</v>
      </c>
      <c r="AB260" s="45">
        <f>AB258+AB256</f>
        <v>414.97700000000003</v>
      </c>
      <c r="AC260" s="45">
        <f>AC258+AC256</f>
        <v>399.14300000000003</v>
      </c>
      <c r="AD260" s="45">
        <f>AD258+AD256</f>
        <v>416.81600000000003</v>
      </c>
      <c r="AE260" s="178">
        <f t="shared" si="774"/>
        <v>416.81600000000003</v>
      </c>
      <c r="AF260" s="45">
        <f t="shared" ref="AF260:AP260" si="775">AF258+AF256</f>
        <v>483.48400000000004</v>
      </c>
      <c r="AG260" s="45">
        <f t="shared" si="775"/>
        <v>524.90499999999997</v>
      </c>
      <c r="AH260" s="45">
        <f t="shared" si="775"/>
        <v>540.19499999999994</v>
      </c>
      <c r="AI260" s="45">
        <f t="shared" si="775"/>
        <v>530.63099999999997</v>
      </c>
      <c r="AJ260" s="178">
        <f t="shared" si="775"/>
        <v>530.63100000000009</v>
      </c>
      <c r="AK260" s="45">
        <f t="shared" si="775"/>
        <v>543.98900000000003</v>
      </c>
      <c r="AL260" s="45">
        <f>AL258+AL256</f>
        <v>567.23900000000003</v>
      </c>
      <c r="AM260" s="45">
        <f>AM258+AM256</f>
        <v>588.47400000000005</v>
      </c>
      <c r="AN260" s="45">
        <f t="shared" si="775"/>
        <v>632.78400000000011</v>
      </c>
      <c r="AO260" s="178">
        <f t="shared" si="775"/>
        <v>632.78400000000011</v>
      </c>
      <c r="AP260" s="45">
        <f t="shared" si="775"/>
        <v>741.62700000000007</v>
      </c>
      <c r="AQ260" s="45">
        <f t="shared" ref="AQ260:AX260" si="776">AQ258+AQ256</f>
        <v>769.32400000000007</v>
      </c>
      <c r="AR260" s="45">
        <f t="shared" si="776"/>
        <v>748.89600000000007</v>
      </c>
      <c r="AS260" s="45">
        <f t="shared" si="776"/>
        <v>803.63200000000006</v>
      </c>
      <c r="AT260" s="178">
        <f t="shared" si="776"/>
        <v>803.63200000000006</v>
      </c>
      <c r="AU260" s="45">
        <f t="shared" si="776"/>
        <v>902.80900000000008</v>
      </c>
      <c r="AV260" s="45">
        <f t="shared" si="776"/>
        <v>1014.0800000000002</v>
      </c>
      <c r="AW260" s="45">
        <f t="shared" si="776"/>
        <v>825.90400000000011</v>
      </c>
      <c r="AX260" s="45">
        <f t="shared" si="776"/>
        <v>700.90000000000009</v>
      </c>
      <c r="AY260" s="178">
        <f t="shared" ref="AY260:BD260" si="777">AY258+AY256</f>
        <v>700.90000000000009</v>
      </c>
      <c r="AZ260" s="45">
        <f t="shared" si="777"/>
        <v>818.11000000000013</v>
      </c>
      <c r="BA260" s="45">
        <f t="shared" si="777"/>
        <v>869.15300000000013</v>
      </c>
      <c r="BB260" s="45">
        <f t="shared" si="777"/>
        <v>863.68000000000006</v>
      </c>
      <c r="BC260" s="45">
        <f t="shared" si="777"/>
        <v>800.84900000000005</v>
      </c>
      <c r="BD260" s="178">
        <f t="shared" si="777"/>
        <v>800.84900000000039</v>
      </c>
      <c r="BE260" s="45">
        <f t="shared" ref="BE260:BI260" si="778">BE258+BE256</f>
        <v>988.85724928837828</v>
      </c>
      <c r="BF260" s="45">
        <f t="shared" si="778"/>
        <v>649.3898640667004</v>
      </c>
      <c r="BG260" s="45">
        <f t="shared" si="778"/>
        <v>646.03265433064553</v>
      </c>
      <c r="BH260" s="45">
        <f t="shared" si="778"/>
        <v>872.20742593727823</v>
      </c>
      <c r="BI260" s="178">
        <f t="shared" si="778"/>
        <v>872.20742593727846</v>
      </c>
      <c r="BJ260" s="45"/>
      <c r="BK260" s="45"/>
      <c r="BL260" s="45"/>
      <c r="BM260" s="45"/>
      <c r="BN260" s="178">
        <f>BN258+BN256</f>
        <v>866.73302933666537</v>
      </c>
      <c r="BO260" s="45"/>
      <c r="BP260" s="45"/>
      <c r="BQ260" s="45"/>
      <c r="BR260" s="45"/>
      <c r="BS260" s="178">
        <f>BS258+BS256</f>
        <v>1029.9063959923942</v>
      </c>
      <c r="BT260" s="44"/>
      <c r="BU260" s="368"/>
      <c r="BV260" s="232"/>
      <c r="BW260" s="44"/>
      <c r="BX260" s="44"/>
      <c r="BY260" s="44"/>
      <c r="BZ260" s="531"/>
      <c r="CA260" s="331"/>
      <c r="CB260" s="331"/>
      <c r="CC260" s="331"/>
      <c r="CD260" s="331"/>
      <c r="CE260" s="331"/>
      <c r="CF260" s="331"/>
      <c r="CG260" s="331"/>
      <c r="CH260" s="368"/>
      <c r="CI260" s="44"/>
      <c r="CJ260"/>
      <c r="CK260"/>
      <c r="CL260"/>
      <c r="CM260"/>
      <c r="CN260"/>
      <c r="CO260"/>
      <c r="CP260" s="407"/>
    </row>
    <row r="261" spans="1:94" s="260" customFormat="1" ht="12.75" customHeight="1" x14ac:dyDescent="0.2">
      <c r="A261" s="590" t="s">
        <v>244</v>
      </c>
      <c r="B261" s="18"/>
      <c r="C261" s="18"/>
      <c r="D261" s="18"/>
      <c r="E261" s="18"/>
      <c r="F261" s="166">
        <f>F260/F181</f>
        <v>0.12079637429906787</v>
      </c>
      <c r="G261" s="18"/>
      <c r="H261" s="18"/>
      <c r="I261" s="18"/>
      <c r="J261" s="18">
        <f t="shared" ref="J261:AP261" si="779">J260/J181</f>
        <v>0.11287136996790208</v>
      </c>
      <c r="K261" s="166">
        <f t="shared" si="779"/>
        <v>0.11287136996790208</v>
      </c>
      <c r="L261" s="18">
        <f t="shared" si="779"/>
        <v>0.14378001682598354</v>
      </c>
      <c r="M261" s="18">
        <f t="shared" si="779"/>
        <v>0.15832438326739509</v>
      </c>
      <c r="N261" s="18">
        <f t="shared" si="779"/>
        <v>0.15390297257945382</v>
      </c>
      <c r="O261" s="18">
        <f t="shared" si="779"/>
        <v>0.19811409698929769</v>
      </c>
      <c r="P261" s="166">
        <f t="shared" si="779"/>
        <v>0.19811409698929772</v>
      </c>
      <c r="Q261" s="18">
        <f t="shared" si="779"/>
        <v>0.24410727965056112</v>
      </c>
      <c r="R261" s="18">
        <f t="shared" si="779"/>
        <v>0.21396012157336528</v>
      </c>
      <c r="S261" s="18">
        <f t="shared" si="779"/>
        <v>0.20724453779457599</v>
      </c>
      <c r="T261" s="18">
        <f t="shared" si="779"/>
        <v>0.1989721797341491</v>
      </c>
      <c r="U261" s="166">
        <f t="shared" si="779"/>
        <v>0.19897217973414907</v>
      </c>
      <c r="V261" s="18">
        <f t="shared" si="779"/>
        <v>0.2276195479806622</v>
      </c>
      <c r="W261" s="18">
        <f t="shared" si="779"/>
        <v>0.37360837045781592</v>
      </c>
      <c r="X261" s="18">
        <f t="shared" si="779"/>
        <v>0.34630925328599743</v>
      </c>
      <c r="Y261" s="18">
        <f t="shared" si="779"/>
        <v>0.32051203059039229</v>
      </c>
      <c r="Z261" s="166">
        <f t="shared" si="779"/>
        <v>0.3205120305903924</v>
      </c>
      <c r="AA261" s="18">
        <f t="shared" si="779"/>
        <v>0.36914384760253999</v>
      </c>
      <c r="AB261" s="18">
        <f t="shared" si="779"/>
        <v>0.3428326652545034</v>
      </c>
      <c r="AC261" s="18">
        <f t="shared" si="779"/>
        <v>0.31576794703327987</v>
      </c>
      <c r="AD261" s="18">
        <f t="shared" si="779"/>
        <v>0.31615579025294532</v>
      </c>
      <c r="AE261" s="166">
        <f t="shared" si="779"/>
        <v>0.31615579025294532</v>
      </c>
      <c r="AF261" s="18">
        <f t="shared" si="779"/>
        <v>0.34849963599143685</v>
      </c>
      <c r="AG261" s="18">
        <f t="shared" si="779"/>
        <v>0.36241310004895189</v>
      </c>
      <c r="AH261" s="18">
        <f t="shared" si="779"/>
        <v>0.34568741044968576</v>
      </c>
      <c r="AI261" s="18">
        <f t="shared" si="779"/>
        <v>0.3207421488952088</v>
      </c>
      <c r="AJ261" s="166">
        <f t="shared" si="779"/>
        <v>0.32074214889520886</v>
      </c>
      <c r="AK261" s="18">
        <f t="shared" si="779"/>
        <v>0.3159172674926754</v>
      </c>
      <c r="AL261" s="18">
        <f>AL260/AL181</f>
        <v>0.31271221153151746</v>
      </c>
      <c r="AM261" s="18">
        <f>AM260/AM181</f>
        <v>0.31350551948588157</v>
      </c>
      <c r="AN261" s="18">
        <f t="shared" si="779"/>
        <v>0.32759916752088969</v>
      </c>
      <c r="AO261" s="166">
        <f t="shared" si="779"/>
        <v>0.32759916752088969</v>
      </c>
      <c r="AP261" s="18">
        <f t="shared" si="779"/>
        <v>0.37324932509557374</v>
      </c>
      <c r="AQ261" s="18">
        <f t="shared" ref="AQ261:AX261" si="780">AQ260/AQ181</f>
        <v>0.37692892615108436</v>
      </c>
      <c r="AR261" s="18">
        <f t="shared" si="780"/>
        <v>0.35727998229095503</v>
      </c>
      <c r="AS261" s="18">
        <f t="shared" si="780"/>
        <v>0.37527241890240465</v>
      </c>
      <c r="AT261" s="166">
        <f t="shared" si="780"/>
        <v>0.37527241890240459</v>
      </c>
      <c r="AU261" s="18">
        <f t="shared" si="780"/>
        <v>0.41294846749069525</v>
      </c>
      <c r="AV261" s="18">
        <f t="shared" si="780"/>
        <v>0.45741854961043554</v>
      </c>
      <c r="AW261" s="18">
        <f t="shared" si="780"/>
        <v>0.36488706846315655</v>
      </c>
      <c r="AX261" s="18">
        <f t="shared" si="780"/>
        <v>0.30185757180583961</v>
      </c>
      <c r="AY261" s="166">
        <f t="shared" ref="AY261:BD261" si="781">AY260/AY181</f>
        <v>0.30185757180583961</v>
      </c>
      <c r="AZ261" s="18">
        <f t="shared" si="781"/>
        <v>0.34438631075885723</v>
      </c>
      <c r="BA261" s="18">
        <f t="shared" si="781"/>
        <v>0.34862228190676059</v>
      </c>
      <c r="BB261" s="18">
        <f t="shared" si="781"/>
        <v>0.33750551971270143</v>
      </c>
      <c r="BC261" s="18">
        <f t="shared" si="781"/>
        <v>0.30247357483912246</v>
      </c>
      <c r="BD261" s="166">
        <f t="shared" si="781"/>
        <v>0.30247357483912257</v>
      </c>
      <c r="BE261" s="18">
        <f t="shared" ref="BE261:BI261" si="782">BE260/BE181</f>
        <v>0.35785442653051175</v>
      </c>
      <c r="BF261" s="18">
        <f t="shared" si="782"/>
        <v>0.22489777703330527</v>
      </c>
      <c r="BG261" s="18">
        <f t="shared" si="782"/>
        <v>0.20957597735298267</v>
      </c>
      <c r="BH261" s="18">
        <f t="shared" si="782"/>
        <v>0.27321233350895036</v>
      </c>
      <c r="BI261" s="166">
        <f t="shared" si="782"/>
        <v>0.27321233350895036</v>
      </c>
      <c r="BJ261" s="18"/>
      <c r="BK261" s="18"/>
      <c r="BL261" s="18"/>
      <c r="BM261" s="18"/>
      <c r="BN261" s="166">
        <f>BN260/BN181</f>
        <v>0.24024658406616869</v>
      </c>
      <c r="BO261" s="18"/>
      <c r="BP261" s="18"/>
      <c r="BQ261" s="18"/>
      <c r="BR261" s="18"/>
      <c r="BS261" s="166">
        <f>BS260/BS181</f>
        <v>0.25255981795317911</v>
      </c>
      <c r="BT261" s="148"/>
      <c r="BU261" s="356"/>
      <c r="BV261" s="224"/>
      <c r="BW261" s="148"/>
      <c r="BX261" s="148"/>
      <c r="BY261" s="148"/>
      <c r="BZ261" s="531"/>
      <c r="CA261" s="322"/>
      <c r="CB261" s="322"/>
      <c r="CC261" s="322"/>
      <c r="CD261" s="322"/>
      <c r="CE261" s="322"/>
      <c r="CF261" s="322"/>
      <c r="CG261" s="322"/>
      <c r="CH261" s="356"/>
      <c r="CI261" s="148"/>
      <c r="CJ261"/>
      <c r="CK261"/>
      <c r="CL261"/>
      <c r="CM261"/>
      <c r="CN261"/>
      <c r="CO261"/>
      <c r="CP261" s="391"/>
    </row>
    <row r="262" spans="1:94" s="140" customFormat="1" ht="12.75" customHeight="1" x14ac:dyDescent="0.2">
      <c r="A262" s="44" t="s">
        <v>247</v>
      </c>
      <c r="B262" s="45"/>
      <c r="C262" s="45"/>
      <c r="D262" s="45"/>
      <c r="E262" s="45"/>
      <c r="F262" s="178">
        <f t="shared" ref="F262:X262" si="783">F264-F260</f>
        <v>38.079999999999984</v>
      </c>
      <c r="G262" s="77">
        <f t="shared" si="783"/>
        <v>55.948999999999984</v>
      </c>
      <c r="H262" s="77">
        <f t="shared" si="783"/>
        <v>91.756999999999991</v>
      </c>
      <c r="I262" s="77">
        <f t="shared" si="783"/>
        <v>28.621999999999986</v>
      </c>
      <c r="J262" s="77">
        <f t="shared" si="783"/>
        <v>21.11699999999999</v>
      </c>
      <c r="K262" s="178">
        <f t="shared" si="783"/>
        <v>21.116</v>
      </c>
      <c r="L262" s="77">
        <f t="shared" si="783"/>
        <v>23.677999999999997</v>
      </c>
      <c r="M262" s="77">
        <f t="shared" si="783"/>
        <v>29.578000000000003</v>
      </c>
      <c r="N262" s="77">
        <f t="shared" si="783"/>
        <v>31.331999999999994</v>
      </c>
      <c r="O262" s="77">
        <f t="shared" si="783"/>
        <v>25.103999999999985</v>
      </c>
      <c r="P262" s="178">
        <f t="shared" si="783"/>
        <v>25.103999999999985</v>
      </c>
      <c r="Q262" s="77">
        <f t="shared" si="783"/>
        <v>32.248999999999995</v>
      </c>
      <c r="R262" s="77">
        <f t="shared" si="783"/>
        <v>30.248999999999995</v>
      </c>
      <c r="S262" s="77">
        <f t="shared" si="783"/>
        <v>89.032999999999987</v>
      </c>
      <c r="T262" s="77">
        <f t="shared" si="783"/>
        <v>95.768999999999977</v>
      </c>
      <c r="U262" s="178">
        <f t="shared" si="783"/>
        <v>95.769000000000005</v>
      </c>
      <c r="V262" s="77">
        <f t="shared" si="783"/>
        <v>113.41399999999999</v>
      </c>
      <c r="W262" s="77">
        <f t="shared" si="783"/>
        <v>107.86700000000002</v>
      </c>
      <c r="X262" s="77">
        <f t="shared" si="783"/>
        <v>98.914999999999964</v>
      </c>
      <c r="Y262" s="77">
        <f>Y264-Y260</f>
        <v>99.38</v>
      </c>
      <c r="Z262" s="178">
        <f>Y262</f>
        <v>99.38</v>
      </c>
      <c r="AA262" s="77">
        <f>AA264-AA260</f>
        <v>113.64499999999998</v>
      </c>
      <c r="AB262" s="77">
        <f>AB264-AB260</f>
        <v>124.58599999999996</v>
      </c>
      <c r="AC262" s="77">
        <f>AC264-AC260</f>
        <v>139.22199999999998</v>
      </c>
      <c r="AD262" s="77">
        <f>AD264-AD260</f>
        <v>130.54099999999994</v>
      </c>
      <c r="AE262" s="178">
        <f>AD262</f>
        <v>130.54099999999994</v>
      </c>
      <c r="AF262" s="77">
        <f>AF264-AF260</f>
        <v>121.64599999999996</v>
      </c>
      <c r="AG262" s="77">
        <f>AG264-AG260</f>
        <v>151.70699999999999</v>
      </c>
      <c r="AH262" s="77">
        <f>AH264-AH260</f>
        <v>121.64900000000011</v>
      </c>
      <c r="AI262" s="77">
        <f>AI264-AI260</f>
        <v>118.44400000000007</v>
      </c>
      <c r="AJ262" s="178">
        <f>AI262</f>
        <v>118.44400000000007</v>
      </c>
      <c r="AK262" s="77">
        <f>AK264-AK260</f>
        <v>131.38799999999992</v>
      </c>
      <c r="AL262" s="77">
        <f>AL264-AL260</f>
        <v>121.22199999999998</v>
      </c>
      <c r="AM262" s="77">
        <f>AM264-AM260</f>
        <v>115.64999999999998</v>
      </c>
      <c r="AN262" s="77">
        <f>AN264-AN260</f>
        <v>98.356999999999857</v>
      </c>
      <c r="AO262" s="178">
        <f>AN262</f>
        <v>98.356999999999857</v>
      </c>
      <c r="AP262" s="77">
        <f>AP264-AP260</f>
        <v>114.44599999999991</v>
      </c>
      <c r="AQ262" s="77">
        <f>AQ264-AQ260</f>
        <v>102.58699999999988</v>
      </c>
      <c r="AR262" s="77">
        <f>AR264-AR260</f>
        <v>169.67599999999993</v>
      </c>
      <c r="AS262" s="77">
        <f>AS264-AS260</f>
        <v>222.70799999999986</v>
      </c>
      <c r="AT262" s="178">
        <f>AS262</f>
        <v>222.70799999999986</v>
      </c>
      <c r="AU262" s="77">
        <f>AU264-AU260</f>
        <v>166.505</v>
      </c>
      <c r="AV262" s="77">
        <f>AV264-AV260</f>
        <v>169.69899999999984</v>
      </c>
      <c r="AW262" s="77">
        <f>AW264-AW260</f>
        <v>277.59499999999991</v>
      </c>
      <c r="AX262" s="77">
        <f>AX264-AX260</f>
        <v>274.94499999999994</v>
      </c>
      <c r="AY262" s="178">
        <f>AX262</f>
        <v>274.94499999999994</v>
      </c>
      <c r="AZ262" s="77">
        <f>AZ264-AZ260</f>
        <v>328.42099999999982</v>
      </c>
      <c r="BA262" s="77">
        <f>BA264-BA260</f>
        <v>361.35099999999977</v>
      </c>
      <c r="BB262" s="77">
        <f>BB264-BB260</f>
        <v>381.05999999999995</v>
      </c>
      <c r="BC262" s="77">
        <f>BC264-BC260</f>
        <v>475.40700000000004</v>
      </c>
      <c r="BD262" s="178">
        <f>BC262</f>
        <v>475.40700000000004</v>
      </c>
      <c r="BE262" s="45">
        <f t="shared" ref="BE262" si="784">BE263*BE181</f>
        <v>354.39251159876858</v>
      </c>
      <c r="BF262" s="45">
        <f t="shared" ref="BF262:BH262" si="785">BF263*BF181</f>
        <v>389.63768456516812</v>
      </c>
      <c r="BG262" s="45">
        <f t="shared" si="785"/>
        <v>428.19719618494071</v>
      </c>
      <c r="BH262" s="45">
        <f t="shared" si="785"/>
        <v>541.29652381385324</v>
      </c>
      <c r="BI262" s="178">
        <f>BH262</f>
        <v>541.29652381385324</v>
      </c>
      <c r="BJ262" s="45"/>
      <c r="BK262" s="45"/>
      <c r="BL262" s="45"/>
      <c r="BM262" s="45"/>
      <c r="BN262" s="178">
        <f>BN263*BN181</f>
        <v>539.55399186906914</v>
      </c>
      <c r="BO262" s="45"/>
      <c r="BP262" s="45"/>
      <c r="BQ262" s="45"/>
      <c r="BR262" s="45"/>
      <c r="BS262" s="178">
        <f>BS263*BS181</f>
        <v>528.31680845057952</v>
      </c>
      <c r="BT262" s="44"/>
      <c r="BU262" s="368"/>
      <c r="BV262" s="232"/>
      <c r="BW262" s="44"/>
      <c r="BX262" s="44"/>
      <c r="BY262" s="44"/>
      <c r="BZ262" s="531"/>
      <c r="CA262" s="331"/>
      <c r="CB262" s="331"/>
      <c r="CC262" s="331"/>
      <c r="CD262" s="331"/>
      <c r="CE262" s="331"/>
      <c r="CF262" s="331"/>
      <c r="CG262" s="331"/>
      <c r="CH262" s="368"/>
      <c r="CI262" s="44"/>
      <c r="CJ262"/>
      <c r="CK262"/>
      <c r="CL262"/>
      <c r="CM262"/>
      <c r="CN262"/>
      <c r="CO262"/>
      <c r="CP262" s="407"/>
    </row>
    <row r="263" spans="1:94" s="260" customFormat="1" ht="12.75" customHeight="1" x14ac:dyDescent="0.2">
      <c r="A263" s="590" t="s">
        <v>244</v>
      </c>
      <c r="B263" s="18"/>
      <c r="C263" s="18"/>
      <c r="D263" s="18"/>
      <c r="E263" s="18"/>
      <c r="F263" s="166">
        <f>F262/F181</f>
        <v>4.9937316079081383E-2</v>
      </c>
      <c r="G263" s="18"/>
      <c r="H263" s="18"/>
      <c r="I263" s="18"/>
      <c r="J263" s="18">
        <f t="shared" ref="J263:AK263" si="786">J262/J181</f>
        <v>2.6769822878266191E-2</v>
      </c>
      <c r="K263" s="166">
        <f t="shared" si="786"/>
        <v>2.6768555187643567E-2</v>
      </c>
      <c r="L263" s="18">
        <f t="shared" si="786"/>
        <v>3.1370522731638803E-2</v>
      </c>
      <c r="M263" s="18">
        <f t="shared" si="786"/>
        <v>4.0519140355299355E-2</v>
      </c>
      <c r="N263" s="18">
        <f t="shared" si="786"/>
        <v>4.4420689391179088E-2</v>
      </c>
      <c r="O263" s="18">
        <f t="shared" si="786"/>
        <v>3.5861012862195632E-2</v>
      </c>
      <c r="P263" s="166">
        <f t="shared" si="786"/>
        <v>3.5861012862195639E-2</v>
      </c>
      <c r="Q263" s="18">
        <f t="shared" si="786"/>
        <v>4.5162934715478685E-2</v>
      </c>
      <c r="R263" s="18">
        <f t="shared" si="786"/>
        <v>4.2543645597606781E-2</v>
      </c>
      <c r="S263" s="18">
        <f t="shared" si="786"/>
        <v>0.12095921788772079</v>
      </c>
      <c r="T263" s="18">
        <f t="shared" si="786"/>
        <v>0.12258196642624457</v>
      </c>
      <c r="U263" s="166">
        <f t="shared" si="786"/>
        <v>0.12258196642624461</v>
      </c>
      <c r="V263" s="18">
        <f t="shared" si="786"/>
        <v>0.13666379073500137</v>
      </c>
      <c r="W263" s="18">
        <f t="shared" si="786"/>
        <v>0.11618491008263608</v>
      </c>
      <c r="X263" s="18">
        <f t="shared" si="786"/>
        <v>9.760061255077862E-2</v>
      </c>
      <c r="Y263" s="18">
        <f t="shared" si="786"/>
        <v>9.277567107859884E-2</v>
      </c>
      <c r="Z263" s="166">
        <f t="shared" si="786"/>
        <v>9.2775671078598868E-2</v>
      </c>
      <c r="AA263" s="18">
        <f t="shared" si="786"/>
        <v>9.9686935042310687E-2</v>
      </c>
      <c r="AB263" s="18">
        <f t="shared" si="786"/>
        <v>0.10292654878076987</v>
      </c>
      <c r="AC263" s="18">
        <f t="shared" si="786"/>
        <v>0.11014058901663634</v>
      </c>
      <c r="AD263" s="18">
        <f t="shared" si="786"/>
        <v>9.9015616040194501E-2</v>
      </c>
      <c r="AE263" s="166">
        <f t="shared" si="786"/>
        <v>9.9015616040194501E-2</v>
      </c>
      <c r="AF263" s="18">
        <f t="shared" si="786"/>
        <v>8.7683536000807277E-2</v>
      </c>
      <c r="AG263" s="18">
        <f t="shared" si="786"/>
        <v>0.10474391398277087</v>
      </c>
      <c r="AH263" s="18">
        <f t="shared" si="786"/>
        <v>7.7846940074961568E-2</v>
      </c>
      <c r="AI263" s="18">
        <f t="shared" si="786"/>
        <v>7.159397600921194E-2</v>
      </c>
      <c r="AJ263" s="166">
        <f t="shared" si="786"/>
        <v>7.1593976009211927E-2</v>
      </c>
      <c r="AK263" s="18">
        <f t="shared" si="786"/>
        <v>7.6302531744810304E-2</v>
      </c>
      <c r="AL263" s="18">
        <f t="shared" ref="AL263:BC263" si="787">AL262/AL181</f>
        <v>6.6828267637228045E-2</v>
      </c>
      <c r="AM263" s="18">
        <f t="shared" si="787"/>
        <v>6.1611750610124139E-2</v>
      </c>
      <c r="AN263" s="18">
        <f t="shared" si="787"/>
        <v>5.0920489961585783E-2</v>
      </c>
      <c r="AO263" s="166">
        <f t="shared" si="787"/>
        <v>5.0920489961585783E-2</v>
      </c>
      <c r="AP263" s="18">
        <f t="shared" si="787"/>
        <v>5.7598890358479392E-2</v>
      </c>
      <c r="AQ263" s="18">
        <f t="shared" si="787"/>
        <v>5.0262318278204293E-2</v>
      </c>
      <c r="AR263" s="18">
        <f t="shared" si="787"/>
        <v>8.0948273558945502E-2</v>
      </c>
      <c r="AS263" s="18">
        <f t="shared" si="787"/>
        <v>0.10399806113857671</v>
      </c>
      <c r="AT263" s="166">
        <f>AT262/AT181</f>
        <v>0.10399806113857668</v>
      </c>
      <c r="AU263" s="18">
        <f t="shared" si="787"/>
        <v>7.6160056644914043E-2</v>
      </c>
      <c r="AV263" s="18">
        <f t="shared" si="787"/>
        <v>7.6545706897228241E-2</v>
      </c>
      <c r="AW263" s="18">
        <f t="shared" si="787"/>
        <v>0.12264237220067936</v>
      </c>
      <c r="AX263" s="18">
        <f t="shared" si="787"/>
        <v>0.11841094318755391</v>
      </c>
      <c r="AY263" s="166">
        <f>AY262/AY181</f>
        <v>0.11841094318755391</v>
      </c>
      <c r="AZ263" s="18">
        <f t="shared" si="787"/>
        <v>0.13824998663472463</v>
      </c>
      <c r="BA263" s="18">
        <f t="shared" si="787"/>
        <v>0.14493997051070381</v>
      </c>
      <c r="BB263" s="18">
        <f t="shared" si="787"/>
        <v>0.14890914845975592</v>
      </c>
      <c r="BC263" s="18">
        <f t="shared" si="787"/>
        <v>0.17955701361123344</v>
      </c>
      <c r="BD263" s="166">
        <f>BD262/BD181</f>
        <v>0.17955701361123344</v>
      </c>
      <c r="BE263" s="139">
        <f>+AZ263-1%</f>
        <v>0.12824998663472462</v>
      </c>
      <c r="BF263" s="139">
        <f>+BA263-1%</f>
        <v>0.1349399705107038</v>
      </c>
      <c r="BG263" s="139">
        <f>+BB263-1%</f>
        <v>0.13890914845975591</v>
      </c>
      <c r="BH263" s="139">
        <f>+BC263-1%</f>
        <v>0.16955701361123343</v>
      </c>
      <c r="BI263" s="166">
        <f>BI262/BI181</f>
        <v>0.1695570136112334</v>
      </c>
      <c r="BJ263" s="18"/>
      <c r="BK263" s="18"/>
      <c r="BL263" s="139"/>
      <c r="BM263" s="139"/>
      <c r="BN263" s="214">
        <f>BI263-2%</f>
        <v>0.14955701361123341</v>
      </c>
      <c r="BO263" s="18"/>
      <c r="BP263" s="18"/>
      <c r="BQ263" s="139"/>
      <c r="BR263" s="139"/>
      <c r="BS263" s="214">
        <f>BN263-2%</f>
        <v>0.12955701361123342</v>
      </c>
      <c r="BT263" s="148"/>
      <c r="BU263" s="356"/>
      <c r="BV263" s="224"/>
      <c r="BW263" s="148"/>
      <c r="BX263" s="148"/>
      <c r="BY263" s="148"/>
      <c r="BZ263" s="531"/>
      <c r="CA263" s="322"/>
      <c r="CB263" s="322"/>
      <c r="CC263" s="322"/>
      <c r="CD263" s="322"/>
      <c r="CE263" s="322"/>
      <c r="CF263" s="322"/>
      <c r="CG263" s="322"/>
      <c r="CH263" s="356"/>
      <c r="CI263" s="148"/>
      <c r="CJ263"/>
      <c r="CK263"/>
      <c r="CL263"/>
      <c r="CM263"/>
      <c r="CN263"/>
      <c r="CO263"/>
      <c r="CP263" s="391"/>
    </row>
    <row r="264" spans="1:94" s="140" customFormat="1" ht="12.75" customHeight="1" x14ac:dyDescent="0.2">
      <c r="A264" s="82" t="s">
        <v>248</v>
      </c>
      <c r="B264" s="82"/>
      <c r="C264" s="82"/>
      <c r="D264" s="82"/>
      <c r="E264" s="82"/>
      <c r="F264" s="879">
        <v>130.19399999999999</v>
      </c>
      <c r="G264" s="865">
        <v>135.03899999999999</v>
      </c>
      <c r="H264" s="865">
        <v>174.85</v>
      </c>
      <c r="I264" s="865">
        <v>110.884</v>
      </c>
      <c r="J264" s="865">
        <v>110.154</v>
      </c>
      <c r="K264" s="207">
        <v>110.15300000000001</v>
      </c>
      <c r="L264" s="865">
        <v>132.20099999999999</v>
      </c>
      <c r="M264" s="865">
        <v>145.15100000000001</v>
      </c>
      <c r="N264" s="865">
        <v>139.887</v>
      </c>
      <c r="O264" s="865">
        <v>163.791</v>
      </c>
      <c r="P264" s="207">
        <f>O264</f>
        <v>163.791</v>
      </c>
      <c r="Q264" s="865">
        <v>206.55600000000001</v>
      </c>
      <c r="R264" s="865">
        <v>182.37700000000001</v>
      </c>
      <c r="S264" s="865">
        <v>241.577</v>
      </c>
      <c r="T264" s="865">
        <v>251.21899999999999</v>
      </c>
      <c r="U264" s="207">
        <f>T264</f>
        <v>251.21899999999999</v>
      </c>
      <c r="V264" s="865">
        <v>302.31</v>
      </c>
      <c r="W264" s="865">
        <v>454.72800000000001</v>
      </c>
      <c r="X264" s="865">
        <v>449.88799999999998</v>
      </c>
      <c r="Y264" s="865">
        <v>442.70800000000003</v>
      </c>
      <c r="Z264" s="207">
        <f>Z262+Z260</f>
        <v>442.70800000000003</v>
      </c>
      <c r="AA264" s="865">
        <v>534.476</v>
      </c>
      <c r="AB264" s="865">
        <v>539.56299999999999</v>
      </c>
      <c r="AC264" s="865">
        <v>538.36500000000001</v>
      </c>
      <c r="AD264" s="865">
        <v>547.35699999999997</v>
      </c>
      <c r="AE264" s="207">
        <f>AE262+AE260</f>
        <v>547.35699999999997</v>
      </c>
      <c r="AF264" s="865">
        <v>605.13</v>
      </c>
      <c r="AG264" s="865">
        <v>676.61199999999997</v>
      </c>
      <c r="AH264" s="865">
        <v>661.84400000000005</v>
      </c>
      <c r="AI264" s="865">
        <v>649.07500000000005</v>
      </c>
      <c r="AJ264" s="207">
        <f>AJ262+AJ260</f>
        <v>649.07500000000016</v>
      </c>
      <c r="AK264" s="865">
        <v>675.37699999999995</v>
      </c>
      <c r="AL264" s="865">
        <v>688.46100000000001</v>
      </c>
      <c r="AM264" s="865">
        <v>704.12400000000002</v>
      </c>
      <c r="AN264" s="865">
        <v>731.14099999999996</v>
      </c>
      <c r="AO264" s="207">
        <f>AO262+AO260</f>
        <v>731.14099999999996</v>
      </c>
      <c r="AP264" s="865">
        <v>856.07299999999998</v>
      </c>
      <c r="AQ264" s="865">
        <v>871.91099999999994</v>
      </c>
      <c r="AR264" s="865">
        <v>918.572</v>
      </c>
      <c r="AS264" s="865">
        <v>1026.3399999999999</v>
      </c>
      <c r="AT264" s="207">
        <f t="shared" ref="AT264" si="788">AT262+AT260</f>
        <v>1026.3399999999999</v>
      </c>
      <c r="AU264" s="865">
        <v>1069.3140000000001</v>
      </c>
      <c r="AV264" s="865">
        <v>1183.779</v>
      </c>
      <c r="AW264" s="865">
        <v>1103.499</v>
      </c>
      <c r="AX264" s="865">
        <v>975.84500000000003</v>
      </c>
      <c r="AY264" s="207">
        <f t="shared" ref="AY264" si="789">AY262+AY260</f>
        <v>975.84500000000003</v>
      </c>
      <c r="AZ264" s="865">
        <v>1146.5309999999999</v>
      </c>
      <c r="BA264" s="865">
        <v>1230.5039999999999</v>
      </c>
      <c r="BB264" s="865">
        <v>1244.74</v>
      </c>
      <c r="BC264" s="865">
        <v>1276.2560000000001</v>
      </c>
      <c r="BD264" s="207">
        <f t="shared" ref="BD264:BS264" si="790">BD262+BD260</f>
        <v>1276.2560000000003</v>
      </c>
      <c r="BE264" s="82">
        <f t="shared" ref="BE264:BI264" si="791">BE262+BE260</f>
        <v>1343.2497608871467</v>
      </c>
      <c r="BF264" s="82">
        <f t="shared" si="791"/>
        <v>1039.0275486318685</v>
      </c>
      <c r="BG264" s="82">
        <f t="shared" si="791"/>
        <v>1074.2298505155863</v>
      </c>
      <c r="BH264" s="82">
        <f t="shared" si="791"/>
        <v>1413.5039497511316</v>
      </c>
      <c r="BI264" s="207">
        <f t="shared" si="791"/>
        <v>1413.5039497511316</v>
      </c>
      <c r="BJ264" s="82"/>
      <c r="BK264" s="82"/>
      <c r="BL264" s="82"/>
      <c r="BM264" s="82"/>
      <c r="BN264" s="207">
        <f t="shared" si="790"/>
        <v>1406.2870212057346</v>
      </c>
      <c r="BO264" s="82"/>
      <c r="BP264" s="82"/>
      <c r="BQ264" s="82"/>
      <c r="BR264" s="82"/>
      <c r="BS264" s="207">
        <f t="shared" si="790"/>
        <v>1558.2232044429738</v>
      </c>
      <c r="BT264" s="44"/>
      <c r="BU264" s="368"/>
      <c r="BV264" s="232"/>
      <c r="BW264" s="44"/>
      <c r="BX264" s="44"/>
      <c r="BY264" s="44"/>
      <c r="BZ264" s="531"/>
      <c r="CA264" s="331"/>
      <c r="CB264" s="331"/>
      <c r="CC264" s="331"/>
      <c r="CD264" s="331"/>
      <c r="CE264" s="331"/>
      <c r="CF264" s="331"/>
      <c r="CG264" s="331"/>
      <c r="CH264" s="368"/>
      <c r="CI264" s="44"/>
      <c r="CJ264"/>
      <c r="CK264"/>
      <c r="CL264"/>
      <c r="CM264"/>
      <c r="CN264"/>
      <c r="CO264"/>
      <c r="CP264" s="424"/>
    </row>
    <row r="265" spans="1:94" s="313" customFormat="1" ht="12.75" customHeight="1" x14ac:dyDescent="0.2">
      <c r="A265" s="308" t="s">
        <v>249</v>
      </c>
      <c r="B265" s="309"/>
      <c r="C265" s="309"/>
      <c r="D265" s="309"/>
      <c r="E265" s="309"/>
      <c r="F265" s="310">
        <f t="shared" ref="F265:Z265" si="792">F262+F258</f>
        <v>75.579999999999984</v>
      </c>
      <c r="G265" s="309">
        <f t="shared" si="792"/>
        <v>94.899999999999977</v>
      </c>
      <c r="H265" s="309">
        <f t="shared" si="792"/>
        <v>153.80199999999999</v>
      </c>
      <c r="I265" s="309">
        <f t="shared" si="792"/>
        <v>99.211999999999989</v>
      </c>
      <c r="J265" s="309">
        <f t="shared" si="792"/>
        <v>93.924999999999997</v>
      </c>
      <c r="K265" s="310">
        <f t="shared" si="792"/>
        <v>93.916000000000011</v>
      </c>
      <c r="L265" s="309">
        <f t="shared" si="792"/>
        <v>89.506</v>
      </c>
      <c r="M265" s="309">
        <f t="shared" si="792"/>
        <v>90.739000000000004</v>
      </c>
      <c r="N265" s="309">
        <f t="shared" si="792"/>
        <v>76.697000000000003</v>
      </c>
      <c r="O265" s="309">
        <f t="shared" si="792"/>
        <v>77.643999999999977</v>
      </c>
      <c r="P265" s="310">
        <f t="shared" si="792"/>
        <v>77.643999999999977</v>
      </c>
      <c r="Q265" s="309">
        <f t="shared" si="792"/>
        <v>121.00699999999999</v>
      </c>
      <c r="R265" s="309">
        <f t="shared" si="792"/>
        <v>110.505</v>
      </c>
      <c r="S265" s="309">
        <f t="shared" si="792"/>
        <v>167.91899999999998</v>
      </c>
      <c r="T265" s="309">
        <f t="shared" si="792"/>
        <v>168.505</v>
      </c>
      <c r="U265" s="310">
        <f t="shared" si="792"/>
        <v>168.505</v>
      </c>
      <c r="V265" s="309">
        <f t="shared" si="792"/>
        <v>239.709</v>
      </c>
      <c r="W265" s="309">
        <f t="shared" si="792"/>
        <v>206.27000000000004</v>
      </c>
      <c r="X265" s="309">
        <f t="shared" si="792"/>
        <v>98.914999999999964</v>
      </c>
      <c r="Y265" s="309">
        <f t="shared" si="792"/>
        <v>99.38</v>
      </c>
      <c r="Z265" s="310">
        <f t="shared" si="792"/>
        <v>99.38</v>
      </c>
      <c r="AA265" s="309">
        <f t="shared" ref="AA265:AJ265" si="793">AA262+AA258</f>
        <v>113.64499999999998</v>
      </c>
      <c r="AB265" s="309">
        <f t="shared" si="793"/>
        <v>124.58599999999996</v>
      </c>
      <c r="AC265" s="309">
        <f t="shared" si="793"/>
        <v>139.22199999999998</v>
      </c>
      <c r="AD265" s="309">
        <f t="shared" si="793"/>
        <v>130.54099999999994</v>
      </c>
      <c r="AE265" s="310">
        <f t="shared" si="793"/>
        <v>130.54099999999994</v>
      </c>
      <c r="AF265" s="309">
        <f t="shared" si="793"/>
        <v>121.64599999999996</v>
      </c>
      <c r="AG265" s="309">
        <f t="shared" si="793"/>
        <v>151.70699999999999</v>
      </c>
      <c r="AH265" s="309">
        <f t="shared" si="793"/>
        <v>121.64900000000011</v>
      </c>
      <c r="AI265" s="309">
        <f t="shared" si="793"/>
        <v>118.44400000000007</v>
      </c>
      <c r="AJ265" s="310">
        <f t="shared" si="793"/>
        <v>118.44400000000007</v>
      </c>
      <c r="AK265" s="309">
        <f t="shared" ref="AK265:AX265" si="794">AK262+AK258</f>
        <v>131.38799999999992</v>
      </c>
      <c r="AL265" s="309">
        <f t="shared" si="794"/>
        <v>121.22199999999998</v>
      </c>
      <c r="AM265" s="309">
        <f t="shared" si="794"/>
        <v>115.64999999999998</v>
      </c>
      <c r="AN265" s="309">
        <f t="shared" si="794"/>
        <v>98.356999999999857</v>
      </c>
      <c r="AO265" s="310">
        <f t="shared" si="794"/>
        <v>98.356999999999857</v>
      </c>
      <c r="AP265" s="309">
        <f t="shared" si="794"/>
        <v>114.44599999999991</v>
      </c>
      <c r="AQ265" s="309">
        <f t="shared" si="794"/>
        <v>102.58699999999988</v>
      </c>
      <c r="AR265" s="309">
        <f t="shared" si="794"/>
        <v>169.67599999999993</v>
      </c>
      <c r="AS265" s="309">
        <f t="shared" si="794"/>
        <v>222.70799999999986</v>
      </c>
      <c r="AT265" s="310">
        <f t="shared" si="794"/>
        <v>222.70799999999986</v>
      </c>
      <c r="AU265" s="309">
        <f t="shared" si="794"/>
        <v>166.505</v>
      </c>
      <c r="AV265" s="309">
        <f t="shared" si="794"/>
        <v>169.69899999999984</v>
      </c>
      <c r="AW265" s="309">
        <f t="shared" si="794"/>
        <v>277.59499999999991</v>
      </c>
      <c r="AX265" s="309">
        <f t="shared" si="794"/>
        <v>274.94499999999994</v>
      </c>
      <c r="AY265" s="310">
        <f t="shared" ref="AY265:BS265" si="795">AY262+AY258</f>
        <v>274.94499999999994</v>
      </c>
      <c r="AZ265" s="309">
        <f t="shared" si="795"/>
        <v>328.42099999999982</v>
      </c>
      <c r="BA265" s="309">
        <f t="shared" si="795"/>
        <v>361.35099999999977</v>
      </c>
      <c r="BB265" s="309">
        <f t="shared" si="795"/>
        <v>381.05999999999995</v>
      </c>
      <c r="BC265" s="309">
        <f t="shared" si="795"/>
        <v>475.40700000000004</v>
      </c>
      <c r="BD265" s="310">
        <f t="shared" si="795"/>
        <v>475.40700000000004</v>
      </c>
      <c r="BE265" s="309">
        <f t="shared" ref="BE265:BI265" si="796">BE262+BE258</f>
        <v>354.39251159876858</v>
      </c>
      <c r="BF265" s="309">
        <f t="shared" si="796"/>
        <v>389.63768456516812</v>
      </c>
      <c r="BG265" s="309">
        <f t="shared" si="796"/>
        <v>428.19719618494071</v>
      </c>
      <c r="BH265" s="309">
        <f t="shared" si="796"/>
        <v>541.29652381385324</v>
      </c>
      <c r="BI265" s="310">
        <f t="shared" si="796"/>
        <v>541.29652381385324</v>
      </c>
      <c r="BJ265" s="309"/>
      <c r="BK265" s="309"/>
      <c r="BL265" s="309"/>
      <c r="BM265" s="309"/>
      <c r="BN265" s="310">
        <f t="shared" si="795"/>
        <v>539.55399186906914</v>
      </c>
      <c r="BO265" s="309"/>
      <c r="BP265" s="309"/>
      <c r="BQ265" s="309"/>
      <c r="BR265" s="309"/>
      <c r="BS265" s="310">
        <f t="shared" si="795"/>
        <v>528.31680845057952</v>
      </c>
      <c r="BT265" s="311"/>
      <c r="BU265" s="380"/>
      <c r="BV265" s="312"/>
      <c r="BW265" s="311"/>
      <c r="BX265" s="311"/>
      <c r="BY265" s="311"/>
      <c r="BZ265" s="433"/>
      <c r="CA265" s="338"/>
      <c r="CB265" s="338"/>
      <c r="CC265" s="338"/>
      <c r="CD265" s="338"/>
      <c r="CE265" s="338"/>
      <c r="CF265" s="338"/>
      <c r="CG265" s="338"/>
      <c r="CH265" s="380"/>
      <c r="CI265" s="311"/>
      <c r="CJ265"/>
      <c r="CK265"/>
      <c r="CL265"/>
      <c r="CM265"/>
      <c r="CN265"/>
      <c r="CO265"/>
      <c r="CP265" s="426"/>
    </row>
    <row r="266" spans="1:94" s="256" customFormat="1" ht="12.75" customHeight="1" x14ac:dyDescent="0.2">
      <c r="A266" s="592" t="s">
        <v>250</v>
      </c>
      <c r="B266" s="66"/>
      <c r="C266" s="66"/>
      <c r="D266" s="66"/>
      <c r="E266" s="66"/>
      <c r="F266" s="874">
        <f>1.676+27.937+34.009</f>
        <v>63.622</v>
      </c>
      <c r="G266" s="861">
        <f>(K266-F266)/4+F266</f>
        <v>61.279499999999999</v>
      </c>
      <c r="H266" s="861">
        <f>(K266-F266)/4+G266</f>
        <v>58.936999999999998</v>
      </c>
      <c r="I266" s="861">
        <f>(K266-F266)/4+H266</f>
        <v>56.594499999999996</v>
      </c>
      <c r="J266" s="861">
        <v>54.252000000000002</v>
      </c>
      <c r="K266" s="183">
        <f>3.578+34.001+16.673</f>
        <v>54.251999999999995</v>
      </c>
      <c r="L266" s="861">
        <v>38</v>
      </c>
      <c r="M266" s="861">
        <v>38.25</v>
      </c>
      <c r="N266" s="861">
        <v>38.5</v>
      </c>
      <c r="O266" s="861">
        <f>35.173+3.615+16.985</f>
        <v>55.773000000000003</v>
      </c>
      <c r="P266" s="183">
        <f>O266</f>
        <v>55.773000000000003</v>
      </c>
      <c r="Q266" s="861">
        <v>58</v>
      </c>
      <c r="R266" s="861">
        <f>3.845+37.075+22.573</f>
        <v>63.493000000000002</v>
      </c>
      <c r="S266" s="861">
        <f>3.85+38.11+33.32</f>
        <v>75.28</v>
      </c>
      <c r="T266" s="861">
        <f>3.901+39.441+44.188</f>
        <v>87.53</v>
      </c>
      <c r="U266" s="183">
        <f>T266</f>
        <v>87.53</v>
      </c>
      <c r="V266" s="861">
        <f>V268-V267</f>
        <v>103.14099999999999</v>
      </c>
      <c r="W266" s="861">
        <f>4.12+41.799+65.266</f>
        <v>111.185</v>
      </c>
      <c r="X266" s="861">
        <f>4.204+43.995+72.811</f>
        <v>121.01</v>
      </c>
      <c r="Y266" s="861">
        <f>46.608+4.182+91.45</f>
        <v>142.24</v>
      </c>
      <c r="Z266" s="183">
        <f>Y266</f>
        <v>142.24</v>
      </c>
      <c r="AA266" s="861">
        <f>4.169+49.094+90.777</f>
        <v>144.04</v>
      </c>
      <c r="AB266" s="861">
        <f>10.698+51.365+84.291</f>
        <v>146.35399999999998</v>
      </c>
      <c r="AC266" s="861">
        <f>4.029+53.49+95.862</f>
        <v>153.381</v>
      </c>
      <c r="AD266" s="861">
        <f>2.648+43.58+96.692</f>
        <v>142.91999999999999</v>
      </c>
      <c r="AE266" s="183">
        <f>AD266</f>
        <v>142.91999999999999</v>
      </c>
      <c r="AF266" s="861">
        <f>4.289+45.715+109.719</f>
        <v>159.72300000000001</v>
      </c>
      <c r="AG266" s="861">
        <f>4.073+47.735+111.797</f>
        <v>163.60499999999999</v>
      </c>
      <c r="AH266" s="861">
        <f>5.148+49.567+132.483</f>
        <v>187.19800000000001</v>
      </c>
      <c r="AI266" s="861">
        <f>9.847+50.987+157.669</f>
        <v>218.50300000000001</v>
      </c>
      <c r="AJ266" s="183">
        <f>AI266</f>
        <v>218.50300000000001</v>
      </c>
      <c r="AK266" s="861">
        <f>10.657+54.176+229.537</f>
        <v>294.37</v>
      </c>
      <c r="AL266" s="861">
        <f>12.397+55.112+248.77</f>
        <v>316.279</v>
      </c>
      <c r="AM266" s="861">
        <f>16.064+69.676+269.693</f>
        <v>355.43299999999999</v>
      </c>
      <c r="AN266" s="861">
        <f>204.462+57.012+242.881</f>
        <v>504.35500000000002</v>
      </c>
      <c r="AO266" s="183">
        <f>AN266</f>
        <v>504.35500000000002</v>
      </c>
      <c r="AP266" s="861">
        <f>422.617+60.86+260.334</f>
        <v>743.81100000000004</v>
      </c>
      <c r="AQ266" s="861">
        <f>549.517+66.29+267.344</f>
        <v>883.15100000000007</v>
      </c>
      <c r="AR266" s="861">
        <f>689.603+76.136+275.544</f>
        <v>1041.2829999999999</v>
      </c>
      <c r="AS266" s="861">
        <f>827.282+82.459+286.837</f>
        <v>1196.578</v>
      </c>
      <c r="AT266" s="183">
        <f>AS266</f>
        <v>1196.578</v>
      </c>
      <c r="AU266" s="861">
        <f>1031.886+93.724+289.835</f>
        <v>1415.4449999999999</v>
      </c>
      <c r="AV266" s="861">
        <f>1225.219+103.986</f>
        <v>1329.2050000000002</v>
      </c>
      <c r="AW266" s="861">
        <f>1386.31+109.451</f>
        <v>1495.761</v>
      </c>
      <c r="AX266" s="861">
        <f>1461.525+126.206</f>
        <v>1587.731</v>
      </c>
      <c r="AY266" s="183">
        <f>AX266</f>
        <v>1587.731</v>
      </c>
      <c r="AZ266" s="861">
        <f>1608.959+136.126</f>
        <v>1745.085</v>
      </c>
      <c r="BA266" s="861">
        <f>1809.747+140.954</f>
        <v>1950.701</v>
      </c>
      <c r="BB266" s="861">
        <f>2017.888+148.324</f>
        <v>2166.212</v>
      </c>
      <c r="BC266" s="861">
        <f>2291.11+155.166</f>
        <v>2446.2760000000003</v>
      </c>
      <c r="BD266" s="183">
        <f>BC266</f>
        <v>2446.2760000000003</v>
      </c>
      <c r="BE266" s="66">
        <f t="shared" ref="BE266:BH266" si="797">BD266-BE227</f>
        <v>2679.5260000000003</v>
      </c>
      <c r="BF266" s="66">
        <f t="shared" si="797"/>
        <v>3197.7760000000003</v>
      </c>
      <c r="BG266" s="66">
        <f t="shared" si="797"/>
        <v>3431.0260000000003</v>
      </c>
      <c r="BH266" s="66">
        <f t="shared" si="797"/>
        <v>3379.2760000000003</v>
      </c>
      <c r="BI266" s="183">
        <f>BH266</f>
        <v>3379.2760000000003</v>
      </c>
      <c r="BJ266" s="66"/>
      <c r="BK266" s="66"/>
      <c r="BL266" s="66"/>
      <c r="BM266" s="66"/>
      <c r="BN266" s="183">
        <f>BI266-BN227</f>
        <v>4342.2759999999998</v>
      </c>
      <c r="BO266" s="66"/>
      <c r="BP266" s="66"/>
      <c r="BQ266" s="66"/>
      <c r="BR266" s="66"/>
      <c r="BS266" s="183">
        <f>BN266-BS227</f>
        <v>5305.2759999999998</v>
      </c>
      <c r="BT266" s="72"/>
      <c r="BU266" s="373"/>
      <c r="BV266" s="238"/>
      <c r="BW266" s="72"/>
      <c r="BX266" s="72"/>
      <c r="BY266" s="72"/>
      <c r="BZ266" s="531"/>
      <c r="CA266" s="331"/>
      <c r="CB266" s="331"/>
      <c r="CC266" s="331"/>
      <c r="CD266" s="331"/>
      <c r="CE266" s="331"/>
      <c r="CF266" s="331"/>
      <c r="CG266" s="331"/>
      <c r="CH266" s="373"/>
      <c r="CI266" s="72"/>
      <c r="CJ266"/>
      <c r="CK266"/>
      <c r="CL266"/>
      <c r="CM266"/>
      <c r="CN266"/>
      <c r="CO266"/>
      <c r="CP266" s="418"/>
    </row>
    <row r="267" spans="1:94" s="256" customFormat="1" ht="12.75" customHeight="1" x14ac:dyDescent="0.2">
      <c r="A267" s="593" t="s">
        <v>251</v>
      </c>
      <c r="B267" s="66"/>
      <c r="C267" s="66"/>
      <c r="D267" s="66"/>
      <c r="E267" s="66"/>
      <c r="F267" s="874">
        <v>-12.802</v>
      </c>
      <c r="G267" s="66">
        <f>(K267-F267)/4+F267</f>
        <v>-13.786249999999999</v>
      </c>
      <c r="H267" s="66">
        <f>(K267-F267)/4+G267</f>
        <v>-14.770499999999998</v>
      </c>
      <c r="I267" s="66">
        <f>(K267-F267)/4+H267</f>
        <v>-15.754749999999998</v>
      </c>
      <c r="J267" s="66">
        <v>-16.739000000000001</v>
      </c>
      <c r="K267" s="183">
        <v>-16.739000000000001</v>
      </c>
      <c r="L267" s="66">
        <f>(P267-K267)/4+K267</f>
        <v>-17.649000000000001</v>
      </c>
      <c r="M267" s="66">
        <f>(P267-K267)/4+L267</f>
        <v>-18.559000000000001</v>
      </c>
      <c r="N267" s="66">
        <f>(P267-K267)/4+M267</f>
        <v>-19.469000000000001</v>
      </c>
      <c r="O267" s="66">
        <v>-20.379000000000001</v>
      </c>
      <c r="P267" s="183">
        <f>O267</f>
        <v>-20.379000000000001</v>
      </c>
      <c r="Q267" s="66">
        <v>-21.428000000000001</v>
      </c>
      <c r="R267" s="66">
        <v>-22.295999999999999</v>
      </c>
      <c r="S267" s="66">
        <v>-22.992999999999999</v>
      </c>
      <c r="T267" s="66">
        <v>-24.013000000000002</v>
      </c>
      <c r="U267" s="183">
        <f>T267</f>
        <v>-24.013000000000002</v>
      </c>
      <c r="V267" s="66">
        <v>-25.559000000000001</v>
      </c>
      <c r="W267" s="66">
        <f>-26.182</f>
        <v>-26.181999999999999</v>
      </c>
      <c r="X267" s="66">
        <v>-27.327000000000002</v>
      </c>
      <c r="Y267" s="66">
        <v>-27.58</v>
      </c>
      <c r="Z267" s="183">
        <f>Y267</f>
        <v>-27.58</v>
      </c>
      <c r="AA267" s="66">
        <v>-28.728000000000002</v>
      </c>
      <c r="AB267" s="66">
        <v>-30.126999999999999</v>
      </c>
      <c r="AC267" s="66">
        <v>-31.562000000000001</v>
      </c>
      <c r="AD267" s="66">
        <v>-17.824999999999999</v>
      </c>
      <c r="AE267" s="183">
        <f>AD267</f>
        <v>-17.824999999999999</v>
      </c>
      <c r="AF267" s="66">
        <v>-19.594999999999999</v>
      </c>
      <c r="AG267" s="66">
        <v>-21.285</v>
      </c>
      <c r="AH267" s="66">
        <v>-23.202000000000002</v>
      </c>
      <c r="AI267" s="66">
        <v>-25.221</v>
      </c>
      <c r="AJ267" s="183">
        <f>AI267</f>
        <v>-25.221</v>
      </c>
      <c r="AK267" s="66">
        <v>-27.306000000000001</v>
      </c>
      <c r="AL267" s="66">
        <v>-29.515999999999998</v>
      </c>
      <c r="AM267" s="66">
        <v>-32.344999999999999</v>
      </c>
      <c r="AN267" s="66">
        <f>AM267-AN219</f>
        <v>-45.512999999999998</v>
      </c>
      <c r="AO267" s="183">
        <f>AN267</f>
        <v>-45.512999999999998</v>
      </c>
      <c r="AP267" s="66">
        <f>AO267-AP219</f>
        <v>-60.375999999999998</v>
      </c>
      <c r="AQ267" s="66">
        <f>AP267-AQ219</f>
        <v>-77.515000000000001</v>
      </c>
      <c r="AR267" s="66">
        <f>AQ267-AR219</f>
        <v>-97.143000000000001</v>
      </c>
      <c r="AS267" s="66">
        <f>AR267-AS219</f>
        <v>-119.42099999999999</v>
      </c>
      <c r="AT267" s="183">
        <f>AS267</f>
        <v>-119.42099999999999</v>
      </c>
      <c r="AU267" s="66">
        <f>AT267-AU219</f>
        <v>-142.53</v>
      </c>
      <c r="AV267" s="66">
        <f>AU267-AV219</f>
        <v>-167.48699999999999</v>
      </c>
      <c r="AW267" s="66">
        <f>AV267-AW219</f>
        <v>-192.791</v>
      </c>
      <c r="AX267" s="66">
        <f>AW267-AX219</f>
        <v>-220.55699999999999</v>
      </c>
      <c r="AY267" s="183">
        <f>AX267</f>
        <v>-220.55699999999999</v>
      </c>
      <c r="AZ267" s="66">
        <f t="shared" ref="AZ267:BH267" si="798">AY267-AZ219</f>
        <v>-252.06599999999997</v>
      </c>
      <c r="BA267" s="66">
        <f t="shared" si="798"/>
        <v>-287.39699999999999</v>
      </c>
      <c r="BB267" s="66">
        <f t="shared" si="798"/>
        <v>-324.23699999999997</v>
      </c>
      <c r="BC267" s="66">
        <v>-207.80799999999999</v>
      </c>
      <c r="BD267" s="183">
        <f>BC267</f>
        <v>-207.80799999999999</v>
      </c>
      <c r="BE267" s="66">
        <f t="shared" si="798"/>
        <v>-247.108</v>
      </c>
      <c r="BF267" s="66">
        <f t="shared" si="798"/>
        <v>-296.57139999999998</v>
      </c>
      <c r="BG267" s="66">
        <f t="shared" si="798"/>
        <v>-351.83139999999997</v>
      </c>
      <c r="BH267" s="66">
        <f t="shared" si="798"/>
        <v>-406.5394</v>
      </c>
      <c r="BI267" s="183">
        <f>BH267</f>
        <v>-406.5394</v>
      </c>
      <c r="BJ267" s="66"/>
      <c r="BK267" s="66"/>
      <c r="BL267" s="66"/>
      <c r="BM267" s="66"/>
      <c r="BN267" s="183">
        <f>BI267-BN219</f>
        <v>-645.01707999999996</v>
      </c>
      <c r="BO267" s="66"/>
      <c r="BP267" s="66"/>
      <c r="BQ267" s="66"/>
      <c r="BR267" s="66"/>
      <c r="BS267" s="183">
        <f>BN267-BS219</f>
        <v>-913.30446999999992</v>
      </c>
      <c r="BT267" s="72"/>
      <c r="BU267" s="373"/>
      <c r="BV267" s="238"/>
      <c r="BW267" s="72"/>
      <c r="BX267" s="72"/>
      <c r="BY267" s="72"/>
      <c r="BZ267" s="531"/>
      <c r="CA267" s="331"/>
      <c r="CB267" s="331"/>
      <c r="CC267" s="331"/>
      <c r="CD267" s="331"/>
      <c r="CE267" s="331"/>
      <c r="CF267" s="331"/>
      <c r="CG267" s="331"/>
      <c r="CH267" s="373"/>
      <c r="CI267" s="72"/>
      <c r="CJ267"/>
      <c r="CK267"/>
      <c r="CL267"/>
      <c r="CM267"/>
      <c r="CN267"/>
      <c r="CO267"/>
      <c r="CP267" s="418"/>
    </row>
    <row r="268" spans="1:94" s="140" customFormat="1" ht="12.75" customHeight="1" x14ac:dyDescent="0.2">
      <c r="A268" s="81" t="s">
        <v>252</v>
      </c>
      <c r="B268" s="45"/>
      <c r="C268" s="45"/>
      <c r="D268" s="45"/>
      <c r="E268" s="45"/>
      <c r="F268" s="178">
        <f t="shared" ref="F268:U268" si="799">F267+F266</f>
        <v>50.82</v>
      </c>
      <c r="G268" s="45">
        <f t="shared" si="799"/>
        <v>47.493250000000003</v>
      </c>
      <c r="H268" s="45">
        <f t="shared" si="799"/>
        <v>44.166499999999999</v>
      </c>
      <c r="I268" s="45">
        <f t="shared" si="799"/>
        <v>40.839749999999995</v>
      </c>
      <c r="J268" s="45">
        <f t="shared" si="799"/>
        <v>37.513000000000005</v>
      </c>
      <c r="K268" s="178">
        <f t="shared" si="799"/>
        <v>37.512999999999991</v>
      </c>
      <c r="L268" s="45">
        <f t="shared" si="799"/>
        <v>20.350999999999999</v>
      </c>
      <c r="M268" s="45">
        <f t="shared" si="799"/>
        <v>19.690999999999999</v>
      </c>
      <c r="N268" s="45">
        <f t="shared" si="799"/>
        <v>19.030999999999999</v>
      </c>
      <c r="O268" s="45">
        <f t="shared" si="799"/>
        <v>35.394000000000005</v>
      </c>
      <c r="P268" s="178">
        <f t="shared" si="799"/>
        <v>35.394000000000005</v>
      </c>
      <c r="Q268" s="45">
        <f t="shared" si="799"/>
        <v>36.572000000000003</v>
      </c>
      <c r="R268" s="45">
        <f t="shared" si="799"/>
        <v>41.197000000000003</v>
      </c>
      <c r="S268" s="45">
        <f t="shared" si="799"/>
        <v>52.287000000000006</v>
      </c>
      <c r="T268" s="45">
        <f t="shared" si="799"/>
        <v>63.516999999999996</v>
      </c>
      <c r="U268" s="178">
        <f t="shared" si="799"/>
        <v>63.516999999999996</v>
      </c>
      <c r="V268" s="45">
        <f>19.633+57.949</f>
        <v>77.581999999999994</v>
      </c>
      <c r="W268" s="45">
        <f>SUM(W266:W267)</f>
        <v>85.003</v>
      </c>
      <c r="X268" s="45">
        <f>SUM(X266:X267)</f>
        <v>93.683000000000007</v>
      </c>
      <c r="Y268" s="45">
        <f>SUM(Y266:Y267)</f>
        <v>114.66000000000001</v>
      </c>
      <c r="Z268" s="178">
        <f>Y268</f>
        <v>114.66000000000001</v>
      </c>
      <c r="AA268" s="45">
        <f>SUM(AA266:AA267)</f>
        <v>115.31199999999998</v>
      </c>
      <c r="AB268" s="45">
        <f>SUM(AB266:AB267)</f>
        <v>116.22699999999999</v>
      </c>
      <c r="AC268" s="45">
        <f>SUM(AC266:AC267)</f>
        <v>121.819</v>
      </c>
      <c r="AD268" s="45">
        <f>SUM(AD266:AD267)</f>
        <v>125.09499999999998</v>
      </c>
      <c r="AE268" s="178">
        <f>AD268</f>
        <v>125.09499999999998</v>
      </c>
      <c r="AF268" s="45">
        <f>SUM(AF266:AF267)</f>
        <v>140.12800000000001</v>
      </c>
      <c r="AG268" s="45">
        <f>SUM(AG266:AG267)</f>
        <v>142.32</v>
      </c>
      <c r="AH268" s="45">
        <f>SUM(AH266:AH267)</f>
        <v>163.99600000000001</v>
      </c>
      <c r="AI268" s="45">
        <f>SUM(AI266:AI267)</f>
        <v>193.28200000000001</v>
      </c>
      <c r="AJ268" s="178">
        <f>AI268</f>
        <v>193.28200000000001</v>
      </c>
      <c r="AK268" s="45">
        <f>SUM(AK266:AK267)</f>
        <v>267.06400000000002</v>
      </c>
      <c r="AL268" s="45">
        <f>SUM(AL266:AL267)</f>
        <v>286.76299999999998</v>
      </c>
      <c r="AM268" s="45">
        <f>SUM(AM266:AM267)</f>
        <v>323.08799999999997</v>
      </c>
      <c r="AN268" s="45">
        <f>SUM(AN266:AN267)</f>
        <v>458.84200000000004</v>
      </c>
      <c r="AO268" s="178">
        <f>AN268</f>
        <v>458.84200000000004</v>
      </c>
      <c r="AP268" s="45">
        <f>SUM(AP266:AP267)</f>
        <v>683.43500000000006</v>
      </c>
      <c r="AQ268" s="45">
        <f>SUM(AQ266:AQ267)</f>
        <v>805.63600000000008</v>
      </c>
      <c r="AR268" s="45">
        <f>SUM(AR266:AR267)</f>
        <v>944.13999999999987</v>
      </c>
      <c r="AS268" s="45">
        <f>SUM(AS266:AS267)</f>
        <v>1077.1569999999999</v>
      </c>
      <c r="AT268" s="178">
        <f>AS268</f>
        <v>1077.1569999999999</v>
      </c>
      <c r="AU268" s="45">
        <f>SUM(AU266:AU267)</f>
        <v>1272.915</v>
      </c>
      <c r="AV268" s="45">
        <f>SUM(AV266:AV267)</f>
        <v>1161.7180000000001</v>
      </c>
      <c r="AW268" s="45">
        <f>SUM(AW266:AW267)</f>
        <v>1302.97</v>
      </c>
      <c r="AX268" s="45">
        <f>SUM(AX266:AX267)</f>
        <v>1367.174</v>
      </c>
      <c r="AY268" s="178">
        <f>AX268</f>
        <v>1367.174</v>
      </c>
      <c r="AZ268" s="45">
        <f t="shared" ref="AZ268:BC268" si="800">SUM(AZ266:AZ267)</f>
        <v>1493.019</v>
      </c>
      <c r="BA268" s="45">
        <f t="shared" si="800"/>
        <v>1663.3040000000001</v>
      </c>
      <c r="BB268" s="45">
        <f t="shared" si="800"/>
        <v>1841.9749999999999</v>
      </c>
      <c r="BC268" s="45">
        <f t="shared" si="800"/>
        <v>2238.4680000000003</v>
      </c>
      <c r="BD268" s="178">
        <f>BC268</f>
        <v>2238.4680000000003</v>
      </c>
      <c r="BE268" s="45">
        <f t="shared" ref="BE268:BH268" si="801">SUM(BE266:BE267)</f>
        <v>2432.4180000000001</v>
      </c>
      <c r="BF268" s="45">
        <f t="shared" si="801"/>
        <v>2901.2046000000005</v>
      </c>
      <c r="BG268" s="45">
        <f t="shared" si="801"/>
        <v>3079.1946000000003</v>
      </c>
      <c r="BH268" s="45">
        <f t="shared" si="801"/>
        <v>2972.7366000000002</v>
      </c>
      <c r="BI268" s="178">
        <f>BH268</f>
        <v>2972.7366000000002</v>
      </c>
      <c r="BJ268" s="45"/>
      <c r="BK268" s="45"/>
      <c r="BL268" s="45"/>
      <c r="BM268" s="45"/>
      <c r="BN268" s="178">
        <f>SUM(BN266:BN267)</f>
        <v>3697.2589199999998</v>
      </c>
      <c r="BO268" s="45"/>
      <c r="BP268" s="45"/>
      <c r="BQ268" s="45"/>
      <c r="BR268" s="45"/>
      <c r="BS268" s="178">
        <f>SUM(BS266:BS267)</f>
        <v>4391.9715299999998</v>
      </c>
      <c r="BT268" s="44"/>
      <c r="BU268" s="368"/>
      <c r="BV268" s="232"/>
      <c r="BW268" s="44"/>
      <c r="BX268" s="44"/>
      <c r="BY268" s="44"/>
      <c r="BZ268" s="531"/>
      <c r="CA268" s="331"/>
      <c r="CB268" s="331"/>
      <c r="CC268" s="331"/>
      <c r="CD268" s="331"/>
      <c r="CE268" s="331"/>
      <c r="CF268" s="331"/>
      <c r="CG268" s="331"/>
      <c r="CH268" s="368"/>
      <c r="CI268" s="44"/>
      <c r="CJ268"/>
      <c r="CK268"/>
      <c r="CL268"/>
      <c r="CM268"/>
      <c r="CN268"/>
      <c r="CO268"/>
      <c r="CP268" s="407"/>
    </row>
    <row r="269" spans="1:94" s="140" customFormat="1" ht="12.75" customHeight="1" x14ac:dyDescent="0.2">
      <c r="A269" s="314" t="s">
        <v>253</v>
      </c>
      <c r="B269" s="45"/>
      <c r="C269" s="45"/>
      <c r="D269" s="45"/>
      <c r="E269" s="45"/>
      <c r="F269" s="178">
        <f t="shared" ref="F269:T269" si="802">F271-F268</f>
        <v>76.368000000000023</v>
      </c>
      <c r="G269" s="77">
        <f t="shared" si="802"/>
        <v>85.33874999999999</v>
      </c>
      <c r="H269" s="77">
        <f t="shared" si="802"/>
        <v>89.364499999999978</v>
      </c>
      <c r="I269" s="77">
        <f t="shared" si="802"/>
        <v>82.981250000000017</v>
      </c>
      <c r="J269" s="77">
        <f t="shared" si="802"/>
        <v>90.401999999999987</v>
      </c>
      <c r="K269" s="178">
        <f t="shared" si="802"/>
        <v>90.402999999999992</v>
      </c>
      <c r="L269" s="77">
        <f t="shared" si="802"/>
        <v>117.167</v>
      </c>
      <c r="M269" s="77">
        <f t="shared" si="802"/>
        <v>127.10799999999998</v>
      </c>
      <c r="N269" s="77">
        <f t="shared" si="802"/>
        <v>132.536</v>
      </c>
      <c r="O269" s="77">
        <f t="shared" si="802"/>
        <v>128.68099999999998</v>
      </c>
      <c r="P269" s="178">
        <f t="shared" si="802"/>
        <v>128.68099999999998</v>
      </c>
      <c r="Q269" s="77">
        <f t="shared" si="802"/>
        <v>136.28299999999999</v>
      </c>
      <c r="R269" s="77">
        <f t="shared" si="802"/>
        <v>148.27999999999997</v>
      </c>
      <c r="S269" s="77">
        <f t="shared" si="802"/>
        <v>155.01399999999998</v>
      </c>
      <c r="T269" s="77">
        <f t="shared" si="802"/>
        <v>161.02100000000002</v>
      </c>
      <c r="U269" s="178">
        <f>T269</f>
        <v>161.02100000000002</v>
      </c>
      <c r="V269" s="77">
        <f>V271-V268</f>
        <v>165.34800000000001</v>
      </c>
      <c r="W269" s="77">
        <f>W271-W268</f>
        <v>170.23300000000006</v>
      </c>
      <c r="X269" s="77">
        <f>X271-X268</f>
        <v>178.59200000000004</v>
      </c>
      <c r="Y269" s="77">
        <f>Y271-Y268</f>
        <v>188.44499999999994</v>
      </c>
      <c r="Z269" s="178">
        <f>Y269</f>
        <v>188.44499999999994</v>
      </c>
      <c r="AA269" s="77">
        <f>AA271-AA268</f>
        <v>195.10600000000002</v>
      </c>
      <c r="AB269" s="77">
        <f>AB271-AB268</f>
        <v>213.73500000000001</v>
      </c>
      <c r="AC269" s="77">
        <f>AC271-AC268</f>
        <v>224.49599999999992</v>
      </c>
      <c r="AD269" s="77">
        <f>AD271-AD268</f>
        <v>247.43200000000007</v>
      </c>
      <c r="AE269" s="178">
        <f>AD269</f>
        <v>247.43200000000007</v>
      </c>
      <c r="AF269" s="77">
        <f>AF271-AF268</f>
        <v>274.49399999999991</v>
      </c>
      <c r="AG269" s="77">
        <f>AG271-AG268</f>
        <v>288.12899999999996</v>
      </c>
      <c r="AH269" s="77">
        <f>AH271-AH268</f>
        <v>299.29899999999986</v>
      </c>
      <c r="AI269" s="77">
        <f>AI271-AI268</f>
        <v>338.40800000000002</v>
      </c>
      <c r="AJ269" s="178">
        <f>AI269</f>
        <v>338.40800000000002</v>
      </c>
      <c r="AK269" s="77">
        <f>AK271-AK268</f>
        <v>356.81400000000014</v>
      </c>
      <c r="AL269" s="77">
        <f>AL271-AL268</f>
        <v>374.62599999999992</v>
      </c>
      <c r="AM269" s="77">
        <f>AM271-AM268</f>
        <v>386.3420000000001</v>
      </c>
      <c r="AN269" s="77">
        <f>AN271-AN268</f>
        <v>412.99799999999999</v>
      </c>
      <c r="AO269" s="178">
        <f>AN269</f>
        <v>412.99799999999999</v>
      </c>
      <c r="AP269" s="77">
        <f>AP271-AP268</f>
        <v>416.34799999999984</v>
      </c>
      <c r="AQ269" s="77">
        <f>AQ271-AQ268</f>
        <v>427.78999999999985</v>
      </c>
      <c r="AR269" s="77">
        <f>AR271-AR268</f>
        <v>414.21000000000004</v>
      </c>
      <c r="AS269" s="77">
        <f>AS271-AS268</f>
        <v>427.04800000000023</v>
      </c>
      <c r="AT269" s="178">
        <f>AS269</f>
        <v>427.04800000000023</v>
      </c>
      <c r="AU269" s="77">
        <f>AU271-AU268</f>
        <v>421.01900000000001</v>
      </c>
      <c r="AV269" s="77">
        <f>AV271-AV268</f>
        <v>684.70299999999975</v>
      </c>
      <c r="AW269" s="77">
        <f>AW271-AW268</f>
        <v>723.15599999999995</v>
      </c>
      <c r="AX269" s="77">
        <f>AX271-AX268</f>
        <v>808.90800000000036</v>
      </c>
      <c r="AY269" s="178">
        <f>AX269</f>
        <v>808.90800000000036</v>
      </c>
      <c r="AZ269" s="77">
        <f>AZ271-AZ268</f>
        <v>799.06400000000008</v>
      </c>
      <c r="BA269" s="77">
        <f>BA271-BA268</f>
        <v>780.53699999999981</v>
      </c>
      <c r="BB269" s="77">
        <f>BB271-BB268</f>
        <v>784.22700000000032</v>
      </c>
      <c r="BC269" s="77">
        <f>BC271-BC268</f>
        <v>625.22099999999909</v>
      </c>
      <c r="BD269" s="178">
        <f>BC269</f>
        <v>625.22099999999909</v>
      </c>
      <c r="BE269" s="45">
        <f t="shared" ref="BE269" si="803">BE270*BE181</f>
        <v>686.32925558694569</v>
      </c>
      <c r="BF269" s="45">
        <f t="shared" ref="BF269:BH269" si="804">BF270*BF181</f>
        <v>717.17583300236345</v>
      </c>
      <c r="BG269" s="45">
        <f t="shared" si="804"/>
        <v>728.62350058826394</v>
      </c>
      <c r="BH269" s="45">
        <f t="shared" si="804"/>
        <v>680.23327610875708</v>
      </c>
      <c r="BI269" s="178">
        <f>BH269</f>
        <v>680.23327610875708</v>
      </c>
      <c r="BJ269" s="45"/>
      <c r="BK269" s="45"/>
      <c r="BL269" s="45"/>
      <c r="BM269" s="45"/>
      <c r="BN269" s="178">
        <f>BN270*BN181</f>
        <v>768.71706009937793</v>
      </c>
      <c r="BO269" s="45"/>
      <c r="BP269" s="45"/>
      <c r="BQ269" s="45"/>
      <c r="BR269" s="45"/>
      <c r="BS269" s="178">
        <f>BS270*BS181</f>
        <v>868.90419372183612</v>
      </c>
      <c r="BT269" s="44"/>
      <c r="BU269" s="368"/>
      <c r="BV269" s="232"/>
      <c r="BW269" s="44"/>
      <c r="BX269" s="44"/>
      <c r="BY269" s="44"/>
      <c r="BZ269" s="531"/>
      <c r="CA269" s="331"/>
      <c r="CB269" s="331"/>
      <c r="CC269" s="331"/>
      <c r="CD269" s="331"/>
      <c r="CE269" s="331"/>
      <c r="CF269" s="331"/>
      <c r="CG269" s="331"/>
      <c r="CH269" s="368"/>
      <c r="CI269" s="44"/>
      <c r="CJ269"/>
      <c r="CK269"/>
      <c r="CL269"/>
      <c r="CM269"/>
      <c r="CN269"/>
      <c r="CO269"/>
      <c r="CP269" s="407"/>
    </row>
    <row r="270" spans="1:94" s="260" customFormat="1" ht="12.75" customHeight="1" x14ac:dyDescent="0.2">
      <c r="A270" s="590" t="s">
        <v>244</v>
      </c>
      <c r="B270" s="18"/>
      <c r="C270" s="18"/>
      <c r="D270" s="18"/>
      <c r="E270" s="18"/>
      <c r="F270" s="166">
        <f>F269/F181</f>
        <v>0.10014739901069564</v>
      </c>
      <c r="G270" s="18"/>
      <c r="H270" s="18"/>
      <c r="I270" s="18"/>
      <c r="J270" s="18">
        <f t="shared" ref="J270:AK270" si="805">J269/J181</f>
        <v>0.11460176766780419</v>
      </c>
      <c r="K270" s="166">
        <f t="shared" si="805"/>
        <v>0.11460303535842684</v>
      </c>
      <c r="L270" s="18">
        <f t="shared" si="805"/>
        <v>0.15523228469034228</v>
      </c>
      <c r="M270" s="18">
        <f t="shared" si="805"/>
        <v>0.17412627264458005</v>
      </c>
      <c r="N270" s="18">
        <f t="shared" si="805"/>
        <v>0.18790184122141301</v>
      </c>
      <c r="O270" s="18">
        <f t="shared" si="805"/>
        <v>0.18382054637190084</v>
      </c>
      <c r="P270" s="166">
        <f t="shared" si="805"/>
        <v>0.18382054637190087</v>
      </c>
      <c r="Q270" s="18">
        <f t="shared" si="805"/>
        <v>0.19085677794131856</v>
      </c>
      <c r="R270" s="18">
        <f t="shared" si="805"/>
        <v>0.20854810966356355</v>
      </c>
      <c r="S270" s="18">
        <f t="shared" si="805"/>
        <v>0.21060025161060675</v>
      </c>
      <c r="T270" s="18">
        <f t="shared" si="805"/>
        <v>0.20610292282388176</v>
      </c>
      <c r="U270" s="166">
        <f t="shared" si="805"/>
        <v>0.20610292282388176</v>
      </c>
      <c r="V270" s="18">
        <f t="shared" si="805"/>
        <v>0.19924422443834985</v>
      </c>
      <c r="W270" s="18">
        <f t="shared" si="805"/>
        <v>0.18336011753453227</v>
      </c>
      <c r="X270" s="18">
        <f t="shared" si="805"/>
        <v>0.17621886060424269</v>
      </c>
      <c r="Y270" s="18">
        <f t="shared" si="805"/>
        <v>0.17592182870201806</v>
      </c>
      <c r="Z270" s="166">
        <f t="shared" si="805"/>
        <v>0.17592182870201808</v>
      </c>
      <c r="AA270" s="18">
        <f t="shared" si="805"/>
        <v>0.17114276165572681</v>
      </c>
      <c r="AB270" s="18">
        <f t="shared" si="805"/>
        <v>0.17657686982211371</v>
      </c>
      <c r="AC270" s="18">
        <f t="shared" si="805"/>
        <v>0.17760211512461238</v>
      </c>
      <c r="AD270" s="18">
        <f t="shared" si="805"/>
        <v>0.18767767910508901</v>
      </c>
      <c r="AE270" s="166">
        <f t="shared" si="805"/>
        <v>0.18767767910508901</v>
      </c>
      <c r="AF270" s="18">
        <f t="shared" si="805"/>
        <v>0.19785775554482346</v>
      </c>
      <c r="AG270" s="18">
        <f t="shared" si="805"/>
        <v>0.19893451977787305</v>
      </c>
      <c r="AH270" s="18">
        <f t="shared" si="805"/>
        <v>0.19153064404553996</v>
      </c>
      <c r="AI270" s="18">
        <f t="shared" si="805"/>
        <v>0.20455214475469741</v>
      </c>
      <c r="AJ270" s="166">
        <f t="shared" si="805"/>
        <v>0.20455214475469738</v>
      </c>
      <c r="AK270" s="18">
        <f t="shared" si="805"/>
        <v>0.20721688100886512</v>
      </c>
      <c r="AL270" s="18">
        <f t="shared" ref="AL270:AX270" si="806">AL269/AL181</f>
        <v>0.20652692243870083</v>
      </c>
      <c r="AM270" s="18">
        <f t="shared" si="806"/>
        <v>0.20582107180472625</v>
      </c>
      <c r="AN270" s="18">
        <f t="shared" si="806"/>
        <v>0.21381356195446216</v>
      </c>
      <c r="AO270" s="166">
        <f t="shared" si="806"/>
        <v>0.21381356195446216</v>
      </c>
      <c r="AP270" s="18">
        <f t="shared" si="806"/>
        <v>0.20954146761767284</v>
      </c>
      <c r="AQ270" s="18">
        <f t="shared" si="806"/>
        <v>0.20959495000568332</v>
      </c>
      <c r="AR270" s="18">
        <f t="shared" si="806"/>
        <v>0.19760946975913407</v>
      </c>
      <c r="AS270" s="18">
        <f t="shared" si="806"/>
        <v>0.19941880854350522</v>
      </c>
      <c r="AT270" s="166">
        <f>AT269/AT181</f>
        <v>0.19941880854350516</v>
      </c>
      <c r="AU270" s="18">
        <f t="shared" si="806"/>
        <v>0.19257578384183699</v>
      </c>
      <c r="AV270" s="18">
        <f t="shared" si="806"/>
        <v>0.30884728342331363</v>
      </c>
      <c r="AW270" s="18">
        <f t="shared" si="806"/>
        <v>0.31949266849602664</v>
      </c>
      <c r="AX270" s="18">
        <f t="shared" si="806"/>
        <v>0.34837352645786585</v>
      </c>
      <c r="AY270" s="166">
        <f>AY269/AY181</f>
        <v>0.34837352645786585</v>
      </c>
      <c r="AZ270" s="18">
        <f>AX269/AX181</f>
        <v>0.34837352645786585</v>
      </c>
      <c r="BA270" s="18">
        <f>AY269/AY181</f>
        <v>0.34837352645786585</v>
      </c>
      <c r="BB270" s="18">
        <f>AZ269/AZ181</f>
        <v>0.33636882939973289</v>
      </c>
      <c r="BC270" s="18">
        <f>BA269/BA181</f>
        <v>0.31307789313579665</v>
      </c>
      <c r="BD270" s="166">
        <f>BD269/BD181</f>
        <v>0.2361404346318603</v>
      </c>
      <c r="BE270" s="139">
        <f>+AZ270-10%</f>
        <v>0.24837352645786584</v>
      </c>
      <c r="BF270" s="139">
        <f t="shared" ref="BF270:BH270" si="807">+BA270-10%</f>
        <v>0.24837352645786584</v>
      </c>
      <c r="BG270" s="139">
        <f t="shared" si="807"/>
        <v>0.23636882939973289</v>
      </c>
      <c r="BH270" s="139">
        <f t="shared" si="807"/>
        <v>0.21307789313579664</v>
      </c>
      <c r="BI270" s="166">
        <f>BI269/BI181</f>
        <v>0.21307789313579661</v>
      </c>
      <c r="BJ270" s="18"/>
      <c r="BK270" s="18"/>
      <c r="BL270" s="139"/>
      <c r="BM270" s="139"/>
      <c r="BN270" s="214">
        <f>BI270</f>
        <v>0.21307789313579661</v>
      </c>
      <c r="BO270" s="18"/>
      <c r="BP270" s="18"/>
      <c r="BQ270" s="139"/>
      <c r="BR270" s="139"/>
      <c r="BS270" s="214">
        <f>BN270</f>
        <v>0.21307789313579661</v>
      </c>
      <c r="BT270" s="148"/>
      <c r="BU270" s="356"/>
      <c r="BV270" s="224"/>
      <c r="BW270" s="148"/>
      <c r="BX270" s="148"/>
      <c r="BY270" s="148"/>
      <c r="BZ270" s="531"/>
      <c r="CA270" s="322"/>
      <c r="CB270" s="322"/>
      <c r="CC270" s="322"/>
      <c r="CD270" s="322"/>
      <c r="CE270" s="322"/>
      <c r="CF270" s="322"/>
      <c r="CG270" s="322"/>
      <c r="CH270" s="356"/>
      <c r="CI270" s="148"/>
      <c r="CJ270"/>
      <c r="CK270"/>
      <c r="CL270"/>
      <c r="CM270"/>
      <c r="CN270"/>
      <c r="CO270"/>
      <c r="CP270" s="391"/>
    </row>
    <row r="271" spans="1:94" s="140" customFormat="1" ht="12.75" customHeight="1" x14ac:dyDescent="0.2">
      <c r="A271" s="82" t="s">
        <v>254</v>
      </c>
      <c r="B271" s="82"/>
      <c r="C271" s="82"/>
      <c r="D271" s="82"/>
      <c r="E271" s="82"/>
      <c r="F271" s="207">
        <f t="shared" ref="F271:O271" si="808">F272-F264</f>
        <v>127.18800000000002</v>
      </c>
      <c r="G271" s="450">
        <f t="shared" si="808"/>
        <v>132.83199999999999</v>
      </c>
      <c r="H271" s="450">
        <f t="shared" si="808"/>
        <v>133.53099999999998</v>
      </c>
      <c r="I271" s="450">
        <f t="shared" si="808"/>
        <v>123.82100000000001</v>
      </c>
      <c r="J271" s="450">
        <f t="shared" si="808"/>
        <v>127.91499999999999</v>
      </c>
      <c r="K271" s="207">
        <f t="shared" si="808"/>
        <v>127.91599999999998</v>
      </c>
      <c r="L271" s="450">
        <f t="shared" si="808"/>
        <v>137.518</v>
      </c>
      <c r="M271" s="450">
        <f t="shared" si="808"/>
        <v>146.79899999999998</v>
      </c>
      <c r="N271" s="450">
        <f t="shared" si="808"/>
        <v>151.56700000000001</v>
      </c>
      <c r="O271" s="450">
        <f t="shared" si="808"/>
        <v>164.07499999999999</v>
      </c>
      <c r="P271" s="207">
        <f>O271</f>
        <v>164.07499999999999</v>
      </c>
      <c r="Q271" s="450">
        <f>Q272-Q264</f>
        <v>172.85499999999999</v>
      </c>
      <c r="R271" s="450">
        <f>R272-R264</f>
        <v>189.47699999999998</v>
      </c>
      <c r="S271" s="450">
        <f>S272-S264</f>
        <v>207.30099999999999</v>
      </c>
      <c r="T271" s="450">
        <f>T272-T264</f>
        <v>224.53800000000001</v>
      </c>
      <c r="U271" s="207">
        <f>T271</f>
        <v>224.53800000000001</v>
      </c>
      <c r="V271" s="450">
        <f>V272-V264</f>
        <v>242.93</v>
      </c>
      <c r="W271" s="450">
        <f>W272-W264</f>
        <v>255.23600000000005</v>
      </c>
      <c r="X271" s="450">
        <f>X272-X264</f>
        <v>272.27500000000003</v>
      </c>
      <c r="Y271" s="450">
        <f>Y272-Y264</f>
        <v>303.10499999999996</v>
      </c>
      <c r="Z271" s="207">
        <f>Y271</f>
        <v>303.10499999999996</v>
      </c>
      <c r="AA271" s="450">
        <f>AA272-AA264</f>
        <v>310.41800000000001</v>
      </c>
      <c r="AB271" s="450">
        <f>AB272-AB264</f>
        <v>329.96199999999999</v>
      </c>
      <c r="AC271" s="450">
        <f>AC272-AC264</f>
        <v>346.31499999999994</v>
      </c>
      <c r="AD271" s="450">
        <f>AD272-AD264</f>
        <v>372.52700000000004</v>
      </c>
      <c r="AE271" s="207">
        <f>AD271</f>
        <v>372.52700000000004</v>
      </c>
      <c r="AF271" s="450">
        <f>AF272-AF264</f>
        <v>414.62199999999996</v>
      </c>
      <c r="AG271" s="450">
        <f>AG272-AG264</f>
        <v>430.44899999999996</v>
      </c>
      <c r="AH271" s="450">
        <f>AH272-AH264</f>
        <v>463.29499999999985</v>
      </c>
      <c r="AI271" s="450">
        <f>AI272-AI264</f>
        <v>531.69000000000005</v>
      </c>
      <c r="AJ271" s="207">
        <f>AI271</f>
        <v>531.69000000000005</v>
      </c>
      <c r="AK271" s="450">
        <f>AK272-AK264</f>
        <v>623.87800000000016</v>
      </c>
      <c r="AL271" s="450">
        <f>AL272-AL264</f>
        <v>661.3889999999999</v>
      </c>
      <c r="AM271" s="450">
        <f>AM272-AM264</f>
        <v>709.43000000000006</v>
      </c>
      <c r="AN271" s="450">
        <f>AN272-AN264</f>
        <v>871.84</v>
      </c>
      <c r="AO271" s="207">
        <f>AN271</f>
        <v>871.84</v>
      </c>
      <c r="AP271" s="450">
        <f>AP272-AP264</f>
        <v>1099.7829999999999</v>
      </c>
      <c r="AQ271" s="450">
        <f>AQ272-AQ264</f>
        <v>1233.4259999999999</v>
      </c>
      <c r="AR271" s="450">
        <f>AR272-AR264</f>
        <v>1358.35</v>
      </c>
      <c r="AS271" s="450">
        <f>AS272-AS264</f>
        <v>1504.2050000000002</v>
      </c>
      <c r="AT271" s="207">
        <f>AS271</f>
        <v>1504.2050000000002</v>
      </c>
      <c r="AU271" s="450">
        <f>AU272-AU264</f>
        <v>1693.934</v>
      </c>
      <c r="AV271" s="450">
        <f>AV272-AV264</f>
        <v>1846.4209999999998</v>
      </c>
      <c r="AW271" s="450">
        <f>AW272-AW264</f>
        <v>2026.126</v>
      </c>
      <c r="AX271" s="450">
        <f>AX272-AX264</f>
        <v>2176.0820000000003</v>
      </c>
      <c r="AY271" s="207">
        <f>AX271</f>
        <v>2176.0820000000003</v>
      </c>
      <c r="AZ271" s="450">
        <f>AZ272-AZ264</f>
        <v>2292.0830000000001</v>
      </c>
      <c r="BA271" s="450">
        <f>BA272-BA264</f>
        <v>2443.8409999999999</v>
      </c>
      <c r="BB271" s="450">
        <f>BB272-BB264</f>
        <v>2626.2020000000002</v>
      </c>
      <c r="BC271" s="450">
        <f>BC272-BC264</f>
        <v>2863.6889999999994</v>
      </c>
      <c r="BD271" s="207">
        <f>BC271</f>
        <v>2863.6889999999994</v>
      </c>
      <c r="BE271" s="82">
        <f t="shared" ref="BE271" si="809">BE269+BE268</f>
        <v>3118.7472555869458</v>
      </c>
      <c r="BF271" s="82">
        <f t="shared" ref="BF271:BH271" si="810">BF269+BF268</f>
        <v>3618.380433002364</v>
      </c>
      <c r="BG271" s="82">
        <f t="shared" si="810"/>
        <v>3807.8181005882643</v>
      </c>
      <c r="BH271" s="82">
        <f t="shared" si="810"/>
        <v>3652.9698761087575</v>
      </c>
      <c r="BI271" s="207">
        <f>BH271</f>
        <v>3652.9698761087575</v>
      </c>
      <c r="BJ271" s="82"/>
      <c r="BK271" s="82"/>
      <c r="BL271" s="82"/>
      <c r="BM271" s="82"/>
      <c r="BN271" s="207">
        <f>BN269+BN268</f>
        <v>4465.9759800993779</v>
      </c>
      <c r="BO271" s="82"/>
      <c r="BP271" s="82"/>
      <c r="BQ271" s="82"/>
      <c r="BR271" s="82"/>
      <c r="BS271" s="207">
        <f>BS269+BS268</f>
        <v>5260.875723721836</v>
      </c>
      <c r="BT271" s="44"/>
      <c r="BU271" s="368"/>
      <c r="BV271" s="232"/>
      <c r="BW271" s="44"/>
      <c r="BX271" s="44"/>
      <c r="BY271" s="44"/>
      <c r="BZ271" s="531"/>
      <c r="CA271" s="331"/>
      <c r="CB271" s="331"/>
      <c r="CC271" s="331"/>
      <c r="CD271" s="331"/>
      <c r="CE271" s="331"/>
      <c r="CF271" s="331"/>
      <c r="CG271" s="331"/>
      <c r="CH271" s="368"/>
      <c r="CI271" s="44"/>
      <c r="CJ271"/>
      <c r="CK271"/>
      <c r="CL271"/>
      <c r="CM271"/>
      <c r="CN271"/>
      <c r="CO271"/>
      <c r="CP271" s="424"/>
    </row>
    <row r="272" spans="1:94" s="140" customFormat="1" ht="12.75" customHeight="1" x14ac:dyDescent="0.2">
      <c r="A272" s="132" t="s">
        <v>255</v>
      </c>
      <c r="B272" s="137"/>
      <c r="C272" s="137"/>
      <c r="D272" s="137"/>
      <c r="E272" s="137"/>
      <c r="F272" s="876">
        <v>257.38200000000001</v>
      </c>
      <c r="G272" s="863">
        <v>267.87099999999998</v>
      </c>
      <c r="H272" s="863">
        <v>308.38099999999997</v>
      </c>
      <c r="I272" s="863">
        <v>234.70500000000001</v>
      </c>
      <c r="J272" s="863">
        <v>238.06899999999999</v>
      </c>
      <c r="K272" s="205">
        <v>238.06899999999999</v>
      </c>
      <c r="L272" s="863">
        <v>269.71899999999999</v>
      </c>
      <c r="M272" s="863">
        <v>291.95</v>
      </c>
      <c r="N272" s="863">
        <v>291.45400000000001</v>
      </c>
      <c r="O272" s="863">
        <v>327.86599999999999</v>
      </c>
      <c r="P272" s="205">
        <f>O272</f>
        <v>327.86599999999999</v>
      </c>
      <c r="Q272" s="863">
        <v>379.411</v>
      </c>
      <c r="R272" s="863">
        <v>371.85399999999998</v>
      </c>
      <c r="S272" s="863">
        <v>448.87799999999999</v>
      </c>
      <c r="T272" s="863">
        <v>475.75700000000001</v>
      </c>
      <c r="U272" s="205">
        <f>T272</f>
        <v>475.75700000000001</v>
      </c>
      <c r="V272" s="863">
        <v>545.24</v>
      </c>
      <c r="W272" s="863">
        <v>709.96400000000006</v>
      </c>
      <c r="X272" s="863">
        <v>722.16300000000001</v>
      </c>
      <c r="Y272" s="863">
        <v>745.81299999999999</v>
      </c>
      <c r="Z272" s="205">
        <f>Y272</f>
        <v>745.81299999999999</v>
      </c>
      <c r="AA272" s="863">
        <v>844.89400000000001</v>
      </c>
      <c r="AB272" s="863">
        <v>869.52499999999998</v>
      </c>
      <c r="AC272" s="863">
        <v>884.68</v>
      </c>
      <c r="AD272" s="863">
        <v>919.88400000000001</v>
      </c>
      <c r="AE272" s="205">
        <f>AD272</f>
        <v>919.88400000000001</v>
      </c>
      <c r="AF272" s="863">
        <v>1019.752</v>
      </c>
      <c r="AG272" s="863">
        <v>1107.0609999999999</v>
      </c>
      <c r="AH272" s="863">
        <v>1125.1389999999999</v>
      </c>
      <c r="AI272" s="863">
        <v>1180.7650000000001</v>
      </c>
      <c r="AJ272" s="205">
        <f>AI272</f>
        <v>1180.7650000000001</v>
      </c>
      <c r="AK272" s="863">
        <v>1299.2550000000001</v>
      </c>
      <c r="AL272" s="863">
        <v>1349.85</v>
      </c>
      <c r="AM272" s="863">
        <v>1413.5540000000001</v>
      </c>
      <c r="AN272" s="863">
        <v>1602.981</v>
      </c>
      <c r="AO272" s="205">
        <f>AN272</f>
        <v>1602.981</v>
      </c>
      <c r="AP272" s="863">
        <v>1955.856</v>
      </c>
      <c r="AQ272" s="863">
        <v>2105.337</v>
      </c>
      <c r="AR272" s="863">
        <v>2276.922</v>
      </c>
      <c r="AS272" s="863">
        <v>2530.5450000000001</v>
      </c>
      <c r="AT272" s="205">
        <f>AS272</f>
        <v>2530.5450000000001</v>
      </c>
      <c r="AU272" s="863">
        <v>2763.248</v>
      </c>
      <c r="AV272" s="863">
        <v>3030.2</v>
      </c>
      <c r="AW272" s="863">
        <v>3129.625</v>
      </c>
      <c r="AX272" s="863">
        <v>3151.9270000000001</v>
      </c>
      <c r="AY272" s="205">
        <f>AX272</f>
        <v>3151.9270000000001</v>
      </c>
      <c r="AZ272" s="863">
        <v>3438.614</v>
      </c>
      <c r="BA272" s="863">
        <v>3674.3449999999998</v>
      </c>
      <c r="BB272" s="863">
        <v>3870.942</v>
      </c>
      <c r="BC272" s="863">
        <v>4139.9449999999997</v>
      </c>
      <c r="BD272" s="205">
        <f>BC272</f>
        <v>4139.9449999999997</v>
      </c>
      <c r="BE272" s="137">
        <f t="shared" ref="BE272" si="811">BE271+BE264</f>
        <v>4461.9970164740926</v>
      </c>
      <c r="BF272" s="137">
        <f t="shared" ref="BF272:BH272" si="812">BF271+BF264</f>
        <v>4657.4079816342328</v>
      </c>
      <c r="BG272" s="137">
        <f t="shared" si="812"/>
        <v>4882.0479511038502</v>
      </c>
      <c r="BH272" s="137">
        <f t="shared" si="812"/>
        <v>5066.4738258598891</v>
      </c>
      <c r="BI272" s="205">
        <f>BH272</f>
        <v>5066.4738258598891</v>
      </c>
      <c r="BJ272" s="137"/>
      <c r="BK272" s="137"/>
      <c r="BL272" s="137"/>
      <c r="BM272" s="137"/>
      <c r="BN272" s="205">
        <f>BN271+BN264</f>
        <v>5872.263001305113</v>
      </c>
      <c r="BO272" s="137"/>
      <c r="BP272" s="137"/>
      <c r="BQ272" s="137"/>
      <c r="BR272" s="137"/>
      <c r="BS272" s="205">
        <f>BS271+BS264</f>
        <v>6819.0989281648099</v>
      </c>
      <c r="BT272" s="44"/>
      <c r="BU272" s="368"/>
      <c r="BV272" s="232"/>
      <c r="BW272" s="44"/>
      <c r="BX272" s="44"/>
      <c r="BY272" s="44"/>
      <c r="BZ272" s="531"/>
      <c r="CA272" s="331"/>
      <c r="CB272" s="331"/>
      <c r="CC272" s="331"/>
      <c r="CD272" s="331"/>
      <c r="CE272" s="331"/>
      <c r="CF272" s="331"/>
      <c r="CG272" s="331"/>
      <c r="CH272" s="368"/>
      <c r="CI272" s="44"/>
      <c r="CJ272"/>
      <c r="CK272"/>
      <c r="CL272"/>
      <c r="CM272"/>
      <c r="CN272"/>
      <c r="CO272"/>
      <c r="CP272" s="137"/>
    </row>
    <row r="273" spans="1:94" s="254" customFormat="1" ht="12.75" customHeight="1" x14ac:dyDescent="0.2">
      <c r="A273" s="9" t="s">
        <v>256</v>
      </c>
      <c r="B273" s="9"/>
      <c r="C273" s="9"/>
      <c r="D273" s="9"/>
      <c r="E273" s="9"/>
      <c r="F273" s="165"/>
      <c r="G273" s="9"/>
      <c r="H273" s="9"/>
      <c r="I273" s="9"/>
      <c r="J273" s="9"/>
      <c r="K273" s="165"/>
      <c r="L273" s="9"/>
      <c r="M273" s="9"/>
      <c r="N273" s="9"/>
      <c r="O273" s="9"/>
      <c r="P273" s="165"/>
      <c r="Q273" s="9"/>
      <c r="R273" s="9"/>
      <c r="S273" s="9"/>
      <c r="T273" s="9"/>
      <c r="U273" s="165"/>
      <c r="V273" s="9"/>
      <c r="W273" s="9"/>
      <c r="X273" s="9"/>
      <c r="Y273" s="9"/>
      <c r="Z273" s="165"/>
      <c r="AA273" s="9"/>
      <c r="AB273" s="9"/>
      <c r="AC273" s="9"/>
      <c r="AD273" s="9"/>
      <c r="AE273" s="165"/>
      <c r="AF273" s="9"/>
      <c r="AG273" s="9"/>
      <c r="AH273" s="9"/>
      <c r="AI273" s="9"/>
      <c r="AJ273" s="165"/>
      <c r="AK273" s="9"/>
      <c r="AL273" s="9"/>
      <c r="AM273" s="9"/>
      <c r="AN273" s="9"/>
      <c r="AO273" s="165"/>
      <c r="AP273" s="9"/>
      <c r="AQ273" s="9"/>
      <c r="AR273" s="9"/>
      <c r="AS273" s="9"/>
      <c r="AT273" s="165"/>
      <c r="AU273" s="9"/>
      <c r="AV273" s="9"/>
      <c r="AW273" s="9"/>
      <c r="AX273" s="9"/>
      <c r="AY273" s="165"/>
      <c r="AZ273" s="9"/>
      <c r="BA273" s="9"/>
      <c r="BB273" s="9"/>
      <c r="BC273" s="9"/>
      <c r="BD273" s="165"/>
      <c r="BE273" s="9"/>
      <c r="BF273" s="9"/>
      <c r="BG273" s="9"/>
      <c r="BH273" s="9"/>
      <c r="BI273" s="165"/>
      <c r="BJ273" s="9"/>
      <c r="BK273" s="9"/>
      <c r="BL273" s="9"/>
      <c r="BM273" s="9"/>
      <c r="BN273" s="165"/>
      <c r="BO273" s="9"/>
      <c r="BP273" s="9"/>
      <c r="BQ273" s="9"/>
      <c r="BR273" s="9"/>
      <c r="BS273" s="165"/>
      <c r="BT273" s="249"/>
      <c r="BU273" s="8"/>
      <c r="BV273" s="280"/>
      <c r="BW273" s="249"/>
      <c r="BX273" s="249"/>
      <c r="BY273" s="249"/>
      <c r="BZ273" s="432"/>
      <c r="CA273" s="320"/>
      <c r="CB273" s="320"/>
      <c r="CC273" s="320"/>
      <c r="CD273" s="320"/>
      <c r="CE273" s="320"/>
      <c r="CF273" s="320"/>
      <c r="CG273" s="320"/>
      <c r="CH273" s="8"/>
      <c r="CI273" s="249"/>
      <c r="CJ273"/>
      <c r="CK273"/>
      <c r="CL273"/>
      <c r="CM273"/>
      <c r="CN273"/>
      <c r="CO273"/>
      <c r="CP273" s="320"/>
    </row>
    <row r="274" spans="1:94" s="133" customFormat="1" ht="12.75" customHeight="1" x14ac:dyDescent="0.2">
      <c r="A274" s="72" t="s">
        <v>257</v>
      </c>
      <c r="B274" s="80"/>
      <c r="C274" s="80"/>
      <c r="D274" s="80"/>
      <c r="E274" s="80"/>
      <c r="F274" s="874">
        <v>5.89</v>
      </c>
      <c r="G274" s="861">
        <v>5.7</v>
      </c>
      <c r="H274" s="861">
        <v>5.6</v>
      </c>
      <c r="I274" s="861">
        <v>5.4</v>
      </c>
      <c r="J274" s="861">
        <v>5.2</v>
      </c>
      <c r="K274" s="187">
        <v>5.0990000000000002</v>
      </c>
      <c r="L274" s="861">
        <v>3.24</v>
      </c>
      <c r="M274" s="861">
        <v>3.24</v>
      </c>
      <c r="N274" s="861">
        <v>3.24</v>
      </c>
      <c r="O274" s="861">
        <v>3.24</v>
      </c>
      <c r="P274" s="187">
        <f>O274</f>
        <v>3.24</v>
      </c>
      <c r="Q274" s="861">
        <v>3.24</v>
      </c>
      <c r="R274" s="861">
        <v>3.24</v>
      </c>
      <c r="S274" s="861">
        <v>3.24</v>
      </c>
      <c r="T274" s="861">
        <f>3.24+20</f>
        <v>23.240000000000002</v>
      </c>
      <c r="U274" s="187">
        <f>T274</f>
        <v>23.240000000000002</v>
      </c>
      <c r="V274" s="861">
        <f>20+3.24</f>
        <v>23.240000000000002</v>
      </c>
      <c r="W274" s="861">
        <v>0</v>
      </c>
      <c r="X274" s="861">
        <v>0</v>
      </c>
      <c r="Y274" s="861">
        <v>0</v>
      </c>
      <c r="Z274" s="187">
        <f>Y274</f>
        <v>0</v>
      </c>
      <c r="AA274" s="861">
        <v>0</v>
      </c>
      <c r="AB274" s="861">
        <v>0</v>
      </c>
      <c r="AC274" s="861">
        <v>0</v>
      </c>
      <c r="AD274" s="861">
        <v>0</v>
      </c>
      <c r="AE274" s="187">
        <f>AD274</f>
        <v>0</v>
      </c>
      <c r="AF274" s="861">
        <v>0</v>
      </c>
      <c r="AG274" s="861">
        <v>0</v>
      </c>
      <c r="AH274" s="861">
        <v>0</v>
      </c>
      <c r="AI274" s="861">
        <v>0</v>
      </c>
      <c r="AJ274" s="187">
        <f>AI274</f>
        <v>0</v>
      </c>
      <c r="AK274" s="861">
        <v>0</v>
      </c>
      <c r="AL274" s="861">
        <v>0</v>
      </c>
      <c r="AM274" s="861">
        <v>0</v>
      </c>
      <c r="AN274" s="861">
        <v>10.430999999999999</v>
      </c>
      <c r="AO274" s="187">
        <f>AN274</f>
        <v>10.430999999999999</v>
      </c>
      <c r="AP274" s="861">
        <v>22.184000000000001</v>
      </c>
      <c r="AQ274" s="861">
        <v>29.675999999999998</v>
      </c>
      <c r="AR274" s="861">
        <v>37.758000000000003</v>
      </c>
      <c r="AS274" s="861">
        <v>49.637</v>
      </c>
      <c r="AT274" s="187">
        <f>AS274</f>
        <v>49.637</v>
      </c>
      <c r="AU274" s="861">
        <v>53.012</v>
      </c>
      <c r="AV274" s="861">
        <v>78.596000000000004</v>
      </c>
      <c r="AW274" s="861">
        <v>84.442999999999998</v>
      </c>
      <c r="AX274" s="861">
        <v>84.353999999999999</v>
      </c>
      <c r="AY274" s="187">
        <f>AX274</f>
        <v>84.353999999999999</v>
      </c>
      <c r="AZ274" s="861">
        <v>92.671999999999997</v>
      </c>
      <c r="BA274" s="861">
        <v>95.427999999999997</v>
      </c>
      <c r="BB274" s="861">
        <v>105.958</v>
      </c>
      <c r="BC274" s="861">
        <v>115.43</v>
      </c>
      <c r="BD274" s="183">
        <f>BC274</f>
        <v>115.43</v>
      </c>
      <c r="BE274" s="136">
        <f t="shared" ref="BE274:BH274" si="813">BD274</f>
        <v>115.43</v>
      </c>
      <c r="BF274" s="136">
        <f t="shared" si="813"/>
        <v>115.43</v>
      </c>
      <c r="BG274" s="136">
        <f t="shared" si="813"/>
        <v>115.43</v>
      </c>
      <c r="BH274" s="136">
        <f t="shared" si="813"/>
        <v>115.43</v>
      </c>
      <c r="BI274" s="183">
        <f>BH274</f>
        <v>115.43</v>
      </c>
      <c r="BJ274" s="66"/>
      <c r="BK274" s="66"/>
      <c r="BL274" s="136"/>
      <c r="BM274" s="136"/>
      <c r="BN274" s="183">
        <f>BI274</f>
        <v>115.43</v>
      </c>
      <c r="BO274" s="66"/>
      <c r="BP274" s="66"/>
      <c r="BQ274" s="136"/>
      <c r="BR274" s="136"/>
      <c r="BS274" s="183">
        <f>BN274</f>
        <v>115.43</v>
      </c>
      <c r="BT274" s="71"/>
      <c r="BU274" s="378"/>
      <c r="BV274" s="240"/>
      <c r="BW274" s="71"/>
      <c r="BX274" s="71"/>
      <c r="BY274" s="71"/>
      <c r="BZ274" s="531"/>
      <c r="CA274" s="535"/>
      <c r="CB274" s="535"/>
      <c r="CC274" s="535"/>
      <c r="CD274" s="535"/>
      <c r="CE274" s="535"/>
      <c r="CF274" s="535"/>
      <c r="CG274" s="535"/>
      <c r="CH274" s="378"/>
      <c r="CI274" s="71"/>
      <c r="CJ274"/>
      <c r="CK274"/>
      <c r="CL274"/>
      <c r="CM274"/>
      <c r="CN274"/>
      <c r="CO274"/>
      <c r="CP274" s="423"/>
    </row>
    <row r="275" spans="1:94" s="133" customFormat="1" ht="12.75" customHeight="1" x14ac:dyDescent="0.2">
      <c r="A275" s="72" t="s">
        <v>258</v>
      </c>
      <c r="B275" s="80"/>
      <c r="C275" s="80"/>
      <c r="D275" s="80"/>
      <c r="E275" s="80"/>
      <c r="F275" s="874">
        <v>91.100999999999999</v>
      </c>
      <c r="G275" s="861">
        <v>100.84399999999999</v>
      </c>
      <c r="H275" s="861">
        <v>119.11499999999999</v>
      </c>
      <c r="I275" s="861">
        <v>100.21899999999999</v>
      </c>
      <c r="J275" s="861">
        <v>89.725999999999999</v>
      </c>
      <c r="K275" s="187">
        <v>89.725999999999999</v>
      </c>
      <c r="L275" s="861">
        <v>96.450999999999993</v>
      </c>
      <c r="M275" s="861">
        <v>88.316999999999993</v>
      </c>
      <c r="N275" s="861">
        <v>78.843999999999994</v>
      </c>
      <c r="O275" s="861">
        <v>86.566000000000003</v>
      </c>
      <c r="P275" s="187">
        <f>O275</f>
        <v>86.566000000000003</v>
      </c>
      <c r="Q275" s="861">
        <v>114.322</v>
      </c>
      <c r="R275" s="861">
        <v>109.235</v>
      </c>
      <c r="S275" s="861">
        <v>106.81699999999999</v>
      </c>
      <c r="T275" s="861">
        <v>104.788</v>
      </c>
      <c r="U275" s="187">
        <f>T275</f>
        <v>104.788</v>
      </c>
      <c r="V275" s="861">
        <v>148.03700000000001</v>
      </c>
      <c r="W275" s="861">
        <v>139.791</v>
      </c>
      <c r="X275" s="861">
        <v>123.197</v>
      </c>
      <c r="Y275" s="861">
        <v>112.28</v>
      </c>
      <c r="Z275" s="187">
        <f>Y275</f>
        <v>112.28</v>
      </c>
      <c r="AA275" s="861">
        <v>155.738</v>
      </c>
      <c r="AB275" s="861">
        <v>145.08500000000001</v>
      </c>
      <c r="AC275" s="861">
        <v>136.69300000000001</v>
      </c>
      <c r="AD275" s="861">
        <v>131.41399999999999</v>
      </c>
      <c r="AE275" s="187">
        <f>AD275</f>
        <v>131.41399999999999</v>
      </c>
      <c r="AF275" s="861">
        <v>175.803</v>
      </c>
      <c r="AG275" s="861">
        <v>205.786</v>
      </c>
      <c r="AH275" s="861">
        <v>180.73500000000001</v>
      </c>
      <c r="AI275" s="861">
        <v>167.62700000000001</v>
      </c>
      <c r="AJ275" s="187">
        <f>AI275</f>
        <v>167.62700000000001</v>
      </c>
      <c r="AK275" s="861">
        <v>230.06800000000001</v>
      </c>
      <c r="AL275" s="861">
        <v>232.072</v>
      </c>
      <c r="AM275" s="861">
        <v>216.477</v>
      </c>
      <c r="AN275" s="861">
        <v>188.87</v>
      </c>
      <c r="AO275" s="187">
        <f>AN275</f>
        <v>188.87</v>
      </c>
      <c r="AP275" s="861">
        <v>259.404</v>
      </c>
      <c r="AQ275" s="861">
        <v>270.185</v>
      </c>
      <c r="AR275" s="861">
        <v>237.04300000000001</v>
      </c>
      <c r="AS275" s="861">
        <v>216.83099999999999</v>
      </c>
      <c r="AT275" s="187">
        <f>AS275</f>
        <v>216.83099999999999</v>
      </c>
      <c r="AU275" s="861">
        <v>263.43</v>
      </c>
      <c r="AV275" s="861">
        <v>283.851</v>
      </c>
      <c r="AW275" s="861">
        <v>238.79300000000001</v>
      </c>
      <c r="AX275" s="861">
        <v>206.392</v>
      </c>
      <c r="AY275" s="187">
        <f>AX275</f>
        <v>206.392</v>
      </c>
      <c r="AZ275" s="861">
        <v>303.95800000000003</v>
      </c>
      <c r="BA275" s="861">
        <v>312.58699999999999</v>
      </c>
      <c r="BB275" s="861">
        <v>276.93299999999999</v>
      </c>
      <c r="BC275" s="861">
        <v>246.40299999999999</v>
      </c>
      <c r="BD275" s="183">
        <f>BC275</f>
        <v>246.40299999999999</v>
      </c>
      <c r="BE275" s="66">
        <f t="shared" ref="BE275" si="814">BE276*BE182</f>
        <v>352.01803697900704</v>
      </c>
      <c r="BF275" s="66">
        <f t="shared" ref="BF275:BH275" si="815">BF276*BF182</f>
        <v>353.45117895737053</v>
      </c>
      <c r="BG275" s="66">
        <f t="shared" si="815"/>
        <v>330.2441160996363</v>
      </c>
      <c r="BH275" s="66">
        <f t="shared" si="815"/>
        <v>297.24430234561436</v>
      </c>
      <c r="BI275" s="183">
        <f>BH275</f>
        <v>297.24430234561436</v>
      </c>
      <c r="BJ275" s="66"/>
      <c r="BK275" s="66"/>
      <c r="BL275" s="66"/>
      <c r="BM275" s="66"/>
      <c r="BN275" s="183">
        <f>BN276*BN182</f>
        <v>331.05584173742795</v>
      </c>
      <c r="BO275" s="66"/>
      <c r="BP275" s="66"/>
      <c r="BQ275" s="66"/>
      <c r="BR275" s="66"/>
      <c r="BS275" s="183">
        <f>BS276*BS182</f>
        <v>368.71344373506048</v>
      </c>
      <c r="BT275" s="71"/>
      <c r="BU275" s="378"/>
      <c r="BV275" s="240"/>
      <c r="BW275" s="71"/>
      <c r="BX275" s="71"/>
      <c r="BY275" s="71"/>
      <c r="BZ275" s="531"/>
      <c r="CA275" s="535"/>
      <c r="CB275" s="535"/>
      <c r="CC275" s="535"/>
      <c r="CD275" s="535"/>
      <c r="CE275" s="535"/>
      <c r="CF275" s="535"/>
      <c r="CG275" s="535"/>
      <c r="CH275" s="378"/>
      <c r="CI275" s="71"/>
      <c r="CJ275"/>
      <c r="CK275"/>
      <c r="CL275"/>
      <c r="CM275"/>
      <c r="CN275"/>
      <c r="CO275"/>
      <c r="CP275" s="423"/>
    </row>
    <row r="276" spans="1:94" s="265" customFormat="1" ht="12.75" customHeight="1" x14ac:dyDescent="0.2">
      <c r="A276" s="591" t="s">
        <v>245</v>
      </c>
      <c r="B276" s="30"/>
      <c r="C276" s="30"/>
      <c r="D276" s="30"/>
      <c r="E276" s="30"/>
      <c r="F276" s="172">
        <f>F275/F182</f>
        <v>0.13277629116602829</v>
      </c>
      <c r="G276" s="18"/>
      <c r="H276" s="18"/>
      <c r="I276" s="18"/>
      <c r="J276" s="18">
        <f t="shared" ref="J276:AK276" si="816">J275/J182</f>
        <v>0.13614920177777237</v>
      </c>
      <c r="K276" s="172">
        <f t="shared" si="816"/>
        <v>0.13614920177777237</v>
      </c>
      <c r="L276" s="18">
        <f t="shared" si="816"/>
        <v>0.15704386110595508</v>
      </c>
      <c r="M276" s="18">
        <f t="shared" si="816"/>
        <v>0.15302870945216565</v>
      </c>
      <c r="N276" s="18">
        <f t="shared" si="816"/>
        <v>0.14371908027371591</v>
      </c>
      <c r="O276" s="18">
        <f t="shared" si="816"/>
        <v>0.1614495132231713</v>
      </c>
      <c r="P276" s="172">
        <f t="shared" si="816"/>
        <v>0.16144951322317133</v>
      </c>
      <c r="Q276" s="18">
        <f t="shared" si="816"/>
        <v>0.21191893389883606</v>
      </c>
      <c r="R276" s="18">
        <f t="shared" si="816"/>
        <v>0.20668952389602233</v>
      </c>
      <c r="S276" s="18">
        <f t="shared" si="816"/>
        <v>0.20138496112455975</v>
      </c>
      <c r="T276" s="18">
        <f t="shared" si="816"/>
        <v>0.19478445784050752</v>
      </c>
      <c r="U276" s="172">
        <f t="shared" si="816"/>
        <v>0.19478445784050752</v>
      </c>
      <c r="V276" s="18">
        <f t="shared" si="816"/>
        <v>0.26705090738535919</v>
      </c>
      <c r="W276" s="18">
        <f t="shared" si="816"/>
        <v>0.22977353193531735</v>
      </c>
      <c r="X276" s="18">
        <f t="shared" si="816"/>
        <v>0.18756156416756109</v>
      </c>
      <c r="Y276" s="18">
        <f t="shared" si="816"/>
        <v>0.1628072210541579</v>
      </c>
      <c r="Z276" s="172">
        <f t="shared" si="816"/>
        <v>0.1628072210541579</v>
      </c>
      <c r="AA276" s="18">
        <f t="shared" si="816"/>
        <v>0.21737516190986647</v>
      </c>
      <c r="AB276" s="18">
        <f t="shared" si="816"/>
        <v>0.19400488338445823</v>
      </c>
      <c r="AC276" s="18">
        <f t="shared" si="816"/>
        <v>0.17907200058689368</v>
      </c>
      <c r="AD276" s="18">
        <f t="shared" si="816"/>
        <v>0.16787856799762899</v>
      </c>
      <c r="AE276" s="172">
        <f t="shared" si="816"/>
        <v>0.16787856799762899</v>
      </c>
      <c r="AF276" s="18">
        <f t="shared" si="816"/>
        <v>0.2139735227498171</v>
      </c>
      <c r="AG276" s="18">
        <f t="shared" si="816"/>
        <v>0.24183998928216349</v>
      </c>
      <c r="AH276" s="18">
        <f t="shared" si="816"/>
        <v>0.1947080268380024</v>
      </c>
      <c r="AI276" s="18">
        <f t="shared" si="816"/>
        <v>0.17000399587025794</v>
      </c>
      <c r="AJ276" s="172">
        <f t="shared" si="816"/>
        <v>0.17000399587025794</v>
      </c>
      <c r="AK276" s="18">
        <f t="shared" si="816"/>
        <v>0.22533616585324767</v>
      </c>
      <c r="AL276" s="18">
        <f t="shared" ref="AL276:BA276" si="817">AL275/AL182</f>
        <v>0.21441156280633095</v>
      </c>
      <c r="AM276" s="18">
        <f t="shared" si="817"/>
        <v>0.19329925904495557</v>
      </c>
      <c r="AN276" s="18">
        <f t="shared" si="817"/>
        <v>0.16495599892399115</v>
      </c>
      <c r="AO276" s="172">
        <f t="shared" si="817"/>
        <v>0.16495599892399115</v>
      </c>
      <c r="AP276" s="18">
        <f t="shared" si="817"/>
        <v>0.22274850587346295</v>
      </c>
      <c r="AQ276" s="18">
        <f t="shared" si="817"/>
        <v>0.23079991731061311</v>
      </c>
      <c r="AR276" s="18">
        <f t="shared" si="817"/>
        <v>0.2020103628709243</v>
      </c>
      <c r="AS276" s="18">
        <f t="shared" si="817"/>
        <v>0.18543055985523432</v>
      </c>
      <c r="AT276" s="172">
        <f>AT275/AT182</f>
        <v>0.18543055985523432</v>
      </c>
      <c r="AU276" s="18">
        <f t="shared" si="817"/>
        <v>0.22544326134918502</v>
      </c>
      <c r="AV276" s="18">
        <f t="shared" si="817"/>
        <v>0.24547662164476108</v>
      </c>
      <c r="AW276" s="18">
        <f t="shared" si="817"/>
        <v>0.2045304654831874</v>
      </c>
      <c r="AX276" s="18">
        <f t="shared" si="817"/>
        <v>0.17190437282039875</v>
      </c>
      <c r="AY276" s="172">
        <f>AY275/AY182</f>
        <v>0.17190437282039875</v>
      </c>
      <c r="AZ276" s="18">
        <f t="shared" si="817"/>
        <v>0.24757179148642608</v>
      </c>
      <c r="BA276" s="18">
        <f t="shared" si="817"/>
        <v>0.23984675564231114</v>
      </c>
      <c r="BB276" s="18">
        <f t="shared" ref="BB276:BC276" si="818">BB275/BB182</f>
        <v>0.20845838216730236</v>
      </c>
      <c r="BC276" s="18">
        <f t="shared" si="818"/>
        <v>0.18037838004032111</v>
      </c>
      <c r="BD276" s="166">
        <f>BD275/BD182</f>
        <v>0.18037838004032108</v>
      </c>
      <c r="BE276" s="139">
        <f>+AZ276</f>
        <v>0.24757179148642608</v>
      </c>
      <c r="BF276" s="139">
        <f>+BA276</f>
        <v>0.23984675564231114</v>
      </c>
      <c r="BG276" s="139">
        <f>+BB276</f>
        <v>0.20845838216730236</v>
      </c>
      <c r="BH276" s="139">
        <f>+BC276</f>
        <v>0.18037838004032111</v>
      </c>
      <c r="BI276" s="166">
        <f>BI275/BI182</f>
        <v>0.18037838004032111</v>
      </c>
      <c r="BJ276" s="18"/>
      <c r="BK276" s="18"/>
      <c r="BL276" s="139"/>
      <c r="BM276" s="139"/>
      <c r="BN276" s="214">
        <f>BI276</f>
        <v>0.18037838004032111</v>
      </c>
      <c r="BO276" s="18"/>
      <c r="BP276" s="18"/>
      <c r="BQ276" s="139"/>
      <c r="BR276" s="139"/>
      <c r="BS276" s="214">
        <f>BN276</f>
        <v>0.18037838004032111</v>
      </c>
      <c r="BT276" s="24"/>
      <c r="BU276" s="362"/>
      <c r="BV276" s="241"/>
      <c r="BW276" s="24"/>
      <c r="BX276" s="24"/>
      <c r="BY276" s="24"/>
      <c r="BZ276" s="531"/>
      <c r="CA276" s="532"/>
      <c r="CB276" s="532"/>
      <c r="CC276" s="532"/>
      <c r="CD276" s="532"/>
      <c r="CE276" s="532"/>
      <c r="CF276" s="532"/>
      <c r="CG276" s="532"/>
      <c r="CH276" s="362"/>
      <c r="CI276" s="24"/>
      <c r="CJ276"/>
      <c r="CK276"/>
      <c r="CL276"/>
      <c r="CM276"/>
      <c r="CN276"/>
      <c r="CO276"/>
      <c r="CP276" s="399"/>
    </row>
    <row r="277" spans="1:94" s="140" customFormat="1" ht="12.75" customHeight="1" x14ac:dyDescent="0.2">
      <c r="A277" s="44" t="s">
        <v>259</v>
      </c>
      <c r="B277" s="45"/>
      <c r="C277" s="45"/>
      <c r="D277" s="45"/>
      <c r="E277" s="45"/>
      <c r="F277" s="178">
        <f t="shared" ref="F277:X277" si="819">F279-F275-F274</f>
        <v>119.42999999999999</v>
      </c>
      <c r="G277" s="77">
        <f t="shared" si="819"/>
        <v>109.79</v>
      </c>
      <c r="H277" s="77">
        <f t="shared" si="819"/>
        <v>110.06400000000001</v>
      </c>
      <c r="I277" s="77">
        <f t="shared" si="819"/>
        <v>104.38999999999999</v>
      </c>
      <c r="J277" s="77">
        <f t="shared" si="819"/>
        <v>83.720999999999989</v>
      </c>
      <c r="K277" s="178">
        <f t="shared" si="819"/>
        <v>83.821999999999989</v>
      </c>
      <c r="L277" s="77">
        <f t="shared" si="819"/>
        <v>91.538000000000025</v>
      </c>
      <c r="M277" s="77">
        <f t="shared" si="819"/>
        <v>98.183000000000021</v>
      </c>
      <c r="N277" s="77">
        <f t="shared" si="819"/>
        <v>92.508000000000024</v>
      </c>
      <c r="O277" s="77">
        <f t="shared" si="819"/>
        <v>74.087000000000003</v>
      </c>
      <c r="P277" s="178">
        <f t="shared" si="819"/>
        <v>74.087000000000003</v>
      </c>
      <c r="Q277" s="77">
        <f t="shared" si="819"/>
        <v>84.988000000000014</v>
      </c>
      <c r="R277" s="77">
        <f t="shared" si="819"/>
        <v>90.723000000000013</v>
      </c>
      <c r="S277" s="77">
        <f t="shared" si="819"/>
        <v>106.96600000000001</v>
      </c>
      <c r="T277" s="77">
        <f t="shared" si="819"/>
        <v>86.40100000000001</v>
      </c>
      <c r="U277" s="178">
        <f t="shared" si="819"/>
        <v>86.40100000000001</v>
      </c>
      <c r="V277" s="77">
        <f t="shared" si="819"/>
        <v>103.45899999999997</v>
      </c>
      <c r="W277" s="77">
        <f t="shared" si="819"/>
        <v>117.01800000000003</v>
      </c>
      <c r="X277" s="77">
        <f t="shared" si="819"/>
        <v>115.821</v>
      </c>
      <c r="Y277" s="77">
        <f>Y279-Y275-Y274</f>
        <v>114.78399999999999</v>
      </c>
      <c r="Z277" s="178">
        <f>Y277</f>
        <v>114.78399999999999</v>
      </c>
      <c r="AA277" s="77">
        <f>AA279-AA275-AA274</f>
        <v>141.91699999999997</v>
      </c>
      <c r="AB277" s="77">
        <f>AB279-AB275-AB274</f>
        <v>146.078</v>
      </c>
      <c r="AC277" s="77">
        <f>AC279-AC275-AC274</f>
        <v>131.12699999999998</v>
      </c>
      <c r="AD277" s="77">
        <f>AD279-AD275-AD274</f>
        <v>145.48000000000002</v>
      </c>
      <c r="AE277" s="178">
        <f>AD277</f>
        <v>145.48000000000002</v>
      </c>
      <c r="AF277" s="77">
        <f>AF279-AF275-AF274</f>
        <v>167.45999999999998</v>
      </c>
      <c r="AG277" s="77">
        <f>AG279-AG275-AG274</f>
        <v>174.613</v>
      </c>
      <c r="AH277" s="77">
        <f>AH279-AH275-AH274</f>
        <v>150.536</v>
      </c>
      <c r="AI277" s="77">
        <f>AI279-AI275-AI274</f>
        <v>168.36599999999999</v>
      </c>
      <c r="AJ277" s="178">
        <f>AI277</f>
        <v>168.36599999999999</v>
      </c>
      <c r="AK277" s="77">
        <f>AK279-AK275-AK274</f>
        <v>185.91299999999998</v>
      </c>
      <c r="AL277" s="77">
        <f>AL279-AL275-AL274</f>
        <v>168.46600000000001</v>
      </c>
      <c r="AM277" s="77">
        <f>AM279-AM275-AM274</f>
        <v>178.34</v>
      </c>
      <c r="AN277" s="77">
        <f>AN279-AN275-AN274</f>
        <v>166.32300000000001</v>
      </c>
      <c r="AO277" s="178">
        <f>AN277</f>
        <v>166.32300000000001</v>
      </c>
      <c r="AP277" s="77">
        <f>AP279-AP275-AP274</f>
        <v>204.70900000000003</v>
      </c>
      <c r="AQ277" s="77">
        <f>AQ279-AQ275-AQ274</f>
        <v>229.63</v>
      </c>
      <c r="AR277" s="77">
        <f>AR279-AR275-AR274</f>
        <v>192.08199999999997</v>
      </c>
      <c r="AS277" s="77">
        <f>AS279-AS275-AS274</f>
        <v>199.77200000000002</v>
      </c>
      <c r="AT277" s="178">
        <f>AS277</f>
        <v>199.77200000000002</v>
      </c>
      <c r="AU277" s="77">
        <f>AU279-AU275-AU274</f>
        <v>251.154</v>
      </c>
      <c r="AV277" s="77">
        <f>AV279-AV275-AV274</f>
        <v>245.09799999999996</v>
      </c>
      <c r="AW277" s="77">
        <f>AW279-AW275-AW274</f>
        <v>247.68500000000006</v>
      </c>
      <c r="AX277" s="77">
        <f>AX279-AX275-AX274</f>
        <v>241.20400000000006</v>
      </c>
      <c r="AY277" s="178">
        <f>AX277</f>
        <v>241.20400000000006</v>
      </c>
      <c r="AZ277" s="77">
        <f>AZ279-AZ275-AZ274</f>
        <v>276.54399999999998</v>
      </c>
      <c r="BA277" s="77">
        <f>BA279-BA275-BA274</f>
        <v>277.81500000000005</v>
      </c>
      <c r="BB277" s="77">
        <f>BB279-BB275-BB274</f>
        <v>280.09300000000007</v>
      </c>
      <c r="BC277" s="77">
        <f>BC279-BC275-BC274</f>
        <v>281.18799999999993</v>
      </c>
      <c r="BD277" s="178">
        <f>BC277</f>
        <v>281.18799999999993</v>
      </c>
      <c r="BE277" s="45">
        <f t="shared" ref="BE277" si="820">BE278*BE185</f>
        <v>324.8832353240436</v>
      </c>
      <c r="BF277" s="45">
        <f t="shared" ref="BF277:BH277" si="821">BF278*BF185</f>
        <v>325.15394159565096</v>
      </c>
      <c r="BG277" s="45">
        <f t="shared" si="821"/>
        <v>333.59156690157045</v>
      </c>
      <c r="BH277" s="45">
        <f t="shared" si="821"/>
        <v>336.84359965956878</v>
      </c>
      <c r="BI277" s="178">
        <f>BH277</f>
        <v>336.84359965956878</v>
      </c>
      <c r="BJ277" s="45"/>
      <c r="BK277" s="45"/>
      <c r="BL277" s="45"/>
      <c r="BM277" s="45"/>
      <c r="BN277" s="178">
        <f>BN278*BN185</f>
        <v>378.78322550142053</v>
      </c>
      <c r="BO277" s="45"/>
      <c r="BP277" s="45"/>
      <c r="BQ277" s="45"/>
      <c r="BR277" s="45"/>
      <c r="BS277" s="178">
        <f>BS278*BS185</f>
        <v>423.5882869716894</v>
      </c>
      <c r="BT277" s="44"/>
      <c r="BU277" s="368"/>
      <c r="BV277" s="232"/>
      <c r="BW277" s="44"/>
      <c r="BX277" s="44"/>
      <c r="BY277" s="44"/>
      <c r="BZ277" s="531"/>
      <c r="CA277" s="331"/>
      <c r="CB277" s="331"/>
      <c r="CC277" s="331"/>
      <c r="CD277" s="331"/>
      <c r="CE277" s="331"/>
      <c r="CF277" s="331"/>
      <c r="CG277" s="331"/>
      <c r="CH277" s="368"/>
      <c r="CI277" s="44"/>
      <c r="CJ277"/>
      <c r="CK277"/>
      <c r="CL277"/>
      <c r="CM277"/>
      <c r="CN277"/>
      <c r="CO277"/>
      <c r="CP277" s="407"/>
    </row>
    <row r="278" spans="1:94" s="260" customFormat="1" ht="12.75" customHeight="1" x14ac:dyDescent="0.2">
      <c r="A278" s="590" t="s">
        <v>260</v>
      </c>
      <c r="B278" s="18"/>
      <c r="C278" s="18"/>
      <c r="D278" s="18"/>
      <c r="E278" s="18"/>
      <c r="F278" s="166">
        <f>F277/F185</f>
        <v>0.24885916109270481</v>
      </c>
      <c r="G278" s="18"/>
      <c r="H278" s="18"/>
      <c r="I278" s="18"/>
      <c r="J278" s="18">
        <f t="shared" ref="J278:AK278" si="822">J277/J185</f>
        <v>0.18702459750651737</v>
      </c>
      <c r="K278" s="166">
        <f t="shared" si="822"/>
        <v>0.18725022171487801</v>
      </c>
      <c r="L278" s="18">
        <f t="shared" si="822"/>
        <v>0.21251334912011893</v>
      </c>
      <c r="M278" s="18">
        <f t="shared" si="822"/>
        <v>0.23663001720805363</v>
      </c>
      <c r="N278" s="18">
        <f t="shared" si="822"/>
        <v>0.22834152000592406</v>
      </c>
      <c r="O278" s="18">
        <f t="shared" si="822"/>
        <v>0.18162451307018898</v>
      </c>
      <c r="P278" s="166">
        <f t="shared" si="822"/>
        <v>0.18162451307018898</v>
      </c>
      <c r="Q278" s="18">
        <f t="shared" si="822"/>
        <v>0.20692845594966794</v>
      </c>
      <c r="R278" s="18">
        <f t="shared" si="822"/>
        <v>0.21467411880513387</v>
      </c>
      <c r="S278" s="18">
        <f t="shared" si="822"/>
        <v>0.24214422347734549</v>
      </c>
      <c r="T278" s="18">
        <f t="shared" si="822"/>
        <v>0.18638338445873945</v>
      </c>
      <c r="U278" s="166">
        <f t="shared" si="822"/>
        <v>0.18638338445873948</v>
      </c>
      <c r="V278" s="18">
        <f t="shared" si="822"/>
        <v>0.21452550340162849</v>
      </c>
      <c r="W278" s="18">
        <f t="shared" si="822"/>
        <v>0.23463714035358593</v>
      </c>
      <c r="X278" s="18">
        <f t="shared" si="822"/>
        <v>0.2231769001763125</v>
      </c>
      <c r="Y278" s="18">
        <f t="shared" si="822"/>
        <v>0.21442168127789224</v>
      </c>
      <c r="Z278" s="166">
        <f t="shared" si="822"/>
        <v>0.21442168127789224</v>
      </c>
      <c r="AA278" s="18">
        <f t="shared" si="822"/>
        <v>0.25089499914256869</v>
      </c>
      <c r="AB278" s="18">
        <f t="shared" si="822"/>
        <v>0.24135429901708905</v>
      </c>
      <c r="AC278" s="18">
        <f t="shared" si="822"/>
        <v>0.20329767441860466</v>
      </c>
      <c r="AD278" s="18">
        <f t="shared" si="822"/>
        <v>0.21390059826885785</v>
      </c>
      <c r="AE278" s="166">
        <f t="shared" si="822"/>
        <v>0.21390059826885785</v>
      </c>
      <c r="AF278" s="18">
        <f t="shared" si="822"/>
        <v>0.23457428255653187</v>
      </c>
      <c r="AG278" s="18">
        <f t="shared" si="822"/>
        <v>0.23337432004383796</v>
      </c>
      <c r="AH278" s="18">
        <f t="shared" si="822"/>
        <v>0.19237089951822933</v>
      </c>
      <c r="AI278" s="18">
        <f t="shared" si="822"/>
        <v>0.20541256734598268</v>
      </c>
      <c r="AJ278" s="166">
        <f t="shared" si="822"/>
        <v>0.20541256734598268</v>
      </c>
      <c r="AK278" s="18">
        <f t="shared" si="822"/>
        <v>0.21614196709151848</v>
      </c>
      <c r="AL278" s="18">
        <f t="shared" ref="AL278:BC278" si="823">AL277/AL185</f>
        <v>0.18853857035418833</v>
      </c>
      <c r="AM278" s="18">
        <f t="shared" si="823"/>
        <v>0.19228218926113569</v>
      </c>
      <c r="AN278" s="18">
        <f t="shared" si="823"/>
        <v>0.17343270010823705</v>
      </c>
      <c r="AO278" s="166">
        <f t="shared" si="823"/>
        <v>0.17343270010823705</v>
      </c>
      <c r="AP278" s="18">
        <f t="shared" si="823"/>
        <v>0.2046557894947314</v>
      </c>
      <c r="AQ278" s="18">
        <f t="shared" si="823"/>
        <v>0.2157951567082757</v>
      </c>
      <c r="AR278" s="18">
        <f t="shared" si="823"/>
        <v>0.17174145705122412</v>
      </c>
      <c r="AS278" s="18">
        <f t="shared" si="823"/>
        <v>0.17094736770045277</v>
      </c>
      <c r="AT278" s="166">
        <f>AT277/AT185</f>
        <v>0.17094736770045277</v>
      </c>
      <c r="AU278" s="18">
        <f t="shared" si="823"/>
        <v>0.20379177299670154</v>
      </c>
      <c r="AV278" s="18">
        <f t="shared" si="823"/>
        <v>0.19291915590293351</v>
      </c>
      <c r="AW278" s="18">
        <f t="shared" si="823"/>
        <v>0.18686832869089193</v>
      </c>
      <c r="AX278" s="18">
        <f t="shared" si="823"/>
        <v>0.17360724244007703</v>
      </c>
      <c r="AY278" s="166">
        <f>AY277/AY185</f>
        <v>0.17360724244007703</v>
      </c>
      <c r="AZ278" s="18">
        <f t="shared" si="823"/>
        <v>0.19183156469417964</v>
      </c>
      <c r="BA278" s="18">
        <f t="shared" si="823"/>
        <v>0.1820267167770038</v>
      </c>
      <c r="BB278" s="18">
        <f t="shared" si="823"/>
        <v>0.1765812486327378</v>
      </c>
      <c r="BC278" s="18">
        <f t="shared" si="823"/>
        <v>0.17244629681531085</v>
      </c>
      <c r="BD278" s="166">
        <f>BD277/BD185</f>
        <v>0.17244629681531085</v>
      </c>
      <c r="BE278" s="139">
        <f>+AZ278</f>
        <v>0.19183156469417964</v>
      </c>
      <c r="BF278" s="139">
        <f>+BA278</f>
        <v>0.1820267167770038</v>
      </c>
      <c r="BG278" s="139">
        <f>+BB278</f>
        <v>0.1765812486327378</v>
      </c>
      <c r="BH278" s="139">
        <f>+BC278</f>
        <v>0.17244629681531085</v>
      </c>
      <c r="BI278" s="166">
        <f>BI277/BI185</f>
        <v>0.17244629681531082</v>
      </c>
      <c r="BJ278" s="18"/>
      <c r="BK278" s="18"/>
      <c r="BL278" s="139"/>
      <c r="BM278" s="139"/>
      <c r="BN278" s="214">
        <f>BI278</f>
        <v>0.17244629681531082</v>
      </c>
      <c r="BO278" s="18"/>
      <c r="BP278" s="18"/>
      <c r="BQ278" s="139"/>
      <c r="BR278" s="139"/>
      <c r="BS278" s="214">
        <f>BN278</f>
        <v>0.17244629681531082</v>
      </c>
      <c r="BT278" s="148"/>
      <c r="BU278" s="356"/>
      <c r="BV278" s="224"/>
      <c r="BW278" s="148"/>
      <c r="BX278" s="148"/>
      <c r="BY278" s="148"/>
      <c r="BZ278" s="531"/>
      <c r="CA278" s="322"/>
      <c r="CB278" s="322"/>
      <c r="CC278" s="322"/>
      <c r="CD278" s="322"/>
      <c r="CE278" s="322"/>
      <c r="CF278" s="322"/>
      <c r="CG278" s="322"/>
      <c r="CH278" s="356"/>
      <c r="CI278" s="148"/>
      <c r="CJ278"/>
      <c r="CK278"/>
      <c r="CL278"/>
      <c r="CM278"/>
      <c r="CN278"/>
      <c r="CO278"/>
      <c r="CP278" s="391"/>
    </row>
    <row r="279" spans="1:94" s="140" customFormat="1" ht="12.75" customHeight="1" x14ac:dyDescent="0.2">
      <c r="A279" s="82" t="s">
        <v>261</v>
      </c>
      <c r="B279" s="82"/>
      <c r="C279" s="82"/>
      <c r="D279" s="82"/>
      <c r="E279" s="82"/>
      <c r="F279" s="879">
        <v>216.42099999999999</v>
      </c>
      <c r="G279" s="865">
        <v>216.334</v>
      </c>
      <c r="H279" s="865">
        <v>234.779</v>
      </c>
      <c r="I279" s="865">
        <v>210.00899999999999</v>
      </c>
      <c r="J279" s="865">
        <v>178.64699999999999</v>
      </c>
      <c r="K279" s="207">
        <v>178.64699999999999</v>
      </c>
      <c r="L279" s="865">
        <v>191.22900000000001</v>
      </c>
      <c r="M279" s="865">
        <v>189.74</v>
      </c>
      <c r="N279" s="865">
        <v>174.59200000000001</v>
      </c>
      <c r="O279" s="865">
        <v>163.893</v>
      </c>
      <c r="P279" s="207">
        <f>O279</f>
        <v>163.893</v>
      </c>
      <c r="Q279" s="865">
        <v>202.55</v>
      </c>
      <c r="R279" s="865">
        <v>203.19800000000001</v>
      </c>
      <c r="S279" s="865">
        <v>217.023</v>
      </c>
      <c r="T279" s="865">
        <v>214.429</v>
      </c>
      <c r="U279" s="207">
        <f>T279</f>
        <v>214.429</v>
      </c>
      <c r="V279" s="865">
        <v>274.73599999999999</v>
      </c>
      <c r="W279" s="865">
        <v>256.80900000000003</v>
      </c>
      <c r="X279" s="865">
        <v>239.018</v>
      </c>
      <c r="Y279" s="865">
        <v>227.06399999999999</v>
      </c>
      <c r="Z279" s="207">
        <f>Z277+Z275+Z274</f>
        <v>227.06399999999999</v>
      </c>
      <c r="AA279" s="865">
        <v>297.65499999999997</v>
      </c>
      <c r="AB279" s="865">
        <v>291.16300000000001</v>
      </c>
      <c r="AC279" s="865">
        <v>267.82</v>
      </c>
      <c r="AD279" s="865">
        <v>276.89400000000001</v>
      </c>
      <c r="AE279" s="207">
        <f>AE277+AE275+AE274</f>
        <v>276.89400000000001</v>
      </c>
      <c r="AF279" s="865">
        <v>343.26299999999998</v>
      </c>
      <c r="AG279" s="865">
        <v>380.399</v>
      </c>
      <c r="AH279" s="865">
        <v>331.27100000000002</v>
      </c>
      <c r="AI279" s="865">
        <v>335.99299999999999</v>
      </c>
      <c r="AJ279" s="207">
        <f>AJ277+AJ275+AJ274</f>
        <v>335.99299999999999</v>
      </c>
      <c r="AK279" s="865">
        <v>415.98099999999999</v>
      </c>
      <c r="AL279" s="865">
        <v>400.53800000000001</v>
      </c>
      <c r="AM279" s="865">
        <v>394.81700000000001</v>
      </c>
      <c r="AN279" s="865">
        <v>365.62400000000002</v>
      </c>
      <c r="AO279" s="207">
        <f>AO277+AO275+AO274</f>
        <v>365.62399999999997</v>
      </c>
      <c r="AP279" s="865">
        <v>486.29700000000003</v>
      </c>
      <c r="AQ279" s="865">
        <v>529.49099999999999</v>
      </c>
      <c r="AR279" s="865">
        <v>466.88299999999998</v>
      </c>
      <c r="AS279" s="865">
        <v>466.24</v>
      </c>
      <c r="AT279" s="207">
        <f t="shared" ref="AT279" si="824">AT277+AT275+AT274</f>
        <v>466.24</v>
      </c>
      <c r="AU279" s="865">
        <v>567.596</v>
      </c>
      <c r="AV279" s="865">
        <v>607.54499999999996</v>
      </c>
      <c r="AW279" s="865">
        <v>570.92100000000005</v>
      </c>
      <c r="AX279" s="865">
        <v>531.95000000000005</v>
      </c>
      <c r="AY279" s="207">
        <f t="shared" ref="AY279" si="825">AY277+AY275+AY274</f>
        <v>531.95000000000005</v>
      </c>
      <c r="AZ279" s="865">
        <v>673.17399999999998</v>
      </c>
      <c r="BA279" s="865">
        <v>685.83</v>
      </c>
      <c r="BB279" s="865">
        <v>662.98400000000004</v>
      </c>
      <c r="BC279" s="865">
        <v>643.02099999999996</v>
      </c>
      <c r="BD279" s="207">
        <f t="shared" ref="BD279:BS279" si="826">BD277+BD275+BD274</f>
        <v>643.02099999999996</v>
      </c>
      <c r="BE279" s="82">
        <f t="shared" ref="BE279:BI279" si="827">BE277+BE275+BE274</f>
        <v>792.33127230305058</v>
      </c>
      <c r="BF279" s="82">
        <f t="shared" si="827"/>
        <v>794.03512055302144</v>
      </c>
      <c r="BG279" s="82">
        <f t="shared" si="827"/>
        <v>779.26568300120675</v>
      </c>
      <c r="BH279" s="82">
        <f t="shared" si="827"/>
        <v>749.51790200518326</v>
      </c>
      <c r="BI279" s="207">
        <f t="shared" si="827"/>
        <v>749.51790200518326</v>
      </c>
      <c r="BJ279" s="82"/>
      <c r="BK279" s="82"/>
      <c r="BL279" s="82"/>
      <c r="BM279" s="82"/>
      <c r="BN279" s="207">
        <f t="shared" si="826"/>
        <v>825.26906723884849</v>
      </c>
      <c r="BO279" s="82"/>
      <c r="BP279" s="82"/>
      <c r="BQ279" s="82"/>
      <c r="BR279" s="82"/>
      <c r="BS279" s="207">
        <f t="shared" si="826"/>
        <v>907.73173070674989</v>
      </c>
      <c r="BT279" s="44"/>
      <c r="BU279" s="368"/>
      <c r="BV279" s="232"/>
      <c r="BW279" s="44"/>
      <c r="BX279" s="44"/>
      <c r="BY279" s="44"/>
      <c r="BZ279" s="531"/>
      <c r="CA279" s="331"/>
      <c r="CB279" s="331"/>
      <c r="CC279" s="331"/>
      <c r="CD279" s="331"/>
      <c r="CE279" s="331"/>
      <c r="CF279" s="331"/>
      <c r="CG279" s="331"/>
      <c r="CH279" s="368"/>
      <c r="CI279" s="44"/>
      <c r="CJ279"/>
      <c r="CK279"/>
      <c r="CL279"/>
      <c r="CM279"/>
      <c r="CN279"/>
      <c r="CO279"/>
      <c r="CP279" s="424"/>
    </row>
    <row r="280" spans="1:94" s="133" customFormat="1" ht="12.75" customHeight="1" x14ac:dyDescent="0.2">
      <c r="A280" s="51" t="s">
        <v>262</v>
      </c>
      <c r="B280" s="80"/>
      <c r="C280" s="80"/>
      <c r="D280" s="80"/>
      <c r="E280" s="80"/>
      <c r="F280" s="874">
        <f>3.122+176.772</f>
        <v>179.89400000000001</v>
      </c>
      <c r="G280" s="861">
        <v>185.30699999999999</v>
      </c>
      <c r="H280" s="861">
        <v>185.72900000000001</v>
      </c>
      <c r="I280" s="861">
        <v>186.316</v>
      </c>
      <c r="J280" s="861">
        <v>209.381</v>
      </c>
      <c r="K280" s="187">
        <v>209.381</v>
      </c>
      <c r="L280" s="861">
        <v>209.24299999999999</v>
      </c>
      <c r="M280" s="861">
        <v>209.24600000000001</v>
      </c>
      <c r="N280" s="861">
        <v>209.24600000000001</v>
      </c>
      <c r="O280" s="861">
        <f>227.026+11.966</f>
        <v>238.99200000000002</v>
      </c>
      <c r="P280" s="187">
        <f>O280</f>
        <v>238.99200000000002</v>
      </c>
      <c r="Q280" s="861">
        <f>238.992</f>
        <v>238.99199999999999</v>
      </c>
      <c r="R280" s="861">
        <f>227.026+11.966</f>
        <v>238.99200000000002</v>
      </c>
      <c r="S280" s="861">
        <f>11.966+227.026</f>
        <v>238.99200000000002</v>
      </c>
      <c r="T280" s="861">
        <f>245.621+11.966</f>
        <v>257.58699999999999</v>
      </c>
      <c r="U280" s="187">
        <f>T280</f>
        <v>257.58699999999999</v>
      </c>
      <c r="V280" s="861">
        <f>29.03+245.621</f>
        <v>274.65100000000001</v>
      </c>
      <c r="W280" s="861">
        <v>0</v>
      </c>
      <c r="X280" s="861">
        <f>W280+X245</f>
        <v>0</v>
      </c>
      <c r="Y280" s="861">
        <v>0</v>
      </c>
      <c r="Z280" s="187">
        <f>Y280</f>
        <v>0</v>
      </c>
      <c r="AA280" s="861">
        <v>0</v>
      </c>
      <c r="AB280" s="861">
        <v>0</v>
      </c>
      <c r="AC280" s="861">
        <v>0</v>
      </c>
      <c r="AD280" s="861">
        <v>0</v>
      </c>
      <c r="AE280" s="187">
        <f>AD280</f>
        <v>0</v>
      </c>
      <c r="AF280" s="861">
        <v>0</v>
      </c>
      <c r="AG280" s="861">
        <v>0</v>
      </c>
      <c r="AH280" s="861">
        <v>0</v>
      </c>
      <c r="AI280" s="861">
        <v>0</v>
      </c>
      <c r="AJ280" s="187">
        <f>AI280</f>
        <v>0</v>
      </c>
      <c r="AK280" s="861">
        <v>0</v>
      </c>
      <c r="AL280" s="861">
        <v>0</v>
      </c>
      <c r="AM280" s="861">
        <v>0</v>
      </c>
      <c r="AN280" s="861">
        <v>135.81700000000001</v>
      </c>
      <c r="AO280" s="187">
        <f>AN280</f>
        <v>135.81700000000001</v>
      </c>
      <c r="AP280" s="861">
        <v>302.8</v>
      </c>
      <c r="AQ280" s="861">
        <v>398.97500000000002</v>
      </c>
      <c r="AR280" s="861">
        <v>500.14699999999999</v>
      </c>
      <c r="AS280" s="861">
        <v>596.69299999999998</v>
      </c>
      <c r="AT280" s="187">
        <f>AS280</f>
        <v>596.69299999999998</v>
      </c>
      <c r="AU280" s="861">
        <v>655.10299999999995</v>
      </c>
      <c r="AV280" s="861">
        <v>836.41800000000001</v>
      </c>
      <c r="AW280" s="861">
        <v>894.80899999999997</v>
      </c>
      <c r="AX280" s="861">
        <v>897.35900000000004</v>
      </c>
      <c r="AY280" s="187">
        <f>AX280</f>
        <v>897.35900000000004</v>
      </c>
      <c r="AZ280" s="861">
        <v>991.72199999999998</v>
      </c>
      <c r="BA280" s="861">
        <v>1089.1590000000001</v>
      </c>
      <c r="BB280" s="861">
        <v>1214.1379999999999</v>
      </c>
      <c r="BC280" s="861">
        <v>1387.498</v>
      </c>
      <c r="BD280" s="183">
        <f>BC280</f>
        <v>1387.498</v>
      </c>
      <c r="BE280" s="66">
        <f t="shared" ref="BE280:BH280" si="828">BD280+BE245</f>
        <v>1521.498</v>
      </c>
      <c r="BF280" s="66">
        <f>BE280+BF245</f>
        <v>1655.498</v>
      </c>
      <c r="BG280" s="66">
        <f t="shared" si="828"/>
        <v>1789.498</v>
      </c>
      <c r="BH280" s="66">
        <f t="shared" si="828"/>
        <v>1923.498</v>
      </c>
      <c r="BI280" s="183">
        <f>BH280</f>
        <v>1923.498</v>
      </c>
      <c r="BJ280" s="66"/>
      <c r="BK280" s="66"/>
      <c r="BL280" s="66"/>
      <c r="BM280" s="66"/>
      <c r="BN280" s="183">
        <f>BI280+BN245</f>
        <v>2282.998</v>
      </c>
      <c r="BO280" s="66"/>
      <c r="BP280" s="66"/>
      <c r="BQ280" s="66"/>
      <c r="BR280" s="66"/>
      <c r="BS280" s="183">
        <f>BN280+BS245</f>
        <v>2642.498</v>
      </c>
      <c r="BT280" s="71"/>
      <c r="BU280" s="378"/>
      <c r="BV280" s="240"/>
      <c r="BW280" s="71"/>
      <c r="BX280" s="71"/>
      <c r="BY280" s="71"/>
      <c r="BZ280" s="531"/>
      <c r="CA280" s="535"/>
      <c r="CB280" s="535"/>
      <c r="CC280" s="535"/>
      <c r="CD280" s="535"/>
      <c r="CE280" s="535"/>
      <c r="CF280" s="535"/>
      <c r="CG280" s="535"/>
      <c r="CH280" s="378"/>
      <c r="CI280" s="71"/>
      <c r="CJ280"/>
      <c r="CK280"/>
      <c r="CL280"/>
      <c r="CM280"/>
      <c r="CN280"/>
      <c r="CO280"/>
      <c r="CP280" s="423"/>
    </row>
    <row r="281" spans="1:94" s="133" customFormat="1" ht="12.75" customHeight="1" x14ac:dyDescent="0.2">
      <c r="A281" s="66" t="s">
        <v>263</v>
      </c>
      <c r="B281" s="80"/>
      <c r="C281" s="80"/>
      <c r="D281" s="80"/>
      <c r="E281" s="80"/>
      <c r="F281" s="874">
        <v>138.77699999999999</v>
      </c>
      <c r="G281" s="861">
        <v>88.894999999999996</v>
      </c>
      <c r="H281" s="861">
        <v>90.137</v>
      </c>
      <c r="I281" s="861">
        <v>91.414000000000001</v>
      </c>
      <c r="J281" s="861">
        <v>92.713999999999999</v>
      </c>
      <c r="K281" s="187">
        <v>92.713999999999999</v>
      </c>
      <c r="L281" s="861">
        <v>94.007000000000005</v>
      </c>
      <c r="M281" s="861">
        <v>95.337000000000003</v>
      </c>
      <c r="N281" s="861">
        <v>96.704999999999998</v>
      </c>
      <c r="O281" s="861">
        <v>75.11</v>
      </c>
      <c r="P281" s="187">
        <f>O281</f>
        <v>75.11</v>
      </c>
      <c r="Q281" s="861">
        <v>76.212999999999994</v>
      </c>
      <c r="R281" s="861">
        <v>77.349999999999994</v>
      </c>
      <c r="S281" s="861">
        <v>78.522000000000006</v>
      </c>
      <c r="T281" s="861">
        <v>79.716999999999999</v>
      </c>
      <c r="U281" s="187">
        <f>T281</f>
        <v>79.716999999999999</v>
      </c>
      <c r="V281" s="861">
        <v>80.909000000000006</v>
      </c>
      <c r="W281" s="861">
        <v>0</v>
      </c>
      <c r="X281" s="861">
        <f>W281</f>
        <v>0</v>
      </c>
      <c r="Y281" s="861">
        <f>X281</f>
        <v>0</v>
      </c>
      <c r="Z281" s="187">
        <f>Y281</f>
        <v>0</v>
      </c>
      <c r="AA281" s="861">
        <v>0</v>
      </c>
      <c r="AB281" s="861">
        <v>0</v>
      </c>
      <c r="AC281" s="861">
        <v>0</v>
      </c>
      <c r="AD281" s="861">
        <v>0</v>
      </c>
      <c r="AE281" s="187">
        <f>AD281</f>
        <v>0</v>
      </c>
      <c r="AF281" s="861">
        <v>0</v>
      </c>
      <c r="AG281" s="861">
        <v>0</v>
      </c>
      <c r="AH281" s="861">
        <v>0</v>
      </c>
      <c r="AI281" s="861">
        <v>0</v>
      </c>
      <c r="AJ281" s="187">
        <f>AI281</f>
        <v>0</v>
      </c>
      <c r="AK281" s="861">
        <v>0</v>
      </c>
      <c r="AL281" s="861">
        <v>0</v>
      </c>
      <c r="AM281" s="861">
        <v>0</v>
      </c>
      <c r="AN281" s="861">
        <v>0</v>
      </c>
      <c r="AO281" s="187">
        <f>AN281</f>
        <v>0</v>
      </c>
      <c r="AP281" s="861">
        <v>0</v>
      </c>
      <c r="AQ281" s="861">
        <v>0</v>
      </c>
      <c r="AR281" s="861">
        <v>0</v>
      </c>
      <c r="AS281" s="861">
        <v>0</v>
      </c>
      <c r="AT281" s="187">
        <f>AS281</f>
        <v>0</v>
      </c>
      <c r="AU281" s="861">
        <v>0</v>
      </c>
      <c r="AV281" s="861">
        <v>0</v>
      </c>
      <c r="AW281" s="861">
        <v>0</v>
      </c>
      <c r="AX281" s="861">
        <v>0</v>
      </c>
      <c r="AY281" s="187">
        <f>AX281</f>
        <v>0</v>
      </c>
      <c r="AZ281" s="861">
        <v>0</v>
      </c>
      <c r="BA281" s="861">
        <v>0</v>
      </c>
      <c r="BB281" s="861">
        <v>0</v>
      </c>
      <c r="BC281" s="861">
        <v>0</v>
      </c>
      <c r="BD281" s="183">
        <f>BC281</f>
        <v>0</v>
      </c>
      <c r="BE281" s="66">
        <f t="shared" ref="BE281:BH281" si="829">BD281</f>
        <v>0</v>
      </c>
      <c r="BF281" s="66">
        <f t="shared" si="829"/>
        <v>0</v>
      </c>
      <c r="BG281" s="66">
        <f t="shared" si="829"/>
        <v>0</v>
      </c>
      <c r="BH281" s="66">
        <f t="shared" si="829"/>
        <v>0</v>
      </c>
      <c r="BI281" s="183">
        <f>BH281</f>
        <v>0</v>
      </c>
      <c r="BJ281" s="66"/>
      <c r="BK281" s="66"/>
      <c r="BL281" s="66"/>
      <c r="BM281" s="66"/>
      <c r="BN281" s="183">
        <f>BI281</f>
        <v>0</v>
      </c>
      <c r="BO281" s="66"/>
      <c r="BP281" s="66"/>
      <c r="BQ281" s="66"/>
      <c r="BR281" s="66"/>
      <c r="BS281" s="183">
        <f>BN281</f>
        <v>0</v>
      </c>
      <c r="BT281" s="71"/>
      <c r="BU281" s="378"/>
      <c r="BV281" s="240"/>
      <c r="BW281" s="71"/>
      <c r="BX281" s="71"/>
      <c r="BY281" s="71"/>
      <c r="BZ281" s="531"/>
      <c r="CA281" s="535"/>
      <c r="CB281" s="535"/>
      <c r="CC281" s="535"/>
      <c r="CD281" s="535"/>
      <c r="CE281" s="535"/>
      <c r="CF281" s="535"/>
      <c r="CG281" s="535"/>
      <c r="CH281" s="378"/>
      <c r="CI281" s="71"/>
      <c r="CJ281"/>
      <c r="CK281"/>
      <c r="CL281"/>
      <c r="CM281"/>
      <c r="CN281"/>
      <c r="CO281"/>
      <c r="CP281" s="423"/>
    </row>
    <row r="282" spans="1:94" s="133" customFormat="1" ht="12.75" customHeight="1" x14ac:dyDescent="0.2">
      <c r="A282" s="66" t="s">
        <v>264</v>
      </c>
      <c r="B282" s="80"/>
      <c r="C282" s="80"/>
      <c r="D282" s="80"/>
      <c r="E282" s="80"/>
      <c r="F282" s="874">
        <v>0</v>
      </c>
      <c r="G282" s="861">
        <v>0</v>
      </c>
      <c r="H282" s="861">
        <v>0</v>
      </c>
      <c r="I282" s="861">
        <v>0</v>
      </c>
      <c r="J282" s="861">
        <v>0</v>
      </c>
      <c r="K282" s="187">
        <v>0</v>
      </c>
      <c r="L282" s="861">
        <v>0</v>
      </c>
      <c r="M282" s="861">
        <v>0</v>
      </c>
      <c r="N282" s="861">
        <v>0</v>
      </c>
      <c r="O282" s="861">
        <v>0</v>
      </c>
      <c r="P282" s="187">
        <v>0</v>
      </c>
      <c r="Q282" s="861">
        <v>0</v>
      </c>
      <c r="R282" s="861">
        <v>0</v>
      </c>
      <c r="S282" s="861">
        <v>0</v>
      </c>
      <c r="T282" s="861">
        <v>0</v>
      </c>
      <c r="U282" s="187">
        <f>T282</f>
        <v>0</v>
      </c>
      <c r="V282" s="861">
        <v>0</v>
      </c>
      <c r="W282" s="861">
        <v>0</v>
      </c>
      <c r="X282" s="861">
        <f>W282+X222</f>
        <v>0</v>
      </c>
      <c r="Y282" s="861">
        <v>12.108000000000001</v>
      </c>
      <c r="Z282" s="187">
        <f>Y282</f>
        <v>12.108000000000001</v>
      </c>
      <c r="AA282" s="861">
        <v>15.612</v>
      </c>
      <c r="AB282" s="861">
        <v>22.190999999999999</v>
      </c>
      <c r="AC282" s="861">
        <v>28.311</v>
      </c>
      <c r="AD282" s="861">
        <v>33.216000000000001</v>
      </c>
      <c r="AE282" s="187">
        <f>AD282</f>
        <v>33.216000000000001</v>
      </c>
      <c r="AF282" s="861">
        <v>36.030999999999999</v>
      </c>
      <c r="AG282" s="861">
        <v>43.554000000000002</v>
      </c>
      <c r="AH282" s="861">
        <v>43.932000000000002</v>
      </c>
      <c r="AI282" s="861">
        <v>48.915999999999997</v>
      </c>
      <c r="AJ282" s="187">
        <f>AI282</f>
        <v>48.915999999999997</v>
      </c>
      <c r="AK282" s="861">
        <v>47.469000000000001</v>
      </c>
      <c r="AL282" s="861">
        <v>47.442999999999998</v>
      </c>
      <c r="AM282" s="861">
        <v>47.442999999999998</v>
      </c>
      <c r="AN282" s="861">
        <v>76.010000000000005</v>
      </c>
      <c r="AO282" s="187">
        <f>AN282</f>
        <v>76.010000000000005</v>
      </c>
      <c r="AP282" s="861">
        <v>69.510000000000005</v>
      </c>
      <c r="AQ282" s="861">
        <v>76.378</v>
      </c>
      <c r="AR282" s="861">
        <v>139.459</v>
      </c>
      <c r="AS282" s="861">
        <v>221.48099999999999</v>
      </c>
      <c r="AT282" s="187">
        <f>AS282</f>
        <v>221.48099999999999</v>
      </c>
      <c r="AU282" s="861">
        <v>242.602</v>
      </c>
      <c r="AV282" s="861">
        <v>267.37900000000002</v>
      </c>
      <c r="AW282" s="861">
        <v>299.23099999999999</v>
      </c>
      <c r="AX282" s="861">
        <v>308.14299999999997</v>
      </c>
      <c r="AY282" s="187">
        <f>AX282</f>
        <v>308.14299999999997</v>
      </c>
      <c r="AZ282" s="861">
        <v>327.66000000000003</v>
      </c>
      <c r="BA282" s="861">
        <v>372.99799999999999</v>
      </c>
      <c r="BB282" s="861">
        <v>406.08</v>
      </c>
      <c r="BC282" s="861">
        <v>313.14</v>
      </c>
      <c r="BD282" s="183">
        <f>BC282</f>
        <v>313.14</v>
      </c>
      <c r="BE282" s="66">
        <f t="shared" ref="BE282:BH282" si="830">BD282+BE222</f>
        <v>322.10251536183119</v>
      </c>
      <c r="BF282" s="66">
        <f t="shared" si="830"/>
        <v>336.33880665798034</v>
      </c>
      <c r="BG282" s="66">
        <f t="shared" si="830"/>
        <v>361.70146056335295</v>
      </c>
      <c r="BH282" s="66">
        <f t="shared" si="830"/>
        <v>380.35933149101152</v>
      </c>
      <c r="BI282" s="183">
        <f>BH282</f>
        <v>380.35933149101152</v>
      </c>
      <c r="BJ282" s="66"/>
      <c r="BK282" s="66"/>
      <c r="BL282" s="66"/>
      <c r="BM282" s="66"/>
      <c r="BN282" s="183">
        <f>BI282+BN222</f>
        <v>468.56553825678691</v>
      </c>
      <c r="BO282" s="66"/>
      <c r="BP282" s="66"/>
      <c r="BQ282" s="66"/>
      <c r="BR282" s="66"/>
      <c r="BS282" s="183">
        <f>BN282+BS222</f>
        <v>588.91658900007269</v>
      </c>
      <c r="BT282" s="71"/>
      <c r="BU282" s="378"/>
      <c r="BV282" s="240"/>
      <c r="BW282" s="71"/>
      <c r="BX282" s="71"/>
      <c r="BY282" s="71"/>
      <c r="BZ282" s="531"/>
      <c r="CA282" s="535"/>
      <c r="CB282" s="535"/>
      <c r="CC282" s="535"/>
      <c r="CD282" s="535"/>
      <c r="CE282" s="535"/>
      <c r="CF282" s="535"/>
      <c r="CG282" s="535"/>
      <c r="CH282" s="378"/>
      <c r="CI282" s="71"/>
      <c r="CJ282"/>
      <c r="CK282"/>
      <c r="CL282"/>
      <c r="CM282"/>
      <c r="CN282"/>
      <c r="CO282"/>
      <c r="CP282" s="423"/>
    </row>
    <row r="283" spans="1:94" s="140" customFormat="1" ht="12.75" customHeight="1" x14ac:dyDescent="0.2">
      <c r="A283" s="45" t="s">
        <v>265</v>
      </c>
      <c r="B283" s="45"/>
      <c r="C283" s="45"/>
      <c r="D283" s="45"/>
      <c r="E283" s="45"/>
      <c r="F283" s="877">
        <v>14.191000000000001</v>
      </c>
      <c r="G283" s="866">
        <v>13.863</v>
      </c>
      <c r="H283" s="866">
        <v>15.805</v>
      </c>
      <c r="I283" s="866">
        <v>14.146000000000001</v>
      </c>
      <c r="J283" s="866">
        <v>13.627000000000001</v>
      </c>
      <c r="K283" s="178">
        <v>13.627000000000001</v>
      </c>
      <c r="L283" s="866">
        <v>13.307</v>
      </c>
      <c r="M283" s="866">
        <v>12.984</v>
      </c>
      <c r="N283" s="866">
        <v>12.238</v>
      </c>
      <c r="O283" s="866">
        <v>27.998000000000001</v>
      </c>
      <c r="P283" s="178">
        <f>O283</f>
        <v>27.998000000000001</v>
      </c>
      <c r="Q283" s="866">
        <v>28.463999999999999</v>
      </c>
      <c r="R283" s="866">
        <v>29.149000000000001</v>
      </c>
      <c r="S283" s="866">
        <v>29.11</v>
      </c>
      <c r="T283" s="866">
        <v>29.100999999999999</v>
      </c>
      <c r="U283" s="178">
        <f>T283</f>
        <v>29.100999999999999</v>
      </c>
      <c r="V283" s="866">
        <v>11.965999999999999</v>
      </c>
      <c r="W283" s="866">
        <v>37.863999999999997</v>
      </c>
      <c r="X283" s="866">
        <v>40.423000000000002</v>
      </c>
      <c r="Y283" s="866">
        <f>52.043-12.108</f>
        <v>39.935000000000002</v>
      </c>
      <c r="Z283" s="178">
        <f>Y283</f>
        <v>39.935000000000002</v>
      </c>
      <c r="AA283" s="866">
        <v>40.698999999999998</v>
      </c>
      <c r="AB283" s="866">
        <v>28.847999999999999</v>
      </c>
      <c r="AC283" s="866">
        <v>29.04</v>
      </c>
      <c r="AD283" s="866">
        <v>27.239000000000001</v>
      </c>
      <c r="AE283" s="178">
        <f>AD283</f>
        <v>27.239000000000001</v>
      </c>
      <c r="AF283" s="866">
        <v>25.658999999999999</v>
      </c>
      <c r="AG283" s="866">
        <v>24.67</v>
      </c>
      <c r="AH283" s="866">
        <v>26.167000000000002</v>
      </c>
      <c r="AI283" s="866">
        <v>26.739000000000001</v>
      </c>
      <c r="AJ283" s="178">
        <f>AI283</f>
        <v>26.739000000000001</v>
      </c>
      <c r="AK283" s="866">
        <v>26.428000000000001</v>
      </c>
      <c r="AL283" s="866">
        <v>26.257999999999999</v>
      </c>
      <c r="AM283" s="866">
        <v>25.978999999999999</v>
      </c>
      <c r="AN283" s="866">
        <v>22.454999999999998</v>
      </c>
      <c r="AO283" s="178">
        <f>AN283</f>
        <v>22.454999999999998</v>
      </c>
      <c r="AP283" s="866">
        <v>27.832000000000001</v>
      </c>
      <c r="AQ283" s="866">
        <v>18.213000000000001</v>
      </c>
      <c r="AR283" s="866">
        <v>21.76</v>
      </c>
      <c r="AS283" s="866">
        <v>20.821000000000002</v>
      </c>
      <c r="AT283" s="178">
        <f>AS283</f>
        <v>20.821000000000002</v>
      </c>
      <c r="AU283" s="866">
        <v>20.178999999999998</v>
      </c>
      <c r="AV283" s="866">
        <v>19.541</v>
      </c>
      <c r="AW283" s="866">
        <v>20.108000000000001</v>
      </c>
      <c r="AX283" s="866">
        <v>19.867999999999999</v>
      </c>
      <c r="AY283" s="178">
        <f>AX283</f>
        <v>19.867999999999999</v>
      </c>
      <c r="AZ283" s="866">
        <v>17.712</v>
      </c>
      <c r="BA283" s="866">
        <v>18.125</v>
      </c>
      <c r="BB283" s="866">
        <v>17.204000000000001</v>
      </c>
      <c r="BC283" s="866">
        <v>19.204999999999998</v>
      </c>
      <c r="BD283" s="178">
        <f>BC283</f>
        <v>19.204999999999998</v>
      </c>
      <c r="BE283" s="45">
        <f t="shared" ref="BE283" si="831">BE284*BE181</f>
        <v>20.602930163412356</v>
      </c>
      <c r="BF283" s="45">
        <f t="shared" ref="BF283:BH283" si="832">BF284*BF181</f>
        <v>20.992166672959428</v>
      </c>
      <c r="BG283" s="45">
        <f t="shared" si="832"/>
        <v>20.723849088673109</v>
      </c>
      <c r="BH283" s="45">
        <f t="shared" si="832"/>
        <v>23.156375975491098</v>
      </c>
      <c r="BI283" s="178">
        <f>BH283</f>
        <v>23.156375975491098</v>
      </c>
      <c r="BJ283" s="45"/>
      <c r="BK283" s="45"/>
      <c r="BL283" s="45"/>
      <c r="BM283" s="45"/>
      <c r="BN283" s="178">
        <f>BN284*BN181</f>
        <v>26.168524662985419</v>
      </c>
      <c r="BO283" s="45"/>
      <c r="BP283" s="45"/>
      <c r="BQ283" s="45"/>
      <c r="BR283" s="45"/>
      <c r="BS283" s="178">
        <f>BS284*BS181</f>
        <v>29.579076624423845</v>
      </c>
      <c r="BT283" s="44"/>
      <c r="BU283" s="368"/>
      <c r="BV283" s="232"/>
      <c r="BW283" s="44"/>
      <c r="BX283" s="44"/>
      <c r="BY283" s="44"/>
      <c r="BZ283" s="531"/>
      <c r="CA283" s="331"/>
      <c r="CB283" s="331"/>
      <c r="CC283" s="331"/>
      <c r="CD283" s="331"/>
      <c r="CE283" s="331"/>
      <c r="CF283" s="331"/>
      <c r="CG283" s="331"/>
      <c r="CH283" s="368"/>
      <c r="CI283" s="44"/>
      <c r="CJ283"/>
      <c r="CK283"/>
      <c r="CL283"/>
      <c r="CM283"/>
      <c r="CN283"/>
      <c r="CO283"/>
      <c r="CP283" s="407"/>
    </row>
    <row r="284" spans="1:94" s="260" customFormat="1" ht="12.75" customHeight="1" x14ac:dyDescent="0.2">
      <c r="A284" s="590" t="s">
        <v>244</v>
      </c>
      <c r="B284" s="18"/>
      <c r="C284" s="18"/>
      <c r="D284" s="18"/>
      <c r="E284" s="18"/>
      <c r="F284" s="166">
        <f>F283/F181</f>
        <v>1.860978078986986E-2</v>
      </c>
      <c r="G284" s="18"/>
      <c r="H284" s="18"/>
      <c r="I284" s="18"/>
      <c r="J284" s="18">
        <f t="shared" ref="J284:AK284" si="833">J283/J181</f>
        <v>1.7274820114700648E-2</v>
      </c>
      <c r="K284" s="166">
        <f t="shared" si="833"/>
        <v>1.7274820114700648E-2</v>
      </c>
      <c r="L284" s="18">
        <f t="shared" si="833"/>
        <v>1.7630186079479585E-2</v>
      </c>
      <c r="M284" s="18">
        <f t="shared" si="833"/>
        <v>1.7786886144202003E-2</v>
      </c>
      <c r="N284" s="18">
        <f t="shared" si="833"/>
        <v>1.7350325442654465E-2</v>
      </c>
      <c r="O284" s="18">
        <f t="shared" si="833"/>
        <v>3.9995085967007411E-2</v>
      </c>
      <c r="P284" s="166">
        <f t="shared" si="833"/>
        <v>3.9995085967007418E-2</v>
      </c>
      <c r="Q284" s="18">
        <f t="shared" si="833"/>
        <v>3.9862252278873314E-2</v>
      </c>
      <c r="R284" s="18">
        <f t="shared" si="833"/>
        <v>4.0996552795948306E-2</v>
      </c>
      <c r="S284" s="18">
        <f t="shared" si="833"/>
        <v>3.9548513839941964E-2</v>
      </c>
      <c r="T284" s="18">
        <f t="shared" si="833"/>
        <v>3.7248564827555307E-2</v>
      </c>
      <c r="U284" s="166">
        <f t="shared" si="833"/>
        <v>3.7248564827555307E-2</v>
      </c>
      <c r="V284" s="18">
        <f t="shared" si="833"/>
        <v>1.441902163696745E-2</v>
      </c>
      <c r="W284" s="18">
        <f t="shared" si="833"/>
        <v>4.0783793332241851E-2</v>
      </c>
      <c r="X284" s="18">
        <f t="shared" si="833"/>
        <v>3.9885857161604671E-2</v>
      </c>
      <c r="Y284" s="18">
        <f t="shared" si="833"/>
        <v>3.728110710931621E-2</v>
      </c>
      <c r="Z284" s="166">
        <f t="shared" si="833"/>
        <v>3.7281107109316224E-2</v>
      </c>
      <c r="AA284" s="18">
        <f t="shared" si="833"/>
        <v>3.5700282188279316E-2</v>
      </c>
      <c r="AB284" s="18">
        <f t="shared" si="833"/>
        <v>2.3832734650985267E-2</v>
      </c>
      <c r="AC284" s="18">
        <f t="shared" si="833"/>
        <v>2.2973974695401012E-2</v>
      </c>
      <c r="AD284" s="18">
        <f t="shared" si="833"/>
        <v>2.0660837325582455E-2</v>
      </c>
      <c r="AE284" s="166">
        <f t="shared" si="833"/>
        <v>2.0660837325582455E-2</v>
      </c>
      <c r="AF284" s="18">
        <f t="shared" si="833"/>
        <v>1.8495239056316809E-2</v>
      </c>
      <c r="AG284" s="18">
        <f t="shared" si="833"/>
        <v>1.7033046319253283E-2</v>
      </c>
      <c r="AH284" s="18">
        <f t="shared" si="833"/>
        <v>1.6745068853352824E-2</v>
      </c>
      <c r="AI284" s="18">
        <f t="shared" si="833"/>
        <v>1.6162501473357172E-2</v>
      </c>
      <c r="AJ284" s="166">
        <f t="shared" si="833"/>
        <v>1.6162501473357169E-2</v>
      </c>
      <c r="AK284" s="18">
        <f t="shared" si="833"/>
        <v>1.5347849947878404E-2</v>
      </c>
      <c r="AL284" s="18">
        <f t="shared" ref="AL284:BA284" si="834">AL283/AL181</f>
        <v>1.4475727604051527E-2</v>
      </c>
      <c r="AM284" s="18">
        <f t="shared" si="834"/>
        <v>1.3840135487249591E-2</v>
      </c>
      <c r="AN284" s="18">
        <f t="shared" si="834"/>
        <v>1.1625198024415246E-2</v>
      </c>
      <c r="AO284" s="166">
        <f t="shared" si="834"/>
        <v>1.1625198024415246E-2</v>
      </c>
      <c r="AP284" s="18">
        <f t="shared" si="834"/>
        <v>1.4007412373147158E-2</v>
      </c>
      <c r="AQ284" s="18">
        <f t="shared" si="834"/>
        <v>8.9234269722375734E-3</v>
      </c>
      <c r="AR284" s="18">
        <f t="shared" si="834"/>
        <v>1.0381164293374755E-2</v>
      </c>
      <c r="AS284" s="18">
        <f t="shared" si="834"/>
        <v>9.7227923153470341E-3</v>
      </c>
      <c r="AT284" s="166">
        <f>AT283/AT181</f>
        <v>9.7227923153470307E-3</v>
      </c>
      <c r="AU284" s="18">
        <f t="shared" si="834"/>
        <v>9.2299557553089731E-3</v>
      </c>
      <c r="AV284" s="18">
        <f t="shared" si="834"/>
        <v>8.8143103876790006E-3</v>
      </c>
      <c r="AW284" s="18">
        <f t="shared" si="834"/>
        <v>8.8837796797898438E-3</v>
      </c>
      <c r="AX284" s="18">
        <f t="shared" si="834"/>
        <v>8.5565790221692386E-3</v>
      </c>
      <c r="AY284" s="166">
        <f>AY283/AY181</f>
        <v>8.5565790221692386E-3</v>
      </c>
      <c r="AZ284" s="18">
        <f t="shared" si="834"/>
        <v>7.4559293202147358E-3</v>
      </c>
      <c r="BA284" s="18">
        <f t="shared" si="834"/>
        <v>7.2700420519287564E-3</v>
      </c>
      <c r="BB284" s="18">
        <f t="shared" ref="BB284:BC284" si="835">BB283/BB181</f>
        <v>6.7229123762705114E-3</v>
      </c>
      <c r="BC284" s="18">
        <f t="shared" si="835"/>
        <v>7.2535584171115226E-3</v>
      </c>
      <c r="BD284" s="166">
        <f>BD283/BD181</f>
        <v>7.2535584171115226E-3</v>
      </c>
      <c r="BE284" s="139">
        <f t="shared" ref="BE284:BH284" si="836">+AZ284</f>
        <v>7.4559293202147358E-3</v>
      </c>
      <c r="BF284" s="139">
        <f t="shared" si="836"/>
        <v>7.2700420519287564E-3</v>
      </c>
      <c r="BG284" s="139">
        <f t="shared" si="836"/>
        <v>6.7229123762705114E-3</v>
      </c>
      <c r="BH284" s="139">
        <f t="shared" si="836"/>
        <v>7.2535584171115226E-3</v>
      </c>
      <c r="BI284" s="166">
        <f>BI283/BI181</f>
        <v>7.2535584171115209E-3</v>
      </c>
      <c r="BJ284" s="18"/>
      <c r="BK284" s="18"/>
      <c r="BL284" s="139"/>
      <c r="BM284" s="139"/>
      <c r="BN284" s="214">
        <f>BI284</f>
        <v>7.2535584171115209E-3</v>
      </c>
      <c r="BO284" s="18"/>
      <c r="BP284" s="18"/>
      <c r="BQ284" s="139"/>
      <c r="BR284" s="139"/>
      <c r="BS284" s="214">
        <f>BN284</f>
        <v>7.2535584171115209E-3</v>
      </c>
      <c r="BT284" s="148"/>
      <c r="BU284" s="356"/>
      <c r="BV284" s="224"/>
      <c r="BW284" s="148"/>
      <c r="BX284" s="148"/>
      <c r="BY284" s="148"/>
      <c r="BZ284" s="531"/>
      <c r="CA284" s="322"/>
      <c r="CB284" s="322"/>
      <c r="CC284" s="322"/>
      <c r="CD284" s="322"/>
      <c r="CE284" s="322"/>
      <c r="CF284" s="322"/>
      <c r="CG284" s="322"/>
      <c r="CH284" s="356"/>
      <c r="CI284" s="148"/>
      <c r="CJ284"/>
      <c r="CK284"/>
      <c r="CL284"/>
      <c r="CM284"/>
      <c r="CN284"/>
      <c r="CO284"/>
      <c r="CP284" s="391"/>
    </row>
    <row r="285" spans="1:94" s="140" customFormat="1" ht="12.75" customHeight="1" x14ac:dyDescent="0.2">
      <c r="A285" s="141" t="s">
        <v>266</v>
      </c>
      <c r="B285" s="141"/>
      <c r="C285" s="141"/>
      <c r="D285" s="141"/>
      <c r="E285" s="141"/>
      <c r="F285" s="208">
        <f t="shared" ref="F285:N285" si="837">F283+F281+F280+F282</f>
        <v>332.86199999999997</v>
      </c>
      <c r="G285" s="141">
        <f t="shared" si="837"/>
        <v>288.065</v>
      </c>
      <c r="H285" s="141">
        <f t="shared" si="837"/>
        <v>291.67100000000005</v>
      </c>
      <c r="I285" s="141">
        <f t="shared" si="837"/>
        <v>291.87599999999998</v>
      </c>
      <c r="J285" s="141">
        <f t="shared" si="837"/>
        <v>315.72199999999998</v>
      </c>
      <c r="K285" s="208">
        <f t="shared" si="837"/>
        <v>315.72199999999998</v>
      </c>
      <c r="L285" s="141">
        <f t="shared" si="837"/>
        <v>316.55700000000002</v>
      </c>
      <c r="M285" s="141">
        <f t="shared" si="837"/>
        <v>317.56700000000001</v>
      </c>
      <c r="N285" s="141">
        <f t="shared" si="837"/>
        <v>318.18900000000002</v>
      </c>
      <c r="O285" s="141">
        <f>O283+O281+O280+O282</f>
        <v>342.1</v>
      </c>
      <c r="P285" s="208">
        <f>O285</f>
        <v>342.1</v>
      </c>
      <c r="Q285" s="141">
        <f>Q283+Q281+Q280+Q282</f>
        <v>343.66899999999998</v>
      </c>
      <c r="R285" s="141">
        <f>R283+R281+R280+R282</f>
        <v>345.49099999999999</v>
      </c>
      <c r="S285" s="141">
        <f>S283+S281+S280+S282</f>
        <v>346.62400000000002</v>
      </c>
      <c r="T285" s="141">
        <f>T283+T281+T280+T282</f>
        <v>366.40499999999997</v>
      </c>
      <c r="U285" s="208">
        <f>T285</f>
        <v>366.40499999999997</v>
      </c>
      <c r="V285" s="141">
        <f>V283+V281+V280+V282</f>
        <v>367.52600000000001</v>
      </c>
      <c r="W285" s="141">
        <f>W283+W281+W280+W282</f>
        <v>37.863999999999997</v>
      </c>
      <c r="X285" s="141">
        <f>X283+X281+X280+X282</f>
        <v>40.423000000000002</v>
      </c>
      <c r="Y285" s="141">
        <f>Y283+Y281+Y280+Y282</f>
        <v>52.043000000000006</v>
      </c>
      <c r="Z285" s="208">
        <f>Y285</f>
        <v>52.043000000000006</v>
      </c>
      <c r="AA285" s="141">
        <f>AA283+AA281+AA280+AA282</f>
        <v>56.311</v>
      </c>
      <c r="AB285" s="141">
        <f>AB283+AB281+AB280+AB282</f>
        <v>51.039000000000001</v>
      </c>
      <c r="AC285" s="141">
        <f>AC283+AC281+AC280+AC282</f>
        <v>57.350999999999999</v>
      </c>
      <c r="AD285" s="141">
        <f>AD283+AD281+AD280+AD282</f>
        <v>60.454999999999998</v>
      </c>
      <c r="AE285" s="208">
        <f>AD285</f>
        <v>60.454999999999998</v>
      </c>
      <c r="AF285" s="141">
        <f>AF283+AF281+AF280+AF282</f>
        <v>61.69</v>
      </c>
      <c r="AG285" s="141">
        <f>AG283+AG281+AG280+AG282</f>
        <v>68.224000000000004</v>
      </c>
      <c r="AH285" s="141">
        <f>AH283+AH281+AH280+AH282</f>
        <v>70.099000000000004</v>
      </c>
      <c r="AI285" s="141">
        <f>AI283+AI281+AI280+AI282</f>
        <v>75.655000000000001</v>
      </c>
      <c r="AJ285" s="208">
        <f>AI285</f>
        <v>75.655000000000001</v>
      </c>
      <c r="AK285" s="141">
        <f>AK283+AK281+AK280+AK282</f>
        <v>73.897000000000006</v>
      </c>
      <c r="AL285" s="141">
        <f>AL283+AL281+AL280+AL282</f>
        <v>73.700999999999993</v>
      </c>
      <c r="AM285" s="141">
        <f>AM283+AM281+AM280+AM282</f>
        <v>73.421999999999997</v>
      </c>
      <c r="AN285" s="141">
        <f>AN283+AN281+AN280+AN282</f>
        <v>234.28199999999998</v>
      </c>
      <c r="AO285" s="208">
        <f>AN285</f>
        <v>234.28199999999998</v>
      </c>
      <c r="AP285" s="141">
        <f>AP283+AP281+AP280+AP282</f>
        <v>400.142</v>
      </c>
      <c r="AQ285" s="141">
        <f>AQ283+AQ281+AQ280+AQ282</f>
        <v>493.56600000000003</v>
      </c>
      <c r="AR285" s="141">
        <f>AR283+AR281+AR280+AR282</f>
        <v>661.36599999999999</v>
      </c>
      <c r="AS285" s="141">
        <f>AS283+AS281+AS280+AS282</f>
        <v>838.995</v>
      </c>
      <c r="AT285" s="208">
        <f>AS285</f>
        <v>838.995</v>
      </c>
      <c r="AU285" s="141">
        <f>AU283+AU281+AU280+AU282</f>
        <v>917.8839999999999</v>
      </c>
      <c r="AV285" s="141">
        <f>AV283+AV281+AV280+AV282</f>
        <v>1123.3380000000002</v>
      </c>
      <c r="AW285" s="141">
        <f>AW283+AW281+AW280+AW282</f>
        <v>1214.1479999999999</v>
      </c>
      <c r="AX285" s="141">
        <f>AX283+AX281+AX280+AX282</f>
        <v>1225.3700000000001</v>
      </c>
      <c r="AY285" s="208">
        <f>AX285</f>
        <v>1225.3700000000001</v>
      </c>
      <c r="AZ285" s="141">
        <f t="shared" ref="AZ285:BC285" si="838">AZ283+AZ281+AZ280+AZ282</f>
        <v>1337.0940000000001</v>
      </c>
      <c r="BA285" s="141">
        <f t="shared" si="838"/>
        <v>1480.2820000000002</v>
      </c>
      <c r="BB285" s="141">
        <f t="shared" si="838"/>
        <v>1637.4219999999998</v>
      </c>
      <c r="BC285" s="141">
        <f t="shared" si="838"/>
        <v>1719.8429999999998</v>
      </c>
      <c r="BD285" s="208">
        <f>BC285</f>
        <v>1719.8429999999998</v>
      </c>
      <c r="BE285" s="141">
        <f t="shared" ref="BE285:BH285" si="839">BE283+BE281+BE280+BE282</f>
        <v>1864.2034455252435</v>
      </c>
      <c r="BF285" s="141">
        <f t="shared" si="839"/>
        <v>2012.8289733309398</v>
      </c>
      <c r="BG285" s="141">
        <f t="shared" si="839"/>
        <v>2171.9233096520261</v>
      </c>
      <c r="BH285" s="141">
        <f t="shared" si="839"/>
        <v>2327.0137074665026</v>
      </c>
      <c r="BI285" s="208">
        <f>BH285</f>
        <v>2327.0137074665026</v>
      </c>
      <c r="BJ285" s="141"/>
      <c r="BK285" s="141"/>
      <c r="BL285" s="141"/>
      <c r="BM285" s="141"/>
      <c r="BN285" s="208">
        <f>BN283+BN281+BN280+BN282</f>
        <v>2777.7320629197725</v>
      </c>
      <c r="BO285" s="141"/>
      <c r="BP285" s="141"/>
      <c r="BQ285" s="141"/>
      <c r="BR285" s="141"/>
      <c r="BS285" s="208">
        <f>BS283+BS281+BS280+BS282</f>
        <v>3260.9936656244968</v>
      </c>
      <c r="BT285" s="44"/>
      <c r="BU285" s="368"/>
      <c r="BV285" s="232"/>
      <c r="BW285" s="44"/>
      <c r="BX285" s="44"/>
      <c r="BY285" s="44"/>
      <c r="BZ285" s="531"/>
      <c r="CA285" s="331"/>
      <c r="CB285" s="331"/>
      <c r="CC285" s="331"/>
      <c r="CD285" s="331"/>
      <c r="CE285" s="331"/>
      <c r="CF285" s="331"/>
      <c r="CG285" s="331"/>
      <c r="CH285" s="368"/>
      <c r="CI285" s="44"/>
      <c r="CJ285"/>
      <c r="CK285"/>
      <c r="CL285"/>
      <c r="CM285"/>
      <c r="CN285"/>
      <c r="CO285"/>
      <c r="CP285" s="427"/>
    </row>
    <row r="286" spans="1:94" s="140" customFormat="1" ht="12.75" customHeight="1" x14ac:dyDescent="0.2">
      <c r="A286" s="132" t="s">
        <v>267</v>
      </c>
      <c r="B286" s="137"/>
      <c r="C286" s="137"/>
      <c r="D286" s="137"/>
      <c r="E286" s="137"/>
      <c r="F286" s="205">
        <f t="shared" ref="F286:O286" si="840">F285+F279</f>
        <v>549.2829999999999</v>
      </c>
      <c r="G286" s="137">
        <f t="shared" si="840"/>
        <v>504.399</v>
      </c>
      <c r="H286" s="137">
        <f t="shared" si="840"/>
        <v>526.45000000000005</v>
      </c>
      <c r="I286" s="137">
        <f t="shared" si="840"/>
        <v>501.88499999999999</v>
      </c>
      <c r="J286" s="137">
        <f t="shared" si="840"/>
        <v>494.36899999999997</v>
      </c>
      <c r="K286" s="205">
        <f t="shared" si="840"/>
        <v>494.36899999999997</v>
      </c>
      <c r="L286" s="137">
        <f t="shared" si="840"/>
        <v>507.78600000000006</v>
      </c>
      <c r="M286" s="137">
        <f t="shared" si="840"/>
        <v>507.30700000000002</v>
      </c>
      <c r="N286" s="137">
        <f t="shared" si="840"/>
        <v>492.78100000000006</v>
      </c>
      <c r="O286" s="137">
        <f t="shared" si="840"/>
        <v>505.99300000000005</v>
      </c>
      <c r="P286" s="205">
        <f>O286</f>
        <v>505.99300000000005</v>
      </c>
      <c r="Q286" s="137">
        <f>Q285+Q279</f>
        <v>546.21900000000005</v>
      </c>
      <c r="R286" s="137">
        <f>R285+R279</f>
        <v>548.68899999999996</v>
      </c>
      <c r="S286" s="137">
        <f>S285+S279</f>
        <v>563.64700000000005</v>
      </c>
      <c r="T286" s="137">
        <f>T285+T279</f>
        <v>580.83399999999995</v>
      </c>
      <c r="U286" s="205">
        <f>T286</f>
        <v>580.83399999999995</v>
      </c>
      <c r="V286" s="137">
        <f>V285+V279</f>
        <v>642.26199999999994</v>
      </c>
      <c r="W286" s="137">
        <f>W285+W279</f>
        <v>294.673</v>
      </c>
      <c r="X286" s="137">
        <f>X285+X279</f>
        <v>279.44100000000003</v>
      </c>
      <c r="Y286" s="137">
        <f>52.043+Y279</f>
        <v>279.10699999999997</v>
      </c>
      <c r="Z286" s="205">
        <f>Y286</f>
        <v>279.10699999999997</v>
      </c>
      <c r="AA286" s="137">
        <f>15.612+40.699+AA279</f>
        <v>353.96599999999995</v>
      </c>
      <c r="AB286" s="137">
        <f>22.191+28.848+AB279</f>
        <v>342.202</v>
      </c>
      <c r="AC286" s="137">
        <f>AC285+AC279</f>
        <v>325.17099999999999</v>
      </c>
      <c r="AD286" s="137">
        <f>AD285+AD279</f>
        <v>337.34899999999999</v>
      </c>
      <c r="AE286" s="205">
        <f>AD286</f>
        <v>337.34899999999999</v>
      </c>
      <c r="AF286" s="137">
        <f>AF285+AF279</f>
        <v>404.95299999999997</v>
      </c>
      <c r="AG286" s="137">
        <f>AG285+AG279</f>
        <v>448.62299999999999</v>
      </c>
      <c r="AH286" s="137">
        <f>AH285+AH279</f>
        <v>401.37</v>
      </c>
      <c r="AI286" s="137">
        <f>AI285+AI279</f>
        <v>411.64800000000002</v>
      </c>
      <c r="AJ286" s="205">
        <f>AI286</f>
        <v>411.64800000000002</v>
      </c>
      <c r="AK286" s="137">
        <f>AK285+AK279</f>
        <v>489.87799999999999</v>
      </c>
      <c r="AL286" s="137">
        <f>AL285+AL279</f>
        <v>474.23900000000003</v>
      </c>
      <c r="AM286" s="137">
        <f>AM285+AM279</f>
        <v>468.23900000000003</v>
      </c>
      <c r="AN286" s="137">
        <f>AN285+AN279</f>
        <v>599.90599999999995</v>
      </c>
      <c r="AO286" s="205">
        <f>AN286</f>
        <v>599.90599999999995</v>
      </c>
      <c r="AP286" s="137">
        <f>AP285+AP279</f>
        <v>886.43900000000008</v>
      </c>
      <c r="AQ286" s="137">
        <f>AQ285+AQ279</f>
        <v>1023.057</v>
      </c>
      <c r="AR286" s="137">
        <f>AR285+AR279</f>
        <v>1128.249</v>
      </c>
      <c r="AS286" s="137">
        <f>AS285+AS279</f>
        <v>1305.2350000000001</v>
      </c>
      <c r="AT286" s="205">
        <f>AS286</f>
        <v>1305.2350000000001</v>
      </c>
      <c r="AU286" s="137">
        <f>AU285+AU279</f>
        <v>1485.48</v>
      </c>
      <c r="AV286" s="137">
        <f>AV285+AV279</f>
        <v>1730.8830000000003</v>
      </c>
      <c r="AW286" s="137">
        <f>AW285+AW279</f>
        <v>1785.069</v>
      </c>
      <c r="AX286" s="137">
        <f>AX285+AX279</f>
        <v>1757.3200000000002</v>
      </c>
      <c r="AY286" s="205">
        <f>AX286</f>
        <v>1757.3200000000002</v>
      </c>
      <c r="AZ286" s="137">
        <f>AZ285+AZ279</f>
        <v>2010.268</v>
      </c>
      <c r="BA286" s="137">
        <f t="shared" ref="BA286:BC286" si="841">BA285+BA279</f>
        <v>2166.1120000000001</v>
      </c>
      <c r="BB286" s="137">
        <f t="shared" si="841"/>
        <v>2300.4059999999999</v>
      </c>
      <c r="BC286" s="137">
        <f t="shared" si="841"/>
        <v>2362.8639999999996</v>
      </c>
      <c r="BD286" s="205">
        <f>BC286</f>
        <v>2362.8639999999996</v>
      </c>
      <c r="BE286" s="137">
        <f t="shared" ref="BE286:BH286" si="842">BE285+BE279</f>
        <v>2656.5347178282941</v>
      </c>
      <c r="BF286" s="137">
        <f t="shared" si="842"/>
        <v>2806.8640938839612</v>
      </c>
      <c r="BG286" s="137">
        <f t="shared" si="842"/>
        <v>2951.1889926532331</v>
      </c>
      <c r="BH286" s="137">
        <f t="shared" si="842"/>
        <v>3076.5316094716859</v>
      </c>
      <c r="BI286" s="205">
        <f>BH286</f>
        <v>3076.5316094716859</v>
      </c>
      <c r="BJ286" s="137"/>
      <c r="BK286" s="137"/>
      <c r="BL286" s="137"/>
      <c r="BM286" s="137"/>
      <c r="BN286" s="205">
        <f>BN285+BN279</f>
        <v>3603.001130158621</v>
      </c>
      <c r="BO286" s="137"/>
      <c r="BP286" s="137"/>
      <c r="BQ286" s="137"/>
      <c r="BR286" s="137"/>
      <c r="BS286" s="205">
        <f>BS285+BS279</f>
        <v>4168.7253963312469</v>
      </c>
      <c r="BT286" s="44"/>
      <c r="BU286" s="368"/>
      <c r="BV286" s="232"/>
      <c r="BW286" s="44"/>
      <c r="BX286" s="44"/>
      <c r="BY286" s="44"/>
      <c r="BZ286" s="531"/>
      <c r="CA286" s="331"/>
      <c r="CB286" s="331"/>
      <c r="CC286" s="331"/>
      <c r="CD286" s="331"/>
      <c r="CE286" s="331"/>
      <c r="CF286" s="331"/>
      <c r="CG286" s="331"/>
      <c r="CH286" s="368"/>
      <c r="CI286" s="44"/>
      <c r="CJ286"/>
      <c r="CK286"/>
      <c r="CL286"/>
      <c r="CM286"/>
      <c r="CN286"/>
      <c r="CO286"/>
      <c r="CP286" s="137"/>
    </row>
    <row r="287" spans="1:94" s="254" customFormat="1" ht="12.75" customHeight="1" x14ac:dyDescent="0.2">
      <c r="A287" s="9" t="s">
        <v>268</v>
      </c>
      <c r="B287" s="9"/>
      <c r="C287" s="9"/>
      <c r="D287" s="9"/>
      <c r="E287" s="9"/>
      <c r="F287" s="165"/>
      <c r="G287" s="9"/>
      <c r="H287" s="9"/>
      <c r="I287" s="9"/>
      <c r="J287" s="9"/>
      <c r="K287" s="165"/>
      <c r="L287" s="9"/>
      <c r="M287" s="9"/>
      <c r="N287" s="9"/>
      <c r="O287" s="9"/>
      <c r="P287" s="165"/>
      <c r="Q287" s="9"/>
      <c r="R287" s="9"/>
      <c r="S287" s="9"/>
      <c r="T287" s="9"/>
      <c r="U287" s="165"/>
      <c r="V287" s="9"/>
      <c r="W287" s="9"/>
      <c r="X287" s="9"/>
      <c r="Y287" s="9"/>
      <c r="Z287" s="165"/>
      <c r="AA287" s="9"/>
      <c r="AB287" s="9"/>
      <c r="AC287" s="9"/>
      <c r="AD287" s="9"/>
      <c r="AE287" s="165"/>
      <c r="AF287" s="9"/>
      <c r="AG287" s="9"/>
      <c r="AH287" s="9"/>
      <c r="AI287" s="9"/>
      <c r="AJ287" s="165"/>
      <c r="AK287" s="9"/>
      <c r="AL287" s="9"/>
      <c r="AM287" s="9"/>
      <c r="AN287" s="9"/>
      <c r="AO287" s="165"/>
      <c r="AP287" s="9"/>
      <c r="AQ287" s="9"/>
      <c r="AR287" s="9"/>
      <c r="AS287" s="9"/>
      <c r="AT287" s="165"/>
      <c r="AU287" s="9"/>
      <c r="AV287" s="9"/>
      <c r="AW287" s="9"/>
      <c r="AX287" s="9"/>
      <c r="AY287" s="165"/>
      <c r="AZ287" s="9"/>
      <c r="BA287" s="9"/>
      <c r="BB287" s="9"/>
      <c r="BC287" s="9"/>
      <c r="BD287" s="165"/>
      <c r="BE287" s="9"/>
      <c r="BF287" s="9"/>
      <c r="BG287" s="9"/>
      <c r="BH287" s="9"/>
      <c r="BI287" s="165"/>
      <c r="BJ287" s="9"/>
      <c r="BK287" s="9"/>
      <c r="BL287" s="9"/>
      <c r="BM287" s="9"/>
      <c r="BN287" s="165"/>
      <c r="BO287" s="9"/>
      <c r="BP287" s="9"/>
      <c r="BQ287" s="9"/>
      <c r="BR287" s="9"/>
      <c r="BS287" s="165"/>
      <c r="BT287" s="249"/>
      <c r="BU287" s="8"/>
      <c r="BV287" s="280"/>
      <c r="BW287" s="249"/>
      <c r="BX287" s="249"/>
      <c r="BY287" s="249"/>
      <c r="BZ287" s="432"/>
      <c r="CA287" s="320"/>
      <c r="CB287" s="320"/>
      <c r="CC287" s="320"/>
      <c r="CD287" s="320"/>
      <c r="CE287" s="320"/>
      <c r="CF287" s="320"/>
      <c r="CG287" s="320"/>
      <c r="CH287" s="8"/>
      <c r="CI287" s="249"/>
      <c r="CJ287"/>
      <c r="CK287"/>
      <c r="CL287"/>
      <c r="CM287"/>
      <c r="CN287"/>
      <c r="CO287"/>
      <c r="CP287" s="320"/>
    </row>
    <row r="288" spans="1:94" s="256" customFormat="1" ht="12.75" customHeight="1" x14ac:dyDescent="0.2">
      <c r="A288" s="72" t="s">
        <v>269</v>
      </c>
      <c r="B288" s="66"/>
      <c r="C288" s="66"/>
      <c r="D288" s="66"/>
      <c r="E288" s="66"/>
      <c r="F288" s="874">
        <v>3.0000000000000001E-3</v>
      </c>
      <c r="G288" s="861">
        <v>3.0000000000000001E-3</v>
      </c>
      <c r="H288" s="861">
        <v>3.0000000000000001E-3</v>
      </c>
      <c r="I288" s="861">
        <v>3.0000000000000001E-3</v>
      </c>
      <c r="J288" s="861">
        <v>3.0000000000000001E-3</v>
      </c>
      <c r="K288" s="183">
        <v>3.0000000000000001E-3</v>
      </c>
      <c r="L288" s="861">
        <v>3.0000000000000001E-3</v>
      </c>
      <c r="M288" s="861">
        <v>3.0000000000000001E-3</v>
      </c>
      <c r="N288" s="861">
        <v>3.0000000000000001E-3</v>
      </c>
      <c r="O288" s="861">
        <v>3.0000000000000001E-3</v>
      </c>
      <c r="P288" s="183">
        <f>O288</f>
        <v>3.0000000000000001E-3</v>
      </c>
      <c r="Q288" s="861">
        <v>3.0000000000000001E-3</v>
      </c>
      <c r="R288" s="861">
        <v>3.0000000000000001E-3</v>
      </c>
      <c r="S288" s="861">
        <v>3.0000000000000001E-3</v>
      </c>
      <c r="T288" s="861">
        <v>3.0000000000000001E-3</v>
      </c>
      <c r="U288" s="183">
        <f>T288</f>
        <v>3.0000000000000001E-3</v>
      </c>
      <c r="V288" s="861">
        <v>3.0000000000000001E-3</v>
      </c>
      <c r="W288" s="861">
        <v>7.0000000000000001E-3</v>
      </c>
      <c r="X288" s="861">
        <v>7.0000000000000001E-3</v>
      </c>
      <c r="Y288" s="861">
        <v>7.0000000000000001E-3</v>
      </c>
      <c r="Z288" s="183">
        <f>Y288</f>
        <v>7.0000000000000001E-3</v>
      </c>
      <c r="AA288" s="861">
        <v>7.0000000000000001E-3</v>
      </c>
      <c r="AB288" s="861">
        <v>7.0000000000000001E-3</v>
      </c>
      <c r="AC288" s="861">
        <v>7.0000000000000001E-3</v>
      </c>
      <c r="AD288" s="861">
        <v>7.0000000000000001E-3</v>
      </c>
      <c r="AE288" s="183">
        <f>AD288</f>
        <v>7.0000000000000001E-3</v>
      </c>
      <c r="AF288" s="861">
        <v>7.0000000000000001E-3</v>
      </c>
      <c r="AG288" s="861">
        <v>7.0000000000000001E-3</v>
      </c>
      <c r="AH288" s="861">
        <v>7.0000000000000001E-3</v>
      </c>
      <c r="AI288" s="861">
        <v>7.0000000000000001E-3</v>
      </c>
      <c r="AJ288" s="183">
        <f>AI288</f>
        <v>7.0000000000000001E-3</v>
      </c>
      <c r="AK288" s="861">
        <v>7.0000000000000001E-3</v>
      </c>
      <c r="AL288" s="861">
        <v>7.0000000000000001E-3</v>
      </c>
      <c r="AM288" s="861">
        <v>7.0000000000000001E-3</v>
      </c>
      <c r="AN288" s="861">
        <v>7.0000000000000001E-3</v>
      </c>
      <c r="AO288" s="183">
        <f>AN288</f>
        <v>7.0000000000000001E-3</v>
      </c>
      <c r="AP288" s="861">
        <v>7.0000000000000001E-3</v>
      </c>
      <c r="AQ288" s="861">
        <v>7.0000000000000001E-3</v>
      </c>
      <c r="AR288" s="861">
        <v>7.0000000000000001E-3</v>
      </c>
      <c r="AS288" s="861">
        <v>7.0000000000000001E-3</v>
      </c>
      <c r="AT288" s="183">
        <f>AS288</f>
        <v>7.0000000000000001E-3</v>
      </c>
      <c r="AU288" s="861">
        <v>7.0000000000000001E-3</v>
      </c>
      <c r="AV288" s="861">
        <v>7.0000000000000001E-3</v>
      </c>
      <c r="AW288" s="861">
        <v>7.0000000000000001E-3</v>
      </c>
      <c r="AX288" s="861">
        <v>7.0000000000000001E-3</v>
      </c>
      <c r="AY288" s="183">
        <f>AX288</f>
        <v>7.0000000000000001E-3</v>
      </c>
      <c r="AZ288" s="861">
        <v>7.0000000000000001E-3</v>
      </c>
      <c r="BA288" s="861">
        <v>7.0000000000000001E-3</v>
      </c>
      <c r="BB288" s="861">
        <v>7.0000000000000001E-3</v>
      </c>
      <c r="BC288" s="861">
        <v>7.0000000000000001E-3</v>
      </c>
      <c r="BD288" s="183">
        <f>BC288</f>
        <v>7.0000000000000001E-3</v>
      </c>
      <c r="BE288" s="66">
        <f t="shared" ref="BE288:BH288" si="843">BD288</f>
        <v>7.0000000000000001E-3</v>
      </c>
      <c r="BF288" s="66">
        <f t="shared" si="843"/>
        <v>7.0000000000000001E-3</v>
      </c>
      <c r="BG288" s="66">
        <f t="shared" si="843"/>
        <v>7.0000000000000001E-3</v>
      </c>
      <c r="BH288" s="66">
        <f t="shared" si="843"/>
        <v>7.0000000000000001E-3</v>
      </c>
      <c r="BI288" s="183">
        <f>BD288</f>
        <v>7.0000000000000001E-3</v>
      </c>
      <c r="BJ288" s="66"/>
      <c r="BK288" s="66"/>
      <c r="BL288" s="66"/>
      <c r="BM288" s="66"/>
      <c r="BN288" s="183">
        <f>BI288</f>
        <v>7.0000000000000001E-3</v>
      </c>
      <c r="BO288" s="66"/>
      <c r="BP288" s="66"/>
      <c r="BQ288" s="66"/>
      <c r="BR288" s="66"/>
      <c r="BS288" s="183">
        <f>BN288</f>
        <v>7.0000000000000001E-3</v>
      </c>
      <c r="BT288" s="72"/>
      <c r="BU288" s="373"/>
      <c r="BV288" s="238"/>
      <c r="BW288" s="72"/>
      <c r="BX288" s="72"/>
      <c r="BY288" s="72"/>
      <c r="BZ288" s="531"/>
      <c r="CA288" s="331"/>
      <c r="CB288" s="331"/>
      <c r="CC288" s="331"/>
      <c r="CD288" s="331"/>
      <c r="CE288" s="331"/>
      <c r="CF288" s="331"/>
      <c r="CG288" s="331"/>
      <c r="CH288" s="373"/>
      <c r="CI288" s="72"/>
      <c r="CJ288"/>
      <c r="CK288"/>
      <c r="CL288"/>
      <c r="CM288"/>
      <c r="CN288"/>
      <c r="CO288"/>
      <c r="CP288" s="418"/>
    </row>
    <row r="289" spans="1:94" s="256" customFormat="1" ht="12.75" customHeight="1" x14ac:dyDescent="0.2">
      <c r="A289" s="72" t="s">
        <v>270</v>
      </c>
      <c r="B289" s="66"/>
      <c r="C289" s="66"/>
      <c r="D289" s="66"/>
      <c r="E289" s="66"/>
      <c r="F289" s="874">
        <v>3.2000000000000001E-2</v>
      </c>
      <c r="G289" s="861">
        <v>3.3000000000000002E-2</v>
      </c>
      <c r="H289" s="861">
        <v>3.5000000000000003E-2</v>
      </c>
      <c r="I289" s="861">
        <v>3.5999999999999997E-2</v>
      </c>
      <c r="J289" s="861">
        <v>3.6999999999999998E-2</v>
      </c>
      <c r="K289" s="183">
        <v>3.6999999999999998E-2</v>
      </c>
      <c r="L289" s="861">
        <v>3.6999999999999998E-2</v>
      </c>
      <c r="M289" s="861">
        <v>3.9E-2</v>
      </c>
      <c r="N289" s="861">
        <v>4.2000000000000003E-2</v>
      </c>
      <c r="O289" s="861">
        <v>0.107</v>
      </c>
      <c r="P289" s="183">
        <f t="shared" ref="P289:P294" si="844">O289</f>
        <v>0.107</v>
      </c>
      <c r="Q289" s="861">
        <v>0.20499999999999999</v>
      </c>
      <c r="R289" s="861">
        <v>0.189</v>
      </c>
      <c r="S289" s="861">
        <v>0.56999999999999995</v>
      </c>
      <c r="T289" s="861">
        <v>0.67600000000000005</v>
      </c>
      <c r="U289" s="183">
        <f t="shared" ref="U289:U294" si="845">T289</f>
        <v>0.67600000000000005</v>
      </c>
      <c r="V289" s="861">
        <v>0.84799999999999998</v>
      </c>
      <c r="W289" s="861">
        <v>496.24</v>
      </c>
      <c r="X289" s="861">
        <v>496.01400000000001</v>
      </c>
      <c r="Y289" s="861">
        <v>496.13600000000002</v>
      </c>
      <c r="Z289" s="183">
        <f t="shared" ref="Z289:Z294" si="846">Y289</f>
        <v>496.13600000000002</v>
      </c>
      <c r="AA289" s="861">
        <v>497.39600000000002</v>
      </c>
      <c r="AB289" s="861">
        <v>499.59899999999999</v>
      </c>
      <c r="AC289" s="861">
        <v>500.98099999999999</v>
      </c>
      <c r="AD289" s="861">
        <v>504.52699999999999</v>
      </c>
      <c r="AE289" s="183">
        <f t="shared" ref="AE289:AE294" si="847">AD289</f>
        <v>504.52699999999999</v>
      </c>
      <c r="AF289" s="861">
        <v>506.55799999999999</v>
      </c>
      <c r="AG289" s="861">
        <v>508.745</v>
      </c>
      <c r="AH289" s="861">
        <v>513.14200000000005</v>
      </c>
      <c r="AI289" s="861">
        <v>515.33100000000002</v>
      </c>
      <c r="AJ289" s="183">
        <f t="shared" ref="AJ289:AJ294" si="848">AI289</f>
        <v>515.33100000000002</v>
      </c>
      <c r="AK289" s="861">
        <v>518.50599999999997</v>
      </c>
      <c r="AL289" s="861">
        <v>520.49199999999996</v>
      </c>
      <c r="AM289" s="861">
        <v>523.476</v>
      </c>
      <c r="AN289" s="861">
        <v>526.173</v>
      </c>
      <c r="AO289" s="183">
        <f t="shared" ref="AO289:AO294" si="849">AN289</f>
        <v>526.173</v>
      </c>
      <c r="AP289" s="861">
        <v>536.04999999999995</v>
      </c>
      <c r="AQ289" s="861">
        <v>539.44299999999998</v>
      </c>
      <c r="AR289" s="861">
        <v>542.02200000000005</v>
      </c>
      <c r="AS289" s="861">
        <v>544.27700000000004</v>
      </c>
      <c r="AT289" s="183">
        <f t="shared" ref="AT289:AT294" si="850">AS289</f>
        <v>544.27700000000004</v>
      </c>
      <c r="AU289" s="861">
        <v>545.37699999999995</v>
      </c>
      <c r="AV289" s="861">
        <v>547.76300000000003</v>
      </c>
      <c r="AW289" s="861">
        <v>549.375</v>
      </c>
      <c r="AX289" s="861">
        <v>551.00400000000002</v>
      </c>
      <c r="AY289" s="183">
        <f t="shared" ref="AY289:AY294" si="851">AX289</f>
        <v>551.00400000000002</v>
      </c>
      <c r="AZ289" s="861">
        <v>553.82000000000005</v>
      </c>
      <c r="BA289" s="861">
        <v>555.70399999999995</v>
      </c>
      <c r="BB289" s="861">
        <v>557.77200000000005</v>
      </c>
      <c r="BC289" s="861">
        <v>360.15300000000002</v>
      </c>
      <c r="BD289" s="183">
        <f t="shared" ref="BD289:BD294" si="852">BC289</f>
        <v>360.15300000000002</v>
      </c>
      <c r="BE289" s="66">
        <f t="shared" ref="BE289:BH289" si="853">BD289+BE240</f>
        <v>360.15300000000002</v>
      </c>
      <c r="BF289" s="66">
        <f t="shared" si="853"/>
        <v>360.15300000000002</v>
      </c>
      <c r="BG289" s="66">
        <f t="shared" si="853"/>
        <v>360.15300000000002</v>
      </c>
      <c r="BH289" s="66">
        <f t="shared" si="853"/>
        <v>360.15300000000002</v>
      </c>
      <c r="BI289" s="183">
        <f>BD289+BI240</f>
        <v>360.15300000000002</v>
      </c>
      <c r="BJ289" s="66"/>
      <c r="BK289" s="66"/>
      <c r="BL289" s="66"/>
      <c r="BM289" s="66"/>
      <c r="BN289" s="183">
        <f>BI289+BN240</f>
        <v>360.15300000000002</v>
      </c>
      <c r="BO289" s="66"/>
      <c r="BP289" s="66"/>
      <c r="BQ289" s="66"/>
      <c r="BR289" s="66"/>
      <c r="BS289" s="183">
        <f>BN289+BS240</f>
        <v>360.15300000000002</v>
      </c>
      <c r="BT289" s="72"/>
      <c r="BU289" s="373"/>
      <c r="BV289" s="238"/>
      <c r="BW289" s="72"/>
      <c r="BX289" s="72"/>
      <c r="BY289" s="72"/>
      <c r="BZ289" s="531"/>
      <c r="CA289" s="331"/>
      <c r="CB289" s="331"/>
      <c r="CC289" s="331"/>
      <c r="CD289" s="331"/>
      <c r="CE289" s="331"/>
      <c r="CF289" s="331"/>
      <c r="CG289" s="331"/>
      <c r="CH289" s="373"/>
      <c r="CI289" s="72"/>
      <c r="CJ289"/>
      <c r="CK289"/>
      <c r="CL289"/>
      <c r="CM289"/>
      <c r="CN289"/>
      <c r="CO289"/>
      <c r="CP289" s="418"/>
    </row>
    <row r="290" spans="1:94" s="256" customFormat="1" ht="12.75" customHeight="1" x14ac:dyDescent="0.2">
      <c r="A290" s="72" t="s">
        <v>271</v>
      </c>
      <c r="B290" s="66"/>
      <c r="C290" s="66"/>
      <c r="D290" s="66"/>
      <c r="E290" s="66"/>
      <c r="F290" s="874">
        <v>-291.93599999999998</v>
      </c>
      <c r="G290" s="861">
        <v>-236.56399999999999</v>
      </c>
      <c r="H290" s="861">
        <v>-218.107</v>
      </c>
      <c r="I290" s="861">
        <v>-267.21899999999999</v>
      </c>
      <c r="J290" s="861">
        <v>-256.33999999999997</v>
      </c>
      <c r="K290" s="183">
        <v>-256.33999999999997</v>
      </c>
      <c r="L290" s="861">
        <v>-238.107</v>
      </c>
      <c r="M290" s="861">
        <v>-215.399</v>
      </c>
      <c r="N290" s="861">
        <v>-201.33099999999999</v>
      </c>
      <c r="O290" s="861">
        <v>-178.23699999999999</v>
      </c>
      <c r="P290" s="183">
        <f t="shared" si="844"/>
        <v>-178.23699999999999</v>
      </c>
      <c r="Q290" s="861">
        <v>-166.96</v>
      </c>
      <c r="R290" s="861">
        <v>-177.02699999999999</v>
      </c>
      <c r="S290" s="861">
        <v>-115.28700000000001</v>
      </c>
      <c r="T290" s="861">
        <v>-105.756</v>
      </c>
      <c r="U290" s="183">
        <f t="shared" si="845"/>
        <v>-105.756</v>
      </c>
      <c r="V290" s="861">
        <v>-97.873000000000005</v>
      </c>
      <c r="W290" s="861">
        <v>-80.956000000000003</v>
      </c>
      <c r="X290" s="861">
        <v>-53.298999999999999</v>
      </c>
      <c r="Y290" s="861">
        <v>-29.308</v>
      </c>
      <c r="Z290" s="183">
        <f t="shared" si="846"/>
        <v>-29.308</v>
      </c>
      <c r="AA290" s="861">
        <v>-5.8890000000000002</v>
      </c>
      <c r="AB290" s="861">
        <v>28.702000000000002</v>
      </c>
      <c r="AC290" s="861">
        <v>59.585999999999999</v>
      </c>
      <c r="AD290" s="861">
        <v>79.152000000000001</v>
      </c>
      <c r="AE290" s="183">
        <f t="shared" si="847"/>
        <v>79.152000000000001</v>
      </c>
      <c r="AF290" s="861">
        <v>109.706</v>
      </c>
      <c r="AG290" s="861">
        <v>151.774</v>
      </c>
      <c r="AH290" s="861">
        <v>212.87700000000001</v>
      </c>
      <c r="AI290" s="861">
        <v>256.07</v>
      </c>
      <c r="AJ290" s="183">
        <f t="shared" si="848"/>
        <v>256.07</v>
      </c>
      <c r="AK290" s="861">
        <v>293.77600000000001</v>
      </c>
      <c r="AL290" s="861">
        <v>358.625</v>
      </c>
      <c r="AM290" s="861">
        <v>425.62400000000002</v>
      </c>
      <c r="AN290" s="861">
        <v>481.53399999999999</v>
      </c>
      <c r="AO290" s="183">
        <f t="shared" si="849"/>
        <v>481.53399999999999</v>
      </c>
      <c r="AP290" s="861">
        <v>550.53599999999994</v>
      </c>
      <c r="AQ290" s="861">
        <v>627.24</v>
      </c>
      <c r="AR290" s="861">
        <v>724.35400000000004</v>
      </c>
      <c r="AS290" s="861">
        <v>798.75400000000002</v>
      </c>
      <c r="AT290" s="183">
        <f t="shared" si="850"/>
        <v>798.75400000000002</v>
      </c>
      <c r="AU290" s="861">
        <v>860.67399999999998</v>
      </c>
      <c r="AV290" s="861">
        <v>933.75800000000004</v>
      </c>
      <c r="AW290" s="861">
        <v>1015.14</v>
      </c>
      <c r="AX290" s="861">
        <v>1063.633</v>
      </c>
      <c r="AY290" s="183">
        <f t="shared" si="851"/>
        <v>1063.633</v>
      </c>
      <c r="AZ290" s="861">
        <v>1095.568</v>
      </c>
      <c r="BA290" s="861">
        <v>1173.711</v>
      </c>
      <c r="BB290" s="861">
        <v>1233.9010000000001</v>
      </c>
      <c r="BC290" s="861">
        <v>1484.239</v>
      </c>
      <c r="BD290" s="183">
        <f t="shared" si="852"/>
        <v>1484.239</v>
      </c>
      <c r="BE290" s="66">
        <f t="shared" ref="BE290:BH290" si="854">BD290+BE218+BE238</f>
        <v>1512.6202986457988</v>
      </c>
      <c r="BF290" s="66">
        <f t="shared" si="854"/>
        <v>1557.7018877502712</v>
      </c>
      <c r="BG290" s="66">
        <f t="shared" si="854"/>
        <v>1638.0169584506177</v>
      </c>
      <c r="BH290" s="66">
        <f t="shared" si="854"/>
        <v>1697.1002163882031</v>
      </c>
      <c r="BI290" s="183">
        <f>BD290+BI218+BI238</f>
        <v>1697.1002163882035</v>
      </c>
      <c r="BJ290" s="66"/>
      <c r="BK290" s="66"/>
      <c r="BL290" s="66"/>
      <c r="BM290" s="66"/>
      <c r="BN290" s="183">
        <f>BI290+BN218+BN238</f>
        <v>1976.4198711464924</v>
      </c>
      <c r="BO290" s="66"/>
      <c r="BP290" s="66"/>
      <c r="BQ290" s="66"/>
      <c r="BR290" s="66"/>
      <c r="BS290" s="183">
        <f>BN290+BS218+BS238</f>
        <v>2357.5315318335643</v>
      </c>
      <c r="BT290" s="72"/>
      <c r="BU290" s="373"/>
      <c r="BV290" s="238"/>
      <c r="BW290" s="72"/>
      <c r="BX290" s="72"/>
      <c r="BY290" s="72"/>
      <c r="BZ290" s="531"/>
      <c r="CA290" s="331"/>
      <c r="CB290" s="331"/>
      <c r="CC290" s="331"/>
      <c r="CD290" s="331"/>
      <c r="CE290" s="331"/>
      <c r="CF290" s="331"/>
      <c r="CG290" s="331"/>
      <c r="CH290" s="373"/>
      <c r="CI290" s="72"/>
      <c r="CJ290"/>
      <c r="CK290"/>
      <c r="CL290"/>
      <c r="CM290"/>
      <c r="CN290"/>
      <c r="CO290"/>
      <c r="CP290" s="418"/>
    </row>
    <row r="291" spans="1:94" s="256" customFormat="1" ht="12.75" customHeight="1" x14ac:dyDescent="0.2">
      <c r="A291" s="72" t="s">
        <v>272</v>
      </c>
      <c r="B291" s="66"/>
      <c r="C291" s="66"/>
      <c r="D291" s="66"/>
      <c r="E291" s="66"/>
      <c r="F291" s="874">
        <v>0</v>
      </c>
      <c r="G291" s="861">
        <v>0</v>
      </c>
      <c r="H291" s="861">
        <v>0</v>
      </c>
      <c r="I291" s="861">
        <v>0</v>
      </c>
      <c r="J291" s="861">
        <v>0</v>
      </c>
      <c r="K291" s="183">
        <v>0</v>
      </c>
      <c r="L291" s="861">
        <v>0</v>
      </c>
      <c r="M291" s="861">
        <v>0</v>
      </c>
      <c r="N291" s="861">
        <v>0</v>
      </c>
      <c r="O291" s="861">
        <v>0</v>
      </c>
      <c r="P291" s="183">
        <f t="shared" si="844"/>
        <v>0</v>
      </c>
      <c r="Q291" s="861">
        <v>0</v>
      </c>
      <c r="R291" s="861">
        <v>0</v>
      </c>
      <c r="S291" s="861">
        <v>0</v>
      </c>
      <c r="T291" s="861">
        <v>0</v>
      </c>
      <c r="U291" s="183">
        <f t="shared" si="845"/>
        <v>0</v>
      </c>
      <c r="V291" s="861">
        <v>0</v>
      </c>
      <c r="W291" s="861">
        <v>0</v>
      </c>
      <c r="X291" s="861">
        <v>0</v>
      </c>
      <c r="Y291" s="861">
        <v>0</v>
      </c>
      <c r="Z291" s="183">
        <f t="shared" si="846"/>
        <v>0</v>
      </c>
      <c r="AA291" s="861">
        <v>0</v>
      </c>
      <c r="AB291" s="861">
        <v>0</v>
      </c>
      <c r="AC291" s="861">
        <v>0</v>
      </c>
      <c r="AD291" s="861">
        <v>0</v>
      </c>
      <c r="AE291" s="183">
        <f t="shared" si="847"/>
        <v>0</v>
      </c>
      <c r="AF291" s="861">
        <v>0</v>
      </c>
      <c r="AG291" s="861">
        <v>0</v>
      </c>
      <c r="AH291" s="861">
        <v>0</v>
      </c>
      <c r="AI291" s="861">
        <v>0</v>
      </c>
      <c r="AJ291" s="183">
        <f t="shared" si="848"/>
        <v>0</v>
      </c>
      <c r="AK291" s="861">
        <v>0</v>
      </c>
      <c r="AL291" s="861">
        <v>0</v>
      </c>
      <c r="AM291" s="861">
        <v>0</v>
      </c>
      <c r="AN291" s="861">
        <v>-0.71799999999999997</v>
      </c>
      <c r="AO291" s="183">
        <f t="shared" si="849"/>
        <v>-0.71799999999999997</v>
      </c>
      <c r="AP291" s="861">
        <v>-2.3119999999999998</v>
      </c>
      <c r="AQ291" s="861">
        <v>-1.0740000000000001</v>
      </c>
      <c r="AR291" s="861">
        <v>-1.627</v>
      </c>
      <c r="AS291" s="861">
        <v>-1.546</v>
      </c>
      <c r="AT291" s="183">
        <f t="shared" si="850"/>
        <v>-1.546</v>
      </c>
      <c r="AU291" s="861">
        <v>-1.5109999999999999</v>
      </c>
      <c r="AV291" s="861">
        <v>-1.4550000000000001</v>
      </c>
      <c r="AW291" s="861">
        <v>-1.3939999999999999</v>
      </c>
      <c r="AX291" s="861">
        <v>-1.345</v>
      </c>
      <c r="AY291" s="183">
        <f t="shared" si="851"/>
        <v>-1.345</v>
      </c>
      <c r="AZ291" s="861">
        <v>-1.323</v>
      </c>
      <c r="BA291" s="861">
        <v>-1.28</v>
      </c>
      <c r="BB291" s="861">
        <v>-1.214</v>
      </c>
      <c r="BC291" s="861">
        <v>-1.464</v>
      </c>
      <c r="BD291" s="183">
        <f t="shared" si="852"/>
        <v>-1.464</v>
      </c>
      <c r="BE291" s="66">
        <f t="shared" ref="BE291:BH291" si="855">BD291+BE246+BE235</f>
        <v>-1.464</v>
      </c>
      <c r="BF291" s="66">
        <f t="shared" si="855"/>
        <v>-1.464</v>
      </c>
      <c r="BG291" s="66">
        <f t="shared" si="855"/>
        <v>-1.464</v>
      </c>
      <c r="BH291" s="66">
        <f t="shared" si="855"/>
        <v>-1.464</v>
      </c>
      <c r="BI291" s="183">
        <f>BD291+BI246+BI235</f>
        <v>-1.464</v>
      </c>
      <c r="BJ291" s="66"/>
      <c r="BK291" s="66"/>
      <c r="BL291" s="66"/>
      <c r="BM291" s="66"/>
      <c r="BN291" s="183">
        <f>BI291+BN246+BN235</f>
        <v>-1.464</v>
      </c>
      <c r="BO291" s="66"/>
      <c r="BP291" s="66"/>
      <c r="BQ291" s="66"/>
      <c r="BR291" s="66"/>
      <c r="BS291" s="183">
        <f>BN291+BS246+BS235</f>
        <v>-1.464</v>
      </c>
      <c r="BT291" s="72"/>
      <c r="BU291" s="373"/>
      <c r="BV291" s="238"/>
      <c r="BW291" s="72"/>
      <c r="BX291" s="72"/>
      <c r="BY291" s="72"/>
      <c r="BZ291" s="531"/>
      <c r="CA291" s="331"/>
      <c r="CB291" s="331"/>
      <c r="CC291" s="331"/>
      <c r="CD291" s="331"/>
      <c r="CE291" s="331"/>
      <c r="CF291" s="331"/>
      <c r="CG291" s="331"/>
      <c r="CH291" s="373"/>
      <c r="CI291" s="72"/>
      <c r="CJ291"/>
      <c r="CK291"/>
      <c r="CL291"/>
      <c r="CM291"/>
      <c r="CN291"/>
      <c r="CO291"/>
      <c r="CP291" s="418"/>
    </row>
    <row r="292" spans="1:94" s="256" customFormat="1" ht="12.75" customHeight="1" x14ac:dyDescent="0.2">
      <c r="A292" s="72" t="s">
        <v>273</v>
      </c>
      <c r="B292" s="66"/>
      <c r="C292" s="66"/>
      <c r="D292" s="66"/>
      <c r="E292" s="66"/>
      <c r="F292" s="874">
        <v>0</v>
      </c>
      <c r="G292" s="861">
        <v>0</v>
      </c>
      <c r="H292" s="861">
        <v>0</v>
      </c>
      <c r="I292" s="861">
        <v>0</v>
      </c>
      <c r="J292" s="861">
        <v>0</v>
      </c>
      <c r="K292" s="183">
        <v>0</v>
      </c>
      <c r="L292" s="861">
        <v>0</v>
      </c>
      <c r="M292" s="861">
        <v>0</v>
      </c>
      <c r="N292" s="861">
        <v>-4.1000000000000002E-2</v>
      </c>
      <c r="O292" s="861">
        <v>0</v>
      </c>
      <c r="P292" s="183">
        <f t="shared" si="844"/>
        <v>0</v>
      </c>
      <c r="Q292" s="861">
        <v>-5.6000000000000001E-2</v>
      </c>
      <c r="R292" s="861">
        <v>0</v>
      </c>
      <c r="S292" s="861">
        <v>-5.6000000000000001E-2</v>
      </c>
      <c r="T292" s="861">
        <v>0</v>
      </c>
      <c r="U292" s="183">
        <f t="shared" si="845"/>
        <v>0</v>
      </c>
      <c r="V292" s="861">
        <v>0</v>
      </c>
      <c r="W292" s="861">
        <v>0</v>
      </c>
      <c r="X292" s="861">
        <v>0</v>
      </c>
      <c r="Y292" s="861">
        <v>-0.129</v>
      </c>
      <c r="Z292" s="183">
        <f t="shared" si="846"/>
        <v>-0.129</v>
      </c>
      <c r="AA292" s="861">
        <v>-0.58599999999999997</v>
      </c>
      <c r="AB292" s="861">
        <v>-0.98499999999999999</v>
      </c>
      <c r="AC292" s="861">
        <v>-1.0649999999999999</v>
      </c>
      <c r="AD292" s="861">
        <v>-1.151</v>
      </c>
      <c r="AE292" s="183">
        <f t="shared" si="847"/>
        <v>-1.151</v>
      </c>
      <c r="AF292" s="861">
        <v>-1.472</v>
      </c>
      <c r="AG292" s="861">
        <v>-2.0880000000000001</v>
      </c>
      <c r="AH292" s="861">
        <v>-2.2570000000000001</v>
      </c>
      <c r="AI292" s="861">
        <v>-2.2909999999999999</v>
      </c>
      <c r="AJ292" s="183">
        <f t="shared" si="848"/>
        <v>-2.2909999999999999</v>
      </c>
      <c r="AK292" s="861">
        <v>-2.9119999999999999</v>
      </c>
      <c r="AL292" s="861">
        <v>-3.5129999999999999</v>
      </c>
      <c r="AM292" s="861">
        <v>-3.7919999999999998</v>
      </c>
      <c r="AN292" s="861">
        <v>-3.9209999999999998</v>
      </c>
      <c r="AO292" s="183">
        <f t="shared" si="849"/>
        <v>-3.9209999999999998</v>
      </c>
      <c r="AP292" s="861">
        <v>-14.864000000000001</v>
      </c>
      <c r="AQ292" s="861">
        <v>-83.335999999999999</v>
      </c>
      <c r="AR292" s="861">
        <v>-116.083</v>
      </c>
      <c r="AS292" s="861">
        <v>-116.182</v>
      </c>
      <c r="AT292" s="183">
        <f t="shared" si="850"/>
        <v>-116.182</v>
      </c>
      <c r="AU292" s="861">
        <v>-126.779</v>
      </c>
      <c r="AV292" s="861">
        <v>-180.756</v>
      </c>
      <c r="AW292" s="861">
        <v>-218.572</v>
      </c>
      <c r="AX292" s="861">
        <v>-218.69200000000001</v>
      </c>
      <c r="AY292" s="183">
        <f t="shared" si="851"/>
        <v>-218.69200000000001</v>
      </c>
      <c r="AZ292" s="861">
        <v>-219.726</v>
      </c>
      <c r="BA292" s="861">
        <v>-219.90899999999999</v>
      </c>
      <c r="BB292" s="861">
        <v>-219.93</v>
      </c>
      <c r="BC292" s="861">
        <v>-65.853999999999999</v>
      </c>
      <c r="BD292" s="183">
        <f t="shared" si="852"/>
        <v>-65.853999999999999</v>
      </c>
      <c r="BE292" s="66">
        <f t="shared" ref="BE292:BH292" si="856">BD292+BE239</f>
        <v>-65.853999999999999</v>
      </c>
      <c r="BF292" s="66">
        <f t="shared" si="856"/>
        <v>-65.853999999999999</v>
      </c>
      <c r="BG292" s="66">
        <f t="shared" si="856"/>
        <v>-65.853999999999999</v>
      </c>
      <c r="BH292" s="66">
        <f t="shared" si="856"/>
        <v>-65.853999999999999</v>
      </c>
      <c r="BI292" s="183">
        <f>BD292+BI239</f>
        <v>-65.853999999999999</v>
      </c>
      <c r="BJ292" s="66"/>
      <c r="BK292" s="66"/>
      <c r="BL292" s="66"/>
      <c r="BM292" s="66"/>
      <c r="BN292" s="183">
        <f>BI292+BN239</f>
        <v>-65.853999999999999</v>
      </c>
      <c r="BO292" s="66"/>
      <c r="BP292" s="66"/>
      <c r="BQ292" s="66"/>
      <c r="BR292" s="66"/>
      <c r="BS292" s="183">
        <f>BN292+BS239</f>
        <v>-65.853999999999999</v>
      </c>
      <c r="BT292" s="72"/>
      <c r="BU292" s="373"/>
      <c r="BV292" s="238"/>
      <c r="BW292" s="72"/>
      <c r="BX292" s="72"/>
      <c r="BY292" s="72"/>
      <c r="BZ292" s="531"/>
      <c r="CA292" s="331"/>
      <c r="CB292" s="331"/>
      <c r="CC292" s="331"/>
      <c r="CD292" s="331"/>
      <c r="CE292" s="331"/>
      <c r="CF292" s="331"/>
      <c r="CG292" s="331"/>
      <c r="CH292" s="373"/>
      <c r="CI292" s="72"/>
      <c r="CJ292"/>
      <c r="CK292"/>
      <c r="CL292"/>
      <c r="CM292"/>
      <c r="CN292"/>
      <c r="CO292"/>
      <c r="CP292" s="418"/>
    </row>
    <row r="293" spans="1:94" s="140" customFormat="1" ht="12.75" customHeight="1" x14ac:dyDescent="0.2">
      <c r="A293" s="132" t="s">
        <v>274</v>
      </c>
      <c r="B293" s="137"/>
      <c r="C293" s="137"/>
      <c r="D293" s="137"/>
      <c r="E293" s="137"/>
      <c r="F293" s="205">
        <f>F292+F291+F290+F289+F288</f>
        <v>-291.90100000000001</v>
      </c>
      <c r="G293" s="137">
        <f t="shared" ref="G293:N293" si="857">G292+G291+G290+G289+G288</f>
        <v>-236.52800000000002</v>
      </c>
      <c r="H293" s="137">
        <f t="shared" si="857"/>
        <v>-218.06900000000002</v>
      </c>
      <c r="I293" s="137">
        <f t="shared" si="857"/>
        <v>-267.18</v>
      </c>
      <c r="J293" s="137">
        <f t="shared" si="857"/>
        <v>-256.3</v>
      </c>
      <c r="K293" s="205">
        <f t="shared" si="857"/>
        <v>-256.3</v>
      </c>
      <c r="L293" s="137">
        <f t="shared" si="857"/>
        <v>-238.06700000000001</v>
      </c>
      <c r="M293" s="137">
        <f t="shared" si="857"/>
        <v>-215.35700000000003</v>
      </c>
      <c r="N293" s="137">
        <f t="shared" si="857"/>
        <v>-201.327</v>
      </c>
      <c r="O293" s="137">
        <f>O292+O291+O290+O289+O288</f>
        <v>-178.12700000000001</v>
      </c>
      <c r="P293" s="205">
        <f t="shared" si="844"/>
        <v>-178.12700000000001</v>
      </c>
      <c r="Q293" s="137">
        <f>Q292+Q291+Q290+Q289+Q288</f>
        <v>-166.80800000000002</v>
      </c>
      <c r="R293" s="137">
        <f>R292+R291+R290+R289+R288</f>
        <v>-176.83500000000001</v>
      </c>
      <c r="S293" s="137">
        <f>S292+S291+S290+S289+S288</f>
        <v>-114.77000000000001</v>
      </c>
      <c r="T293" s="137">
        <f>T292+T291+T290+T289+T288</f>
        <v>-105.077</v>
      </c>
      <c r="U293" s="205">
        <f t="shared" si="845"/>
        <v>-105.077</v>
      </c>
      <c r="V293" s="137">
        <f>V292+V291+V290+V289+V288</f>
        <v>-97.022000000000006</v>
      </c>
      <c r="W293" s="137">
        <f>W292+W291+W290+W289+W288</f>
        <v>415.291</v>
      </c>
      <c r="X293" s="515">
        <f>X292+X291+X290+X289+X288</f>
        <v>442.72200000000004</v>
      </c>
      <c r="Y293" s="515">
        <f>Y292+Y291+Y290+Y289+Y288</f>
        <v>466.70600000000002</v>
      </c>
      <c r="Z293" s="205">
        <f t="shared" si="846"/>
        <v>466.70600000000002</v>
      </c>
      <c r="AA293" s="137">
        <f>AA292+AA291+AA290+AA289+AA288</f>
        <v>490.928</v>
      </c>
      <c r="AB293" s="137">
        <f>AB292+AB291+AB290+AB289+AB288</f>
        <v>527.32299999999998</v>
      </c>
      <c r="AC293" s="137">
        <f>AC292+AC291+AC290+AC289+AC288</f>
        <v>559.5089999999999</v>
      </c>
      <c r="AD293" s="137">
        <f>AD292+AD291+AD290+AD289+AD288</f>
        <v>582.53499999999997</v>
      </c>
      <c r="AE293" s="205">
        <f t="shared" si="847"/>
        <v>582.53499999999997</v>
      </c>
      <c r="AF293" s="137">
        <f>AF292+AF291+AF290+AF289+AF288</f>
        <v>614.79899999999998</v>
      </c>
      <c r="AG293" s="137">
        <f>AG292+AG291+AG290+AG289+AG288</f>
        <v>658.43799999999999</v>
      </c>
      <c r="AH293" s="137">
        <f>AH292+AH291+AH290+AH289+AH288</f>
        <v>723.76900000000001</v>
      </c>
      <c r="AI293" s="137">
        <f>AI292+AI291+AI290+AI289+AI288</f>
        <v>769.11699999999996</v>
      </c>
      <c r="AJ293" s="205">
        <f t="shared" si="848"/>
        <v>769.11699999999996</v>
      </c>
      <c r="AK293" s="137">
        <f>AK292+AK291+AK290+AK289+AK288</f>
        <v>809.37699999999995</v>
      </c>
      <c r="AL293" s="137">
        <f>AL292+AL291+AL290+AL289+AL288</f>
        <v>875.61099999999999</v>
      </c>
      <c r="AM293" s="137">
        <f>AM292+AM291+AM290+AM289+AM288</f>
        <v>945.31499999999994</v>
      </c>
      <c r="AN293" s="137">
        <f>AN292+AN291+AN290+AN289+AN288</f>
        <v>1003.0749999999999</v>
      </c>
      <c r="AO293" s="205">
        <f t="shared" si="849"/>
        <v>1003.0749999999999</v>
      </c>
      <c r="AP293" s="137">
        <f>AP292+AP291+AP290+AP289+AP288</f>
        <v>1069.4169999999999</v>
      </c>
      <c r="AQ293" s="137">
        <f>AQ292+AQ291+AQ290+AQ289+AQ288</f>
        <v>1082.2800000000002</v>
      </c>
      <c r="AR293" s="137">
        <f>AR292+AR291+AR290+AR289+AR288</f>
        <v>1148.6730000000002</v>
      </c>
      <c r="AS293" s="137">
        <f>AS292+AS291+AS290+AS289+AS288</f>
        <v>1225.3100000000002</v>
      </c>
      <c r="AT293" s="205">
        <f t="shared" si="850"/>
        <v>1225.3100000000002</v>
      </c>
      <c r="AU293" s="137">
        <f>AU292+AU291+AU290+AU289+AU288</f>
        <v>1277.768</v>
      </c>
      <c r="AV293" s="137">
        <f>AV292+AV291+AV290+AV289+AV288</f>
        <v>1299.317</v>
      </c>
      <c r="AW293" s="137">
        <f>AW292+AW291+AW290+AW289+AW288</f>
        <v>1344.556</v>
      </c>
      <c r="AX293" s="137">
        <f>AX292+AX291+AX290+AX289+AX288</f>
        <v>1394.607</v>
      </c>
      <c r="AY293" s="205">
        <f t="shared" si="851"/>
        <v>1394.607</v>
      </c>
      <c r="AZ293" s="137">
        <f t="shared" ref="AZ293:BC293" si="858">AZ292+AZ291+AZ290+AZ289+AZ288</f>
        <v>1428.346</v>
      </c>
      <c r="BA293" s="137">
        <f t="shared" si="858"/>
        <v>1508.2330000000002</v>
      </c>
      <c r="BB293" s="137">
        <f t="shared" si="858"/>
        <v>1570.5360000000001</v>
      </c>
      <c r="BC293" s="137">
        <f t="shared" si="858"/>
        <v>1777.0810000000001</v>
      </c>
      <c r="BD293" s="205">
        <f t="shared" si="852"/>
        <v>1777.0810000000001</v>
      </c>
      <c r="BE293" s="137">
        <f t="shared" ref="BE293:BH293" si="859">BE292+BE291+BE290+BE289+BE288</f>
        <v>1805.4622986457989</v>
      </c>
      <c r="BF293" s="137">
        <f t="shared" si="859"/>
        <v>1850.5438877502713</v>
      </c>
      <c r="BG293" s="137">
        <f t="shared" si="859"/>
        <v>1930.8589584506178</v>
      </c>
      <c r="BH293" s="137">
        <f t="shared" si="859"/>
        <v>1989.9422163882032</v>
      </c>
      <c r="BI293" s="205">
        <f>BI292+BI291+BI290+BI289+BI288</f>
        <v>1989.9422163882036</v>
      </c>
      <c r="BJ293" s="137"/>
      <c r="BK293" s="137"/>
      <c r="BL293" s="137"/>
      <c r="BM293" s="137"/>
      <c r="BN293" s="205">
        <f>BN292+BN291+BN290+BN289+BN288</f>
        <v>2269.2618711464925</v>
      </c>
      <c r="BO293" s="137"/>
      <c r="BP293" s="137"/>
      <c r="BQ293" s="137"/>
      <c r="BR293" s="137"/>
      <c r="BS293" s="205">
        <f>BS292+BS291+BS290+BS289+BS288</f>
        <v>2650.3735318335644</v>
      </c>
      <c r="BT293" s="44"/>
      <c r="BU293" s="368"/>
      <c r="BV293" s="232"/>
      <c r="BW293" s="44"/>
      <c r="BX293" s="44"/>
      <c r="BY293" s="44"/>
      <c r="BZ293" s="531"/>
      <c r="CA293" s="331"/>
      <c r="CB293" s="331"/>
      <c r="CC293" s="331"/>
      <c r="CD293" s="331"/>
      <c r="CE293" s="331"/>
      <c r="CF293" s="331"/>
      <c r="CG293" s="331"/>
      <c r="CH293" s="368"/>
      <c r="CI293" s="44"/>
      <c r="CJ293"/>
      <c r="CK293"/>
      <c r="CL293"/>
      <c r="CM293"/>
      <c r="CN293"/>
      <c r="CO293"/>
      <c r="CP293" s="137"/>
    </row>
    <row r="294" spans="1:94" s="140" customFormat="1" ht="12.75" customHeight="1" x14ac:dyDescent="0.2">
      <c r="A294" s="132" t="s">
        <v>275</v>
      </c>
      <c r="B294" s="137"/>
      <c r="C294" s="137"/>
      <c r="D294" s="137"/>
      <c r="E294" s="137"/>
      <c r="F294" s="205">
        <f>F293+F286</f>
        <v>257.38199999999989</v>
      </c>
      <c r="G294" s="137">
        <f t="shared" ref="G294:O294" si="860">G293+G286</f>
        <v>267.87099999999998</v>
      </c>
      <c r="H294" s="137">
        <f t="shared" si="860"/>
        <v>308.38100000000003</v>
      </c>
      <c r="I294" s="137">
        <f t="shared" si="860"/>
        <v>234.70499999999998</v>
      </c>
      <c r="J294" s="137">
        <f t="shared" si="860"/>
        <v>238.06899999999996</v>
      </c>
      <c r="K294" s="205">
        <f t="shared" si="860"/>
        <v>238.06899999999996</v>
      </c>
      <c r="L294" s="137">
        <f t="shared" si="860"/>
        <v>269.71900000000005</v>
      </c>
      <c r="M294" s="137">
        <f t="shared" si="860"/>
        <v>291.95</v>
      </c>
      <c r="N294" s="137">
        <f t="shared" si="860"/>
        <v>291.45400000000006</v>
      </c>
      <c r="O294" s="137">
        <f t="shared" si="860"/>
        <v>327.86600000000004</v>
      </c>
      <c r="P294" s="205">
        <f t="shared" si="844"/>
        <v>327.86600000000004</v>
      </c>
      <c r="Q294" s="137">
        <f>Q293+Q286</f>
        <v>379.41100000000006</v>
      </c>
      <c r="R294" s="137">
        <f>R293+R286</f>
        <v>371.85399999999993</v>
      </c>
      <c r="S294" s="137">
        <f>S293+S286</f>
        <v>448.87700000000007</v>
      </c>
      <c r="T294" s="137">
        <f>T293+T286</f>
        <v>475.75699999999995</v>
      </c>
      <c r="U294" s="205">
        <f t="shared" si="845"/>
        <v>475.75699999999995</v>
      </c>
      <c r="V294" s="137">
        <f>V293+V286</f>
        <v>545.2399999999999</v>
      </c>
      <c r="W294" s="137">
        <f>W293+W286</f>
        <v>709.96399999999994</v>
      </c>
      <c r="X294" s="137">
        <f>X293+X286</f>
        <v>722.16300000000001</v>
      </c>
      <c r="Y294" s="137">
        <f>Y293+Y286</f>
        <v>745.81299999999999</v>
      </c>
      <c r="Z294" s="205">
        <f t="shared" si="846"/>
        <v>745.81299999999999</v>
      </c>
      <c r="AA294" s="137">
        <f>AA293+AA286</f>
        <v>844.89400000000001</v>
      </c>
      <c r="AB294" s="137">
        <f>AB293+AB286</f>
        <v>869.52499999999998</v>
      </c>
      <c r="AC294" s="137">
        <f>AC293+AC286</f>
        <v>884.67999999999984</v>
      </c>
      <c r="AD294" s="137">
        <f>AD293+AD286</f>
        <v>919.88400000000001</v>
      </c>
      <c r="AE294" s="205">
        <f t="shared" si="847"/>
        <v>919.88400000000001</v>
      </c>
      <c r="AF294" s="137">
        <f>AF293+AF286</f>
        <v>1019.752</v>
      </c>
      <c r="AG294" s="137">
        <f>AG293+AG286</f>
        <v>1107.0609999999999</v>
      </c>
      <c r="AH294" s="137">
        <f>AH293+AH286</f>
        <v>1125.1390000000001</v>
      </c>
      <c r="AI294" s="137">
        <f>AI293+AI286</f>
        <v>1180.7649999999999</v>
      </c>
      <c r="AJ294" s="205">
        <f t="shared" si="848"/>
        <v>1180.7649999999999</v>
      </c>
      <c r="AK294" s="137">
        <f>AK293+AK286</f>
        <v>1299.2549999999999</v>
      </c>
      <c r="AL294" s="137">
        <f>AL293+AL286</f>
        <v>1349.85</v>
      </c>
      <c r="AM294" s="137">
        <f>AM293+AM286</f>
        <v>1413.5540000000001</v>
      </c>
      <c r="AN294" s="137">
        <f>AN293+AN286</f>
        <v>1602.9809999999998</v>
      </c>
      <c r="AO294" s="205">
        <f t="shared" si="849"/>
        <v>1602.9809999999998</v>
      </c>
      <c r="AP294" s="137">
        <f>AP293+AP286</f>
        <v>1955.856</v>
      </c>
      <c r="AQ294" s="137">
        <f>AQ293+AQ286</f>
        <v>2105.3370000000004</v>
      </c>
      <c r="AR294" s="137">
        <f>AR293+AR286</f>
        <v>2276.9220000000005</v>
      </c>
      <c r="AS294" s="137">
        <f>AS293+AS286</f>
        <v>2530.5450000000001</v>
      </c>
      <c r="AT294" s="205">
        <f t="shared" si="850"/>
        <v>2530.5450000000001</v>
      </c>
      <c r="AU294" s="137">
        <f>AU293+AU286</f>
        <v>2763.248</v>
      </c>
      <c r="AV294" s="137">
        <f>AV293+AV286</f>
        <v>3030.2000000000003</v>
      </c>
      <c r="AW294" s="137">
        <f>AW293+AW286</f>
        <v>3129.625</v>
      </c>
      <c r="AX294" s="137">
        <f>AX293+AX286</f>
        <v>3151.9270000000001</v>
      </c>
      <c r="AY294" s="205">
        <f t="shared" si="851"/>
        <v>3151.9270000000001</v>
      </c>
      <c r="AZ294" s="137">
        <f t="shared" ref="AZ294:BC294" si="861">AZ293+AZ286</f>
        <v>3438.614</v>
      </c>
      <c r="BA294" s="137">
        <f t="shared" si="861"/>
        <v>3674.3450000000003</v>
      </c>
      <c r="BB294" s="137">
        <f t="shared" si="861"/>
        <v>3870.942</v>
      </c>
      <c r="BC294" s="137">
        <f t="shared" si="861"/>
        <v>4139.9449999999997</v>
      </c>
      <c r="BD294" s="205">
        <f t="shared" si="852"/>
        <v>4139.9449999999997</v>
      </c>
      <c r="BE294" s="137">
        <f t="shared" ref="BE294:BH294" si="862">BE293+BE286</f>
        <v>4461.9970164740935</v>
      </c>
      <c r="BF294" s="137">
        <f t="shared" si="862"/>
        <v>4657.4079816342328</v>
      </c>
      <c r="BG294" s="137">
        <f t="shared" si="862"/>
        <v>4882.0479511038511</v>
      </c>
      <c r="BH294" s="137">
        <f t="shared" si="862"/>
        <v>5066.4738258598891</v>
      </c>
      <c r="BI294" s="205">
        <f>BI293+BI286</f>
        <v>5066.47382585989</v>
      </c>
      <c r="BJ294" s="137"/>
      <c r="BK294" s="137"/>
      <c r="BL294" s="137"/>
      <c r="BM294" s="137"/>
      <c r="BN294" s="205">
        <f>BN293+BN286</f>
        <v>5872.263001305113</v>
      </c>
      <c r="BO294" s="137"/>
      <c r="BP294" s="137"/>
      <c r="BQ294" s="137"/>
      <c r="BR294" s="137"/>
      <c r="BS294" s="205">
        <f>BS293+BS286</f>
        <v>6819.0989281648108</v>
      </c>
      <c r="BT294" s="44"/>
      <c r="BU294" s="368"/>
      <c r="BV294" s="232"/>
      <c r="BW294" s="44"/>
      <c r="BX294" s="44"/>
      <c r="BY294" s="44"/>
      <c r="BZ294" s="531"/>
      <c r="CA294" s="331"/>
      <c r="CB294" s="331"/>
      <c r="CC294" s="331"/>
      <c r="CD294" s="331"/>
      <c r="CE294" s="331"/>
      <c r="CF294" s="331"/>
      <c r="CG294" s="331"/>
      <c r="CH294" s="368"/>
      <c r="CI294" s="44"/>
      <c r="CJ294"/>
      <c r="CK294"/>
      <c r="CL294"/>
      <c r="CM294"/>
      <c r="CN294"/>
      <c r="CO294"/>
      <c r="CP294" s="137"/>
    </row>
    <row r="295" spans="1:94" s="256" customFormat="1" ht="12.75" customHeight="1" x14ac:dyDescent="0.2">
      <c r="A295" s="72" t="s">
        <v>276</v>
      </c>
      <c r="B295" s="66" t="str">
        <f t="shared" ref="B295:Z295" si="863">IF(ROUND(B294,2)-ROUND(B272,2)=0,"",B272-B294)</f>
        <v/>
      </c>
      <c r="C295" s="66" t="str">
        <f t="shared" si="863"/>
        <v/>
      </c>
      <c r="D295" s="66" t="str">
        <f t="shared" si="863"/>
        <v/>
      </c>
      <c r="E295" s="66" t="str">
        <f t="shared" si="863"/>
        <v/>
      </c>
      <c r="F295" s="183" t="str">
        <f t="shared" si="863"/>
        <v/>
      </c>
      <c r="G295" s="66" t="str">
        <f t="shared" si="863"/>
        <v/>
      </c>
      <c r="H295" s="66" t="str">
        <f t="shared" si="863"/>
        <v/>
      </c>
      <c r="I295" s="66" t="str">
        <f t="shared" si="863"/>
        <v/>
      </c>
      <c r="J295" s="66" t="str">
        <f t="shared" si="863"/>
        <v/>
      </c>
      <c r="K295" s="183" t="str">
        <f t="shared" si="863"/>
        <v/>
      </c>
      <c r="L295" s="66" t="str">
        <f t="shared" si="863"/>
        <v/>
      </c>
      <c r="M295" s="66" t="str">
        <f t="shared" si="863"/>
        <v/>
      </c>
      <c r="N295" s="66" t="str">
        <f t="shared" si="863"/>
        <v/>
      </c>
      <c r="O295" s="66" t="str">
        <f t="shared" si="863"/>
        <v/>
      </c>
      <c r="P295" s="183" t="str">
        <f t="shared" si="863"/>
        <v/>
      </c>
      <c r="Q295" s="66" t="str">
        <f t="shared" si="863"/>
        <v/>
      </c>
      <c r="R295" s="66" t="str">
        <f t="shared" si="863"/>
        <v/>
      </c>
      <c r="S295" s="66" t="str">
        <f t="shared" si="863"/>
        <v/>
      </c>
      <c r="T295" s="66" t="str">
        <f t="shared" si="863"/>
        <v/>
      </c>
      <c r="U295" s="183" t="str">
        <f t="shared" si="863"/>
        <v/>
      </c>
      <c r="V295" s="66" t="str">
        <f t="shared" si="863"/>
        <v/>
      </c>
      <c r="W295" s="66" t="str">
        <f t="shared" si="863"/>
        <v/>
      </c>
      <c r="X295" s="66" t="str">
        <f t="shared" si="863"/>
        <v/>
      </c>
      <c r="Y295" s="66" t="str">
        <f t="shared" si="863"/>
        <v/>
      </c>
      <c r="Z295" s="183" t="str">
        <f t="shared" si="863"/>
        <v/>
      </c>
      <c r="AA295" s="66" t="str">
        <f t="shared" ref="AA295:AJ295" si="864">IF(ROUND(AA294,2)-ROUND(AA272,2)=0,"",AA272-AA294)</f>
        <v/>
      </c>
      <c r="AB295" s="66" t="str">
        <f t="shared" si="864"/>
        <v/>
      </c>
      <c r="AC295" s="66" t="str">
        <f t="shared" si="864"/>
        <v/>
      </c>
      <c r="AD295" s="66" t="str">
        <f t="shared" si="864"/>
        <v/>
      </c>
      <c r="AE295" s="183" t="str">
        <f t="shared" si="864"/>
        <v/>
      </c>
      <c r="AF295" s="66" t="str">
        <f t="shared" si="864"/>
        <v/>
      </c>
      <c r="AG295" s="66" t="str">
        <f t="shared" si="864"/>
        <v/>
      </c>
      <c r="AH295" s="66" t="str">
        <f t="shared" si="864"/>
        <v/>
      </c>
      <c r="AI295" s="66" t="str">
        <f t="shared" si="864"/>
        <v/>
      </c>
      <c r="AJ295" s="183" t="str">
        <f t="shared" si="864"/>
        <v/>
      </c>
      <c r="AK295" s="66" t="str">
        <f t="shared" ref="AK295:AT295" si="865">IF(ROUND(AK294,2)-ROUND(AK272,2)=0,"",AK272-AK294)</f>
        <v/>
      </c>
      <c r="AL295" s="66" t="str">
        <f t="shared" si="865"/>
        <v/>
      </c>
      <c r="AM295" s="66" t="str">
        <f t="shared" si="865"/>
        <v/>
      </c>
      <c r="AN295" s="66" t="str">
        <f t="shared" si="865"/>
        <v/>
      </c>
      <c r="AO295" s="183" t="str">
        <f t="shared" si="865"/>
        <v/>
      </c>
      <c r="AP295" s="66" t="str">
        <f t="shared" si="865"/>
        <v/>
      </c>
      <c r="AQ295" s="66" t="str">
        <f t="shared" si="865"/>
        <v/>
      </c>
      <c r="AR295" s="66" t="str">
        <f t="shared" si="865"/>
        <v/>
      </c>
      <c r="AS295" s="66" t="str">
        <f t="shared" si="865"/>
        <v/>
      </c>
      <c r="AT295" s="183" t="str">
        <f t="shared" si="865"/>
        <v/>
      </c>
      <c r="AU295" s="66" t="str">
        <f>IF(ROUND(AU294,2)-ROUND(AU272,2)=0,"",AU272-AU294)</f>
        <v/>
      </c>
      <c r="AV295" s="66" t="str">
        <f>IF(ROUND(AV294,2)-ROUND(AV272,2)=0,"",AV272-AV294)</f>
        <v/>
      </c>
      <c r="AW295" s="66" t="str">
        <f>IF(ROUND(AW294,2)-ROUND(AW272,2)=0,"",AW272-AW294)</f>
        <v/>
      </c>
      <c r="AX295" s="66" t="str">
        <f>IF(ROUND(AX294,2)-ROUND(AX272,2)=0,"",AX272-AX294)</f>
        <v/>
      </c>
      <c r="AY295" s="183" t="str">
        <f>IF(ROUND(AY294,2)-ROUND(AY272,2)=0,"",AY272-AY294)</f>
        <v/>
      </c>
      <c r="AZ295" s="66" t="str">
        <f t="shared" ref="AZ295:BC295" si="866">IF(ROUND(AZ294,2)-ROUND(AZ272,2)=0,"",AZ272-AZ294)</f>
        <v/>
      </c>
      <c r="BA295" s="66" t="str">
        <f t="shared" si="866"/>
        <v/>
      </c>
      <c r="BB295" s="66" t="str">
        <f t="shared" si="866"/>
        <v/>
      </c>
      <c r="BC295" s="66" t="str">
        <f t="shared" si="866"/>
        <v/>
      </c>
      <c r="BD295" s="183" t="str">
        <f>IF(ROUND(BD294,2)-ROUND(BD272,2)=0,"",BD272-BD294)</f>
        <v/>
      </c>
      <c r="BE295" s="66" t="str">
        <f t="shared" ref="BE295:BH295" si="867">IF(ROUND(BE294,2)-ROUND(BE272,2)=0,"",BE272-BE294)</f>
        <v/>
      </c>
      <c r="BF295" s="66" t="str">
        <f t="shared" si="867"/>
        <v/>
      </c>
      <c r="BG295" s="66" t="str">
        <f t="shared" si="867"/>
        <v/>
      </c>
      <c r="BH295" s="66" t="str">
        <f t="shared" si="867"/>
        <v/>
      </c>
      <c r="BI295" s="183" t="str">
        <f>IF(ROUND(BI294,2)-ROUND(BI272,2)=0,"",BI272-BI294)</f>
        <v/>
      </c>
      <c r="BJ295" s="66"/>
      <c r="BK295" s="66"/>
      <c r="BL295" s="66"/>
      <c r="BM295" s="66"/>
      <c r="BN295" s="183" t="str">
        <f>IF(ROUND(BN294,2)-ROUND(BN272,2)=0,"",BN272-BN294)</f>
        <v/>
      </c>
      <c r="BO295" s="66"/>
      <c r="BP295" s="66"/>
      <c r="BQ295" s="66"/>
      <c r="BR295" s="66"/>
      <c r="BS295" s="183" t="str">
        <f>IF(ROUND(BS294,2)-ROUND(BS272,2)=0,"",BS272-BS294)</f>
        <v/>
      </c>
      <c r="BT295" s="72"/>
      <c r="BU295" s="373"/>
      <c r="BV295" s="238"/>
      <c r="BW295" s="72"/>
      <c r="BX295" s="72"/>
      <c r="BY295" s="72"/>
      <c r="BZ295" s="531"/>
      <c r="CA295" s="331"/>
      <c r="CB295" s="331"/>
      <c r="CC295" s="331"/>
      <c r="CD295" s="331"/>
      <c r="CE295" s="331"/>
      <c r="CF295" s="331"/>
      <c r="CG295" s="331"/>
      <c r="CH295" s="373"/>
      <c r="CI295" s="72"/>
      <c r="CJ295"/>
      <c r="CK295"/>
      <c r="CL295"/>
      <c r="CM295"/>
      <c r="CN295"/>
      <c r="CO295"/>
      <c r="CP295" s="418"/>
    </row>
    <row r="296" spans="1:94" s="2" customFormat="1" ht="12.75" customHeight="1" x14ac:dyDescent="0.2">
      <c r="A296" s="5" t="s">
        <v>172</v>
      </c>
      <c r="B296" s="83"/>
      <c r="C296" s="83"/>
      <c r="D296" s="83"/>
      <c r="E296" s="83"/>
      <c r="F296" s="188"/>
      <c r="G296" s="83"/>
      <c r="H296" s="83"/>
      <c r="I296" s="83"/>
      <c r="J296" s="83"/>
      <c r="K296" s="188"/>
      <c r="L296" s="83"/>
      <c r="M296" s="83"/>
      <c r="N296" s="83"/>
      <c r="O296" s="83"/>
      <c r="P296" s="188"/>
      <c r="Q296" s="83"/>
      <c r="R296" s="83"/>
      <c r="S296" s="83"/>
      <c r="T296" s="83"/>
      <c r="U296" s="188"/>
      <c r="V296" s="83"/>
      <c r="W296" s="83"/>
      <c r="X296" s="83"/>
      <c r="Y296" s="83"/>
      <c r="Z296" s="188"/>
      <c r="AA296" s="83"/>
      <c r="AB296" s="83"/>
      <c r="AC296" s="83"/>
      <c r="AD296" s="83"/>
      <c r="AE296" s="188"/>
      <c r="AF296" s="83"/>
      <c r="AG296" s="83"/>
      <c r="AH296" s="83"/>
      <c r="AI296" s="83"/>
      <c r="AJ296" s="188"/>
      <c r="AK296" s="83"/>
      <c r="AL296" s="83"/>
      <c r="AM296" s="83"/>
      <c r="AN296" s="83"/>
      <c r="AO296" s="188"/>
      <c r="AP296" s="83"/>
      <c r="AQ296" s="83"/>
      <c r="AR296" s="83"/>
      <c r="AS296" s="83"/>
      <c r="AT296" s="188"/>
      <c r="AU296" s="83"/>
      <c r="AV296" s="83"/>
      <c r="AW296" s="83"/>
      <c r="AX296" s="83"/>
      <c r="AY296" s="188"/>
      <c r="AZ296" s="389"/>
      <c r="BA296" s="389"/>
      <c r="BB296" s="389"/>
      <c r="BC296" s="389"/>
      <c r="BD296" s="816"/>
      <c r="BE296" s="389"/>
      <c r="BF296" s="389"/>
      <c r="BG296" s="389"/>
      <c r="BH296" s="389"/>
      <c r="BI296" s="816"/>
      <c r="BJ296" s="389"/>
      <c r="BK296" s="389"/>
      <c r="BL296" s="389"/>
      <c r="BM296" s="389"/>
      <c r="BN296" s="816"/>
      <c r="BO296" s="389"/>
      <c r="BP296" s="389"/>
      <c r="BQ296" s="389"/>
      <c r="BR296" s="389"/>
      <c r="BS296" s="816"/>
      <c r="BT296" s="21"/>
      <c r="BU296" s="364"/>
      <c r="BV296" s="242"/>
      <c r="BW296" s="21"/>
      <c r="BX296" s="21"/>
      <c r="BY296" s="21"/>
      <c r="BZ296" s="531"/>
      <c r="CA296" s="319"/>
      <c r="CB296" s="319"/>
      <c r="CC296" s="319"/>
      <c r="CD296" s="319"/>
      <c r="CE296" s="319"/>
      <c r="CF296" s="319"/>
      <c r="CG296" s="319"/>
      <c r="CH296" s="364"/>
      <c r="CI296" s="21"/>
      <c r="CJ296"/>
      <c r="CK296"/>
      <c r="CL296"/>
      <c r="CM296"/>
      <c r="CN296"/>
      <c r="CO296"/>
      <c r="CP296" s="83"/>
    </row>
    <row r="297" spans="1:94" s="133" customFormat="1" ht="12.75" customHeight="1" x14ac:dyDescent="0.2">
      <c r="A297" s="72" t="s">
        <v>277</v>
      </c>
      <c r="B297" s="80"/>
      <c r="C297" s="80"/>
      <c r="D297" s="80"/>
      <c r="E297" s="80"/>
      <c r="F297" s="187">
        <v>0</v>
      </c>
      <c r="G297" s="80">
        <v>0</v>
      </c>
      <c r="H297" s="80">
        <v>0</v>
      </c>
      <c r="I297" s="80">
        <v>0</v>
      </c>
      <c r="J297" s="80">
        <v>0</v>
      </c>
      <c r="K297" s="187">
        <v>0</v>
      </c>
      <c r="L297" s="80">
        <v>0</v>
      </c>
      <c r="M297" s="80">
        <v>0</v>
      </c>
      <c r="N297" s="80">
        <v>0</v>
      </c>
      <c r="O297" s="80">
        <v>0</v>
      </c>
      <c r="P297" s="187">
        <v>0</v>
      </c>
      <c r="Q297" s="80">
        <v>0</v>
      </c>
      <c r="R297" s="80">
        <v>0</v>
      </c>
      <c r="S297" s="80">
        <v>0</v>
      </c>
      <c r="T297" s="80">
        <v>0</v>
      </c>
      <c r="U297" s="187">
        <v>0</v>
      </c>
      <c r="V297" s="66">
        <v>0</v>
      </c>
      <c r="W297" s="66">
        <v>0</v>
      </c>
      <c r="X297" s="66">
        <v>0</v>
      </c>
      <c r="Y297" s="66">
        <v>0</v>
      </c>
      <c r="Z297" s="183">
        <v>0</v>
      </c>
      <c r="AA297" s="66">
        <v>0</v>
      </c>
      <c r="AB297" s="66">
        <v>0</v>
      </c>
      <c r="AC297" s="66">
        <v>0</v>
      </c>
      <c r="AD297" s="66">
        <v>0</v>
      </c>
      <c r="AE297" s="183">
        <v>0</v>
      </c>
      <c r="AF297" s="66">
        <v>0</v>
      </c>
      <c r="AG297" s="66">
        <v>0</v>
      </c>
      <c r="AH297" s="66">
        <v>0</v>
      </c>
      <c r="AI297" s="66">
        <v>0</v>
      </c>
      <c r="AJ297" s="183">
        <v>0</v>
      </c>
      <c r="AK297" s="66">
        <v>0</v>
      </c>
      <c r="AL297" s="66">
        <v>0</v>
      </c>
      <c r="AM297" s="66">
        <v>0</v>
      </c>
      <c r="AN297" s="66">
        <v>0</v>
      </c>
      <c r="AO297" s="183">
        <v>0</v>
      </c>
      <c r="AP297" s="66">
        <v>0</v>
      </c>
      <c r="AQ297" s="66">
        <v>0</v>
      </c>
      <c r="AR297" s="66">
        <v>0</v>
      </c>
      <c r="AS297" s="66">
        <v>0</v>
      </c>
      <c r="AT297" s="183">
        <v>0</v>
      </c>
      <c r="AU297" s="66">
        <v>0</v>
      </c>
      <c r="AV297" s="66">
        <v>0</v>
      </c>
      <c r="AW297" s="66">
        <v>0</v>
      </c>
      <c r="AX297" s="66">
        <v>0</v>
      </c>
      <c r="AY297" s="183">
        <v>0</v>
      </c>
      <c r="AZ297" s="66">
        <v>0</v>
      </c>
      <c r="BA297" s="66">
        <v>0</v>
      </c>
      <c r="BB297" s="66">
        <v>0</v>
      </c>
      <c r="BC297" s="66">
        <v>0</v>
      </c>
      <c r="BD297" s="183">
        <v>0</v>
      </c>
      <c r="BE297" s="136">
        <v>0</v>
      </c>
      <c r="BF297" s="136">
        <v>0</v>
      </c>
      <c r="BG297" s="136">
        <v>0</v>
      </c>
      <c r="BH297" s="136">
        <v>0</v>
      </c>
      <c r="BI297" s="317">
        <v>0</v>
      </c>
      <c r="BJ297" s="136">
        <v>0</v>
      </c>
      <c r="BK297" s="136">
        <v>0</v>
      </c>
      <c r="BL297" s="136">
        <v>0</v>
      </c>
      <c r="BM297" s="136">
        <v>0</v>
      </c>
      <c r="BN297" s="317">
        <v>0</v>
      </c>
      <c r="BO297" s="136">
        <v>0</v>
      </c>
      <c r="BP297" s="136">
        <v>0</v>
      </c>
      <c r="BQ297" s="136">
        <v>0</v>
      </c>
      <c r="BR297" s="136">
        <v>0</v>
      </c>
      <c r="BS297" s="317">
        <v>0</v>
      </c>
      <c r="BT297" s="71"/>
      <c r="BU297" s="378"/>
      <c r="BV297" s="240"/>
      <c r="BW297" s="71"/>
      <c r="BX297" s="71"/>
      <c r="BY297" s="71"/>
      <c r="BZ297" s="531"/>
      <c r="CA297" s="535"/>
      <c r="CB297" s="535"/>
      <c r="CC297" s="535"/>
      <c r="CD297" s="535"/>
      <c r="CE297" s="535"/>
      <c r="CF297" s="535"/>
      <c r="CG297" s="535"/>
      <c r="CH297" s="378"/>
      <c r="CI297" s="71"/>
      <c r="CJ297"/>
      <c r="CK297"/>
      <c r="CL297"/>
      <c r="CM297"/>
      <c r="CN297"/>
      <c r="CO297"/>
      <c r="CP297" s="423"/>
    </row>
    <row r="298" spans="1:94" s="133" customFormat="1" ht="12.75" customHeight="1" x14ac:dyDescent="0.2">
      <c r="A298" s="72" t="s">
        <v>278</v>
      </c>
      <c r="B298" s="80"/>
      <c r="C298" s="80"/>
      <c r="D298" s="80"/>
      <c r="E298" s="80"/>
      <c r="F298" s="187">
        <v>0</v>
      </c>
      <c r="G298" s="80">
        <v>0</v>
      </c>
      <c r="H298" s="80">
        <v>0</v>
      </c>
      <c r="I298" s="80">
        <v>0</v>
      </c>
      <c r="J298" s="80">
        <v>0</v>
      </c>
      <c r="K298" s="187">
        <v>0</v>
      </c>
      <c r="L298" s="80">
        <v>0</v>
      </c>
      <c r="M298" s="80">
        <v>0</v>
      </c>
      <c r="N298" s="80">
        <v>0</v>
      </c>
      <c r="O298" s="80">
        <v>0</v>
      </c>
      <c r="P298" s="187">
        <v>0</v>
      </c>
      <c r="Q298" s="80">
        <v>0</v>
      </c>
      <c r="R298" s="80">
        <v>0</v>
      </c>
      <c r="S298" s="80">
        <v>0</v>
      </c>
      <c r="T298" s="80">
        <v>0</v>
      </c>
      <c r="U298" s="187">
        <v>0</v>
      </c>
      <c r="V298" s="66">
        <v>0</v>
      </c>
      <c r="W298" s="66">
        <v>0</v>
      </c>
      <c r="X298" s="66">
        <v>0</v>
      </c>
      <c r="Y298" s="66">
        <v>0</v>
      </c>
      <c r="Z298" s="183">
        <v>0</v>
      </c>
      <c r="AA298" s="66">
        <v>0</v>
      </c>
      <c r="AB298" s="66">
        <v>0</v>
      </c>
      <c r="AC298" s="66">
        <v>0</v>
      </c>
      <c r="AD298" s="66">
        <v>0</v>
      </c>
      <c r="AE298" s="183">
        <v>0</v>
      </c>
      <c r="AF298" s="66">
        <v>0</v>
      </c>
      <c r="AG298" s="66">
        <v>0</v>
      </c>
      <c r="AH298" s="66">
        <v>0</v>
      </c>
      <c r="AI298" s="66">
        <v>0</v>
      </c>
      <c r="AJ298" s="183">
        <v>0</v>
      </c>
      <c r="AK298" s="66">
        <v>0</v>
      </c>
      <c r="AL298" s="66">
        <v>0</v>
      </c>
      <c r="AM298" s="66">
        <v>0</v>
      </c>
      <c r="AN298" s="66">
        <v>0</v>
      </c>
      <c r="AO298" s="183">
        <v>0</v>
      </c>
      <c r="AP298" s="66">
        <v>0</v>
      </c>
      <c r="AQ298" s="66">
        <v>0</v>
      </c>
      <c r="AR298" s="66">
        <v>0</v>
      </c>
      <c r="AS298" s="66">
        <v>0</v>
      </c>
      <c r="AT298" s="183">
        <v>0</v>
      </c>
      <c r="AU298" s="66">
        <v>0</v>
      </c>
      <c r="AV298" s="66">
        <v>0</v>
      </c>
      <c r="AW298" s="66">
        <v>0</v>
      </c>
      <c r="AX298" s="66">
        <v>0</v>
      </c>
      <c r="AY298" s="183">
        <v>0</v>
      </c>
      <c r="AZ298" s="66">
        <v>0</v>
      </c>
      <c r="BA298" s="66">
        <v>0</v>
      </c>
      <c r="BB298" s="66">
        <v>0</v>
      </c>
      <c r="BC298" s="66">
        <v>0</v>
      </c>
      <c r="BD298" s="183">
        <v>0</v>
      </c>
      <c r="BE298" s="136">
        <v>0</v>
      </c>
      <c r="BF298" s="136">
        <v>0</v>
      </c>
      <c r="BG298" s="136">
        <v>0</v>
      </c>
      <c r="BH298" s="136">
        <v>0</v>
      </c>
      <c r="BI298" s="317">
        <v>0</v>
      </c>
      <c r="BJ298" s="136">
        <v>0</v>
      </c>
      <c r="BK298" s="136">
        <v>0</v>
      </c>
      <c r="BL298" s="136">
        <v>0</v>
      </c>
      <c r="BM298" s="136">
        <v>0</v>
      </c>
      <c r="BN298" s="317">
        <v>0</v>
      </c>
      <c r="BO298" s="136">
        <v>0</v>
      </c>
      <c r="BP298" s="136">
        <v>0</v>
      </c>
      <c r="BQ298" s="136">
        <v>0</v>
      </c>
      <c r="BR298" s="136">
        <v>0</v>
      </c>
      <c r="BS298" s="317">
        <v>0</v>
      </c>
      <c r="BT298" s="71"/>
      <c r="BU298" s="378"/>
      <c r="BV298" s="240"/>
      <c r="BW298" s="71"/>
      <c r="BX298" s="71"/>
      <c r="BY298" s="71"/>
      <c r="BZ298" s="531"/>
      <c r="CA298" s="535"/>
      <c r="CB298" s="535"/>
      <c r="CC298" s="535"/>
      <c r="CD298" s="535"/>
      <c r="CE298" s="535"/>
      <c r="CF298" s="535"/>
      <c r="CG298" s="535"/>
      <c r="CH298" s="378"/>
      <c r="CI298" s="71"/>
      <c r="CJ298"/>
      <c r="CK298"/>
      <c r="CL298"/>
      <c r="CM298"/>
      <c r="CN298"/>
      <c r="CO298"/>
      <c r="CP298" s="423"/>
    </row>
    <row r="299" spans="1:94" s="273" customFormat="1" ht="12.75" customHeight="1" x14ac:dyDescent="0.2">
      <c r="A299" s="159" t="s">
        <v>279</v>
      </c>
      <c r="B299" s="51"/>
      <c r="C299" s="51"/>
      <c r="D299" s="51"/>
      <c r="E299" s="51"/>
      <c r="F299" s="182">
        <f>F239+F240</f>
        <v>-1.2E-2</v>
      </c>
      <c r="G299" s="51">
        <f t="shared" ref="G299:AK299" si="868">G239+G240</f>
        <v>0</v>
      </c>
      <c r="H299" s="51">
        <f t="shared" si="868"/>
        <v>0</v>
      </c>
      <c r="I299" s="51">
        <f t="shared" si="868"/>
        <v>0</v>
      </c>
      <c r="J299" s="51">
        <f t="shared" si="868"/>
        <v>-1E-3</v>
      </c>
      <c r="K299" s="182">
        <f t="shared" si="868"/>
        <v>-1E-3</v>
      </c>
      <c r="L299" s="51">
        <f t="shared" si="868"/>
        <v>0</v>
      </c>
      <c r="M299" s="51">
        <f t="shared" si="868"/>
        <v>0</v>
      </c>
      <c r="N299" s="51">
        <f t="shared" si="868"/>
        <v>-4.1000000000000002E-2</v>
      </c>
      <c r="O299" s="51">
        <f t="shared" si="868"/>
        <v>-1.9999999999999948E-3</v>
      </c>
      <c r="P299" s="182">
        <f t="shared" si="868"/>
        <v>-4.2999999999999997E-2</v>
      </c>
      <c r="Q299" s="51">
        <f t="shared" si="868"/>
        <v>0</v>
      </c>
      <c r="R299" s="51">
        <f t="shared" si="868"/>
        <v>0</v>
      </c>
      <c r="S299" s="51">
        <f t="shared" si="868"/>
        <v>0</v>
      </c>
      <c r="T299" s="51">
        <f t="shared" si="868"/>
        <v>0</v>
      </c>
      <c r="U299" s="182">
        <f t="shared" si="868"/>
        <v>0</v>
      </c>
      <c r="V299" s="51">
        <f t="shared" si="868"/>
        <v>0</v>
      </c>
      <c r="W299" s="51">
        <f t="shared" si="868"/>
        <v>170.25700000000001</v>
      </c>
      <c r="X299" s="51">
        <f t="shared" si="868"/>
        <v>0.23300000000000409</v>
      </c>
      <c r="Y299" s="51">
        <f t="shared" si="868"/>
        <v>-0.12500000000000572</v>
      </c>
      <c r="Z299" s="182">
        <f t="shared" si="868"/>
        <v>170.36500000000001</v>
      </c>
      <c r="AA299" s="51">
        <f t="shared" ref="AA299:AE299" si="869">AA239+AA240</f>
        <v>0.67</v>
      </c>
      <c r="AB299" s="51">
        <f t="shared" si="869"/>
        <v>-1.2229999999999999</v>
      </c>
      <c r="AC299" s="51">
        <f t="shared" si="869"/>
        <v>2.699999999999983E-2</v>
      </c>
      <c r="AD299" s="51">
        <f>AD239+AD240</f>
        <v>-2.6999999999999996E-2</v>
      </c>
      <c r="AE299" s="182">
        <f t="shared" si="869"/>
        <v>-0.55300000000000005</v>
      </c>
      <c r="AF299" s="51">
        <f>AF239+AF240</f>
        <v>0.128</v>
      </c>
      <c r="AG299" s="51">
        <f>AG239+AG240</f>
        <v>-0.51</v>
      </c>
      <c r="AH299" s="51">
        <f>AH239+AH240</f>
        <v>-4.9000000000000044E-2</v>
      </c>
      <c r="AI299" s="51">
        <f>AI239+AI240</f>
        <v>0.14300000000000013</v>
      </c>
      <c r="AJ299" s="182">
        <f t="shared" ref="AJ299" si="870">AJ239+AJ240</f>
        <v>-0.28800000000000003</v>
      </c>
      <c r="AK299" s="51">
        <f t="shared" si="868"/>
        <v>-0.58199999999999996</v>
      </c>
      <c r="AL299" s="51">
        <f>AL239+AL240</f>
        <v>-0.57699999999999996</v>
      </c>
      <c r="AM299" s="51">
        <f t="shared" ref="AM299:AT299" si="871">AM239+AM240</f>
        <v>-0.2019999999999999</v>
      </c>
      <c r="AN299" s="51">
        <f t="shared" si="871"/>
        <v>-9.5000000000000029E-2</v>
      </c>
      <c r="AO299" s="182">
        <f t="shared" si="871"/>
        <v>-1.456</v>
      </c>
      <c r="AP299" s="51">
        <f t="shared" si="871"/>
        <v>-10.927999999999999</v>
      </c>
      <c r="AQ299" s="51">
        <f t="shared" si="871"/>
        <v>-68.464000000000013</v>
      </c>
      <c r="AR299" s="51">
        <f t="shared" si="871"/>
        <v>-32.738</v>
      </c>
      <c r="AS299" s="51">
        <f t="shared" si="871"/>
        <v>-9.8999999999987764E-2</v>
      </c>
      <c r="AT299" s="182">
        <f t="shared" si="871"/>
        <v>-112.229</v>
      </c>
      <c r="AU299" s="51">
        <f>AU239+AU240</f>
        <v>-9.5130000000000017</v>
      </c>
      <c r="AV299" s="51">
        <f>AV239+AV240</f>
        <v>-52.677</v>
      </c>
      <c r="AW299" s="51">
        <f>AW239+AW240</f>
        <v>-40.108000000000004</v>
      </c>
      <c r="AX299" s="51">
        <f>AX239+AX240</f>
        <v>-0.12000000000000277</v>
      </c>
      <c r="AY299" s="182">
        <f t="shared" ref="AY299:BS299" si="872">AY239+AY240</f>
        <v>-102.41800000000001</v>
      </c>
      <c r="AZ299" s="51">
        <f t="shared" si="872"/>
        <v>-1.034</v>
      </c>
      <c r="BA299" s="51">
        <f t="shared" si="872"/>
        <v>-0.18300000000000005</v>
      </c>
      <c r="BB299" s="51">
        <f t="shared" si="872"/>
        <v>-2.0999999999999908E-2</v>
      </c>
      <c r="BC299" s="51">
        <f t="shared" si="872"/>
        <v>-45.341999999999999</v>
      </c>
      <c r="BD299" s="182">
        <f t="shared" si="872"/>
        <v>-46.58</v>
      </c>
      <c r="BE299" s="51">
        <f t="shared" ref="BE299:BH299" si="873">BE239+BE240</f>
        <v>0</v>
      </c>
      <c r="BF299" s="51">
        <f t="shared" si="873"/>
        <v>0</v>
      </c>
      <c r="BG299" s="51">
        <f t="shared" si="873"/>
        <v>0</v>
      </c>
      <c r="BH299" s="51">
        <f t="shared" si="873"/>
        <v>0</v>
      </c>
      <c r="BI299" s="182">
        <f t="shared" si="872"/>
        <v>0</v>
      </c>
      <c r="BJ299" s="51">
        <f t="shared" si="872"/>
        <v>0</v>
      </c>
      <c r="BK299" s="51">
        <f t="shared" si="872"/>
        <v>0</v>
      </c>
      <c r="BL299" s="51">
        <f t="shared" si="872"/>
        <v>0</v>
      </c>
      <c r="BM299" s="51">
        <f t="shared" si="872"/>
        <v>0</v>
      </c>
      <c r="BN299" s="182">
        <f t="shared" si="872"/>
        <v>0</v>
      </c>
      <c r="BO299" s="51">
        <f t="shared" si="872"/>
        <v>0</v>
      </c>
      <c r="BP299" s="51">
        <f t="shared" si="872"/>
        <v>0</v>
      </c>
      <c r="BQ299" s="51">
        <f t="shared" si="872"/>
        <v>0</v>
      </c>
      <c r="BR299" s="51">
        <f t="shared" si="872"/>
        <v>0</v>
      </c>
      <c r="BS299" s="182">
        <f t="shared" si="872"/>
        <v>0</v>
      </c>
      <c r="BT299" s="159"/>
      <c r="BU299" s="371"/>
      <c r="BV299" s="235"/>
      <c r="BW299" s="159"/>
      <c r="BX299" s="159"/>
      <c r="BY299" s="159"/>
      <c r="BZ299" s="531"/>
      <c r="CA299" s="333"/>
      <c r="CB299" s="333"/>
      <c r="CC299" s="333"/>
      <c r="CD299" s="333"/>
      <c r="CE299" s="333"/>
      <c r="CF299" s="333"/>
      <c r="CG299" s="333"/>
      <c r="CH299" s="371"/>
      <c r="CI299" s="159"/>
      <c r="CJ299"/>
      <c r="CK299"/>
      <c r="CL299"/>
      <c r="CM299"/>
      <c r="CN299"/>
      <c r="CO299"/>
      <c r="CP299" s="410"/>
    </row>
    <row r="300" spans="1:94" s="273" customFormat="1" ht="12.75" customHeight="1" x14ac:dyDescent="0.2">
      <c r="A300" s="159" t="s">
        <v>280</v>
      </c>
      <c r="B300" s="51"/>
      <c r="C300" s="51"/>
      <c r="D300" s="51"/>
      <c r="E300" s="51"/>
      <c r="F300" s="182"/>
      <c r="G300" s="51"/>
      <c r="H300" s="51"/>
      <c r="I300" s="51"/>
      <c r="J300" s="51"/>
      <c r="K300" s="182"/>
      <c r="L300" s="51"/>
      <c r="M300" s="51"/>
      <c r="N300" s="51"/>
      <c r="O300" s="51"/>
      <c r="P300" s="182"/>
      <c r="Q300" s="51"/>
      <c r="R300" s="51"/>
      <c r="S300" s="51"/>
      <c r="T300" s="51"/>
      <c r="U300" s="182"/>
      <c r="V300" s="51"/>
      <c r="W300" s="51"/>
      <c r="X300" s="51"/>
      <c r="Y300" s="51"/>
      <c r="Z300" s="182"/>
      <c r="AA300" s="51"/>
      <c r="AB300" s="51"/>
      <c r="AC300" s="51"/>
      <c r="AD300" s="51"/>
      <c r="AE300" s="182"/>
      <c r="AF300" s="51"/>
      <c r="AG300" s="51"/>
      <c r="AH300" s="51"/>
      <c r="AI300" s="51"/>
      <c r="AJ300" s="182"/>
      <c r="AK300" s="51"/>
      <c r="AL300" s="51"/>
      <c r="AM300" s="51"/>
      <c r="AN300" s="51"/>
      <c r="AO300" s="182"/>
      <c r="AP300" s="51"/>
      <c r="AQ300" s="51"/>
      <c r="AR300" s="51"/>
      <c r="AS300" s="51"/>
      <c r="AT300" s="182"/>
      <c r="AU300" s="51"/>
      <c r="AV300" s="51"/>
      <c r="AW300" s="51"/>
      <c r="AX300" s="51"/>
      <c r="AY300" s="182"/>
      <c r="AZ300" s="51"/>
      <c r="BA300" s="51"/>
      <c r="BB300" s="51"/>
      <c r="BC300" s="51"/>
      <c r="BD300" s="182"/>
      <c r="BE300" s="51"/>
      <c r="BF300" s="51"/>
      <c r="BG300" s="51"/>
      <c r="BH300" s="51"/>
      <c r="BI300" s="182"/>
      <c r="BJ300" s="51"/>
      <c r="BK300" s="51"/>
      <c r="BL300" s="51"/>
      <c r="BM300" s="51"/>
      <c r="BN300" s="182"/>
      <c r="BO300" s="51"/>
      <c r="BP300" s="51"/>
      <c r="BQ300" s="51"/>
      <c r="BR300" s="51"/>
      <c r="BS300" s="182"/>
      <c r="BT300" s="159"/>
      <c r="BU300" s="371"/>
      <c r="BV300" s="235"/>
      <c r="BW300" s="159"/>
      <c r="BX300" s="159"/>
      <c r="BY300" s="159"/>
      <c r="BZ300" s="531"/>
      <c r="CA300" s="333"/>
      <c r="CB300" s="333"/>
      <c r="CC300" s="333"/>
      <c r="CD300" s="333"/>
      <c r="CE300" s="333"/>
      <c r="CF300" s="333"/>
      <c r="CG300" s="333"/>
      <c r="CH300" s="371"/>
      <c r="CI300" s="159"/>
      <c r="CJ300"/>
      <c r="CK300"/>
      <c r="CL300"/>
      <c r="CM300"/>
      <c r="CN300"/>
      <c r="CO300"/>
      <c r="CP300" s="410"/>
    </row>
    <row r="301" spans="1:94" s="273" customFormat="1" ht="12.75" customHeight="1" x14ac:dyDescent="0.2">
      <c r="A301" s="159" t="s">
        <v>281</v>
      </c>
      <c r="B301" s="51"/>
      <c r="C301" s="51"/>
      <c r="D301" s="51"/>
      <c r="E301" s="51"/>
      <c r="F301" s="182">
        <v>0</v>
      </c>
      <c r="G301" s="51"/>
      <c r="H301" s="51"/>
      <c r="I301" s="51"/>
      <c r="J301" s="51"/>
      <c r="K301" s="182">
        <v>0</v>
      </c>
      <c r="L301" s="51"/>
      <c r="M301" s="51"/>
      <c r="N301" s="51"/>
      <c r="O301" s="51"/>
      <c r="P301" s="182">
        <v>0</v>
      </c>
      <c r="Q301" s="51"/>
      <c r="R301" s="51"/>
      <c r="S301" s="51"/>
      <c r="T301" s="51"/>
      <c r="U301" s="182">
        <v>0</v>
      </c>
      <c r="V301" s="51"/>
      <c r="W301" s="51"/>
      <c r="X301" s="51"/>
      <c r="Y301" s="51"/>
      <c r="Z301" s="182">
        <v>0</v>
      </c>
      <c r="AA301" s="51"/>
      <c r="AB301" s="51"/>
      <c r="AC301" s="51"/>
      <c r="AD301" s="51"/>
      <c r="AE301" s="182">
        <v>0</v>
      </c>
      <c r="AF301" s="51"/>
      <c r="AG301" s="51"/>
      <c r="AH301" s="51"/>
      <c r="AI301" s="51"/>
      <c r="AJ301" s="182">
        <v>0</v>
      </c>
      <c r="AK301" s="51"/>
      <c r="AL301" s="51"/>
      <c r="AM301" s="51"/>
      <c r="AN301" s="51"/>
      <c r="AO301" s="182">
        <v>0</v>
      </c>
      <c r="AP301" s="51"/>
      <c r="AQ301" s="51"/>
      <c r="AR301" s="51"/>
      <c r="AS301" s="51"/>
      <c r="AT301" s="182">
        <v>0</v>
      </c>
      <c r="AU301" s="51"/>
      <c r="AV301" s="51"/>
      <c r="AW301" s="51"/>
      <c r="AX301" s="51"/>
      <c r="AY301" s="182">
        <v>0</v>
      </c>
      <c r="AZ301" s="51"/>
      <c r="BA301" s="51"/>
      <c r="BB301" s="51"/>
      <c r="BC301" s="51"/>
      <c r="BD301" s="213">
        <v>0</v>
      </c>
      <c r="BE301" s="51"/>
      <c r="BF301" s="51"/>
      <c r="BG301" s="51"/>
      <c r="BH301" s="51"/>
      <c r="BI301" s="213">
        <v>0</v>
      </c>
      <c r="BJ301" s="51"/>
      <c r="BK301" s="51"/>
      <c r="BL301" s="51"/>
      <c r="BM301" s="51"/>
      <c r="BN301" s="213">
        <v>0</v>
      </c>
      <c r="BO301" s="51"/>
      <c r="BP301" s="51"/>
      <c r="BQ301" s="51"/>
      <c r="BR301" s="51"/>
      <c r="BS301" s="213">
        <v>0</v>
      </c>
      <c r="BT301" s="159"/>
      <c r="BU301" s="371"/>
      <c r="BV301" s="235"/>
      <c r="BW301" s="159"/>
      <c r="BX301" s="159"/>
      <c r="BY301" s="159"/>
      <c r="BZ301" s="531"/>
      <c r="CA301" s="333"/>
      <c r="CB301" s="333"/>
      <c r="CC301" s="333"/>
      <c r="CD301" s="333"/>
      <c r="CE301" s="333"/>
      <c r="CF301" s="333"/>
      <c r="CG301" s="333"/>
      <c r="CH301" s="371"/>
      <c r="CI301" s="159"/>
      <c r="CJ301"/>
      <c r="CK301"/>
      <c r="CL301"/>
      <c r="CM301"/>
      <c r="CN301"/>
      <c r="CO301"/>
      <c r="CP301" s="410"/>
    </row>
    <row r="302" spans="1:94" customFormat="1" ht="12.75" customHeight="1" x14ac:dyDescent="0.2"/>
    <row r="303" spans="1:94" ht="12.75" customHeight="1" x14ac:dyDescent="0.2">
      <c r="A303" s="73" t="s">
        <v>282</v>
      </c>
      <c r="B303" s="15"/>
      <c r="C303" s="15"/>
      <c r="D303" s="15"/>
      <c r="E303" s="15"/>
      <c r="F303" s="164"/>
      <c r="G303" s="15"/>
      <c r="H303" s="15"/>
      <c r="I303" s="15"/>
      <c r="J303" s="15"/>
      <c r="K303" s="164"/>
      <c r="L303" s="15"/>
      <c r="M303" s="15"/>
      <c r="N303" s="15"/>
      <c r="O303" s="15"/>
      <c r="P303" s="164"/>
      <c r="Q303" s="15"/>
      <c r="R303" s="15"/>
      <c r="S303" s="15"/>
      <c r="T303" s="15"/>
      <c r="U303" s="164"/>
      <c r="V303" s="15"/>
      <c r="W303" s="15"/>
      <c r="X303" s="15"/>
      <c r="Y303" s="15"/>
      <c r="Z303" s="164"/>
      <c r="AA303" s="15"/>
      <c r="AB303" s="15"/>
      <c r="AC303" s="15"/>
      <c r="AD303" s="15"/>
      <c r="AE303" s="164"/>
      <c r="AF303" s="15"/>
      <c r="AG303" s="15"/>
      <c r="AH303" s="15"/>
      <c r="AI303" s="15"/>
      <c r="AJ303" s="164"/>
      <c r="AK303" s="15"/>
      <c r="AL303" s="15"/>
      <c r="AM303" s="15"/>
      <c r="AN303" s="15"/>
      <c r="AO303" s="164"/>
      <c r="AP303" s="15"/>
      <c r="AQ303" s="15"/>
      <c r="AR303" s="15"/>
      <c r="AS303" s="15"/>
      <c r="AT303" s="164"/>
      <c r="AU303" s="15"/>
      <c r="AV303" s="15"/>
      <c r="AW303" s="15"/>
      <c r="AX303" s="15"/>
      <c r="AY303" s="164"/>
      <c r="AZ303" s="15"/>
      <c r="BA303" s="15"/>
      <c r="BB303" s="15"/>
      <c r="BC303" s="15"/>
      <c r="BD303" s="164"/>
      <c r="BE303" s="15"/>
      <c r="BF303" s="15"/>
      <c r="BG303" s="15"/>
      <c r="BH303" s="15"/>
      <c r="BI303" s="164"/>
      <c r="BJ303" s="15"/>
      <c r="BK303" s="15"/>
      <c r="BL303" s="15"/>
      <c r="BM303" s="15"/>
      <c r="BN303" s="164"/>
      <c r="BO303" s="15"/>
      <c r="BP303" s="15"/>
      <c r="BQ303" s="15"/>
      <c r="BR303" s="15"/>
      <c r="BS303" s="164"/>
    </row>
    <row r="304" spans="1:94" s="254" customFormat="1" ht="12.75" customHeight="1" x14ac:dyDescent="0.2">
      <c r="A304" s="9" t="s">
        <v>283</v>
      </c>
      <c r="B304" s="9"/>
      <c r="C304" s="9"/>
      <c r="D304" s="9"/>
      <c r="E304" s="9"/>
      <c r="F304" s="165"/>
      <c r="G304" s="9"/>
      <c r="H304" s="9"/>
      <c r="I304" s="9"/>
      <c r="J304" s="9"/>
      <c r="K304" s="165"/>
      <c r="L304" s="9"/>
      <c r="M304" s="9"/>
      <c r="N304" s="9"/>
      <c r="O304" s="9"/>
      <c r="P304" s="165"/>
      <c r="Q304" s="9"/>
      <c r="R304" s="9"/>
      <c r="S304" s="9"/>
      <c r="T304" s="9"/>
      <c r="U304" s="165"/>
      <c r="V304" s="9"/>
      <c r="W304" s="9"/>
      <c r="X304" s="9"/>
      <c r="Y304" s="9"/>
      <c r="Z304" s="165"/>
      <c r="AA304" s="9"/>
      <c r="AB304" s="9"/>
      <c r="AC304" s="9"/>
      <c r="AD304" s="9"/>
      <c r="AE304" s="165"/>
      <c r="AF304" s="9"/>
      <c r="AG304" s="9"/>
      <c r="AH304" s="9"/>
      <c r="AI304" s="9"/>
      <c r="AJ304" s="165"/>
      <c r="AK304" s="9"/>
      <c r="AL304" s="9"/>
      <c r="AM304" s="9"/>
      <c r="AN304" s="9"/>
      <c r="AO304" s="165"/>
      <c r="AP304" s="9"/>
      <c r="AQ304" s="9"/>
      <c r="AR304" s="9"/>
      <c r="AS304" s="9"/>
      <c r="AT304" s="165"/>
      <c r="AU304" s="9"/>
      <c r="AV304" s="9"/>
      <c r="AW304" s="9"/>
      <c r="AX304" s="9"/>
      <c r="AY304" s="165"/>
      <c r="AZ304" s="9"/>
      <c r="BA304" s="9"/>
      <c r="BB304" s="9"/>
      <c r="BC304" s="9"/>
      <c r="BD304" s="165"/>
      <c r="BE304" s="9"/>
      <c r="BF304" s="9"/>
      <c r="BG304" s="9"/>
      <c r="BH304" s="9"/>
      <c r="BI304" s="165"/>
      <c r="BJ304" s="9"/>
      <c r="BK304" s="9"/>
      <c r="BL304" s="9"/>
      <c r="BM304" s="9"/>
      <c r="BN304" s="165"/>
      <c r="BO304" s="9"/>
      <c r="BP304" s="9"/>
      <c r="BQ304" s="9"/>
      <c r="BR304" s="9"/>
      <c r="BS304" s="165"/>
      <c r="BT304" s="249"/>
      <c r="BU304" s="8"/>
      <c r="BV304" s="280"/>
      <c r="BW304" s="249"/>
      <c r="BX304" s="249"/>
      <c r="BY304" s="249"/>
      <c r="BZ304" s="432"/>
      <c r="CA304" s="320"/>
      <c r="CB304" s="320"/>
      <c r="CC304" s="320"/>
      <c r="CD304" s="320"/>
      <c r="CE304" s="320"/>
      <c r="CF304" s="320"/>
      <c r="CG304" s="320"/>
      <c r="CH304" s="8"/>
      <c r="CI304" s="249"/>
      <c r="CJ304"/>
      <c r="CK304"/>
      <c r="CL304"/>
      <c r="CM304"/>
      <c r="CN304"/>
      <c r="CO304"/>
      <c r="CP304" s="320"/>
    </row>
    <row r="305" spans="1:94" ht="12.75" hidden="1" customHeight="1" x14ac:dyDescent="0.2">
      <c r="A305" s="159" t="s">
        <v>284</v>
      </c>
      <c r="B305" s="35"/>
      <c r="C305" s="35"/>
      <c r="D305" s="35"/>
      <c r="E305" s="35"/>
      <c r="F305" s="170"/>
      <c r="G305" s="58">
        <f>G256</f>
        <v>40.139000000000003</v>
      </c>
      <c r="H305" s="58">
        <f t="shared" ref="H305:AJ305" si="874">H256</f>
        <v>21.048000000000005</v>
      </c>
      <c r="I305" s="58">
        <f t="shared" si="874"/>
        <v>11.672000000000008</v>
      </c>
      <c r="J305" s="58">
        <f t="shared" si="874"/>
        <v>16.228999999999999</v>
      </c>
      <c r="K305" s="210">
        <f t="shared" si="874"/>
        <v>16.236999999999995</v>
      </c>
      <c r="L305" s="58">
        <f t="shared" si="874"/>
        <v>42.695</v>
      </c>
      <c r="M305" s="58">
        <f t="shared" si="874"/>
        <v>54.412000000000006</v>
      </c>
      <c r="N305" s="58">
        <f t="shared" si="874"/>
        <v>63.190000000000005</v>
      </c>
      <c r="O305" s="58">
        <f t="shared" si="874"/>
        <v>86.147000000000006</v>
      </c>
      <c r="P305" s="210">
        <f t="shared" si="874"/>
        <v>86.147000000000006</v>
      </c>
      <c r="Q305" s="58">
        <f t="shared" si="874"/>
        <v>85.549000000000007</v>
      </c>
      <c r="R305" s="58">
        <f t="shared" si="874"/>
        <v>71.872000000000014</v>
      </c>
      <c r="S305" s="58">
        <f t="shared" si="874"/>
        <v>73.658000000000015</v>
      </c>
      <c r="T305" s="58">
        <f t="shared" si="874"/>
        <v>82.714000000000013</v>
      </c>
      <c r="U305" s="210">
        <f t="shared" si="874"/>
        <v>82.713999999999999</v>
      </c>
      <c r="V305" s="58">
        <f t="shared" si="874"/>
        <v>62.600999999999999</v>
      </c>
      <c r="W305" s="58">
        <f>W256</f>
        <v>248.458</v>
      </c>
      <c r="X305" s="58">
        <f t="shared" si="874"/>
        <v>350.97300000000001</v>
      </c>
      <c r="Y305" s="58">
        <f t="shared" si="874"/>
        <v>343.32800000000003</v>
      </c>
      <c r="Z305" s="210">
        <f t="shared" si="874"/>
        <v>343.32800000000003</v>
      </c>
      <c r="AA305" s="58">
        <f>AA256</f>
        <v>420.83100000000002</v>
      </c>
      <c r="AB305" s="58">
        <f>AB256</f>
        <v>414.97700000000003</v>
      </c>
      <c r="AC305" s="58">
        <f>AC256</f>
        <v>399.14300000000003</v>
      </c>
      <c r="AD305" s="58">
        <f>AD256</f>
        <v>416.81600000000003</v>
      </c>
      <c r="AE305" s="210">
        <f t="shared" si="874"/>
        <v>416.81600000000003</v>
      </c>
      <c r="AF305" s="58"/>
      <c r="AG305" s="58"/>
      <c r="AH305" s="58"/>
      <c r="AI305" s="58"/>
      <c r="AJ305" s="210">
        <f t="shared" si="874"/>
        <v>530.63100000000009</v>
      </c>
      <c r="AK305" s="58"/>
      <c r="AL305" s="58"/>
      <c r="AM305" s="58"/>
      <c r="AN305" s="58"/>
      <c r="AO305" s="210">
        <f>AO256</f>
        <v>632.78400000000011</v>
      </c>
      <c r="AP305" s="58"/>
      <c r="AQ305" s="58"/>
      <c r="AR305" s="58"/>
      <c r="AS305" s="58"/>
      <c r="AT305" s="210">
        <f>AT256</f>
        <v>803.63200000000006</v>
      </c>
      <c r="AU305" s="58"/>
      <c r="AV305" s="58"/>
      <c r="AW305" s="58"/>
      <c r="AX305" s="58"/>
      <c r="AY305" s="210">
        <f>AY256</f>
        <v>700.90000000000009</v>
      </c>
      <c r="AZ305" s="159"/>
      <c r="BA305" s="159"/>
      <c r="BB305" s="159"/>
      <c r="BC305" s="159"/>
      <c r="BD305" s="182">
        <f>BD256</f>
        <v>800.84900000000039</v>
      </c>
      <c r="BE305" s="159"/>
      <c r="BF305" s="159"/>
      <c r="BG305" s="159"/>
      <c r="BH305" s="159"/>
      <c r="BI305" s="182">
        <f>BI256</f>
        <v>872.20742593727846</v>
      </c>
      <c r="BJ305" s="159"/>
      <c r="BK305" s="159"/>
      <c r="BL305" s="159"/>
      <c r="BM305" s="159"/>
      <c r="BN305" s="182">
        <f>BN256</f>
        <v>866.73302933666537</v>
      </c>
      <c r="BO305" s="159"/>
      <c r="BP305" s="159"/>
      <c r="BQ305" s="159"/>
      <c r="BR305" s="159"/>
      <c r="BS305" s="182">
        <f>BS256</f>
        <v>1029.9063959923942</v>
      </c>
    </row>
    <row r="306" spans="1:94" ht="12.75" hidden="1" customHeight="1" x14ac:dyDescent="0.2">
      <c r="A306" s="159" t="s">
        <v>285</v>
      </c>
      <c r="B306" s="35"/>
      <c r="C306" s="35"/>
      <c r="D306" s="35"/>
      <c r="E306" s="35"/>
      <c r="F306" s="170"/>
      <c r="G306" s="58">
        <f>G258</f>
        <v>38.951000000000001</v>
      </c>
      <c r="H306" s="58">
        <f t="shared" ref="H306:AJ306" si="875">H258</f>
        <v>62.045000000000002</v>
      </c>
      <c r="I306" s="58">
        <f t="shared" si="875"/>
        <v>70.59</v>
      </c>
      <c r="J306" s="58">
        <f t="shared" si="875"/>
        <v>72.808000000000007</v>
      </c>
      <c r="K306" s="210">
        <f t="shared" si="875"/>
        <v>72.800000000000011</v>
      </c>
      <c r="L306" s="58">
        <f t="shared" si="875"/>
        <v>65.828000000000003</v>
      </c>
      <c r="M306" s="58">
        <f t="shared" si="875"/>
        <v>61.161000000000001</v>
      </c>
      <c r="N306" s="58">
        <f t="shared" si="875"/>
        <v>45.365000000000002</v>
      </c>
      <c r="O306" s="58">
        <f t="shared" si="875"/>
        <v>52.54</v>
      </c>
      <c r="P306" s="210">
        <f t="shared" si="875"/>
        <v>52.54</v>
      </c>
      <c r="Q306" s="58">
        <f t="shared" si="875"/>
        <v>88.757999999999996</v>
      </c>
      <c r="R306" s="58">
        <f t="shared" si="875"/>
        <v>80.256</v>
      </c>
      <c r="S306" s="58">
        <f t="shared" si="875"/>
        <v>78.885999999999996</v>
      </c>
      <c r="T306" s="58">
        <f t="shared" si="875"/>
        <v>72.736000000000004</v>
      </c>
      <c r="U306" s="210">
        <f t="shared" si="875"/>
        <v>72.736000000000004</v>
      </c>
      <c r="V306" s="58">
        <f t="shared" si="875"/>
        <v>126.295</v>
      </c>
      <c r="W306" s="58">
        <f>W258</f>
        <v>98.403000000000006</v>
      </c>
      <c r="X306" s="58">
        <f t="shared" si="875"/>
        <v>0</v>
      </c>
      <c r="Y306" s="58">
        <f t="shared" si="875"/>
        <v>0</v>
      </c>
      <c r="Z306" s="210">
        <f t="shared" si="875"/>
        <v>0</v>
      </c>
      <c r="AA306" s="58">
        <f>AA258</f>
        <v>0</v>
      </c>
      <c r="AB306" s="58">
        <f>AB258</f>
        <v>0</v>
      </c>
      <c r="AC306" s="58">
        <f>AC258</f>
        <v>0</v>
      </c>
      <c r="AD306" s="58">
        <f>AD258</f>
        <v>0</v>
      </c>
      <c r="AE306" s="210">
        <f t="shared" si="875"/>
        <v>0</v>
      </c>
      <c r="AF306" s="58"/>
      <c r="AG306" s="58"/>
      <c r="AH306" s="58"/>
      <c r="AI306" s="58"/>
      <c r="AJ306" s="210">
        <f t="shared" si="875"/>
        <v>0</v>
      </c>
      <c r="AK306" s="58"/>
      <c r="AL306" s="58"/>
      <c r="AM306" s="58"/>
      <c r="AN306" s="58"/>
      <c r="AO306" s="210">
        <f>AO258</f>
        <v>0</v>
      </c>
      <c r="AP306" s="58"/>
      <c r="AQ306" s="58"/>
      <c r="AR306" s="58"/>
      <c r="AS306" s="58"/>
      <c r="AT306" s="210">
        <f>AT258</f>
        <v>0</v>
      </c>
      <c r="AU306" s="58"/>
      <c r="AV306" s="58"/>
      <c r="AW306" s="58"/>
      <c r="AX306" s="58"/>
      <c r="AY306" s="210">
        <f>AY258</f>
        <v>0</v>
      </c>
      <c r="AZ306" s="159"/>
      <c r="BA306" s="159"/>
      <c r="BB306" s="159"/>
      <c r="BC306" s="159"/>
      <c r="BD306" s="182">
        <f>BD258</f>
        <v>0</v>
      </c>
      <c r="BE306" s="159"/>
      <c r="BF306" s="159"/>
      <c r="BG306" s="159"/>
      <c r="BH306" s="159"/>
      <c r="BI306" s="182">
        <f>BI258</f>
        <v>0</v>
      </c>
      <c r="BJ306" s="159"/>
      <c r="BK306" s="159"/>
      <c r="BL306" s="159"/>
      <c r="BM306" s="159"/>
      <c r="BN306" s="182">
        <f>BN258</f>
        <v>0</v>
      </c>
      <c r="BO306" s="159"/>
      <c r="BP306" s="159"/>
      <c r="BQ306" s="159"/>
      <c r="BR306" s="159"/>
      <c r="BS306" s="182">
        <f>BS258</f>
        <v>0</v>
      </c>
    </row>
    <row r="307" spans="1:94" ht="12.75" hidden="1" customHeight="1" x14ac:dyDescent="0.2">
      <c r="A307" s="159" t="s">
        <v>286</v>
      </c>
      <c r="B307" s="35"/>
      <c r="C307" s="35"/>
      <c r="D307" s="35"/>
      <c r="E307" s="35"/>
      <c r="F307" s="170"/>
      <c r="G307" s="58"/>
      <c r="H307" s="58"/>
      <c r="I307" s="58"/>
      <c r="J307" s="58"/>
      <c r="K307" s="210"/>
      <c r="L307" s="58"/>
      <c r="M307" s="85">
        <v>0</v>
      </c>
      <c r="N307" s="85">
        <v>0</v>
      </c>
      <c r="O307" s="85">
        <v>0</v>
      </c>
      <c r="P307" s="213">
        <v>0</v>
      </c>
      <c r="Q307" s="85">
        <v>0</v>
      </c>
      <c r="R307" s="85">
        <v>0</v>
      </c>
      <c r="S307" s="85">
        <v>0</v>
      </c>
      <c r="T307" s="85">
        <v>0</v>
      </c>
      <c r="U307" s="213">
        <v>0</v>
      </c>
      <c r="V307" s="85">
        <v>0</v>
      </c>
      <c r="W307" s="85">
        <v>0</v>
      </c>
      <c r="X307" s="85">
        <v>0</v>
      </c>
      <c r="Y307" s="85">
        <v>0</v>
      </c>
      <c r="Z307" s="213">
        <v>0</v>
      </c>
      <c r="AA307" s="85">
        <v>0</v>
      </c>
      <c r="AB307" s="85">
        <v>0</v>
      </c>
      <c r="AC307" s="85">
        <v>0</v>
      </c>
      <c r="AD307" s="85">
        <v>0</v>
      </c>
      <c r="AE307" s="213">
        <v>0</v>
      </c>
      <c r="AF307" s="85"/>
      <c r="AG307" s="85"/>
      <c r="AH307" s="85"/>
      <c r="AI307" s="85"/>
      <c r="AJ307" s="213">
        <v>0</v>
      </c>
      <c r="AK307" s="85"/>
      <c r="AL307" s="85"/>
      <c r="AM307" s="85"/>
      <c r="AN307" s="85"/>
      <c r="AO307" s="213">
        <v>0</v>
      </c>
      <c r="AP307" s="85"/>
      <c r="AQ307" s="85"/>
      <c r="AR307" s="85"/>
      <c r="AS307" s="85"/>
      <c r="AT307" s="213">
        <v>0</v>
      </c>
      <c r="AU307" s="85"/>
      <c r="AV307" s="85"/>
      <c r="AW307" s="85"/>
      <c r="AX307" s="85"/>
      <c r="AY307" s="213">
        <v>0</v>
      </c>
      <c r="AZ307" s="85"/>
      <c r="BA307" s="85"/>
      <c r="BB307" s="85"/>
      <c r="BC307" s="85"/>
      <c r="BD307" s="213">
        <v>0</v>
      </c>
      <c r="BE307" s="85"/>
      <c r="BF307" s="85"/>
      <c r="BG307" s="85"/>
      <c r="BH307" s="85"/>
      <c r="BI307" s="213">
        <v>0</v>
      </c>
      <c r="BJ307" s="85"/>
      <c r="BK307" s="85"/>
      <c r="BL307" s="85"/>
      <c r="BM307" s="85"/>
      <c r="BN307" s="213">
        <v>0</v>
      </c>
      <c r="BO307" s="85"/>
      <c r="BP307" s="85"/>
      <c r="BQ307" s="85"/>
      <c r="BR307" s="85"/>
      <c r="BS307" s="213">
        <v>0</v>
      </c>
    </row>
    <row r="308" spans="1:94" ht="12.75" hidden="1" customHeight="1" x14ac:dyDescent="0.2">
      <c r="A308" s="159" t="s">
        <v>287</v>
      </c>
      <c r="B308" s="35"/>
      <c r="C308" s="35"/>
      <c r="D308" s="35"/>
      <c r="E308" s="35"/>
      <c r="F308" s="170"/>
      <c r="G308" s="58"/>
      <c r="H308" s="58"/>
      <c r="I308" s="58"/>
      <c r="J308" s="58"/>
      <c r="K308" s="210"/>
      <c r="L308" s="58"/>
      <c r="M308" s="85">
        <v>0</v>
      </c>
      <c r="N308" s="85">
        <v>0</v>
      </c>
      <c r="O308" s="85">
        <v>0</v>
      </c>
      <c r="P308" s="213">
        <v>0</v>
      </c>
      <c r="Q308" s="85">
        <v>0</v>
      </c>
      <c r="R308" s="85">
        <v>0</v>
      </c>
      <c r="S308" s="85">
        <v>0</v>
      </c>
      <c r="T308" s="85">
        <v>0</v>
      </c>
      <c r="U308" s="213">
        <v>0</v>
      </c>
      <c r="V308" s="85">
        <v>0</v>
      </c>
      <c r="W308" s="85">
        <v>0</v>
      </c>
      <c r="X308" s="85">
        <v>0</v>
      </c>
      <c r="Y308" s="85">
        <v>0</v>
      </c>
      <c r="Z308" s="213">
        <v>0</v>
      </c>
      <c r="AA308" s="85">
        <v>0</v>
      </c>
      <c r="AB308" s="85">
        <v>0</v>
      </c>
      <c r="AC308" s="85">
        <v>0</v>
      </c>
      <c r="AD308" s="85">
        <v>0</v>
      </c>
      <c r="AE308" s="213">
        <v>0</v>
      </c>
      <c r="AF308" s="85"/>
      <c r="AG308" s="85"/>
      <c r="AH308" s="85"/>
      <c r="AI308" s="85"/>
      <c r="AJ308" s="213">
        <v>0</v>
      </c>
      <c r="AK308" s="85"/>
      <c r="AL308" s="85"/>
      <c r="AM308" s="85"/>
      <c r="AN308" s="85"/>
      <c r="AO308" s="213">
        <v>0</v>
      </c>
      <c r="AP308" s="85"/>
      <c r="AQ308" s="85"/>
      <c r="AR308" s="85"/>
      <c r="AS308" s="85"/>
      <c r="AT308" s="213">
        <v>0</v>
      </c>
      <c r="AU308" s="85"/>
      <c r="AV308" s="85"/>
      <c r="AW308" s="85"/>
      <c r="AX308" s="85"/>
      <c r="AY308" s="213">
        <v>0</v>
      </c>
      <c r="AZ308" s="85"/>
      <c r="BA308" s="85"/>
      <c r="BB308" s="85"/>
      <c r="BC308" s="85"/>
      <c r="BD308" s="213">
        <v>0</v>
      </c>
      <c r="BE308" s="85"/>
      <c r="BF308" s="85"/>
      <c r="BG308" s="85"/>
      <c r="BH308" s="85"/>
      <c r="BI308" s="213">
        <v>0</v>
      </c>
      <c r="BJ308" s="85"/>
      <c r="BK308" s="85"/>
      <c r="BL308" s="85"/>
      <c r="BM308" s="85"/>
      <c r="BN308" s="213">
        <v>0</v>
      </c>
      <c r="BO308" s="85"/>
      <c r="BP308" s="85"/>
      <c r="BQ308" s="85"/>
      <c r="BR308" s="85"/>
      <c r="BS308" s="213">
        <v>0</v>
      </c>
    </row>
    <row r="309" spans="1:94" ht="12.75" hidden="1" customHeight="1" x14ac:dyDescent="0.2">
      <c r="A309" s="159" t="s">
        <v>288</v>
      </c>
      <c r="B309" s="35"/>
      <c r="C309" s="35"/>
      <c r="D309" s="35"/>
      <c r="E309" s="35"/>
      <c r="F309" s="170"/>
      <c r="G309" s="58"/>
      <c r="H309" s="58"/>
      <c r="I309" s="58"/>
      <c r="J309" s="58"/>
      <c r="K309" s="210"/>
      <c r="L309" s="58"/>
      <c r="M309" s="85">
        <v>0</v>
      </c>
      <c r="N309" s="85">
        <v>0</v>
      </c>
      <c r="O309" s="85">
        <v>0</v>
      </c>
      <c r="P309" s="213">
        <v>0</v>
      </c>
      <c r="Q309" s="85">
        <v>0</v>
      </c>
      <c r="R309" s="85">
        <v>0</v>
      </c>
      <c r="S309" s="85">
        <v>0</v>
      </c>
      <c r="T309" s="85">
        <v>0</v>
      </c>
      <c r="U309" s="213">
        <v>0</v>
      </c>
      <c r="V309" s="85">
        <v>0</v>
      </c>
      <c r="W309" s="85">
        <v>0</v>
      </c>
      <c r="X309" s="85">
        <v>0</v>
      </c>
      <c r="Y309" s="85">
        <v>0</v>
      </c>
      <c r="Z309" s="213">
        <v>0</v>
      </c>
      <c r="AA309" s="85">
        <v>0</v>
      </c>
      <c r="AB309" s="85">
        <v>0</v>
      </c>
      <c r="AC309" s="85">
        <v>0</v>
      </c>
      <c r="AD309" s="85">
        <v>0</v>
      </c>
      <c r="AE309" s="213">
        <v>0</v>
      </c>
      <c r="AF309" s="85"/>
      <c r="AG309" s="85"/>
      <c r="AH309" s="85"/>
      <c r="AI309" s="85"/>
      <c r="AJ309" s="213">
        <v>0</v>
      </c>
      <c r="AK309" s="85"/>
      <c r="AL309" s="85"/>
      <c r="AM309" s="85"/>
      <c r="AN309" s="85"/>
      <c r="AO309" s="213">
        <v>0</v>
      </c>
      <c r="AP309" s="85"/>
      <c r="AQ309" s="85"/>
      <c r="AR309" s="85"/>
      <c r="AS309" s="85"/>
      <c r="AT309" s="213">
        <v>0</v>
      </c>
      <c r="AU309" s="85"/>
      <c r="AV309" s="85"/>
      <c r="AW309" s="85"/>
      <c r="AX309" s="85"/>
      <c r="AY309" s="213">
        <v>0</v>
      </c>
      <c r="AZ309" s="85"/>
      <c r="BA309" s="85"/>
      <c r="BB309" s="85"/>
      <c r="BC309" s="85"/>
      <c r="BD309" s="213">
        <v>0</v>
      </c>
      <c r="BE309" s="85"/>
      <c r="BF309" s="85"/>
      <c r="BG309" s="85"/>
      <c r="BH309" s="85"/>
      <c r="BI309" s="213">
        <v>0</v>
      </c>
      <c r="BJ309" s="85"/>
      <c r="BK309" s="85"/>
      <c r="BL309" s="85"/>
      <c r="BM309" s="85"/>
      <c r="BN309" s="213">
        <v>0</v>
      </c>
      <c r="BO309" s="85"/>
      <c r="BP309" s="85"/>
      <c r="BQ309" s="85"/>
      <c r="BR309" s="85"/>
      <c r="BS309" s="213">
        <v>0</v>
      </c>
    </row>
    <row r="310" spans="1:94" ht="12.75" hidden="1" customHeight="1" x14ac:dyDescent="0.2">
      <c r="A310" s="586" t="s">
        <v>289</v>
      </c>
      <c r="B310" s="35"/>
      <c r="C310" s="35"/>
      <c r="D310" s="35"/>
      <c r="E310" s="35"/>
      <c r="F310" s="170"/>
      <c r="G310" s="24"/>
      <c r="H310" s="24"/>
      <c r="I310" s="24"/>
      <c r="J310" s="24"/>
      <c r="K310" s="172"/>
      <c r="L310" s="24"/>
      <c r="M310" s="86">
        <v>0.3</v>
      </c>
      <c r="N310" s="86">
        <v>0.3</v>
      </c>
      <c r="O310" s="86">
        <v>0.3</v>
      </c>
      <c r="P310" s="214">
        <v>0.3</v>
      </c>
      <c r="Q310" s="86">
        <v>0.3</v>
      </c>
      <c r="R310" s="86">
        <v>0.3</v>
      </c>
      <c r="S310" s="86">
        <v>0.3</v>
      </c>
      <c r="T310" s="86">
        <v>0.3</v>
      </c>
      <c r="U310" s="214">
        <v>0.3</v>
      </c>
      <c r="V310" s="86">
        <v>0.3</v>
      </c>
      <c r="W310" s="86">
        <v>0.3</v>
      </c>
      <c r="X310" s="86">
        <v>0.3</v>
      </c>
      <c r="Y310" s="86">
        <v>0.3</v>
      </c>
      <c r="Z310" s="214">
        <v>0.3</v>
      </c>
      <c r="AA310" s="86">
        <v>0.3</v>
      </c>
      <c r="AB310" s="86">
        <v>0.3</v>
      </c>
      <c r="AC310" s="86">
        <v>0.3</v>
      </c>
      <c r="AD310" s="86">
        <v>0.3</v>
      </c>
      <c r="AE310" s="214">
        <v>0.3</v>
      </c>
      <c r="AF310" s="86"/>
      <c r="AG310" s="86"/>
      <c r="AH310" s="86"/>
      <c r="AI310" s="86"/>
      <c r="AJ310" s="214">
        <v>0.3</v>
      </c>
      <c r="AK310" s="86"/>
      <c r="AL310" s="86"/>
      <c r="AM310" s="86"/>
      <c r="AN310" s="86"/>
      <c r="AO310" s="214">
        <v>0.3</v>
      </c>
      <c r="AP310" s="86"/>
      <c r="AQ310" s="86"/>
      <c r="AR310" s="86"/>
      <c r="AS310" s="86"/>
      <c r="AT310" s="214">
        <v>0.3</v>
      </c>
      <c r="AU310" s="86"/>
      <c r="AV310" s="86"/>
      <c r="AW310" s="86"/>
      <c r="AX310" s="86"/>
      <c r="AY310" s="214">
        <v>0.3</v>
      </c>
      <c r="AZ310" s="86"/>
      <c r="BA310" s="86"/>
      <c r="BB310" s="86"/>
      <c r="BC310" s="86"/>
      <c r="BD310" s="214">
        <v>0.3</v>
      </c>
      <c r="BE310" s="86"/>
      <c r="BF310" s="86"/>
      <c r="BG310" s="86"/>
      <c r="BH310" s="86"/>
      <c r="BI310" s="214">
        <v>0.3</v>
      </c>
      <c r="BJ310" s="86"/>
      <c r="BK310" s="86"/>
      <c r="BL310" s="86"/>
      <c r="BM310" s="86"/>
      <c r="BN310" s="214">
        <v>0.3</v>
      </c>
      <c r="BO310" s="86"/>
      <c r="BP310" s="86"/>
      <c r="BQ310" s="86"/>
      <c r="BR310" s="86"/>
      <c r="BS310" s="214">
        <v>0.3</v>
      </c>
    </row>
    <row r="311" spans="1:94" ht="12.75" hidden="1" customHeight="1" x14ac:dyDescent="0.2">
      <c r="A311" s="587"/>
      <c r="B311" s="35"/>
      <c r="C311" s="35"/>
      <c r="D311" s="35"/>
      <c r="E311" s="35"/>
      <c r="F311" s="170"/>
      <c r="G311" s="38"/>
      <c r="H311" s="38"/>
      <c r="I311" s="38"/>
      <c r="J311" s="38"/>
      <c r="K311" s="173"/>
      <c r="L311" s="38"/>
      <c r="M311" s="38"/>
      <c r="N311" s="38"/>
      <c r="O311" s="38"/>
      <c r="P311" s="173"/>
      <c r="Q311" s="38"/>
      <c r="R311" s="38"/>
      <c r="S311" s="38"/>
      <c r="T311" s="38"/>
      <c r="U311" s="173"/>
      <c r="V311" s="38"/>
      <c r="W311" s="38"/>
      <c r="X311" s="38"/>
      <c r="Y311" s="38"/>
      <c r="Z311" s="173"/>
      <c r="AA311" s="38"/>
      <c r="AB311" s="38"/>
      <c r="AC311" s="38"/>
      <c r="AD311" s="38"/>
      <c r="AE311" s="173"/>
      <c r="AF311" s="38"/>
      <c r="AG311" s="38"/>
      <c r="AH311" s="38"/>
      <c r="AI311" s="38"/>
      <c r="AJ311" s="173"/>
      <c r="AK311" s="38"/>
      <c r="AL311" s="38"/>
      <c r="AM311" s="38"/>
      <c r="AN311" s="38"/>
      <c r="AO311" s="173"/>
      <c r="AP311" s="38"/>
      <c r="AQ311" s="38"/>
      <c r="AR311" s="38"/>
      <c r="AS311" s="38"/>
      <c r="AT311" s="173"/>
      <c r="AU311" s="38"/>
      <c r="AV311" s="38"/>
      <c r="AW311" s="38"/>
      <c r="AX311" s="38"/>
      <c r="AY311" s="173"/>
      <c r="AZ311" s="155"/>
      <c r="BA311" s="155"/>
      <c r="BB311" s="155"/>
      <c r="BC311" s="155"/>
      <c r="BD311" s="176"/>
      <c r="BE311" s="155"/>
      <c r="BF311" s="155"/>
      <c r="BG311" s="155"/>
      <c r="BH311" s="155"/>
      <c r="BI311" s="176"/>
      <c r="BJ311" s="155"/>
      <c r="BK311" s="155"/>
      <c r="BL311" s="155"/>
      <c r="BM311" s="155"/>
      <c r="BN311" s="176"/>
      <c r="BO311" s="155"/>
      <c r="BP311" s="155"/>
      <c r="BQ311" s="155"/>
      <c r="BR311" s="155"/>
      <c r="BS311" s="176"/>
    </row>
    <row r="312" spans="1:94" ht="12.75" hidden="1" customHeight="1" x14ac:dyDescent="0.2">
      <c r="A312" s="46" t="s">
        <v>290</v>
      </c>
      <c r="B312" s="35"/>
      <c r="C312" s="35"/>
      <c r="D312" s="35"/>
      <c r="E312" s="35"/>
      <c r="F312" s="170"/>
      <c r="G312" s="38"/>
      <c r="H312" s="38"/>
      <c r="I312" s="38"/>
      <c r="J312" s="38"/>
      <c r="K312" s="173"/>
      <c r="L312" s="38"/>
      <c r="M312" s="58">
        <f t="shared" ref="M312:AJ312" si="876">M305+M306+M307+M308+(M309*M310)</f>
        <v>115.57300000000001</v>
      </c>
      <c r="N312" s="58">
        <f t="shared" si="876"/>
        <v>108.55500000000001</v>
      </c>
      <c r="O312" s="58">
        <f t="shared" si="876"/>
        <v>138.68700000000001</v>
      </c>
      <c r="P312" s="210">
        <f t="shared" si="876"/>
        <v>138.68700000000001</v>
      </c>
      <c r="Q312" s="58">
        <f t="shared" si="876"/>
        <v>174.30700000000002</v>
      </c>
      <c r="R312" s="58">
        <f t="shared" si="876"/>
        <v>152.12800000000001</v>
      </c>
      <c r="S312" s="58">
        <f t="shared" si="876"/>
        <v>152.54400000000001</v>
      </c>
      <c r="T312" s="58">
        <f t="shared" si="876"/>
        <v>155.45000000000002</v>
      </c>
      <c r="U312" s="210">
        <f t="shared" si="876"/>
        <v>155.44999999999999</v>
      </c>
      <c r="V312" s="58">
        <f t="shared" si="876"/>
        <v>188.89600000000002</v>
      </c>
      <c r="W312" s="58">
        <f>W305+W306+W307+W308+(W309*W310)</f>
        <v>346.86099999999999</v>
      </c>
      <c r="X312" s="58">
        <f t="shared" si="876"/>
        <v>350.97300000000001</v>
      </c>
      <c r="Y312" s="58">
        <f t="shared" si="876"/>
        <v>343.32800000000003</v>
      </c>
      <c r="Z312" s="210">
        <f t="shared" si="876"/>
        <v>343.32800000000003</v>
      </c>
      <c r="AA312" s="58">
        <f>AA305+AA306+AA307+AA308+(AA309*AA310)</f>
        <v>420.83100000000002</v>
      </c>
      <c r="AB312" s="58">
        <f>AB305+AB306+AB307+AB308+(AB309*AB310)</f>
        <v>414.97700000000003</v>
      </c>
      <c r="AC312" s="58">
        <f>AC305+AC306+AC307+AC308+(AC309*AC310)</f>
        <v>399.14300000000003</v>
      </c>
      <c r="AD312" s="58">
        <f>AD305+AD306+AD307+AD308+(AD309*AD310)</f>
        <v>416.81600000000003</v>
      </c>
      <c r="AE312" s="210">
        <f t="shared" si="876"/>
        <v>416.81600000000003</v>
      </c>
      <c r="AF312" s="58"/>
      <c r="AG312" s="58"/>
      <c r="AH312" s="58"/>
      <c r="AI312" s="58"/>
      <c r="AJ312" s="210">
        <f t="shared" si="876"/>
        <v>530.63100000000009</v>
      </c>
      <c r="AK312" s="58"/>
      <c r="AL312" s="58"/>
      <c r="AM312" s="58"/>
      <c r="AN312" s="58"/>
      <c r="AO312" s="210">
        <f>AO305+AO306+AO307+AO308+(AO309*AO310)</f>
        <v>632.78400000000011</v>
      </c>
      <c r="AP312" s="58"/>
      <c r="AQ312" s="58"/>
      <c r="AR312" s="58"/>
      <c r="AS312" s="58"/>
      <c r="AT312" s="210">
        <f>AT305+AT306+AT307+AT308+(AT309*AT310)</f>
        <v>803.63200000000006</v>
      </c>
      <c r="AU312" s="58"/>
      <c r="AV312" s="58"/>
      <c r="AW312" s="58"/>
      <c r="AX312" s="58"/>
      <c r="AY312" s="210">
        <f>AY305+AY306+AY307+AY308+(AY309*AY310)</f>
        <v>700.90000000000009</v>
      </c>
      <c r="AZ312" s="159"/>
      <c r="BA312" s="159"/>
      <c r="BB312" s="159"/>
      <c r="BC312" s="159"/>
      <c r="BD312" s="182">
        <f>BD305+BD306+BD307+BD308+(BD309*BD310)</f>
        <v>800.84900000000039</v>
      </c>
      <c r="BE312" s="159"/>
      <c r="BF312" s="159"/>
      <c r="BG312" s="159"/>
      <c r="BH312" s="159"/>
      <c r="BI312" s="182">
        <f>BI305+BI306+BI307+BI308+(BI309*BI310)</f>
        <v>872.20742593727846</v>
      </c>
      <c r="BJ312" s="159"/>
      <c r="BK312" s="159"/>
      <c r="BL312" s="159"/>
      <c r="BM312" s="159"/>
      <c r="BN312" s="182">
        <f>BN305+BN306+BN307+BN308+(BN309*BN310)</f>
        <v>866.73302933666537</v>
      </c>
      <c r="BO312" s="159"/>
      <c r="BP312" s="159"/>
      <c r="BQ312" s="159"/>
      <c r="BR312" s="159"/>
      <c r="BS312" s="182">
        <f>BS305+BS306+BS307+BS308+(BS309*BS310)</f>
        <v>1029.9063959923942</v>
      </c>
    </row>
    <row r="313" spans="1:94" ht="12.75" hidden="1" customHeight="1" x14ac:dyDescent="0.2">
      <c r="A313" s="586" t="s">
        <v>291</v>
      </c>
      <c r="B313" s="35"/>
      <c r="C313" s="35"/>
      <c r="D313" s="35"/>
      <c r="E313" s="35"/>
      <c r="F313" s="170"/>
      <c r="G313" s="38"/>
      <c r="H313" s="38"/>
      <c r="I313" s="38"/>
      <c r="J313" s="38"/>
      <c r="K313" s="173"/>
      <c r="L313" s="38"/>
      <c r="M313" s="24">
        <f t="shared" ref="M313:AE313" si="877">M312/M181</f>
        <v>0.15832438326739509</v>
      </c>
      <c r="N313" s="24">
        <f t="shared" si="877"/>
        <v>0.15390297257945382</v>
      </c>
      <c r="O313" s="24">
        <f t="shared" si="877"/>
        <v>0.19811409698929769</v>
      </c>
      <c r="P313" s="172">
        <f t="shared" si="877"/>
        <v>0.19811409698929772</v>
      </c>
      <c r="Q313" s="24">
        <f t="shared" si="877"/>
        <v>0.24410727965056112</v>
      </c>
      <c r="R313" s="24">
        <f t="shared" si="877"/>
        <v>0.21396012157336528</v>
      </c>
      <c r="S313" s="24">
        <f t="shared" si="877"/>
        <v>0.20724453779457599</v>
      </c>
      <c r="T313" s="24">
        <f t="shared" si="877"/>
        <v>0.1989721797341491</v>
      </c>
      <c r="U313" s="172">
        <f t="shared" si="877"/>
        <v>0.19897217973414907</v>
      </c>
      <c r="V313" s="24">
        <f t="shared" si="877"/>
        <v>0.2276195479806622</v>
      </c>
      <c r="W313" s="24">
        <f t="shared" si="877"/>
        <v>0.37360837045781592</v>
      </c>
      <c r="X313" s="24">
        <f t="shared" si="877"/>
        <v>0.34630925328599743</v>
      </c>
      <c r="Y313" s="24">
        <f t="shared" si="877"/>
        <v>0.32051203059039229</v>
      </c>
      <c r="Z313" s="172">
        <f t="shared" si="877"/>
        <v>0.3205120305903924</v>
      </c>
      <c r="AA313" s="24">
        <f t="shared" si="877"/>
        <v>0.36914384760253999</v>
      </c>
      <c r="AB313" s="24">
        <f t="shared" si="877"/>
        <v>0.3428326652545034</v>
      </c>
      <c r="AC313" s="24">
        <f t="shared" si="877"/>
        <v>0.31576794703327987</v>
      </c>
      <c r="AD313" s="24">
        <f t="shared" si="877"/>
        <v>0.31615579025294532</v>
      </c>
      <c r="AE313" s="172">
        <f t="shared" si="877"/>
        <v>0.31615579025294532</v>
      </c>
      <c r="AF313" s="24"/>
      <c r="AG313" s="24"/>
      <c r="AH313" s="24"/>
      <c r="AI313" s="24"/>
      <c r="AJ313" s="172">
        <f>AJ312/AJ181</f>
        <v>0.32074214889520886</v>
      </c>
      <c r="AK313" s="24"/>
      <c r="AL313" s="24"/>
      <c r="AM313" s="24"/>
      <c r="AN313" s="24"/>
      <c r="AO313" s="172">
        <f>AO312/AO181</f>
        <v>0.32759916752088969</v>
      </c>
      <c r="AP313" s="24"/>
      <c r="AQ313" s="24"/>
      <c r="AR313" s="24"/>
      <c r="AS313" s="24"/>
      <c r="AT313" s="172">
        <f>AT312/AT181</f>
        <v>0.37527241890240459</v>
      </c>
      <c r="AU313" s="24"/>
      <c r="AV313" s="24"/>
      <c r="AW313" s="24"/>
      <c r="AX313" s="24"/>
      <c r="AY313" s="172">
        <f>AY312/AY181</f>
        <v>0.30185757180583961</v>
      </c>
      <c r="AZ313" s="148"/>
      <c r="BA313" s="148"/>
      <c r="BB313" s="148"/>
      <c r="BC313" s="148"/>
      <c r="BD313" s="166">
        <f>BD312/BD181</f>
        <v>0.30247357483912257</v>
      </c>
      <c r="BE313" s="148"/>
      <c r="BF313" s="148"/>
      <c r="BG313" s="148"/>
      <c r="BH313" s="148"/>
      <c r="BI313" s="166">
        <f>BI312/BI181</f>
        <v>0.27321233350895036</v>
      </c>
      <c r="BJ313" s="148"/>
      <c r="BK313" s="148"/>
      <c r="BL313" s="148"/>
      <c r="BM313" s="148"/>
      <c r="BN313" s="166">
        <f>BN312/BN181</f>
        <v>0.24024658406616869</v>
      </c>
      <c r="BO313" s="148"/>
      <c r="BP313" s="148"/>
      <c r="BQ313" s="148"/>
      <c r="BR313" s="148"/>
      <c r="BS313" s="166">
        <f>BS312/BS181</f>
        <v>0.25255981795317911</v>
      </c>
    </row>
    <row r="314" spans="1:94" ht="12.75" hidden="1" customHeight="1" x14ac:dyDescent="0.2">
      <c r="A314" s="586" t="s">
        <v>292</v>
      </c>
      <c r="B314" s="35"/>
      <c r="C314" s="35"/>
      <c r="D314" s="35"/>
      <c r="E314" s="35"/>
      <c r="F314" s="170"/>
      <c r="G314" s="38"/>
      <c r="H314" s="38"/>
      <c r="I314" s="38"/>
      <c r="J314" s="38"/>
      <c r="K314" s="173"/>
      <c r="L314" s="38"/>
      <c r="M314" s="24">
        <f t="shared" ref="M314:Z314" si="878">M312/M272</f>
        <v>0.39586573043329343</v>
      </c>
      <c r="N314" s="24">
        <f t="shared" si="878"/>
        <v>0.37246014808511807</v>
      </c>
      <c r="O314" s="24">
        <f t="shared" si="878"/>
        <v>0.42299903009156187</v>
      </c>
      <c r="P314" s="172">
        <f t="shared" si="878"/>
        <v>0.42299903009156187</v>
      </c>
      <c r="Q314" s="24">
        <f t="shared" si="878"/>
        <v>0.45941472440177017</v>
      </c>
      <c r="R314" s="24">
        <f t="shared" si="878"/>
        <v>0.40910679998063759</v>
      </c>
      <c r="S314" s="24">
        <f t="shared" si="878"/>
        <v>0.33983398607193943</v>
      </c>
      <c r="T314" s="24">
        <f t="shared" si="878"/>
        <v>0.32674243363734012</v>
      </c>
      <c r="U314" s="172">
        <f t="shared" si="878"/>
        <v>0.32674243363734007</v>
      </c>
      <c r="V314" s="24">
        <f t="shared" si="878"/>
        <v>0.34644560193676183</v>
      </c>
      <c r="W314" s="24">
        <f t="shared" si="878"/>
        <v>0.48856139184522029</v>
      </c>
      <c r="X314" s="24">
        <f t="shared" si="878"/>
        <v>0.48600246758695753</v>
      </c>
      <c r="Y314" s="24">
        <f t="shared" si="878"/>
        <v>0.46034059476034883</v>
      </c>
      <c r="Z314" s="172">
        <f t="shared" si="878"/>
        <v>0.46034059476034883</v>
      </c>
      <c r="AA314" s="24">
        <f>AA312/AA272</f>
        <v>0.49808733403243488</v>
      </c>
      <c r="AB314" s="24">
        <f>AB312/AB272</f>
        <v>0.47724562261004577</v>
      </c>
      <c r="AC314" s="24">
        <f>AC312/AC272</f>
        <v>0.45117217524980791</v>
      </c>
      <c r="AD314" s="24">
        <f>AD312/AD272</f>
        <v>0.45311800183501399</v>
      </c>
      <c r="AE314" s="172">
        <f>AE312/AE272</f>
        <v>0.45311800183501399</v>
      </c>
      <c r="AF314" s="24"/>
      <c r="AG314" s="24"/>
      <c r="AH314" s="24"/>
      <c r="AI314" s="24"/>
      <c r="AJ314" s="172">
        <f>AJ312/AJ272</f>
        <v>0.44939594246103165</v>
      </c>
      <c r="AK314" s="24"/>
      <c r="AL314" s="24"/>
      <c r="AM314" s="24"/>
      <c r="AN314" s="24"/>
      <c r="AO314" s="172">
        <f>AO312/AO272</f>
        <v>0.39475452297937413</v>
      </c>
      <c r="AP314" s="24"/>
      <c r="AQ314" s="24"/>
      <c r="AR314" s="24"/>
      <c r="AS314" s="24"/>
      <c r="AT314" s="172">
        <f>AT312/AT272</f>
        <v>0.31757269679061234</v>
      </c>
      <c r="AU314" s="24"/>
      <c r="AV314" s="24"/>
      <c r="AW314" s="24"/>
      <c r="AX314" s="24"/>
      <c r="AY314" s="172">
        <f>AY312/AY272</f>
        <v>0.22237190137969567</v>
      </c>
      <c r="AZ314" s="148"/>
      <c r="BA314" s="148"/>
      <c r="BB314" s="148"/>
      <c r="BC314" s="148"/>
      <c r="BD314" s="166">
        <f>BD312/BD272</f>
        <v>0.19344435735257362</v>
      </c>
      <c r="BE314" s="148"/>
      <c r="BF314" s="148"/>
      <c r="BG314" s="148"/>
      <c r="BH314" s="148"/>
      <c r="BI314" s="166">
        <f>BI312/BI272</f>
        <v>0.17215275473948516</v>
      </c>
      <c r="BJ314" s="148"/>
      <c r="BK314" s="148"/>
      <c r="BL314" s="148"/>
      <c r="BM314" s="148"/>
      <c r="BN314" s="166">
        <f>BN312/BN272</f>
        <v>0.14759778796420284</v>
      </c>
      <c r="BO314" s="148"/>
      <c r="BP314" s="148"/>
      <c r="BQ314" s="148"/>
      <c r="BR314" s="148"/>
      <c r="BS314" s="166">
        <f>BS312/BS272</f>
        <v>0.1510326227617243</v>
      </c>
    </row>
    <row r="315" spans="1:94" ht="12.75" hidden="1" customHeight="1" x14ac:dyDescent="0.2">
      <c r="A315" s="46" t="s">
        <v>293</v>
      </c>
      <c r="B315" s="35"/>
      <c r="C315" s="35"/>
      <c r="D315" s="35"/>
      <c r="E315" s="35"/>
      <c r="F315" s="170"/>
      <c r="G315" s="38"/>
      <c r="H315" s="38"/>
      <c r="I315" s="38"/>
      <c r="J315" s="38"/>
      <c r="K315" s="173"/>
      <c r="L315" s="38"/>
      <c r="M315" s="58">
        <f t="shared" ref="M315:AJ315" si="879">M312-M306-M307</f>
        <v>54.412000000000006</v>
      </c>
      <c r="N315" s="58">
        <f t="shared" si="879"/>
        <v>63.190000000000005</v>
      </c>
      <c r="O315" s="58">
        <f t="shared" si="879"/>
        <v>86.14700000000002</v>
      </c>
      <c r="P315" s="210">
        <f t="shared" si="879"/>
        <v>86.14700000000002</v>
      </c>
      <c r="Q315" s="58">
        <f t="shared" si="879"/>
        <v>85.549000000000021</v>
      </c>
      <c r="R315" s="58">
        <f t="shared" si="879"/>
        <v>71.872000000000014</v>
      </c>
      <c r="S315" s="58">
        <f t="shared" si="879"/>
        <v>73.658000000000015</v>
      </c>
      <c r="T315" s="58">
        <f t="shared" si="879"/>
        <v>82.714000000000013</v>
      </c>
      <c r="U315" s="210">
        <f t="shared" si="879"/>
        <v>82.713999999999984</v>
      </c>
      <c r="V315" s="58">
        <f t="shared" si="879"/>
        <v>62.601000000000013</v>
      </c>
      <c r="W315" s="58">
        <f>W312-W306-W307</f>
        <v>248.45799999999997</v>
      </c>
      <c r="X315" s="58">
        <f t="shared" si="879"/>
        <v>350.97300000000001</v>
      </c>
      <c r="Y315" s="58">
        <f t="shared" si="879"/>
        <v>343.32800000000003</v>
      </c>
      <c r="Z315" s="210">
        <f t="shared" si="879"/>
        <v>343.32800000000003</v>
      </c>
      <c r="AA315" s="58">
        <f>AA312-AA306-AA307</f>
        <v>420.83100000000002</v>
      </c>
      <c r="AB315" s="58">
        <f>AB312-AB306-AB307</f>
        <v>414.97700000000003</v>
      </c>
      <c r="AC315" s="58">
        <f>AC312-AC306-AC307</f>
        <v>399.14300000000003</v>
      </c>
      <c r="AD315" s="58">
        <f>AD312-AD306-AD307</f>
        <v>416.81600000000003</v>
      </c>
      <c r="AE315" s="210">
        <f t="shared" si="879"/>
        <v>416.81600000000003</v>
      </c>
      <c r="AF315" s="58"/>
      <c r="AG315" s="58"/>
      <c r="AH315" s="58"/>
      <c r="AI315" s="58"/>
      <c r="AJ315" s="210">
        <f t="shared" si="879"/>
        <v>530.63100000000009</v>
      </c>
      <c r="AK315" s="58"/>
      <c r="AL315" s="58"/>
      <c r="AM315" s="58"/>
      <c r="AN315" s="58"/>
      <c r="AO315" s="210">
        <f>AO312-AO306-AO307</f>
        <v>632.78400000000011</v>
      </c>
      <c r="AP315" s="58"/>
      <c r="AQ315" s="58"/>
      <c r="AR315" s="58"/>
      <c r="AS315" s="58"/>
      <c r="AT315" s="210">
        <f>AT312-AT306-AT307</f>
        <v>803.63200000000006</v>
      </c>
      <c r="AU315" s="58"/>
      <c r="AV315" s="58"/>
      <c r="AW315" s="58"/>
      <c r="AX315" s="58"/>
      <c r="AY315" s="210">
        <f>AY312-AY306-AY307</f>
        <v>700.90000000000009</v>
      </c>
      <c r="AZ315" s="159"/>
      <c r="BA315" s="159"/>
      <c r="BB315" s="159"/>
      <c r="BC315" s="159"/>
      <c r="BD315" s="182">
        <f>BD312-BD306-BD307</f>
        <v>800.84900000000039</v>
      </c>
      <c r="BE315" s="159"/>
      <c r="BF315" s="159"/>
      <c r="BG315" s="159"/>
      <c r="BH315" s="159"/>
      <c r="BI315" s="182">
        <f>BI312-BI306-BI307</f>
        <v>872.20742593727846</v>
      </c>
      <c r="BJ315" s="159"/>
      <c r="BK315" s="159"/>
      <c r="BL315" s="159"/>
      <c r="BM315" s="159"/>
      <c r="BN315" s="182">
        <f>BN312-BN306-BN307</f>
        <v>866.73302933666537</v>
      </c>
      <c r="BO315" s="159"/>
      <c r="BP315" s="159"/>
      <c r="BQ315" s="159"/>
      <c r="BR315" s="159"/>
      <c r="BS315" s="182">
        <f>BS312-BS306-BS307</f>
        <v>1029.9063959923942</v>
      </c>
    </row>
    <row r="316" spans="1:94" ht="12.75" hidden="1" customHeight="1" x14ac:dyDescent="0.2">
      <c r="A316" s="586" t="s">
        <v>291</v>
      </c>
      <c r="B316" s="35"/>
      <c r="C316" s="35"/>
      <c r="D316" s="35"/>
      <c r="E316" s="35"/>
      <c r="F316" s="170"/>
      <c r="G316" s="38"/>
      <c r="H316" s="38"/>
      <c r="I316" s="38"/>
      <c r="J316" s="38"/>
      <c r="K316" s="173"/>
      <c r="L316" s="38"/>
      <c r="M316" s="24">
        <f t="shared" ref="M316:AE316" si="880">M315/M181</f>
        <v>7.4539436912994403E-2</v>
      </c>
      <c r="N316" s="24">
        <f t="shared" si="880"/>
        <v>8.9587111024786392E-2</v>
      </c>
      <c r="O316" s="24">
        <f t="shared" si="880"/>
        <v>0.12306081401527923</v>
      </c>
      <c r="P316" s="172">
        <f t="shared" si="880"/>
        <v>0.12306081401527925</v>
      </c>
      <c r="Q316" s="24">
        <f t="shared" si="880"/>
        <v>0.11980662662329027</v>
      </c>
      <c r="R316" s="24">
        <f t="shared" si="880"/>
        <v>0.10108423076436232</v>
      </c>
      <c r="S316" s="24">
        <f t="shared" si="880"/>
        <v>0.10007091832437121</v>
      </c>
      <c r="T316" s="24">
        <f t="shared" si="880"/>
        <v>0.10587188725976461</v>
      </c>
      <c r="U316" s="172">
        <f t="shared" si="880"/>
        <v>0.10587188725976458</v>
      </c>
      <c r="V316" s="24">
        <f t="shared" si="880"/>
        <v>7.5434161248186499E-2</v>
      </c>
      <c r="W316" s="24">
        <f t="shared" si="880"/>
        <v>0.26761725448294277</v>
      </c>
      <c r="X316" s="24">
        <f t="shared" si="880"/>
        <v>0.34630925328599743</v>
      </c>
      <c r="Y316" s="24">
        <f t="shared" si="880"/>
        <v>0.32051203059039229</v>
      </c>
      <c r="Z316" s="172">
        <f t="shared" si="880"/>
        <v>0.3205120305903924</v>
      </c>
      <c r="AA316" s="24">
        <f t="shared" si="880"/>
        <v>0.36914384760253999</v>
      </c>
      <c r="AB316" s="24">
        <f t="shared" si="880"/>
        <v>0.3428326652545034</v>
      </c>
      <c r="AC316" s="24">
        <f t="shared" si="880"/>
        <v>0.31576794703327987</v>
      </c>
      <c r="AD316" s="24">
        <f t="shared" si="880"/>
        <v>0.31615579025294532</v>
      </c>
      <c r="AE316" s="172">
        <f t="shared" si="880"/>
        <v>0.31615579025294532</v>
      </c>
      <c r="AF316" s="24"/>
      <c r="AG316" s="24"/>
      <c r="AH316" s="24"/>
      <c r="AI316" s="24"/>
      <c r="AJ316" s="172">
        <f>AJ315/AJ181</f>
        <v>0.32074214889520886</v>
      </c>
      <c r="AK316" s="24"/>
      <c r="AL316" s="24"/>
      <c r="AM316" s="24"/>
      <c r="AN316" s="24"/>
      <c r="AO316" s="172">
        <f>AO315/AO181</f>
        <v>0.32759916752088969</v>
      </c>
      <c r="AP316" s="24"/>
      <c r="AQ316" s="24"/>
      <c r="AR316" s="24"/>
      <c r="AS316" s="24"/>
      <c r="AT316" s="172">
        <f>AT315/AT181</f>
        <v>0.37527241890240459</v>
      </c>
      <c r="AU316" s="24"/>
      <c r="AV316" s="24"/>
      <c r="AW316" s="24"/>
      <c r="AX316" s="24"/>
      <c r="AY316" s="172">
        <f>AY315/AY181</f>
        <v>0.30185757180583961</v>
      </c>
      <c r="AZ316" s="148"/>
      <c r="BA316" s="148"/>
      <c r="BB316" s="148"/>
      <c r="BC316" s="148"/>
      <c r="BD316" s="166">
        <f>BD315/BD181</f>
        <v>0.30247357483912257</v>
      </c>
      <c r="BE316" s="148"/>
      <c r="BF316" s="148"/>
      <c r="BG316" s="148"/>
      <c r="BH316" s="148"/>
      <c r="BI316" s="166">
        <f>BI315/BI181</f>
        <v>0.27321233350895036</v>
      </c>
      <c r="BJ316" s="148"/>
      <c r="BK316" s="148"/>
      <c r="BL316" s="148"/>
      <c r="BM316" s="148"/>
      <c r="BN316" s="166">
        <f>BN315/BN181</f>
        <v>0.24024658406616869</v>
      </c>
      <c r="BO316" s="148"/>
      <c r="BP316" s="148"/>
      <c r="BQ316" s="148"/>
      <c r="BR316" s="148"/>
      <c r="BS316" s="166">
        <f>BS315/BS181</f>
        <v>0.25255981795317911</v>
      </c>
    </row>
    <row r="317" spans="1:94" ht="12.75" hidden="1" customHeight="1" x14ac:dyDescent="0.2">
      <c r="A317" s="586" t="s">
        <v>292</v>
      </c>
      <c r="B317" s="35"/>
      <c r="C317" s="35"/>
      <c r="D317" s="35"/>
      <c r="E317" s="35"/>
      <c r="F317" s="170"/>
      <c r="G317" s="38"/>
      <c r="H317" s="38"/>
      <c r="I317" s="38"/>
      <c r="J317" s="38"/>
      <c r="K317" s="173"/>
      <c r="L317" s="38"/>
      <c r="M317" s="24">
        <f t="shared" ref="M317:Z317" si="881">M315/M272</f>
        <v>0.18637437917451621</v>
      </c>
      <c r="N317" s="24">
        <f t="shared" si="881"/>
        <v>0.21680951367968873</v>
      </c>
      <c r="O317" s="24">
        <f t="shared" si="881"/>
        <v>0.26275063593053266</v>
      </c>
      <c r="P317" s="172">
        <f t="shared" si="881"/>
        <v>0.26275063593053266</v>
      </c>
      <c r="Q317" s="24">
        <f t="shared" si="881"/>
        <v>0.22547843894879174</v>
      </c>
      <c r="R317" s="24">
        <f t="shared" si="881"/>
        <v>0.1932801583417148</v>
      </c>
      <c r="S317" s="24">
        <f t="shared" si="881"/>
        <v>0.16409358444833566</v>
      </c>
      <c r="T317" s="24">
        <f t="shared" si="881"/>
        <v>0.17385766263029237</v>
      </c>
      <c r="U317" s="172">
        <f t="shared" si="881"/>
        <v>0.17385766263029231</v>
      </c>
      <c r="V317" s="24">
        <f t="shared" si="881"/>
        <v>0.1148136600396156</v>
      </c>
      <c r="W317" s="24">
        <f t="shared" si="881"/>
        <v>0.34995858944960584</v>
      </c>
      <c r="X317" s="24">
        <f t="shared" si="881"/>
        <v>0.48600246758695753</v>
      </c>
      <c r="Y317" s="24">
        <f t="shared" si="881"/>
        <v>0.46034059476034883</v>
      </c>
      <c r="Z317" s="172">
        <f t="shared" si="881"/>
        <v>0.46034059476034883</v>
      </c>
      <c r="AA317" s="24">
        <f>AA315/AA272</f>
        <v>0.49808733403243488</v>
      </c>
      <c r="AB317" s="24">
        <f>AB315/AB272</f>
        <v>0.47724562261004577</v>
      </c>
      <c r="AC317" s="24">
        <f>AC315/AC272</f>
        <v>0.45117217524980791</v>
      </c>
      <c r="AD317" s="24">
        <f>AD315/AD272</f>
        <v>0.45311800183501399</v>
      </c>
      <c r="AE317" s="172">
        <f>AE315/AE272</f>
        <v>0.45311800183501399</v>
      </c>
      <c r="AF317" s="24"/>
      <c r="AG317" s="24"/>
      <c r="AH317" s="24"/>
      <c r="AI317" s="24"/>
      <c r="AJ317" s="172">
        <f>AJ315/AJ272</f>
        <v>0.44939594246103165</v>
      </c>
      <c r="AK317" s="24"/>
      <c r="AL317" s="24"/>
      <c r="AM317" s="24"/>
      <c r="AN317" s="24"/>
      <c r="AO317" s="172">
        <f>AO315/AO272</f>
        <v>0.39475452297937413</v>
      </c>
      <c r="AP317" s="24"/>
      <c r="AQ317" s="24"/>
      <c r="AR317" s="24"/>
      <c r="AS317" s="24"/>
      <c r="AT317" s="172">
        <f>AT315/AT272</f>
        <v>0.31757269679061234</v>
      </c>
      <c r="AU317" s="24"/>
      <c r="AV317" s="24"/>
      <c r="AW317" s="24"/>
      <c r="AX317" s="24"/>
      <c r="AY317" s="172">
        <f>AY315/AY272</f>
        <v>0.22237190137969567</v>
      </c>
      <c r="AZ317" s="148"/>
      <c r="BA317" s="148"/>
      <c r="BB317" s="148"/>
      <c r="BC317" s="148"/>
      <c r="BD317" s="166">
        <f>BD315/BD272</f>
        <v>0.19344435735257362</v>
      </c>
      <c r="BE317" s="148"/>
      <c r="BF317" s="148"/>
      <c r="BG317" s="148"/>
      <c r="BH317" s="148"/>
      <c r="BI317" s="166">
        <f>BI315/BI272</f>
        <v>0.17215275473948516</v>
      </c>
      <c r="BJ317" s="148"/>
      <c r="BK317" s="148"/>
      <c r="BL317" s="148"/>
      <c r="BM317" s="148"/>
      <c r="BN317" s="166">
        <f>BN315/BN272</f>
        <v>0.14759778796420284</v>
      </c>
      <c r="BO317" s="148"/>
      <c r="BP317" s="148"/>
      <c r="BQ317" s="148"/>
      <c r="BR317" s="148"/>
      <c r="BS317" s="166">
        <f>BS315/BS272</f>
        <v>0.1510326227617243</v>
      </c>
    </row>
    <row r="318" spans="1:94" s="254" customFormat="1" ht="12.75" hidden="1" customHeight="1" collapsed="1" x14ac:dyDescent="0.2">
      <c r="A318" s="9" t="s">
        <v>294</v>
      </c>
      <c r="B318" s="9"/>
      <c r="C318" s="9"/>
      <c r="D318" s="9"/>
      <c r="E318" s="9"/>
      <c r="F318" s="165"/>
      <c r="G318" s="9"/>
      <c r="H318" s="9"/>
      <c r="I318" s="9"/>
      <c r="J318" s="9"/>
      <c r="K318" s="165"/>
      <c r="L318" s="9"/>
      <c r="M318" s="9"/>
      <c r="N318" s="9"/>
      <c r="O318" s="9"/>
      <c r="P318" s="165"/>
      <c r="Q318" s="9"/>
      <c r="R318" s="9"/>
      <c r="S318" s="9"/>
      <c r="T318" s="9"/>
      <c r="U318" s="165"/>
      <c r="V318" s="9"/>
      <c r="W318" s="9"/>
      <c r="X318" s="9"/>
      <c r="Y318" s="9"/>
      <c r="Z318" s="165"/>
      <c r="AA318" s="9"/>
      <c r="AB318" s="9"/>
      <c r="AC318" s="9"/>
      <c r="AD318" s="9"/>
      <c r="AE318" s="165"/>
      <c r="AF318" s="9"/>
      <c r="AG318" s="9"/>
      <c r="AH318" s="9"/>
      <c r="AI318" s="9"/>
      <c r="AJ318" s="165"/>
      <c r="AK318" s="9"/>
      <c r="AL318" s="9"/>
      <c r="AM318" s="9"/>
      <c r="AN318" s="9"/>
      <c r="AO318" s="165"/>
      <c r="AP318" s="9"/>
      <c r="AQ318" s="9"/>
      <c r="AR318" s="9"/>
      <c r="AS318" s="9"/>
      <c r="AT318" s="165"/>
      <c r="AU318" s="9"/>
      <c r="AV318" s="9"/>
      <c r="AW318" s="9"/>
      <c r="AX318" s="9"/>
      <c r="AY318" s="165"/>
      <c r="AZ318" s="9"/>
      <c r="BA318" s="9"/>
      <c r="BB318" s="9"/>
      <c r="BC318" s="9"/>
      <c r="BD318" s="165"/>
      <c r="BE318" s="9"/>
      <c r="BF318" s="9"/>
      <c r="BG318" s="9"/>
      <c r="BH318" s="9"/>
      <c r="BI318" s="165"/>
      <c r="BJ318" s="9"/>
      <c r="BK318" s="9"/>
      <c r="BL318" s="9"/>
      <c r="BM318" s="9"/>
      <c r="BN318" s="165"/>
      <c r="BO318" s="9"/>
      <c r="BP318" s="9"/>
      <c r="BQ318" s="9"/>
      <c r="BR318" s="9"/>
      <c r="BS318" s="165"/>
      <c r="BT318" s="249"/>
      <c r="BU318" s="8"/>
      <c r="BV318" s="280"/>
      <c r="BW318" s="249"/>
      <c r="BX318" s="249"/>
      <c r="BY318" s="249"/>
      <c r="BZ318" s="432"/>
      <c r="CA318" s="320"/>
      <c r="CB318" s="320"/>
      <c r="CC318" s="320"/>
      <c r="CD318" s="320"/>
      <c r="CE318" s="320"/>
      <c r="CF318" s="320"/>
      <c r="CG318" s="320"/>
      <c r="CH318" s="8"/>
      <c r="CI318" s="249"/>
      <c r="CJ318"/>
      <c r="CK318"/>
      <c r="CL318"/>
      <c r="CM318"/>
      <c r="CN318"/>
      <c r="CO318"/>
      <c r="CP318" s="320"/>
    </row>
    <row r="319" spans="1:94" ht="12.75" hidden="1" customHeight="1" x14ac:dyDescent="0.2">
      <c r="A319" s="150" t="s">
        <v>295</v>
      </c>
      <c r="B319" s="35"/>
      <c r="C319" s="35"/>
      <c r="D319" s="35"/>
      <c r="E319" s="35"/>
      <c r="F319" s="170"/>
      <c r="G319" s="41"/>
      <c r="H319" s="41"/>
      <c r="I319" s="41"/>
      <c r="J319" s="41">
        <f t="shared" ref="J319:N321" si="882">J189/J$195</f>
        <v>1.3579364253984865</v>
      </c>
      <c r="K319" s="211">
        <f t="shared" si="882"/>
        <v>1.3579364253984865</v>
      </c>
      <c r="L319" s="41">
        <f t="shared" si="882"/>
        <v>2.7236313409830468</v>
      </c>
      <c r="M319" s="41">
        <f t="shared" si="882"/>
        <v>6.1042865485197817</v>
      </c>
      <c r="N319" s="41">
        <f t="shared" si="882"/>
        <v>11.167697891123099</v>
      </c>
      <c r="O319" s="41"/>
      <c r="P319" s="211"/>
      <c r="Q319" s="41"/>
      <c r="R319" s="41"/>
      <c r="S319" s="41"/>
      <c r="T319" s="41"/>
      <c r="U319" s="211"/>
      <c r="V319" s="41"/>
      <c r="W319" s="41"/>
      <c r="X319" s="41">
        <f t="shared" ref="X319:Z321" si="883">X189/X$195</f>
        <v>-172.44358974358977</v>
      </c>
      <c r="Y319" s="41">
        <f t="shared" si="883"/>
        <v>-208.02203856749301</v>
      </c>
      <c r="Z319" s="211">
        <f t="shared" si="883"/>
        <v>-208.02203856749296</v>
      </c>
      <c r="AA319" s="41">
        <f t="shared" ref="AA319:AE321" si="884">AA189/AA$195</f>
        <v>-873.78494623655945</v>
      </c>
      <c r="AB319" s="41">
        <f t="shared" si="884"/>
        <v>156.49912126537788</v>
      </c>
      <c r="AC319" s="41">
        <f t="shared" si="884"/>
        <v>272.93512658227837</v>
      </c>
      <c r="AD319" s="41">
        <f t="shared" si="884"/>
        <v>391.86352941176472</v>
      </c>
      <c r="AE319" s="211">
        <f t="shared" si="884"/>
        <v>391.86352941176449</v>
      </c>
      <c r="AF319" s="41"/>
      <c r="AG319" s="41"/>
      <c r="AH319" s="41"/>
      <c r="AI319" s="41"/>
      <c r="AJ319" s="211">
        <f>AJ189/AJ$195</f>
        <v>-1514.7379679144385</v>
      </c>
      <c r="AK319" s="41"/>
      <c r="AL319" s="41"/>
      <c r="AM319" s="41"/>
      <c r="AN319" s="41"/>
      <c r="AO319" s="211">
        <f>AO189/AO$195</f>
        <v>154.63417669017002</v>
      </c>
      <c r="AP319" s="41"/>
      <c r="AQ319" s="41"/>
      <c r="AR319" s="41"/>
      <c r="AS319" s="41"/>
      <c r="AT319" s="211">
        <f>AT189/AT$195</f>
        <v>27.798597798104854</v>
      </c>
      <c r="AU319" s="41"/>
      <c r="AV319" s="41"/>
      <c r="AW319" s="41"/>
      <c r="AX319" s="41"/>
      <c r="AY319" s="211">
        <f>AY189/AY$195</f>
        <v>13.333250865907974</v>
      </c>
      <c r="AZ319" s="150"/>
      <c r="BA319" s="150"/>
      <c r="BB319" s="150"/>
      <c r="BC319" s="150"/>
      <c r="BD319" s="168">
        <f>BD189/BD$195</f>
        <v>8.2671416217106692</v>
      </c>
      <c r="BE319" s="150"/>
      <c r="BF319" s="150"/>
      <c r="BG319" s="150"/>
      <c r="BH319" s="150"/>
      <c r="BI319" s="168">
        <f>BI189/BI$195</f>
        <v>6.5062961500802841</v>
      </c>
      <c r="BJ319" s="150"/>
      <c r="BK319" s="150"/>
      <c r="BL319" s="150"/>
      <c r="BM319" s="150"/>
      <c r="BN319" s="168">
        <f>BN189/BN$195</f>
        <v>5.9088626689853436</v>
      </c>
      <c r="BO319" s="150"/>
      <c r="BP319" s="150"/>
      <c r="BQ319" s="150"/>
      <c r="BR319" s="150"/>
      <c r="BS319" s="168">
        <f>BS189/BS$195</f>
        <v>6.6039216445623881</v>
      </c>
    </row>
    <row r="320" spans="1:94" ht="12.75" hidden="1" customHeight="1" x14ac:dyDescent="0.2">
      <c r="A320" s="150" t="s">
        <v>296</v>
      </c>
      <c r="B320" s="35"/>
      <c r="C320" s="35"/>
      <c r="D320" s="35"/>
      <c r="E320" s="35"/>
      <c r="F320" s="170"/>
      <c r="G320" s="41"/>
      <c r="H320" s="41"/>
      <c r="I320" s="41"/>
      <c r="J320" s="41">
        <f t="shared" si="882"/>
        <v>1.4815319310164636</v>
      </c>
      <c r="K320" s="211">
        <f t="shared" si="882"/>
        <v>1.4815319310164641</v>
      </c>
      <c r="L320" s="41">
        <f t="shared" si="882"/>
        <v>2.88030200376777</v>
      </c>
      <c r="M320" s="41">
        <f t="shared" si="882"/>
        <v>6.355086325090137</v>
      </c>
      <c r="N320" s="41">
        <f t="shared" si="882"/>
        <v>11.724343305541934</v>
      </c>
      <c r="O320" s="41"/>
      <c r="P320" s="211"/>
      <c r="Q320" s="41"/>
      <c r="R320" s="41"/>
      <c r="S320" s="41"/>
      <c r="T320" s="41"/>
      <c r="U320" s="211"/>
      <c r="V320" s="41"/>
      <c r="W320" s="41"/>
      <c r="X320" s="41">
        <f t="shared" si="883"/>
        <v>-180.90256410256413</v>
      </c>
      <c r="Y320" s="41">
        <f t="shared" si="883"/>
        <v>-218.71074380165277</v>
      </c>
      <c r="Z320" s="211">
        <f t="shared" si="883"/>
        <v>-218.71074380165274</v>
      </c>
      <c r="AA320" s="41">
        <f t="shared" si="884"/>
        <v>-922.62365591397884</v>
      </c>
      <c r="AB320" s="41">
        <f t="shared" si="884"/>
        <v>165.91915641476277</v>
      </c>
      <c r="AC320" s="41">
        <f t="shared" si="884"/>
        <v>292.67563291139231</v>
      </c>
      <c r="AD320" s="41">
        <f t="shared" si="884"/>
        <v>427.76000000000005</v>
      </c>
      <c r="AE320" s="211">
        <f t="shared" si="884"/>
        <v>427.75999999999976</v>
      </c>
      <c r="AF320" s="41"/>
      <c r="AG320" s="41"/>
      <c r="AH320" s="41"/>
      <c r="AI320" s="41"/>
      <c r="AJ320" s="211">
        <f>AJ190/AJ$195</f>
        <v>-1685.5775401069518</v>
      </c>
      <c r="AK320" s="41"/>
      <c r="AL320" s="41"/>
      <c r="AM320" s="41"/>
      <c r="AN320" s="41"/>
      <c r="AO320" s="211">
        <f>AO190/AO$195</f>
        <v>174.11613438407298</v>
      </c>
      <c r="AP320" s="41"/>
      <c r="AQ320" s="41"/>
      <c r="AR320" s="41"/>
      <c r="AS320" s="41"/>
      <c r="AT320" s="211">
        <f>AT190/AT$195</f>
        <v>31.8467984882511</v>
      </c>
      <c r="AU320" s="41"/>
      <c r="AV320" s="41"/>
      <c r="AW320" s="41"/>
      <c r="AX320" s="41"/>
      <c r="AY320" s="211">
        <f>AY190/AY$195</f>
        <v>16.113392709879605</v>
      </c>
      <c r="AZ320" s="150"/>
      <c r="BA320" s="150"/>
      <c r="BB320" s="150"/>
      <c r="BC320" s="150"/>
      <c r="BD320" s="168">
        <f>BD190/BD$195</f>
        <v>11.15294650578595</v>
      </c>
      <c r="BE320" s="150"/>
      <c r="BF320" s="150"/>
      <c r="BG320" s="150"/>
      <c r="BH320" s="150"/>
      <c r="BI320" s="168">
        <f>BI190/BI$195</f>
        <v>10.291656150080284</v>
      </c>
      <c r="BJ320" s="150"/>
      <c r="BK320" s="150"/>
      <c r="BL320" s="150"/>
      <c r="BM320" s="150"/>
      <c r="BN320" s="168">
        <f>BN190/BN$195</f>
        <v>9.0179563604512474</v>
      </c>
      <c r="BO320" s="150"/>
      <c r="BP320" s="150"/>
      <c r="BQ320" s="150"/>
      <c r="BR320" s="150"/>
      <c r="BS320" s="168">
        <f>BS190/BS$195</f>
        <v>9.5492131969489087</v>
      </c>
    </row>
    <row r="321" spans="1:71" ht="12.75" hidden="1" customHeight="1" x14ac:dyDescent="0.2">
      <c r="A321" s="150" t="s">
        <v>297</v>
      </c>
      <c r="B321" s="35"/>
      <c r="C321" s="35"/>
      <c r="D321" s="35"/>
      <c r="E321" s="35"/>
      <c r="F321" s="170"/>
      <c r="G321" s="41"/>
      <c r="H321" s="41"/>
      <c r="I321" s="41"/>
      <c r="J321" s="41">
        <f t="shared" si="882"/>
        <v>4.239331774235696</v>
      </c>
      <c r="K321" s="211">
        <f t="shared" si="882"/>
        <v>4.2393317742356968</v>
      </c>
      <c r="L321" s="41">
        <f t="shared" si="882"/>
        <v>6.2760547011474594</v>
      </c>
      <c r="M321" s="41">
        <f t="shared" si="882"/>
        <v>11.136683847052257</v>
      </c>
      <c r="N321" s="41">
        <f t="shared" si="882"/>
        <v>20.582116723884258</v>
      </c>
      <c r="O321" s="41"/>
      <c r="P321" s="211"/>
      <c r="Q321" s="41"/>
      <c r="R321" s="41"/>
      <c r="S321" s="41"/>
      <c r="T321" s="41"/>
      <c r="U321" s="211"/>
      <c r="V321" s="41"/>
      <c r="W321" s="41"/>
      <c r="X321" s="41">
        <f t="shared" si="883"/>
        <v>-327.59230769230766</v>
      </c>
      <c r="Y321" s="41">
        <f t="shared" si="883"/>
        <v>-379.15840220385655</v>
      </c>
      <c r="Z321" s="211">
        <f t="shared" si="883"/>
        <v>-379.15840220385661</v>
      </c>
      <c r="AA321" s="41">
        <f t="shared" si="884"/>
        <v>-1576.6559139784949</v>
      </c>
      <c r="AB321" s="41">
        <f t="shared" si="884"/>
        <v>278.94991212653781</v>
      </c>
      <c r="AC321" s="41">
        <f t="shared" si="884"/>
        <v>509.36075949367068</v>
      </c>
      <c r="AD321" s="41">
        <f t="shared" si="884"/>
        <v>765.57647058823522</v>
      </c>
      <c r="AE321" s="211">
        <f t="shared" si="884"/>
        <v>765.576470588235</v>
      </c>
      <c r="AF321" s="41"/>
      <c r="AG321" s="41"/>
      <c r="AH321" s="41"/>
      <c r="AI321" s="41"/>
      <c r="AJ321" s="211">
        <f>AJ191/AJ$195</f>
        <v>-2593.2620320855608</v>
      </c>
      <c r="AK321" s="41"/>
      <c r="AL321" s="41"/>
      <c r="AM321" s="41"/>
      <c r="AN321" s="41"/>
      <c r="AO321" s="211">
        <f>AO191/AO$195</f>
        <v>255.33844877644131</v>
      </c>
      <c r="AP321" s="41"/>
      <c r="AQ321" s="41"/>
      <c r="AR321" s="41"/>
      <c r="AS321" s="41"/>
      <c r="AT321" s="211">
        <f>AT191/AT$195</f>
        <v>43.433094155666339</v>
      </c>
      <c r="AU321" s="41"/>
      <c r="AV321" s="41"/>
      <c r="AW321" s="41"/>
      <c r="AX321" s="41"/>
      <c r="AY321" s="211">
        <f>AY191/AY$195</f>
        <v>21.657265380174834</v>
      </c>
      <c r="AZ321" s="150"/>
      <c r="BA321" s="150"/>
      <c r="BB321" s="150"/>
      <c r="BC321" s="150"/>
      <c r="BD321" s="168">
        <f>BD191/BD$195</f>
        <v>15.391549643783724</v>
      </c>
      <c r="BE321" s="150"/>
      <c r="BF321" s="150"/>
      <c r="BG321" s="150"/>
      <c r="BH321" s="150"/>
      <c r="BI321" s="168">
        <f>BI191/BI$195</f>
        <v>13.827910824350692</v>
      </c>
      <c r="BJ321" s="150"/>
      <c r="BK321" s="150"/>
      <c r="BL321" s="150"/>
      <c r="BM321" s="150"/>
      <c r="BN321" s="168">
        <f>BN191/BN$195</f>
        <v>11.42905692939288</v>
      </c>
      <c r="BO321" s="150"/>
      <c r="BP321" s="150"/>
      <c r="BQ321" s="150"/>
      <c r="BR321" s="150"/>
      <c r="BS321" s="168">
        <f>BS191/BS$195</f>
        <v>11.604584120988148</v>
      </c>
    </row>
    <row r="322" spans="1:71" ht="12.75" hidden="1" customHeight="1" x14ac:dyDescent="0.2">
      <c r="A322" s="150"/>
      <c r="B322" s="35"/>
      <c r="C322" s="35"/>
      <c r="D322" s="35"/>
      <c r="E322" s="35"/>
      <c r="F322" s="170"/>
      <c r="G322" s="38"/>
      <c r="H322" s="38"/>
      <c r="I322" s="38"/>
      <c r="J322" s="38"/>
      <c r="K322" s="173"/>
      <c r="L322" s="38"/>
      <c r="M322" s="38"/>
      <c r="N322" s="38"/>
      <c r="O322" s="38"/>
      <c r="P322" s="173"/>
      <c r="Q322" s="38"/>
      <c r="R322" s="38"/>
      <c r="S322" s="38"/>
      <c r="T322" s="38"/>
      <c r="U322" s="173"/>
      <c r="V322" s="38"/>
      <c r="W322" s="38"/>
      <c r="X322" s="38"/>
      <c r="Y322" s="38"/>
      <c r="Z322" s="173"/>
      <c r="AA322" s="38"/>
      <c r="AB322" s="38"/>
      <c r="AC322" s="38"/>
      <c r="AD322" s="38"/>
      <c r="AE322" s="173"/>
      <c r="AF322" s="38"/>
      <c r="AG322" s="38"/>
      <c r="AH322" s="38"/>
      <c r="AI322" s="38"/>
      <c r="AJ322" s="173"/>
      <c r="AK322" s="38"/>
      <c r="AL322" s="38"/>
      <c r="AM322" s="38"/>
      <c r="AN322" s="38"/>
      <c r="AO322" s="173"/>
      <c r="AP322" s="38"/>
      <c r="AQ322" s="38"/>
      <c r="AR322" s="38"/>
      <c r="AS322" s="38"/>
      <c r="AT322" s="173"/>
      <c r="AU322" s="38"/>
      <c r="AV322" s="38"/>
      <c r="AW322" s="38"/>
      <c r="AX322" s="38"/>
      <c r="AY322" s="173"/>
      <c r="AZ322" s="155"/>
      <c r="BA322" s="155"/>
      <c r="BB322" s="155"/>
      <c r="BC322" s="155"/>
      <c r="BD322" s="176"/>
      <c r="BE322" s="155"/>
      <c r="BF322" s="155"/>
      <c r="BG322" s="155"/>
      <c r="BH322" s="155"/>
      <c r="BI322" s="176"/>
      <c r="BJ322" s="155"/>
      <c r="BK322" s="155"/>
      <c r="BL322" s="155"/>
      <c r="BM322" s="155"/>
      <c r="BN322" s="176"/>
      <c r="BO322" s="155"/>
      <c r="BP322" s="155"/>
      <c r="BQ322" s="155"/>
      <c r="BR322" s="155"/>
      <c r="BS322" s="176"/>
    </row>
    <row r="323" spans="1:71" ht="12.75" hidden="1" customHeight="1" x14ac:dyDescent="0.2">
      <c r="A323" s="150" t="s">
        <v>298</v>
      </c>
      <c r="B323" s="35"/>
      <c r="C323" s="35"/>
      <c r="D323" s="35"/>
      <c r="E323" s="35"/>
      <c r="F323" s="170"/>
      <c r="G323" s="41"/>
      <c r="H323" s="41"/>
      <c r="I323" s="41"/>
      <c r="J323" s="41">
        <f t="shared" ref="J323:N325" si="885">J189/J$194</f>
        <v>1.2912643989464812</v>
      </c>
      <c r="K323" s="211">
        <f t="shared" si="885"/>
        <v>1.2912643989464812</v>
      </c>
      <c r="L323" s="41">
        <f t="shared" si="885"/>
        <v>2.620153453275341</v>
      </c>
      <c r="M323" s="41">
        <f t="shared" si="885"/>
        <v>5.8901325395658812</v>
      </c>
      <c r="N323" s="41">
        <f t="shared" si="885"/>
        <v>10.908755389479737</v>
      </c>
      <c r="O323" s="41"/>
      <c r="P323" s="211"/>
      <c r="Q323" s="41"/>
      <c r="R323" s="41"/>
      <c r="S323" s="41"/>
      <c r="T323" s="41"/>
      <c r="U323" s="211"/>
      <c r="V323" s="41"/>
      <c r="W323" s="41"/>
      <c r="X323" s="41">
        <f t="shared" ref="X323:Z325" si="886">X189/X$194</f>
        <v>302.9414414414415</v>
      </c>
      <c r="Y323" s="41">
        <f t="shared" si="886"/>
        <v>184.85189718482249</v>
      </c>
      <c r="Z323" s="211">
        <f t="shared" si="886"/>
        <v>184.85189718482241</v>
      </c>
      <c r="AA323" s="41">
        <f t="shared" ref="AA323:AE325" si="887">AA189/AA$194</f>
        <v>119.76713338246131</v>
      </c>
      <c r="AB323" s="41">
        <f t="shared" si="887"/>
        <v>82.796838679683873</v>
      </c>
      <c r="AC323" s="41">
        <f t="shared" si="887"/>
        <v>100.46301688992426</v>
      </c>
      <c r="AD323" s="41">
        <f t="shared" si="887"/>
        <v>123.36444444444446</v>
      </c>
      <c r="AE323" s="211">
        <f t="shared" si="887"/>
        <v>123.36444444444437</v>
      </c>
      <c r="AF323" s="41"/>
      <c r="AG323" s="41"/>
      <c r="AH323" s="41"/>
      <c r="AI323" s="41"/>
      <c r="AJ323" s="211">
        <f>AJ189/AJ$194</f>
        <v>1323.6261682242996</v>
      </c>
      <c r="AK323" s="41"/>
      <c r="AL323" s="41"/>
      <c r="AM323" s="41"/>
      <c r="AN323" s="41"/>
      <c r="AO323" s="211">
        <f>AO189/AO$194</f>
        <v>135.72005824535853</v>
      </c>
      <c r="AP323" s="41"/>
      <c r="AQ323" s="41"/>
      <c r="AR323" s="41"/>
      <c r="AS323" s="41"/>
      <c r="AT323" s="211">
        <f>AT189/AT$194</f>
        <v>24.900353252870193</v>
      </c>
      <c r="AU323" s="41"/>
      <c r="AV323" s="41"/>
      <c r="AW323" s="41"/>
      <c r="AX323" s="41"/>
      <c r="AY323" s="211">
        <f>AY189/AY$194</f>
        <v>11.644427906083454</v>
      </c>
      <c r="AZ323" s="150"/>
      <c r="BA323" s="150"/>
      <c r="BB323" s="150"/>
      <c r="BC323" s="150"/>
      <c r="BD323" s="168">
        <f>BD189/BD$194</f>
        <v>7.0067711423685104</v>
      </c>
      <c r="BE323" s="150"/>
      <c r="BF323" s="150"/>
      <c r="BG323" s="150"/>
      <c r="BH323" s="150"/>
      <c r="BI323" s="168">
        <f>BI189/BI$194</f>
        <v>4.7773503199890195</v>
      </c>
      <c r="BJ323" s="150"/>
      <c r="BK323" s="150"/>
      <c r="BL323" s="150"/>
      <c r="BM323" s="150"/>
      <c r="BN323" s="168">
        <f>BN189/BN$194</f>
        <v>4.9805400027417459</v>
      </c>
      <c r="BO323" s="150"/>
      <c r="BP323" s="150"/>
      <c r="BQ323" s="150"/>
      <c r="BR323" s="150"/>
      <c r="BS323" s="168">
        <f>BS189/BS$194</f>
        <v>5.6750280859085009</v>
      </c>
    </row>
    <row r="324" spans="1:71" ht="12.75" hidden="1" customHeight="1" x14ac:dyDescent="0.2">
      <c r="A324" s="150" t="s">
        <v>299</v>
      </c>
      <c r="B324" s="35"/>
      <c r="C324" s="35"/>
      <c r="D324" s="35"/>
      <c r="E324" s="35"/>
      <c r="F324" s="170"/>
      <c r="G324" s="41"/>
      <c r="H324" s="41"/>
      <c r="I324" s="41"/>
      <c r="J324" s="41">
        <f t="shared" si="885"/>
        <v>1.4087916066192929</v>
      </c>
      <c r="K324" s="211">
        <f t="shared" si="885"/>
        <v>1.4087916066192934</v>
      </c>
      <c r="L324" s="41">
        <f t="shared" si="885"/>
        <v>2.7708717872676965</v>
      </c>
      <c r="M324" s="41">
        <f t="shared" si="885"/>
        <v>6.1321336175216841</v>
      </c>
      <c r="N324" s="41">
        <f t="shared" si="885"/>
        <v>11.452494011689184</v>
      </c>
      <c r="O324" s="41"/>
      <c r="P324" s="211"/>
      <c r="Q324" s="41"/>
      <c r="R324" s="41"/>
      <c r="S324" s="41"/>
      <c r="T324" s="41"/>
      <c r="U324" s="211"/>
      <c r="V324" s="41"/>
      <c r="W324" s="41"/>
      <c r="X324" s="41">
        <f t="shared" si="886"/>
        <v>317.80180180180184</v>
      </c>
      <c r="Y324" s="41">
        <f t="shared" si="886"/>
        <v>194.35006119951038</v>
      </c>
      <c r="Z324" s="211">
        <f t="shared" si="886"/>
        <v>194.35006119951026</v>
      </c>
      <c r="AA324" s="41">
        <f t="shared" si="887"/>
        <v>126.46131171702285</v>
      </c>
      <c r="AB324" s="41">
        <f t="shared" si="887"/>
        <v>87.780567178056728</v>
      </c>
      <c r="AC324" s="41">
        <f t="shared" si="887"/>
        <v>107.72917880023294</v>
      </c>
      <c r="AD324" s="41">
        <f t="shared" si="887"/>
        <v>134.66518518518521</v>
      </c>
      <c r="AE324" s="211">
        <f t="shared" si="887"/>
        <v>134.66518518518512</v>
      </c>
      <c r="AF324" s="41"/>
      <c r="AG324" s="41"/>
      <c r="AH324" s="41"/>
      <c r="AI324" s="41"/>
      <c r="AJ324" s="211">
        <f>AJ190/AJ$194</f>
        <v>1472.9112149532716</v>
      </c>
      <c r="AK324" s="41"/>
      <c r="AL324" s="41"/>
      <c r="AM324" s="41"/>
      <c r="AN324" s="41"/>
      <c r="AO324" s="211">
        <f>AO190/AO$194</f>
        <v>152.81907535493261</v>
      </c>
      <c r="AP324" s="41"/>
      <c r="AQ324" s="41"/>
      <c r="AR324" s="41"/>
      <c r="AS324" s="41"/>
      <c r="AT324" s="211">
        <f>AT190/AT$194</f>
        <v>28.526493965263484</v>
      </c>
      <c r="AU324" s="41"/>
      <c r="AV324" s="41"/>
      <c r="AW324" s="41"/>
      <c r="AX324" s="41"/>
      <c r="AY324" s="211">
        <f>AY190/AY$194</f>
        <v>14.072430018725697</v>
      </c>
      <c r="AZ324" s="150"/>
      <c r="BA324" s="150"/>
      <c r="BB324" s="150"/>
      <c r="BC324" s="150"/>
      <c r="BD324" s="168">
        <f>BD190/BD$194</f>
        <v>9.452619454818338</v>
      </c>
      <c r="BE324" s="150"/>
      <c r="BF324" s="150"/>
      <c r="BG324" s="150"/>
      <c r="BH324" s="150"/>
      <c r="BI324" s="168">
        <f>BI190/BI$194</f>
        <v>7.5568104598491601</v>
      </c>
      <c r="BJ324" s="150"/>
      <c r="BK324" s="150"/>
      <c r="BL324" s="150"/>
      <c r="BM324" s="150"/>
      <c r="BN324" s="168">
        <f>BN190/BN$194</f>
        <v>7.6011738488955913</v>
      </c>
      <c r="BO324" s="150"/>
      <c r="BP324" s="150"/>
      <c r="BQ324" s="150"/>
      <c r="BR324" s="150"/>
      <c r="BS324" s="168">
        <f>BS190/BS$194</f>
        <v>8.2060411991160471</v>
      </c>
    </row>
    <row r="325" spans="1:71" ht="12.75" hidden="1" customHeight="1" x14ac:dyDescent="0.2">
      <c r="A325" s="150" t="s">
        <v>300</v>
      </c>
      <c r="B325" s="35"/>
      <c r="C325" s="35"/>
      <c r="D325" s="35"/>
      <c r="E325" s="35"/>
      <c r="F325" s="170"/>
      <c r="G325" s="41"/>
      <c r="H325" s="41"/>
      <c r="I325" s="41"/>
      <c r="J325" s="41">
        <f t="shared" si="885"/>
        <v>4.0311888634895414</v>
      </c>
      <c r="K325" s="211">
        <f t="shared" si="885"/>
        <v>4.0311888634895423</v>
      </c>
      <c r="L325" s="41">
        <f t="shared" si="885"/>
        <v>6.0376109463556107</v>
      </c>
      <c r="M325" s="41">
        <f t="shared" si="885"/>
        <v>10.745980449801563</v>
      </c>
      <c r="N325" s="41">
        <f t="shared" si="885"/>
        <v>20.104884545367447</v>
      </c>
      <c r="O325" s="41"/>
      <c r="P325" s="211"/>
      <c r="Q325" s="41"/>
      <c r="R325" s="41"/>
      <c r="S325" s="41"/>
      <c r="T325" s="41"/>
      <c r="U325" s="211"/>
      <c r="V325" s="41"/>
      <c r="W325" s="41"/>
      <c r="X325" s="41">
        <f t="shared" si="886"/>
        <v>575.5</v>
      </c>
      <c r="Y325" s="41">
        <f t="shared" si="886"/>
        <v>336.92656058751527</v>
      </c>
      <c r="Z325" s="211">
        <f t="shared" si="886"/>
        <v>336.92656058751521</v>
      </c>
      <c r="AA325" s="41">
        <f t="shared" si="887"/>
        <v>216.10759027266027</v>
      </c>
      <c r="AB325" s="41">
        <f t="shared" si="887"/>
        <v>147.58019525801953</v>
      </c>
      <c r="AC325" s="41">
        <f t="shared" si="887"/>
        <v>187.48747815958063</v>
      </c>
      <c r="AD325" s="41">
        <f t="shared" si="887"/>
        <v>241.0148148148148</v>
      </c>
      <c r="AE325" s="211">
        <f t="shared" si="887"/>
        <v>241.01481481481471</v>
      </c>
      <c r="AF325" s="41"/>
      <c r="AG325" s="41"/>
      <c r="AH325" s="41"/>
      <c r="AI325" s="41"/>
      <c r="AJ325" s="211">
        <f>AJ191/AJ$194</f>
        <v>2266.0747663551406</v>
      </c>
      <c r="AK325" s="41"/>
      <c r="AL325" s="41"/>
      <c r="AM325" s="41"/>
      <c r="AN325" s="41"/>
      <c r="AO325" s="211">
        <f>AO191/AO$194</f>
        <v>224.10666181288676</v>
      </c>
      <c r="AP325" s="41"/>
      <c r="AQ325" s="41"/>
      <c r="AR325" s="41"/>
      <c r="AS325" s="41"/>
      <c r="AT325" s="211">
        <f>AT191/AT$194</f>
        <v>38.904817976646079</v>
      </c>
      <c r="AU325" s="41"/>
      <c r="AV325" s="41"/>
      <c r="AW325" s="41"/>
      <c r="AX325" s="41"/>
      <c r="AY325" s="211">
        <f>AY191/AY$194</f>
        <v>18.914101886973643</v>
      </c>
      <c r="AZ325" s="150"/>
      <c r="BA325" s="150"/>
      <c r="BB325" s="150"/>
      <c r="BC325" s="150"/>
      <c r="BD325" s="168">
        <f>BD191/BD$194</f>
        <v>13.045024606470983</v>
      </c>
      <c r="BE325" s="150"/>
      <c r="BF325" s="150"/>
      <c r="BG325" s="150"/>
      <c r="BH325" s="150"/>
      <c r="BI325" s="168">
        <f>BI191/BI$194</f>
        <v>10.153361094802957</v>
      </c>
      <c r="BJ325" s="150"/>
      <c r="BK325" s="150"/>
      <c r="BL325" s="150"/>
      <c r="BM325" s="150"/>
      <c r="BN325" s="168">
        <f>BN191/BN$194</f>
        <v>9.633474057407506</v>
      </c>
      <c r="BO325" s="150"/>
      <c r="BP325" s="150"/>
      <c r="BQ325" s="150"/>
      <c r="BR325" s="150"/>
      <c r="BS325" s="168">
        <f>BS191/BS$194</f>
        <v>9.9723080249023077</v>
      </c>
    </row>
    <row r="326" spans="1:71" ht="12.75" hidden="1" customHeight="1" x14ac:dyDescent="0.2">
      <c r="A326" s="150"/>
      <c r="B326" s="35"/>
      <c r="C326" s="35"/>
      <c r="D326" s="35"/>
      <c r="E326" s="35"/>
      <c r="F326" s="170"/>
      <c r="G326" s="38"/>
      <c r="H326" s="38"/>
      <c r="I326" s="38"/>
      <c r="J326" s="38"/>
      <c r="K326" s="173"/>
      <c r="L326" s="38"/>
      <c r="M326" s="38"/>
      <c r="N326" s="38"/>
      <c r="O326" s="38"/>
      <c r="P326" s="173"/>
      <c r="Q326" s="38"/>
      <c r="R326" s="38"/>
      <c r="S326" s="38"/>
      <c r="T326" s="38"/>
      <c r="U326" s="173"/>
      <c r="V326" s="38"/>
      <c r="W326" s="38"/>
      <c r="X326" s="38"/>
      <c r="Y326" s="38"/>
      <c r="Z326" s="173"/>
      <c r="AA326" s="38"/>
      <c r="AB326" s="38"/>
      <c r="AC326" s="38"/>
      <c r="AD326" s="38"/>
      <c r="AE326" s="173"/>
      <c r="AF326" s="38"/>
      <c r="AG326" s="38"/>
      <c r="AH326" s="38"/>
      <c r="AI326" s="38"/>
      <c r="AJ326" s="173"/>
      <c r="AK326" s="38"/>
      <c r="AL326" s="38"/>
      <c r="AM326" s="38"/>
      <c r="AN326" s="38"/>
      <c r="AO326" s="173"/>
      <c r="AP326" s="38"/>
      <c r="AQ326" s="38"/>
      <c r="AR326" s="38"/>
      <c r="AS326" s="38"/>
      <c r="AT326" s="173"/>
      <c r="AU326" s="38"/>
      <c r="AV326" s="38"/>
      <c r="AW326" s="38"/>
      <c r="AX326" s="38"/>
      <c r="AY326" s="173"/>
      <c r="AZ326" s="155"/>
      <c r="BA326" s="155"/>
      <c r="BB326" s="155"/>
      <c r="BC326" s="155"/>
      <c r="BD326" s="176"/>
      <c r="BE326" s="155"/>
      <c r="BF326" s="155"/>
      <c r="BG326" s="155"/>
      <c r="BH326" s="155"/>
      <c r="BI326" s="176"/>
      <c r="BJ326" s="155"/>
      <c r="BK326" s="155"/>
      <c r="BL326" s="155"/>
      <c r="BM326" s="155"/>
      <c r="BN326" s="176"/>
      <c r="BO326" s="155"/>
      <c r="BP326" s="155"/>
      <c r="BQ326" s="155"/>
      <c r="BR326" s="155"/>
      <c r="BS326" s="176"/>
    </row>
    <row r="327" spans="1:71" ht="12.75" hidden="1" customHeight="1" x14ac:dyDescent="0.2">
      <c r="A327" s="150" t="s">
        <v>301</v>
      </c>
      <c r="B327" s="35"/>
      <c r="C327" s="35"/>
      <c r="D327" s="35"/>
      <c r="E327" s="35"/>
      <c r="F327" s="170"/>
      <c r="G327" s="41"/>
      <c r="H327" s="41"/>
      <c r="I327" s="41"/>
      <c r="J327" s="41">
        <f>J189/(J$194+J$186)</f>
        <v>0.35646681116972068</v>
      </c>
      <c r="K327" s="211">
        <f t="shared" ref="K327:AJ327" si="888">K189/(K$194+K$186)</f>
        <v>0.35646681116972073</v>
      </c>
      <c r="L327" s="41">
        <f t="shared" si="888"/>
        <v>0.61408803200321294</v>
      </c>
      <c r="M327" s="41">
        <f t="shared" si="888"/>
        <v>1.0492150419383279</v>
      </c>
      <c r="N327" s="41">
        <f t="shared" si="888"/>
        <v>1.1301610053403743</v>
      </c>
      <c r="O327" s="41">
        <f t="shared" si="888"/>
        <v>1.2177649098628496</v>
      </c>
      <c r="P327" s="211">
        <f t="shared" si="888"/>
        <v>1.2177649098628482</v>
      </c>
      <c r="Q327" s="41">
        <f t="shared" si="888"/>
        <v>1.1383873051224944</v>
      </c>
      <c r="R327" s="41">
        <f t="shared" si="888"/>
        <v>0.78746502066588842</v>
      </c>
      <c r="S327" s="41">
        <f t="shared" si="888"/>
        <v>0.67158842335520796</v>
      </c>
      <c r="T327" s="41">
        <f t="shared" si="888"/>
        <v>0.66535759393748062</v>
      </c>
      <c r="U327" s="211">
        <f t="shared" si="888"/>
        <v>0.66535759393748206</v>
      </c>
      <c r="V327" s="41">
        <f t="shared" si="888"/>
        <v>0.66055261279537192</v>
      </c>
      <c r="W327" s="41">
        <f>W189/(W$194+W$186)</f>
        <v>0.96703227205377496</v>
      </c>
      <c r="X327" s="41">
        <f t="shared" si="888"/>
        <v>1.1710226184464838</v>
      </c>
      <c r="Y327" s="41">
        <f t="shared" si="888"/>
        <v>1.2874801793660806</v>
      </c>
      <c r="Z327" s="211">
        <f t="shared" si="888"/>
        <v>1.2874801793660799</v>
      </c>
      <c r="AA327" s="41">
        <f t="shared" ref="AA327:AD329" si="889">AA189/(AA$194+AA$186)</f>
        <v>1.3212581397806631</v>
      </c>
      <c r="AB327" s="41">
        <f t="shared" si="889"/>
        <v>1.36179844012846</v>
      </c>
      <c r="AC327" s="41">
        <f t="shared" si="889"/>
        <v>1.2439961921795444</v>
      </c>
      <c r="AD327" s="41">
        <f t="shared" si="889"/>
        <v>1.149183698817295</v>
      </c>
      <c r="AE327" s="211">
        <f t="shared" si="888"/>
        <v>1.1491836988172943</v>
      </c>
      <c r="AF327" s="41"/>
      <c r="AG327" s="41"/>
      <c r="AH327" s="41"/>
      <c r="AI327" s="41"/>
      <c r="AJ327" s="211">
        <f t="shared" si="888"/>
        <v>1.6666921642120383</v>
      </c>
      <c r="AK327" s="41"/>
      <c r="AL327" s="41"/>
      <c r="AM327" s="41"/>
      <c r="AN327" s="41"/>
      <c r="AO327" s="211">
        <f>AO189/(AO$194+AO$186)</f>
        <v>1.8775015863103923</v>
      </c>
      <c r="AP327" s="41"/>
      <c r="AQ327" s="41"/>
      <c r="AR327" s="41"/>
      <c r="AS327" s="41"/>
      <c r="AT327" s="211">
        <f>AT189/(AT$194+AT$186)</f>
        <v>2.1884025475070401</v>
      </c>
      <c r="AU327" s="41"/>
      <c r="AV327" s="41"/>
      <c r="AW327" s="41"/>
      <c r="AX327" s="41"/>
      <c r="AY327" s="211">
        <f>AY189/(AY$194+AY$186)</f>
        <v>1.9933382375302586</v>
      </c>
      <c r="AZ327" s="150"/>
      <c r="BA327" s="150"/>
      <c r="BB327" s="150"/>
      <c r="BC327" s="150"/>
      <c r="BD327" s="168">
        <f>BD189/(BD$194+BD$186)</f>
        <v>1.5257301808066774</v>
      </c>
      <c r="BE327" s="150"/>
      <c r="BF327" s="150"/>
      <c r="BG327" s="150"/>
      <c r="BH327" s="150"/>
      <c r="BI327" s="168">
        <f>BI189/(BI$194+BI$186)</f>
        <v>1.3283144893219032</v>
      </c>
      <c r="BJ327" s="150"/>
      <c r="BK327" s="150"/>
      <c r="BL327" s="150"/>
      <c r="BM327" s="150"/>
      <c r="BN327" s="168">
        <f>BN189/(BN$194+BN$186)</f>
        <v>1.6424956832311532</v>
      </c>
      <c r="BO327" s="150"/>
      <c r="BP327" s="150"/>
      <c r="BQ327" s="150"/>
      <c r="BR327" s="150"/>
      <c r="BS327" s="168">
        <f>BS189/(BS$194+BS$186)</f>
        <v>2.0515114568875621</v>
      </c>
    </row>
    <row r="328" spans="1:71" ht="12.75" hidden="1" customHeight="1" x14ac:dyDescent="0.2">
      <c r="A328" s="150" t="s">
        <v>302</v>
      </c>
      <c r="B328" s="35"/>
      <c r="C328" s="35"/>
      <c r="D328" s="35"/>
      <c r="E328" s="35"/>
      <c r="F328" s="170"/>
      <c r="G328" s="41"/>
      <c r="H328" s="41"/>
      <c r="I328" s="41"/>
      <c r="J328" s="41">
        <f>J190/(J$194+J$186)</f>
        <v>0.3889114049949588</v>
      </c>
      <c r="K328" s="211">
        <f t="shared" ref="K328:AJ328" si="890">K190/(K$194+K$186)</f>
        <v>0.38891140499495896</v>
      </c>
      <c r="L328" s="41">
        <f t="shared" si="890"/>
        <v>0.64941204136322583</v>
      </c>
      <c r="M328" s="41">
        <f t="shared" si="890"/>
        <v>1.0923229294860048</v>
      </c>
      <c r="N328" s="41">
        <f t="shared" si="890"/>
        <v>1.1864930217784042</v>
      </c>
      <c r="O328" s="41">
        <f t="shared" si="890"/>
        <v>1.2837172961077647</v>
      </c>
      <c r="P328" s="211">
        <f t="shared" si="890"/>
        <v>1.2837172961077634</v>
      </c>
      <c r="Q328" s="41">
        <f t="shared" si="890"/>
        <v>1.2076523385300668</v>
      </c>
      <c r="R328" s="41">
        <f t="shared" si="890"/>
        <v>0.85716195731594247</v>
      </c>
      <c r="S328" s="41">
        <f t="shared" si="890"/>
        <v>0.73234267205115267</v>
      </c>
      <c r="T328" s="41">
        <f t="shared" si="890"/>
        <v>0.72156220397852899</v>
      </c>
      <c r="U328" s="211">
        <f t="shared" si="890"/>
        <v>0.72156220397853033</v>
      </c>
      <c r="V328" s="41">
        <f t="shared" si="890"/>
        <v>0.71525038506330074</v>
      </c>
      <c r="W328" s="41">
        <f>W190/(W$194+W$186)</f>
        <v>1.0217556286364788</v>
      </c>
      <c r="X328" s="41">
        <f t="shared" si="890"/>
        <v>1.2284654629033103</v>
      </c>
      <c r="Y328" s="41">
        <f t="shared" si="890"/>
        <v>1.3536342091353939</v>
      </c>
      <c r="Z328" s="211">
        <f t="shared" si="890"/>
        <v>1.3536342091353932</v>
      </c>
      <c r="AA328" s="41">
        <f t="shared" si="889"/>
        <v>1.395107595502695</v>
      </c>
      <c r="AB328" s="41">
        <f t="shared" si="889"/>
        <v>1.4437681602691543</v>
      </c>
      <c r="AC328" s="41">
        <f t="shared" si="889"/>
        <v>1.3339703740029709</v>
      </c>
      <c r="AD328" s="41">
        <f t="shared" si="889"/>
        <v>1.2544541201473898</v>
      </c>
      <c r="AE328" s="211">
        <f t="shared" si="890"/>
        <v>1.2544541201473891</v>
      </c>
      <c r="AF328" s="41"/>
      <c r="AG328" s="41"/>
      <c r="AH328" s="41"/>
      <c r="AI328" s="41"/>
      <c r="AJ328" s="211">
        <f t="shared" si="890"/>
        <v>1.8546698754346846</v>
      </c>
      <c r="AK328" s="41"/>
      <c r="AL328" s="41"/>
      <c r="AM328" s="41"/>
      <c r="AN328" s="41"/>
      <c r="AO328" s="211">
        <f>AO190/(AO$194+AO$186)</f>
        <v>2.1140431274990674</v>
      </c>
      <c r="AP328" s="41"/>
      <c r="AQ328" s="41"/>
      <c r="AR328" s="41"/>
      <c r="AS328" s="41"/>
      <c r="AT328" s="211">
        <f>AT190/(AT$194+AT$186)</f>
        <v>2.5070910212019171</v>
      </c>
      <c r="AU328" s="41"/>
      <c r="AV328" s="41"/>
      <c r="AW328" s="41"/>
      <c r="AX328" s="41"/>
      <c r="AY328" s="211">
        <f>AY190/(AY$194+AY$186)</f>
        <v>2.4089730365061306</v>
      </c>
      <c r="AZ328" s="150"/>
      <c r="BA328" s="150"/>
      <c r="BB328" s="150"/>
      <c r="BC328" s="150"/>
      <c r="BD328" s="168">
        <f>BD190/(BD$194+BD$186)</f>
        <v>2.0583156630718151</v>
      </c>
      <c r="BE328" s="150"/>
      <c r="BF328" s="150"/>
      <c r="BG328" s="150"/>
      <c r="BH328" s="150"/>
      <c r="BI328" s="168">
        <f>BI190/(BI$194+BI$186)</f>
        <v>2.1011272262947682</v>
      </c>
      <c r="BJ328" s="150"/>
      <c r="BK328" s="150"/>
      <c r="BL328" s="150"/>
      <c r="BM328" s="150"/>
      <c r="BN328" s="168">
        <f>BN190/(BN$194+BN$186)</f>
        <v>2.5067352591140133</v>
      </c>
      <c r="BO328" s="150"/>
      <c r="BP328" s="150"/>
      <c r="BQ328" s="150"/>
      <c r="BR328" s="150"/>
      <c r="BS328" s="168">
        <f>BS190/(BS$194+BS$186)</f>
        <v>2.9664677039184877</v>
      </c>
    </row>
    <row r="329" spans="1:71" ht="12.75" hidden="1" customHeight="1" x14ac:dyDescent="0.2">
      <c r="A329" s="150" t="s">
        <v>303</v>
      </c>
      <c r="B329" s="35"/>
      <c r="C329" s="35"/>
      <c r="D329" s="35"/>
      <c r="E329" s="35"/>
      <c r="F329" s="170"/>
      <c r="G329" s="41"/>
      <c r="H329" s="41"/>
      <c r="I329" s="41"/>
      <c r="J329" s="41">
        <f>J191/(J$194+J$186)</f>
        <v>1.112851125271801</v>
      </c>
      <c r="K329" s="211">
        <f t="shared" ref="K329:AJ329" si="891">K191/(K$194+K$186)</f>
        <v>1.1128511252718014</v>
      </c>
      <c r="L329" s="41">
        <f t="shared" si="891"/>
        <v>1.4150410234232011</v>
      </c>
      <c r="M329" s="41">
        <f t="shared" si="891"/>
        <v>1.9141919562200522</v>
      </c>
      <c r="N329" s="41">
        <f t="shared" si="891"/>
        <v>2.0828917432649741</v>
      </c>
      <c r="O329" s="41">
        <f t="shared" si="891"/>
        <v>2.2837172961077652</v>
      </c>
      <c r="P329" s="211">
        <f t="shared" si="891"/>
        <v>2.2837172961077634</v>
      </c>
      <c r="Q329" s="41">
        <f t="shared" si="891"/>
        <v>2.207652338530067</v>
      </c>
      <c r="R329" s="41">
        <f t="shared" si="891"/>
        <v>1.8571619573159424</v>
      </c>
      <c r="S329" s="41">
        <f t="shared" si="891"/>
        <v>1.732342672051153</v>
      </c>
      <c r="T329" s="41">
        <f t="shared" si="891"/>
        <v>1.721562203978529</v>
      </c>
      <c r="U329" s="211">
        <f t="shared" si="891"/>
        <v>1.7215622039785303</v>
      </c>
      <c r="V329" s="41">
        <f t="shared" si="891"/>
        <v>1.7152503850633007</v>
      </c>
      <c r="W329" s="41">
        <f>W191/(W$194+W$186)</f>
        <v>2.0217556286364786</v>
      </c>
      <c r="X329" s="41">
        <f t="shared" si="891"/>
        <v>2.2245999547282826</v>
      </c>
      <c r="Y329" s="41">
        <f t="shared" si="891"/>
        <v>2.346669281001176</v>
      </c>
      <c r="Z329" s="211">
        <f t="shared" si="891"/>
        <v>2.3466692810011756</v>
      </c>
      <c r="AA329" s="41">
        <f t="shared" si="889"/>
        <v>2.3840757030087718</v>
      </c>
      <c r="AB329" s="41">
        <f t="shared" si="889"/>
        <v>2.4273206912371923</v>
      </c>
      <c r="AC329" s="41">
        <f t="shared" si="889"/>
        <v>2.3215877457414429</v>
      </c>
      <c r="AD329" s="41">
        <f t="shared" si="889"/>
        <v>2.2451387643007963</v>
      </c>
      <c r="AE329" s="211">
        <f t="shared" si="891"/>
        <v>2.2451387643007954</v>
      </c>
      <c r="AF329" s="41"/>
      <c r="AG329" s="41"/>
      <c r="AH329" s="41"/>
      <c r="AI329" s="41"/>
      <c r="AJ329" s="211">
        <f t="shared" si="891"/>
        <v>2.8534106889632898</v>
      </c>
      <c r="AK329" s="41"/>
      <c r="AL329" s="41"/>
      <c r="AM329" s="41"/>
      <c r="AN329" s="41"/>
      <c r="AO329" s="211">
        <f>AO191/(AO$194+AO$186)</f>
        <v>3.1002094936900089</v>
      </c>
      <c r="AP329" s="41"/>
      <c r="AQ329" s="41"/>
      <c r="AR329" s="41"/>
      <c r="AS329" s="41"/>
      <c r="AT329" s="211">
        <f>AT191/(AT$194+AT$186)</f>
        <v>3.4192046155239262</v>
      </c>
      <c r="AU329" s="41"/>
      <c r="AV329" s="41"/>
      <c r="AW329" s="41"/>
      <c r="AX329" s="41"/>
      <c r="AY329" s="211">
        <f>AY191/(AY$194+AY$186)</f>
        <v>3.2377891661084384</v>
      </c>
      <c r="AZ329" s="150"/>
      <c r="BA329" s="150"/>
      <c r="BB329" s="150"/>
      <c r="BC329" s="150"/>
      <c r="BD329" s="168">
        <f>BD191/(BD$194+BD$186)</f>
        <v>2.8405648403596389</v>
      </c>
      <c r="BE329" s="150"/>
      <c r="BF329" s="150"/>
      <c r="BG329" s="150"/>
      <c r="BH329" s="150"/>
      <c r="BI329" s="168">
        <f>BI191/(BI$194+BI$186)</f>
        <v>2.8230830385440662</v>
      </c>
      <c r="BJ329" s="150"/>
      <c r="BK329" s="150"/>
      <c r="BL329" s="150"/>
      <c r="BM329" s="150"/>
      <c r="BN329" s="168">
        <f>BN191/(BN$194+BN$186)</f>
        <v>3.1769526085727122</v>
      </c>
      <c r="BO329" s="150"/>
      <c r="BP329" s="150"/>
      <c r="BQ329" s="150"/>
      <c r="BR329" s="150"/>
      <c r="BS329" s="168">
        <f>BS191/(BS$194+BS$186)</f>
        <v>3.6049696768018271</v>
      </c>
    </row>
    <row r="330" spans="1:71" ht="12.75" hidden="1" customHeight="1" x14ac:dyDescent="0.2">
      <c r="A330" s="150"/>
      <c r="B330" s="35"/>
      <c r="C330" s="35"/>
      <c r="D330" s="35"/>
      <c r="E330" s="35"/>
      <c r="F330" s="170"/>
      <c r="G330" s="38"/>
      <c r="H330" s="38"/>
      <c r="I330" s="38"/>
      <c r="J330" s="38"/>
      <c r="K330" s="173"/>
      <c r="L330" s="38"/>
      <c r="M330" s="38"/>
      <c r="N330" s="38"/>
      <c r="O330" s="38"/>
      <c r="P330" s="173"/>
      <c r="Q330" s="38"/>
      <c r="R330" s="38"/>
      <c r="S330" s="38"/>
      <c r="T330" s="38"/>
      <c r="U330" s="173"/>
      <c r="V330" s="38"/>
      <c r="W330" s="38"/>
      <c r="X330" s="38"/>
      <c r="Y330" s="38"/>
      <c r="Z330" s="173"/>
      <c r="AA330" s="38"/>
      <c r="AB330" s="38"/>
      <c r="AC330" s="38"/>
      <c r="AD330" s="38"/>
      <c r="AE330" s="173"/>
      <c r="AF330" s="38"/>
      <c r="AG330" s="38"/>
      <c r="AH330" s="38"/>
      <c r="AI330" s="38"/>
      <c r="AJ330" s="173"/>
      <c r="AK330" s="38"/>
      <c r="AL330" s="38"/>
      <c r="AM330" s="38"/>
      <c r="AN330" s="38"/>
      <c r="AO330" s="173"/>
      <c r="AP330" s="38"/>
      <c r="AQ330" s="38"/>
      <c r="AR330" s="38"/>
      <c r="AS330" s="38"/>
      <c r="AT330" s="173"/>
      <c r="AU330" s="38"/>
      <c r="AV330" s="38"/>
      <c r="AW330" s="38"/>
      <c r="AX330" s="38"/>
      <c r="AY330" s="173"/>
      <c r="AZ330" s="155"/>
      <c r="BA330" s="155"/>
      <c r="BB330" s="155"/>
      <c r="BC330" s="155"/>
      <c r="BD330" s="176"/>
      <c r="BE330" s="155"/>
      <c r="BF330" s="155"/>
      <c r="BG330" s="155"/>
      <c r="BH330" s="155"/>
      <c r="BI330" s="176"/>
      <c r="BJ330" s="155"/>
      <c r="BK330" s="155"/>
      <c r="BL330" s="155"/>
      <c r="BM330" s="155"/>
      <c r="BN330" s="176"/>
      <c r="BO330" s="155"/>
      <c r="BP330" s="155"/>
      <c r="BQ330" s="155"/>
      <c r="BR330" s="155"/>
      <c r="BS330" s="176"/>
    </row>
    <row r="331" spans="1:71" ht="12.75" hidden="1" customHeight="1" x14ac:dyDescent="0.2">
      <c r="A331" s="150" t="s">
        <v>304</v>
      </c>
      <c r="B331" s="35"/>
      <c r="C331" s="35"/>
      <c r="D331" s="35"/>
      <c r="E331" s="35"/>
      <c r="F331" s="170"/>
      <c r="G331" s="41"/>
      <c r="H331" s="41"/>
      <c r="I331" s="41"/>
      <c r="J331" s="41">
        <f t="shared" ref="J331:AE331" si="892">(J$281+J$274+J$280)/J189</f>
        <v>5.9131322682992362</v>
      </c>
      <c r="K331" s="211">
        <f t="shared" si="892"/>
        <v>5.9111887730939827</v>
      </c>
      <c r="L331" s="41">
        <f t="shared" si="892"/>
        <v>3.854424175073178</v>
      </c>
      <c r="M331" s="41">
        <f t="shared" si="892"/>
        <v>2.5606738910596181</v>
      </c>
      <c r="N331" s="41">
        <f t="shared" si="892"/>
        <v>2.7156635107138332</v>
      </c>
      <c r="O331" s="41">
        <f t="shared" si="892"/>
        <v>2.8963235158557512</v>
      </c>
      <c r="P331" s="211">
        <f t="shared" si="892"/>
        <v>2.8963235158557543</v>
      </c>
      <c r="Q331" s="41">
        <f t="shared" si="892"/>
        <v>3.1150717451073184</v>
      </c>
      <c r="R331" s="41">
        <f t="shared" si="892"/>
        <v>4.4258420583374365</v>
      </c>
      <c r="S331" s="41">
        <f t="shared" si="892"/>
        <v>5.0227685562167235</v>
      </c>
      <c r="T331" s="41">
        <f t="shared" si="892"/>
        <v>5.3469375648820971</v>
      </c>
      <c r="U331" s="211">
        <f t="shared" si="892"/>
        <v>5.3469375648820856</v>
      </c>
      <c r="V331" s="41">
        <f t="shared" si="892"/>
        <v>5.3858075156754275</v>
      </c>
      <c r="W331" s="41">
        <f t="shared" si="892"/>
        <v>0</v>
      </c>
      <c r="X331" s="41">
        <f t="shared" si="892"/>
        <v>0</v>
      </c>
      <c r="Y331" s="41">
        <f t="shared" si="892"/>
        <v>0</v>
      </c>
      <c r="Z331" s="211">
        <f t="shared" si="892"/>
        <v>0</v>
      </c>
      <c r="AA331" s="41">
        <f t="shared" si="892"/>
        <v>0</v>
      </c>
      <c r="AB331" s="41">
        <f t="shared" si="892"/>
        <v>0</v>
      </c>
      <c r="AC331" s="41">
        <f t="shared" si="892"/>
        <v>0</v>
      </c>
      <c r="AD331" s="41">
        <f t="shared" si="892"/>
        <v>0</v>
      </c>
      <c r="AE331" s="211">
        <f t="shared" si="892"/>
        <v>0</v>
      </c>
      <c r="AF331" s="41"/>
      <c r="AG331" s="41"/>
      <c r="AH331" s="41"/>
      <c r="AI331" s="41"/>
      <c r="AJ331" s="211">
        <f>(AJ$281+AJ$274+AJ$280)/AJ189</f>
        <v>0</v>
      </c>
      <c r="AK331" s="41"/>
      <c r="AL331" s="41"/>
      <c r="AM331" s="41"/>
      <c r="AN331" s="41"/>
      <c r="AO331" s="211">
        <f>(AO$281+AO$274+AO$280)/AO189</f>
        <v>0.39227193601253163</v>
      </c>
      <c r="AP331" s="41"/>
      <c r="AQ331" s="41"/>
      <c r="AR331" s="41"/>
      <c r="AS331" s="41"/>
      <c r="AT331" s="211">
        <f>(AT$281+AT$274+AT$280)/AT189</f>
        <v>1.2735089720778918</v>
      </c>
      <c r="AU331" s="41"/>
      <c r="AV331" s="41"/>
      <c r="AW331" s="41"/>
      <c r="AX331" s="41"/>
      <c r="AY331" s="211">
        <f>(AY$281+AY$274+AY$280)/AY189</f>
        <v>2.0239961075134465</v>
      </c>
      <c r="AZ331" s="150"/>
      <c r="BA331" s="150"/>
      <c r="BB331" s="150"/>
      <c r="BC331" s="150"/>
      <c r="BD331" s="168">
        <f>(BD$281+BD$274+BD$280)/BD189</f>
        <v>3.7432640435165916</v>
      </c>
      <c r="BE331" s="150"/>
      <c r="BF331" s="150"/>
      <c r="BG331" s="150"/>
      <c r="BH331" s="150"/>
      <c r="BI331" s="168">
        <f>(BI$281+BI$274+BI$280)/BI189</f>
        <v>5.9690986874374889</v>
      </c>
      <c r="BJ331" s="150"/>
      <c r="BK331" s="150"/>
      <c r="BL331" s="150"/>
      <c r="BM331" s="150"/>
      <c r="BN331" s="168">
        <f>(BN$281+BN$274+BN$280)/BN189</f>
        <v>5.2918662702925179</v>
      </c>
      <c r="BO331" s="150"/>
      <c r="BP331" s="150"/>
      <c r="BQ331" s="150"/>
      <c r="BR331" s="150"/>
      <c r="BS331" s="168">
        <f>(BS$281+BS$274+BS$280)/BS189</f>
        <v>4.584680161116788</v>
      </c>
    </row>
    <row r="332" spans="1:71" ht="12.75" hidden="1" customHeight="1" x14ac:dyDescent="0.2">
      <c r="A332" s="150" t="s">
        <v>305</v>
      </c>
      <c r="B332" s="35"/>
      <c r="C332" s="35"/>
      <c r="D332" s="35"/>
      <c r="E332" s="35"/>
      <c r="F332" s="170"/>
      <c r="G332" s="41"/>
      <c r="H332" s="41"/>
      <c r="I332" s="41"/>
      <c r="J332" s="41">
        <f t="shared" ref="J332:AE332" si="893">(J$281+J$274+J$280)/J190</f>
        <v>5.4198343803590134</v>
      </c>
      <c r="K332" s="211">
        <f t="shared" si="893"/>
        <v>5.418053019541504</v>
      </c>
      <c r="L332" s="41">
        <f t="shared" si="893"/>
        <v>3.6447672747300071</v>
      </c>
      <c r="M332" s="41">
        <f t="shared" si="893"/>
        <v>2.4596183889161152</v>
      </c>
      <c r="N332" s="41">
        <f t="shared" si="893"/>
        <v>2.5867299234800929</v>
      </c>
      <c r="O332" s="41">
        <f t="shared" si="893"/>
        <v>2.7475217136309773</v>
      </c>
      <c r="P332" s="211">
        <f t="shared" si="893"/>
        <v>2.74752171363098</v>
      </c>
      <c r="Q332" s="41">
        <f t="shared" si="893"/>
        <v>2.9364064607304678</v>
      </c>
      <c r="R332" s="41">
        <f t="shared" si="893"/>
        <v>4.0659711717094265</v>
      </c>
      <c r="S332" s="41">
        <f t="shared" si="893"/>
        <v>4.6060858451685167</v>
      </c>
      <c r="T332" s="41">
        <f t="shared" si="893"/>
        <v>4.9304488143751852</v>
      </c>
      <c r="U332" s="211">
        <f t="shared" si="893"/>
        <v>4.9304488143751763</v>
      </c>
      <c r="V332" s="41">
        <f t="shared" si="893"/>
        <v>4.9739354228764245</v>
      </c>
      <c r="W332" s="41">
        <f t="shared" si="893"/>
        <v>0</v>
      </c>
      <c r="X332" s="41">
        <f t="shared" si="893"/>
        <v>0</v>
      </c>
      <c r="Y332" s="41">
        <f t="shared" si="893"/>
        <v>0</v>
      </c>
      <c r="Z332" s="211">
        <f t="shared" si="893"/>
        <v>0</v>
      </c>
      <c r="AA332" s="41">
        <f t="shared" si="893"/>
        <v>0</v>
      </c>
      <c r="AB332" s="41">
        <f t="shared" si="893"/>
        <v>0</v>
      </c>
      <c r="AC332" s="41">
        <f t="shared" si="893"/>
        <v>0</v>
      </c>
      <c r="AD332" s="41">
        <f t="shared" si="893"/>
        <v>0</v>
      </c>
      <c r="AE332" s="211">
        <f t="shared" si="893"/>
        <v>0</v>
      </c>
      <c r="AF332" s="41"/>
      <c r="AG332" s="41"/>
      <c r="AH332" s="41"/>
      <c r="AI332" s="41"/>
      <c r="AJ332" s="211">
        <f>(AJ$281+AJ$274+AJ$280)/AJ190</f>
        <v>0</v>
      </c>
      <c r="AK332" s="41"/>
      <c r="AL332" s="41"/>
      <c r="AM332" s="41"/>
      <c r="AN332" s="41"/>
      <c r="AO332" s="211">
        <f>(AO$281+AO$274+AO$280)/AO190</f>
        <v>0.3483803960990392</v>
      </c>
      <c r="AP332" s="41"/>
      <c r="AQ332" s="41"/>
      <c r="AR332" s="41"/>
      <c r="AS332" s="41"/>
      <c r="AT332" s="211">
        <f>(AT$281+AT$274+AT$280)/AT190</f>
        <v>1.1116270830215997</v>
      </c>
      <c r="AU332" s="41"/>
      <c r="AV332" s="41"/>
      <c r="AW332" s="41"/>
      <c r="AX332" s="41"/>
      <c r="AY332" s="211">
        <f>(AY$281+AY$274+AY$280)/AY190</f>
        <v>1.6747837242588788</v>
      </c>
      <c r="AZ332" s="150"/>
      <c r="BA332" s="150"/>
      <c r="BB332" s="150"/>
      <c r="BC332" s="150"/>
      <c r="BD332" s="168">
        <f>(BD$281+BD$274+BD$280)/BD190</f>
        <v>2.7747011930125116</v>
      </c>
      <c r="BE332" s="150"/>
      <c r="BF332" s="150"/>
      <c r="BG332" s="150"/>
      <c r="BH332" s="150"/>
      <c r="BI332" s="168">
        <f>(BI$281+BI$274+BI$280)/BI190</f>
        <v>3.7736126472920346</v>
      </c>
      <c r="BJ332" s="150"/>
      <c r="BK332" s="150"/>
      <c r="BL332" s="150"/>
      <c r="BM332" s="150"/>
      <c r="BN332" s="168">
        <f>(BN$281+BN$274+BN$280)/BN190</f>
        <v>3.4674054524066804</v>
      </c>
      <c r="BO332" s="150"/>
      <c r="BP332" s="150"/>
      <c r="BQ332" s="150"/>
      <c r="BR332" s="150"/>
      <c r="BS332" s="168">
        <f>(BS$281+BS$274+BS$280)/BS190</f>
        <v>3.1706139474473942</v>
      </c>
    </row>
    <row r="333" spans="1:71" ht="12.75" hidden="1" customHeight="1" x14ac:dyDescent="0.2">
      <c r="A333" s="150" t="s">
        <v>306</v>
      </c>
      <c r="B333" s="35"/>
      <c r="C333" s="35"/>
      <c r="D333" s="35"/>
      <c r="E333" s="35"/>
      <c r="F333" s="170"/>
      <c r="G333" s="41"/>
      <c r="H333" s="41"/>
      <c r="I333" s="41"/>
      <c r="J333" s="41">
        <f t="shared" ref="J333:AE333" si="894">(J$281+J$274+J$280)/J191</f>
        <v>1.8940857009877143</v>
      </c>
      <c r="K333" s="211">
        <f t="shared" si="894"/>
        <v>1.89346316350484</v>
      </c>
      <c r="L333" s="41">
        <f t="shared" si="894"/>
        <v>1.6727117567590137</v>
      </c>
      <c r="M333" s="41">
        <f t="shared" si="894"/>
        <v>1.4035674715214612</v>
      </c>
      <c r="N333" s="41">
        <f t="shared" si="894"/>
        <v>1.4734980890670695</v>
      </c>
      <c r="O333" s="41">
        <f t="shared" si="894"/>
        <v>1.5444298430593901</v>
      </c>
      <c r="P333" s="211">
        <f t="shared" si="894"/>
        <v>1.5444298430593912</v>
      </c>
      <c r="Q333" s="41">
        <f t="shared" si="894"/>
        <v>1.6063027983550635</v>
      </c>
      <c r="R333" s="41">
        <f t="shared" si="894"/>
        <v>1.8766245960420256</v>
      </c>
      <c r="S333" s="41">
        <f t="shared" si="894"/>
        <v>1.947208984671422</v>
      </c>
      <c r="T333" s="41">
        <f t="shared" si="894"/>
        <v>2.0665100017194931</v>
      </c>
      <c r="U333" s="211">
        <f t="shared" si="894"/>
        <v>2.0665100017194913</v>
      </c>
      <c r="V333" s="41">
        <f t="shared" si="894"/>
        <v>2.074104898895599</v>
      </c>
      <c r="W333" s="41">
        <f t="shared" si="894"/>
        <v>0</v>
      </c>
      <c r="X333" s="41">
        <f t="shared" si="894"/>
        <v>0</v>
      </c>
      <c r="Y333" s="41">
        <f t="shared" si="894"/>
        <v>0</v>
      </c>
      <c r="Z333" s="211">
        <f t="shared" si="894"/>
        <v>0</v>
      </c>
      <c r="AA333" s="41">
        <f t="shared" si="894"/>
        <v>0</v>
      </c>
      <c r="AB333" s="41">
        <f t="shared" si="894"/>
        <v>0</v>
      </c>
      <c r="AC333" s="41">
        <f t="shared" si="894"/>
        <v>0</v>
      </c>
      <c r="AD333" s="41">
        <f t="shared" si="894"/>
        <v>0</v>
      </c>
      <c r="AE333" s="211">
        <f t="shared" si="894"/>
        <v>0</v>
      </c>
      <c r="AF333" s="41"/>
      <c r="AG333" s="41"/>
      <c r="AH333" s="41"/>
      <c r="AI333" s="41"/>
      <c r="AJ333" s="211">
        <f>(AJ$281+AJ$274+AJ$280)/AJ191</f>
        <v>0</v>
      </c>
      <c r="AK333" s="41"/>
      <c r="AL333" s="41"/>
      <c r="AM333" s="41"/>
      <c r="AN333" s="41"/>
      <c r="AO333" s="211">
        <f>(AO$281+AO$274+AO$280)/AO191</f>
        <v>0.23756174659408963</v>
      </c>
      <c r="AP333" s="41"/>
      <c r="AQ333" s="41"/>
      <c r="AR333" s="41"/>
      <c r="AS333" s="41"/>
      <c r="AT333" s="211">
        <f>(AT$281+AT$274+AT$280)/AT191</f>
        <v>0.81508730601116286</v>
      </c>
      <c r="AU333" s="41"/>
      <c r="AV333" s="41"/>
      <c r="AW333" s="41"/>
      <c r="AX333" s="41"/>
      <c r="AY333" s="211">
        <f>(AY$281+AY$274+AY$280)/AY191</f>
        <v>1.2460690386978197</v>
      </c>
      <c r="AZ333" s="150"/>
      <c r="BA333" s="150"/>
      <c r="BB333" s="150"/>
      <c r="BC333" s="150"/>
      <c r="BD333" s="168">
        <f>(BD$281+BD$274+BD$280)/BD191</f>
        <v>2.0105898815527894</v>
      </c>
      <c r="BE333" s="150"/>
      <c r="BF333" s="150"/>
      <c r="BG333" s="150"/>
      <c r="BH333" s="150"/>
      <c r="BI333" s="168">
        <f>(BI$281+BI$274+BI$280)/BI191</f>
        <v>2.8085749396888695</v>
      </c>
      <c r="BJ333" s="150"/>
      <c r="BK333" s="150"/>
      <c r="BL333" s="150"/>
      <c r="BM333" s="150"/>
      <c r="BN333" s="168">
        <f>(BN$281+BN$274+BN$280)/BN191</f>
        <v>2.7359134919853085</v>
      </c>
      <c r="BO333" s="150"/>
      <c r="BP333" s="150"/>
      <c r="BQ333" s="150"/>
      <c r="BR333" s="150"/>
      <c r="BS333" s="168">
        <f>(BS$281+BS$274+BS$280)/BS191</f>
        <v>2.6090438255892283</v>
      </c>
    </row>
    <row r="334" spans="1:71" ht="12.75" hidden="1" customHeight="1" x14ac:dyDescent="0.2">
      <c r="A334" s="150"/>
      <c r="B334" s="35"/>
      <c r="C334" s="35"/>
      <c r="D334" s="35"/>
      <c r="E334" s="35"/>
      <c r="F334" s="170"/>
      <c r="G334" s="38"/>
      <c r="H334" s="38"/>
      <c r="I334" s="38"/>
      <c r="J334" s="38"/>
      <c r="K334" s="173"/>
      <c r="L334" s="38"/>
      <c r="M334" s="38"/>
      <c r="N334" s="38"/>
      <c r="O334" s="38"/>
      <c r="P334" s="173"/>
      <c r="Q334" s="38"/>
      <c r="R334" s="38"/>
      <c r="S334" s="38"/>
      <c r="T334" s="38"/>
      <c r="U334" s="173"/>
      <c r="V334" s="38"/>
      <c r="W334" s="38"/>
      <c r="X334" s="38"/>
      <c r="Y334" s="38"/>
      <c r="Z334" s="173"/>
      <c r="AA334" s="38"/>
      <c r="AB334" s="38"/>
      <c r="AC334" s="38"/>
      <c r="AD334" s="38"/>
      <c r="AE334" s="173"/>
      <c r="AF334" s="38"/>
      <c r="AG334" s="38"/>
      <c r="AH334" s="38"/>
      <c r="AI334" s="38"/>
      <c r="AJ334" s="173"/>
      <c r="AK334" s="38"/>
      <c r="AL334" s="38"/>
      <c r="AM334" s="38"/>
      <c r="AN334" s="38"/>
      <c r="AO334" s="173"/>
      <c r="AP334" s="38"/>
      <c r="AQ334" s="38"/>
      <c r="AR334" s="38"/>
      <c r="AS334" s="38"/>
      <c r="AT334" s="173"/>
      <c r="AU334" s="38"/>
      <c r="AV334" s="38"/>
      <c r="AW334" s="38"/>
      <c r="AX334" s="38"/>
      <c r="AY334" s="173"/>
      <c r="AZ334" s="155"/>
      <c r="BA334" s="155"/>
      <c r="BB334" s="155"/>
      <c r="BC334" s="155"/>
      <c r="BD334" s="176"/>
      <c r="BE334" s="155"/>
      <c r="BF334" s="155"/>
      <c r="BG334" s="155"/>
      <c r="BH334" s="155"/>
      <c r="BI334" s="176"/>
      <c r="BJ334" s="155"/>
      <c r="BK334" s="155"/>
      <c r="BL334" s="155"/>
      <c r="BM334" s="155"/>
      <c r="BN334" s="176"/>
      <c r="BO334" s="155"/>
      <c r="BP334" s="155"/>
      <c r="BQ334" s="155"/>
      <c r="BR334" s="155"/>
      <c r="BS334" s="176"/>
    </row>
    <row r="335" spans="1:71" ht="12.75" hidden="1" customHeight="1" x14ac:dyDescent="0.2">
      <c r="A335" s="150" t="s">
        <v>307</v>
      </c>
      <c r="B335" s="35"/>
      <c r="C335" s="35"/>
      <c r="D335" s="35"/>
      <c r="E335" s="35"/>
      <c r="F335" s="170"/>
      <c r="G335" s="41"/>
      <c r="H335" s="41"/>
      <c r="I335" s="41"/>
      <c r="J335" s="41">
        <f t="shared" ref="J335:AE335" si="895">(J$274+J$281+J$280-J$256)/J189</f>
        <v>5.6008453011106116</v>
      </c>
      <c r="K335" s="211">
        <f t="shared" si="895"/>
        <v>5.598747865691081</v>
      </c>
      <c r="L335" s="41">
        <f t="shared" si="895"/>
        <v>3.3174910282992234</v>
      </c>
      <c r="M335" s="41">
        <f t="shared" si="895"/>
        <v>2.1080391374501217</v>
      </c>
      <c r="N335" s="41">
        <f t="shared" si="895"/>
        <v>2.1606577788458061</v>
      </c>
      <c r="O335" s="41">
        <f t="shared" si="895"/>
        <v>2.1100752980956523</v>
      </c>
      <c r="P335" s="211">
        <f t="shared" si="895"/>
        <v>2.1100752980956545</v>
      </c>
      <c r="Q335" s="41">
        <f t="shared" si="895"/>
        <v>2.2782199411154642</v>
      </c>
      <c r="R335" s="41">
        <f t="shared" si="895"/>
        <v>3.430497763549782</v>
      </c>
      <c r="S335" s="41">
        <f t="shared" si="895"/>
        <v>3.8693391794550571</v>
      </c>
      <c r="T335" s="41">
        <f t="shared" si="895"/>
        <v>4.1202728755746678</v>
      </c>
      <c r="U335" s="211">
        <f t="shared" si="895"/>
        <v>4.1202728755746589</v>
      </c>
      <c r="V335" s="41">
        <f t="shared" si="895"/>
        <v>4.4957416859795529</v>
      </c>
      <c r="W335" s="41">
        <f t="shared" si="895"/>
        <v>-2.321278086607184</v>
      </c>
      <c r="X335" s="41">
        <f t="shared" si="895"/>
        <v>-2.6093482818610316</v>
      </c>
      <c r="Y335" s="41">
        <f t="shared" si="895"/>
        <v>-2.2733340396228421</v>
      </c>
      <c r="Z335" s="211">
        <f t="shared" si="895"/>
        <v>-2.2733340396228434</v>
      </c>
      <c r="AA335" s="41">
        <f t="shared" si="895"/>
        <v>-2.589346804164308</v>
      </c>
      <c r="AB335" s="41">
        <f t="shared" si="895"/>
        <v>-2.3300747911238884</v>
      </c>
      <c r="AC335" s="41">
        <f t="shared" si="895"/>
        <v>-2.3139395344792608</v>
      </c>
      <c r="AD335" s="41">
        <f t="shared" si="895"/>
        <v>-2.5027680705167463</v>
      </c>
      <c r="AE335" s="211">
        <f t="shared" si="895"/>
        <v>-2.5027680705167481</v>
      </c>
      <c r="AF335" s="41"/>
      <c r="AG335" s="41"/>
      <c r="AH335" s="41"/>
      <c r="AI335" s="41"/>
      <c r="AJ335" s="211">
        <f>(AJ$274+AJ$281+AJ$280-AJ$256)/AJ189</f>
        <v>-1.8733266020843333</v>
      </c>
      <c r="AK335" s="41"/>
      <c r="AL335" s="41"/>
      <c r="AM335" s="41"/>
      <c r="AN335" s="41"/>
      <c r="AO335" s="211">
        <f>(AO$274+AO$281+AO$280-AO$256)/AO189</f>
        <v>-1.3050053242423354</v>
      </c>
      <c r="AP335" s="41"/>
      <c r="AQ335" s="41"/>
      <c r="AR335" s="41"/>
      <c r="AS335" s="41"/>
      <c r="AT335" s="211">
        <f>(AT$274+AT$281+AT$280-AT$256)/AT189</f>
        <v>-0.30994307602276971</v>
      </c>
      <c r="AU335" s="41"/>
      <c r="AV335" s="41"/>
      <c r="AW335" s="41"/>
      <c r="AX335" s="41"/>
      <c r="AY335" s="211">
        <f>(AY$274+AY$281+AY$280-AY$256)/AY189</f>
        <v>0.57895170883870684</v>
      </c>
      <c r="AZ335" s="150"/>
      <c r="BA335" s="150"/>
      <c r="BB335" s="150"/>
      <c r="BC335" s="150"/>
      <c r="BD335" s="168">
        <f>(BD$274+BD$281+BD$280-BD$256)/BD189</f>
        <v>1.7486313891338001</v>
      </c>
      <c r="BE335" s="150"/>
      <c r="BF335" s="150"/>
      <c r="BG335" s="150"/>
      <c r="BH335" s="150"/>
      <c r="BI335" s="168">
        <f>(BI$274+BI$281+BI$280-BI$256)/BI189</f>
        <v>3.4156528564246038</v>
      </c>
      <c r="BJ335" s="150"/>
      <c r="BK335" s="150"/>
      <c r="BL335" s="150"/>
      <c r="BM335" s="150"/>
      <c r="BN335" s="168">
        <f>(BN$274+BN$281+BN$280-BN$256)/BN189</f>
        <v>3.3795156459272437</v>
      </c>
      <c r="BO335" s="150"/>
      <c r="BP335" s="150"/>
      <c r="BQ335" s="150"/>
      <c r="BR335" s="150"/>
      <c r="BS335" s="168">
        <f>(BS$274+BS$281+BS$280-BS$256)/BS189</f>
        <v>2.8726008677075252</v>
      </c>
    </row>
    <row r="336" spans="1:71" ht="12.75" hidden="1" customHeight="1" x14ac:dyDescent="0.2">
      <c r="A336" s="150" t="s">
        <v>308</v>
      </c>
      <c r="B336" s="35"/>
      <c r="C336" s="35"/>
      <c r="D336" s="35"/>
      <c r="E336" s="35"/>
      <c r="F336" s="170"/>
      <c r="G336" s="41"/>
      <c r="H336" s="41"/>
      <c r="I336" s="41"/>
      <c r="J336" s="41">
        <f t="shared" ref="J336:AE336" si="896">(J$274+J$281+J$280-J$256)/J190</f>
        <v>5.1335996802862942</v>
      </c>
      <c r="K336" s="211">
        <f t="shared" si="896"/>
        <v>5.1316772215822484</v>
      </c>
      <c r="L336" s="41">
        <f t="shared" si="896"/>
        <v>3.1370399792404391</v>
      </c>
      <c r="M336" s="41">
        <f t="shared" si="896"/>
        <v>2.0248466019550899</v>
      </c>
      <c r="N336" s="41">
        <f t="shared" si="896"/>
        <v>2.0580746137695676</v>
      </c>
      <c r="O336" s="41">
        <f t="shared" si="896"/>
        <v>2.0016678617482522</v>
      </c>
      <c r="P336" s="211">
        <f t="shared" si="896"/>
        <v>2.001667861748254</v>
      </c>
      <c r="Q336" s="41">
        <f t="shared" si="896"/>
        <v>2.147552384488006</v>
      </c>
      <c r="R336" s="41">
        <f t="shared" si="896"/>
        <v>3.1515595964232714</v>
      </c>
      <c r="S336" s="41">
        <f t="shared" si="896"/>
        <v>3.5483435529962519</v>
      </c>
      <c r="T336" s="41">
        <f t="shared" si="896"/>
        <v>3.7993326586986824</v>
      </c>
      <c r="U336" s="211">
        <f t="shared" si="896"/>
        <v>3.7993326586986753</v>
      </c>
      <c r="V336" s="41">
        <f t="shared" si="896"/>
        <v>4.1519361319379691</v>
      </c>
      <c r="W336" s="41">
        <f t="shared" si="896"/>
        <v>-2.1969546917553848</v>
      </c>
      <c r="X336" s="41">
        <f t="shared" si="896"/>
        <v>-2.4873355822655627</v>
      </c>
      <c r="Y336" s="41">
        <f t="shared" si="896"/>
        <v>-2.162232970576381</v>
      </c>
      <c r="Z336" s="211">
        <f t="shared" si="896"/>
        <v>-2.1622329705763823</v>
      </c>
      <c r="AA336" s="41">
        <f t="shared" si="896"/>
        <v>-2.4522807794508417</v>
      </c>
      <c r="AB336" s="41">
        <f t="shared" si="896"/>
        <v>-2.1977851453266672</v>
      </c>
      <c r="AC336" s="41">
        <f t="shared" si="896"/>
        <v>-2.1578679901173703</v>
      </c>
      <c r="AD336" s="41">
        <f t="shared" si="896"/>
        <v>-2.2927424944168799</v>
      </c>
      <c r="AE336" s="211">
        <f t="shared" si="896"/>
        <v>-2.2927424944168817</v>
      </c>
      <c r="AF336" s="41"/>
      <c r="AG336" s="41"/>
      <c r="AH336" s="41"/>
      <c r="AI336" s="41"/>
      <c r="AJ336" s="211">
        <f>(AJ$274+AJ$281+AJ$280-AJ$256)/AJ190</f>
        <v>-1.6834579620117827</v>
      </c>
      <c r="AK336" s="41"/>
      <c r="AL336" s="41"/>
      <c r="AM336" s="41"/>
      <c r="AN336" s="41"/>
      <c r="AO336" s="211">
        <f>(AO$274+AO$281+AO$280-AO$256)/AO190</f>
        <v>-1.1589875033945225</v>
      </c>
      <c r="AP336" s="41"/>
      <c r="AQ336" s="41"/>
      <c r="AR336" s="41"/>
      <c r="AS336" s="41"/>
      <c r="AT336" s="211">
        <f>(AT$274+AT$281+AT$280-AT$256)/AT190</f>
        <v>-0.27054471154590354</v>
      </c>
      <c r="AU336" s="41"/>
      <c r="AV336" s="41"/>
      <c r="AW336" s="41"/>
      <c r="AX336" s="41"/>
      <c r="AY336" s="211">
        <f>(AY$274+AY$281+AY$280-AY$256)/AY190</f>
        <v>0.47906164221142883</v>
      </c>
      <c r="AZ336" s="150"/>
      <c r="BA336" s="150"/>
      <c r="BB336" s="150"/>
      <c r="BC336" s="150"/>
      <c r="BD336" s="168">
        <f>(BD$274+BD$281+BD$280-BD$256)/BD190</f>
        <v>1.2961761567347405</v>
      </c>
      <c r="BE336" s="150"/>
      <c r="BF336" s="150"/>
      <c r="BG336" s="150"/>
      <c r="BH336" s="150"/>
      <c r="BI336" s="168">
        <f>(BI$274+BI$281+BI$280-BI$256)/BI190</f>
        <v>2.1593462418186955</v>
      </c>
      <c r="BJ336" s="150"/>
      <c r="BK336" s="150"/>
      <c r="BL336" s="150"/>
      <c r="BM336" s="150"/>
      <c r="BN336" s="168">
        <f>(BN$274+BN$281+BN$280-BN$256)/BN190</f>
        <v>2.2143702011075326</v>
      </c>
      <c r="BO336" s="150"/>
      <c r="BP336" s="150"/>
      <c r="BQ336" s="150"/>
      <c r="BR336" s="150"/>
      <c r="BS336" s="168">
        <f>(BS$274+BS$281+BS$280-BS$256)/BS190</f>
        <v>1.9865962415106315</v>
      </c>
    </row>
    <row r="337" spans="1:94" ht="12.75" hidden="1" customHeight="1" x14ac:dyDescent="0.2">
      <c r="A337" s="150" t="s">
        <v>309</v>
      </c>
      <c r="B337" s="35"/>
      <c r="C337" s="35"/>
      <c r="D337" s="35"/>
      <c r="E337" s="35"/>
      <c r="F337" s="170"/>
      <c r="G337" s="41"/>
      <c r="H337" s="41"/>
      <c r="I337" s="41"/>
      <c r="J337" s="41">
        <f t="shared" ref="J337:AE337" si="897">(J$274+J$281+J$280-J$256)/J191</f>
        <v>1.7940544058435381</v>
      </c>
      <c r="K337" s="211">
        <f t="shared" si="897"/>
        <v>1.7933825584610301</v>
      </c>
      <c r="L337" s="41">
        <f t="shared" si="897"/>
        <v>1.4396978624889687</v>
      </c>
      <c r="M337" s="41">
        <f t="shared" si="897"/>
        <v>1.1554673839372789</v>
      </c>
      <c r="N337" s="41">
        <f t="shared" si="897"/>
        <v>1.1723562568399084</v>
      </c>
      <c r="O337" s="41">
        <f t="shared" si="897"/>
        <v>1.1251723930841671</v>
      </c>
      <c r="P337" s="211">
        <f t="shared" si="897"/>
        <v>1.1251723930841677</v>
      </c>
      <c r="Q337" s="41">
        <f t="shared" si="897"/>
        <v>1.1747758530537482</v>
      </c>
      <c r="R337" s="41">
        <f t="shared" si="897"/>
        <v>1.4545834204854156</v>
      </c>
      <c r="S337" s="41">
        <f t="shared" si="897"/>
        <v>1.5000516011534373</v>
      </c>
      <c r="T337" s="41">
        <f t="shared" si="897"/>
        <v>1.5924227660915913</v>
      </c>
      <c r="U337" s="211">
        <f t="shared" si="897"/>
        <v>1.5924227660915899</v>
      </c>
      <c r="V337" s="41">
        <f t="shared" si="897"/>
        <v>1.7313355198677125</v>
      </c>
      <c r="W337" s="41">
        <f t="shared" si="897"/>
        <v>-1.1102977977977977</v>
      </c>
      <c r="X337" s="41">
        <f t="shared" si="897"/>
        <v>-1.3735529621715548</v>
      </c>
      <c r="Y337" s="41">
        <f t="shared" si="897"/>
        <v>-1.2472454217510875</v>
      </c>
      <c r="Z337" s="211">
        <f t="shared" si="897"/>
        <v>-1.2472454217510878</v>
      </c>
      <c r="AA337" s="41">
        <f t="shared" si="897"/>
        <v>-1.4350196755075737</v>
      </c>
      <c r="AB337" s="41">
        <f t="shared" si="897"/>
        <v>-1.3072406243601256</v>
      </c>
      <c r="AC337" s="41">
        <f t="shared" si="897"/>
        <v>-1.2398979858099632</v>
      </c>
      <c r="AD337" s="41">
        <f t="shared" si="897"/>
        <v>-1.2810523404124536</v>
      </c>
      <c r="AE337" s="211">
        <f t="shared" si="897"/>
        <v>-1.2810523404124541</v>
      </c>
      <c r="AF337" s="41"/>
      <c r="AG337" s="41"/>
      <c r="AH337" s="41"/>
      <c r="AI337" s="41"/>
      <c r="AJ337" s="211">
        <f>(AJ$274+AJ$281+AJ$280-AJ$256)/AJ191</f>
        <v>-1.0942199034932156</v>
      </c>
      <c r="AK337" s="41"/>
      <c r="AL337" s="41"/>
      <c r="AM337" s="41"/>
      <c r="AN337" s="41"/>
      <c r="AO337" s="211">
        <f>(AO$274+AO$281+AO$280-AO$256)/AO191</f>
        <v>-0.7903174193213035</v>
      </c>
      <c r="AP337" s="41"/>
      <c r="AQ337" s="41"/>
      <c r="AR337" s="41"/>
      <c r="AS337" s="41"/>
      <c r="AT337" s="211">
        <f>(AT$274+AT$281+AT$280-AT$256)/AT191</f>
        <v>-0.19837368435654862</v>
      </c>
      <c r="AU337" s="41"/>
      <c r="AV337" s="41"/>
      <c r="AW337" s="41"/>
      <c r="AX337" s="41"/>
      <c r="AY337" s="211">
        <f>(AY$274+AY$281+AY$280-AY$256)/AY191</f>
        <v>0.35643042820442511</v>
      </c>
      <c r="AZ337" s="150"/>
      <c r="BA337" s="150"/>
      <c r="BB337" s="150"/>
      <c r="BC337" s="150"/>
      <c r="BD337" s="168">
        <f>(BD$274+BD$281+BD$280-BD$256)/BD191</f>
        <v>0.93922858144282362</v>
      </c>
      <c r="BE337" s="150"/>
      <c r="BF337" s="150"/>
      <c r="BG337" s="150"/>
      <c r="BH337" s="150"/>
      <c r="BI337" s="168">
        <f>(BI$274+BI$281+BI$280-BI$256)/BI191</f>
        <v>1.6071299064665214</v>
      </c>
      <c r="BJ337" s="150"/>
      <c r="BK337" s="150"/>
      <c r="BL337" s="150"/>
      <c r="BM337" s="150"/>
      <c r="BN337" s="168">
        <f>(BN$274+BN$281+BN$280-BN$256)/BN191</f>
        <v>1.7472214866753799</v>
      </c>
      <c r="BO337" s="150"/>
      <c r="BP337" s="150"/>
      <c r="BQ337" s="150"/>
      <c r="BR337" s="150"/>
      <c r="BS337" s="168">
        <f>(BS$274+BS$281+BS$280-BS$256)/BS191</f>
        <v>1.6347359671539063</v>
      </c>
    </row>
    <row r="338" spans="1:94" s="254" customFormat="1" ht="12.75" hidden="1" customHeight="1" collapsed="1" x14ac:dyDescent="0.2">
      <c r="A338" s="9" t="s">
        <v>310</v>
      </c>
      <c r="B338" s="9"/>
      <c r="C338" s="9"/>
      <c r="D338" s="9"/>
      <c r="E338" s="9"/>
      <c r="F338" s="165"/>
      <c r="G338" s="9"/>
      <c r="H338" s="9"/>
      <c r="I338" s="9"/>
      <c r="J338" s="9"/>
      <c r="K338" s="165"/>
      <c r="L338" s="9"/>
      <c r="M338" s="9"/>
      <c r="N338" s="9"/>
      <c r="O338" s="9"/>
      <c r="P338" s="165"/>
      <c r="Q338" s="9"/>
      <c r="R338" s="9"/>
      <c r="S338" s="9"/>
      <c r="T338" s="9"/>
      <c r="U338" s="165"/>
      <c r="V338" s="9"/>
      <c r="W338" s="9"/>
      <c r="X338" s="9"/>
      <c r="Y338" s="9"/>
      <c r="Z338" s="165"/>
      <c r="AA338" s="9"/>
      <c r="AB338" s="9"/>
      <c r="AC338" s="9"/>
      <c r="AD338" s="9"/>
      <c r="AE338" s="165"/>
      <c r="AF338" s="9"/>
      <c r="AG338" s="9"/>
      <c r="AH338" s="9"/>
      <c r="AI338" s="9"/>
      <c r="AJ338" s="165"/>
      <c r="AK338" s="9"/>
      <c r="AL338" s="9"/>
      <c r="AM338" s="9"/>
      <c r="AN338" s="9"/>
      <c r="AO338" s="165"/>
      <c r="AP338" s="9"/>
      <c r="AQ338" s="9"/>
      <c r="AR338" s="9"/>
      <c r="AS338" s="9"/>
      <c r="AT338" s="165"/>
      <c r="AU338" s="9"/>
      <c r="AV338" s="9"/>
      <c r="AW338" s="9"/>
      <c r="AX338" s="9"/>
      <c r="AY338" s="165"/>
      <c r="AZ338" s="9"/>
      <c r="BA338" s="9"/>
      <c r="BB338" s="9"/>
      <c r="BC338" s="9"/>
      <c r="BD338" s="165"/>
      <c r="BE338" s="9"/>
      <c r="BF338" s="9"/>
      <c r="BG338" s="9"/>
      <c r="BH338" s="9"/>
      <c r="BI338" s="165"/>
      <c r="BJ338" s="9"/>
      <c r="BK338" s="9"/>
      <c r="BL338" s="9"/>
      <c r="BM338" s="9"/>
      <c r="BN338" s="165"/>
      <c r="BO338" s="9"/>
      <c r="BP338" s="9"/>
      <c r="BQ338" s="9"/>
      <c r="BR338" s="9"/>
      <c r="BS338" s="165"/>
      <c r="BT338" s="249"/>
      <c r="BU338" s="8"/>
      <c r="BV338" s="280"/>
      <c r="BW338" s="249"/>
      <c r="BX338" s="249"/>
      <c r="BY338" s="249"/>
      <c r="BZ338" s="432"/>
      <c r="CA338" s="320"/>
      <c r="CB338" s="320"/>
      <c r="CC338" s="320"/>
      <c r="CD338" s="320"/>
      <c r="CE338" s="320"/>
      <c r="CF338" s="320"/>
      <c r="CG338" s="320"/>
      <c r="CH338" s="8"/>
      <c r="CI338" s="249"/>
      <c r="CJ338"/>
      <c r="CK338"/>
      <c r="CL338"/>
      <c r="CM338"/>
      <c r="CN338"/>
      <c r="CO338"/>
      <c r="CP338" s="320"/>
    </row>
    <row r="339" spans="1:94" ht="12.75" hidden="1" customHeight="1" x14ac:dyDescent="0.2">
      <c r="A339" s="159" t="s">
        <v>311</v>
      </c>
      <c r="B339" s="35"/>
      <c r="C339" s="35"/>
      <c r="D339" s="35"/>
      <c r="E339" s="35"/>
      <c r="F339" s="170"/>
      <c r="G339" s="38"/>
      <c r="H339" s="38"/>
      <c r="I339" s="38"/>
      <c r="J339" s="38"/>
      <c r="K339" s="173"/>
      <c r="L339" s="38"/>
      <c r="M339" s="38"/>
      <c r="N339" s="38"/>
      <c r="O339" s="38"/>
      <c r="P339" s="173"/>
      <c r="Q339" s="38"/>
      <c r="R339" s="38"/>
      <c r="S339" s="38"/>
      <c r="T339" s="38"/>
      <c r="U339" s="173"/>
      <c r="V339" s="38"/>
      <c r="W339" s="38"/>
      <c r="X339" s="38"/>
      <c r="Y339" s="38"/>
      <c r="Z339" s="173"/>
      <c r="AA339" s="38"/>
      <c r="AB339" s="38"/>
      <c r="AC339" s="38"/>
      <c r="AD339" s="38"/>
      <c r="AE339" s="173"/>
      <c r="AF339" s="38"/>
      <c r="AG339" s="38"/>
      <c r="AH339" s="38"/>
      <c r="AI339" s="38"/>
      <c r="AJ339" s="173"/>
      <c r="AK339" s="38"/>
      <c r="AL339" s="38"/>
      <c r="AM339" s="38"/>
      <c r="AN339" s="38"/>
      <c r="AO339" s="173"/>
      <c r="AP339" s="38"/>
      <c r="AQ339" s="38"/>
      <c r="AR339" s="38"/>
      <c r="AS339" s="38"/>
      <c r="AT339" s="173"/>
      <c r="AU339" s="38"/>
      <c r="AV339" s="38"/>
      <c r="AW339" s="38"/>
      <c r="AX339" s="38"/>
      <c r="AY339" s="173"/>
      <c r="AZ339" s="155"/>
      <c r="BA339" s="155"/>
      <c r="BB339" s="155"/>
      <c r="BC339" s="155"/>
      <c r="BD339" s="176"/>
      <c r="BE339" s="155"/>
      <c r="BF339" s="155"/>
      <c r="BG339" s="155"/>
      <c r="BH339" s="155"/>
      <c r="BI339" s="176"/>
      <c r="BJ339" s="155"/>
      <c r="BK339" s="155"/>
      <c r="BL339" s="155"/>
      <c r="BM339" s="155"/>
      <c r="BN339" s="176"/>
      <c r="BO339" s="155"/>
      <c r="BP339" s="155"/>
      <c r="BQ339" s="155"/>
      <c r="BR339" s="155"/>
      <c r="BS339" s="176"/>
    </row>
    <row r="340" spans="1:94" ht="12.75" hidden="1" customHeight="1" x14ac:dyDescent="0.2">
      <c r="A340" s="159" t="s">
        <v>312</v>
      </c>
      <c r="B340" s="35"/>
      <c r="C340" s="35"/>
      <c r="D340" s="35"/>
      <c r="E340" s="35"/>
      <c r="F340" s="170"/>
      <c r="G340" s="38"/>
      <c r="H340" s="38"/>
      <c r="I340" s="38"/>
      <c r="J340" s="38"/>
      <c r="K340" s="173"/>
      <c r="L340" s="38"/>
      <c r="M340" s="38"/>
      <c r="N340" s="38"/>
      <c r="O340" s="38"/>
      <c r="P340" s="173"/>
      <c r="Q340" s="38"/>
      <c r="R340" s="38"/>
      <c r="S340" s="38"/>
      <c r="T340" s="38"/>
      <c r="U340" s="173"/>
      <c r="V340" s="38"/>
      <c r="W340" s="38"/>
      <c r="X340" s="38"/>
      <c r="Y340" s="38"/>
      <c r="Z340" s="173"/>
      <c r="AA340" s="38"/>
      <c r="AB340" s="38"/>
      <c r="AC340" s="38"/>
      <c r="AD340" s="38"/>
      <c r="AE340" s="173"/>
      <c r="AF340" s="38"/>
      <c r="AG340" s="38"/>
      <c r="AH340" s="38"/>
      <c r="AI340" s="38"/>
      <c r="AJ340" s="173"/>
      <c r="AK340" s="38"/>
      <c r="AL340" s="38"/>
      <c r="AM340" s="38"/>
      <c r="AN340" s="38"/>
      <c r="AO340" s="173"/>
      <c r="AP340" s="38"/>
      <c r="AQ340" s="38"/>
      <c r="AR340" s="38"/>
      <c r="AS340" s="38"/>
      <c r="AT340" s="173"/>
      <c r="AU340" s="38"/>
      <c r="AV340" s="38"/>
      <c r="AW340" s="38"/>
      <c r="AX340" s="38"/>
      <c r="AY340" s="173"/>
      <c r="AZ340" s="155"/>
      <c r="BA340" s="155"/>
      <c r="BB340" s="155"/>
      <c r="BC340" s="155"/>
      <c r="BD340" s="176"/>
      <c r="BE340" s="155"/>
      <c r="BF340" s="155"/>
      <c r="BG340" s="155"/>
      <c r="BH340" s="155"/>
      <c r="BI340" s="176"/>
      <c r="BJ340" s="155"/>
      <c r="BK340" s="155"/>
      <c r="BL340" s="155"/>
      <c r="BM340" s="155"/>
      <c r="BN340" s="176"/>
      <c r="BO340" s="155"/>
      <c r="BP340" s="155"/>
      <c r="BQ340" s="155"/>
      <c r="BR340" s="155"/>
      <c r="BS340" s="176"/>
    </row>
    <row r="341" spans="1:94" ht="12.75" hidden="1" customHeight="1" x14ac:dyDescent="0.2">
      <c r="A341" s="46" t="s">
        <v>313</v>
      </c>
      <c r="B341" s="35"/>
      <c r="C341" s="35"/>
      <c r="D341" s="35"/>
      <c r="E341" s="35"/>
      <c r="F341" s="170"/>
      <c r="G341" s="38"/>
      <c r="H341" s="38"/>
      <c r="I341" s="38"/>
      <c r="J341" s="38"/>
      <c r="K341" s="173"/>
      <c r="L341" s="38"/>
      <c r="M341" s="38"/>
      <c r="N341" s="38"/>
      <c r="O341" s="38"/>
      <c r="P341" s="173"/>
      <c r="Q341" s="38"/>
      <c r="R341" s="38"/>
      <c r="S341" s="38"/>
      <c r="T341" s="38"/>
      <c r="U341" s="173"/>
      <c r="V341" s="38"/>
      <c r="W341" s="38"/>
      <c r="X341" s="38"/>
      <c r="Y341" s="38"/>
      <c r="Z341" s="173"/>
      <c r="AA341" s="38"/>
      <c r="AB341" s="38"/>
      <c r="AC341" s="38"/>
      <c r="AD341" s="38"/>
      <c r="AE341" s="173"/>
      <c r="AF341" s="38"/>
      <c r="AG341" s="38"/>
      <c r="AH341" s="38"/>
      <c r="AI341" s="38"/>
      <c r="AJ341" s="173"/>
      <c r="AK341" s="38"/>
      <c r="AL341" s="38"/>
      <c r="AM341" s="38"/>
      <c r="AN341" s="38"/>
      <c r="AO341" s="173"/>
      <c r="AP341" s="38"/>
      <c r="AQ341" s="38"/>
      <c r="AR341" s="38"/>
      <c r="AS341" s="38"/>
      <c r="AT341" s="173"/>
      <c r="AU341" s="38"/>
      <c r="AV341" s="38"/>
      <c r="AW341" s="38"/>
      <c r="AX341" s="38"/>
      <c r="AY341" s="173"/>
      <c r="AZ341" s="155"/>
      <c r="BA341" s="155"/>
      <c r="BB341" s="155"/>
      <c r="BC341" s="155"/>
      <c r="BD341" s="176"/>
      <c r="BE341" s="155"/>
      <c r="BF341" s="155"/>
      <c r="BG341" s="155"/>
      <c r="BH341" s="155"/>
      <c r="BI341" s="176"/>
      <c r="BJ341" s="155"/>
      <c r="BK341" s="155"/>
      <c r="BL341" s="155"/>
      <c r="BM341" s="155"/>
      <c r="BN341" s="176"/>
      <c r="BO341" s="155"/>
      <c r="BP341" s="155"/>
      <c r="BQ341" s="155"/>
      <c r="BR341" s="155"/>
      <c r="BS341" s="176"/>
    </row>
    <row r="342" spans="1:94" ht="12.75" hidden="1" customHeight="1" x14ac:dyDescent="0.2">
      <c r="A342" s="159"/>
      <c r="B342" s="35"/>
      <c r="C342" s="35"/>
      <c r="D342" s="35"/>
      <c r="E342" s="35"/>
      <c r="F342" s="170"/>
      <c r="G342" s="38"/>
      <c r="H342" s="38"/>
      <c r="I342" s="38"/>
      <c r="J342" s="38"/>
      <c r="K342" s="173"/>
      <c r="L342" s="38"/>
      <c r="M342" s="38"/>
      <c r="N342" s="38"/>
      <c r="O342" s="38"/>
      <c r="P342" s="173"/>
      <c r="Q342" s="38"/>
      <c r="R342" s="38"/>
      <c r="S342" s="38"/>
      <c r="T342" s="38"/>
      <c r="U342" s="173"/>
      <c r="V342" s="38"/>
      <c r="W342" s="38"/>
      <c r="X342" s="38"/>
      <c r="Y342" s="38"/>
      <c r="Z342" s="173"/>
      <c r="AA342" s="38"/>
      <c r="AB342" s="38"/>
      <c r="AC342" s="38"/>
      <c r="AD342" s="38"/>
      <c r="AE342" s="173"/>
      <c r="AF342" s="38"/>
      <c r="AG342" s="38"/>
      <c r="AH342" s="38"/>
      <c r="AI342" s="38"/>
      <c r="AJ342" s="173"/>
      <c r="AK342" s="38"/>
      <c r="AL342" s="38"/>
      <c r="AM342" s="38"/>
      <c r="AN342" s="38"/>
      <c r="AO342" s="173"/>
      <c r="AP342" s="38"/>
      <c r="AQ342" s="38"/>
      <c r="AR342" s="38"/>
      <c r="AS342" s="38"/>
      <c r="AT342" s="173"/>
      <c r="AU342" s="38"/>
      <c r="AV342" s="38"/>
      <c r="AW342" s="38"/>
      <c r="AX342" s="38"/>
      <c r="AY342" s="173"/>
      <c r="AZ342" s="155"/>
      <c r="BA342" s="155"/>
      <c r="BB342" s="155"/>
      <c r="BC342" s="155"/>
      <c r="BD342" s="176"/>
      <c r="BE342" s="155"/>
      <c r="BF342" s="155"/>
      <c r="BG342" s="155"/>
      <c r="BH342" s="155"/>
      <c r="BI342" s="176"/>
      <c r="BJ342" s="155"/>
      <c r="BK342" s="155"/>
      <c r="BL342" s="155"/>
      <c r="BM342" s="155"/>
      <c r="BN342" s="176"/>
      <c r="BO342" s="155"/>
      <c r="BP342" s="155"/>
      <c r="BQ342" s="155"/>
      <c r="BR342" s="155"/>
      <c r="BS342" s="176"/>
    </row>
    <row r="343" spans="1:94" ht="12.75" hidden="1" customHeight="1" x14ac:dyDescent="0.2">
      <c r="A343" s="150" t="s">
        <v>314</v>
      </c>
      <c r="B343" s="35"/>
      <c r="C343" s="35"/>
      <c r="D343" s="35"/>
      <c r="E343" s="35"/>
      <c r="F343" s="170"/>
      <c r="G343" s="38"/>
      <c r="H343" s="38"/>
      <c r="I343" s="38"/>
      <c r="J343" s="38"/>
      <c r="K343" s="173"/>
      <c r="L343" s="38"/>
      <c r="M343" s="38"/>
      <c r="N343" s="38"/>
      <c r="O343" s="38"/>
      <c r="P343" s="173"/>
      <c r="Q343" s="38"/>
      <c r="R343" s="38"/>
      <c r="S343" s="38"/>
      <c r="T343" s="38"/>
      <c r="U343" s="173"/>
      <c r="V343" s="38"/>
      <c r="W343" s="38"/>
      <c r="X343" s="38"/>
      <c r="Y343" s="38"/>
      <c r="Z343" s="173"/>
      <c r="AA343" s="38"/>
      <c r="AB343" s="38"/>
      <c r="AC343" s="38"/>
      <c r="AD343" s="38"/>
      <c r="AE343" s="173"/>
      <c r="AF343" s="38"/>
      <c r="AG343" s="38"/>
      <c r="AH343" s="38"/>
      <c r="AI343" s="38"/>
      <c r="AJ343" s="173"/>
      <c r="AK343" s="38"/>
      <c r="AL343" s="38"/>
      <c r="AM343" s="38"/>
      <c r="AN343" s="38"/>
      <c r="AO343" s="173"/>
      <c r="AP343" s="38"/>
      <c r="AQ343" s="38"/>
      <c r="AR343" s="38"/>
      <c r="AS343" s="38"/>
      <c r="AT343" s="173"/>
      <c r="AU343" s="38"/>
      <c r="AV343" s="38"/>
      <c r="AW343" s="38"/>
      <c r="AX343" s="38"/>
      <c r="AY343" s="173"/>
      <c r="AZ343" s="155"/>
      <c r="BA343" s="155"/>
      <c r="BB343" s="155"/>
      <c r="BC343" s="155"/>
      <c r="BD343" s="176"/>
      <c r="BE343" s="155"/>
      <c r="BF343" s="155"/>
      <c r="BG343" s="155"/>
      <c r="BH343" s="155"/>
      <c r="BI343" s="176"/>
      <c r="BJ343" s="155"/>
      <c r="BK343" s="155"/>
      <c r="BL343" s="155"/>
      <c r="BM343" s="155"/>
      <c r="BN343" s="176"/>
      <c r="BO343" s="155"/>
      <c r="BP343" s="155"/>
      <c r="BQ343" s="155"/>
      <c r="BR343" s="155"/>
      <c r="BS343" s="176"/>
    </row>
    <row r="344" spans="1:94" ht="12.75" hidden="1" customHeight="1" x14ac:dyDescent="0.2">
      <c r="A344" s="150" t="s">
        <v>315</v>
      </c>
      <c r="B344" s="35"/>
      <c r="C344" s="35"/>
      <c r="D344" s="35"/>
      <c r="E344" s="35"/>
      <c r="F344" s="170"/>
      <c r="G344" s="38"/>
      <c r="H344" s="38"/>
      <c r="I344" s="38"/>
      <c r="J344" s="38"/>
      <c r="K344" s="173"/>
      <c r="L344" s="38"/>
      <c r="M344" s="38"/>
      <c r="N344" s="38"/>
      <c r="O344" s="38"/>
      <c r="P344" s="173"/>
      <c r="Q344" s="38"/>
      <c r="R344" s="38"/>
      <c r="S344" s="38"/>
      <c r="T344" s="38"/>
      <c r="U344" s="173"/>
      <c r="V344" s="38"/>
      <c r="W344" s="38"/>
      <c r="X344" s="38"/>
      <c r="Y344" s="38"/>
      <c r="Z344" s="173"/>
      <c r="AA344" s="38"/>
      <c r="AB344" s="38"/>
      <c r="AC344" s="38"/>
      <c r="AD344" s="38"/>
      <c r="AE344" s="173"/>
      <c r="AF344" s="38"/>
      <c r="AG344" s="38"/>
      <c r="AH344" s="38"/>
      <c r="AI344" s="38"/>
      <c r="AJ344" s="173"/>
      <c r="AK344" s="38"/>
      <c r="AL344" s="38"/>
      <c r="AM344" s="38"/>
      <c r="AN344" s="38"/>
      <c r="AO344" s="173"/>
      <c r="AP344" s="38"/>
      <c r="AQ344" s="38"/>
      <c r="AR344" s="38"/>
      <c r="AS344" s="38"/>
      <c r="AT344" s="173"/>
      <c r="AU344" s="38"/>
      <c r="AV344" s="38"/>
      <c r="AW344" s="38"/>
      <c r="AX344" s="38"/>
      <c r="AY344" s="173"/>
      <c r="AZ344" s="155"/>
      <c r="BA344" s="155"/>
      <c r="BB344" s="155"/>
      <c r="BC344" s="155"/>
      <c r="BD344" s="176"/>
      <c r="BE344" s="155"/>
      <c r="BF344" s="155"/>
      <c r="BG344" s="155"/>
      <c r="BH344" s="155"/>
      <c r="BI344" s="176"/>
      <c r="BJ344" s="155"/>
      <c r="BK344" s="155"/>
      <c r="BL344" s="155"/>
      <c r="BM344" s="155"/>
      <c r="BN344" s="176"/>
      <c r="BO344" s="155"/>
      <c r="BP344" s="155"/>
      <c r="BQ344" s="155"/>
      <c r="BR344" s="155"/>
      <c r="BS344" s="176"/>
    </row>
    <row r="345" spans="1:94" ht="12.75" hidden="1" customHeight="1" x14ac:dyDescent="0.2">
      <c r="A345" s="46" t="s">
        <v>313</v>
      </c>
      <c r="B345" s="35"/>
      <c r="C345" s="35"/>
      <c r="D345" s="35"/>
      <c r="E345" s="35"/>
      <c r="F345" s="170"/>
      <c r="G345" s="38"/>
      <c r="H345" s="38"/>
      <c r="I345" s="38"/>
      <c r="J345" s="38"/>
      <c r="K345" s="173"/>
      <c r="L345" s="38"/>
      <c r="M345" s="38"/>
      <c r="N345" s="38"/>
      <c r="O345" s="38"/>
      <c r="P345" s="173"/>
      <c r="Q345" s="38"/>
      <c r="R345" s="38"/>
      <c r="S345" s="38"/>
      <c r="T345" s="38"/>
      <c r="U345" s="173"/>
      <c r="V345" s="38"/>
      <c r="W345" s="38"/>
      <c r="X345" s="38"/>
      <c r="Y345" s="38"/>
      <c r="Z345" s="173"/>
      <c r="AA345" s="38"/>
      <c r="AB345" s="38"/>
      <c r="AC345" s="38"/>
      <c r="AD345" s="38"/>
      <c r="AE345" s="173"/>
      <c r="AF345" s="38"/>
      <c r="AG345" s="38"/>
      <c r="AH345" s="38"/>
      <c r="AI345" s="38"/>
      <c r="AJ345" s="173"/>
      <c r="AK345" s="38"/>
      <c r="AL345" s="38"/>
      <c r="AM345" s="38"/>
      <c r="AN345" s="38"/>
      <c r="AO345" s="173"/>
      <c r="AP345" s="38"/>
      <c r="AQ345" s="38"/>
      <c r="AR345" s="38"/>
      <c r="AS345" s="38"/>
      <c r="AT345" s="173"/>
      <c r="AU345" s="38"/>
      <c r="AV345" s="38"/>
      <c r="AW345" s="38"/>
      <c r="AX345" s="38"/>
      <c r="AY345" s="173"/>
      <c r="AZ345" s="155"/>
      <c r="BA345" s="155"/>
      <c r="BB345" s="155"/>
      <c r="BC345" s="155"/>
      <c r="BD345" s="176"/>
      <c r="BE345" s="155"/>
      <c r="BF345" s="155"/>
      <c r="BG345" s="155"/>
      <c r="BH345" s="155"/>
      <c r="BI345" s="176"/>
      <c r="BJ345" s="155"/>
      <c r="BK345" s="155"/>
      <c r="BL345" s="155"/>
      <c r="BM345" s="155"/>
      <c r="BN345" s="176"/>
      <c r="BO345" s="155"/>
      <c r="BP345" s="155"/>
      <c r="BQ345" s="155"/>
      <c r="BR345" s="155"/>
      <c r="BS345" s="176"/>
    </row>
    <row r="346" spans="1:94" ht="12.75" customHeight="1" collapsed="1" x14ac:dyDescent="0.2">
      <c r="A346" s="87" t="s">
        <v>316</v>
      </c>
      <c r="B346" s="15"/>
      <c r="C346" s="15"/>
      <c r="D346" s="15"/>
      <c r="E346" s="15"/>
      <c r="F346" s="164"/>
      <c r="G346" s="88"/>
      <c r="H346" s="88"/>
      <c r="I346" s="88"/>
      <c r="J346" s="88"/>
      <c r="K346" s="212"/>
      <c r="L346" s="88"/>
      <c r="M346" s="88"/>
      <c r="N346" s="88"/>
      <c r="O346" s="88"/>
      <c r="P346" s="212"/>
      <c r="Q346" s="88"/>
      <c r="R346" s="88"/>
      <c r="S346" s="88"/>
      <c r="T346" s="88"/>
      <c r="U346" s="212"/>
      <c r="V346" s="88"/>
      <c r="W346" s="88"/>
      <c r="X346" s="88"/>
      <c r="Y346" s="88"/>
      <c r="Z346" s="212"/>
      <c r="AA346" s="88"/>
      <c r="AB346" s="88"/>
      <c r="AC346" s="88"/>
      <c r="AD346" s="88"/>
      <c r="AE346" s="212"/>
      <c r="AF346" s="88"/>
      <c r="AG346" s="88"/>
      <c r="AH346" s="88"/>
      <c r="AI346" s="88"/>
      <c r="AJ346" s="212"/>
      <c r="AK346" s="88"/>
      <c r="AL346" s="88"/>
      <c r="AM346" s="88"/>
      <c r="AN346" s="88"/>
      <c r="AO346" s="212"/>
      <c r="AP346" s="88"/>
      <c r="AQ346" s="88"/>
      <c r="AR346" s="88"/>
      <c r="AS346" s="88"/>
      <c r="AT346" s="212"/>
      <c r="AU346" s="88"/>
      <c r="AV346" s="88"/>
      <c r="AW346" s="88"/>
      <c r="AX346" s="88"/>
      <c r="AY346" s="212"/>
      <c r="AZ346" s="365"/>
      <c r="BA346" s="365"/>
      <c r="BB346" s="365"/>
      <c r="BC346" s="365"/>
      <c r="BD346" s="817"/>
      <c r="BE346" s="365"/>
      <c r="BF346" s="365"/>
      <c r="BG346" s="365"/>
      <c r="BH346" s="365"/>
      <c r="BI346" s="817"/>
      <c r="BJ346" s="365"/>
      <c r="BK346" s="365"/>
      <c r="BL346" s="365"/>
      <c r="BM346" s="365"/>
      <c r="BN346" s="817"/>
      <c r="BO346" s="365"/>
      <c r="BP346" s="365"/>
      <c r="BQ346" s="365"/>
      <c r="BR346" s="365"/>
      <c r="BS346" s="817"/>
    </row>
    <row r="347" spans="1:94" s="254" customFormat="1" ht="12.75" customHeight="1" x14ac:dyDescent="0.2">
      <c r="A347" s="9" t="s">
        <v>317</v>
      </c>
      <c r="B347" s="9"/>
      <c r="C347" s="9"/>
      <c r="D347" s="9"/>
      <c r="E347" s="9"/>
      <c r="F347" s="165"/>
      <c r="G347" s="9"/>
      <c r="H347" s="9"/>
      <c r="I347" s="9"/>
      <c r="J347" s="9"/>
      <c r="K347" s="165"/>
      <c r="L347" s="9"/>
      <c r="M347" s="9"/>
      <c r="N347" s="9"/>
      <c r="O347" s="9"/>
      <c r="P347" s="165"/>
      <c r="Q347" s="9"/>
      <c r="R347" s="9"/>
      <c r="S347" s="9"/>
      <c r="T347" s="9"/>
      <c r="U347" s="165"/>
      <c r="V347" s="9"/>
      <c r="W347" s="9"/>
      <c r="X347" s="9"/>
      <c r="Y347" s="9"/>
      <c r="Z347" s="165"/>
      <c r="AA347" s="9"/>
      <c r="AB347" s="9"/>
      <c r="AC347" s="9"/>
      <c r="AD347" s="9"/>
      <c r="AE347" s="165"/>
      <c r="AF347" s="9"/>
      <c r="AG347" s="9"/>
      <c r="AH347" s="9"/>
      <c r="AI347" s="9"/>
      <c r="AJ347" s="165"/>
      <c r="AK347" s="9"/>
      <c r="AL347" s="9"/>
      <c r="AM347" s="9"/>
      <c r="AN347" s="9"/>
      <c r="AO347" s="165"/>
      <c r="AP347" s="9"/>
      <c r="AQ347" s="9"/>
      <c r="AR347" s="9"/>
      <c r="AS347" s="9"/>
      <c r="AT347" s="165"/>
      <c r="AU347" s="9"/>
      <c r="AV347" s="9"/>
      <c r="AW347" s="9"/>
      <c r="AX347" s="9"/>
      <c r="AY347" s="165"/>
      <c r="AZ347" s="9"/>
      <c r="BA347" s="9"/>
      <c r="BB347" s="9"/>
      <c r="BC347" s="9"/>
      <c r="BD347" s="165"/>
      <c r="BE347" s="9"/>
      <c r="BF347" s="9"/>
      <c r="BG347" s="9"/>
      <c r="BH347" s="9"/>
      <c r="BI347" s="165"/>
      <c r="BJ347" s="9"/>
      <c r="BK347" s="9"/>
      <c r="BL347" s="9"/>
      <c r="BM347" s="9"/>
      <c r="BN347" s="165"/>
      <c r="BO347" s="9"/>
      <c r="BP347" s="9"/>
      <c r="BQ347" s="9"/>
      <c r="BR347" s="9"/>
      <c r="BS347" s="165"/>
      <c r="BT347" s="249"/>
      <c r="BU347" s="8"/>
      <c r="BV347" s="280"/>
      <c r="BW347" s="249"/>
      <c r="BX347" s="249"/>
      <c r="BY347" s="249"/>
      <c r="BZ347" s="432"/>
      <c r="CA347" s="320"/>
      <c r="CB347" s="320"/>
      <c r="CC347" s="320"/>
      <c r="CD347" s="320"/>
      <c r="CE347" s="320"/>
      <c r="CF347" s="320"/>
      <c r="CG347" s="320"/>
      <c r="CH347" s="8"/>
      <c r="CI347" s="249"/>
      <c r="CJ347"/>
      <c r="CK347"/>
      <c r="CL347"/>
      <c r="CM347"/>
      <c r="CN347"/>
      <c r="CO347"/>
      <c r="CP347" s="320"/>
    </row>
    <row r="348" spans="1:94" ht="12.75" hidden="1" customHeight="1" x14ac:dyDescent="0.2">
      <c r="A348" s="89" t="s">
        <v>64</v>
      </c>
      <c r="B348" s="35"/>
      <c r="C348" s="35"/>
      <c r="D348" s="35"/>
      <c r="E348" s="35"/>
      <c r="F348" s="170"/>
      <c r="G348" s="38"/>
      <c r="H348" s="38"/>
      <c r="I348" s="38"/>
      <c r="J348" s="38"/>
      <c r="K348" s="173"/>
      <c r="L348" s="89"/>
      <c r="M348" s="89"/>
      <c r="N348" s="89"/>
      <c r="O348" s="89"/>
      <c r="P348" s="215"/>
      <c r="Q348" s="89"/>
      <c r="R348" s="89"/>
      <c r="S348" s="89"/>
      <c r="T348" s="89"/>
      <c r="U348" s="215"/>
      <c r="V348" s="89"/>
      <c r="W348" s="89"/>
      <c r="X348" s="89">
        <f>EOMONTH(W348,3)</f>
        <v>121</v>
      </c>
      <c r="Y348" s="89">
        <f>EOMONTH(X348,3)</f>
        <v>213</v>
      </c>
      <c r="Z348" s="215">
        <f>EOMONTH(U348,12)</f>
        <v>397</v>
      </c>
      <c r="AA348" s="89">
        <f>EOMONTH(Z348,3)</f>
        <v>486</v>
      </c>
      <c r="AB348" s="89">
        <f>EOMONTH(AA348,3)</f>
        <v>578</v>
      </c>
      <c r="AC348" s="89">
        <f>EOMONTH(AB348,3)</f>
        <v>670</v>
      </c>
      <c r="AD348" s="89">
        <f>EOMONTH(AC348,3)</f>
        <v>762</v>
      </c>
      <c r="AE348" s="215">
        <f>EOMONTH(Z348,12)</f>
        <v>762</v>
      </c>
      <c r="AF348" s="89"/>
      <c r="AG348" s="89"/>
      <c r="AH348" s="89"/>
      <c r="AI348" s="89"/>
      <c r="AJ348" s="215">
        <f>EOMONTH(AE348,12)</f>
        <v>1127</v>
      </c>
      <c r="AK348" s="89"/>
      <c r="AL348" s="89"/>
      <c r="AM348" s="89"/>
      <c r="AN348" s="89"/>
      <c r="AO348" s="215">
        <f>EOMONTH(AJ348,12)</f>
        <v>1492</v>
      </c>
      <c r="AP348" s="89"/>
      <c r="AQ348" s="89"/>
      <c r="AR348" s="89"/>
      <c r="AS348" s="89"/>
      <c r="AT348" s="215">
        <f>EOMONTH(AO348,12)</f>
        <v>1858</v>
      </c>
      <c r="AU348" s="89"/>
      <c r="AV348" s="89"/>
      <c r="AW348" s="89"/>
      <c r="AX348" s="89"/>
      <c r="AY348" s="215">
        <f>EOMONTH(AT348,12)</f>
        <v>2223</v>
      </c>
      <c r="AZ348" s="89"/>
      <c r="BA348" s="89"/>
      <c r="BB348" s="89"/>
      <c r="BC348" s="89"/>
      <c r="BD348" s="215">
        <f>EOMONTH(AY348,12)</f>
        <v>2588</v>
      </c>
      <c r="BE348" s="89"/>
      <c r="BF348" s="89"/>
      <c r="BG348" s="89"/>
      <c r="BH348" s="89"/>
      <c r="BI348" s="215">
        <f>EOMONTH(BD348,12)</f>
        <v>2953</v>
      </c>
      <c r="BJ348" s="89"/>
      <c r="BK348" s="89"/>
      <c r="BL348" s="89"/>
      <c r="BM348" s="89"/>
      <c r="BN348" s="215">
        <f>EOMONTH(BI348,12)</f>
        <v>3319</v>
      </c>
      <c r="BO348" s="89"/>
      <c r="BP348" s="89"/>
      <c r="BQ348" s="89"/>
      <c r="BR348" s="89"/>
      <c r="BS348" s="215">
        <f>EOMONTH(BN348,12)</f>
        <v>3684</v>
      </c>
    </row>
    <row r="349" spans="1:94" ht="12.75" hidden="1" customHeight="1" x14ac:dyDescent="0.2">
      <c r="A349" s="89" t="s">
        <v>318</v>
      </c>
      <c r="B349" s="35"/>
      <c r="C349" s="35"/>
      <c r="D349" s="35"/>
      <c r="E349" s="35"/>
      <c r="F349" s="170"/>
      <c r="G349" s="38"/>
      <c r="H349" s="38"/>
      <c r="I349" s="38"/>
      <c r="J349" s="38"/>
      <c r="K349" s="173"/>
      <c r="L349" s="38"/>
      <c r="M349" s="38"/>
      <c r="N349" s="38"/>
      <c r="O349" s="38"/>
      <c r="P349" s="173"/>
      <c r="Q349" s="38"/>
      <c r="R349" s="38"/>
      <c r="S349" s="38"/>
      <c r="T349" s="38"/>
      <c r="U349" s="173"/>
      <c r="V349" s="38"/>
      <c r="W349" s="38"/>
      <c r="X349" s="38"/>
      <c r="Y349" s="38"/>
      <c r="Z349" s="173"/>
      <c r="AA349" s="38"/>
      <c r="AB349" s="38"/>
      <c r="AC349" s="38"/>
      <c r="AD349" s="38"/>
      <c r="AE349" s="173"/>
      <c r="AF349" s="38"/>
      <c r="AG349" s="38"/>
      <c r="AH349" s="38"/>
      <c r="AI349" s="38"/>
      <c r="AJ349" s="173"/>
      <c r="AK349" s="38"/>
      <c r="AL349" s="38"/>
      <c r="AM349" s="38"/>
      <c r="AN349" s="38"/>
      <c r="AO349" s="173"/>
      <c r="AP349" s="38"/>
      <c r="AQ349" s="38"/>
      <c r="AR349" s="38"/>
      <c r="AS349" s="38"/>
      <c r="AT349" s="173"/>
      <c r="AU349" s="38"/>
      <c r="AV349" s="38"/>
      <c r="AW349" s="38"/>
      <c r="AX349" s="38"/>
      <c r="AY349" s="173"/>
      <c r="AZ349" s="155"/>
      <c r="BA349" s="155"/>
      <c r="BB349" s="155"/>
      <c r="BC349" s="155"/>
      <c r="BD349" s="176"/>
      <c r="BE349" s="155"/>
      <c r="BF349" s="155"/>
      <c r="BG349" s="155"/>
      <c r="BH349" s="155"/>
      <c r="BI349" s="176"/>
      <c r="BJ349" s="155"/>
      <c r="BK349" s="155"/>
      <c r="BL349" s="155"/>
      <c r="BM349" s="155"/>
      <c r="BN349" s="176"/>
      <c r="BO349" s="155"/>
      <c r="BP349" s="155"/>
      <c r="BQ349" s="155"/>
      <c r="BR349" s="155"/>
      <c r="BS349" s="176"/>
    </row>
    <row r="350" spans="1:94" ht="12.75" hidden="1" customHeight="1" x14ac:dyDescent="0.2">
      <c r="A350" s="159" t="s">
        <v>319</v>
      </c>
      <c r="B350" s="35"/>
      <c r="C350" s="35"/>
      <c r="D350" s="35"/>
      <c r="E350" s="35"/>
      <c r="F350" s="170"/>
      <c r="G350" s="38"/>
      <c r="H350" s="38"/>
      <c r="I350" s="38"/>
      <c r="J350" s="38"/>
      <c r="K350" s="173"/>
      <c r="L350" s="58"/>
      <c r="M350" s="58"/>
      <c r="N350" s="58"/>
      <c r="O350" s="58"/>
      <c r="P350" s="210"/>
      <c r="Q350" s="58"/>
      <c r="R350" s="58"/>
      <c r="S350" s="58"/>
      <c r="T350" s="58"/>
      <c r="U350" s="210"/>
      <c r="V350" s="58"/>
      <c r="W350" s="58"/>
      <c r="X350" s="58">
        <f t="shared" ref="X350:AE350" si="898">X256</f>
        <v>350.97300000000001</v>
      </c>
      <c r="Y350" s="58">
        <f t="shared" si="898"/>
        <v>343.32800000000003</v>
      </c>
      <c r="Z350" s="210">
        <f t="shared" si="898"/>
        <v>343.32800000000003</v>
      </c>
      <c r="AA350" s="58">
        <f t="shared" si="898"/>
        <v>420.83100000000002</v>
      </c>
      <c r="AB350" s="58">
        <f t="shared" si="898"/>
        <v>414.97700000000003</v>
      </c>
      <c r="AC350" s="58">
        <f t="shared" si="898"/>
        <v>399.14300000000003</v>
      </c>
      <c r="AD350" s="58">
        <f t="shared" si="898"/>
        <v>416.81600000000003</v>
      </c>
      <c r="AE350" s="210">
        <f t="shared" si="898"/>
        <v>416.81600000000003</v>
      </c>
      <c r="AF350" s="58"/>
      <c r="AG350" s="58"/>
      <c r="AH350" s="58"/>
      <c r="AI350" s="58"/>
      <c r="AJ350" s="210">
        <f>AJ256</f>
        <v>530.63100000000009</v>
      </c>
      <c r="AK350" s="58"/>
      <c r="AL350" s="58"/>
      <c r="AM350" s="58"/>
      <c r="AN350" s="58"/>
      <c r="AO350" s="210">
        <f>AO256</f>
        <v>632.78400000000011</v>
      </c>
      <c r="AP350" s="58"/>
      <c r="AQ350" s="58"/>
      <c r="AR350" s="58"/>
      <c r="AS350" s="58"/>
      <c r="AT350" s="210">
        <f>AT256</f>
        <v>803.63200000000006</v>
      </c>
      <c r="AU350" s="58"/>
      <c r="AV350" s="58"/>
      <c r="AW350" s="58"/>
      <c r="AX350" s="58"/>
      <c r="AY350" s="210">
        <f>AY256</f>
        <v>700.90000000000009</v>
      </c>
      <c r="AZ350" s="159"/>
      <c r="BA350" s="159"/>
      <c r="BB350" s="159"/>
      <c r="BC350" s="159"/>
      <c r="BD350" s="182">
        <f>BD256</f>
        <v>800.84900000000039</v>
      </c>
      <c r="BE350" s="159"/>
      <c r="BF350" s="159"/>
      <c r="BG350" s="159"/>
      <c r="BH350" s="159"/>
      <c r="BI350" s="182">
        <f>BI256</f>
        <v>872.20742593727846</v>
      </c>
      <c r="BJ350" s="159"/>
      <c r="BK350" s="159"/>
      <c r="BL350" s="159"/>
      <c r="BM350" s="159"/>
      <c r="BN350" s="182">
        <f>BN256</f>
        <v>866.73302933666537</v>
      </c>
      <c r="BO350" s="159"/>
      <c r="BP350" s="159"/>
      <c r="BQ350" s="159"/>
      <c r="BR350" s="159"/>
      <c r="BS350" s="182">
        <f>BS256</f>
        <v>1029.9063959923942</v>
      </c>
    </row>
    <row r="351" spans="1:94" ht="12.75" hidden="1" customHeight="1" x14ac:dyDescent="0.2">
      <c r="A351" s="51" t="s">
        <v>320</v>
      </c>
      <c r="B351" s="35"/>
      <c r="C351" s="35"/>
      <c r="D351" s="35"/>
      <c r="E351" s="35"/>
      <c r="F351" s="170"/>
      <c r="G351" s="38"/>
      <c r="H351" s="38"/>
      <c r="I351" s="38"/>
      <c r="J351" s="38"/>
      <c r="K351" s="173"/>
      <c r="L351" s="58"/>
      <c r="M351" s="58"/>
      <c r="N351" s="58"/>
      <c r="O351" s="58"/>
      <c r="P351" s="210"/>
      <c r="Q351" s="58"/>
      <c r="R351" s="58"/>
      <c r="S351" s="58"/>
      <c r="T351" s="58"/>
      <c r="U351" s="210"/>
      <c r="V351" s="58"/>
      <c r="W351" s="58"/>
      <c r="X351" s="58">
        <f t="shared" ref="X351:AE351" si="899">X260</f>
        <v>350.97300000000001</v>
      </c>
      <c r="Y351" s="58">
        <f t="shared" si="899"/>
        <v>343.32800000000003</v>
      </c>
      <c r="Z351" s="210">
        <f t="shared" si="899"/>
        <v>343.32800000000003</v>
      </c>
      <c r="AA351" s="58">
        <f t="shared" si="899"/>
        <v>420.83100000000002</v>
      </c>
      <c r="AB351" s="58">
        <f t="shared" si="899"/>
        <v>414.97700000000003</v>
      </c>
      <c r="AC351" s="58">
        <f t="shared" si="899"/>
        <v>399.14300000000003</v>
      </c>
      <c r="AD351" s="58">
        <f t="shared" si="899"/>
        <v>416.81600000000003</v>
      </c>
      <c r="AE351" s="210">
        <f t="shared" si="899"/>
        <v>416.81600000000003</v>
      </c>
      <c r="AF351" s="58"/>
      <c r="AG351" s="58"/>
      <c r="AH351" s="58"/>
      <c r="AI351" s="58"/>
      <c r="AJ351" s="210">
        <f>AJ260</f>
        <v>530.63100000000009</v>
      </c>
      <c r="AK351" s="58"/>
      <c r="AL351" s="58"/>
      <c r="AM351" s="58"/>
      <c r="AN351" s="58"/>
      <c r="AO351" s="210">
        <f>AO260</f>
        <v>632.78400000000011</v>
      </c>
      <c r="AP351" s="58"/>
      <c r="AQ351" s="58"/>
      <c r="AR351" s="58"/>
      <c r="AS351" s="58"/>
      <c r="AT351" s="210">
        <f>AT260</f>
        <v>803.63200000000006</v>
      </c>
      <c r="AU351" s="58"/>
      <c r="AV351" s="58"/>
      <c r="AW351" s="58"/>
      <c r="AX351" s="58"/>
      <c r="AY351" s="210">
        <f>AY260</f>
        <v>700.90000000000009</v>
      </c>
      <c r="AZ351" s="159"/>
      <c r="BA351" s="159"/>
      <c r="BB351" s="159"/>
      <c r="BC351" s="159"/>
      <c r="BD351" s="182">
        <f>BD260</f>
        <v>800.84900000000039</v>
      </c>
      <c r="BE351" s="159"/>
      <c r="BF351" s="159"/>
      <c r="BG351" s="159"/>
      <c r="BH351" s="159"/>
      <c r="BI351" s="182">
        <f>BI260</f>
        <v>872.20742593727846</v>
      </c>
      <c r="BJ351" s="159"/>
      <c r="BK351" s="159"/>
      <c r="BL351" s="159"/>
      <c r="BM351" s="159"/>
      <c r="BN351" s="182">
        <f>BN260</f>
        <v>866.73302933666537</v>
      </c>
      <c r="BO351" s="159"/>
      <c r="BP351" s="159"/>
      <c r="BQ351" s="159"/>
      <c r="BR351" s="159"/>
      <c r="BS351" s="182">
        <f>BS260</f>
        <v>1029.9063959923942</v>
      </c>
    </row>
    <row r="352" spans="1:94" ht="12.75" hidden="1" customHeight="1" x14ac:dyDescent="0.2">
      <c r="A352" s="51" t="s">
        <v>321</v>
      </c>
      <c r="B352" s="35"/>
      <c r="C352" s="35"/>
      <c r="D352" s="35"/>
      <c r="E352" s="35"/>
      <c r="F352" s="170"/>
      <c r="G352" s="38"/>
      <c r="H352" s="38"/>
      <c r="I352" s="38"/>
      <c r="J352" s="38"/>
      <c r="K352" s="173"/>
      <c r="L352" s="58"/>
      <c r="M352" s="58"/>
      <c r="N352" s="58"/>
      <c r="O352" s="58"/>
      <c r="P352" s="210"/>
      <c r="Q352" s="58"/>
      <c r="R352" s="58"/>
      <c r="S352" s="58"/>
      <c r="T352" s="58"/>
      <c r="U352" s="210"/>
      <c r="V352" s="58"/>
      <c r="W352" s="58"/>
      <c r="X352" s="58">
        <f t="shared" ref="X352:AE352" si="900">X274+X281+X280</f>
        <v>0</v>
      </c>
      <c r="Y352" s="58">
        <f t="shared" si="900"/>
        <v>0</v>
      </c>
      <c r="Z352" s="210">
        <f t="shared" si="900"/>
        <v>0</v>
      </c>
      <c r="AA352" s="58">
        <f t="shared" si="900"/>
        <v>0</v>
      </c>
      <c r="AB352" s="58">
        <f t="shared" si="900"/>
        <v>0</v>
      </c>
      <c r="AC352" s="58">
        <f t="shared" si="900"/>
        <v>0</v>
      </c>
      <c r="AD352" s="58">
        <f t="shared" si="900"/>
        <v>0</v>
      </c>
      <c r="AE352" s="210">
        <f t="shared" si="900"/>
        <v>0</v>
      </c>
      <c r="AF352" s="58"/>
      <c r="AG352" s="58"/>
      <c r="AH352" s="58"/>
      <c r="AI352" s="58"/>
      <c r="AJ352" s="210">
        <f>AJ274+AJ281+AJ280</f>
        <v>0</v>
      </c>
      <c r="AK352" s="58"/>
      <c r="AL352" s="58"/>
      <c r="AM352" s="58"/>
      <c r="AN352" s="58"/>
      <c r="AO352" s="210">
        <f>AO274+AO281+AO280</f>
        <v>146.24800000000002</v>
      </c>
      <c r="AP352" s="58"/>
      <c r="AQ352" s="58"/>
      <c r="AR352" s="58"/>
      <c r="AS352" s="58"/>
      <c r="AT352" s="210">
        <f>AT274+AT281+AT280</f>
        <v>646.32999999999993</v>
      </c>
      <c r="AU352" s="58"/>
      <c r="AV352" s="58"/>
      <c r="AW352" s="58"/>
      <c r="AX352" s="58"/>
      <c r="AY352" s="210">
        <f>AY274+AY281+AY280</f>
        <v>981.71300000000008</v>
      </c>
      <c r="AZ352" s="159"/>
      <c r="BA352" s="159"/>
      <c r="BB352" s="159"/>
      <c r="BC352" s="159"/>
      <c r="BD352" s="182">
        <f>BD274+BD281+BD280</f>
        <v>1502.9280000000001</v>
      </c>
      <c r="BE352" s="159"/>
      <c r="BF352" s="159"/>
      <c r="BG352" s="159"/>
      <c r="BH352" s="159"/>
      <c r="BI352" s="182">
        <f>BI274+BI281+BI280</f>
        <v>2038.9280000000001</v>
      </c>
      <c r="BJ352" s="159"/>
      <c r="BK352" s="159"/>
      <c r="BL352" s="159"/>
      <c r="BM352" s="159"/>
      <c r="BN352" s="182">
        <f>BN274+BN281+BN280</f>
        <v>2398.4279999999999</v>
      </c>
      <c r="BO352" s="159"/>
      <c r="BP352" s="159"/>
      <c r="BQ352" s="159"/>
      <c r="BR352" s="159"/>
      <c r="BS352" s="182">
        <f>BS274+BS281+BS280</f>
        <v>2757.9279999999999</v>
      </c>
    </row>
    <row r="353" spans="1:71" ht="12.75" hidden="1" customHeight="1" x14ac:dyDescent="0.2">
      <c r="A353" s="51" t="s">
        <v>322</v>
      </c>
      <c r="B353" s="35"/>
      <c r="C353" s="35"/>
      <c r="D353" s="35"/>
      <c r="E353" s="35"/>
      <c r="F353" s="170"/>
      <c r="G353" s="38"/>
      <c r="H353" s="38"/>
      <c r="I353" s="38"/>
      <c r="J353" s="38"/>
      <c r="K353" s="173"/>
      <c r="L353" s="85"/>
      <c r="M353" s="85"/>
      <c r="N353" s="85"/>
      <c r="O353" s="85"/>
      <c r="P353" s="213"/>
      <c r="Q353" s="85"/>
      <c r="R353" s="85"/>
      <c r="S353" s="85"/>
      <c r="T353" s="85"/>
      <c r="U353" s="213"/>
      <c r="V353" s="85"/>
      <c r="W353" s="85"/>
      <c r="X353" s="85">
        <v>0</v>
      </c>
      <c r="Y353" s="85">
        <v>0</v>
      </c>
      <c r="Z353" s="213">
        <v>0</v>
      </c>
      <c r="AA353" s="85">
        <v>0</v>
      </c>
      <c r="AB353" s="85">
        <v>0</v>
      </c>
      <c r="AC353" s="85">
        <v>0</v>
      </c>
      <c r="AD353" s="85">
        <v>0</v>
      </c>
      <c r="AE353" s="213">
        <v>0</v>
      </c>
      <c r="AF353" s="85"/>
      <c r="AG353" s="85"/>
      <c r="AH353" s="85"/>
      <c r="AI353" s="85"/>
      <c r="AJ353" s="213">
        <v>0</v>
      </c>
      <c r="AK353" s="85"/>
      <c r="AL353" s="85"/>
      <c r="AM353" s="85"/>
      <c r="AN353" s="85"/>
      <c r="AO353" s="213">
        <v>0</v>
      </c>
      <c r="AP353" s="85"/>
      <c r="AQ353" s="85"/>
      <c r="AR353" s="85"/>
      <c r="AS353" s="85"/>
      <c r="AT353" s="213">
        <v>0</v>
      </c>
      <c r="AU353" s="85"/>
      <c r="AV353" s="85"/>
      <c r="AW353" s="85"/>
      <c r="AX353" s="85"/>
      <c r="AY353" s="213">
        <v>0</v>
      </c>
      <c r="AZ353" s="85"/>
      <c r="BA353" s="85"/>
      <c r="BB353" s="85"/>
      <c r="BC353" s="85"/>
      <c r="BD353" s="213">
        <v>0</v>
      </c>
      <c r="BE353" s="85"/>
      <c r="BF353" s="85"/>
      <c r="BG353" s="85"/>
      <c r="BH353" s="85"/>
      <c r="BI353" s="213">
        <v>0</v>
      </c>
      <c r="BJ353" s="85"/>
      <c r="BK353" s="85"/>
      <c r="BL353" s="85"/>
      <c r="BM353" s="85"/>
      <c r="BN353" s="213">
        <v>0</v>
      </c>
      <c r="BO353" s="85"/>
      <c r="BP353" s="85"/>
      <c r="BQ353" s="85"/>
      <c r="BR353" s="85"/>
      <c r="BS353" s="213">
        <v>0</v>
      </c>
    </row>
    <row r="354" spans="1:71" ht="12.75" hidden="1" customHeight="1" x14ac:dyDescent="0.2">
      <c r="A354" s="35"/>
      <c r="B354" s="35"/>
      <c r="C354" s="35"/>
      <c r="D354" s="35"/>
      <c r="E354" s="35"/>
      <c r="F354" s="170"/>
      <c r="G354" s="38"/>
      <c r="H354" s="38"/>
      <c r="I354" s="38"/>
      <c r="J354" s="38"/>
      <c r="K354" s="173"/>
      <c r="L354" s="38"/>
      <c r="M354" s="38"/>
      <c r="N354" s="38"/>
      <c r="O354" s="38"/>
      <c r="P354" s="173"/>
      <c r="Q354" s="38"/>
      <c r="R354" s="38"/>
      <c r="S354" s="38"/>
      <c r="T354" s="38"/>
      <c r="U354" s="173"/>
      <c r="V354" s="38"/>
      <c r="W354" s="38"/>
      <c r="X354" s="38"/>
      <c r="Y354" s="38"/>
      <c r="Z354" s="173"/>
      <c r="AA354" s="38"/>
      <c r="AB354" s="38"/>
      <c r="AC354" s="38"/>
      <c r="AD354" s="38"/>
      <c r="AE354" s="173"/>
      <c r="AF354" s="38"/>
      <c r="AG354" s="38"/>
      <c r="AH354" s="38"/>
      <c r="AI354" s="38"/>
      <c r="AJ354" s="173"/>
      <c r="AK354" s="38"/>
      <c r="AL354" s="38"/>
      <c r="AM354" s="38"/>
      <c r="AN354" s="38"/>
      <c r="AO354" s="173"/>
      <c r="AP354" s="38"/>
      <c r="AQ354" s="38"/>
      <c r="AR354" s="38"/>
      <c r="AS354" s="38"/>
      <c r="AT354" s="173"/>
      <c r="AU354" s="38"/>
      <c r="AV354" s="38"/>
      <c r="AW354" s="38"/>
      <c r="AX354" s="38"/>
      <c r="AY354" s="173"/>
      <c r="AZ354" s="155"/>
      <c r="BA354" s="155"/>
      <c r="BB354" s="155"/>
      <c r="BC354" s="155"/>
      <c r="BD354" s="176"/>
      <c r="BE354" s="155"/>
      <c r="BF354" s="155"/>
      <c r="BG354" s="155"/>
      <c r="BH354" s="155"/>
      <c r="BI354" s="176"/>
      <c r="BJ354" s="155"/>
      <c r="BK354" s="155"/>
      <c r="BL354" s="155"/>
      <c r="BM354" s="155"/>
      <c r="BN354" s="176"/>
      <c r="BO354" s="155"/>
      <c r="BP354" s="155"/>
      <c r="BQ354" s="155"/>
      <c r="BR354" s="155"/>
      <c r="BS354" s="176"/>
    </row>
    <row r="355" spans="1:71" ht="12.75" hidden="1" customHeight="1" x14ac:dyDescent="0.2">
      <c r="A355" s="51" t="s">
        <v>323</v>
      </c>
      <c r="B355" s="35"/>
      <c r="C355" s="35"/>
      <c r="D355" s="35"/>
      <c r="E355" s="35"/>
      <c r="F355" s="170"/>
      <c r="G355" s="38"/>
      <c r="H355" s="38"/>
      <c r="I355" s="38"/>
      <c r="J355" s="38"/>
      <c r="K355" s="173"/>
      <c r="L355" s="58"/>
      <c r="M355" s="58"/>
      <c r="N355" s="58"/>
      <c r="O355" s="58"/>
      <c r="P355" s="210"/>
      <c r="Q355" s="58"/>
      <c r="R355" s="58"/>
      <c r="S355" s="58"/>
      <c r="T355" s="58"/>
      <c r="U355" s="210"/>
      <c r="V355" s="58"/>
      <c r="W355" s="58"/>
      <c r="X355" s="58">
        <f t="shared" ref="X355:AE355" si="901">X352-X351-X353</f>
        <v>-350.97300000000001</v>
      </c>
      <c r="Y355" s="58">
        <f t="shared" si="901"/>
        <v>-343.32800000000003</v>
      </c>
      <c r="Z355" s="210">
        <f t="shared" si="901"/>
        <v>-343.32800000000003</v>
      </c>
      <c r="AA355" s="58">
        <f t="shared" si="901"/>
        <v>-420.83100000000002</v>
      </c>
      <c r="AB355" s="58">
        <f t="shared" si="901"/>
        <v>-414.97700000000003</v>
      </c>
      <c r="AC355" s="58">
        <f t="shared" si="901"/>
        <v>-399.14300000000003</v>
      </c>
      <c r="AD355" s="58">
        <f t="shared" si="901"/>
        <v>-416.81600000000003</v>
      </c>
      <c r="AE355" s="210">
        <f t="shared" si="901"/>
        <v>-416.81600000000003</v>
      </c>
      <c r="AF355" s="58"/>
      <c r="AG355" s="58"/>
      <c r="AH355" s="58"/>
      <c r="AI355" s="58"/>
      <c r="AJ355" s="210">
        <f>AJ352-AJ351-AJ353</f>
        <v>-530.63100000000009</v>
      </c>
      <c r="AK355" s="58"/>
      <c r="AL355" s="58"/>
      <c r="AM355" s="58"/>
      <c r="AN355" s="58"/>
      <c r="AO355" s="210">
        <f>AO352-AO351-AO353</f>
        <v>-486.53600000000006</v>
      </c>
      <c r="AP355" s="58"/>
      <c r="AQ355" s="58"/>
      <c r="AR355" s="58"/>
      <c r="AS355" s="58"/>
      <c r="AT355" s="210">
        <f>AT352-AT351-AT353</f>
        <v>-157.30200000000013</v>
      </c>
      <c r="AU355" s="58"/>
      <c r="AV355" s="58"/>
      <c r="AW355" s="58"/>
      <c r="AX355" s="58"/>
      <c r="AY355" s="210">
        <f>AY352-AY351-AY353</f>
        <v>280.81299999999999</v>
      </c>
      <c r="AZ355" s="159"/>
      <c r="BA355" s="159"/>
      <c r="BB355" s="159"/>
      <c r="BC355" s="159"/>
      <c r="BD355" s="182">
        <f>BD352-BD351-BD353</f>
        <v>702.07899999999972</v>
      </c>
      <c r="BE355" s="159"/>
      <c r="BF355" s="159"/>
      <c r="BG355" s="159"/>
      <c r="BH355" s="159"/>
      <c r="BI355" s="182">
        <f>BI352-BI351-BI353</f>
        <v>1166.7205740627217</v>
      </c>
      <c r="BJ355" s="159"/>
      <c r="BK355" s="159"/>
      <c r="BL355" s="159"/>
      <c r="BM355" s="159"/>
      <c r="BN355" s="182">
        <f>BN352-BN351-BN353</f>
        <v>1531.6949706633345</v>
      </c>
      <c r="BO355" s="159"/>
      <c r="BP355" s="159"/>
      <c r="BQ355" s="159"/>
      <c r="BR355" s="159"/>
      <c r="BS355" s="182">
        <f>BS352-BS351-BS353</f>
        <v>1728.0216040076057</v>
      </c>
    </row>
    <row r="356" spans="1:71" ht="12.75" hidden="1" customHeight="1" x14ac:dyDescent="0.2">
      <c r="A356" s="51" t="s">
        <v>324</v>
      </c>
      <c r="B356" s="35"/>
      <c r="C356" s="35"/>
      <c r="D356" s="35"/>
      <c r="E356" s="35"/>
      <c r="F356" s="170"/>
      <c r="G356" s="38"/>
      <c r="H356" s="38"/>
      <c r="I356" s="38"/>
      <c r="J356" s="38"/>
      <c r="K356" s="173"/>
      <c r="L356" s="58"/>
      <c r="M356" s="58"/>
      <c r="N356" s="58"/>
      <c r="O356" s="58"/>
      <c r="P356" s="210"/>
      <c r="Q356" s="58"/>
      <c r="R356" s="58"/>
      <c r="S356" s="58"/>
      <c r="T356" s="58"/>
      <c r="U356" s="210"/>
      <c r="V356" s="58"/>
      <c r="W356" s="58"/>
      <c r="X356" s="58">
        <f t="shared" ref="X356:AE356" si="902">X352-X350-X353</f>
        <v>-350.97300000000001</v>
      </c>
      <c r="Y356" s="58">
        <f t="shared" si="902"/>
        <v>-343.32800000000003</v>
      </c>
      <c r="Z356" s="210">
        <f t="shared" si="902"/>
        <v>-343.32800000000003</v>
      </c>
      <c r="AA356" s="58">
        <f t="shared" si="902"/>
        <v>-420.83100000000002</v>
      </c>
      <c r="AB356" s="58">
        <f t="shared" si="902"/>
        <v>-414.97700000000003</v>
      </c>
      <c r="AC356" s="58">
        <f t="shared" si="902"/>
        <v>-399.14300000000003</v>
      </c>
      <c r="AD356" s="58">
        <f t="shared" si="902"/>
        <v>-416.81600000000003</v>
      </c>
      <c r="AE356" s="210">
        <f t="shared" si="902"/>
        <v>-416.81600000000003</v>
      </c>
      <c r="AF356" s="58"/>
      <c r="AG356" s="58"/>
      <c r="AH356" s="58"/>
      <c r="AI356" s="58"/>
      <c r="AJ356" s="210">
        <f>AJ352-AJ350-AJ353</f>
        <v>-530.63100000000009</v>
      </c>
      <c r="AK356" s="58"/>
      <c r="AL356" s="58"/>
      <c r="AM356" s="58"/>
      <c r="AN356" s="58"/>
      <c r="AO356" s="210">
        <f>AO352-AO350-AO353</f>
        <v>-486.53600000000006</v>
      </c>
      <c r="AP356" s="58"/>
      <c r="AQ356" s="58"/>
      <c r="AR356" s="58"/>
      <c r="AS356" s="58"/>
      <c r="AT356" s="210">
        <f>AT352-AT350-AT353</f>
        <v>-157.30200000000013</v>
      </c>
      <c r="AU356" s="58"/>
      <c r="AV356" s="58"/>
      <c r="AW356" s="58"/>
      <c r="AX356" s="58"/>
      <c r="AY356" s="210">
        <f>AY352-AY350-AY353</f>
        <v>280.81299999999999</v>
      </c>
      <c r="AZ356" s="159"/>
      <c r="BA356" s="159"/>
      <c r="BB356" s="159"/>
      <c r="BC356" s="159"/>
      <c r="BD356" s="182">
        <f>BD352-BD350-BD353</f>
        <v>702.07899999999972</v>
      </c>
      <c r="BE356" s="159"/>
      <c r="BF356" s="159"/>
      <c r="BG356" s="159"/>
      <c r="BH356" s="159"/>
      <c r="BI356" s="182">
        <f>BI352-BI350-BI353</f>
        <v>1166.7205740627217</v>
      </c>
      <c r="BJ356" s="159"/>
      <c r="BK356" s="159"/>
      <c r="BL356" s="159"/>
      <c r="BM356" s="159"/>
      <c r="BN356" s="182">
        <f>BN352-BN350-BN353</f>
        <v>1531.6949706633345</v>
      </c>
      <c r="BO356" s="159"/>
      <c r="BP356" s="159"/>
      <c r="BQ356" s="159"/>
      <c r="BR356" s="159"/>
      <c r="BS356" s="182">
        <f>BS352-BS350-BS353</f>
        <v>1728.0216040076057</v>
      </c>
    </row>
    <row r="357" spans="1:71" ht="12.75" hidden="1" customHeight="1" x14ac:dyDescent="0.2">
      <c r="A357" s="35"/>
      <c r="B357" s="35"/>
      <c r="C357" s="35"/>
      <c r="D357" s="35"/>
      <c r="E357" s="35"/>
      <c r="F357" s="170"/>
      <c r="G357" s="38"/>
      <c r="H357" s="38"/>
      <c r="I357" s="38"/>
      <c r="J357" s="38"/>
      <c r="K357" s="173"/>
      <c r="L357" s="38"/>
      <c r="M357" s="38"/>
      <c r="N357" s="38"/>
      <c r="O357" s="38"/>
      <c r="P357" s="173"/>
      <c r="Q357" s="38"/>
      <c r="R357" s="38"/>
      <c r="S357" s="38"/>
      <c r="T357" s="38"/>
      <c r="U357" s="173"/>
      <c r="V357" s="38"/>
      <c r="W357" s="38"/>
      <c r="X357" s="38"/>
      <c r="Y357" s="38"/>
      <c r="Z357" s="173"/>
      <c r="AA357" s="38"/>
      <c r="AB357" s="38"/>
      <c r="AC357" s="38"/>
      <c r="AD357" s="38"/>
      <c r="AE357" s="173"/>
      <c r="AF357" s="38"/>
      <c r="AG357" s="38"/>
      <c r="AH357" s="38"/>
      <c r="AI357" s="38"/>
      <c r="AJ357" s="173"/>
      <c r="AK357" s="38"/>
      <c r="AL357" s="38"/>
      <c r="AM357" s="38"/>
      <c r="AN357" s="38"/>
      <c r="AO357" s="173"/>
      <c r="AP357" s="38"/>
      <c r="AQ357" s="38"/>
      <c r="AR357" s="38"/>
      <c r="AS357" s="38"/>
      <c r="AT357" s="173"/>
      <c r="AU357" s="38"/>
      <c r="AV357" s="38"/>
      <c r="AW357" s="38"/>
      <c r="AX357" s="38"/>
      <c r="AY357" s="173"/>
      <c r="AZ357" s="155"/>
      <c r="BA357" s="155"/>
      <c r="BB357" s="155"/>
      <c r="BC357" s="155"/>
      <c r="BD357" s="176"/>
      <c r="BE357" s="155"/>
      <c r="BF357" s="155"/>
      <c r="BG357" s="155"/>
      <c r="BH357" s="155"/>
      <c r="BI357" s="176"/>
      <c r="BJ357" s="155"/>
      <c r="BK357" s="155"/>
      <c r="BL357" s="155"/>
      <c r="BM357" s="155"/>
      <c r="BN357" s="176"/>
      <c r="BO357" s="155"/>
      <c r="BP357" s="155"/>
      <c r="BQ357" s="155"/>
      <c r="BR357" s="155"/>
      <c r="BS357" s="176"/>
    </row>
    <row r="358" spans="1:71" ht="12.75" hidden="1" customHeight="1" x14ac:dyDescent="0.2">
      <c r="A358" s="51" t="s">
        <v>325</v>
      </c>
      <c r="B358" s="35"/>
      <c r="C358" s="35"/>
      <c r="D358" s="35"/>
      <c r="E358" s="35"/>
      <c r="F358" s="170"/>
      <c r="G358" s="38"/>
      <c r="H358" s="38"/>
      <c r="I358" s="38"/>
      <c r="J358" s="38"/>
      <c r="K358" s="173"/>
      <c r="L358" s="58"/>
      <c r="M358" s="58"/>
      <c r="N358" s="58"/>
      <c r="O358" s="58"/>
      <c r="P358" s="210"/>
      <c r="Q358" s="58"/>
      <c r="R358" s="58"/>
      <c r="S358" s="58"/>
      <c r="T358" s="58"/>
      <c r="U358" s="210"/>
      <c r="V358" s="58"/>
      <c r="W358" s="58"/>
      <c r="X358" s="58">
        <f>X81*4</f>
        <v>116.88</v>
      </c>
      <c r="Y358" s="58">
        <f>Y81*4</f>
        <v>121.904</v>
      </c>
      <c r="Z358" s="210">
        <f>Z81</f>
        <v>116.485</v>
      </c>
      <c r="AA358" s="58">
        <f>AA81*4</f>
        <v>131.49199999999999</v>
      </c>
      <c r="AB358" s="58">
        <f>AB81*4</f>
        <v>144.24</v>
      </c>
      <c r="AC358" s="58">
        <f>AC81*4</f>
        <v>150.14400000000001</v>
      </c>
      <c r="AD358" s="58">
        <f>AD81*4</f>
        <v>148.41200000000001</v>
      </c>
      <c r="AE358" s="210">
        <f>AE81</f>
        <v>143.572</v>
      </c>
      <c r="AF358" s="58"/>
      <c r="AG358" s="58"/>
      <c r="AH358" s="58"/>
      <c r="AI358" s="58"/>
      <c r="AJ358" s="210">
        <f>AJ81</f>
        <v>169.73699999999999</v>
      </c>
      <c r="AK358" s="58"/>
      <c r="AL358" s="58"/>
      <c r="AM358" s="58"/>
      <c r="AN358" s="58"/>
      <c r="AO358" s="210">
        <f>AO81</f>
        <v>195.827</v>
      </c>
      <c r="AP358" s="58"/>
      <c r="AQ358" s="58"/>
      <c r="AR358" s="58"/>
      <c r="AS358" s="58"/>
      <c r="AT358" s="210">
        <f>AT81</f>
        <v>211.53100000000001</v>
      </c>
      <c r="AU358" s="58"/>
      <c r="AV358" s="58"/>
      <c r="AW358" s="58"/>
      <c r="AX358" s="58"/>
      <c r="AY358" s="210">
        <f>AY81</f>
        <v>201.67499999999998</v>
      </c>
      <c r="AZ358" s="159"/>
      <c r="BA358" s="159"/>
      <c r="BB358" s="159"/>
      <c r="BC358" s="159"/>
      <c r="BD358" s="182">
        <f>BD81</f>
        <v>205.85199999999998</v>
      </c>
      <c r="BE358" s="159"/>
      <c r="BF358" s="159"/>
      <c r="BG358" s="159"/>
      <c r="BH358" s="159"/>
      <c r="BI358" s="182">
        <f>BI81</f>
        <v>185.65337039919649</v>
      </c>
      <c r="BJ358" s="159"/>
      <c r="BK358" s="159"/>
      <c r="BL358" s="159"/>
      <c r="BM358" s="159"/>
      <c r="BN358" s="182">
        <f>BN81</f>
        <v>184.93931897458421</v>
      </c>
      <c r="BO358" s="159"/>
      <c r="BP358" s="159"/>
      <c r="BQ358" s="159"/>
      <c r="BR358" s="159"/>
      <c r="BS358" s="182">
        <f>BS81</f>
        <v>187.22428353334354</v>
      </c>
    </row>
    <row r="359" spans="1:71" ht="12.75" hidden="1" customHeight="1" x14ac:dyDescent="0.2">
      <c r="A359" s="51" t="s">
        <v>326</v>
      </c>
      <c r="B359" s="35"/>
      <c r="C359" s="35"/>
      <c r="D359" s="35"/>
      <c r="E359" s="35"/>
      <c r="F359" s="170"/>
      <c r="G359" s="38"/>
      <c r="H359" s="38"/>
      <c r="I359" s="38"/>
      <c r="J359" s="38"/>
      <c r="K359" s="173"/>
      <c r="L359" s="58"/>
      <c r="M359" s="58"/>
      <c r="N359" s="58"/>
      <c r="O359" s="58"/>
      <c r="P359" s="210"/>
      <c r="Q359" s="58"/>
      <c r="R359" s="58"/>
      <c r="S359" s="58"/>
      <c r="T359" s="58"/>
      <c r="U359" s="210"/>
      <c r="V359" s="58"/>
      <c r="W359" s="58"/>
      <c r="X359" s="85">
        <v>0</v>
      </c>
      <c r="Y359" s="85">
        <v>0</v>
      </c>
      <c r="Z359" s="213">
        <v>0</v>
      </c>
      <c r="AA359" s="85">
        <v>0</v>
      </c>
      <c r="AB359" s="85">
        <v>0</v>
      </c>
      <c r="AC359" s="85">
        <v>0</v>
      </c>
      <c r="AD359" s="85">
        <v>0</v>
      </c>
      <c r="AE359" s="213">
        <v>0</v>
      </c>
      <c r="AF359" s="58"/>
      <c r="AG359" s="58"/>
      <c r="AH359" s="58"/>
      <c r="AI359" s="58"/>
      <c r="AJ359" s="213">
        <v>0</v>
      </c>
      <c r="AK359" s="58"/>
      <c r="AL359" s="58"/>
      <c r="AM359" s="58"/>
      <c r="AN359" s="58"/>
      <c r="AO359" s="213">
        <v>0</v>
      </c>
      <c r="AP359" s="58"/>
      <c r="AQ359" s="58"/>
      <c r="AR359" s="58"/>
      <c r="AS359" s="58"/>
      <c r="AT359" s="213">
        <v>0</v>
      </c>
      <c r="AU359" s="58"/>
      <c r="AV359" s="58"/>
      <c r="AW359" s="58"/>
      <c r="AX359" s="58"/>
      <c r="AY359" s="213">
        <v>0</v>
      </c>
      <c r="AZ359" s="159"/>
      <c r="BA359" s="159"/>
      <c r="BB359" s="159"/>
      <c r="BC359" s="159"/>
      <c r="BD359" s="213">
        <v>0</v>
      </c>
      <c r="BE359" s="159"/>
      <c r="BF359" s="159"/>
      <c r="BG359" s="159"/>
      <c r="BH359" s="159"/>
      <c r="BI359" s="213">
        <v>0</v>
      </c>
      <c r="BJ359" s="159"/>
      <c r="BK359" s="159"/>
      <c r="BL359" s="159"/>
      <c r="BM359" s="159"/>
      <c r="BN359" s="213">
        <v>0</v>
      </c>
      <c r="BO359" s="159"/>
      <c r="BP359" s="159"/>
      <c r="BQ359" s="159"/>
      <c r="BR359" s="159"/>
      <c r="BS359" s="213">
        <v>0</v>
      </c>
    </row>
    <row r="360" spans="1:71" ht="12.75" hidden="1" customHeight="1" x14ac:dyDescent="0.2">
      <c r="A360" s="51" t="s">
        <v>327</v>
      </c>
      <c r="B360" s="35"/>
      <c r="C360" s="35"/>
      <c r="D360" s="35"/>
      <c r="E360" s="35"/>
      <c r="F360" s="170"/>
      <c r="G360" s="38"/>
      <c r="H360" s="38"/>
      <c r="I360" s="38"/>
      <c r="J360" s="38"/>
      <c r="K360" s="173"/>
      <c r="L360" s="58"/>
      <c r="M360" s="58"/>
      <c r="N360" s="58"/>
      <c r="O360" s="58"/>
      <c r="P360" s="210"/>
      <c r="Q360" s="58"/>
      <c r="R360" s="58"/>
      <c r="S360" s="58"/>
      <c r="T360" s="58"/>
      <c r="U360" s="210"/>
      <c r="V360" s="58"/>
      <c r="W360" s="58"/>
      <c r="X360" s="58">
        <f t="shared" ref="X360:AE360" si="903">X359+X358</f>
        <v>116.88</v>
      </c>
      <c r="Y360" s="58">
        <f t="shared" si="903"/>
        <v>121.904</v>
      </c>
      <c r="Z360" s="210">
        <f t="shared" si="903"/>
        <v>116.485</v>
      </c>
      <c r="AA360" s="58">
        <f t="shared" si="903"/>
        <v>131.49199999999999</v>
      </c>
      <c r="AB360" s="58">
        <f t="shared" si="903"/>
        <v>144.24</v>
      </c>
      <c r="AC360" s="58">
        <f t="shared" si="903"/>
        <v>150.14400000000001</v>
      </c>
      <c r="AD360" s="58">
        <f t="shared" si="903"/>
        <v>148.41200000000001</v>
      </c>
      <c r="AE360" s="210">
        <f t="shared" si="903"/>
        <v>143.572</v>
      </c>
      <c r="AF360" s="58"/>
      <c r="AG360" s="58"/>
      <c r="AH360" s="58"/>
      <c r="AI360" s="58"/>
      <c r="AJ360" s="210">
        <f>AJ359+AJ358</f>
        <v>169.73699999999999</v>
      </c>
      <c r="AK360" s="58"/>
      <c r="AL360" s="58"/>
      <c r="AM360" s="58"/>
      <c r="AN360" s="58"/>
      <c r="AO360" s="210">
        <f>AO359+AO358</f>
        <v>195.827</v>
      </c>
      <c r="AP360" s="58"/>
      <c r="AQ360" s="58"/>
      <c r="AR360" s="58"/>
      <c r="AS360" s="58"/>
      <c r="AT360" s="210">
        <f>AT359+AT358</f>
        <v>211.53100000000001</v>
      </c>
      <c r="AU360" s="58"/>
      <c r="AV360" s="58"/>
      <c r="AW360" s="58"/>
      <c r="AX360" s="58"/>
      <c r="AY360" s="210">
        <f>AY359+AY358</f>
        <v>201.67499999999998</v>
      </c>
      <c r="AZ360" s="159"/>
      <c r="BA360" s="159"/>
      <c r="BB360" s="159"/>
      <c r="BC360" s="159"/>
      <c r="BD360" s="182">
        <f>BD359+BD358</f>
        <v>205.85199999999998</v>
      </c>
      <c r="BE360" s="159"/>
      <c r="BF360" s="159"/>
      <c r="BG360" s="159"/>
      <c r="BH360" s="159"/>
      <c r="BI360" s="182">
        <f>BI359+BI358</f>
        <v>185.65337039919649</v>
      </c>
      <c r="BJ360" s="159"/>
      <c r="BK360" s="159"/>
      <c r="BL360" s="159"/>
      <c r="BM360" s="159"/>
      <c r="BN360" s="182">
        <f>BN359+BN358</f>
        <v>184.93931897458421</v>
      </c>
      <c r="BO360" s="159"/>
      <c r="BP360" s="159"/>
      <c r="BQ360" s="159"/>
      <c r="BR360" s="159"/>
      <c r="BS360" s="182">
        <f>BS359+BS358</f>
        <v>187.22428353334354</v>
      </c>
    </row>
    <row r="361" spans="1:71" ht="12.75" hidden="1" customHeight="1" x14ac:dyDescent="0.2">
      <c r="A361" s="51"/>
      <c r="B361" s="35"/>
      <c r="C361" s="35"/>
      <c r="D361" s="35"/>
      <c r="E361" s="35"/>
      <c r="F361" s="170"/>
      <c r="G361" s="38"/>
      <c r="H361" s="38"/>
      <c r="I361" s="38"/>
      <c r="J361" s="38"/>
      <c r="K361" s="173"/>
      <c r="L361" s="58"/>
      <c r="M361" s="58"/>
      <c r="N361" s="58"/>
      <c r="O361" s="58"/>
      <c r="P361" s="210"/>
      <c r="Q361" s="58"/>
      <c r="R361" s="58"/>
      <c r="S361" s="58"/>
      <c r="T361" s="58"/>
      <c r="U361" s="210"/>
      <c r="V361" s="58"/>
      <c r="W361" s="58"/>
      <c r="X361" s="58"/>
      <c r="Y361" s="58"/>
      <c r="Z361" s="210"/>
      <c r="AA361" s="58"/>
      <c r="AB361" s="58"/>
      <c r="AC361" s="58"/>
      <c r="AD361" s="58"/>
      <c r="AE361" s="210"/>
      <c r="AF361" s="58"/>
      <c r="AG361" s="58"/>
      <c r="AH361" s="58"/>
      <c r="AI361" s="58"/>
      <c r="AJ361" s="210"/>
      <c r="AK361" s="58"/>
      <c r="AL361" s="58"/>
      <c r="AM361" s="58"/>
      <c r="AN361" s="58"/>
      <c r="AO361" s="210"/>
      <c r="AP361" s="58"/>
      <c r="AQ361" s="58"/>
      <c r="AR361" s="58"/>
      <c r="AS361" s="58"/>
      <c r="AT361" s="210"/>
      <c r="AU361" s="58"/>
      <c r="AV361" s="58"/>
      <c r="AW361" s="58"/>
      <c r="AX361" s="58"/>
      <c r="AY361" s="210"/>
      <c r="AZ361" s="159"/>
      <c r="BA361" s="159"/>
      <c r="BB361" s="159"/>
      <c r="BC361" s="159"/>
      <c r="BD361" s="182"/>
      <c r="BE361" s="159"/>
      <c r="BF361" s="159"/>
      <c r="BG361" s="159"/>
      <c r="BH361" s="159"/>
      <c r="BI361" s="182"/>
      <c r="BJ361" s="159"/>
      <c r="BK361" s="159"/>
      <c r="BL361" s="159"/>
      <c r="BM361" s="159"/>
      <c r="BN361" s="182"/>
      <c r="BO361" s="159"/>
      <c r="BP361" s="159"/>
      <c r="BQ361" s="159"/>
      <c r="BR361" s="159"/>
      <c r="BS361" s="182"/>
    </row>
    <row r="362" spans="1:71" ht="12.75" hidden="1" customHeight="1" x14ac:dyDescent="0.2">
      <c r="A362" s="51" t="s">
        <v>328</v>
      </c>
      <c r="B362" s="35"/>
      <c r="C362" s="35"/>
      <c r="D362" s="35"/>
      <c r="E362" s="35"/>
      <c r="F362" s="170"/>
      <c r="G362" s="38"/>
      <c r="H362" s="38"/>
      <c r="I362" s="38"/>
      <c r="J362" s="38"/>
      <c r="K362" s="173"/>
      <c r="L362" s="58"/>
      <c r="M362" s="58"/>
      <c r="N362" s="58"/>
      <c r="O362" s="58"/>
      <c r="P362" s="210"/>
      <c r="Q362" s="58"/>
      <c r="R362" s="58"/>
      <c r="S362" s="58"/>
      <c r="T362" s="58"/>
      <c r="U362" s="210"/>
      <c r="V362" s="58"/>
      <c r="W362" s="58"/>
      <c r="X362" s="58">
        <f t="shared" ref="X362:AE362" si="904">X355+X358*7</f>
        <v>467.18699999999995</v>
      </c>
      <c r="Y362" s="58">
        <f t="shared" si="904"/>
        <v>509.99999999999994</v>
      </c>
      <c r="Z362" s="210">
        <f t="shared" si="904"/>
        <v>472.06699999999995</v>
      </c>
      <c r="AA362" s="58">
        <f t="shared" si="904"/>
        <v>499.61299999999994</v>
      </c>
      <c r="AB362" s="58">
        <f t="shared" si="904"/>
        <v>594.70299999999997</v>
      </c>
      <c r="AC362" s="58">
        <f t="shared" si="904"/>
        <v>651.86500000000001</v>
      </c>
      <c r="AD362" s="58">
        <f t="shared" si="904"/>
        <v>622.06799999999998</v>
      </c>
      <c r="AE362" s="210">
        <f t="shared" si="904"/>
        <v>588.18799999999999</v>
      </c>
      <c r="AF362" s="58"/>
      <c r="AG362" s="58"/>
      <c r="AH362" s="58"/>
      <c r="AI362" s="58"/>
      <c r="AJ362" s="210">
        <f>AJ355+AJ358*7</f>
        <v>657.52799999999979</v>
      </c>
      <c r="AK362" s="58"/>
      <c r="AL362" s="58"/>
      <c r="AM362" s="58"/>
      <c r="AN362" s="58"/>
      <c r="AO362" s="210">
        <f>AO355+AO358*7</f>
        <v>884.25299999999993</v>
      </c>
      <c r="AP362" s="58"/>
      <c r="AQ362" s="58"/>
      <c r="AR362" s="58"/>
      <c r="AS362" s="58"/>
      <c r="AT362" s="210">
        <f>AT355+AT358*7</f>
        <v>1323.415</v>
      </c>
      <c r="AU362" s="58"/>
      <c r="AV362" s="58"/>
      <c r="AW362" s="58"/>
      <c r="AX362" s="58"/>
      <c r="AY362" s="210">
        <f>AY355+AY358*7</f>
        <v>1692.538</v>
      </c>
      <c r="AZ362" s="159"/>
      <c r="BA362" s="159"/>
      <c r="BB362" s="159"/>
      <c r="BC362" s="159"/>
      <c r="BD362" s="182">
        <f>BD355+BD358*7</f>
        <v>2143.0429999999997</v>
      </c>
      <c r="BE362" s="159"/>
      <c r="BF362" s="159"/>
      <c r="BG362" s="159"/>
      <c r="BH362" s="159"/>
      <c r="BI362" s="182">
        <f>BI355+BI358*7</f>
        <v>2466.294166857097</v>
      </c>
      <c r="BJ362" s="159"/>
      <c r="BK362" s="159"/>
      <c r="BL362" s="159"/>
      <c r="BM362" s="159"/>
      <c r="BN362" s="182">
        <f>BN355+BN358*7</f>
        <v>2826.2702034854237</v>
      </c>
      <c r="BO362" s="159"/>
      <c r="BP362" s="159"/>
      <c r="BQ362" s="159"/>
      <c r="BR362" s="159"/>
      <c r="BS362" s="182">
        <f>BS355+BS358*7</f>
        <v>3038.5915887410101</v>
      </c>
    </row>
    <row r="363" spans="1:71" ht="12.75" hidden="1" customHeight="1" x14ac:dyDescent="0.2">
      <c r="A363" s="51" t="s">
        <v>329</v>
      </c>
      <c r="B363" s="35"/>
      <c r="C363" s="35"/>
      <c r="D363" s="35"/>
      <c r="E363" s="35"/>
      <c r="F363" s="170"/>
      <c r="G363" s="38"/>
      <c r="H363" s="38"/>
      <c r="I363" s="38"/>
      <c r="J363" s="38"/>
      <c r="K363" s="173"/>
      <c r="L363" s="58"/>
      <c r="M363" s="58"/>
      <c r="N363" s="58"/>
      <c r="O363" s="58"/>
      <c r="P363" s="210"/>
      <c r="Q363" s="58"/>
      <c r="R363" s="58"/>
      <c r="S363" s="58"/>
      <c r="T363" s="58"/>
      <c r="U363" s="210"/>
      <c r="V363" s="58"/>
      <c r="W363" s="58"/>
      <c r="X363" s="58">
        <f t="shared" ref="X363:AE363" si="905">X356+X358*7</f>
        <v>467.18699999999995</v>
      </c>
      <c r="Y363" s="58">
        <f t="shared" si="905"/>
        <v>509.99999999999994</v>
      </c>
      <c r="Z363" s="210">
        <f t="shared" si="905"/>
        <v>472.06699999999995</v>
      </c>
      <c r="AA363" s="58">
        <f t="shared" si="905"/>
        <v>499.61299999999994</v>
      </c>
      <c r="AB363" s="58">
        <f t="shared" si="905"/>
        <v>594.70299999999997</v>
      </c>
      <c r="AC363" s="58">
        <f t="shared" si="905"/>
        <v>651.86500000000001</v>
      </c>
      <c r="AD363" s="58">
        <f t="shared" si="905"/>
        <v>622.06799999999998</v>
      </c>
      <c r="AE363" s="210">
        <f t="shared" si="905"/>
        <v>588.18799999999999</v>
      </c>
      <c r="AF363" s="58"/>
      <c r="AG363" s="58"/>
      <c r="AH363" s="58"/>
      <c r="AI363" s="58"/>
      <c r="AJ363" s="210">
        <f>AJ356+AJ358*7</f>
        <v>657.52799999999979</v>
      </c>
      <c r="AK363" s="58"/>
      <c r="AL363" s="58"/>
      <c r="AM363" s="58"/>
      <c r="AN363" s="58"/>
      <c r="AO363" s="210">
        <f>AO356+AO358*7</f>
        <v>884.25299999999993</v>
      </c>
      <c r="AP363" s="58"/>
      <c r="AQ363" s="58"/>
      <c r="AR363" s="58"/>
      <c r="AS363" s="58"/>
      <c r="AT363" s="210">
        <f>AT356+AT358*7</f>
        <v>1323.415</v>
      </c>
      <c r="AU363" s="58"/>
      <c r="AV363" s="58"/>
      <c r="AW363" s="58"/>
      <c r="AX363" s="58"/>
      <c r="AY363" s="210">
        <f>AY356+AY358*7</f>
        <v>1692.538</v>
      </c>
      <c r="AZ363" s="159"/>
      <c r="BA363" s="159"/>
      <c r="BB363" s="159"/>
      <c r="BC363" s="159"/>
      <c r="BD363" s="182">
        <f>BD356+BD358*7</f>
        <v>2143.0429999999997</v>
      </c>
      <c r="BE363" s="159"/>
      <c r="BF363" s="159"/>
      <c r="BG363" s="159"/>
      <c r="BH363" s="159"/>
      <c r="BI363" s="182">
        <f>BI356+BI358*7</f>
        <v>2466.294166857097</v>
      </c>
      <c r="BJ363" s="159"/>
      <c r="BK363" s="159"/>
      <c r="BL363" s="159"/>
      <c r="BM363" s="159"/>
      <c r="BN363" s="182">
        <f>BN356+BN358*7</f>
        <v>2826.2702034854237</v>
      </c>
      <c r="BO363" s="159"/>
      <c r="BP363" s="159"/>
      <c r="BQ363" s="159"/>
      <c r="BR363" s="159"/>
      <c r="BS363" s="182">
        <f>BS356+BS358*7</f>
        <v>3038.5915887410101</v>
      </c>
    </row>
    <row r="364" spans="1:71" ht="12.75" hidden="1" customHeight="1" x14ac:dyDescent="0.2">
      <c r="A364" s="51"/>
      <c r="B364" s="35"/>
      <c r="C364" s="35"/>
      <c r="D364" s="35"/>
      <c r="E364" s="35"/>
      <c r="F364" s="170"/>
      <c r="G364" s="38"/>
      <c r="H364" s="38"/>
      <c r="I364" s="38"/>
      <c r="J364" s="38"/>
      <c r="K364" s="173"/>
      <c r="L364" s="58"/>
      <c r="M364" s="58"/>
      <c r="N364" s="58"/>
      <c r="O364" s="58"/>
      <c r="P364" s="210"/>
      <c r="Q364" s="58"/>
      <c r="R364" s="58"/>
      <c r="S364" s="58"/>
      <c r="T364" s="58"/>
      <c r="U364" s="210"/>
      <c r="V364" s="58"/>
      <c r="W364" s="58"/>
      <c r="X364" s="58"/>
      <c r="Y364" s="58"/>
      <c r="Z364" s="210"/>
      <c r="AA364" s="58"/>
      <c r="AB364" s="58"/>
      <c r="AC364" s="58"/>
      <c r="AD364" s="58"/>
      <c r="AE364" s="210"/>
      <c r="AF364" s="58"/>
      <c r="AG364" s="58"/>
      <c r="AH364" s="58"/>
      <c r="AI364" s="58"/>
      <c r="AJ364" s="210"/>
      <c r="AK364" s="58"/>
      <c r="AL364" s="58"/>
      <c r="AM364" s="58"/>
      <c r="AN364" s="58"/>
      <c r="AO364" s="210"/>
      <c r="AP364" s="58"/>
      <c r="AQ364" s="58"/>
      <c r="AR364" s="58"/>
      <c r="AS364" s="58"/>
      <c r="AT364" s="210"/>
      <c r="AU364" s="58"/>
      <c r="AV364" s="58"/>
      <c r="AW364" s="58"/>
      <c r="AX364" s="58"/>
      <c r="AY364" s="210"/>
      <c r="AZ364" s="159"/>
      <c r="BA364" s="159"/>
      <c r="BB364" s="159"/>
      <c r="BC364" s="159"/>
      <c r="BD364" s="182"/>
      <c r="BE364" s="159"/>
      <c r="BF364" s="159"/>
      <c r="BG364" s="159"/>
      <c r="BH364" s="159"/>
      <c r="BI364" s="182"/>
      <c r="BJ364" s="159"/>
      <c r="BK364" s="159"/>
      <c r="BL364" s="159"/>
      <c r="BM364" s="159"/>
      <c r="BN364" s="182"/>
      <c r="BO364" s="159"/>
      <c r="BP364" s="159"/>
      <c r="BQ364" s="159"/>
      <c r="BR364" s="159"/>
      <c r="BS364" s="182"/>
    </row>
    <row r="365" spans="1:71" ht="12.75" hidden="1" customHeight="1" x14ac:dyDescent="0.2">
      <c r="A365" s="51" t="s">
        <v>330</v>
      </c>
      <c r="B365" s="35"/>
      <c r="C365" s="35"/>
      <c r="D365" s="35"/>
      <c r="E365" s="35"/>
      <c r="F365" s="170"/>
      <c r="G365" s="38"/>
      <c r="H365" s="38"/>
      <c r="I365" s="38"/>
      <c r="J365" s="38"/>
      <c r="K365" s="173"/>
      <c r="L365" s="58"/>
      <c r="M365" s="58"/>
      <c r="N365" s="58"/>
      <c r="O365" s="58"/>
      <c r="P365" s="210"/>
      <c r="Q365" s="58"/>
      <c r="R365" s="58"/>
      <c r="S365" s="58"/>
      <c r="T365" s="58"/>
      <c r="U365" s="210"/>
      <c r="V365" s="58"/>
      <c r="W365" s="58"/>
      <c r="X365" s="58">
        <f t="shared" ref="X365:AE365" si="906">X355+X360*7</f>
        <v>467.18699999999995</v>
      </c>
      <c r="Y365" s="58">
        <f t="shared" si="906"/>
        <v>509.99999999999994</v>
      </c>
      <c r="Z365" s="210">
        <f t="shared" si="906"/>
        <v>472.06699999999995</v>
      </c>
      <c r="AA365" s="58">
        <f t="shared" si="906"/>
        <v>499.61299999999994</v>
      </c>
      <c r="AB365" s="58">
        <f t="shared" si="906"/>
        <v>594.70299999999997</v>
      </c>
      <c r="AC365" s="58">
        <f t="shared" si="906"/>
        <v>651.86500000000001</v>
      </c>
      <c r="AD365" s="58">
        <f t="shared" si="906"/>
        <v>622.06799999999998</v>
      </c>
      <c r="AE365" s="210">
        <f t="shared" si="906"/>
        <v>588.18799999999999</v>
      </c>
      <c r="AF365" s="58"/>
      <c r="AG365" s="58"/>
      <c r="AH365" s="58"/>
      <c r="AI365" s="58"/>
      <c r="AJ365" s="210">
        <f>AJ355+AJ360*7</f>
        <v>657.52799999999979</v>
      </c>
      <c r="AK365" s="58"/>
      <c r="AL365" s="58"/>
      <c r="AM365" s="58"/>
      <c r="AN365" s="58"/>
      <c r="AO365" s="210">
        <f>AO355+AO360*7</f>
        <v>884.25299999999993</v>
      </c>
      <c r="AP365" s="58"/>
      <c r="AQ365" s="58"/>
      <c r="AR365" s="58"/>
      <c r="AS365" s="58"/>
      <c r="AT365" s="210">
        <f>AT355+AT360*7</f>
        <v>1323.415</v>
      </c>
      <c r="AU365" s="58"/>
      <c r="AV365" s="58"/>
      <c r="AW365" s="58"/>
      <c r="AX365" s="58"/>
      <c r="AY365" s="210">
        <f>AY355+AY360*7</f>
        <v>1692.538</v>
      </c>
      <c r="AZ365" s="159"/>
      <c r="BA365" s="159"/>
      <c r="BB365" s="159"/>
      <c r="BC365" s="159"/>
      <c r="BD365" s="182">
        <f>BD355+BD360*7</f>
        <v>2143.0429999999997</v>
      </c>
      <c r="BE365" s="159"/>
      <c r="BF365" s="159"/>
      <c r="BG365" s="159"/>
      <c r="BH365" s="159"/>
      <c r="BI365" s="182">
        <f>BI355+BI360*7</f>
        <v>2466.294166857097</v>
      </c>
      <c r="BJ365" s="159"/>
      <c r="BK365" s="159"/>
      <c r="BL365" s="159"/>
      <c r="BM365" s="159"/>
      <c r="BN365" s="182">
        <f>BN355+BN360*7</f>
        <v>2826.2702034854237</v>
      </c>
      <c r="BO365" s="159"/>
      <c r="BP365" s="159"/>
      <c r="BQ365" s="159"/>
      <c r="BR365" s="159"/>
      <c r="BS365" s="182">
        <f>BS355+BS360*7</f>
        <v>3038.5915887410101</v>
      </c>
    </row>
    <row r="366" spans="1:71" ht="12.75" hidden="1" customHeight="1" x14ac:dyDescent="0.2">
      <c r="A366" s="51" t="s">
        <v>331</v>
      </c>
      <c r="B366" s="35"/>
      <c r="C366" s="35"/>
      <c r="D366" s="35"/>
      <c r="E366" s="35"/>
      <c r="F366" s="170"/>
      <c r="G366" s="38"/>
      <c r="H366" s="38"/>
      <c r="I366" s="38"/>
      <c r="J366" s="38"/>
      <c r="K366" s="173"/>
      <c r="L366" s="58"/>
      <c r="M366" s="58"/>
      <c r="N366" s="58"/>
      <c r="O366" s="58"/>
      <c r="P366" s="210"/>
      <c r="Q366" s="58"/>
      <c r="R366" s="58"/>
      <c r="S366" s="58"/>
      <c r="T366" s="58"/>
      <c r="U366" s="210"/>
      <c r="V366" s="58"/>
      <c r="W366" s="58"/>
      <c r="X366" s="58">
        <f t="shared" ref="X366:AE366" si="907">X356+X360*7</f>
        <v>467.18699999999995</v>
      </c>
      <c r="Y366" s="58">
        <f t="shared" si="907"/>
        <v>509.99999999999994</v>
      </c>
      <c r="Z366" s="210">
        <f t="shared" si="907"/>
        <v>472.06699999999995</v>
      </c>
      <c r="AA366" s="58">
        <f t="shared" si="907"/>
        <v>499.61299999999994</v>
      </c>
      <c r="AB366" s="58">
        <f t="shared" si="907"/>
        <v>594.70299999999997</v>
      </c>
      <c r="AC366" s="58">
        <f t="shared" si="907"/>
        <v>651.86500000000001</v>
      </c>
      <c r="AD366" s="58">
        <f t="shared" si="907"/>
        <v>622.06799999999998</v>
      </c>
      <c r="AE366" s="210">
        <f t="shared" si="907"/>
        <v>588.18799999999999</v>
      </c>
      <c r="AF366" s="58"/>
      <c r="AG366" s="58"/>
      <c r="AH366" s="58"/>
      <c r="AI366" s="58"/>
      <c r="AJ366" s="210">
        <f>AJ356+AJ360*7</f>
        <v>657.52799999999979</v>
      </c>
      <c r="AK366" s="58"/>
      <c r="AL366" s="58"/>
      <c r="AM366" s="58"/>
      <c r="AN366" s="58"/>
      <c r="AO366" s="210">
        <f>AO356+AO360*7</f>
        <v>884.25299999999993</v>
      </c>
      <c r="AP366" s="58"/>
      <c r="AQ366" s="58"/>
      <c r="AR366" s="58"/>
      <c r="AS366" s="58"/>
      <c r="AT366" s="210">
        <f>AT356+AT360*7</f>
        <v>1323.415</v>
      </c>
      <c r="AU366" s="58"/>
      <c r="AV366" s="58"/>
      <c r="AW366" s="58"/>
      <c r="AX366" s="58"/>
      <c r="AY366" s="210">
        <f>AY356+AY360*7</f>
        <v>1692.538</v>
      </c>
      <c r="AZ366" s="159"/>
      <c r="BA366" s="159"/>
      <c r="BB366" s="159"/>
      <c r="BC366" s="159"/>
      <c r="BD366" s="182">
        <f>BD356+BD360*7</f>
        <v>2143.0429999999997</v>
      </c>
      <c r="BE366" s="159"/>
      <c r="BF366" s="159"/>
      <c r="BG366" s="159"/>
      <c r="BH366" s="159"/>
      <c r="BI366" s="182">
        <f>BI356+BI360*7</f>
        <v>2466.294166857097</v>
      </c>
      <c r="BJ366" s="159"/>
      <c r="BK366" s="159"/>
      <c r="BL366" s="159"/>
      <c r="BM366" s="159"/>
      <c r="BN366" s="182">
        <f>BN356+BN360*7</f>
        <v>2826.2702034854237</v>
      </c>
      <c r="BO366" s="159"/>
      <c r="BP366" s="159"/>
      <c r="BQ366" s="159"/>
      <c r="BR366" s="159"/>
      <c r="BS366" s="182">
        <f>BS356+BS360*7</f>
        <v>3038.5915887410101</v>
      </c>
    </row>
    <row r="367" spans="1:71" ht="12.75" hidden="1" customHeight="1" x14ac:dyDescent="0.2">
      <c r="A367" s="46" t="s">
        <v>332</v>
      </c>
      <c r="B367" s="35"/>
      <c r="C367" s="35"/>
      <c r="D367" s="35"/>
      <c r="E367" s="35"/>
      <c r="F367" s="170"/>
      <c r="G367" s="38"/>
      <c r="H367" s="38"/>
      <c r="I367" s="38"/>
      <c r="J367" s="38"/>
      <c r="K367" s="173"/>
      <c r="L367" s="38"/>
      <c r="M367" s="38"/>
      <c r="N367" s="38"/>
      <c r="O367" s="38"/>
      <c r="P367" s="173"/>
      <c r="Q367" s="38"/>
      <c r="R367" s="38"/>
      <c r="S367" s="38"/>
      <c r="T367" s="38"/>
      <c r="U367" s="173"/>
      <c r="V367" s="38"/>
      <c r="W367" s="38"/>
      <c r="X367" s="38"/>
      <c r="Y367" s="38"/>
      <c r="Z367" s="173"/>
      <c r="AA367" s="38"/>
      <c r="AB367" s="38"/>
      <c r="AC367" s="38"/>
      <c r="AD367" s="38"/>
      <c r="AE367" s="173"/>
      <c r="AF367" s="38"/>
      <c r="AG367" s="38"/>
      <c r="AH367" s="38"/>
      <c r="AI367" s="38"/>
      <c r="AJ367" s="173"/>
      <c r="AK367" s="38"/>
      <c r="AL367" s="38"/>
      <c r="AM367" s="38"/>
      <c r="AN367" s="38"/>
      <c r="AO367" s="173"/>
      <c r="AP367" s="38"/>
      <c r="AQ367" s="38"/>
      <c r="AR367" s="38"/>
      <c r="AS367" s="38"/>
      <c r="AT367" s="173"/>
      <c r="AU367" s="38"/>
      <c r="AV367" s="38"/>
      <c r="AW367" s="38"/>
      <c r="AX367" s="38"/>
      <c r="AY367" s="173"/>
      <c r="AZ367" s="155"/>
      <c r="BA367" s="155"/>
      <c r="BB367" s="155"/>
      <c r="BC367" s="155"/>
      <c r="BD367" s="176"/>
      <c r="BE367" s="155"/>
      <c r="BF367" s="155"/>
      <c r="BG367" s="155"/>
      <c r="BH367" s="155"/>
      <c r="BI367" s="176"/>
      <c r="BJ367" s="155"/>
      <c r="BK367" s="155"/>
      <c r="BL367" s="155"/>
      <c r="BM367" s="155"/>
      <c r="BN367" s="176"/>
      <c r="BO367" s="155"/>
      <c r="BP367" s="155"/>
      <c r="BQ367" s="155"/>
      <c r="BR367" s="155"/>
      <c r="BS367" s="176"/>
    </row>
    <row r="368" spans="1:71" ht="12.75" hidden="1" customHeight="1" x14ac:dyDescent="0.2">
      <c r="A368" s="594" t="s">
        <v>170</v>
      </c>
      <c r="B368" s="35"/>
      <c r="C368" s="35"/>
      <c r="D368" s="35"/>
      <c r="E368" s="35"/>
      <c r="F368" s="170"/>
      <c r="G368" s="38"/>
      <c r="H368" s="38"/>
      <c r="I368" s="38"/>
      <c r="J368" s="38"/>
      <c r="K368" s="173"/>
      <c r="L368" s="90"/>
      <c r="M368" s="90"/>
      <c r="N368" s="90"/>
      <c r="O368" s="90"/>
      <c r="P368" s="216"/>
      <c r="Q368" s="90"/>
      <c r="R368" s="90"/>
      <c r="S368" s="90"/>
      <c r="T368" s="90"/>
      <c r="U368" s="216"/>
      <c r="V368" s="90"/>
      <c r="W368" s="90"/>
      <c r="X368" s="90">
        <f t="shared" ref="X368:Z369" si="908">W368</f>
        <v>0</v>
      </c>
      <c r="Y368" s="90">
        <f t="shared" si="908"/>
        <v>0</v>
      </c>
      <c r="Z368" s="216">
        <f t="shared" si="908"/>
        <v>0</v>
      </c>
      <c r="AA368" s="90">
        <f t="shared" ref="AA368:AD369" si="909">Z368</f>
        <v>0</v>
      </c>
      <c r="AB368" s="90">
        <f t="shared" si="909"/>
        <v>0</v>
      </c>
      <c r="AC368" s="90">
        <f t="shared" si="909"/>
        <v>0</v>
      </c>
      <c r="AD368" s="90">
        <f t="shared" si="909"/>
        <v>0</v>
      </c>
      <c r="AE368" s="216">
        <f>Z368</f>
        <v>0</v>
      </c>
      <c r="AF368" s="90"/>
      <c r="AG368" s="90"/>
      <c r="AH368" s="90"/>
      <c r="AI368" s="90"/>
      <c r="AJ368" s="216">
        <f>AE368</f>
        <v>0</v>
      </c>
      <c r="AK368" s="90"/>
      <c r="AL368" s="90"/>
      <c r="AM368" s="90"/>
      <c r="AN368" s="90"/>
      <c r="AO368" s="216">
        <f>AJ368</f>
        <v>0</v>
      </c>
      <c r="AP368" s="90"/>
      <c r="AQ368" s="90"/>
      <c r="AR368" s="90"/>
      <c r="AS368" s="90"/>
      <c r="AT368" s="216">
        <f>AO368</f>
        <v>0</v>
      </c>
      <c r="AU368" s="90"/>
      <c r="AV368" s="90"/>
      <c r="AW368" s="90"/>
      <c r="AX368" s="90"/>
      <c r="AY368" s="216">
        <f>AT368</f>
        <v>0</v>
      </c>
      <c r="AZ368" s="90"/>
      <c r="BA368" s="90"/>
      <c r="BB368" s="90"/>
      <c r="BC368" s="90"/>
      <c r="BD368" s="216">
        <f>AY368</f>
        <v>0</v>
      </c>
      <c r="BE368" s="90"/>
      <c r="BF368" s="90"/>
      <c r="BG368" s="90"/>
      <c r="BH368" s="90"/>
      <c r="BI368" s="216">
        <f>BD368</f>
        <v>0</v>
      </c>
      <c r="BJ368" s="90"/>
      <c r="BK368" s="90"/>
      <c r="BL368" s="90"/>
      <c r="BM368" s="90"/>
      <c r="BN368" s="216">
        <f>BI368</f>
        <v>0</v>
      </c>
      <c r="BO368" s="90"/>
      <c r="BP368" s="90"/>
      <c r="BQ368" s="90"/>
      <c r="BR368" s="90"/>
      <c r="BS368" s="216">
        <f>BN368</f>
        <v>0</v>
      </c>
    </row>
    <row r="369" spans="1:71" ht="12.75" hidden="1" customHeight="1" x14ac:dyDescent="0.2">
      <c r="A369" s="32" t="s">
        <v>333</v>
      </c>
      <c r="B369" s="35"/>
      <c r="C369" s="35"/>
      <c r="D369" s="35"/>
      <c r="E369" s="35"/>
      <c r="F369" s="170"/>
      <c r="G369" s="38"/>
      <c r="H369" s="38"/>
      <c r="I369" s="38"/>
      <c r="J369" s="38"/>
      <c r="K369" s="173"/>
      <c r="L369" s="38"/>
      <c r="M369" s="38"/>
      <c r="N369" s="38"/>
      <c r="O369" s="38"/>
      <c r="P369" s="173"/>
      <c r="Q369" s="38"/>
      <c r="R369" s="38"/>
      <c r="S369" s="38"/>
      <c r="T369" s="38"/>
      <c r="U369" s="173"/>
      <c r="V369" s="38"/>
      <c r="W369" s="38"/>
      <c r="X369" s="91">
        <v>13.42</v>
      </c>
      <c r="Y369" s="91">
        <f t="shared" si="908"/>
        <v>13.42</v>
      </c>
      <c r="Z369" s="307">
        <f t="shared" si="908"/>
        <v>13.42</v>
      </c>
      <c r="AA369" s="91">
        <f t="shared" si="909"/>
        <v>13.42</v>
      </c>
      <c r="AB369" s="91">
        <f t="shared" si="909"/>
        <v>13.42</v>
      </c>
      <c r="AC369" s="91">
        <f t="shared" si="909"/>
        <v>13.42</v>
      </c>
      <c r="AD369" s="91">
        <f t="shared" si="909"/>
        <v>13.42</v>
      </c>
      <c r="AE369" s="307">
        <f>Z369</f>
        <v>13.42</v>
      </c>
      <c r="AF369" s="38"/>
      <c r="AG369" s="38"/>
      <c r="AH369" s="91"/>
      <c r="AI369" s="91"/>
      <c r="AJ369" s="307">
        <f>AE369</f>
        <v>13.42</v>
      </c>
      <c r="AK369" s="38"/>
      <c r="AL369" s="38"/>
      <c r="AM369" s="91"/>
      <c r="AN369" s="91"/>
      <c r="AO369" s="307">
        <f>AJ369</f>
        <v>13.42</v>
      </c>
      <c r="AP369" s="38"/>
      <c r="AQ369" s="38"/>
      <c r="AR369" s="91"/>
      <c r="AS369" s="91"/>
      <c r="AT369" s="307">
        <f>AO369</f>
        <v>13.42</v>
      </c>
      <c r="AU369" s="38"/>
      <c r="AV369" s="38"/>
      <c r="AW369" s="91"/>
      <c r="AX369" s="91"/>
      <c r="AY369" s="307">
        <f>AT369</f>
        <v>13.42</v>
      </c>
      <c r="AZ369" s="91"/>
      <c r="BA369" s="91"/>
      <c r="BB369" s="91"/>
      <c r="BC369" s="91"/>
      <c r="BD369" s="307">
        <f>AY369</f>
        <v>13.42</v>
      </c>
      <c r="BE369" s="91"/>
      <c r="BF369" s="91"/>
      <c r="BG369" s="91"/>
      <c r="BH369" s="91"/>
      <c r="BI369" s="307">
        <f>BD369</f>
        <v>13.42</v>
      </c>
      <c r="BJ369" s="155"/>
      <c r="BK369" s="155"/>
      <c r="BL369" s="91"/>
      <c r="BM369" s="91"/>
      <c r="BN369" s="307">
        <f>BI369</f>
        <v>13.42</v>
      </c>
      <c r="BO369" s="155"/>
      <c r="BP369" s="155"/>
      <c r="BQ369" s="91"/>
      <c r="BR369" s="91"/>
      <c r="BS369" s="307">
        <f>BN369</f>
        <v>13.42</v>
      </c>
    </row>
    <row r="370" spans="1:71" ht="12.75" hidden="1" customHeight="1" x14ac:dyDescent="0.2">
      <c r="A370" s="92" t="s">
        <v>334</v>
      </c>
      <c r="B370" s="35"/>
      <c r="C370" s="35"/>
      <c r="D370" s="35"/>
      <c r="E370" s="35"/>
      <c r="F370" s="170"/>
      <c r="G370" s="38"/>
      <c r="H370" s="38"/>
      <c r="I370" s="38"/>
      <c r="J370" s="38"/>
      <c r="K370" s="173"/>
      <c r="L370" s="38"/>
      <c r="M370" s="38"/>
      <c r="N370" s="38"/>
      <c r="O370" s="38"/>
      <c r="P370" s="173"/>
      <c r="Q370" s="38"/>
      <c r="R370" s="38"/>
      <c r="S370" s="38"/>
      <c r="T370" s="38"/>
      <c r="U370" s="173"/>
      <c r="V370" s="38"/>
      <c r="W370" s="38"/>
      <c r="X370" s="38"/>
      <c r="Y370" s="38"/>
      <c r="Z370" s="173"/>
      <c r="AA370" s="38"/>
      <c r="AB370" s="38"/>
      <c r="AC370" s="38"/>
      <c r="AD370" s="38"/>
      <c r="AE370" s="173"/>
      <c r="AF370" s="38"/>
      <c r="AG370" s="38"/>
      <c r="AH370" s="38"/>
      <c r="AI370" s="38"/>
      <c r="AJ370" s="173"/>
      <c r="AK370" s="38"/>
      <c r="AL370" s="38"/>
      <c r="AM370" s="38"/>
      <c r="AN370" s="38"/>
      <c r="AO370" s="173"/>
      <c r="AP370" s="38"/>
      <c r="AQ370" s="38"/>
      <c r="AR370" s="38"/>
      <c r="AS370" s="38"/>
      <c r="AT370" s="173"/>
      <c r="AU370" s="38"/>
      <c r="AV370" s="38"/>
      <c r="AW370" s="38"/>
      <c r="AX370" s="38"/>
      <c r="AY370" s="173"/>
      <c r="AZ370" s="155"/>
      <c r="BA370" s="155"/>
      <c r="BB370" s="155"/>
      <c r="BC370" s="155"/>
      <c r="BD370" s="176"/>
      <c r="BE370" s="155"/>
      <c r="BF370" s="155"/>
      <c r="BG370" s="155"/>
      <c r="BH370" s="155"/>
      <c r="BI370" s="176"/>
      <c r="BJ370" s="155"/>
      <c r="BK370" s="155"/>
      <c r="BL370" s="155"/>
      <c r="BM370" s="155"/>
      <c r="BN370" s="176"/>
      <c r="BO370" s="155"/>
      <c r="BP370" s="155"/>
      <c r="BQ370" s="155"/>
      <c r="BR370" s="155"/>
      <c r="BS370" s="176"/>
    </row>
    <row r="371" spans="1:71" ht="12.75" hidden="1" customHeight="1" x14ac:dyDescent="0.2">
      <c r="A371" s="51" t="s">
        <v>335</v>
      </c>
      <c r="B371" s="35"/>
      <c r="C371" s="35"/>
      <c r="D371" s="35"/>
      <c r="E371" s="35"/>
      <c r="F371" s="170"/>
      <c r="G371" s="38"/>
      <c r="H371" s="38"/>
      <c r="I371" s="38"/>
      <c r="J371" s="38"/>
      <c r="K371" s="173"/>
      <c r="L371" s="58"/>
      <c r="M371" s="58"/>
      <c r="N371" s="58"/>
      <c r="O371" s="58"/>
      <c r="P371" s="210"/>
      <c r="Q371" s="58"/>
      <c r="R371" s="58"/>
      <c r="S371" s="58"/>
      <c r="T371" s="58"/>
      <c r="U371" s="210"/>
      <c r="V371" s="58"/>
      <c r="W371" s="58"/>
      <c r="X371" s="58">
        <f t="shared" ref="X371:AE371" si="910">X368*X369+X355</f>
        <v>-350.97300000000001</v>
      </c>
      <c r="Y371" s="58">
        <f t="shared" si="910"/>
        <v>-343.32800000000003</v>
      </c>
      <c r="Z371" s="210">
        <f t="shared" si="910"/>
        <v>-343.32800000000003</v>
      </c>
      <c r="AA371" s="58">
        <f t="shared" si="910"/>
        <v>-420.83100000000002</v>
      </c>
      <c r="AB371" s="58">
        <f t="shared" si="910"/>
        <v>-414.97700000000003</v>
      </c>
      <c r="AC371" s="58">
        <f t="shared" si="910"/>
        <v>-399.14300000000003</v>
      </c>
      <c r="AD371" s="58">
        <f t="shared" si="910"/>
        <v>-416.81600000000003</v>
      </c>
      <c r="AE371" s="210">
        <f t="shared" si="910"/>
        <v>-416.81600000000003</v>
      </c>
      <c r="AF371" s="58"/>
      <c r="AG371" s="58"/>
      <c r="AH371" s="58"/>
      <c r="AI371" s="58"/>
      <c r="AJ371" s="210">
        <f>AJ368*AJ369+AJ355</f>
        <v>-530.63100000000009</v>
      </c>
      <c r="AK371" s="58"/>
      <c r="AL371" s="58"/>
      <c r="AM371" s="58"/>
      <c r="AN371" s="58"/>
      <c r="AO371" s="210">
        <f>AO368*AO369+AO355</f>
        <v>-486.53600000000006</v>
      </c>
      <c r="AP371" s="58"/>
      <c r="AQ371" s="58"/>
      <c r="AR371" s="58"/>
      <c r="AS371" s="58"/>
      <c r="AT371" s="210">
        <f>AT368*AT369+AT355</f>
        <v>-157.30200000000013</v>
      </c>
      <c r="AU371" s="58"/>
      <c r="AV371" s="58"/>
      <c r="AW371" s="58"/>
      <c r="AX371" s="58"/>
      <c r="AY371" s="210">
        <f>AY368*AY369+AY355</f>
        <v>280.81299999999999</v>
      </c>
      <c r="AZ371" s="159"/>
      <c r="BA371" s="159"/>
      <c r="BB371" s="159"/>
      <c r="BC371" s="159"/>
      <c r="BD371" s="182">
        <f>BD368*BD369+BD355</f>
        <v>702.07899999999972</v>
      </c>
      <c r="BE371" s="159"/>
      <c r="BF371" s="159"/>
      <c r="BG371" s="159"/>
      <c r="BH371" s="159"/>
      <c r="BI371" s="182">
        <f>BI368*BI369+BI355</f>
        <v>1166.7205740627217</v>
      </c>
      <c r="BJ371" s="159"/>
      <c r="BK371" s="159"/>
      <c r="BL371" s="159"/>
      <c r="BM371" s="159"/>
      <c r="BN371" s="182">
        <f>BN368*BN369+BN355</f>
        <v>1531.6949706633345</v>
      </c>
      <c r="BO371" s="159"/>
      <c r="BP371" s="159"/>
      <c r="BQ371" s="159"/>
      <c r="BR371" s="159"/>
      <c r="BS371" s="182">
        <f>BS368*BS369+BS355</f>
        <v>1728.0216040076057</v>
      </c>
    </row>
    <row r="372" spans="1:71" ht="12.75" hidden="1" customHeight="1" x14ac:dyDescent="0.2">
      <c r="A372" s="51" t="s">
        <v>336</v>
      </c>
      <c r="B372" s="35"/>
      <c r="C372" s="35"/>
      <c r="D372" s="35"/>
      <c r="E372" s="35"/>
      <c r="F372" s="170"/>
      <c r="G372" s="38"/>
      <c r="H372" s="38"/>
      <c r="I372" s="38"/>
      <c r="J372" s="38"/>
      <c r="K372" s="173"/>
      <c r="L372" s="58"/>
      <c r="M372" s="58"/>
      <c r="N372" s="58"/>
      <c r="O372" s="58"/>
      <c r="P372" s="210"/>
      <c r="Q372" s="58"/>
      <c r="R372" s="58"/>
      <c r="S372" s="58"/>
      <c r="T372" s="58"/>
      <c r="U372" s="210"/>
      <c r="V372" s="58"/>
      <c r="W372" s="58"/>
      <c r="X372" s="58">
        <f t="shared" ref="X372:AE372" si="911">X368*X369+X356</f>
        <v>-350.97300000000001</v>
      </c>
      <c r="Y372" s="58">
        <f t="shared" si="911"/>
        <v>-343.32800000000003</v>
      </c>
      <c r="Z372" s="210">
        <f t="shared" si="911"/>
        <v>-343.32800000000003</v>
      </c>
      <c r="AA372" s="58">
        <f t="shared" si="911"/>
        <v>-420.83100000000002</v>
      </c>
      <c r="AB372" s="58">
        <f t="shared" si="911"/>
        <v>-414.97700000000003</v>
      </c>
      <c r="AC372" s="58">
        <f t="shared" si="911"/>
        <v>-399.14300000000003</v>
      </c>
      <c r="AD372" s="58">
        <f t="shared" si="911"/>
        <v>-416.81600000000003</v>
      </c>
      <c r="AE372" s="210">
        <f t="shared" si="911"/>
        <v>-416.81600000000003</v>
      </c>
      <c r="AF372" s="58"/>
      <c r="AG372" s="58"/>
      <c r="AH372" s="58"/>
      <c r="AI372" s="58"/>
      <c r="AJ372" s="210">
        <f>AJ368*AJ369+AJ356</f>
        <v>-530.63100000000009</v>
      </c>
      <c r="AK372" s="58"/>
      <c r="AL372" s="58"/>
      <c r="AM372" s="58"/>
      <c r="AN372" s="58"/>
      <c r="AO372" s="210">
        <f>AO368*AO369+AO356</f>
        <v>-486.53600000000006</v>
      </c>
      <c r="AP372" s="58"/>
      <c r="AQ372" s="58"/>
      <c r="AR372" s="58"/>
      <c r="AS372" s="58"/>
      <c r="AT372" s="210">
        <f>AT368*AT369+AT356</f>
        <v>-157.30200000000013</v>
      </c>
      <c r="AU372" s="58"/>
      <c r="AV372" s="58"/>
      <c r="AW372" s="58"/>
      <c r="AX372" s="58"/>
      <c r="AY372" s="210">
        <f>AY368*AY369+AY356</f>
        <v>280.81299999999999</v>
      </c>
      <c r="AZ372" s="159"/>
      <c r="BA372" s="159"/>
      <c r="BB372" s="159"/>
      <c r="BC372" s="159"/>
      <c r="BD372" s="182">
        <f>BD368*BD369+BD356</f>
        <v>702.07899999999972</v>
      </c>
      <c r="BE372" s="159"/>
      <c r="BF372" s="159"/>
      <c r="BG372" s="159"/>
      <c r="BH372" s="159"/>
      <c r="BI372" s="182">
        <f>BI368*BI369+BI356</f>
        <v>1166.7205740627217</v>
      </c>
      <c r="BJ372" s="159"/>
      <c r="BK372" s="159"/>
      <c r="BL372" s="159"/>
      <c r="BM372" s="159"/>
      <c r="BN372" s="182">
        <f>BN368*BN369+BN356</f>
        <v>1531.6949706633345</v>
      </c>
      <c r="BO372" s="159"/>
      <c r="BP372" s="159"/>
      <c r="BQ372" s="159"/>
      <c r="BR372" s="159"/>
      <c r="BS372" s="182">
        <f>BS368*BS369+BS356</f>
        <v>1728.0216040076057</v>
      </c>
    </row>
    <row r="373" spans="1:71" ht="12.75" hidden="1" customHeight="1" x14ac:dyDescent="0.2">
      <c r="A373" s="51"/>
      <c r="B373" s="35"/>
      <c r="C373" s="35"/>
      <c r="D373" s="35"/>
      <c r="E373" s="35"/>
      <c r="F373" s="170"/>
      <c r="G373" s="38"/>
      <c r="H373" s="38"/>
      <c r="I373" s="38"/>
      <c r="J373" s="38"/>
      <c r="K373" s="173"/>
      <c r="L373" s="58"/>
      <c r="M373" s="58"/>
      <c r="N373" s="58"/>
      <c r="O373" s="58"/>
      <c r="P373" s="210"/>
      <c r="Q373" s="58"/>
      <c r="R373" s="58"/>
      <c r="S373" s="58"/>
      <c r="T373" s="58"/>
      <c r="U373" s="210"/>
      <c r="V373" s="58"/>
      <c r="W373" s="58"/>
      <c r="X373" s="58"/>
      <c r="Y373" s="58"/>
      <c r="Z373" s="210"/>
      <c r="AA373" s="58"/>
      <c r="AB373" s="58"/>
      <c r="AC373" s="58"/>
      <c r="AD373" s="58"/>
      <c r="AE373" s="210"/>
      <c r="AF373" s="58"/>
      <c r="AG373" s="58"/>
      <c r="AH373" s="58"/>
      <c r="AI373" s="58"/>
      <c r="AJ373" s="210"/>
      <c r="AK373" s="58"/>
      <c r="AL373" s="58"/>
      <c r="AM373" s="58"/>
      <c r="AN373" s="58"/>
      <c r="AO373" s="210"/>
      <c r="AP373" s="58"/>
      <c r="AQ373" s="58"/>
      <c r="AR373" s="58"/>
      <c r="AS373" s="58"/>
      <c r="AT373" s="210"/>
      <c r="AU373" s="58"/>
      <c r="AV373" s="58"/>
      <c r="AW373" s="58"/>
      <c r="AX373" s="58"/>
      <c r="AY373" s="210"/>
      <c r="AZ373" s="159"/>
      <c r="BA373" s="159"/>
      <c r="BB373" s="159"/>
      <c r="BC373" s="159"/>
      <c r="BD373" s="182"/>
      <c r="BE373" s="159"/>
      <c r="BF373" s="159"/>
      <c r="BG373" s="159"/>
      <c r="BH373" s="159"/>
      <c r="BI373" s="182"/>
      <c r="BJ373" s="159"/>
      <c r="BK373" s="159"/>
      <c r="BL373" s="159"/>
      <c r="BM373" s="159"/>
      <c r="BN373" s="182"/>
      <c r="BO373" s="159"/>
      <c r="BP373" s="159"/>
      <c r="BQ373" s="159"/>
      <c r="BR373" s="159"/>
      <c r="BS373" s="182"/>
    </row>
    <row r="374" spans="1:71" ht="12.75" hidden="1" customHeight="1" x14ac:dyDescent="0.2">
      <c r="A374" s="51" t="s">
        <v>337</v>
      </c>
      <c r="B374" s="35"/>
      <c r="C374" s="35"/>
      <c r="D374" s="35"/>
      <c r="E374" s="35"/>
      <c r="F374" s="170"/>
      <c r="G374" s="38"/>
      <c r="H374" s="38"/>
      <c r="I374" s="38"/>
      <c r="J374" s="38"/>
      <c r="K374" s="173"/>
      <c r="L374" s="58"/>
      <c r="M374" s="58"/>
      <c r="N374" s="58"/>
      <c r="O374" s="58"/>
      <c r="P374" s="210"/>
      <c r="Q374" s="58"/>
      <c r="R374" s="58"/>
      <c r="S374" s="58"/>
      <c r="T374" s="58"/>
      <c r="U374" s="210"/>
      <c r="V374" s="58"/>
      <c r="W374" s="58"/>
      <c r="X374" s="58">
        <f t="shared" ref="X374:AE374" si="912">X368*X369+X362</f>
        <v>467.18699999999995</v>
      </c>
      <c r="Y374" s="58">
        <f t="shared" si="912"/>
        <v>509.99999999999994</v>
      </c>
      <c r="Z374" s="210">
        <f t="shared" si="912"/>
        <v>472.06699999999995</v>
      </c>
      <c r="AA374" s="58">
        <f t="shared" si="912"/>
        <v>499.61299999999994</v>
      </c>
      <c r="AB374" s="58">
        <f t="shared" si="912"/>
        <v>594.70299999999997</v>
      </c>
      <c r="AC374" s="58">
        <f t="shared" si="912"/>
        <v>651.86500000000001</v>
      </c>
      <c r="AD374" s="58">
        <f t="shared" si="912"/>
        <v>622.06799999999998</v>
      </c>
      <c r="AE374" s="210">
        <f t="shared" si="912"/>
        <v>588.18799999999999</v>
      </c>
      <c r="AF374" s="58"/>
      <c r="AG374" s="58"/>
      <c r="AH374" s="58"/>
      <c r="AI374" s="58"/>
      <c r="AJ374" s="210">
        <f>AJ368*AJ369+AJ362</f>
        <v>657.52799999999979</v>
      </c>
      <c r="AK374" s="58"/>
      <c r="AL374" s="58"/>
      <c r="AM374" s="58"/>
      <c r="AN374" s="58"/>
      <c r="AO374" s="210">
        <f>AO368*AO369+AO362</f>
        <v>884.25299999999993</v>
      </c>
      <c r="AP374" s="58"/>
      <c r="AQ374" s="58"/>
      <c r="AR374" s="58"/>
      <c r="AS374" s="58"/>
      <c r="AT374" s="210">
        <f>AT368*AT369+AT362</f>
        <v>1323.415</v>
      </c>
      <c r="AU374" s="58"/>
      <c r="AV374" s="58"/>
      <c r="AW374" s="58"/>
      <c r="AX374" s="58"/>
      <c r="AY374" s="210">
        <f>AY368*AY369+AY362</f>
        <v>1692.538</v>
      </c>
      <c r="AZ374" s="159"/>
      <c r="BA374" s="159"/>
      <c r="BB374" s="159"/>
      <c r="BC374" s="159"/>
      <c r="BD374" s="182">
        <f>BD368*BD369+BD362</f>
        <v>2143.0429999999997</v>
      </c>
      <c r="BE374" s="159"/>
      <c r="BF374" s="159"/>
      <c r="BG374" s="159"/>
      <c r="BH374" s="159"/>
      <c r="BI374" s="182">
        <f>BI368*BI369+BI362</f>
        <v>2466.294166857097</v>
      </c>
      <c r="BJ374" s="159"/>
      <c r="BK374" s="159"/>
      <c r="BL374" s="159"/>
      <c r="BM374" s="159"/>
      <c r="BN374" s="182">
        <f>BN368*BN369+BN362</f>
        <v>2826.2702034854237</v>
      </c>
      <c r="BO374" s="159"/>
      <c r="BP374" s="159"/>
      <c r="BQ374" s="159"/>
      <c r="BR374" s="159"/>
      <c r="BS374" s="182">
        <f>BS368*BS369+BS362</f>
        <v>3038.5915887410101</v>
      </c>
    </row>
    <row r="375" spans="1:71" ht="12.75" hidden="1" customHeight="1" x14ac:dyDescent="0.2">
      <c r="A375" s="51" t="s">
        <v>338</v>
      </c>
      <c r="B375" s="35"/>
      <c r="C375" s="35"/>
      <c r="D375" s="35"/>
      <c r="E375" s="35"/>
      <c r="F375" s="170"/>
      <c r="G375" s="38"/>
      <c r="H375" s="38"/>
      <c r="I375" s="38"/>
      <c r="J375" s="38"/>
      <c r="K375" s="173"/>
      <c r="L375" s="58"/>
      <c r="M375" s="58"/>
      <c r="N375" s="58"/>
      <c r="O375" s="58"/>
      <c r="P375" s="210"/>
      <c r="Q375" s="58"/>
      <c r="R375" s="58"/>
      <c r="S375" s="58"/>
      <c r="T375" s="58"/>
      <c r="U375" s="210"/>
      <c r="V375" s="58"/>
      <c r="W375" s="58"/>
      <c r="X375" s="58">
        <f t="shared" ref="X375:AE375" si="913">X368*X369+X363</f>
        <v>467.18699999999995</v>
      </c>
      <c r="Y375" s="58">
        <f t="shared" si="913"/>
        <v>509.99999999999994</v>
      </c>
      <c r="Z375" s="210">
        <f t="shared" si="913"/>
        <v>472.06699999999995</v>
      </c>
      <c r="AA375" s="58">
        <f t="shared" si="913"/>
        <v>499.61299999999994</v>
      </c>
      <c r="AB375" s="58">
        <f t="shared" si="913"/>
        <v>594.70299999999997</v>
      </c>
      <c r="AC375" s="58">
        <f t="shared" si="913"/>
        <v>651.86500000000001</v>
      </c>
      <c r="AD375" s="58">
        <f t="shared" si="913"/>
        <v>622.06799999999998</v>
      </c>
      <c r="AE375" s="210">
        <f t="shared" si="913"/>
        <v>588.18799999999999</v>
      </c>
      <c r="AF375" s="58"/>
      <c r="AG375" s="58"/>
      <c r="AH375" s="58"/>
      <c r="AI375" s="58"/>
      <c r="AJ375" s="210">
        <f>AJ368*AJ369+AJ363</f>
        <v>657.52799999999979</v>
      </c>
      <c r="AK375" s="58"/>
      <c r="AL375" s="58"/>
      <c r="AM375" s="58"/>
      <c r="AN375" s="58"/>
      <c r="AO375" s="210">
        <f>AO368*AO369+AO363</f>
        <v>884.25299999999993</v>
      </c>
      <c r="AP375" s="58"/>
      <c r="AQ375" s="58"/>
      <c r="AR375" s="58"/>
      <c r="AS375" s="58"/>
      <c r="AT375" s="210">
        <f>AT368*AT369+AT363</f>
        <v>1323.415</v>
      </c>
      <c r="AU375" s="58"/>
      <c r="AV375" s="58"/>
      <c r="AW375" s="58"/>
      <c r="AX375" s="58"/>
      <c r="AY375" s="210">
        <f>AY368*AY369+AY363</f>
        <v>1692.538</v>
      </c>
      <c r="AZ375" s="159"/>
      <c r="BA375" s="159"/>
      <c r="BB375" s="159"/>
      <c r="BC375" s="159"/>
      <c r="BD375" s="182">
        <f>BD368*BD369+BD363</f>
        <v>2143.0429999999997</v>
      </c>
      <c r="BE375" s="159"/>
      <c r="BF375" s="159"/>
      <c r="BG375" s="159"/>
      <c r="BH375" s="159"/>
      <c r="BI375" s="182">
        <f>BI368*BI369+BI363</f>
        <v>2466.294166857097</v>
      </c>
      <c r="BJ375" s="159"/>
      <c r="BK375" s="159"/>
      <c r="BL375" s="159"/>
      <c r="BM375" s="159"/>
      <c r="BN375" s="182">
        <f>BN368*BN369+BN363</f>
        <v>2826.2702034854237</v>
      </c>
      <c r="BO375" s="159"/>
      <c r="BP375" s="159"/>
      <c r="BQ375" s="159"/>
      <c r="BR375" s="159"/>
      <c r="BS375" s="182">
        <f>BS368*BS369+BS363</f>
        <v>3038.5915887410101</v>
      </c>
    </row>
    <row r="376" spans="1:71" ht="12.75" hidden="1" customHeight="1" x14ac:dyDescent="0.2">
      <c r="A376" s="51"/>
      <c r="B376" s="35"/>
      <c r="C376" s="35"/>
      <c r="D376" s="35"/>
      <c r="E376" s="35"/>
      <c r="F376" s="170"/>
      <c r="G376" s="38"/>
      <c r="H376" s="38"/>
      <c r="I376" s="38"/>
      <c r="J376" s="38"/>
      <c r="K376" s="173"/>
      <c r="L376" s="58"/>
      <c r="M376" s="58"/>
      <c r="N376" s="58"/>
      <c r="O376" s="58"/>
      <c r="P376" s="210"/>
      <c r="Q376" s="58"/>
      <c r="R376" s="58"/>
      <c r="S376" s="58"/>
      <c r="T376" s="58"/>
      <c r="U376" s="210"/>
      <c r="V376" s="58"/>
      <c r="W376" s="58"/>
      <c r="X376" s="58"/>
      <c r="Y376" s="58"/>
      <c r="Z376" s="210"/>
      <c r="AA376" s="58"/>
      <c r="AB376" s="58"/>
      <c r="AC376" s="58"/>
      <c r="AD376" s="58"/>
      <c r="AE376" s="210"/>
      <c r="AF376" s="58"/>
      <c r="AG376" s="58"/>
      <c r="AH376" s="58"/>
      <c r="AI376" s="58"/>
      <c r="AJ376" s="210"/>
      <c r="AK376" s="58"/>
      <c r="AL376" s="58"/>
      <c r="AM376" s="58"/>
      <c r="AN376" s="58"/>
      <c r="AO376" s="210"/>
      <c r="AP376" s="58"/>
      <c r="AQ376" s="58"/>
      <c r="AR376" s="58"/>
      <c r="AS376" s="58"/>
      <c r="AT376" s="210"/>
      <c r="AU376" s="58"/>
      <c r="AV376" s="58"/>
      <c r="AW376" s="58"/>
      <c r="AX376" s="58"/>
      <c r="AY376" s="210"/>
      <c r="AZ376" s="159"/>
      <c r="BA376" s="159"/>
      <c r="BB376" s="159"/>
      <c r="BC376" s="159"/>
      <c r="BD376" s="182"/>
      <c r="BE376" s="159"/>
      <c r="BF376" s="159"/>
      <c r="BG376" s="159"/>
      <c r="BH376" s="159"/>
      <c r="BI376" s="182"/>
      <c r="BJ376" s="159"/>
      <c r="BK376" s="159"/>
      <c r="BL376" s="159"/>
      <c r="BM376" s="159"/>
      <c r="BN376" s="182"/>
      <c r="BO376" s="159"/>
      <c r="BP376" s="159"/>
      <c r="BQ376" s="159"/>
      <c r="BR376" s="159"/>
      <c r="BS376" s="182"/>
    </row>
    <row r="377" spans="1:71" ht="12.75" hidden="1" customHeight="1" x14ac:dyDescent="0.2">
      <c r="A377" s="51" t="s">
        <v>339</v>
      </c>
      <c r="B377" s="35"/>
      <c r="C377" s="35"/>
      <c r="D377" s="35"/>
      <c r="E377" s="35"/>
      <c r="F377" s="170"/>
      <c r="G377" s="38"/>
      <c r="H377" s="38"/>
      <c r="I377" s="38"/>
      <c r="J377" s="38"/>
      <c r="K377" s="173"/>
      <c r="L377" s="58"/>
      <c r="M377" s="58"/>
      <c r="N377" s="58"/>
      <c r="O377" s="58"/>
      <c r="P377" s="210"/>
      <c r="Q377" s="58"/>
      <c r="R377" s="58"/>
      <c r="S377" s="58"/>
      <c r="T377" s="58"/>
      <c r="U377" s="210"/>
      <c r="V377" s="58"/>
      <c r="W377" s="58"/>
      <c r="X377" s="58">
        <f t="shared" ref="X377:AE377" si="914">X368*X369+X365</f>
        <v>467.18699999999995</v>
      </c>
      <c r="Y377" s="58">
        <f t="shared" si="914"/>
        <v>509.99999999999994</v>
      </c>
      <c r="Z377" s="210">
        <f t="shared" si="914"/>
        <v>472.06699999999995</v>
      </c>
      <c r="AA377" s="58">
        <f t="shared" si="914"/>
        <v>499.61299999999994</v>
      </c>
      <c r="AB377" s="58">
        <f t="shared" si="914"/>
        <v>594.70299999999997</v>
      </c>
      <c r="AC377" s="58">
        <f t="shared" si="914"/>
        <v>651.86500000000001</v>
      </c>
      <c r="AD377" s="58">
        <f t="shared" si="914"/>
        <v>622.06799999999998</v>
      </c>
      <c r="AE377" s="210">
        <f t="shared" si="914"/>
        <v>588.18799999999999</v>
      </c>
      <c r="AF377" s="58"/>
      <c r="AG377" s="58"/>
      <c r="AH377" s="58"/>
      <c r="AI377" s="58"/>
      <c r="AJ377" s="210">
        <f>AJ368*AJ369+AJ365</f>
        <v>657.52799999999979</v>
      </c>
      <c r="AK377" s="58"/>
      <c r="AL377" s="58"/>
      <c r="AM377" s="58"/>
      <c r="AN377" s="58"/>
      <c r="AO377" s="210">
        <f>AO368*AO369+AO365</f>
        <v>884.25299999999993</v>
      </c>
      <c r="AP377" s="58"/>
      <c r="AQ377" s="58"/>
      <c r="AR377" s="58"/>
      <c r="AS377" s="58"/>
      <c r="AT377" s="210">
        <f>AT368*AT369+AT365</f>
        <v>1323.415</v>
      </c>
      <c r="AU377" s="58"/>
      <c r="AV377" s="58"/>
      <c r="AW377" s="58"/>
      <c r="AX377" s="58"/>
      <c r="AY377" s="210">
        <f>AY368*AY369+AY365</f>
        <v>1692.538</v>
      </c>
      <c r="AZ377" s="159"/>
      <c r="BA377" s="159"/>
      <c r="BB377" s="159"/>
      <c r="BC377" s="159"/>
      <c r="BD377" s="182">
        <f>BD368*BD369+BD365</f>
        <v>2143.0429999999997</v>
      </c>
      <c r="BE377" s="159"/>
      <c r="BF377" s="159"/>
      <c r="BG377" s="159"/>
      <c r="BH377" s="159"/>
      <c r="BI377" s="182">
        <f>BI368*BI369+BI365</f>
        <v>2466.294166857097</v>
      </c>
      <c r="BJ377" s="159"/>
      <c r="BK377" s="159"/>
      <c r="BL377" s="159"/>
      <c r="BM377" s="159"/>
      <c r="BN377" s="182">
        <f>BN368*BN369+BN365</f>
        <v>2826.2702034854237</v>
      </c>
      <c r="BO377" s="159"/>
      <c r="BP377" s="159"/>
      <c r="BQ377" s="159"/>
      <c r="BR377" s="159"/>
      <c r="BS377" s="182">
        <f>BS368*BS369+BS365</f>
        <v>3038.5915887410101</v>
      </c>
    </row>
    <row r="378" spans="1:71" ht="12.75" hidden="1" customHeight="1" x14ac:dyDescent="0.2">
      <c r="A378" s="51" t="s">
        <v>340</v>
      </c>
      <c r="B378" s="35"/>
      <c r="C378" s="35"/>
      <c r="D378" s="35"/>
      <c r="E378" s="35"/>
      <c r="F378" s="170"/>
      <c r="G378" s="38"/>
      <c r="H378" s="38"/>
      <c r="I378" s="38"/>
      <c r="J378" s="38"/>
      <c r="K378" s="173"/>
      <c r="L378" s="58"/>
      <c r="M378" s="58"/>
      <c r="N378" s="58"/>
      <c r="O378" s="58"/>
      <c r="P378" s="210"/>
      <c r="Q378" s="58"/>
      <c r="R378" s="58"/>
      <c r="S378" s="58"/>
      <c r="T378" s="58"/>
      <c r="U378" s="210"/>
      <c r="V378" s="58"/>
      <c r="W378" s="58"/>
      <c r="X378" s="58">
        <f t="shared" ref="X378:AE378" si="915">X368*X369+X366</f>
        <v>467.18699999999995</v>
      </c>
      <c r="Y378" s="58">
        <f t="shared" si="915"/>
        <v>509.99999999999994</v>
      </c>
      <c r="Z378" s="210">
        <f t="shared" si="915"/>
        <v>472.06699999999995</v>
      </c>
      <c r="AA378" s="58">
        <f t="shared" si="915"/>
        <v>499.61299999999994</v>
      </c>
      <c r="AB378" s="58">
        <f t="shared" si="915"/>
        <v>594.70299999999997</v>
      </c>
      <c r="AC378" s="58">
        <f t="shared" si="915"/>
        <v>651.86500000000001</v>
      </c>
      <c r="AD378" s="58">
        <f t="shared" si="915"/>
        <v>622.06799999999998</v>
      </c>
      <c r="AE378" s="210">
        <f t="shared" si="915"/>
        <v>588.18799999999999</v>
      </c>
      <c r="AF378" s="58"/>
      <c r="AG378" s="58"/>
      <c r="AH378" s="58"/>
      <c r="AI378" s="58"/>
      <c r="AJ378" s="210">
        <f>AJ368*AJ369+AJ366</f>
        <v>657.52799999999979</v>
      </c>
      <c r="AK378" s="58"/>
      <c r="AL378" s="58"/>
      <c r="AM378" s="58"/>
      <c r="AN378" s="58"/>
      <c r="AO378" s="210">
        <f>AO368*AO369+AO366</f>
        <v>884.25299999999993</v>
      </c>
      <c r="AP378" s="58"/>
      <c r="AQ378" s="58"/>
      <c r="AR378" s="58"/>
      <c r="AS378" s="58"/>
      <c r="AT378" s="210">
        <f>AT368*AT369+AT366</f>
        <v>1323.415</v>
      </c>
      <c r="AU378" s="58"/>
      <c r="AV378" s="58"/>
      <c r="AW378" s="58"/>
      <c r="AX378" s="58"/>
      <c r="AY378" s="210">
        <f>AY368*AY369+AY366</f>
        <v>1692.538</v>
      </c>
      <c r="AZ378" s="159"/>
      <c r="BA378" s="159"/>
      <c r="BB378" s="159"/>
      <c r="BC378" s="159"/>
      <c r="BD378" s="182">
        <f>BD368*BD369+BD366</f>
        <v>2143.0429999999997</v>
      </c>
      <c r="BE378" s="159"/>
      <c r="BF378" s="159"/>
      <c r="BG378" s="159"/>
      <c r="BH378" s="159"/>
      <c r="BI378" s="182">
        <f>BI368*BI369+BI366</f>
        <v>2466.294166857097</v>
      </c>
      <c r="BJ378" s="159"/>
      <c r="BK378" s="159"/>
      <c r="BL378" s="159"/>
      <c r="BM378" s="159"/>
      <c r="BN378" s="182">
        <f>BN368*BN369+BN366</f>
        <v>2826.2702034854237</v>
      </c>
      <c r="BO378" s="159"/>
      <c r="BP378" s="159"/>
      <c r="BQ378" s="159"/>
      <c r="BR378" s="159"/>
      <c r="BS378" s="182">
        <f>BS368*BS369+BS366</f>
        <v>3038.5915887410101</v>
      </c>
    </row>
    <row r="379" spans="1:71" ht="12.75" hidden="1" customHeight="1" x14ac:dyDescent="0.2">
      <c r="A379" s="46" t="s">
        <v>341</v>
      </c>
      <c r="B379" s="35"/>
      <c r="C379" s="35"/>
      <c r="D379" s="35"/>
      <c r="E379" s="35"/>
      <c r="F379" s="170"/>
      <c r="G379" s="38"/>
      <c r="H379" s="38"/>
      <c r="I379" s="38"/>
      <c r="J379" s="38"/>
      <c r="K379" s="173"/>
      <c r="L379" s="38"/>
      <c r="M379" s="38"/>
      <c r="N379" s="38"/>
      <c r="O379" s="38"/>
      <c r="P379" s="173"/>
      <c r="Q379" s="38"/>
      <c r="R379" s="38"/>
      <c r="S379" s="38"/>
      <c r="T379" s="38"/>
      <c r="U379" s="173"/>
      <c r="V379" s="38"/>
      <c r="W379" s="38"/>
      <c r="X379" s="38"/>
      <c r="Y379" s="38"/>
      <c r="Z379" s="173"/>
      <c r="AA379" s="38"/>
      <c r="AB379" s="38"/>
      <c r="AC379" s="38"/>
      <c r="AD379" s="38"/>
      <c r="AE379" s="173"/>
      <c r="AF379" s="38"/>
      <c r="AG379" s="38"/>
      <c r="AH379" s="38"/>
      <c r="AI379" s="38"/>
      <c r="AJ379" s="173"/>
      <c r="AK379" s="38"/>
      <c r="AL379" s="38"/>
      <c r="AM379" s="38"/>
      <c r="AN379" s="38"/>
      <c r="AO379" s="173"/>
      <c r="AP379" s="38"/>
      <c r="AQ379" s="38"/>
      <c r="AR379" s="38"/>
      <c r="AS379" s="38"/>
      <c r="AT379" s="173"/>
      <c r="AU379" s="38"/>
      <c r="AV379" s="38"/>
      <c r="AW379" s="38"/>
      <c r="AX379" s="38"/>
      <c r="AY379" s="173"/>
      <c r="AZ379" s="155"/>
      <c r="BA379" s="155"/>
      <c r="BB379" s="155"/>
      <c r="BC379" s="155"/>
      <c r="BD379" s="176"/>
      <c r="BE379" s="155"/>
      <c r="BF379" s="155"/>
      <c r="BG379" s="155"/>
      <c r="BH379" s="155"/>
      <c r="BI379" s="176"/>
      <c r="BJ379" s="155"/>
      <c r="BK379" s="155"/>
      <c r="BL379" s="155"/>
      <c r="BM379" s="155"/>
      <c r="BN379" s="176"/>
      <c r="BO379" s="155"/>
      <c r="BP379" s="155"/>
      <c r="BQ379" s="155"/>
      <c r="BR379" s="155"/>
      <c r="BS379" s="176"/>
    </row>
    <row r="380" spans="1:71" ht="12.75" hidden="1" customHeight="1" x14ac:dyDescent="0.2">
      <c r="A380" s="159" t="s">
        <v>187</v>
      </c>
      <c r="B380" s="35"/>
      <c r="C380" s="35"/>
      <c r="D380" s="35"/>
      <c r="E380" s="35"/>
      <c r="F380" s="170"/>
      <c r="G380" s="38"/>
      <c r="H380" s="38"/>
      <c r="I380" s="38"/>
      <c r="J380" s="38"/>
      <c r="K380" s="173"/>
      <c r="L380" s="58"/>
      <c r="M380" s="58"/>
      <c r="N380" s="58"/>
      <c r="O380" s="58"/>
      <c r="P380" s="210"/>
      <c r="Q380" s="58"/>
      <c r="R380" s="58"/>
      <c r="S380" s="58"/>
      <c r="T380" s="58"/>
      <c r="U380" s="210"/>
      <c r="V380" s="58"/>
      <c r="W380" s="58"/>
      <c r="X380" s="58">
        <f t="shared" ref="X380:AE380" si="916">X181</f>
        <v>1013.4670000000001</v>
      </c>
      <c r="Y380" s="58">
        <f t="shared" si="916"/>
        <v>1071.1860000000001</v>
      </c>
      <c r="Z380" s="210">
        <f t="shared" si="916"/>
        <v>1071.1859999999999</v>
      </c>
      <c r="AA380" s="58">
        <f t="shared" si="916"/>
        <v>1140.019</v>
      </c>
      <c r="AB380" s="58">
        <f t="shared" si="916"/>
        <v>1210.4359999999999</v>
      </c>
      <c r="AC380" s="58">
        <f t="shared" si="916"/>
        <v>1264.039</v>
      </c>
      <c r="AD380" s="58">
        <f t="shared" si="916"/>
        <v>1318.3879999999999</v>
      </c>
      <c r="AE380" s="210">
        <f t="shared" si="916"/>
        <v>1318.3879999999999</v>
      </c>
      <c r="AF380" s="58"/>
      <c r="AG380" s="58"/>
      <c r="AH380" s="58"/>
      <c r="AI380" s="58"/>
      <c r="AJ380" s="210">
        <f>AJ181</f>
        <v>1654.385</v>
      </c>
      <c r="AK380" s="58"/>
      <c r="AL380" s="58"/>
      <c r="AM380" s="58"/>
      <c r="AN380" s="58"/>
      <c r="AO380" s="210">
        <f>AO181</f>
        <v>1931.58</v>
      </c>
      <c r="AP380" s="58"/>
      <c r="AQ380" s="58"/>
      <c r="AR380" s="58"/>
      <c r="AS380" s="58"/>
      <c r="AT380" s="210">
        <f>AT181</f>
        <v>2141.4630000000002</v>
      </c>
      <c r="AU380" s="58"/>
      <c r="AV380" s="58"/>
      <c r="AW380" s="58"/>
      <c r="AX380" s="58"/>
      <c r="AY380" s="210">
        <f>AY181</f>
        <v>2321.9560000000001</v>
      </c>
      <c r="AZ380" s="159"/>
      <c r="BA380" s="159"/>
      <c r="BB380" s="159"/>
      <c r="BC380" s="159"/>
      <c r="BD380" s="182">
        <f>BD181</f>
        <v>2647.6660000000002</v>
      </c>
      <c r="BE380" s="159"/>
      <c r="BF380" s="159"/>
      <c r="BG380" s="159"/>
      <c r="BH380" s="159"/>
      <c r="BI380" s="182">
        <f>BI181</f>
        <v>3192.4160038284112</v>
      </c>
      <c r="BJ380" s="159"/>
      <c r="BK380" s="159"/>
      <c r="BL380" s="159"/>
      <c r="BM380" s="159"/>
      <c r="BN380" s="182">
        <f>BN181</f>
        <v>3607.680969557302</v>
      </c>
      <c r="BO380" s="159"/>
      <c r="BP380" s="159"/>
      <c r="BQ380" s="159"/>
      <c r="BR380" s="159"/>
      <c r="BS380" s="182">
        <f>BS181</f>
        <v>4077.8711528186313</v>
      </c>
    </row>
    <row r="381" spans="1:71" ht="12.75" hidden="1" customHeight="1" x14ac:dyDescent="0.2">
      <c r="A381" s="159" t="s">
        <v>194</v>
      </c>
      <c r="B381" s="35"/>
      <c r="C381" s="35"/>
      <c r="D381" s="35"/>
      <c r="E381" s="35"/>
      <c r="F381" s="170"/>
      <c r="G381" s="38"/>
      <c r="H381" s="38"/>
      <c r="I381" s="38"/>
      <c r="J381" s="38"/>
      <c r="K381" s="173"/>
      <c r="L381" s="58"/>
      <c r="M381" s="58"/>
      <c r="N381" s="58"/>
      <c r="O381" s="58"/>
      <c r="P381" s="210"/>
      <c r="Q381" s="58"/>
      <c r="R381" s="58"/>
      <c r="S381" s="58"/>
      <c r="T381" s="58"/>
      <c r="U381" s="210"/>
      <c r="V381" s="58"/>
      <c r="W381" s="58"/>
      <c r="X381" s="58">
        <f t="shared" ref="X381:Z382" si="917">X189</f>
        <v>134.50600000000003</v>
      </c>
      <c r="Y381" s="58">
        <f t="shared" si="917"/>
        <v>151.02399999999997</v>
      </c>
      <c r="Z381" s="210">
        <f t="shared" si="917"/>
        <v>151.02399999999989</v>
      </c>
      <c r="AA381" s="58">
        <f t="shared" ref="AA381:AE382" si="918">AA189</f>
        <v>162.524</v>
      </c>
      <c r="AB381" s="58">
        <f t="shared" si="918"/>
        <v>178.096</v>
      </c>
      <c r="AC381" s="58">
        <f t="shared" si="918"/>
        <v>172.49499999999998</v>
      </c>
      <c r="AD381" s="58">
        <f t="shared" si="918"/>
        <v>166.54200000000003</v>
      </c>
      <c r="AE381" s="210">
        <f t="shared" si="918"/>
        <v>166.54199999999992</v>
      </c>
      <c r="AF381" s="58"/>
      <c r="AG381" s="58"/>
      <c r="AH381" s="58"/>
      <c r="AI381" s="58"/>
      <c r="AJ381" s="210">
        <f>AJ189</f>
        <v>283.25600000000009</v>
      </c>
      <c r="AK381" s="58"/>
      <c r="AL381" s="58"/>
      <c r="AM381" s="58"/>
      <c r="AN381" s="58"/>
      <c r="AO381" s="210">
        <f>AO189</f>
        <v>372.82299999999987</v>
      </c>
      <c r="AP381" s="58"/>
      <c r="AQ381" s="58"/>
      <c r="AR381" s="58"/>
      <c r="AS381" s="58"/>
      <c r="AT381" s="210">
        <f>AT189</f>
        <v>507.51900000000023</v>
      </c>
      <c r="AU381" s="58"/>
      <c r="AV381" s="58"/>
      <c r="AW381" s="58"/>
      <c r="AX381" s="58"/>
      <c r="AY381" s="210">
        <f>AY189</f>
        <v>485.03700000000026</v>
      </c>
      <c r="AZ381" s="159"/>
      <c r="BA381" s="159"/>
      <c r="BB381" s="159"/>
      <c r="BC381" s="159"/>
      <c r="BD381" s="182">
        <f>BD189</f>
        <v>401.50200000000041</v>
      </c>
      <c r="BE381" s="159"/>
      <c r="BF381" s="159"/>
      <c r="BG381" s="159"/>
      <c r="BH381" s="159"/>
      <c r="BI381" s="182">
        <f>BI189</f>
        <v>341.58054787921492</v>
      </c>
      <c r="BJ381" s="159"/>
      <c r="BK381" s="159"/>
      <c r="BL381" s="159"/>
      <c r="BM381" s="159"/>
      <c r="BN381" s="182">
        <f>BN189</f>
        <v>453.22914024949887</v>
      </c>
      <c r="BO381" s="159"/>
      <c r="BP381" s="159"/>
      <c r="BQ381" s="159"/>
      <c r="BR381" s="159"/>
      <c r="BS381" s="182">
        <f>BS189</f>
        <v>601.55297710630111</v>
      </c>
    </row>
    <row r="382" spans="1:71" ht="12.75" hidden="1" customHeight="1" x14ac:dyDescent="0.2">
      <c r="A382" s="159" t="s">
        <v>195</v>
      </c>
      <c r="B382" s="35"/>
      <c r="C382" s="35"/>
      <c r="D382" s="35"/>
      <c r="E382" s="35"/>
      <c r="F382" s="170"/>
      <c r="G382" s="38"/>
      <c r="H382" s="38"/>
      <c r="I382" s="38"/>
      <c r="J382" s="38"/>
      <c r="K382" s="173"/>
      <c r="L382" s="58"/>
      <c r="M382" s="58"/>
      <c r="N382" s="58"/>
      <c r="O382" s="58"/>
      <c r="P382" s="210"/>
      <c r="Q382" s="58"/>
      <c r="R382" s="58"/>
      <c r="S382" s="58"/>
      <c r="T382" s="58"/>
      <c r="U382" s="210"/>
      <c r="V382" s="58"/>
      <c r="W382" s="58"/>
      <c r="X382" s="58">
        <f t="shared" si="917"/>
        <v>141.10400000000001</v>
      </c>
      <c r="Y382" s="58">
        <f t="shared" si="917"/>
        <v>158.78399999999996</v>
      </c>
      <c r="Z382" s="210">
        <f t="shared" si="917"/>
        <v>158.78399999999988</v>
      </c>
      <c r="AA382" s="58">
        <f t="shared" si="918"/>
        <v>171.608</v>
      </c>
      <c r="AB382" s="58">
        <f t="shared" si="918"/>
        <v>188.816</v>
      </c>
      <c r="AC382" s="58">
        <f t="shared" si="918"/>
        <v>184.97099999999998</v>
      </c>
      <c r="AD382" s="58">
        <f t="shared" si="918"/>
        <v>181.79800000000003</v>
      </c>
      <c r="AE382" s="210">
        <f t="shared" si="918"/>
        <v>181.79799999999992</v>
      </c>
      <c r="AF382" s="58"/>
      <c r="AG382" s="58"/>
      <c r="AH382" s="58"/>
      <c r="AI382" s="58"/>
      <c r="AJ382" s="210">
        <f>AJ190</f>
        <v>315.20300000000009</v>
      </c>
      <c r="AK382" s="58"/>
      <c r="AL382" s="58"/>
      <c r="AM382" s="58"/>
      <c r="AN382" s="58"/>
      <c r="AO382" s="210">
        <f>AO190</f>
        <v>419.79399999999987</v>
      </c>
      <c r="AP382" s="58"/>
      <c r="AQ382" s="58"/>
      <c r="AR382" s="58"/>
      <c r="AS382" s="58"/>
      <c r="AT382" s="210">
        <f>AT190</f>
        <v>581.42700000000025</v>
      </c>
      <c r="AU382" s="58"/>
      <c r="AV382" s="58"/>
      <c r="AW382" s="58"/>
      <c r="AX382" s="58"/>
      <c r="AY382" s="210">
        <f>AY190</f>
        <v>586.17300000000023</v>
      </c>
      <c r="AZ382" s="159"/>
      <c r="BA382" s="159"/>
      <c r="BB382" s="159"/>
      <c r="BC382" s="159"/>
      <c r="BD382" s="182">
        <f>BD190</f>
        <v>541.65400000000045</v>
      </c>
      <c r="BE382" s="159"/>
      <c r="BF382" s="159"/>
      <c r="BG382" s="159"/>
      <c r="BH382" s="159"/>
      <c r="BI382" s="182">
        <f>BI190</f>
        <v>540.31194787921493</v>
      </c>
      <c r="BJ382" s="159"/>
      <c r="BK382" s="159"/>
      <c r="BL382" s="159"/>
      <c r="BM382" s="159"/>
      <c r="BN382" s="182">
        <f>BN190</f>
        <v>691.70682024949883</v>
      </c>
      <c r="BO382" s="159"/>
      <c r="BP382" s="159"/>
      <c r="BQ382" s="159"/>
      <c r="BR382" s="159"/>
      <c r="BS382" s="182">
        <f>BS190</f>
        <v>869.84036710630107</v>
      </c>
    </row>
    <row r="383" spans="1:71" ht="12.75" hidden="1" customHeight="1" x14ac:dyDescent="0.2">
      <c r="A383" s="159" t="s">
        <v>201</v>
      </c>
      <c r="B383" s="35"/>
      <c r="C383" s="35"/>
      <c r="D383" s="35"/>
      <c r="E383" s="35"/>
      <c r="F383" s="170"/>
      <c r="G383" s="38"/>
      <c r="H383" s="38"/>
      <c r="I383" s="38"/>
      <c r="J383" s="38"/>
      <c r="K383" s="173"/>
      <c r="L383" s="58"/>
      <c r="M383" s="58"/>
      <c r="N383" s="58"/>
      <c r="O383" s="58"/>
      <c r="P383" s="210"/>
      <c r="Q383" s="58"/>
      <c r="R383" s="58"/>
      <c r="S383" s="58"/>
      <c r="T383" s="58"/>
      <c r="U383" s="210"/>
      <c r="V383" s="58"/>
      <c r="W383" s="58"/>
      <c r="X383" s="58">
        <f t="shared" ref="X383:Z384" si="919">X196</f>
        <v>137.41700000000003</v>
      </c>
      <c r="Y383" s="58">
        <f t="shared" si="919"/>
        <v>153.85699999999997</v>
      </c>
      <c r="Z383" s="210">
        <f t="shared" si="919"/>
        <v>153.85699999999989</v>
      </c>
      <c r="AA383" s="58">
        <f t="shared" ref="AA383:AE384" si="920">AA196</f>
        <v>164.18899999999999</v>
      </c>
      <c r="AB383" s="58">
        <f t="shared" si="920"/>
        <v>178.86799999999999</v>
      </c>
      <c r="AC383" s="58">
        <f t="shared" si="920"/>
        <v>173.27199999999999</v>
      </c>
      <c r="AD383" s="58">
        <f t="shared" si="920"/>
        <v>167.13600000000002</v>
      </c>
      <c r="AE383" s="210">
        <f t="shared" si="920"/>
        <v>167.13599999999991</v>
      </c>
      <c r="AF383" s="58"/>
      <c r="AG383" s="58"/>
      <c r="AH383" s="58"/>
      <c r="AI383" s="58"/>
      <c r="AJ383" s="210">
        <f>AJ196</f>
        <v>283.37400000000008</v>
      </c>
      <c r="AK383" s="58"/>
      <c r="AL383" s="58"/>
      <c r="AM383" s="58"/>
      <c r="AN383" s="58"/>
      <c r="AO383" s="210">
        <f>AO196</f>
        <v>370.71999999999986</v>
      </c>
      <c r="AP383" s="58"/>
      <c r="AQ383" s="58"/>
      <c r="AR383" s="58"/>
      <c r="AS383" s="58"/>
      <c r="AT383" s="210">
        <f>AT196</f>
        <v>500.80000000000024</v>
      </c>
      <c r="AU383" s="58"/>
      <c r="AV383" s="58"/>
      <c r="AW383" s="58"/>
      <c r="AX383" s="58"/>
      <c r="AY383" s="210">
        <f>AY196</f>
        <v>460.83600000000024</v>
      </c>
      <c r="AZ383" s="159"/>
      <c r="BA383" s="159"/>
      <c r="BB383" s="159"/>
      <c r="BC383" s="159"/>
      <c r="BD383" s="182">
        <f>BD196</f>
        <v>366.3630000000004</v>
      </c>
      <c r="BE383" s="159"/>
      <c r="BF383" s="159"/>
      <c r="BG383" s="159"/>
      <c r="BH383" s="159"/>
      <c r="BI383" s="182">
        <f>BI196</f>
        <v>280.08054787921492</v>
      </c>
      <c r="BJ383" s="159"/>
      <c r="BK383" s="159"/>
      <c r="BL383" s="159"/>
      <c r="BM383" s="159"/>
      <c r="BN383" s="182">
        <f>BN196</f>
        <v>367.52586152406417</v>
      </c>
      <c r="BO383" s="159"/>
      <c r="BP383" s="159"/>
      <c r="BQ383" s="159"/>
      <c r="BR383" s="159"/>
      <c r="BS383" s="182">
        <f>BS196</f>
        <v>501.46271143035767</v>
      </c>
    </row>
    <row r="384" spans="1:71" ht="12.75" hidden="1" customHeight="1" x14ac:dyDescent="0.2">
      <c r="A384" s="159" t="s">
        <v>202</v>
      </c>
      <c r="B384" s="35"/>
      <c r="C384" s="35"/>
      <c r="D384" s="35"/>
      <c r="E384" s="35"/>
      <c r="F384" s="170"/>
      <c r="G384" s="38"/>
      <c r="H384" s="38"/>
      <c r="I384" s="38"/>
      <c r="J384" s="38"/>
      <c r="K384" s="173"/>
      <c r="L384" s="58"/>
      <c r="M384" s="58"/>
      <c r="N384" s="58"/>
      <c r="O384" s="58"/>
      <c r="P384" s="210"/>
      <c r="Q384" s="58"/>
      <c r="R384" s="58"/>
      <c r="S384" s="58"/>
      <c r="T384" s="58"/>
      <c r="U384" s="210"/>
      <c r="V384" s="58"/>
      <c r="W384" s="58"/>
      <c r="X384" s="58">
        <f t="shared" si="919"/>
        <v>85.88900000000001</v>
      </c>
      <c r="Y384" s="58">
        <f t="shared" si="919"/>
        <v>96.684999999999974</v>
      </c>
      <c r="Z384" s="210">
        <f t="shared" si="919"/>
        <v>96.684999999999889</v>
      </c>
      <c r="AA384" s="58">
        <f t="shared" si="920"/>
        <v>103.108</v>
      </c>
      <c r="AB384" s="58">
        <f t="shared" si="920"/>
        <v>111.62800000000001</v>
      </c>
      <c r="AC384" s="58">
        <f t="shared" si="920"/>
        <v>108.19699999999997</v>
      </c>
      <c r="AD384" s="58">
        <f t="shared" si="920"/>
        <v>103.85800000000003</v>
      </c>
      <c r="AE384" s="210">
        <f t="shared" si="920"/>
        <v>103.85799999999992</v>
      </c>
      <c r="AF384" s="58"/>
      <c r="AG384" s="58"/>
      <c r="AH384" s="58"/>
      <c r="AI384" s="58"/>
      <c r="AJ384" s="210">
        <f>AJ197</f>
        <v>177.48100000000008</v>
      </c>
      <c r="AK384" s="58"/>
      <c r="AL384" s="58"/>
      <c r="AM384" s="58"/>
      <c r="AN384" s="58"/>
      <c r="AO384" s="210">
        <f>AO197</f>
        <v>237.11699999999985</v>
      </c>
      <c r="AP384" s="58"/>
      <c r="AQ384" s="58"/>
      <c r="AR384" s="58"/>
      <c r="AS384" s="58"/>
      <c r="AT384" s="210">
        <f>AT197</f>
        <v>316.20400000000024</v>
      </c>
      <c r="AU384" s="58"/>
      <c r="AV384" s="58"/>
      <c r="AW384" s="58"/>
      <c r="AX384" s="58"/>
      <c r="AY384" s="210">
        <f>AY197</f>
        <v>290.97800000000024</v>
      </c>
      <c r="AZ384" s="159"/>
      <c r="BA384" s="159"/>
      <c r="BB384" s="159"/>
      <c r="BC384" s="159"/>
      <c r="BD384" s="182">
        <f>BD197</f>
        <v>230.52300000000042</v>
      </c>
      <c r="BE384" s="159"/>
      <c r="BF384" s="159"/>
      <c r="BG384" s="159"/>
      <c r="BH384" s="159"/>
      <c r="BI384" s="182">
        <f>BI197</f>
        <v>212.86121638820339</v>
      </c>
      <c r="BJ384" s="159"/>
      <c r="BK384" s="159"/>
      <c r="BL384" s="159"/>
      <c r="BM384" s="159"/>
      <c r="BN384" s="182">
        <f>BN197</f>
        <v>279.31965475828878</v>
      </c>
      <c r="BO384" s="159"/>
      <c r="BP384" s="159"/>
      <c r="BQ384" s="159"/>
      <c r="BR384" s="159"/>
      <c r="BS384" s="182">
        <f>BS197</f>
        <v>381.11166068707183</v>
      </c>
    </row>
    <row r="385" spans="1:71" ht="12.75" hidden="1" customHeight="1" x14ac:dyDescent="0.2">
      <c r="A385" s="155" t="s">
        <v>69</v>
      </c>
      <c r="B385" s="35"/>
      <c r="C385" s="35"/>
      <c r="D385" s="35"/>
      <c r="E385" s="35"/>
      <c r="F385" s="170"/>
      <c r="G385" s="38"/>
      <c r="H385" s="38"/>
      <c r="I385" s="38"/>
      <c r="J385" s="38"/>
      <c r="K385" s="173"/>
      <c r="L385" s="38"/>
      <c r="M385" s="38"/>
      <c r="N385" s="38"/>
      <c r="O385" s="38"/>
      <c r="P385" s="173"/>
      <c r="Q385" s="38"/>
      <c r="R385" s="38"/>
      <c r="S385" s="38"/>
      <c r="T385" s="38"/>
      <c r="U385" s="173"/>
      <c r="V385" s="38"/>
      <c r="W385" s="38"/>
      <c r="X385" s="38">
        <f t="shared" ref="X385:AE385" si="921">X152</f>
        <v>0.39294547653072454</v>
      </c>
      <c r="Y385" s="38">
        <f t="shared" si="921"/>
        <v>0.32946062671615611</v>
      </c>
      <c r="Z385" s="173">
        <f t="shared" si="921"/>
        <v>1.3351884330161696</v>
      </c>
      <c r="AA385" s="38">
        <f t="shared" si="921"/>
        <v>0.32869418888536422</v>
      </c>
      <c r="AB385" s="38">
        <f t="shared" si="921"/>
        <v>0.48666372754326015</v>
      </c>
      <c r="AC385" s="38">
        <f t="shared" si="921"/>
        <v>0.34636241019571107</v>
      </c>
      <c r="AD385" s="38">
        <f t="shared" si="921"/>
        <v>0.26903322638833471</v>
      </c>
      <c r="AE385" s="173">
        <f t="shared" si="921"/>
        <v>1.4307283272030957</v>
      </c>
      <c r="AF385" s="38"/>
      <c r="AG385" s="38"/>
      <c r="AH385" s="38"/>
      <c r="AI385" s="38"/>
      <c r="AJ385" s="173">
        <f>AJ152</f>
        <v>2.4312798805463101</v>
      </c>
      <c r="AK385" s="38"/>
      <c r="AL385" s="38"/>
      <c r="AM385" s="38"/>
      <c r="AN385" s="38"/>
      <c r="AO385" s="173">
        <f>AO152</f>
        <v>3.2351488525663745</v>
      </c>
      <c r="AP385" s="38"/>
      <c r="AQ385" s="38"/>
      <c r="AR385" s="38"/>
      <c r="AS385" s="38"/>
      <c r="AT385" s="173">
        <f>AT152</f>
        <v>4.3658907022340072</v>
      </c>
      <c r="AU385" s="38"/>
      <c r="AV385" s="38"/>
      <c r="AW385" s="38"/>
      <c r="AX385" s="38"/>
      <c r="AY385" s="173">
        <f>AY152</f>
        <v>4.1268792193793651</v>
      </c>
      <c r="AZ385" s="155"/>
      <c r="BA385" s="155"/>
      <c r="BB385" s="155"/>
      <c r="BC385" s="155"/>
      <c r="BD385" s="176">
        <f>BD152</f>
        <v>3.3227103692813347</v>
      </c>
      <c r="BE385" s="155"/>
      <c r="BF385" s="155"/>
      <c r="BG385" s="155"/>
      <c r="BH385" s="155"/>
      <c r="BI385" s="176">
        <f>BI152</f>
        <v>3.1165624654202548</v>
      </c>
      <c r="BJ385" s="155"/>
      <c r="BK385" s="155"/>
      <c r="BL385" s="155"/>
      <c r="BM385" s="155"/>
      <c r="BN385" s="176">
        <f>BN152</f>
        <v>4.0895996304288253</v>
      </c>
      <c r="BO385" s="155"/>
      <c r="BP385" s="155"/>
      <c r="BQ385" s="155"/>
      <c r="BR385" s="155"/>
      <c r="BS385" s="176">
        <f>BS152</f>
        <v>5.5799657494446828</v>
      </c>
    </row>
    <row r="386" spans="1:71" ht="12.75" hidden="1" customHeight="1" x14ac:dyDescent="0.2">
      <c r="A386" s="159" t="s">
        <v>342</v>
      </c>
      <c r="B386" s="35"/>
      <c r="C386" s="35"/>
      <c r="D386" s="35"/>
      <c r="E386" s="35"/>
      <c r="F386" s="170"/>
      <c r="G386" s="38"/>
      <c r="H386" s="38"/>
      <c r="I386" s="38"/>
      <c r="J386" s="38"/>
      <c r="K386" s="173"/>
      <c r="L386" s="58"/>
      <c r="M386" s="58"/>
      <c r="N386" s="58"/>
      <c r="O386" s="58"/>
      <c r="P386" s="210"/>
      <c r="Q386" s="58"/>
      <c r="R386" s="58"/>
      <c r="S386" s="58"/>
      <c r="T386" s="58"/>
      <c r="U386" s="210"/>
      <c r="V386" s="58"/>
      <c r="W386" s="58"/>
      <c r="X386" s="58">
        <f t="shared" ref="X386:AE386" si="922">X123</f>
        <v>77.352000000000004</v>
      </c>
      <c r="Y386" s="58">
        <f t="shared" si="922"/>
        <v>70.780999999999977</v>
      </c>
      <c r="Z386" s="210">
        <f t="shared" si="922"/>
        <v>275.26899999999989</v>
      </c>
      <c r="AA386" s="58">
        <f t="shared" si="922"/>
        <v>73.622000000000014</v>
      </c>
      <c r="AB386" s="58">
        <f t="shared" si="922"/>
        <v>95.69</v>
      </c>
      <c r="AC386" s="58">
        <f t="shared" si="922"/>
        <v>81.822999999999979</v>
      </c>
      <c r="AD386" s="58">
        <f t="shared" si="922"/>
        <v>74.235000000000042</v>
      </c>
      <c r="AE386" s="210">
        <f t="shared" si="922"/>
        <v>325.36999999999989</v>
      </c>
      <c r="AF386" s="58"/>
      <c r="AG386" s="58"/>
      <c r="AH386" s="58"/>
      <c r="AI386" s="58"/>
      <c r="AJ386" s="210">
        <f>AJ123</f>
        <v>484.94000000000005</v>
      </c>
      <c r="AK386" s="58"/>
      <c r="AL386" s="58"/>
      <c r="AM386" s="58"/>
      <c r="AN386" s="58"/>
      <c r="AO386" s="210">
        <f>AO123</f>
        <v>615.62099999999987</v>
      </c>
      <c r="AP386" s="58"/>
      <c r="AQ386" s="58"/>
      <c r="AR386" s="58"/>
      <c r="AS386" s="58"/>
      <c r="AT386" s="210">
        <f>AT123</f>
        <v>792.95800000000031</v>
      </c>
      <c r="AU386" s="58"/>
      <c r="AV386" s="58"/>
      <c r="AW386" s="58"/>
      <c r="AX386" s="58"/>
      <c r="AY386" s="210">
        <f>AY123</f>
        <v>787.84800000000018</v>
      </c>
      <c r="AZ386" s="159"/>
      <c r="BA386" s="159"/>
      <c r="BB386" s="159"/>
      <c r="BC386" s="159"/>
      <c r="BD386" s="182">
        <f>BD123</f>
        <v>747.50600000000043</v>
      </c>
      <c r="BE386" s="159"/>
      <c r="BF386" s="159"/>
      <c r="BG386" s="159"/>
      <c r="BH386" s="159"/>
      <c r="BI386" s="182">
        <f>BI123</f>
        <v>725.96531827841136</v>
      </c>
      <c r="BJ386" s="159"/>
      <c r="BK386" s="159"/>
      <c r="BL386" s="159"/>
      <c r="BM386" s="159"/>
      <c r="BN386" s="182">
        <f>BN123</f>
        <v>876.64613922408307</v>
      </c>
      <c r="BO386" s="159"/>
      <c r="BP386" s="159"/>
      <c r="BQ386" s="159"/>
      <c r="BR386" s="159"/>
      <c r="BS386" s="182">
        <f>BS123</f>
        <v>1057.0646506396447</v>
      </c>
    </row>
    <row r="387" spans="1:71" ht="12.75" hidden="1" customHeight="1" x14ac:dyDescent="0.2">
      <c r="A387" s="159" t="s">
        <v>343</v>
      </c>
      <c r="B387" s="35"/>
      <c r="C387" s="35"/>
      <c r="D387" s="35"/>
      <c r="E387" s="35"/>
      <c r="F387" s="170"/>
      <c r="G387" s="38"/>
      <c r="H387" s="38"/>
      <c r="I387" s="38"/>
      <c r="J387" s="38"/>
      <c r="K387" s="173"/>
      <c r="L387" s="58"/>
      <c r="M387" s="58"/>
      <c r="N387" s="58"/>
      <c r="O387" s="58"/>
      <c r="P387" s="210"/>
      <c r="Q387" s="58"/>
      <c r="R387" s="58"/>
      <c r="S387" s="58"/>
      <c r="T387" s="58"/>
      <c r="U387" s="210"/>
      <c r="V387" s="58"/>
      <c r="W387" s="58"/>
      <c r="X387" s="58">
        <f t="shared" ref="X387:AE387" si="923">X386+X359</f>
        <v>77.352000000000004</v>
      </c>
      <c r="Y387" s="58">
        <f t="shared" si="923"/>
        <v>70.780999999999977</v>
      </c>
      <c r="Z387" s="210">
        <f t="shared" si="923"/>
        <v>275.26899999999989</v>
      </c>
      <c r="AA387" s="58">
        <f t="shared" si="923"/>
        <v>73.622000000000014</v>
      </c>
      <c r="AB387" s="58">
        <f t="shared" si="923"/>
        <v>95.69</v>
      </c>
      <c r="AC387" s="58">
        <f t="shared" si="923"/>
        <v>81.822999999999979</v>
      </c>
      <c r="AD387" s="58">
        <f t="shared" si="923"/>
        <v>74.235000000000042</v>
      </c>
      <c r="AE387" s="210">
        <f t="shared" si="923"/>
        <v>325.36999999999989</v>
      </c>
      <c r="AF387" s="58"/>
      <c r="AG387" s="58"/>
      <c r="AH387" s="58"/>
      <c r="AI387" s="58"/>
      <c r="AJ387" s="210">
        <f>AJ386+AJ359</f>
        <v>484.94000000000005</v>
      </c>
      <c r="AK387" s="58"/>
      <c r="AL387" s="58"/>
      <c r="AM387" s="58"/>
      <c r="AN387" s="58"/>
      <c r="AO387" s="210">
        <f>AO386+AO359</f>
        <v>615.62099999999987</v>
      </c>
      <c r="AP387" s="58"/>
      <c r="AQ387" s="58"/>
      <c r="AR387" s="58"/>
      <c r="AS387" s="58"/>
      <c r="AT387" s="210">
        <f>AT386+AT359</f>
        <v>792.95800000000031</v>
      </c>
      <c r="AU387" s="58"/>
      <c r="AV387" s="58"/>
      <c r="AW387" s="58"/>
      <c r="AX387" s="58"/>
      <c r="AY387" s="210">
        <f>AY386+AY359</f>
        <v>787.84800000000018</v>
      </c>
      <c r="AZ387" s="159"/>
      <c r="BA387" s="159"/>
      <c r="BB387" s="159"/>
      <c r="BC387" s="159"/>
      <c r="BD387" s="182">
        <f>BD386+BD359</f>
        <v>747.50600000000043</v>
      </c>
      <c r="BE387" s="159"/>
      <c r="BF387" s="159"/>
      <c r="BG387" s="159"/>
      <c r="BH387" s="159"/>
      <c r="BI387" s="182">
        <f>BI386+BI359</f>
        <v>725.96531827841136</v>
      </c>
      <c r="BJ387" s="159"/>
      <c r="BK387" s="159"/>
      <c r="BL387" s="159"/>
      <c r="BM387" s="159"/>
      <c r="BN387" s="182">
        <f>BN386+BN359</f>
        <v>876.64613922408307</v>
      </c>
      <c r="BO387" s="159"/>
      <c r="BP387" s="159"/>
      <c r="BQ387" s="159"/>
      <c r="BR387" s="159"/>
      <c r="BS387" s="182">
        <f>BS386+BS359</f>
        <v>1057.0646506396447</v>
      </c>
    </row>
    <row r="388" spans="1:71" ht="12.75" hidden="1" customHeight="1" x14ac:dyDescent="0.2">
      <c r="A388" s="46" t="s">
        <v>344</v>
      </c>
      <c r="B388" s="35"/>
      <c r="C388" s="35"/>
      <c r="D388" s="35"/>
      <c r="E388" s="35"/>
      <c r="F388" s="170"/>
      <c r="G388" s="38"/>
      <c r="H388" s="38"/>
      <c r="I388" s="38"/>
      <c r="J388" s="38"/>
      <c r="K388" s="173"/>
      <c r="L388" s="38"/>
      <c r="M388" s="38"/>
      <c r="N388" s="38"/>
      <c r="O388" s="38"/>
      <c r="P388" s="173"/>
      <c r="Q388" s="38"/>
      <c r="R388" s="38"/>
      <c r="S388" s="38"/>
      <c r="T388" s="38"/>
      <c r="U388" s="173"/>
      <c r="V388" s="38"/>
      <c r="W388" s="38"/>
      <c r="X388" s="38"/>
      <c r="Y388" s="38"/>
      <c r="Z388" s="173"/>
      <c r="AA388" s="38"/>
      <c r="AB388" s="38"/>
      <c r="AC388" s="38"/>
      <c r="AD388" s="38"/>
      <c r="AE388" s="173"/>
      <c r="AF388" s="38"/>
      <c r="AG388" s="38"/>
      <c r="AH388" s="38"/>
      <c r="AI388" s="38"/>
      <c r="AJ388" s="173"/>
      <c r="AK388" s="38"/>
      <c r="AL388" s="38"/>
      <c r="AM388" s="38"/>
      <c r="AN388" s="38"/>
      <c r="AO388" s="173"/>
      <c r="AP388" s="38"/>
      <c r="AQ388" s="38"/>
      <c r="AR388" s="38"/>
      <c r="AS388" s="38"/>
      <c r="AT388" s="173"/>
      <c r="AU388" s="38"/>
      <c r="AV388" s="38"/>
      <c r="AW388" s="38"/>
      <c r="AX388" s="38"/>
      <c r="AY388" s="173"/>
      <c r="AZ388" s="155"/>
      <c r="BA388" s="155"/>
      <c r="BB388" s="155"/>
      <c r="BC388" s="155"/>
      <c r="BD388" s="176"/>
      <c r="BE388" s="155"/>
      <c r="BF388" s="155"/>
      <c r="BG388" s="155"/>
      <c r="BH388" s="155"/>
      <c r="BI388" s="176"/>
      <c r="BJ388" s="155"/>
      <c r="BK388" s="155"/>
      <c r="BL388" s="155"/>
      <c r="BM388" s="155"/>
      <c r="BN388" s="176"/>
      <c r="BO388" s="155"/>
      <c r="BP388" s="155"/>
      <c r="BQ388" s="155"/>
      <c r="BR388" s="155"/>
      <c r="BS388" s="176"/>
    </row>
    <row r="389" spans="1:71" ht="12.75" hidden="1" customHeight="1" x14ac:dyDescent="0.2">
      <c r="A389" s="93" t="s">
        <v>70</v>
      </c>
      <c r="B389" s="35"/>
      <c r="C389" s="35"/>
      <c r="D389" s="35"/>
      <c r="E389" s="35"/>
      <c r="F389" s="170"/>
      <c r="G389" s="38"/>
      <c r="H389" s="38"/>
      <c r="I389" s="38"/>
      <c r="J389" s="38"/>
      <c r="K389" s="173"/>
      <c r="L389" s="38"/>
      <c r="M389" s="38"/>
      <c r="N389" s="38"/>
      <c r="O389" s="38"/>
      <c r="P389" s="173"/>
      <c r="Q389" s="38"/>
      <c r="R389" s="38"/>
      <c r="S389" s="38"/>
      <c r="T389" s="38"/>
      <c r="U389" s="173"/>
      <c r="V389" s="38"/>
      <c r="W389" s="38"/>
      <c r="X389" s="38"/>
      <c r="Y389" s="38"/>
      <c r="Z389" s="173"/>
      <c r="AA389" s="38"/>
      <c r="AB389" s="38"/>
      <c r="AC389" s="38"/>
      <c r="AD389" s="38"/>
      <c r="AE389" s="173"/>
      <c r="AF389" s="38"/>
      <c r="AG389" s="38"/>
      <c r="AH389" s="38"/>
      <c r="AI389" s="38"/>
      <c r="AJ389" s="173"/>
      <c r="AK389" s="38"/>
      <c r="AL389" s="38"/>
      <c r="AM389" s="38"/>
      <c r="AN389" s="38"/>
      <c r="AO389" s="173"/>
      <c r="AP389" s="38"/>
      <c r="AQ389" s="38"/>
      <c r="AR389" s="38"/>
      <c r="AS389" s="38"/>
      <c r="AT389" s="173"/>
      <c r="AU389" s="38"/>
      <c r="AV389" s="38"/>
      <c r="AW389" s="38"/>
      <c r="AX389" s="38"/>
      <c r="AY389" s="173"/>
      <c r="AZ389" s="155"/>
      <c r="BA389" s="155"/>
      <c r="BB389" s="155"/>
      <c r="BC389" s="155"/>
      <c r="BD389" s="176"/>
      <c r="BE389" s="155"/>
      <c r="BF389" s="155"/>
      <c r="BG389" s="155"/>
      <c r="BH389" s="155"/>
      <c r="BI389" s="176"/>
      <c r="BJ389" s="155"/>
      <c r="BK389" s="155"/>
      <c r="BL389" s="155"/>
      <c r="BM389" s="155"/>
      <c r="BN389" s="176"/>
      <c r="BO389" s="155"/>
      <c r="BP389" s="155"/>
      <c r="BQ389" s="155"/>
      <c r="BR389" s="155"/>
      <c r="BS389" s="176"/>
    </row>
    <row r="390" spans="1:71" ht="12.75" hidden="1" customHeight="1" x14ac:dyDescent="0.2">
      <c r="A390" s="150" t="s">
        <v>345</v>
      </c>
      <c r="B390" s="35"/>
      <c r="C390" s="35"/>
      <c r="D390" s="35"/>
      <c r="E390" s="35"/>
      <c r="F390" s="170"/>
      <c r="G390" s="38"/>
      <c r="H390" s="38"/>
      <c r="I390" s="38"/>
      <c r="J390" s="38"/>
      <c r="K390" s="173"/>
      <c r="L390" s="41"/>
      <c r="M390" s="41"/>
      <c r="N390" s="41"/>
      <c r="O390" s="41"/>
      <c r="P390" s="211"/>
      <c r="Q390" s="41"/>
      <c r="R390" s="41"/>
      <c r="S390" s="41"/>
      <c r="T390" s="41"/>
      <c r="U390" s="211"/>
      <c r="V390" s="41"/>
      <c r="W390" s="41"/>
      <c r="X390" s="41">
        <f>(X369*X368)/AE381</f>
        <v>0</v>
      </c>
      <c r="Y390" s="41">
        <f>(Y369*Y368)/AE381</f>
        <v>0</v>
      </c>
      <c r="Z390" s="211">
        <f>(Z369*Z368)/AE381</f>
        <v>0</v>
      </c>
      <c r="AA390" s="41" t="e">
        <f>(AA369*AA368)/AG381</f>
        <v>#DIV/0!</v>
      </c>
      <c r="AB390" s="41" t="e">
        <f>(AB369*AB368)/AH381</f>
        <v>#DIV/0!</v>
      </c>
      <c r="AC390" s="41" t="e">
        <f>(AC369*AC368)/AI381</f>
        <v>#DIV/0!</v>
      </c>
      <c r="AD390" s="41">
        <f>(AD369*AD368)/AJ381</f>
        <v>0</v>
      </c>
      <c r="AE390" s="211"/>
      <c r="AF390" s="41"/>
      <c r="AG390" s="41"/>
      <c r="AH390" s="41"/>
      <c r="AI390" s="41"/>
      <c r="AJ390" s="211"/>
      <c r="AK390" s="41"/>
      <c r="AL390" s="41"/>
      <c r="AM390" s="41"/>
      <c r="AN390" s="41"/>
      <c r="AO390" s="211"/>
      <c r="AP390" s="41"/>
      <c r="AQ390" s="41"/>
      <c r="AR390" s="41"/>
      <c r="AS390" s="41"/>
      <c r="AT390" s="211"/>
      <c r="AU390" s="41"/>
      <c r="AV390" s="41"/>
      <c r="AW390" s="41"/>
      <c r="AX390" s="41"/>
      <c r="AY390" s="211"/>
      <c r="AZ390" s="150"/>
      <c r="BA390" s="150"/>
      <c r="BB390" s="150"/>
      <c r="BC390" s="150"/>
      <c r="BD390" s="168"/>
      <c r="BE390" s="150"/>
      <c r="BF390" s="150"/>
      <c r="BG390" s="150"/>
      <c r="BH390" s="150"/>
      <c r="BI390" s="168"/>
      <c r="BJ390" s="150"/>
      <c r="BK390" s="150"/>
      <c r="BL390" s="150"/>
      <c r="BM390" s="150"/>
      <c r="BN390" s="168"/>
      <c r="BO390" s="150"/>
      <c r="BP390" s="150"/>
      <c r="BQ390" s="150"/>
      <c r="BR390" s="150"/>
      <c r="BS390" s="168"/>
    </row>
    <row r="391" spans="1:71" ht="12.75" hidden="1" customHeight="1" x14ac:dyDescent="0.2">
      <c r="A391" s="150" t="s">
        <v>346</v>
      </c>
      <c r="B391" s="35"/>
      <c r="C391" s="35"/>
      <c r="D391" s="35"/>
      <c r="E391" s="35"/>
      <c r="F391" s="170"/>
      <c r="G391" s="38"/>
      <c r="H391" s="38"/>
      <c r="I391" s="38"/>
      <c r="J391" s="38"/>
      <c r="K391" s="173"/>
      <c r="L391" s="41"/>
      <c r="M391" s="41"/>
      <c r="N391" s="41"/>
      <c r="O391" s="41"/>
      <c r="P391" s="211"/>
      <c r="Q391" s="41"/>
      <c r="R391" s="41"/>
      <c r="S391" s="41"/>
      <c r="T391" s="41"/>
      <c r="U391" s="211"/>
      <c r="V391" s="41"/>
      <c r="W391" s="41"/>
      <c r="X391" s="41">
        <f>(X369*X368)/AE383</f>
        <v>0</v>
      </c>
      <c r="Y391" s="41">
        <f>(Y369*Y368)/AE383</f>
        <v>0</v>
      </c>
      <c r="Z391" s="211">
        <f>(Z369*Z368)/AE383</f>
        <v>0</v>
      </c>
      <c r="AA391" s="41" t="e">
        <f>(AA369*AA368)/AG383</f>
        <v>#DIV/0!</v>
      </c>
      <c r="AB391" s="41" t="e">
        <f>(AB369*AB368)/AH383</f>
        <v>#DIV/0!</v>
      </c>
      <c r="AC391" s="41" t="e">
        <f>(AC369*AC368)/AI383</f>
        <v>#DIV/0!</v>
      </c>
      <c r="AD391" s="41">
        <f>(AD369*AD368)/AJ383</f>
        <v>0</v>
      </c>
      <c r="AE391" s="211"/>
      <c r="AF391" s="41"/>
      <c r="AG391" s="41"/>
      <c r="AH391" s="41"/>
      <c r="AI391" s="41"/>
      <c r="AJ391" s="211"/>
      <c r="AK391" s="41"/>
      <c r="AL391" s="41"/>
      <c r="AM391" s="41"/>
      <c r="AN391" s="41"/>
      <c r="AO391" s="211"/>
      <c r="AP391" s="41"/>
      <c r="AQ391" s="41"/>
      <c r="AR391" s="41"/>
      <c r="AS391" s="41"/>
      <c r="AT391" s="211"/>
      <c r="AU391" s="41"/>
      <c r="AV391" s="41"/>
      <c r="AW391" s="41"/>
      <c r="AX391" s="41"/>
      <c r="AY391" s="211"/>
      <c r="AZ391" s="150"/>
      <c r="BA391" s="150"/>
      <c r="BB391" s="150"/>
      <c r="BC391" s="150"/>
      <c r="BD391" s="168"/>
      <c r="BE391" s="150"/>
      <c r="BF391" s="150"/>
      <c r="BG391" s="150"/>
      <c r="BH391" s="150"/>
      <c r="BI391" s="168"/>
      <c r="BJ391" s="150"/>
      <c r="BK391" s="150"/>
      <c r="BL391" s="150"/>
      <c r="BM391" s="150"/>
      <c r="BN391" s="168"/>
      <c r="BO391" s="150"/>
      <c r="BP391" s="150"/>
      <c r="BQ391" s="150"/>
      <c r="BR391" s="150"/>
      <c r="BS391" s="168"/>
    </row>
    <row r="392" spans="1:71" ht="12.75" hidden="1" customHeight="1" x14ac:dyDescent="0.2">
      <c r="A392" s="150" t="s">
        <v>347</v>
      </c>
      <c r="B392" s="35"/>
      <c r="C392" s="35"/>
      <c r="D392" s="35"/>
      <c r="E392" s="35"/>
      <c r="F392" s="170"/>
      <c r="G392" s="38"/>
      <c r="H392" s="38"/>
      <c r="I392" s="38"/>
      <c r="J392" s="38"/>
      <c r="K392" s="173"/>
      <c r="L392" s="41"/>
      <c r="M392" s="41"/>
      <c r="N392" s="41"/>
      <c r="O392" s="41"/>
      <c r="P392" s="211"/>
      <c r="Q392" s="41"/>
      <c r="R392" s="41"/>
      <c r="S392" s="41"/>
      <c r="T392" s="41"/>
      <c r="U392" s="211"/>
      <c r="V392" s="41"/>
      <c r="W392" s="41"/>
      <c r="X392" s="41">
        <f>X369/AE385</f>
        <v>9.3798380481041495</v>
      </c>
      <c r="Y392" s="41">
        <f>Y369/AE385</f>
        <v>9.3798380481041495</v>
      </c>
      <c r="Z392" s="211">
        <f>Z369/AE385</f>
        <v>9.3798380481041495</v>
      </c>
      <c r="AA392" s="41" t="e">
        <f>AA369/AG385</f>
        <v>#DIV/0!</v>
      </c>
      <c r="AB392" s="41" t="e">
        <f>AB369/AH385</f>
        <v>#DIV/0!</v>
      </c>
      <c r="AC392" s="41" t="e">
        <f>AC369/AI385</f>
        <v>#DIV/0!</v>
      </c>
      <c r="AD392" s="41">
        <f>AD369/AJ385</f>
        <v>5.5197265059358438</v>
      </c>
      <c r="AE392" s="211"/>
      <c r="AF392" s="41"/>
      <c r="AG392" s="41"/>
      <c r="AH392" s="41"/>
      <c r="AI392" s="41"/>
      <c r="AJ392" s="211"/>
      <c r="AK392" s="41"/>
      <c r="AL392" s="41"/>
      <c r="AM392" s="41"/>
      <c r="AN392" s="41"/>
      <c r="AO392" s="211"/>
      <c r="AP392" s="41"/>
      <c r="AQ392" s="41"/>
      <c r="AR392" s="41"/>
      <c r="AS392" s="41"/>
      <c r="AT392" s="211"/>
      <c r="AU392" s="41"/>
      <c r="AV392" s="41"/>
      <c r="AW392" s="41"/>
      <c r="AX392" s="41"/>
      <c r="AY392" s="211"/>
      <c r="AZ392" s="150"/>
      <c r="BA392" s="150"/>
      <c r="BB392" s="150"/>
      <c r="BC392" s="150"/>
      <c r="BD392" s="168"/>
      <c r="BE392" s="150"/>
      <c r="BF392" s="150"/>
      <c r="BG392" s="150"/>
      <c r="BH392" s="150"/>
      <c r="BI392" s="168"/>
      <c r="BJ392" s="150"/>
      <c r="BK392" s="150"/>
      <c r="BL392" s="150"/>
      <c r="BM392" s="150"/>
      <c r="BN392" s="168"/>
      <c r="BO392" s="150"/>
      <c r="BP392" s="150"/>
      <c r="BQ392" s="150"/>
      <c r="BR392" s="150"/>
      <c r="BS392" s="168"/>
    </row>
    <row r="393" spans="1:71" ht="12.75" hidden="1" customHeight="1" x14ac:dyDescent="0.2">
      <c r="A393" s="93" t="s">
        <v>323</v>
      </c>
      <c r="B393" s="35"/>
      <c r="C393" s="35"/>
      <c r="D393" s="35"/>
      <c r="E393" s="35"/>
      <c r="F393" s="170"/>
      <c r="G393" s="38"/>
      <c r="H393" s="38"/>
      <c r="I393" s="38"/>
      <c r="J393" s="38"/>
      <c r="K393" s="173"/>
      <c r="L393" s="41"/>
      <c r="M393" s="41"/>
      <c r="N393" s="41"/>
      <c r="O393" s="41"/>
      <c r="P393" s="211"/>
      <c r="Q393" s="41"/>
      <c r="R393" s="41"/>
      <c r="S393" s="41"/>
      <c r="T393" s="41"/>
      <c r="U393" s="211"/>
      <c r="V393" s="41"/>
      <c r="W393" s="41"/>
      <c r="X393" s="41"/>
      <c r="Y393" s="41"/>
      <c r="Z393" s="211"/>
      <c r="AA393" s="41"/>
      <c r="AB393" s="41"/>
      <c r="AC393" s="41"/>
      <c r="AD393" s="41"/>
      <c r="AE393" s="211"/>
      <c r="AF393" s="41"/>
      <c r="AG393" s="41"/>
      <c r="AH393" s="41"/>
      <c r="AI393" s="41"/>
      <c r="AJ393" s="211"/>
      <c r="AK393" s="41"/>
      <c r="AL393" s="41"/>
      <c r="AM393" s="41"/>
      <c r="AN393" s="41"/>
      <c r="AO393" s="211"/>
      <c r="AP393" s="41"/>
      <c r="AQ393" s="41"/>
      <c r="AR393" s="41"/>
      <c r="AS393" s="41"/>
      <c r="AT393" s="211"/>
      <c r="AU393" s="41"/>
      <c r="AV393" s="41"/>
      <c r="AW393" s="41"/>
      <c r="AX393" s="41"/>
      <c r="AY393" s="211"/>
      <c r="AZ393" s="150"/>
      <c r="BA393" s="150"/>
      <c r="BB393" s="150"/>
      <c r="BC393" s="150"/>
      <c r="BD393" s="168"/>
      <c r="BE393" s="150"/>
      <c r="BF393" s="150"/>
      <c r="BG393" s="150"/>
      <c r="BH393" s="150"/>
      <c r="BI393" s="168"/>
      <c r="BJ393" s="150"/>
      <c r="BK393" s="150"/>
      <c r="BL393" s="150"/>
      <c r="BM393" s="150"/>
      <c r="BN393" s="168"/>
      <c r="BO393" s="150"/>
      <c r="BP393" s="150"/>
      <c r="BQ393" s="150"/>
      <c r="BR393" s="150"/>
      <c r="BS393" s="168"/>
    </row>
    <row r="394" spans="1:71" ht="12.75" hidden="1" customHeight="1" x14ac:dyDescent="0.2">
      <c r="A394" s="150" t="s">
        <v>348</v>
      </c>
      <c r="B394" s="35"/>
      <c r="C394" s="35"/>
      <c r="D394" s="35"/>
      <c r="E394" s="35"/>
      <c r="F394" s="170"/>
      <c r="G394" s="38"/>
      <c r="H394" s="38"/>
      <c r="I394" s="38"/>
      <c r="J394" s="38"/>
      <c r="K394" s="173"/>
      <c r="L394" s="41"/>
      <c r="M394" s="41"/>
      <c r="N394" s="41"/>
      <c r="O394" s="41"/>
      <c r="P394" s="211"/>
      <c r="Q394" s="41"/>
      <c r="R394" s="41"/>
      <c r="S394" s="41"/>
      <c r="T394" s="41"/>
      <c r="U394" s="211"/>
      <c r="V394" s="41"/>
      <c r="W394" s="41"/>
      <c r="X394" s="41">
        <f>X371/AE381</f>
        <v>-2.1074143459307573</v>
      </c>
      <c r="Y394" s="41">
        <f>Y371/AE381</f>
        <v>-2.0615100094870975</v>
      </c>
      <c r="Z394" s="211">
        <f>Z371/AE381</f>
        <v>-2.0615100094870975</v>
      </c>
      <c r="AA394" s="41" t="e">
        <f>AA371/AG381</f>
        <v>#DIV/0!</v>
      </c>
      <c r="AB394" s="41" t="e">
        <f>AB371/AH381</f>
        <v>#DIV/0!</v>
      </c>
      <c r="AC394" s="41" t="e">
        <f>AC371/AI381</f>
        <v>#DIV/0!</v>
      </c>
      <c r="AD394" s="41">
        <f>AD371/AJ381</f>
        <v>-1.4715169316801759</v>
      </c>
      <c r="AE394" s="211"/>
      <c r="AF394" s="41"/>
      <c r="AG394" s="41"/>
      <c r="AH394" s="41"/>
      <c r="AI394" s="41"/>
      <c r="AJ394" s="211"/>
      <c r="AK394" s="41"/>
      <c r="AL394" s="41"/>
      <c r="AM394" s="41"/>
      <c r="AN394" s="41"/>
      <c r="AO394" s="211"/>
      <c r="AP394" s="41"/>
      <c r="AQ394" s="41"/>
      <c r="AR394" s="41"/>
      <c r="AS394" s="41"/>
      <c r="AT394" s="211"/>
      <c r="AU394" s="41"/>
      <c r="AV394" s="41"/>
      <c r="AW394" s="41"/>
      <c r="AX394" s="41"/>
      <c r="AY394" s="211"/>
      <c r="AZ394" s="150"/>
      <c r="BA394" s="150"/>
      <c r="BB394" s="150"/>
      <c r="BC394" s="150"/>
      <c r="BD394" s="168"/>
      <c r="BE394" s="150"/>
      <c r="BF394" s="150"/>
      <c r="BG394" s="150"/>
      <c r="BH394" s="150"/>
      <c r="BI394" s="168"/>
      <c r="BJ394" s="150"/>
      <c r="BK394" s="150"/>
      <c r="BL394" s="150"/>
      <c r="BM394" s="150"/>
      <c r="BN394" s="168"/>
      <c r="BO394" s="150"/>
      <c r="BP394" s="150"/>
      <c r="BQ394" s="150"/>
      <c r="BR394" s="150"/>
      <c r="BS394" s="168"/>
    </row>
    <row r="395" spans="1:71" ht="12.75" hidden="1" customHeight="1" x14ac:dyDescent="0.2">
      <c r="A395" s="150" t="s">
        <v>349</v>
      </c>
      <c r="B395" s="35"/>
      <c r="C395" s="35"/>
      <c r="D395" s="35"/>
      <c r="E395" s="35"/>
      <c r="F395" s="170"/>
      <c r="G395" s="38"/>
      <c r="H395" s="38"/>
      <c r="I395" s="38"/>
      <c r="J395" s="38"/>
      <c r="K395" s="173"/>
      <c r="L395" s="41"/>
      <c r="M395" s="41"/>
      <c r="N395" s="41"/>
      <c r="O395" s="41"/>
      <c r="P395" s="211"/>
      <c r="Q395" s="41"/>
      <c r="R395" s="41"/>
      <c r="S395" s="41"/>
      <c r="T395" s="41"/>
      <c r="U395" s="211"/>
      <c r="V395" s="41"/>
      <c r="W395" s="41"/>
      <c r="X395" s="41">
        <f>X371/AE382</f>
        <v>-1.930565792803002</v>
      </c>
      <c r="Y395" s="41">
        <f>Y371/AE382</f>
        <v>-1.8885136250123775</v>
      </c>
      <c r="Z395" s="211">
        <f>Z371/AE382</f>
        <v>-1.8885136250123775</v>
      </c>
      <c r="AA395" s="41" t="e">
        <f>AA371/AG382</f>
        <v>#DIV/0!</v>
      </c>
      <c r="AB395" s="41" t="e">
        <f>AB371/AH382</f>
        <v>#DIV/0!</v>
      </c>
      <c r="AC395" s="41" t="e">
        <f>AC371/AI382</f>
        <v>#DIV/0!</v>
      </c>
      <c r="AD395" s="41">
        <f>AD371/AJ382</f>
        <v>-1.3223732007626827</v>
      </c>
      <c r="AE395" s="211"/>
      <c r="AF395" s="41"/>
      <c r="AG395" s="41"/>
      <c r="AH395" s="41"/>
      <c r="AI395" s="41"/>
      <c r="AJ395" s="211"/>
      <c r="AK395" s="41"/>
      <c r="AL395" s="41"/>
      <c r="AM395" s="41"/>
      <c r="AN395" s="41"/>
      <c r="AO395" s="211"/>
      <c r="AP395" s="41"/>
      <c r="AQ395" s="41"/>
      <c r="AR395" s="41"/>
      <c r="AS395" s="41"/>
      <c r="AT395" s="211"/>
      <c r="AU395" s="41"/>
      <c r="AV395" s="41"/>
      <c r="AW395" s="41"/>
      <c r="AX395" s="41"/>
      <c r="AY395" s="211"/>
      <c r="AZ395" s="150"/>
      <c r="BA395" s="150"/>
      <c r="BB395" s="150"/>
      <c r="BC395" s="150"/>
      <c r="BD395" s="168"/>
      <c r="BE395" s="150"/>
      <c r="BF395" s="150"/>
      <c r="BG395" s="150"/>
      <c r="BH395" s="150"/>
      <c r="BI395" s="168"/>
      <c r="BJ395" s="150"/>
      <c r="BK395" s="150"/>
      <c r="BL395" s="150"/>
      <c r="BM395" s="150"/>
      <c r="BN395" s="168"/>
      <c r="BO395" s="150"/>
      <c r="BP395" s="150"/>
      <c r="BQ395" s="150"/>
      <c r="BR395" s="150"/>
      <c r="BS395" s="168"/>
    </row>
    <row r="396" spans="1:71" ht="12.75" hidden="1" customHeight="1" x14ac:dyDescent="0.2">
      <c r="A396" s="93" t="s">
        <v>324</v>
      </c>
      <c r="B396" s="35"/>
      <c r="C396" s="35"/>
      <c r="D396" s="35"/>
      <c r="E396" s="35"/>
      <c r="F396" s="170"/>
      <c r="G396" s="38"/>
      <c r="H396" s="38"/>
      <c r="I396" s="38"/>
      <c r="J396" s="38"/>
      <c r="K396" s="173"/>
      <c r="L396" s="41"/>
      <c r="M396" s="41"/>
      <c r="N396" s="41"/>
      <c r="O396" s="41"/>
      <c r="P396" s="211"/>
      <c r="Q396" s="41"/>
      <c r="R396" s="41"/>
      <c r="S396" s="41"/>
      <c r="T396" s="41"/>
      <c r="U396" s="211"/>
      <c r="V396" s="41"/>
      <c r="W396" s="41"/>
      <c r="X396" s="41"/>
      <c r="Y396" s="41"/>
      <c r="Z396" s="211"/>
      <c r="AA396" s="41"/>
      <c r="AB396" s="41"/>
      <c r="AC396" s="41"/>
      <c r="AD396" s="41"/>
      <c r="AE396" s="211"/>
      <c r="AF396" s="41"/>
      <c r="AG396" s="41"/>
      <c r="AH396" s="41"/>
      <c r="AI396" s="41"/>
      <c r="AJ396" s="211"/>
      <c r="AK396" s="41"/>
      <c r="AL396" s="41"/>
      <c r="AM396" s="41"/>
      <c r="AN396" s="41"/>
      <c r="AO396" s="211"/>
      <c r="AP396" s="41"/>
      <c r="AQ396" s="41"/>
      <c r="AR396" s="41"/>
      <c r="AS396" s="41"/>
      <c r="AT396" s="211"/>
      <c r="AU396" s="41"/>
      <c r="AV396" s="41"/>
      <c r="AW396" s="41"/>
      <c r="AX396" s="41"/>
      <c r="AY396" s="211"/>
      <c r="AZ396" s="150"/>
      <c r="BA396" s="150"/>
      <c r="BB396" s="150"/>
      <c r="BC396" s="150"/>
      <c r="BD396" s="168"/>
      <c r="BE396" s="150"/>
      <c r="BF396" s="150"/>
      <c r="BG396" s="150"/>
      <c r="BH396" s="150"/>
      <c r="BI396" s="168"/>
      <c r="BJ396" s="150"/>
      <c r="BK396" s="150"/>
      <c r="BL396" s="150"/>
      <c r="BM396" s="150"/>
      <c r="BN396" s="168"/>
      <c r="BO396" s="150"/>
      <c r="BP396" s="150"/>
      <c r="BQ396" s="150"/>
      <c r="BR396" s="150"/>
      <c r="BS396" s="168"/>
    </row>
    <row r="397" spans="1:71" ht="12.75" hidden="1" customHeight="1" x14ac:dyDescent="0.2">
      <c r="A397" s="150" t="s">
        <v>348</v>
      </c>
      <c r="B397" s="35"/>
      <c r="C397" s="35"/>
      <c r="D397" s="35"/>
      <c r="E397" s="35"/>
      <c r="F397" s="170"/>
      <c r="G397" s="38"/>
      <c r="H397" s="38"/>
      <c r="I397" s="38"/>
      <c r="J397" s="38"/>
      <c r="K397" s="173"/>
      <c r="L397" s="41"/>
      <c r="M397" s="41"/>
      <c r="N397" s="41"/>
      <c r="O397" s="41"/>
      <c r="P397" s="211"/>
      <c r="Q397" s="41"/>
      <c r="R397" s="41"/>
      <c r="S397" s="41"/>
      <c r="T397" s="41"/>
      <c r="U397" s="211"/>
      <c r="V397" s="41"/>
      <c r="W397" s="41"/>
      <c r="X397" s="41">
        <f>X372/AE381</f>
        <v>-2.1074143459307573</v>
      </c>
      <c r="Y397" s="41">
        <f>Y372/AE381</f>
        <v>-2.0615100094870975</v>
      </c>
      <c r="Z397" s="211">
        <f>Z372/AE381</f>
        <v>-2.0615100094870975</v>
      </c>
      <c r="AA397" s="41" t="e">
        <f>AA372/AG381</f>
        <v>#DIV/0!</v>
      </c>
      <c r="AB397" s="41" t="e">
        <f>AB372/AH381</f>
        <v>#DIV/0!</v>
      </c>
      <c r="AC397" s="41" t="e">
        <f>AC372/AI381</f>
        <v>#DIV/0!</v>
      </c>
      <c r="AD397" s="41">
        <f>AD372/AJ381</f>
        <v>-1.4715169316801759</v>
      </c>
      <c r="AE397" s="211"/>
      <c r="AF397" s="41"/>
      <c r="AG397" s="41"/>
      <c r="AH397" s="41"/>
      <c r="AI397" s="41"/>
      <c r="AJ397" s="211"/>
      <c r="AK397" s="41"/>
      <c r="AL397" s="41"/>
      <c r="AM397" s="41"/>
      <c r="AN397" s="41"/>
      <c r="AO397" s="211"/>
      <c r="AP397" s="41"/>
      <c r="AQ397" s="41"/>
      <c r="AR397" s="41"/>
      <c r="AS397" s="41"/>
      <c r="AT397" s="211"/>
      <c r="AU397" s="41"/>
      <c r="AV397" s="41"/>
      <c r="AW397" s="41"/>
      <c r="AX397" s="41"/>
      <c r="AY397" s="211"/>
      <c r="AZ397" s="150"/>
      <c r="BA397" s="150"/>
      <c r="BB397" s="150"/>
      <c r="BC397" s="150"/>
      <c r="BD397" s="168"/>
      <c r="BE397" s="150"/>
      <c r="BF397" s="150"/>
      <c r="BG397" s="150"/>
      <c r="BH397" s="150"/>
      <c r="BI397" s="168"/>
      <c r="BJ397" s="150"/>
      <c r="BK397" s="150"/>
      <c r="BL397" s="150"/>
      <c r="BM397" s="150"/>
      <c r="BN397" s="168"/>
      <c r="BO397" s="150"/>
      <c r="BP397" s="150"/>
      <c r="BQ397" s="150"/>
      <c r="BR397" s="150"/>
      <c r="BS397" s="168"/>
    </row>
    <row r="398" spans="1:71" ht="12.75" hidden="1" customHeight="1" x14ac:dyDescent="0.2">
      <c r="A398" s="150" t="s">
        <v>349</v>
      </c>
      <c r="B398" s="35"/>
      <c r="C398" s="35"/>
      <c r="D398" s="35"/>
      <c r="E398" s="35"/>
      <c r="F398" s="170"/>
      <c r="G398" s="38"/>
      <c r="H398" s="38"/>
      <c r="I398" s="38"/>
      <c r="J398" s="38"/>
      <c r="K398" s="173"/>
      <c r="L398" s="41"/>
      <c r="M398" s="41"/>
      <c r="N398" s="41"/>
      <c r="O398" s="41"/>
      <c r="P398" s="211"/>
      <c r="Q398" s="41"/>
      <c r="R398" s="41"/>
      <c r="S398" s="41"/>
      <c r="T398" s="41"/>
      <c r="U398" s="211"/>
      <c r="V398" s="41"/>
      <c r="W398" s="41"/>
      <c r="X398" s="41">
        <f>X372/AE382</f>
        <v>-1.930565792803002</v>
      </c>
      <c r="Y398" s="41">
        <f>Y372/AE382</f>
        <v>-1.8885136250123775</v>
      </c>
      <c r="Z398" s="211">
        <f>Z372/AE382</f>
        <v>-1.8885136250123775</v>
      </c>
      <c r="AA398" s="41" t="e">
        <f>AA372/AG382</f>
        <v>#DIV/0!</v>
      </c>
      <c r="AB398" s="41" t="e">
        <f>AB372/AH382</f>
        <v>#DIV/0!</v>
      </c>
      <c r="AC398" s="41" t="e">
        <f>AC372/AI382</f>
        <v>#DIV/0!</v>
      </c>
      <c r="AD398" s="41">
        <f>AD372/AJ382</f>
        <v>-1.3223732007626827</v>
      </c>
      <c r="AE398" s="211"/>
      <c r="AF398" s="41"/>
      <c r="AG398" s="41"/>
      <c r="AH398" s="41"/>
      <c r="AI398" s="41"/>
      <c r="AJ398" s="211"/>
      <c r="AK398" s="41"/>
      <c r="AL398" s="41"/>
      <c r="AM398" s="41"/>
      <c r="AN398" s="41"/>
      <c r="AO398" s="211"/>
      <c r="AP398" s="41"/>
      <c r="AQ398" s="41"/>
      <c r="AR398" s="41"/>
      <c r="AS398" s="41"/>
      <c r="AT398" s="211"/>
      <c r="AU398" s="41"/>
      <c r="AV398" s="41"/>
      <c r="AW398" s="41"/>
      <c r="AX398" s="41"/>
      <c r="AY398" s="211"/>
      <c r="AZ398" s="150"/>
      <c r="BA398" s="150"/>
      <c r="BB398" s="150"/>
      <c r="BC398" s="150"/>
      <c r="BD398" s="168"/>
      <c r="BE398" s="150"/>
      <c r="BF398" s="150"/>
      <c r="BG398" s="150"/>
      <c r="BH398" s="150"/>
      <c r="BI398" s="168"/>
      <c r="BJ398" s="150"/>
      <c r="BK398" s="150"/>
      <c r="BL398" s="150"/>
      <c r="BM398" s="150"/>
      <c r="BN398" s="168"/>
      <c r="BO398" s="150"/>
      <c r="BP398" s="150"/>
      <c r="BQ398" s="150"/>
      <c r="BR398" s="150"/>
      <c r="BS398" s="168"/>
    </row>
    <row r="399" spans="1:71" ht="12.75" hidden="1" customHeight="1" x14ac:dyDescent="0.2">
      <c r="A399" s="93" t="s">
        <v>328</v>
      </c>
      <c r="B399" s="35"/>
      <c r="C399" s="35"/>
      <c r="D399" s="35"/>
      <c r="E399" s="35"/>
      <c r="F399" s="170"/>
      <c r="G399" s="38"/>
      <c r="H399" s="38"/>
      <c r="I399" s="38"/>
      <c r="J399" s="38"/>
      <c r="K399" s="173"/>
      <c r="L399" s="41"/>
      <c r="M399" s="41"/>
      <c r="N399" s="41"/>
      <c r="O399" s="41"/>
      <c r="P399" s="211"/>
      <c r="Q399" s="41"/>
      <c r="R399" s="41"/>
      <c r="S399" s="41"/>
      <c r="T399" s="41"/>
      <c r="U399" s="211"/>
      <c r="V399" s="41"/>
      <c r="W399" s="41"/>
      <c r="X399" s="41"/>
      <c r="Y399" s="41"/>
      <c r="Z399" s="211"/>
      <c r="AA399" s="41"/>
      <c r="AB399" s="41"/>
      <c r="AC399" s="41"/>
      <c r="AD399" s="41"/>
      <c r="AE399" s="211"/>
      <c r="AF399" s="41"/>
      <c r="AG399" s="41"/>
      <c r="AH399" s="41"/>
      <c r="AI399" s="41"/>
      <c r="AJ399" s="211"/>
      <c r="AK399" s="41"/>
      <c r="AL399" s="41"/>
      <c r="AM399" s="41"/>
      <c r="AN399" s="41"/>
      <c r="AO399" s="211"/>
      <c r="AP399" s="41"/>
      <c r="AQ399" s="41"/>
      <c r="AR399" s="41"/>
      <c r="AS399" s="41"/>
      <c r="AT399" s="211"/>
      <c r="AU399" s="41"/>
      <c r="AV399" s="41"/>
      <c r="AW399" s="41"/>
      <c r="AX399" s="41"/>
      <c r="AY399" s="211"/>
      <c r="AZ399" s="150"/>
      <c r="BA399" s="150"/>
      <c r="BB399" s="150"/>
      <c r="BC399" s="150"/>
      <c r="BD399" s="168"/>
      <c r="BE399" s="150"/>
      <c r="BF399" s="150"/>
      <c r="BG399" s="150"/>
      <c r="BH399" s="150"/>
      <c r="BI399" s="168"/>
      <c r="BJ399" s="150"/>
      <c r="BK399" s="150"/>
      <c r="BL399" s="150"/>
      <c r="BM399" s="150"/>
      <c r="BN399" s="168"/>
      <c r="BO399" s="150"/>
      <c r="BP399" s="150"/>
      <c r="BQ399" s="150"/>
      <c r="BR399" s="150"/>
      <c r="BS399" s="168"/>
    </row>
    <row r="400" spans="1:71" ht="12.75" hidden="1" customHeight="1" x14ac:dyDescent="0.2">
      <c r="A400" s="150" t="s">
        <v>350</v>
      </c>
      <c r="B400" s="35"/>
      <c r="C400" s="35"/>
      <c r="D400" s="35"/>
      <c r="E400" s="35"/>
      <c r="F400" s="170"/>
      <c r="G400" s="38"/>
      <c r="H400" s="38"/>
      <c r="I400" s="38"/>
      <c r="J400" s="38"/>
      <c r="K400" s="173"/>
      <c r="L400" s="41"/>
      <c r="M400" s="41"/>
      <c r="N400" s="41"/>
      <c r="O400" s="41"/>
      <c r="P400" s="211"/>
      <c r="Q400" s="41"/>
      <c r="R400" s="41"/>
      <c r="S400" s="41"/>
      <c r="T400" s="41"/>
      <c r="U400" s="211"/>
      <c r="V400" s="41"/>
      <c r="W400" s="41"/>
      <c r="X400" s="41">
        <f>X374/AE380</f>
        <v>0.35436229698692645</v>
      </c>
      <c r="Y400" s="41">
        <f>Y374/AE380</f>
        <v>0.38683604523099419</v>
      </c>
      <c r="Z400" s="211">
        <f>Z374/AE380</f>
        <v>0.35806378698835245</v>
      </c>
      <c r="AA400" s="41" t="e">
        <f>AA374/AG380</f>
        <v>#DIV/0!</v>
      </c>
      <c r="AB400" s="41" t="e">
        <f>AB374/AH380</f>
        <v>#DIV/0!</v>
      </c>
      <c r="AC400" s="41" t="e">
        <f>AC374/AI380</f>
        <v>#DIV/0!</v>
      </c>
      <c r="AD400" s="41">
        <f>AD374/AJ380</f>
        <v>0.37601162969925378</v>
      </c>
      <c r="AE400" s="211"/>
      <c r="AF400" s="41"/>
      <c r="AG400" s="41"/>
      <c r="AH400" s="41"/>
      <c r="AI400" s="41"/>
      <c r="AJ400" s="211"/>
      <c r="AK400" s="41"/>
      <c r="AL400" s="41"/>
      <c r="AM400" s="41"/>
      <c r="AN400" s="41"/>
      <c r="AO400" s="211"/>
      <c r="AP400" s="41"/>
      <c r="AQ400" s="41"/>
      <c r="AR400" s="41"/>
      <c r="AS400" s="41"/>
      <c r="AT400" s="211"/>
      <c r="AU400" s="41"/>
      <c r="AV400" s="41"/>
      <c r="AW400" s="41"/>
      <c r="AX400" s="41"/>
      <c r="AY400" s="211"/>
      <c r="AZ400" s="150"/>
      <c r="BA400" s="150"/>
      <c r="BB400" s="150"/>
      <c r="BC400" s="150"/>
      <c r="BD400" s="168"/>
      <c r="BE400" s="150"/>
      <c r="BF400" s="150"/>
      <c r="BG400" s="150"/>
      <c r="BH400" s="150"/>
      <c r="BI400" s="168"/>
      <c r="BJ400" s="150"/>
      <c r="BK400" s="150"/>
      <c r="BL400" s="150"/>
      <c r="BM400" s="150"/>
      <c r="BN400" s="168"/>
      <c r="BO400" s="150"/>
      <c r="BP400" s="150"/>
      <c r="BQ400" s="150"/>
      <c r="BR400" s="150"/>
      <c r="BS400" s="168"/>
    </row>
    <row r="401" spans="1:94" ht="12.75" hidden="1" customHeight="1" x14ac:dyDescent="0.2">
      <c r="A401" s="150" t="s">
        <v>351</v>
      </c>
      <c r="B401" s="35"/>
      <c r="C401" s="35"/>
      <c r="D401" s="35"/>
      <c r="E401" s="35"/>
      <c r="F401" s="170"/>
      <c r="G401" s="38"/>
      <c r="H401" s="38"/>
      <c r="I401" s="38"/>
      <c r="J401" s="38"/>
      <c r="K401" s="173"/>
      <c r="L401" s="41"/>
      <c r="M401" s="41"/>
      <c r="N401" s="41"/>
      <c r="O401" s="41"/>
      <c r="P401" s="211"/>
      <c r="Q401" s="41"/>
      <c r="R401" s="41"/>
      <c r="S401" s="41"/>
      <c r="T401" s="41"/>
      <c r="U401" s="211"/>
      <c r="V401" s="41"/>
      <c r="W401" s="41"/>
      <c r="X401" s="41">
        <f>X374/AE386</f>
        <v>1.435863785843809</v>
      </c>
      <c r="Y401" s="41">
        <f>Y374/AE386</f>
        <v>1.5674462919138215</v>
      </c>
      <c r="Z401" s="211">
        <f>Z374/AE386</f>
        <v>1.4508620954605529</v>
      </c>
      <c r="AA401" s="41" t="e">
        <f>AA374/AG386</f>
        <v>#DIV/0!</v>
      </c>
      <c r="AB401" s="41" t="e">
        <f>AB374/AH386</f>
        <v>#DIV/0!</v>
      </c>
      <c r="AC401" s="41" t="e">
        <f>AC374/AI386</f>
        <v>#DIV/0!</v>
      </c>
      <c r="AD401" s="41">
        <f>AD374/AJ386</f>
        <v>1.2827731265723592</v>
      </c>
      <c r="AE401" s="211"/>
      <c r="AF401" s="41"/>
      <c r="AG401" s="41"/>
      <c r="AH401" s="41"/>
      <c r="AI401" s="41"/>
      <c r="AJ401" s="211"/>
      <c r="AK401" s="41"/>
      <c r="AL401" s="41"/>
      <c r="AM401" s="41"/>
      <c r="AN401" s="41"/>
      <c r="AO401" s="211"/>
      <c r="AP401" s="41"/>
      <c r="AQ401" s="41"/>
      <c r="AR401" s="41"/>
      <c r="AS401" s="41"/>
      <c r="AT401" s="211"/>
      <c r="AU401" s="41"/>
      <c r="AV401" s="41"/>
      <c r="AW401" s="41"/>
      <c r="AX401" s="41"/>
      <c r="AY401" s="211"/>
      <c r="AZ401" s="150"/>
      <c r="BA401" s="150"/>
      <c r="BB401" s="150"/>
      <c r="BC401" s="150"/>
      <c r="BD401" s="168"/>
      <c r="BE401" s="150"/>
      <c r="BF401" s="150"/>
      <c r="BG401" s="150"/>
      <c r="BH401" s="150"/>
      <c r="BI401" s="168"/>
      <c r="BJ401" s="150"/>
      <c r="BK401" s="150"/>
      <c r="BL401" s="150"/>
      <c r="BM401" s="150"/>
      <c r="BN401" s="168"/>
      <c r="BO401" s="150"/>
      <c r="BP401" s="150"/>
      <c r="BQ401" s="150"/>
      <c r="BR401" s="150"/>
      <c r="BS401" s="168"/>
    </row>
    <row r="402" spans="1:94" ht="12.75" hidden="1" customHeight="1" x14ac:dyDescent="0.2">
      <c r="A402" s="94" t="s">
        <v>329</v>
      </c>
      <c r="B402" s="35"/>
      <c r="C402" s="35"/>
      <c r="D402" s="35"/>
      <c r="E402" s="35"/>
      <c r="F402" s="170"/>
      <c r="G402" s="38"/>
      <c r="H402" s="38"/>
      <c r="I402" s="38"/>
      <c r="J402" s="38"/>
      <c r="K402" s="173"/>
      <c r="L402" s="41"/>
      <c r="M402" s="41"/>
      <c r="N402" s="41"/>
      <c r="O402" s="41"/>
      <c r="P402" s="211"/>
      <c r="Q402" s="41"/>
      <c r="R402" s="41"/>
      <c r="S402" s="41"/>
      <c r="T402" s="41"/>
      <c r="U402" s="211"/>
      <c r="V402" s="41"/>
      <c r="W402" s="41"/>
      <c r="X402" s="41"/>
      <c r="Y402" s="41"/>
      <c r="Z402" s="211"/>
      <c r="AA402" s="41"/>
      <c r="AB402" s="41"/>
      <c r="AC402" s="41"/>
      <c r="AD402" s="41"/>
      <c r="AE402" s="211"/>
      <c r="AF402" s="41"/>
      <c r="AG402" s="41"/>
      <c r="AH402" s="41"/>
      <c r="AI402" s="41"/>
      <c r="AJ402" s="211"/>
      <c r="AK402" s="41"/>
      <c r="AL402" s="41"/>
      <c r="AM402" s="41"/>
      <c r="AN402" s="41"/>
      <c r="AO402" s="211"/>
      <c r="AP402" s="41"/>
      <c r="AQ402" s="41"/>
      <c r="AR402" s="41"/>
      <c r="AS402" s="41"/>
      <c r="AT402" s="211"/>
      <c r="AU402" s="41"/>
      <c r="AV402" s="41"/>
      <c r="AW402" s="41"/>
      <c r="AX402" s="41"/>
      <c r="AY402" s="211"/>
      <c r="AZ402" s="150"/>
      <c r="BA402" s="150"/>
      <c r="BB402" s="150"/>
      <c r="BC402" s="150"/>
      <c r="BD402" s="168"/>
      <c r="BE402" s="150"/>
      <c r="BF402" s="150"/>
      <c r="BG402" s="150"/>
      <c r="BH402" s="150"/>
      <c r="BI402" s="168"/>
      <c r="BJ402" s="150"/>
      <c r="BK402" s="150"/>
      <c r="BL402" s="150"/>
      <c r="BM402" s="150"/>
      <c r="BN402" s="168"/>
      <c r="BO402" s="150"/>
      <c r="BP402" s="150"/>
      <c r="BQ402" s="150"/>
      <c r="BR402" s="150"/>
      <c r="BS402" s="168"/>
    </row>
    <row r="403" spans="1:94" ht="12.75" hidden="1" customHeight="1" x14ac:dyDescent="0.2">
      <c r="A403" s="150" t="s">
        <v>350</v>
      </c>
      <c r="B403" s="35"/>
      <c r="C403" s="35"/>
      <c r="D403" s="35"/>
      <c r="E403" s="35"/>
      <c r="F403" s="170"/>
      <c r="G403" s="38"/>
      <c r="H403" s="38"/>
      <c r="I403" s="38"/>
      <c r="J403" s="38"/>
      <c r="K403" s="173"/>
      <c r="L403" s="41"/>
      <c r="M403" s="41"/>
      <c r="N403" s="41"/>
      <c r="O403" s="41"/>
      <c r="P403" s="211"/>
      <c r="Q403" s="41"/>
      <c r="R403" s="41"/>
      <c r="S403" s="41"/>
      <c r="T403" s="41"/>
      <c r="U403" s="211"/>
      <c r="V403" s="41"/>
      <c r="W403" s="41"/>
      <c r="X403" s="41">
        <f>X375/AE380</f>
        <v>0.35436229698692645</v>
      </c>
      <c r="Y403" s="41">
        <f>Y375/AE380</f>
        <v>0.38683604523099419</v>
      </c>
      <c r="Z403" s="211">
        <f>Z375/AE380</f>
        <v>0.35806378698835245</v>
      </c>
      <c r="AA403" s="41" t="e">
        <f>AA375/AG380</f>
        <v>#DIV/0!</v>
      </c>
      <c r="AB403" s="41" t="e">
        <f>AB375/AH380</f>
        <v>#DIV/0!</v>
      </c>
      <c r="AC403" s="41" t="e">
        <f>AC375/AI380</f>
        <v>#DIV/0!</v>
      </c>
      <c r="AD403" s="41">
        <f>AD375/AJ380</f>
        <v>0.37601162969925378</v>
      </c>
      <c r="AE403" s="211"/>
      <c r="AF403" s="41"/>
      <c r="AG403" s="41"/>
      <c r="AH403" s="41"/>
      <c r="AI403" s="41"/>
      <c r="AJ403" s="211"/>
      <c r="AK403" s="41"/>
      <c r="AL403" s="41"/>
      <c r="AM403" s="41"/>
      <c r="AN403" s="41"/>
      <c r="AO403" s="211"/>
      <c r="AP403" s="41"/>
      <c r="AQ403" s="41"/>
      <c r="AR403" s="41"/>
      <c r="AS403" s="41"/>
      <c r="AT403" s="211"/>
      <c r="AU403" s="41"/>
      <c r="AV403" s="41"/>
      <c r="AW403" s="41"/>
      <c r="AX403" s="41"/>
      <c r="AY403" s="211"/>
      <c r="AZ403" s="150"/>
      <c r="BA403" s="150"/>
      <c r="BB403" s="150"/>
      <c r="BC403" s="150"/>
      <c r="BD403" s="168"/>
      <c r="BE403" s="150"/>
      <c r="BF403" s="150"/>
      <c r="BG403" s="150"/>
      <c r="BH403" s="150"/>
      <c r="BI403" s="168"/>
      <c r="BJ403" s="150"/>
      <c r="BK403" s="150"/>
      <c r="BL403" s="150"/>
      <c r="BM403" s="150"/>
      <c r="BN403" s="168"/>
      <c r="BO403" s="150"/>
      <c r="BP403" s="150"/>
      <c r="BQ403" s="150"/>
      <c r="BR403" s="150"/>
      <c r="BS403" s="168"/>
    </row>
    <row r="404" spans="1:94" ht="12.75" hidden="1" customHeight="1" x14ac:dyDescent="0.2">
      <c r="A404" s="150" t="s">
        <v>351</v>
      </c>
      <c r="B404" s="35"/>
      <c r="C404" s="35"/>
      <c r="D404" s="35"/>
      <c r="E404" s="35"/>
      <c r="F404" s="170"/>
      <c r="G404" s="38"/>
      <c r="H404" s="38"/>
      <c r="I404" s="38"/>
      <c r="J404" s="38"/>
      <c r="K404" s="173"/>
      <c r="L404" s="41"/>
      <c r="M404" s="41"/>
      <c r="N404" s="41"/>
      <c r="O404" s="41"/>
      <c r="P404" s="211"/>
      <c r="Q404" s="41"/>
      <c r="R404" s="41"/>
      <c r="S404" s="41"/>
      <c r="T404" s="41"/>
      <c r="U404" s="211"/>
      <c r="V404" s="41"/>
      <c r="W404" s="41"/>
      <c r="X404" s="41">
        <f>X375/AE386</f>
        <v>1.435863785843809</v>
      </c>
      <c r="Y404" s="41">
        <f>Y375/AE386</f>
        <v>1.5674462919138215</v>
      </c>
      <c r="Z404" s="211">
        <f>Z375/AE386</f>
        <v>1.4508620954605529</v>
      </c>
      <c r="AA404" s="41" t="e">
        <f>AA375/AG386</f>
        <v>#DIV/0!</v>
      </c>
      <c r="AB404" s="41" t="e">
        <f>AB375/AH386</f>
        <v>#DIV/0!</v>
      </c>
      <c r="AC404" s="41" t="e">
        <f>AC375/AI386</f>
        <v>#DIV/0!</v>
      </c>
      <c r="AD404" s="41">
        <f>AD375/AJ386</f>
        <v>1.2827731265723592</v>
      </c>
      <c r="AE404" s="211"/>
      <c r="AF404" s="41"/>
      <c r="AG404" s="41"/>
      <c r="AH404" s="41"/>
      <c r="AI404" s="41"/>
      <c r="AJ404" s="211"/>
      <c r="AK404" s="41"/>
      <c r="AL404" s="41"/>
      <c r="AM404" s="41"/>
      <c r="AN404" s="41"/>
      <c r="AO404" s="211"/>
      <c r="AP404" s="41"/>
      <c r="AQ404" s="41"/>
      <c r="AR404" s="41"/>
      <c r="AS404" s="41"/>
      <c r="AT404" s="211"/>
      <c r="AU404" s="41"/>
      <c r="AV404" s="41"/>
      <c r="AW404" s="41"/>
      <c r="AX404" s="41"/>
      <c r="AY404" s="211"/>
      <c r="AZ404" s="150"/>
      <c r="BA404" s="150"/>
      <c r="BB404" s="150"/>
      <c r="BC404" s="150"/>
      <c r="BD404" s="168"/>
      <c r="BE404" s="150"/>
      <c r="BF404" s="150"/>
      <c r="BG404" s="150"/>
      <c r="BH404" s="150"/>
      <c r="BI404" s="168"/>
      <c r="BJ404" s="150"/>
      <c r="BK404" s="150"/>
      <c r="BL404" s="150"/>
      <c r="BM404" s="150"/>
      <c r="BN404" s="168"/>
      <c r="BO404" s="150"/>
      <c r="BP404" s="150"/>
      <c r="BQ404" s="150"/>
      <c r="BR404" s="150"/>
      <c r="BS404" s="168"/>
    </row>
    <row r="405" spans="1:94" ht="12.75" hidden="1" customHeight="1" x14ac:dyDescent="0.2">
      <c r="A405" s="94" t="s">
        <v>330</v>
      </c>
      <c r="B405" s="35"/>
      <c r="C405" s="35"/>
      <c r="D405" s="35"/>
      <c r="E405" s="35"/>
      <c r="F405" s="170"/>
      <c r="G405" s="38"/>
      <c r="H405" s="38"/>
      <c r="I405" s="38"/>
      <c r="J405" s="38"/>
      <c r="K405" s="173"/>
      <c r="L405" s="41"/>
      <c r="M405" s="41"/>
      <c r="N405" s="41"/>
      <c r="O405" s="41"/>
      <c r="P405" s="211"/>
      <c r="Q405" s="41"/>
      <c r="R405" s="41"/>
      <c r="S405" s="41"/>
      <c r="T405" s="41"/>
      <c r="U405" s="211"/>
      <c r="V405" s="41"/>
      <c r="W405" s="41"/>
      <c r="X405" s="41"/>
      <c r="Y405" s="41"/>
      <c r="Z405" s="211"/>
      <c r="AA405" s="41"/>
      <c r="AB405" s="41"/>
      <c r="AC405" s="41"/>
      <c r="AD405" s="41"/>
      <c r="AE405" s="211"/>
      <c r="AF405" s="41"/>
      <c r="AG405" s="41"/>
      <c r="AH405" s="41"/>
      <c r="AI405" s="41"/>
      <c r="AJ405" s="211"/>
      <c r="AK405" s="41"/>
      <c r="AL405" s="41"/>
      <c r="AM405" s="41"/>
      <c r="AN405" s="41"/>
      <c r="AO405" s="211"/>
      <c r="AP405" s="41"/>
      <c r="AQ405" s="41"/>
      <c r="AR405" s="41"/>
      <c r="AS405" s="41"/>
      <c r="AT405" s="211"/>
      <c r="AU405" s="41"/>
      <c r="AV405" s="41"/>
      <c r="AW405" s="41"/>
      <c r="AX405" s="41"/>
      <c r="AY405" s="211"/>
      <c r="AZ405" s="150"/>
      <c r="BA405" s="150"/>
      <c r="BB405" s="150"/>
      <c r="BC405" s="150"/>
      <c r="BD405" s="168"/>
      <c r="BE405" s="150"/>
      <c r="BF405" s="150"/>
      <c r="BG405" s="150"/>
      <c r="BH405" s="150"/>
      <c r="BI405" s="168"/>
      <c r="BJ405" s="150"/>
      <c r="BK405" s="150"/>
      <c r="BL405" s="150"/>
      <c r="BM405" s="150"/>
      <c r="BN405" s="168"/>
      <c r="BO405" s="150"/>
      <c r="BP405" s="150"/>
      <c r="BQ405" s="150"/>
      <c r="BR405" s="150"/>
      <c r="BS405" s="168"/>
    </row>
    <row r="406" spans="1:94" ht="12.75" hidden="1" customHeight="1" x14ac:dyDescent="0.2">
      <c r="A406" s="150" t="s">
        <v>350</v>
      </c>
      <c r="B406" s="35"/>
      <c r="C406" s="35"/>
      <c r="D406" s="35"/>
      <c r="E406" s="35"/>
      <c r="F406" s="170"/>
      <c r="G406" s="38"/>
      <c r="H406" s="38"/>
      <c r="I406" s="38"/>
      <c r="J406" s="38"/>
      <c r="K406" s="173"/>
      <c r="L406" s="41"/>
      <c r="M406" s="41"/>
      <c r="N406" s="41"/>
      <c r="O406" s="41"/>
      <c r="P406" s="211"/>
      <c r="Q406" s="41"/>
      <c r="R406" s="41"/>
      <c r="S406" s="41"/>
      <c r="T406" s="41"/>
      <c r="U406" s="211"/>
      <c r="V406" s="41"/>
      <c r="W406" s="41"/>
      <c r="X406" s="41">
        <f>X377/AE380</f>
        <v>0.35436229698692645</v>
      </c>
      <c r="Y406" s="41">
        <f>Y377/AE380</f>
        <v>0.38683604523099419</v>
      </c>
      <c r="Z406" s="211">
        <f>Z377/AE380</f>
        <v>0.35806378698835245</v>
      </c>
      <c r="AA406" s="41" t="e">
        <f>AA377/AG380</f>
        <v>#DIV/0!</v>
      </c>
      <c r="AB406" s="41" t="e">
        <f>AB377/AH380</f>
        <v>#DIV/0!</v>
      </c>
      <c r="AC406" s="41" t="e">
        <f>AC377/AI380</f>
        <v>#DIV/0!</v>
      </c>
      <c r="AD406" s="41">
        <f>AD377/AJ380</f>
        <v>0.37601162969925378</v>
      </c>
      <c r="AE406" s="211"/>
      <c r="AF406" s="41"/>
      <c r="AG406" s="41"/>
      <c r="AH406" s="41"/>
      <c r="AI406" s="41"/>
      <c r="AJ406" s="211"/>
      <c r="AK406" s="41"/>
      <c r="AL406" s="41"/>
      <c r="AM406" s="41"/>
      <c r="AN406" s="41"/>
      <c r="AO406" s="211"/>
      <c r="AP406" s="41"/>
      <c r="AQ406" s="41"/>
      <c r="AR406" s="41"/>
      <c r="AS406" s="41"/>
      <c r="AT406" s="211"/>
      <c r="AU406" s="41"/>
      <c r="AV406" s="41"/>
      <c r="AW406" s="41"/>
      <c r="AX406" s="41"/>
      <c r="AY406" s="211"/>
      <c r="AZ406" s="150"/>
      <c r="BA406" s="150"/>
      <c r="BB406" s="150"/>
      <c r="BC406" s="150"/>
      <c r="BD406" s="168"/>
      <c r="BE406" s="150"/>
      <c r="BF406" s="150"/>
      <c r="BG406" s="150"/>
      <c r="BH406" s="150"/>
      <c r="BI406" s="168"/>
      <c r="BJ406" s="150"/>
      <c r="BK406" s="150"/>
      <c r="BL406" s="150"/>
      <c r="BM406" s="150"/>
      <c r="BN406" s="168"/>
      <c r="BO406" s="150"/>
      <c r="BP406" s="150"/>
      <c r="BQ406" s="150"/>
      <c r="BR406" s="150"/>
      <c r="BS406" s="168"/>
    </row>
    <row r="407" spans="1:94" ht="12.75" hidden="1" customHeight="1" x14ac:dyDescent="0.2">
      <c r="A407" s="150" t="s">
        <v>351</v>
      </c>
      <c r="B407" s="35"/>
      <c r="C407" s="35"/>
      <c r="D407" s="35"/>
      <c r="E407" s="35"/>
      <c r="F407" s="170"/>
      <c r="G407" s="38"/>
      <c r="H407" s="38"/>
      <c r="I407" s="38"/>
      <c r="J407" s="38"/>
      <c r="K407" s="173"/>
      <c r="L407" s="41"/>
      <c r="M407" s="41"/>
      <c r="N407" s="41"/>
      <c r="O407" s="41"/>
      <c r="P407" s="211"/>
      <c r="Q407" s="41"/>
      <c r="R407" s="41"/>
      <c r="S407" s="41"/>
      <c r="T407" s="41"/>
      <c r="U407" s="211"/>
      <c r="V407" s="41"/>
      <c r="W407" s="41"/>
      <c r="X407" s="41">
        <f>X377/AE387</f>
        <v>1.435863785843809</v>
      </c>
      <c r="Y407" s="41">
        <f>Y377/AE387</f>
        <v>1.5674462919138215</v>
      </c>
      <c r="Z407" s="211">
        <f>Z377/AE387</f>
        <v>1.4508620954605529</v>
      </c>
      <c r="AA407" s="41" t="e">
        <f>AA377/AG387</f>
        <v>#DIV/0!</v>
      </c>
      <c r="AB407" s="41" t="e">
        <f>AB377/AH387</f>
        <v>#DIV/0!</v>
      </c>
      <c r="AC407" s="41" t="e">
        <f>AC377/AI387</f>
        <v>#DIV/0!</v>
      </c>
      <c r="AD407" s="41">
        <f>AD377/AJ387</f>
        <v>1.2827731265723592</v>
      </c>
      <c r="AE407" s="211"/>
      <c r="AF407" s="41"/>
      <c r="AG407" s="41"/>
      <c r="AH407" s="41"/>
      <c r="AI407" s="41"/>
      <c r="AJ407" s="211"/>
      <c r="AK407" s="41"/>
      <c r="AL407" s="41"/>
      <c r="AM407" s="41"/>
      <c r="AN407" s="41"/>
      <c r="AO407" s="211"/>
      <c r="AP407" s="41"/>
      <c r="AQ407" s="41"/>
      <c r="AR407" s="41"/>
      <c r="AS407" s="41"/>
      <c r="AT407" s="211"/>
      <c r="AU407" s="41"/>
      <c r="AV407" s="41"/>
      <c r="AW407" s="41"/>
      <c r="AX407" s="41"/>
      <c r="AY407" s="211"/>
      <c r="AZ407" s="150"/>
      <c r="BA407" s="150"/>
      <c r="BB407" s="150"/>
      <c r="BC407" s="150"/>
      <c r="BD407" s="168"/>
      <c r="BE407" s="150"/>
      <c r="BF407" s="150"/>
      <c r="BG407" s="150"/>
      <c r="BH407" s="150"/>
      <c r="BI407" s="168"/>
      <c r="BJ407" s="150"/>
      <c r="BK407" s="150"/>
      <c r="BL407" s="150"/>
      <c r="BM407" s="150"/>
      <c r="BN407" s="168"/>
      <c r="BO407" s="150"/>
      <c r="BP407" s="150"/>
      <c r="BQ407" s="150"/>
      <c r="BR407" s="150"/>
      <c r="BS407" s="168"/>
    </row>
    <row r="408" spans="1:94" ht="12.75" hidden="1" customHeight="1" x14ac:dyDescent="0.2">
      <c r="A408" s="94" t="s">
        <v>331</v>
      </c>
      <c r="B408" s="35"/>
      <c r="C408" s="35"/>
      <c r="D408" s="35"/>
      <c r="E408" s="35"/>
      <c r="F408" s="170"/>
      <c r="G408" s="38"/>
      <c r="H408" s="38"/>
      <c r="I408" s="38"/>
      <c r="J408" s="38"/>
      <c r="K408" s="173"/>
      <c r="L408" s="41"/>
      <c r="M408" s="41"/>
      <c r="N408" s="41"/>
      <c r="O408" s="41"/>
      <c r="P408" s="211"/>
      <c r="Q408" s="41"/>
      <c r="R408" s="41"/>
      <c r="S408" s="41"/>
      <c r="T408" s="41"/>
      <c r="U408" s="211"/>
      <c r="V408" s="41"/>
      <c r="W408" s="41"/>
      <c r="X408" s="41"/>
      <c r="Y408" s="41"/>
      <c r="Z408" s="211"/>
      <c r="AA408" s="41"/>
      <c r="AB408" s="41"/>
      <c r="AC408" s="41"/>
      <c r="AD408" s="41"/>
      <c r="AE408" s="211"/>
      <c r="AF408" s="41"/>
      <c r="AG408" s="41"/>
      <c r="AH408" s="41"/>
      <c r="AI408" s="41"/>
      <c r="AJ408" s="211"/>
      <c r="AK408" s="41"/>
      <c r="AL408" s="41"/>
      <c r="AM408" s="41"/>
      <c r="AN408" s="41"/>
      <c r="AO408" s="211"/>
      <c r="AP408" s="41"/>
      <c r="AQ408" s="41"/>
      <c r="AR408" s="41"/>
      <c r="AS408" s="41"/>
      <c r="AT408" s="211"/>
      <c r="AU408" s="41"/>
      <c r="AV408" s="41"/>
      <c r="AW408" s="41"/>
      <c r="AX408" s="41"/>
      <c r="AY408" s="211"/>
      <c r="AZ408" s="150"/>
      <c r="BA408" s="150"/>
      <c r="BB408" s="150"/>
      <c r="BC408" s="150"/>
      <c r="BD408" s="168"/>
      <c r="BE408" s="150"/>
      <c r="BF408" s="150"/>
      <c r="BG408" s="150"/>
      <c r="BH408" s="150"/>
      <c r="BI408" s="168"/>
      <c r="BJ408" s="150"/>
      <c r="BK408" s="150"/>
      <c r="BL408" s="150"/>
      <c r="BM408" s="150"/>
      <c r="BN408" s="168"/>
      <c r="BO408" s="150"/>
      <c r="BP408" s="150"/>
      <c r="BQ408" s="150"/>
      <c r="BR408" s="150"/>
      <c r="BS408" s="168"/>
    </row>
    <row r="409" spans="1:94" ht="12.75" hidden="1" customHeight="1" x14ac:dyDescent="0.2">
      <c r="A409" s="150" t="s">
        <v>350</v>
      </c>
      <c r="B409" s="35"/>
      <c r="C409" s="35"/>
      <c r="D409" s="35"/>
      <c r="E409" s="35"/>
      <c r="F409" s="170"/>
      <c r="G409" s="38"/>
      <c r="H409" s="38"/>
      <c r="I409" s="38"/>
      <c r="J409" s="38"/>
      <c r="K409" s="173"/>
      <c r="L409" s="41"/>
      <c r="M409" s="41"/>
      <c r="N409" s="41"/>
      <c r="O409" s="41"/>
      <c r="P409" s="211"/>
      <c r="Q409" s="41"/>
      <c r="R409" s="41"/>
      <c r="S409" s="41"/>
      <c r="T409" s="41"/>
      <c r="U409" s="211"/>
      <c r="V409" s="41"/>
      <c r="W409" s="41"/>
      <c r="X409" s="41">
        <f>X378/AE380</f>
        <v>0.35436229698692645</v>
      </c>
      <c r="Y409" s="41">
        <f>Y378/AE380</f>
        <v>0.38683604523099419</v>
      </c>
      <c r="Z409" s="211">
        <f>Z378/AE380</f>
        <v>0.35806378698835245</v>
      </c>
      <c r="AA409" s="41" t="e">
        <f>AA378/AG380</f>
        <v>#DIV/0!</v>
      </c>
      <c r="AB409" s="41" t="e">
        <f>AB378/AH380</f>
        <v>#DIV/0!</v>
      </c>
      <c r="AC409" s="41" t="e">
        <f>AC378/AI380</f>
        <v>#DIV/0!</v>
      </c>
      <c r="AD409" s="41">
        <f>AD378/AJ380</f>
        <v>0.37601162969925378</v>
      </c>
      <c r="AE409" s="211"/>
      <c r="AF409" s="41"/>
      <c r="AG409" s="41"/>
      <c r="AH409" s="41"/>
      <c r="AI409" s="41"/>
      <c r="AJ409" s="211"/>
      <c r="AK409" s="41"/>
      <c r="AL409" s="41"/>
      <c r="AM409" s="41"/>
      <c r="AN409" s="41"/>
      <c r="AO409" s="211"/>
      <c r="AP409" s="41"/>
      <c r="AQ409" s="41"/>
      <c r="AR409" s="41"/>
      <c r="AS409" s="41"/>
      <c r="AT409" s="211"/>
      <c r="AU409" s="41"/>
      <c r="AV409" s="41"/>
      <c r="AW409" s="41"/>
      <c r="AX409" s="41"/>
      <c r="AY409" s="211"/>
      <c r="AZ409" s="150"/>
      <c r="BA409" s="150"/>
      <c r="BB409" s="150"/>
      <c r="BC409" s="150"/>
      <c r="BD409" s="168"/>
      <c r="BE409" s="150"/>
      <c r="BF409" s="150"/>
      <c r="BG409" s="150"/>
      <c r="BH409" s="150"/>
      <c r="BI409" s="168"/>
      <c r="BJ409" s="150"/>
      <c r="BK409" s="150"/>
      <c r="BL409" s="150"/>
      <c r="BM409" s="150"/>
      <c r="BN409" s="168"/>
      <c r="BO409" s="150"/>
      <c r="BP409" s="150"/>
      <c r="BQ409" s="150"/>
      <c r="BR409" s="150"/>
      <c r="BS409" s="168"/>
    </row>
    <row r="410" spans="1:94" ht="12.75" hidden="1" customHeight="1" x14ac:dyDescent="0.2">
      <c r="A410" s="150" t="s">
        <v>351</v>
      </c>
      <c r="B410" s="35"/>
      <c r="C410" s="35"/>
      <c r="D410" s="35"/>
      <c r="E410" s="35"/>
      <c r="F410" s="170"/>
      <c r="G410" s="38"/>
      <c r="H410" s="38"/>
      <c r="I410" s="38"/>
      <c r="J410" s="38"/>
      <c r="K410" s="173"/>
      <c r="L410" s="41"/>
      <c r="M410" s="41"/>
      <c r="N410" s="41"/>
      <c r="O410" s="41"/>
      <c r="P410" s="211"/>
      <c r="Q410" s="41"/>
      <c r="R410" s="41"/>
      <c r="S410" s="41"/>
      <c r="T410" s="41"/>
      <c r="U410" s="211"/>
      <c r="V410" s="41"/>
      <c r="W410" s="41"/>
      <c r="X410" s="41">
        <f>X378/AE387</f>
        <v>1.435863785843809</v>
      </c>
      <c r="Y410" s="41">
        <f>Y378/AE387</f>
        <v>1.5674462919138215</v>
      </c>
      <c r="Z410" s="211">
        <f>Z378/AE387</f>
        <v>1.4508620954605529</v>
      </c>
      <c r="AA410" s="41" t="e">
        <f>AA378/AG387</f>
        <v>#DIV/0!</v>
      </c>
      <c r="AB410" s="41" t="e">
        <f>AB378/AH387</f>
        <v>#DIV/0!</v>
      </c>
      <c r="AC410" s="41" t="e">
        <f>AC378/AI387</f>
        <v>#DIV/0!</v>
      </c>
      <c r="AD410" s="41">
        <f>AD378/AJ387</f>
        <v>1.2827731265723592</v>
      </c>
      <c r="AE410" s="211"/>
      <c r="AF410" s="41"/>
      <c r="AG410" s="41"/>
      <c r="AH410" s="41"/>
      <c r="AI410" s="41"/>
      <c r="AJ410" s="211"/>
      <c r="AK410" s="41"/>
      <c r="AL410" s="41"/>
      <c r="AM410" s="41"/>
      <c r="AN410" s="41"/>
      <c r="AO410" s="211"/>
      <c r="AP410" s="41"/>
      <c r="AQ410" s="41"/>
      <c r="AR410" s="41"/>
      <c r="AS410" s="41"/>
      <c r="AT410" s="211"/>
      <c r="AU410" s="41"/>
      <c r="AV410" s="41"/>
      <c r="AW410" s="41"/>
      <c r="AX410" s="41"/>
      <c r="AY410" s="211"/>
      <c r="AZ410" s="150"/>
      <c r="BA410" s="150"/>
      <c r="BB410" s="150"/>
      <c r="BC410" s="150"/>
      <c r="BD410" s="168"/>
      <c r="BE410" s="150"/>
      <c r="BF410" s="150"/>
      <c r="BG410" s="150"/>
      <c r="BH410" s="150"/>
      <c r="BI410" s="168"/>
      <c r="BJ410" s="150"/>
      <c r="BK410" s="150"/>
      <c r="BL410" s="150"/>
      <c r="BM410" s="150"/>
      <c r="BN410" s="168"/>
      <c r="BO410" s="150"/>
      <c r="BP410" s="150"/>
      <c r="BQ410" s="150"/>
      <c r="BR410" s="150"/>
      <c r="BS410" s="168"/>
    </row>
    <row r="411" spans="1:94" ht="12.75" customHeight="1" x14ac:dyDescent="0.2">
      <c r="A411" s="95" t="s">
        <v>352</v>
      </c>
      <c r="B411" s="15"/>
      <c r="C411" s="15"/>
      <c r="D411" s="15"/>
      <c r="E411" s="15"/>
      <c r="F411" s="164"/>
      <c r="G411" s="15"/>
      <c r="H411" s="15"/>
      <c r="I411" s="15"/>
      <c r="J411" s="15"/>
      <c r="K411" s="164"/>
      <c r="L411" s="15"/>
      <c r="M411" s="15"/>
      <c r="N411" s="15"/>
      <c r="O411" s="15"/>
      <c r="P411" s="164"/>
      <c r="Q411" s="15"/>
      <c r="R411" s="15"/>
      <c r="S411" s="15"/>
      <c r="T411" s="15"/>
      <c r="U411" s="164"/>
      <c r="V411" s="15"/>
      <c r="W411" s="15"/>
      <c r="X411" s="15"/>
      <c r="Y411" s="15"/>
      <c r="Z411" s="164"/>
      <c r="AA411" s="15"/>
      <c r="AB411" s="15"/>
      <c r="AC411" s="15"/>
      <c r="AD411" s="15"/>
      <c r="AE411" s="164"/>
      <c r="AF411" s="15"/>
      <c r="AG411" s="15"/>
      <c r="AH411" s="15"/>
      <c r="AI411" s="15"/>
      <c r="AJ411" s="164"/>
      <c r="AK411" s="15"/>
      <c r="AL411" s="15"/>
      <c r="AM411" s="15"/>
      <c r="AN411" s="15"/>
      <c r="AO411" s="164"/>
      <c r="AP411" s="15"/>
      <c r="AQ411" s="15"/>
      <c r="AR411" s="15"/>
      <c r="AS411" s="15"/>
      <c r="AT411" s="164"/>
      <c r="AU411" s="15"/>
      <c r="AV411" s="15"/>
      <c r="AW411" s="15"/>
      <c r="AX411" s="15"/>
      <c r="AY411" s="164"/>
      <c r="AZ411" s="15"/>
      <c r="BA411" s="15"/>
      <c r="BB411" s="15"/>
      <c r="BC411" s="15"/>
      <c r="BD411" s="164"/>
      <c r="BE411" s="15"/>
      <c r="BF411" s="15"/>
      <c r="BG411" s="15"/>
      <c r="BH411" s="15"/>
      <c r="BI411" s="164"/>
      <c r="BJ411" s="15"/>
      <c r="BK411" s="15"/>
      <c r="BL411" s="15"/>
      <c r="BM411" s="15"/>
      <c r="BN411" s="164"/>
      <c r="BO411" s="15"/>
      <c r="BP411" s="15"/>
      <c r="BQ411" s="15"/>
      <c r="BR411" s="15"/>
      <c r="BS411" s="164"/>
    </row>
    <row r="412" spans="1:94" s="254" customFormat="1" ht="12.75" customHeight="1" collapsed="1" x14ac:dyDescent="0.2">
      <c r="A412" s="9" t="s">
        <v>353</v>
      </c>
      <c r="B412" s="9"/>
      <c r="C412" s="9"/>
      <c r="D412" s="9"/>
      <c r="E412" s="9"/>
      <c r="F412" s="165"/>
      <c r="G412" s="9"/>
      <c r="H412" s="9"/>
      <c r="I412" s="9"/>
      <c r="J412" s="9"/>
      <c r="K412" s="165"/>
      <c r="L412" s="9"/>
      <c r="M412" s="9"/>
      <c r="N412" s="9"/>
      <c r="O412" s="9"/>
      <c r="P412" s="165"/>
      <c r="Q412" s="9"/>
      <c r="R412" s="9"/>
      <c r="S412" s="9"/>
      <c r="T412" s="9" t="s">
        <v>3</v>
      </c>
      <c r="U412" s="165"/>
      <c r="V412" s="9"/>
      <c r="W412" s="9"/>
      <c r="X412" s="9"/>
      <c r="Y412" s="9"/>
      <c r="Z412" s="165"/>
      <c r="AA412" s="9"/>
      <c r="AB412" s="9"/>
      <c r="AC412" s="9"/>
      <c r="AD412" s="9"/>
      <c r="AE412" s="165"/>
      <c r="AF412" s="9"/>
      <c r="AG412" s="9"/>
      <c r="AH412" s="9"/>
      <c r="AI412" s="9"/>
      <c r="AJ412" s="165"/>
      <c r="AK412" s="9"/>
      <c r="AL412" s="9"/>
      <c r="AM412" s="9"/>
      <c r="AN412" s="9"/>
      <c r="AO412" s="165"/>
      <c r="AP412" s="9"/>
      <c r="AQ412" s="9"/>
      <c r="AR412" s="9"/>
      <c r="AS412" s="9"/>
      <c r="AT412" s="165"/>
      <c r="AU412" s="9"/>
      <c r="AV412" s="9"/>
      <c r="AW412" s="9"/>
      <c r="AX412" s="9"/>
      <c r="AY412" s="165"/>
      <c r="AZ412" s="9"/>
      <c r="BA412" s="9"/>
      <c r="BB412" s="9"/>
      <c r="BC412" s="9"/>
      <c r="BD412" s="165"/>
      <c r="BE412" s="9"/>
      <c r="BF412" s="9"/>
      <c r="BG412" s="9"/>
      <c r="BH412" s="9"/>
      <c r="BI412" s="165"/>
      <c r="BJ412" s="9"/>
      <c r="BK412" s="9"/>
      <c r="BL412" s="9"/>
      <c r="BM412" s="9"/>
      <c r="BN412" s="165"/>
      <c r="BO412" s="9"/>
      <c r="BP412" s="9"/>
      <c r="BQ412" s="9"/>
      <c r="BR412" s="9"/>
      <c r="BS412" s="165"/>
      <c r="BT412" s="249"/>
      <c r="BU412" s="8"/>
      <c r="BV412" s="280"/>
      <c r="BW412" s="249"/>
      <c r="BX412" s="249"/>
      <c r="BY412" s="249"/>
      <c r="BZ412" s="432"/>
      <c r="CA412" s="320"/>
      <c r="CB412" s="320"/>
      <c r="CC412" s="320"/>
      <c r="CD412" s="320"/>
      <c r="CE412" s="320"/>
      <c r="CF412" s="320"/>
      <c r="CG412" s="320"/>
      <c r="CH412" s="8"/>
      <c r="CI412" s="249"/>
      <c r="CJ412"/>
      <c r="CK412"/>
      <c r="CL412"/>
      <c r="CM412"/>
      <c r="CN412"/>
      <c r="CO412"/>
      <c r="CP412" s="320"/>
    </row>
    <row r="413" spans="1:94" ht="12.75" customHeight="1" x14ac:dyDescent="0.2">
      <c r="A413" s="152"/>
      <c r="B413" s="35"/>
      <c r="C413" s="35"/>
      <c r="D413" s="35"/>
      <c r="E413" s="35"/>
      <c r="F413" s="170"/>
      <c r="G413" s="35"/>
      <c r="H413" s="35"/>
      <c r="I413" s="35"/>
      <c r="J413" s="35"/>
      <c r="K413" s="170"/>
      <c r="L413" s="35"/>
      <c r="M413" s="35"/>
      <c r="N413" s="35"/>
      <c r="O413" s="35"/>
      <c r="P413" s="229"/>
      <c r="Q413" s="152"/>
      <c r="R413" s="152"/>
      <c r="S413" s="96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BT413" s="21"/>
      <c r="BU413" s="364"/>
      <c r="BV413" s="152"/>
    </row>
    <row r="414" spans="1:94" ht="12.75" customHeight="1" thickBot="1" x14ac:dyDescent="0.25">
      <c r="A414" s="152"/>
      <c r="B414" s="35"/>
      <c r="C414" s="35"/>
      <c r="D414" s="35"/>
      <c r="E414" s="35"/>
      <c r="F414" s="170"/>
      <c r="G414" s="35"/>
      <c r="H414" s="35"/>
      <c r="I414" s="35"/>
      <c r="J414" s="35"/>
      <c r="K414" s="170"/>
      <c r="L414" s="35"/>
      <c r="M414" s="35"/>
      <c r="N414" s="35"/>
      <c r="O414" s="35"/>
      <c r="P414" s="229"/>
      <c r="Q414" s="152"/>
      <c r="R414" s="152"/>
      <c r="S414" s="152"/>
      <c r="T414" s="152"/>
      <c r="U414" s="152"/>
      <c r="V414" s="152"/>
      <c r="W414" s="152"/>
      <c r="X414" s="152"/>
      <c r="Y414" s="152"/>
      <c r="Z414" s="21"/>
      <c r="AA414" s="21"/>
      <c r="AB414" s="21"/>
      <c r="AC414" s="21"/>
      <c r="AD414" s="21"/>
      <c r="BT414" s="21"/>
      <c r="BU414" s="364"/>
      <c r="BV414" s="152"/>
    </row>
    <row r="415" spans="1:94" ht="12.75" customHeight="1" x14ac:dyDescent="0.2">
      <c r="A415" s="152"/>
      <c r="B415" s="35"/>
      <c r="C415" s="35"/>
      <c r="D415" s="35"/>
      <c r="E415" s="35"/>
      <c r="F415" s="170"/>
      <c r="G415" s="35"/>
      <c r="H415" s="35"/>
      <c r="I415" s="35"/>
      <c r="J415" s="35"/>
      <c r="K415" s="170"/>
      <c r="L415" s="35"/>
      <c r="M415" s="35"/>
      <c r="N415" s="35"/>
      <c r="O415" s="35"/>
      <c r="P415" s="229"/>
      <c r="Q415" s="152"/>
      <c r="R415" s="152"/>
      <c r="S415" s="152"/>
      <c r="T415" s="152"/>
      <c r="U415" s="152"/>
      <c r="V415" s="152"/>
      <c r="W415" s="152"/>
      <c r="X415" s="152"/>
      <c r="Y415" s="152"/>
      <c r="Z415" s="21"/>
      <c r="AA415" s="21"/>
      <c r="AB415" s="288"/>
      <c r="AC415" s="289"/>
      <c r="AD415" s="289"/>
      <c r="AE415" s="290" t="s">
        <v>0</v>
      </c>
      <c r="AF415" s="290">
        <v>2012</v>
      </c>
      <c r="AG415" s="291">
        <v>2013</v>
      </c>
      <c r="AH415" s="291">
        <v>2014</v>
      </c>
      <c r="AI415" s="291">
        <v>2015</v>
      </c>
      <c r="AJ415" s="291">
        <v>2016</v>
      </c>
      <c r="BT415" s="21"/>
      <c r="BU415" s="364"/>
      <c r="BV415" s="152"/>
    </row>
    <row r="416" spans="1:94" ht="12.75" customHeight="1" x14ac:dyDescent="0.2">
      <c r="A416" s="152"/>
      <c r="B416" s="35"/>
      <c r="C416" s="35"/>
      <c r="D416" s="35"/>
      <c r="E416" s="35"/>
      <c r="F416" s="170"/>
      <c r="G416" s="35"/>
      <c r="H416" s="35"/>
      <c r="I416" s="35"/>
      <c r="J416" s="35"/>
      <c r="K416" s="170"/>
      <c r="L416" s="35"/>
      <c r="M416" s="35"/>
      <c r="N416" s="35"/>
      <c r="O416" s="35"/>
      <c r="P416" s="229"/>
      <c r="Q416" s="152"/>
      <c r="R416" s="152"/>
      <c r="S416" s="152"/>
      <c r="T416" s="152"/>
      <c r="U416" s="152"/>
      <c r="V416" s="152"/>
      <c r="W416" s="152"/>
      <c r="X416" s="152"/>
      <c r="Y416" s="152"/>
      <c r="Z416" s="21"/>
      <c r="AA416" s="21"/>
      <c r="AB416" s="97" t="s">
        <v>4</v>
      </c>
      <c r="AC416" s="21"/>
      <c r="AD416" s="21"/>
      <c r="AE416" s="58">
        <f>AC123</f>
        <v>81.822999999999979</v>
      </c>
      <c r="AF416" s="58">
        <f>AE123</f>
        <v>325.36999999999989</v>
      </c>
      <c r="AG416" s="292">
        <f>AJ123</f>
        <v>484.94000000000005</v>
      </c>
      <c r="AH416" s="292">
        <f>AO123</f>
        <v>615.62099999999987</v>
      </c>
      <c r="AI416" s="292">
        <f>AT123</f>
        <v>792.95800000000031</v>
      </c>
      <c r="AJ416" s="292">
        <f>AY123</f>
        <v>787.84800000000018</v>
      </c>
      <c r="BT416" s="21"/>
      <c r="BU416" s="364"/>
      <c r="BV416" s="152"/>
    </row>
    <row r="417" spans="1:94" ht="12.75" customHeight="1" x14ac:dyDescent="0.2">
      <c r="A417" s="152"/>
      <c r="B417" s="35"/>
      <c r="C417" s="35"/>
      <c r="D417" s="35"/>
      <c r="E417" s="35"/>
      <c r="F417" s="170"/>
      <c r="G417" s="35"/>
      <c r="H417" s="35"/>
      <c r="I417" s="35"/>
      <c r="J417" s="35"/>
      <c r="K417" s="170"/>
      <c r="L417" s="35"/>
      <c r="M417" s="35"/>
      <c r="N417" s="35"/>
      <c r="O417" s="35"/>
      <c r="P417" s="229"/>
      <c r="Q417" s="152"/>
      <c r="R417" s="152"/>
      <c r="S417" s="152"/>
      <c r="T417" s="152"/>
      <c r="U417" s="152"/>
      <c r="V417" s="152"/>
      <c r="W417" s="152"/>
      <c r="X417" s="152"/>
      <c r="Y417" s="152"/>
      <c r="Z417" s="21"/>
      <c r="AA417" s="21"/>
      <c r="AB417" s="97" t="s">
        <v>5</v>
      </c>
      <c r="AC417" s="21"/>
      <c r="AD417" s="21"/>
      <c r="AE417" s="38">
        <f>AC152</f>
        <v>0.34636241019571107</v>
      </c>
      <c r="AF417" s="38">
        <f>AE152</f>
        <v>1.4307283272030957</v>
      </c>
      <c r="AG417" s="293">
        <f>AJ152</f>
        <v>2.4312798805463101</v>
      </c>
      <c r="AH417" s="293">
        <f>AO152</f>
        <v>3.2351488525663745</v>
      </c>
      <c r="AI417" s="293">
        <f>AT152</f>
        <v>4.3658907022340072</v>
      </c>
      <c r="AJ417" s="293">
        <f>AY152</f>
        <v>4.1268792193793651</v>
      </c>
      <c r="BT417" s="21"/>
      <c r="BU417" s="364"/>
      <c r="BV417" s="152"/>
    </row>
    <row r="418" spans="1:94" ht="12.75" customHeight="1" x14ac:dyDescent="0.2">
      <c r="A418" s="152"/>
      <c r="B418" s="35"/>
      <c r="C418" s="35"/>
      <c r="D418" s="35"/>
      <c r="E418" s="35"/>
      <c r="F418" s="170"/>
      <c r="G418" s="35"/>
      <c r="H418" s="35"/>
      <c r="I418" s="35"/>
      <c r="J418" s="35"/>
      <c r="K418" s="170"/>
      <c r="L418" s="35"/>
      <c r="M418" s="35"/>
      <c r="N418" s="35"/>
      <c r="O418" s="35"/>
      <c r="P418" s="229"/>
      <c r="Q418" s="152"/>
      <c r="R418" s="152"/>
      <c r="S418" s="152"/>
      <c r="T418" s="152"/>
      <c r="U418" s="152"/>
      <c r="V418" s="152"/>
      <c r="W418" s="152"/>
      <c r="X418" s="152"/>
      <c r="Y418" s="152"/>
      <c r="Z418" s="21"/>
      <c r="AA418" s="21"/>
      <c r="AB418" s="97" t="s">
        <v>6</v>
      </c>
      <c r="AC418" s="21"/>
      <c r="AD418" s="21"/>
      <c r="AE418" s="58">
        <f>AC225</f>
        <v>-8.6129999999999995</v>
      </c>
      <c r="AF418" s="58">
        <f>AE225</f>
        <v>113.631</v>
      </c>
      <c r="AG418" s="292">
        <f>AJ225</f>
        <v>195.37600000000003</v>
      </c>
      <c r="AH418" s="292">
        <f>AO225</f>
        <v>260.512</v>
      </c>
      <c r="AI418" s="292">
        <f>AT225</f>
        <v>472.98500000000001</v>
      </c>
      <c r="AJ418" s="292">
        <f>AY225</f>
        <v>473.678</v>
      </c>
      <c r="BT418" s="21"/>
      <c r="BU418" s="364"/>
      <c r="BV418" s="152"/>
    </row>
    <row r="419" spans="1:94" ht="12.75" customHeight="1" x14ac:dyDescent="0.2">
      <c r="A419" s="152"/>
      <c r="B419" s="35"/>
      <c r="C419" s="35"/>
      <c r="D419" s="35"/>
      <c r="E419" s="35"/>
      <c r="F419" s="170"/>
      <c r="G419" s="35"/>
      <c r="H419" s="35"/>
      <c r="I419" s="35"/>
      <c r="J419" s="35"/>
      <c r="K419" s="170"/>
      <c r="L419" s="35"/>
      <c r="M419" s="35"/>
      <c r="N419" s="35"/>
      <c r="O419" s="35"/>
      <c r="P419" s="229"/>
      <c r="Q419" s="152"/>
      <c r="R419" s="152"/>
      <c r="S419" s="152"/>
      <c r="T419" s="152"/>
      <c r="U419" s="152"/>
      <c r="V419" s="152"/>
      <c r="W419" s="152"/>
      <c r="X419" s="152"/>
      <c r="Y419" s="152"/>
      <c r="Z419" s="21"/>
      <c r="AA419" s="21"/>
      <c r="AB419" s="97" t="s">
        <v>61</v>
      </c>
      <c r="AC419" s="21"/>
      <c r="AD419" s="21"/>
      <c r="AE419" s="58">
        <f>AC144</f>
        <v>40.533999999999978</v>
      </c>
      <c r="AF419" s="58">
        <f>AE144</f>
        <v>167.13599999999991</v>
      </c>
      <c r="AG419" s="292">
        <f>AJ144</f>
        <v>283.37400000000008</v>
      </c>
      <c r="AH419" s="292">
        <f>AO144</f>
        <v>370.71999999999986</v>
      </c>
      <c r="AI419" s="292">
        <f>AT144</f>
        <v>500.80000000000024</v>
      </c>
      <c r="AJ419" s="292">
        <f>AY144</f>
        <v>460.83600000000024</v>
      </c>
      <c r="BT419" s="21"/>
      <c r="BU419" s="364"/>
      <c r="BV419" s="152"/>
    </row>
    <row r="420" spans="1:94" ht="12.75" customHeight="1" x14ac:dyDescent="0.2">
      <c r="A420" s="152"/>
      <c r="B420" s="35"/>
      <c r="C420" s="35"/>
      <c r="D420" s="35"/>
      <c r="E420" s="35"/>
      <c r="F420" s="170"/>
      <c r="G420" s="35"/>
      <c r="H420" s="35"/>
      <c r="I420" s="35"/>
      <c r="J420" s="35"/>
      <c r="K420" s="170"/>
      <c r="L420" s="35"/>
      <c r="M420" s="35"/>
      <c r="N420" s="35"/>
      <c r="O420" s="35"/>
      <c r="P420" s="229"/>
      <c r="Q420" s="152"/>
      <c r="R420" s="152"/>
      <c r="S420" s="152"/>
      <c r="T420" s="152"/>
      <c r="U420" s="152"/>
      <c r="V420" s="152"/>
      <c r="W420" s="152"/>
      <c r="X420" s="152"/>
      <c r="Y420" s="152"/>
      <c r="Z420" s="21"/>
      <c r="AA420" s="21"/>
      <c r="AB420" s="97" t="s">
        <v>7</v>
      </c>
      <c r="AC420" s="21"/>
      <c r="AD420" s="21"/>
      <c r="AE420" s="58">
        <v>0</v>
      </c>
      <c r="AF420" s="58">
        <v>0</v>
      </c>
      <c r="AG420" s="292">
        <v>0</v>
      </c>
      <c r="AH420" s="292">
        <v>0</v>
      </c>
      <c r="AI420" s="292">
        <v>0</v>
      </c>
      <c r="AJ420" s="292">
        <v>0</v>
      </c>
      <c r="BT420" s="21"/>
      <c r="BU420" s="364"/>
      <c r="BV420" s="152"/>
    </row>
    <row r="421" spans="1:94" ht="12.75" customHeight="1" x14ac:dyDescent="0.2">
      <c r="A421" s="152"/>
      <c r="B421" s="35"/>
      <c r="C421" s="35"/>
      <c r="D421" s="35"/>
      <c r="E421" s="35"/>
      <c r="F421" s="170"/>
      <c r="G421" s="35"/>
      <c r="H421" s="35"/>
      <c r="I421" s="35"/>
      <c r="J421" s="35"/>
      <c r="K421" s="170"/>
      <c r="L421" s="35"/>
      <c r="M421" s="35"/>
      <c r="N421" s="35"/>
      <c r="O421" s="35"/>
      <c r="P421" s="229"/>
      <c r="Q421" s="152"/>
      <c r="R421" s="152"/>
      <c r="S421" s="152"/>
      <c r="T421" s="152"/>
      <c r="U421" s="152"/>
      <c r="V421" s="152"/>
      <c r="W421" s="152"/>
      <c r="X421" s="152"/>
      <c r="Y421" s="152"/>
      <c r="Z421" s="21"/>
      <c r="AA421" s="21"/>
      <c r="AB421" s="97" t="s">
        <v>62</v>
      </c>
      <c r="AC421" s="21"/>
      <c r="AD421" s="21"/>
      <c r="AE421" s="58">
        <f t="shared" ref="AE421:AJ421" si="924">AE416-AE420</f>
        <v>81.822999999999979</v>
      </c>
      <c r="AF421" s="58">
        <f t="shared" si="924"/>
        <v>325.36999999999989</v>
      </c>
      <c r="AG421" s="292">
        <f t="shared" si="924"/>
        <v>484.94000000000005</v>
      </c>
      <c r="AH421" s="292">
        <f t="shared" si="924"/>
        <v>615.62099999999987</v>
      </c>
      <c r="AI421" s="292">
        <f t="shared" si="924"/>
        <v>792.95800000000031</v>
      </c>
      <c r="AJ421" s="292">
        <f t="shared" si="924"/>
        <v>787.84800000000018</v>
      </c>
      <c r="BT421" s="21"/>
      <c r="BU421" s="364"/>
      <c r="BV421" s="152"/>
    </row>
    <row r="422" spans="1:94" ht="12.75" customHeight="1" x14ac:dyDescent="0.2">
      <c r="A422" s="152"/>
      <c r="B422" s="35"/>
      <c r="C422" s="35"/>
      <c r="D422" s="35"/>
      <c r="E422" s="35"/>
      <c r="F422" s="170"/>
      <c r="G422" s="35"/>
      <c r="H422" s="35"/>
      <c r="I422" s="35"/>
      <c r="J422" s="35"/>
      <c r="K422" s="170"/>
      <c r="L422" s="35"/>
      <c r="M422" s="35"/>
      <c r="N422" s="35"/>
      <c r="O422" s="35"/>
      <c r="P422" s="229"/>
      <c r="Q422" s="152"/>
      <c r="R422" s="152"/>
      <c r="S422" s="152"/>
      <c r="T422" s="152"/>
      <c r="U422" s="152"/>
      <c r="V422" s="152"/>
      <c r="W422" s="152"/>
      <c r="X422" s="152"/>
      <c r="Y422" s="152"/>
      <c r="Z422" s="21"/>
      <c r="AA422" s="21"/>
      <c r="AB422" s="97" t="s">
        <v>69</v>
      </c>
      <c r="AC422" s="21"/>
      <c r="AD422" s="21"/>
      <c r="AE422" s="38">
        <f t="shared" ref="AE422:AJ422" si="925">AE417-(AE420/W155)</f>
        <v>0.34636241019571107</v>
      </c>
      <c r="AF422" s="38">
        <f t="shared" si="925"/>
        <v>1.4307283272030957</v>
      </c>
      <c r="AG422" s="293">
        <f t="shared" si="925"/>
        <v>2.4312798805463101</v>
      </c>
      <c r="AH422" s="293">
        <f t="shared" si="925"/>
        <v>3.2351488525663745</v>
      </c>
      <c r="AI422" s="293">
        <f t="shared" si="925"/>
        <v>4.3658907022340072</v>
      </c>
      <c r="AJ422" s="293">
        <f t="shared" si="925"/>
        <v>4.1268792193793651</v>
      </c>
      <c r="BT422" s="21"/>
      <c r="BU422" s="364"/>
      <c r="BV422" s="152"/>
    </row>
    <row r="423" spans="1:94" ht="12.75" customHeight="1" x14ac:dyDescent="0.2">
      <c r="A423" s="152"/>
      <c r="B423" s="35"/>
      <c r="C423" s="35"/>
      <c r="D423" s="35"/>
      <c r="E423" s="35"/>
      <c r="F423" s="170"/>
      <c r="G423" s="35"/>
      <c r="H423" s="35"/>
      <c r="I423" s="35"/>
      <c r="J423" s="35"/>
      <c r="K423" s="170"/>
      <c r="L423" s="35"/>
      <c r="M423" s="35"/>
      <c r="N423" s="35"/>
      <c r="O423" s="35"/>
      <c r="P423" s="229"/>
      <c r="Q423" s="152"/>
      <c r="R423" s="152"/>
      <c r="S423" s="152"/>
      <c r="T423" s="152"/>
      <c r="U423" s="152"/>
      <c r="V423" s="152"/>
      <c r="W423" s="152"/>
      <c r="X423" s="152"/>
      <c r="Y423" s="152"/>
      <c r="Z423" s="21"/>
      <c r="AA423" s="21"/>
      <c r="AB423" s="97" t="s">
        <v>8</v>
      </c>
      <c r="AC423" s="21"/>
      <c r="AD423" s="21"/>
      <c r="AE423" s="58">
        <f>AC181</f>
        <v>1264.039</v>
      </c>
      <c r="AF423" s="58">
        <f>AE181</f>
        <v>1318.3879999999999</v>
      </c>
      <c r="AG423" s="292">
        <f>AJ181</f>
        <v>1654.385</v>
      </c>
      <c r="AH423" s="292">
        <f>AO181</f>
        <v>1931.58</v>
      </c>
      <c r="AI423" s="292">
        <f>AT181</f>
        <v>2141.4630000000002</v>
      </c>
      <c r="AJ423" s="292">
        <f>AY181</f>
        <v>2321.9560000000001</v>
      </c>
      <c r="BT423" s="21"/>
      <c r="BU423" s="364"/>
      <c r="BV423" s="152"/>
    </row>
    <row r="424" spans="1:94" ht="12.75" customHeight="1" x14ac:dyDescent="0.2">
      <c r="A424" s="152"/>
      <c r="B424" s="35"/>
      <c r="C424" s="35"/>
      <c r="D424" s="35"/>
      <c r="E424" s="35"/>
      <c r="F424" s="170"/>
      <c r="G424" s="35"/>
      <c r="H424" s="35"/>
      <c r="I424" s="35"/>
      <c r="J424" s="35"/>
      <c r="K424" s="170"/>
      <c r="L424" s="35"/>
      <c r="M424" s="35"/>
      <c r="N424" s="35"/>
      <c r="O424" s="35"/>
      <c r="P424" s="229"/>
      <c r="Q424" s="152"/>
      <c r="R424" s="152"/>
      <c r="S424" s="152"/>
      <c r="T424" s="152"/>
      <c r="U424" s="152"/>
      <c r="V424" s="152"/>
      <c r="W424" s="152"/>
      <c r="X424" s="152"/>
      <c r="Y424" s="152"/>
      <c r="Z424" s="21"/>
      <c r="AA424" s="21"/>
      <c r="AB424" s="97" t="s">
        <v>9</v>
      </c>
      <c r="AC424" s="21"/>
      <c r="AD424" s="21"/>
      <c r="AE424" s="58">
        <f>AF418-AF420</f>
        <v>113.631</v>
      </c>
      <c r="AF424" s="58">
        <f>AF418-AF420</f>
        <v>113.631</v>
      </c>
      <c r="AG424" s="292">
        <f>AG418-AG420</f>
        <v>195.37600000000003</v>
      </c>
      <c r="AH424" s="292">
        <f>AH418-AH420</f>
        <v>260.512</v>
      </c>
      <c r="AI424" s="292">
        <f>AI418-AI420</f>
        <v>472.98500000000001</v>
      </c>
      <c r="AJ424" s="292">
        <f>AJ418-AJ420</f>
        <v>473.678</v>
      </c>
      <c r="BT424" s="21"/>
      <c r="BU424" s="364"/>
      <c r="BV424" s="152"/>
    </row>
    <row r="425" spans="1:94" ht="12.75" customHeight="1" thickBot="1" x14ac:dyDescent="0.25">
      <c r="A425" s="152"/>
      <c r="B425" s="35"/>
      <c r="C425" s="35"/>
      <c r="D425" s="35"/>
      <c r="E425" s="35"/>
      <c r="F425" s="170"/>
      <c r="G425" s="35"/>
      <c r="H425" s="35"/>
      <c r="I425" s="35"/>
      <c r="J425" s="35"/>
      <c r="K425" s="170"/>
      <c r="L425" s="35"/>
      <c r="M425" s="35"/>
      <c r="N425" s="35"/>
      <c r="O425" s="35"/>
      <c r="P425" s="229"/>
      <c r="Q425" s="152"/>
      <c r="R425" s="152"/>
      <c r="S425" s="152"/>
      <c r="T425" s="152"/>
      <c r="U425" s="152"/>
      <c r="V425" s="152"/>
      <c r="W425" s="152"/>
      <c r="X425" s="152"/>
      <c r="Y425" s="152"/>
      <c r="Z425" s="21"/>
      <c r="AA425" s="21"/>
      <c r="AB425" s="98" t="s">
        <v>10</v>
      </c>
      <c r="AC425" s="99"/>
      <c r="AD425" s="99"/>
      <c r="AE425" s="294">
        <f>AC260</f>
        <v>399.14300000000003</v>
      </c>
      <c r="AF425" s="294">
        <f>AE260</f>
        <v>416.81600000000003</v>
      </c>
      <c r="AG425" s="295">
        <f>AJ260</f>
        <v>530.63100000000009</v>
      </c>
      <c r="AH425" s="295">
        <f>AO260</f>
        <v>632.78400000000011</v>
      </c>
      <c r="AI425" s="295">
        <f>AT260</f>
        <v>803.63200000000006</v>
      </c>
      <c r="AJ425" s="295">
        <f>AY260</f>
        <v>700.90000000000009</v>
      </c>
      <c r="BT425" s="21"/>
      <c r="BU425" s="364"/>
      <c r="BV425" s="152"/>
    </row>
    <row r="426" spans="1:94" s="254" customFormat="1" ht="12.75" customHeight="1" x14ac:dyDescent="0.2">
      <c r="A426" s="152"/>
      <c r="B426" s="9"/>
      <c r="C426" s="9"/>
      <c r="D426" s="9"/>
      <c r="E426" s="9"/>
      <c r="F426" s="165"/>
      <c r="G426" s="9"/>
      <c r="H426" s="9"/>
      <c r="I426" s="9"/>
      <c r="J426" s="9"/>
      <c r="K426" s="165"/>
      <c r="L426" s="9"/>
      <c r="M426" s="9"/>
      <c r="N426" s="9"/>
      <c r="O426" s="9"/>
      <c r="P426" s="222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BT426" s="249"/>
      <c r="BU426" s="8"/>
      <c r="BV426" s="249"/>
      <c r="BW426" s="249"/>
      <c r="BX426" s="249"/>
      <c r="BY426" s="249"/>
      <c r="BZ426" s="432"/>
      <c r="CA426" s="320"/>
      <c r="CB426" s="320"/>
      <c r="CC426" s="320"/>
      <c r="CD426" s="320"/>
      <c r="CE426" s="320"/>
      <c r="CF426" s="320"/>
      <c r="CG426" s="320"/>
      <c r="CH426" s="8"/>
      <c r="CI426" s="249"/>
      <c r="CJ426"/>
      <c r="CK426"/>
      <c r="CL426"/>
      <c r="CM426"/>
      <c r="CN426"/>
      <c r="CO426"/>
      <c r="CP426" s="320"/>
    </row>
    <row r="427" spans="1:94" ht="12.75" customHeight="1" x14ac:dyDescent="0.2">
      <c r="A427" s="152"/>
      <c r="B427" s="35"/>
      <c r="C427" s="35"/>
      <c r="D427" s="35"/>
      <c r="E427" s="35"/>
      <c r="F427" s="170"/>
      <c r="G427" s="35"/>
      <c r="H427" s="35"/>
      <c r="I427" s="35"/>
      <c r="J427" s="35"/>
      <c r="K427" s="170"/>
      <c r="L427" s="35"/>
      <c r="M427" s="35"/>
      <c r="N427" s="35"/>
      <c r="O427" s="35"/>
      <c r="P427" s="229"/>
      <c r="Q427" s="152"/>
      <c r="R427" s="152"/>
      <c r="S427" s="152"/>
      <c r="T427" s="152"/>
      <c r="U427" s="152"/>
      <c r="V427" s="152"/>
      <c r="W427" s="152"/>
      <c r="X427" s="152"/>
      <c r="Y427" s="152"/>
      <c r="Z427" s="21"/>
      <c r="AA427" s="21"/>
      <c r="AB427" s="9" t="s">
        <v>3</v>
      </c>
      <c r="AC427" s="9"/>
      <c r="AD427" s="9"/>
      <c r="AE427" s="9"/>
      <c r="AF427" s="9"/>
      <c r="AG427" s="9"/>
      <c r="AH427" s="9"/>
      <c r="AI427" s="9"/>
      <c r="AJ427" s="9"/>
      <c r="BT427" s="21"/>
      <c r="BU427" s="364"/>
      <c r="BV427" s="152"/>
    </row>
    <row r="428" spans="1:94" ht="12.75" customHeight="1" thickBot="1" x14ac:dyDescent="0.25">
      <c r="A428" s="152"/>
      <c r="B428" s="35"/>
      <c r="C428" s="35"/>
      <c r="D428" s="35"/>
      <c r="E428" s="35"/>
      <c r="F428" s="170"/>
      <c r="G428" s="35"/>
      <c r="H428" s="35"/>
      <c r="I428" s="35"/>
      <c r="J428" s="35"/>
      <c r="K428" s="170"/>
      <c r="L428" s="35"/>
      <c r="M428" s="35"/>
      <c r="N428" s="35"/>
      <c r="O428" s="35"/>
      <c r="P428" s="229"/>
      <c r="Q428" s="152"/>
      <c r="R428" s="152"/>
      <c r="S428" s="152"/>
      <c r="T428" s="152"/>
      <c r="U428" s="152"/>
      <c r="V428" s="152"/>
      <c r="W428" s="152"/>
      <c r="X428" s="152"/>
      <c r="Y428" s="152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BT428" s="100"/>
      <c r="BU428" s="381"/>
      <c r="BV428" s="152"/>
    </row>
    <row r="429" spans="1:94" ht="12.75" customHeight="1" x14ac:dyDescent="0.2">
      <c r="A429" s="152"/>
      <c r="B429" s="35"/>
      <c r="C429" s="35"/>
      <c r="D429" s="35"/>
      <c r="E429" s="35"/>
      <c r="F429" s="170"/>
      <c r="G429" s="35"/>
      <c r="H429" s="35"/>
      <c r="I429" s="35"/>
      <c r="J429" s="35"/>
      <c r="K429" s="170"/>
      <c r="L429" s="35"/>
      <c r="M429" s="35"/>
      <c r="N429" s="35"/>
      <c r="O429" s="35"/>
      <c r="P429" s="229"/>
      <c r="Q429" s="152"/>
      <c r="R429" s="152"/>
      <c r="S429" s="152"/>
      <c r="T429" s="152"/>
      <c r="U429" s="152"/>
      <c r="V429" s="152"/>
      <c r="W429" s="152"/>
      <c r="X429" s="152"/>
      <c r="Y429" s="152"/>
      <c r="Z429" s="21"/>
      <c r="AA429" s="21"/>
      <c r="AK429" s="927" t="str">
        <f>AJ415&amp;" EPS"</f>
        <v>2016 EPS</v>
      </c>
      <c r="AL429" s="928"/>
      <c r="AM429" s="928"/>
      <c r="AN429" s="928"/>
      <c r="AO429" s="928"/>
      <c r="AP429" s="928"/>
      <c r="AQ429" s="928"/>
      <c r="AR429" s="928"/>
      <c r="AS429" s="929"/>
      <c r="BT429" s="102"/>
      <c r="BU429" s="382"/>
      <c r="BV429" s="152"/>
    </row>
    <row r="430" spans="1:94" ht="12.75" customHeight="1" x14ac:dyDescent="0.2">
      <c r="A430" s="152"/>
      <c r="B430" s="35"/>
      <c r="C430" s="35"/>
      <c r="D430" s="35"/>
      <c r="E430" s="35"/>
      <c r="F430" s="170"/>
      <c r="G430" s="35"/>
      <c r="H430" s="35"/>
      <c r="I430" s="35"/>
      <c r="J430" s="35"/>
      <c r="K430" s="170"/>
      <c r="L430" s="35"/>
      <c r="M430" s="35"/>
      <c r="N430" s="35"/>
      <c r="O430" s="35"/>
      <c r="P430" s="229"/>
      <c r="Q430" s="152"/>
      <c r="R430" s="152"/>
      <c r="S430" s="152"/>
      <c r="T430" s="152"/>
      <c r="U430" s="152"/>
      <c r="V430" s="152"/>
      <c r="W430" s="152"/>
      <c r="X430" s="152"/>
      <c r="Y430" s="152"/>
      <c r="Z430" s="21"/>
      <c r="AA430" s="21"/>
      <c r="AK430" s="501"/>
      <c r="AL430" s="101" t="s">
        <v>11</v>
      </c>
      <c r="AM430" s="244">
        <f>AN430-2%</f>
        <v>-0.06</v>
      </c>
      <c r="AN430" s="102">
        <f>AO430-2%</f>
        <v>-0.04</v>
      </c>
      <c r="AO430" s="102">
        <v>-0.02</v>
      </c>
      <c r="AP430" s="301" t="s">
        <v>12</v>
      </c>
      <c r="AQ430" s="102">
        <v>0.02</v>
      </c>
      <c r="AR430" s="102">
        <f>AQ430+2%</f>
        <v>0.04</v>
      </c>
      <c r="AS430" s="296">
        <f>AR430+2%</f>
        <v>0.06</v>
      </c>
      <c r="BT430" s="102"/>
      <c r="BU430" s="382"/>
      <c r="BV430" s="152"/>
    </row>
    <row r="431" spans="1:94" ht="12.75" customHeight="1" x14ac:dyDescent="0.2">
      <c r="A431" s="152"/>
      <c r="B431" s="35"/>
      <c r="C431" s="35"/>
      <c r="D431" s="35"/>
      <c r="E431" s="35"/>
      <c r="F431" s="170"/>
      <c r="G431" s="35"/>
      <c r="H431" s="35"/>
      <c r="I431" s="35"/>
      <c r="J431" s="35"/>
      <c r="K431" s="170"/>
      <c r="L431" s="35"/>
      <c r="M431" s="35"/>
      <c r="N431" s="35"/>
      <c r="O431" s="35"/>
      <c r="P431" s="229"/>
      <c r="Q431" s="152"/>
      <c r="R431" s="152"/>
      <c r="S431" s="152"/>
      <c r="T431" s="152"/>
      <c r="U431" s="152"/>
      <c r="V431" s="152"/>
      <c r="W431" s="152"/>
      <c r="X431" s="152"/>
      <c r="Y431" s="152"/>
      <c r="Z431" s="21"/>
      <c r="AA431" s="21"/>
      <c r="AK431" s="502"/>
      <c r="AL431" s="348" t="s">
        <v>13</v>
      </c>
      <c r="AM431" s="243"/>
      <c r="AN431" s="103"/>
      <c r="AO431" s="105"/>
      <c r="AP431" s="302">
        <v>3</v>
      </c>
      <c r="AQ431" s="104"/>
      <c r="AR431" s="104"/>
      <c r="AS431" s="297"/>
      <c r="BT431" s="102"/>
      <c r="BU431" s="382"/>
      <c r="BV431" s="152"/>
    </row>
    <row r="432" spans="1:94" ht="12.75" customHeight="1" x14ac:dyDescent="0.2">
      <c r="A432" s="152"/>
      <c r="B432" s="35"/>
      <c r="C432" s="35"/>
      <c r="D432" s="35"/>
      <c r="E432" s="35"/>
      <c r="F432" s="170"/>
      <c r="G432" s="35"/>
      <c r="H432" s="35"/>
      <c r="I432" s="35"/>
      <c r="J432" s="35"/>
      <c r="K432" s="170"/>
      <c r="L432" s="35"/>
      <c r="M432" s="35"/>
      <c r="N432" s="35"/>
      <c r="O432" s="35"/>
      <c r="P432" s="229"/>
      <c r="Q432" s="152"/>
      <c r="R432" s="152"/>
      <c r="S432" s="152"/>
      <c r="T432" s="152"/>
      <c r="U432" s="152"/>
      <c r="V432" s="152"/>
      <c r="W432" s="152"/>
      <c r="X432" s="152"/>
      <c r="Y432" s="152"/>
      <c r="Z432" s="21"/>
      <c r="AA432" s="21"/>
      <c r="AK432" s="502"/>
      <c r="AL432" s="349"/>
      <c r="AM432" s="243" t="s">
        <v>14</v>
      </c>
      <c r="AN432" s="106"/>
      <c r="AO432" s="102"/>
      <c r="AP432" s="301"/>
      <c r="AQ432" s="102"/>
      <c r="AR432" s="104" t="s">
        <v>14</v>
      </c>
      <c r="AS432" s="296"/>
      <c r="BT432" s="102"/>
      <c r="BU432" s="382"/>
      <c r="BV432" s="152"/>
    </row>
    <row r="433" spans="1:74" ht="12.75" customHeight="1" x14ac:dyDescent="0.2">
      <c r="A433" s="152"/>
      <c r="B433" s="35"/>
      <c r="C433" s="35"/>
      <c r="D433" s="35"/>
      <c r="E433" s="35"/>
      <c r="F433" s="170"/>
      <c r="G433" s="35"/>
      <c r="H433" s="35"/>
      <c r="I433" s="35"/>
      <c r="J433" s="35"/>
      <c r="K433" s="170"/>
      <c r="L433" s="35"/>
      <c r="M433" s="35"/>
      <c r="N433" s="35"/>
      <c r="O433" s="35"/>
      <c r="P433" s="229"/>
      <c r="Q433" s="152"/>
      <c r="R433" s="152"/>
      <c r="S433" s="152"/>
      <c r="T433" s="152"/>
      <c r="U433" s="152"/>
      <c r="V433" s="152"/>
      <c r="W433" s="152"/>
      <c r="X433" s="152"/>
      <c r="Y433" s="152"/>
      <c r="Z433" s="152"/>
      <c r="AA433" s="21"/>
      <c r="AK433" s="502"/>
      <c r="AL433" s="189">
        <f>AL434-2%</f>
        <v>-0.06</v>
      </c>
      <c r="AM433" s="512">
        <f>$AM$436+(AL433*(4/$AP$431))</f>
        <v>-0.29194523423701835</v>
      </c>
      <c r="AN433" s="106"/>
      <c r="AO433" s="102"/>
      <c r="AP433" s="301"/>
      <c r="AQ433" s="102"/>
      <c r="AR433" s="513">
        <f>AS433/42</f>
        <v>-0.7142857142857143</v>
      </c>
      <c r="AS433" s="108">
        <f>AS434-10</f>
        <v>-30</v>
      </c>
      <c r="BT433" s="109"/>
      <c r="BU433" s="383"/>
      <c r="BV433" s="152"/>
    </row>
    <row r="434" spans="1:74" ht="12.75" customHeight="1" x14ac:dyDescent="0.2">
      <c r="A434" s="152"/>
      <c r="B434" s="35"/>
      <c r="C434" s="35"/>
      <c r="D434" s="35"/>
      <c r="E434" s="35"/>
      <c r="F434" s="170"/>
      <c r="G434" s="35"/>
      <c r="H434" s="35"/>
      <c r="I434" s="35"/>
      <c r="J434" s="35"/>
      <c r="K434" s="170"/>
      <c r="L434" s="35"/>
      <c r="M434" s="35"/>
      <c r="N434" s="35"/>
      <c r="O434" s="35"/>
      <c r="P434" s="229"/>
      <c r="Q434" s="152"/>
      <c r="R434" s="152"/>
      <c r="S434" s="152"/>
      <c r="T434" s="152"/>
      <c r="U434" s="152"/>
      <c r="V434" s="152"/>
      <c r="W434" s="152"/>
      <c r="X434" s="152"/>
      <c r="Y434" s="152"/>
      <c r="Z434" s="152"/>
      <c r="AA434" s="109"/>
      <c r="AK434" s="502"/>
      <c r="AL434" s="189">
        <f>AL435-2%</f>
        <v>-0.04</v>
      </c>
      <c r="AM434" s="512">
        <f>$AM$436+(AL434*(4/$AP$431))</f>
        <v>-0.26527856757035173</v>
      </c>
      <c r="AN434" s="106"/>
      <c r="AO434" s="102"/>
      <c r="AP434" s="301"/>
      <c r="AQ434" s="102"/>
      <c r="AR434" s="513">
        <f>AS434/42</f>
        <v>-0.47619047619047616</v>
      </c>
      <c r="AS434" s="108">
        <f>AS435-10</f>
        <v>-20</v>
      </c>
      <c r="BT434" s="109"/>
      <c r="BU434" s="383"/>
      <c r="BV434" s="152"/>
    </row>
    <row r="435" spans="1:74" ht="12.75" customHeight="1" x14ac:dyDescent="0.2">
      <c r="A435" s="152"/>
      <c r="B435" s="35"/>
      <c r="C435" s="35"/>
      <c r="D435" s="35"/>
      <c r="E435" s="35"/>
      <c r="F435" s="170"/>
      <c r="G435" s="35"/>
      <c r="H435" s="35"/>
      <c r="I435" s="35"/>
      <c r="J435" s="35"/>
      <c r="K435" s="170"/>
      <c r="L435" s="35"/>
      <c r="M435" s="35"/>
      <c r="N435" s="35"/>
      <c r="O435" s="35"/>
      <c r="P435" s="229"/>
      <c r="Q435" s="152"/>
      <c r="R435" s="152"/>
      <c r="S435" s="152"/>
      <c r="T435" s="152"/>
      <c r="U435" s="152"/>
      <c r="V435" s="152"/>
      <c r="W435" s="152"/>
      <c r="X435" s="152"/>
      <c r="Y435" s="152"/>
      <c r="Z435" s="152"/>
      <c r="AA435" s="109"/>
      <c r="AK435" s="502"/>
      <c r="AL435" s="189">
        <v>-0.02</v>
      </c>
      <c r="AM435" s="512">
        <f>$AM$436+(AL435*(4/$AP$431))</f>
        <v>-0.23861190090368506</v>
      </c>
      <c r="AN435" s="106"/>
      <c r="AO435" s="102"/>
      <c r="AP435" s="301"/>
      <c r="AQ435" s="102"/>
      <c r="AR435" s="513">
        <f>AS435/42</f>
        <v>-0.23809523809523808</v>
      </c>
      <c r="AS435" s="108">
        <f>AS436-10</f>
        <v>-10</v>
      </c>
      <c r="BT435" s="109"/>
      <c r="BU435" s="383"/>
      <c r="BV435" s="152"/>
    </row>
    <row r="436" spans="1:74" ht="12.75" customHeight="1" x14ac:dyDescent="0.2">
      <c r="A436" s="152"/>
      <c r="B436" s="35"/>
      <c r="C436" s="35"/>
      <c r="D436" s="35"/>
      <c r="E436" s="35"/>
      <c r="F436" s="170"/>
      <c r="G436" s="35"/>
      <c r="H436" s="35"/>
      <c r="I436" s="35"/>
      <c r="J436" s="35"/>
      <c r="K436" s="170"/>
      <c r="L436" s="35"/>
      <c r="M436" s="35"/>
      <c r="N436" s="35"/>
      <c r="O436" s="35"/>
      <c r="P436" s="229"/>
      <c r="Q436" s="152"/>
      <c r="R436" s="152"/>
      <c r="S436" s="152"/>
      <c r="T436" s="152"/>
      <c r="U436" s="152"/>
      <c r="V436" s="152"/>
      <c r="W436" s="152"/>
      <c r="X436" s="152"/>
      <c r="Y436" s="152"/>
      <c r="Z436" s="152"/>
      <c r="AA436" s="109"/>
      <c r="AK436" s="502"/>
      <c r="AL436" s="190" t="s">
        <v>15</v>
      </c>
      <c r="AM436" s="512">
        <f>AU32</f>
        <v>-0.21194523423701839</v>
      </c>
      <c r="AN436" s="106"/>
      <c r="AO436" s="102"/>
      <c r="AP436" s="301"/>
      <c r="AQ436" s="102"/>
      <c r="AR436" s="514">
        <f>AV70</f>
        <v>0</v>
      </c>
      <c r="AS436" s="108">
        <f>AR436*42</f>
        <v>0</v>
      </c>
      <c r="BT436" s="109"/>
      <c r="BU436" s="383"/>
      <c r="BV436" s="152"/>
    </row>
    <row r="437" spans="1:74" ht="12.75" customHeight="1" x14ac:dyDescent="0.2">
      <c r="A437" s="152"/>
      <c r="B437" s="35"/>
      <c r="C437" s="35"/>
      <c r="D437" s="35"/>
      <c r="E437" s="35"/>
      <c r="F437" s="170"/>
      <c r="G437" s="35"/>
      <c r="H437" s="35"/>
      <c r="I437" s="35"/>
      <c r="J437" s="35"/>
      <c r="K437" s="170"/>
      <c r="L437" s="35"/>
      <c r="M437" s="35"/>
      <c r="N437" s="35"/>
      <c r="O437" s="35"/>
      <c r="P437" s="229"/>
      <c r="Q437" s="152"/>
      <c r="R437" s="152"/>
      <c r="S437" s="152"/>
      <c r="T437" s="152"/>
      <c r="U437" s="152"/>
      <c r="V437" s="152"/>
      <c r="W437" s="152"/>
      <c r="X437" s="152"/>
      <c r="Y437" s="152"/>
      <c r="Z437" s="152"/>
      <c r="AA437" s="109"/>
      <c r="AK437" s="502"/>
      <c r="AL437" s="189">
        <v>0.02</v>
      </c>
      <c r="AM437" s="512">
        <f>$AM$436+(AL437*(4/$AP$431))</f>
        <v>-0.18527856757035172</v>
      </c>
      <c r="AN437" s="106"/>
      <c r="AO437" s="102"/>
      <c r="AP437" s="301"/>
      <c r="AQ437" s="102"/>
      <c r="AR437" s="513">
        <f>AS437/42</f>
        <v>0.23809523809523808</v>
      </c>
      <c r="AS437" s="108">
        <f>AS436+10</f>
        <v>10</v>
      </c>
      <c r="BT437" s="109"/>
      <c r="BU437" s="383"/>
      <c r="BV437" s="152"/>
    </row>
    <row r="438" spans="1:74" ht="12.75" customHeight="1" x14ac:dyDescent="0.2">
      <c r="A438" s="152"/>
      <c r="B438" s="35"/>
      <c r="C438" s="35"/>
      <c r="D438" s="35"/>
      <c r="E438" s="35"/>
      <c r="F438" s="170"/>
      <c r="G438" s="35"/>
      <c r="H438" s="35"/>
      <c r="I438" s="35"/>
      <c r="J438" s="35"/>
      <c r="K438" s="170"/>
      <c r="L438" s="35"/>
      <c r="M438" s="35"/>
      <c r="N438" s="35"/>
      <c r="O438" s="35"/>
      <c r="P438" s="229"/>
      <c r="Q438" s="152"/>
      <c r="R438" s="152"/>
      <c r="S438" s="152"/>
      <c r="T438" s="152"/>
      <c r="U438" s="152"/>
      <c r="V438" s="152"/>
      <c r="W438" s="152"/>
      <c r="X438" s="152"/>
      <c r="Y438" s="152"/>
      <c r="Z438" s="152"/>
      <c r="AA438" s="109"/>
      <c r="AK438" s="502"/>
      <c r="AL438" s="189">
        <f>AL437+2%</f>
        <v>0.04</v>
      </c>
      <c r="AM438" s="512">
        <f>$AM$436+(AL438*(4/$AP$431))</f>
        <v>-0.15861190090368504</v>
      </c>
      <c r="AN438" s="106"/>
      <c r="AO438" s="102"/>
      <c r="AP438" s="301"/>
      <c r="AQ438" s="102"/>
      <c r="AR438" s="513">
        <f>AS438/42</f>
        <v>0.47619047619047616</v>
      </c>
      <c r="AS438" s="108">
        <f>AS437+10</f>
        <v>20</v>
      </c>
      <c r="BT438" s="109"/>
      <c r="BU438" s="383"/>
      <c r="BV438" s="152"/>
    </row>
    <row r="439" spans="1:74" ht="12.75" customHeight="1" x14ac:dyDescent="0.2">
      <c r="A439" s="152"/>
      <c r="B439" s="35"/>
      <c r="C439" s="35"/>
      <c r="D439" s="35"/>
      <c r="E439" s="35"/>
      <c r="F439" s="170"/>
      <c r="G439" s="35"/>
      <c r="H439" s="35"/>
      <c r="I439" s="35"/>
      <c r="J439" s="35"/>
      <c r="K439" s="170"/>
      <c r="L439" s="35"/>
      <c r="M439" s="35"/>
      <c r="N439" s="35"/>
      <c r="O439" s="35"/>
      <c r="P439" s="229"/>
      <c r="Q439" s="152"/>
      <c r="R439" s="152"/>
      <c r="S439" s="152"/>
      <c r="T439" s="152"/>
      <c r="U439" s="152"/>
      <c r="V439" s="152"/>
      <c r="W439" s="152"/>
      <c r="X439" s="152"/>
      <c r="Y439" s="152"/>
      <c r="Z439" s="152"/>
      <c r="AA439" s="21"/>
      <c r="AK439" s="502"/>
      <c r="AL439" s="189">
        <f>AL438+2%</f>
        <v>0.06</v>
      </c>
      <c r="AM439" s="512">
        <f>$AM$436+(AL439*(4/$AP$431))</f>
        <v>-0.1319452342370184</v>
      </c>
      <c r="AN439" s="106"/>
      <c r="AO439" s="102"/>
      <c r="AP439" s="301"/>
      <c r="AQ439" s="102"/>
      <c r="AR439" s="513">
        <f>AS439/42</f>
        <v>0.7142857142857143</v>
      </c>
      <c r="AS439" s="108">
        <f>AS438+10</f>
        <v>30</v>
      </c>
      <c r="BT439" s="21"/>
      <c r="BU439" s="364"/>
      <c r="BV439" s="152"/>
    </row>
    <row r="440" spans="1:74" ht="12.75" customHeight="1" x14ac:dyDescent="0.2">
      <c r="A440" s="152"/>
      <c r="B440" s="35"/>
      <c r="C440" s="35"/>
      <c r="D440" s="35"/>
      <c r="E440" s="35"/>
      <c r="F440" s="170"/>
      <c r="G440" s="35"/>
      <c r="H440" s="35"/>
      <c r="I440" s="35"/>
      <c r="J440" s="35"/>
      <c r="K440" s="170"/>
      <c r="L440" s="35"/>
      <c r="M440" s="35"/>
      <c r="N440" s="35"/>
      <c r="O440" s="35"/>
      <c r="P440" s="229"/>
      <c r="Q440" s="152"/>
      <c r="R440" s="152"/>
      <c r="S440" s="152"/>
      <c r="T440" s="152"/>
      <c r="U440" s="152"/>
      <c r="V440" s="152"/>
      <c r="W440" s="152"/>
      <c r="X440" s="152"/>
      <c r="Y440" s="152"/>
      <c r="Z440" s="152"/>
      <c r="AA440" s="107"/>
      <c r="AK440" s="503" t="s">
        <v>16</v>
      </c>
      <c r="AL440" s="347"/>
      <c r="AM440" s="245">
        <f>AN440-2%</f>
        <v>-0.27454621494103076</v>
      </c>
      <c r="AN440" s="110">
        <f>AO440-2%</f>
        <v>-0.25454621494103075</v>
      </c>
      <c r="AO440" s="110">
        <f>AP440-2%</f>
        <v>-0.23454621494103076</v>
      </c>
      <c r="AP440" s="303">
        <f>AP453</f>
        <v>-0.21454621494103077</v>
      </c>
      <c r="AQ440" s="110">
        <f>AP440+2%</f>
        <v>-0.19454621494103078</v>
      </c>
      <c r="AR440" s="110">
        <f>AQ440+2%</f>
        <v>-0.17454621494103079</v>
      </c>
      <c r="AS440" s="111">
        <f>AR440+2%</f>
        <v>-0.1545462149410308</v>
      </c>
      <c r="BT440" s="107"/>
      <c r="BU440" s="384"/>
      <c r="BV440" s="152"/>
    </row>
    <row r="441" spans="1:74" ht="12.75" customHeight="1" x14ac:dyDescent="0.2">
      <c r="A441" s="152"/>
      <c r="B441" s="35"/>
      <c r="C441" s="35"/>
      <c r="D441" s="35"/>
      <c r="E441" s="35"/>
      <c r="F441" s="170"/>
      <c r="G441" s="35"/>
      <c r="H441" s="35"/>
      <c r="I441" s="35"/>
      <c r="J441" s="35"/>
      <c r="K441" s="170"/>
      <c r="L441" s="35"/>
      <c r="M441" s="35"/>
      <c r="N441" s="35"/>
      <c r="O441" s="35"/>
      <c r="P441" s="229"/>
      <c r="Q441" s="152"/>
      <c r="R441" s="152"/>
      <c r="S441" s="152"/>
      <c r="T441" s="152"/>
      <c r="U441" s="152"/>
      <c r="V441" s="152"/>
      <c r="W441" s="152"/>
      <c r="X441" s="152"/>
      <c r="Y441" s="152"/>
      <c r="Z441" s="152"/>
      <c r="AA441" s="109"/>
      <c r="AK441" s="97"/>
      <c r="AL441" s="31">
        <f>AJ422</f>
        <v>4.1268792193793651</v>
      </c>
      <c r="AM441" s="107">
        <v>-0.35</v>
      </c>
      <c r="AN441" s="107">
        <v>-0.32333333333333336</v>
      </c>
      <c r="AO441" s="107">
        <v>-0.29666666666666669</v>
      </c>
      <c r="AP441" s="107">
        <v>-0.27</v>
      </c>
      <c r="AQ441" s="107">
        <v>-0.24333333333333335</v>
      </c>
      <c r="AR441" s="107">
        <v>-0.21666666666666667</v>
      </c>
      <c r="AS441" s="494">
        <v>-0.19000000000000003</v>
      </c>
      <c r="BT441" s="109"/>
      <c r="BU441" s="383"/>
      <c r="BV441" s="152"/>
    </row>
    <row r="442" spans="1:74" ht="12.75" customHeight="1" x14ac:dyDescent="0.2">
      <c r="A442" s="152"/>
      <c r="B442" s="35"/>
      <c r="C442" s="35"/>
      <c r="D442" s="35"/>
      <c r="E442" s="35"/>
      <c r="F442" s="170"/>
      <c r="G442" s="35"/>
      <c r="H442" s="35"/>
      <c r="I442" s="35"/>
      <c r="J442" s="35"/>
      <c r="K442" s="170"/>
      <c r="L442" s="35"/>
      <c r="M442" s="35"/>
      <c r="N442" s="35"/>
      <c r="O442" s="35"/>
      <c r="P442" s="229"/>
      <c r="Q442" s="152"/>
      <c r="R442" s="152"/>
      <c r="S442" s="152"/>
      <c r="T442" s="152"/>
      <c r="U442" s="152"/>
      <c r="V442" s="152"/>
      <c r="W442" s="152"/>
      <c r="X442" s="152"/>
      <c r="Y442" s="152"/>
      <c r="Z442" s="152"/>
      <c r="AA442" s="109"/>
      <c r="AK442" s="217">
        <f t="shared" ref="AK442:AK448" si="926">AL442*42</f>
        <v>14.100000000000001</v>
      </c>
      <c r="AL442" s="287">
        <v>0.33571428571428574</v>
      </c>
      <c r="AM442" s="467">
        <f t="dataTable" ref="AM442:AS448" dt2D="1" dtr="0" r1="AU32" r2="AV70"/>
        <v>4.1268792193793651</v>
      </c>
      <c r="AN442" s="468">
        <v>4.1268792193793651</v>
      </c>
      <c r="AO442" s="468">
        <v>4.1268792193793651</v>
      </c>
      <c r="AP442" s="469">
        <v>4.1268792193793651</v>
      </c>
      <c r="AQ442" s="468">
        <v>4.1268792193793651</v>
      </c>
      <c r="AR442" s="468">
        <v>4.1268792193793651</v>
      </c>
      <c r="AS442" s="495">
        <v>4.1268792193793651</v>
      </c>
      <c r="BT442" s="109"/>
      <c r="BU442" s="383"/>
      <c r="BV442" s="152"/>
    </row>
    <row r="443" spans="1:74" ht="12.75" customHeight="1" x14ac:dyDescent="0.2">
      <c r="A443" s="152"/>
      <c r="B443" s="35"/>
      <c r="C443" s="35"/>
      <c r="D443" s="35"/>
      <c r="E443" s="35"/>
      <c r="F443" s="170"/>
      <c r="G443" s="35"/>
      <c r="H443" s="35"/>
      <c r="I443" s="35"/>
      <c r="J443" s="35"/>
      <c r="K443" s="170"/>
      <c r="L443" s="35"/>
      <c r="M443" s="35"/>
      <c r="N443" s="35"/>
      <c r="O443" s="35"/>
      <c r="P443" s="229"/>
      <c r="Q443" s="152"/>
      <c r="R443" s="152"/>
      <c r="S443" s="152"/>
      <c r="T443" s="152"/>
      <c r="U443" s="152"/>
      <c r="V443" s="152"/>
      <c r="W443" s="152"/>
      <c r="X443" s="152"/>
      <c r="Y443" s="152"/>
      <c r="Z443" s="152"/>
      <c r="AA443" s="109"/>
      <c r="AK443" s="217">
        <f t="shared" si="926"/>
        <v>24.1</v>
      </c>
      <c r="AL443" s="287">
        <v>0.57380952380952388</v>
      </c>
      <c r="AM443" s="470">
        <v>4.1268792193793651</v>
      </c>
      <c r="AN443" s="471">
        <v>4.1268792193793651</v>
      </c>
      <c r="AO443" s="471">
        <v>4.1268792193793651</v>
      </c>
      <c r="AP443" s="472">
        <v>4.1268792193793651</v>
      </c>
      <c r="AQ443" s="471">
        <v>4.1268792193793651</v>
      </c>
      <c r="AR443" s="471">
        <v>4.1268792193793651</v>
      </c>
      <c r="AS443" s="496">
        <v>4.1268792193793651</v>
      </c>
      <c r="BT443" s="109"/>
      <c r="BU443" s="383"/>
      <c r="BV443" s="152"/>
    </row>
    <row r="444" spans="1:74" ht="12.75" customHeight="1" x14ac:dyDescent="0.2">
      <c r="A444" s="152"/>
      <c r="B444" s="35"/>
      <c r="C444" s="35"/>
      <c r="D444" s="35"/>
      <c r="E444" s="35"/>
      <c r="F444" s="170"/>
      <c r="G444" s="35"/>
      <c r="H444" s="35"/>
      <c r="I444" s="35"/>
      <c r="J444" s="35"/>
      <c r="K444" s="170"/>
      <c r="L444" s="35"/>
      <c r="M444" s="35"/>
      <c r="N444" s="35"/>
      <c r="O444" s="35"/>
      <c r="P444" s="229"/>
      <c r="Q444" s="152"/>
      <c r="R444" s="152"/>
      <c r="S444" s="152"/>
      <c r="T444" s="152"/>
      <c r="U444" s="152"/>
      <c r="V444" s="152"/>
      <c r="W444" s="152"/>
      <c r="X444" s="152"/>
      <c r="Y444" s="152"/>
      <c r="Z444" s="152"/>
      <c r="AA444" s="109"/>
      <c r="AK444" s="217">
        <f t="shared" si="926"/>
        <v>34.1</v>
      </c>
      <c r="AL444" s="287">
        <v>0.81190476190476191</v>
      </c>
      <c r="AM444" s="470">
        <v>4.1268792193793651</v>
      </c>
      <c r="AN444" s="471">
        <v>4.1268792193793651</v>
      </c>
      <c r="AO444" s="471">
        <v>4.1268792193793651</v>
      </c>
      <c r="AP444" s="472">
        <v>4.1268792193793651</v>
      </c>
      <c r="AQ444" s="471">
        <v>4.1268792193793651</v>
      </c>
      <c r="AR444" s="471">
        <v>4.1268792193793651</v>
      </c>
      <c r="AS444" s="496">
        <v>4.1268792193793651</v>
      </c>
      <c r="BT444" s="109"/>
      <c r="BU444" s="383"/>
      <c r="BV444" s="152"/>
    </row>
    <row r="445" spans="1:74" ht="12.75" customHeight="1" x14ac:dyDescent="0.2">
      <c r="A445" s="152"/>
      <c r="B445" s="35"/>
      <c r="C445" s="35"/>
      <c r="D445" s="35"/>
      <c r="E445" s="35"/>
      <c r="F445" s="170"/>
      <c r="G445" s="35"/>
      <c r="H445" s="35"/>
      <c r="I445" s="35"/>
      <c r="J445" s="35"/>
      <c r="K445" s="170"/>
      <c r="L445" s="35"/>
      <c r="M445" s="35"/>
      <c r="N445" s="35"/>
      <c r="O445" s="35"/>
      <c r="P445" s="229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09"/>
      <c r="AK445" s="299">
        <f t="shared" si="926"/>
        <v>44.1</v>
      </c>
      <c r="AL445" s="300">
        <v>1.05</v>
      </c>
      <c r="AM445" s="473">
        <v>4.1268792193793651</v>
      </c>
      <c r="AN445" s="474">
        <v>4.1268792193793651</v>
      </c>
      <c r="AO445" s="474">
        <v>4.1268792193793651</v>
      </c>
      <c r="AP445" s="475">
        <v>4.1268792193793651</v>
      </c>
      <c r="AQ445" s="474">
        <v>4.1268792193793651</v>
      </c>
      <c r="AR445" s="474">
        <v>4.1268792193793651</v>
      </c>
      <c r="AS445" s="497">
        <v>4.1268792193793651</v>
      </c>
      <c r="BT445" s="109"/>
      <c r="BU445" s="383"/>
      <c r="BV445" s="152"/>
    </row>
    <row r="446" spans="1:74" ht="12.75" customHeight="1" x14ac:dyDescent="0.2">
      <c r="A446" s="152"/>
      <c r="B446" s="35"/>
      <c r="C446" s="35"/>
      <c r="D446" s="35"/>
      <c r="E446" s="35"/>
      <c r="F446" s="170"/>
      <c r="G446" s="35"/>
      <c r="H446" s="35"/>
      <c r="I446" s="35"/>
      <c r="J446" s="35"/>
      <c r="K446" s="170"/>
      <c r="L446" s="35"/>
      <c r="M446" s="35"/>
      <c r="N446" s="35"/>
      <c r="O446" s="35"/>
      <c r="P446" s="229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09"/>
      <c r="AK446" s="217">
        <f t="shared" si="926"/>
        <v>54.1</v>
      </c>
      <c r="AL446" s="287">
        <v>1.2880952380952382</v>
      </c>
      <c r="AM446" s="470">
        <v>4.1268792193793651</v>
      </c>
      <c r="AN446" s="471">
        <v>4.1268792193793651</v>
      </c>
      <c r="AO446" s="471">
        <v>4.1268792193793651</v>
      </c>
      <c r="AP446" s="472">
        <v>4.1268792193793651</v>
      </c>
      <c r="AQ446" s="471">
        <v>4.1268792193793651</v>
      </c>
      <c r="AR446" s="471">
        <v>4.1268792193793651</v>
      </c>
      <c r="AS446" s="496">
        <v>4.1268792193793651</v>
      </c>
      <c r="BT446" s="109"/>
      <c r="BU446" s="383"/>
      <c r="BV446" s="152"/>
    </row>
    <row r="447" spans="1:74" ht="12.75" customHeight="1" x14ac:dyDescent="0.2">
      <c r="A447" s="152"/>
      <c r="B447" s="35"/>
      <c r="C447" s="35"/>
      <c r="D447" s="35"/>
      <c r="E447" s="35"/>
      <c r="F447" s="170"/>
      <c r="G447" s="35"/>
      <c r="H447" s="35"/>
      <c r="I447" s="35"/>
      <c r="J447" s="35"/>
      <c r="K447" s="170"/>
      <c r="L447" s="35"/>
      <c r="M447" s="35"/>
      <c r="N447" s="35"/>
      <c r="O447" s="35"/>
      <c r="P447" s="229"/>
      <c r="Q447" s="152"/>
      <c r="R447" s="152"/>
      <c r="S447" s="152"/>
      <c r="T447" s="152"/>
      <c r="U447" s="152"/>
      <c r="V447" s="152"/>
      <c r="W447" s="152"/>
      <c r="X447" s="152"/>
      <c r="Y447" s="152"/>
      <c r="Z447" s="152"/>
      <c r="AA447" s="109"/>
      <c r="AK447" s="217">
        <f t="shared" si="926"/>
        <v>64.099999999999994</v>
      </c>
      <c r="AL447" s="287">
        <v>1.5261904761904761</v>
      </c>
      <c r="AM447" s="470">
        <v>4.1268792193793651</v>
      </c>
      <c r="AN447" s="471">
        <v>4.1268792193793651</v>
      </c>
      <c r="AO447" s="471">
        <v>4.1268792193793651</v>
      </c>
      <c r="AP447" s="472">
        <v>4.1268792193793651</v>
      </c>
      <c r="AQ447" s="471">
        <v>4.1268792193793651</v>
      </c>
      <c r="AR447" s="471">
        <v>4.1268792193793651</v>
      </c>
      <c r="AS447" s="496">
        <v>4.1268792193793651</v>
      </c>
      <c r="BT447" s="109"/>
      <c r="BU447" s="383"/>
      <c r="BV447" s="152"/>
    </row>
    <row r="448" spans="1:74" ht="12.75" customHeight="1" thickBot="1" x14ac:dyDescent="0.25">
      <c r="A448" s="152"/>
      <c r="B448" s="35"/>
      <c r="C448" s="35"/>
      <c r="D448" s="35"/>
      <c r="E448" s="35"/>
      <c r="F448" s="170"/>
      <c r="G448" s="35"/>
      <c r="H448" s="35"/>
      <c r="I448" s="35"/>
      <c r="J448" s="35"/>
      <c r="K448" s="170"/>
      <c r="L448" s="35"/>
      <c r="M448" s="35"/>
      <c r="N448" s="35"/>
      <c r="O448" s="35"/>
      <c r="P448" s="229"/>
      <c r="Q448" s="152"/>
      <c r="R448" s="152"/>
      <c r="S448" s="152"/>
      <c r="T448" s="152"/>
      <c r="U448" s="152"/>
      <c r="V448" s="152"/>
      <c r="W448" s="152"/>
      <c r="X448" s="152"/>
      <c r="Y448" s="152"/>
      <c r="Z448" s="152"/>
      <c r="AA448" s="21"/>
      <c r="AK448" s="218">
        <f t="shared" si="926"/>
        <v>74.099999999999994</v>
      </c>
      <c r="AL448" s="298">
        <v>1.7642857142857142</v>
      </c>
      <c r="AM448" s="504">
        <v>4.1268792193793651</v>
      </c>
      <c r="AN448" s="498">
        <v>4.1268792193793651</v>
      </c>
      <c r="AO448" s="498">
        <v>4.1268792193793651</v>
      </c>
      <c r="AP448" s="499">
        <v>4.1268792193793651</v>
      </c>
      <c r="AQ448" s="498">
        <v>4.1268792193793651</v>
      </c>
      <c r="AR448" s="498">
        <v>4.1268792193793651</v>
      </c>
      <c r="AS448" s="500">
        <v>4.1268792193793651</v>
      </c>
      <c r="BT448" s="21"/>
      <c r="BU448" s="364"/>
      <c r="BV448" s="152"/>
    </row>
    <row r="449" spans="1:74" ht="12.75" customHeight="1" x14ac:dyDescent="0.2">
      <c r="A449" s="152"/>
      <c r="B449" s="35"/>
      <c r="C449" s="35"/>
      <c r="D449" s="35"/>
      <c r="E449" s="35"/>
      <c r="F449" s="170"/>
      <c r="G449" s="35"/>
      <c r="H449" s="35"/>
      <c r="I449" s="35"/>
      <c r="J449" s="35"/>
      <c r="K449" s="170"/>
      <c r="L449" s="35"/>
      <c r="M449" s="35"/>
      <c r="N449" s="35"/>
      <c r="O449" s="35"/>
      <c r="P449" s="229"/>
      <c r="Q449" s="152"/>
      <c r="R449" s="152"/>
      <c r="S449" s="152"/>
      <c r="T449" s="152"/>
      <c r="U449" s="152"/>
      <c r="V449" s="152"/>
      <c r="W449" s="152"/>
      <c r="X449" s="152"/>
      <c r="Y449" s="152"/>
      <c r="Z449" s="152"/>
      <c r="AA449" s="21"/>
      <c r="AK449" s="21"/>
      <c r="AL449" s="24"/>
      <c r="AM449" s="24"/>
      <c r="AN449" s="21"/>
      <c r="AO449" s="21"/>
      <c r="AP449" s="21"/>
      <c r="AQ449" s="21"/>
      <c r="AR449" s="21"/>
      <c r="AS449" s="21"/>
      <c r="BT449" s="21"/>
      <c r="BU449" s="364"/>
      <c r="BV449" s="152"/>
    </row>
    <row r="450" spans="1:74" ht="12.75" customHeight="1" thickBot="1" x14ac:dyDescent="0.25">
      <c r="A450" s="152"/>
      <c r="B450" s="35"/>
      <c r="C450" s="35"/>
      <c r="D450" s="35"/>
      <c r="E450" s="35"/>
      <c r="F450" s="170"/>
      <c r="G450" s="35"/>
      <c r="H450" s="35"/>
      <c r="I450" s="35"/>
      <c r="J450" s="35"/>
      <c r="K450" s="170"/>
      <c r="L450" s="35"/>
      <c r="M450" s="35"/>
      <c r="N450" s="35"/>
      <c r="O450" s="35"/>
      <c r="P450" s="229"/>
      <c r="Q450" s="152"/>
      <c r="R450" s="152"/>
      <c r="S450" s="152"/>
      <c r="T450" s="152"/>
      <c r="U450" s="152"/>
      <c r="V450" s="152"/>
      <c r="W450" s="152"/>
      <c r="X450" s="152"/>
      <c r="Y450" s="152"/>
      <c r="Z450" s="152"/>
      <c r="AA450" s="152"/>
      <c r="AK450" s="21"/>
      <c r="AL450" s="21"/>
      <c r="AM450" s="21"/>
      <c r="AN450" s="21"/>
      <c r="AO450" s="21"/>
      <c r="AP450" s="21"/>
      <c r="AQ450" s="21"/>
      <c r="AR450" s="21"/>
      <c r="AS450" s="21"/>
      <c r="BT450" s="100"/>
      <c r="BU450" s="381"/>
      <c r="BV450" s="152"/>
    </row>
    <row r="451" spans="1:74" ht="12.75" customHeight="1" x14ac:dyDescent="0.2">
      <c r="A451" s="258"/>
      <c r="P451" s="507"/>
      <c r="Z451" s="258"/>
      <c r="AA451" s="508"/>
      <c r="AK451" s="927" t="str">
        <f>AJ415&amp;" EBITDAR"</f>
        <v>2016 EBITDAR</v>
      </c>
      <c r="AL451" s="928"/>
      <c r="AM451" s="928"/>
      <c r="AN451" s="928"/>
      <c r="AO451" s="928"/>
      <c r="AP451" s="928"/>
      <c r="AQ451" s="928"/>
      <c r="AR451" s="928"/>
      <c r="AS451" s="929"/>
      <c r="BT451" s="102"/>
      <c r="BU451" s="382"/>
      <c r="BV451" s="152"/>
    </row>
    <row r="452" spans="1:74" ht="12.75" customHeight="1" x14ac:dyDescent="0.2">
      <c r="A452" s="258"/>
      <c r="P452" s="507"/>
      <c r="Z452" s="258"/>
      <c r="AA452" s="508"/>
      <c r="AK452" s="351"/>
      <c r="AL452" s="101" t="s">
        <v>11</v>
      </c>
      <c r="AM452" s="244">
        <f>AN452-2%</f>
        <v>-0.06</v>
      </c>
      <c r="AN452" s="102">
        <f>AO452-2%</f>
        <v>-0.04</v>
      </c>
      <c r="AO452" s="102">
        <v>-0.02</v>
      </c>
      <c r="AP452" s="301" t="s">
        <v>12</v>
      </c>
      <c r="AQ452" s="102">
        <v>0.02</v>
      </c>
      <c r="AR452" s="102">
        <f>AQ452+2%</f>
        <v>0.04</v>
      </c>
      <c r="AS452" s="296">
        <f>AR452+2%</f>
        <v>0.06</v>
      </c>
      <c r="BT452" s="102"/>
      <c r="BU452" s="382"/>
      <c r="BV452" s="152"/>
    </row>
    <row r="453" spans="1:74" ht="12.75" customHeight="1" x14ac:dyDescent="0.2">
      <c r="A453" s="258"/>
      <c r="P453" s="507"/>
      <c r="Z453" s="258"/>
      <c r="AA453" s="510"/>
      <c r="AK453" s="350" t="s">
        <v>16</v>
      </c>
      <c r="AL453" s="347"/>
      <c r="AM453" s="245">
        <f>AN453-2%</f>
        <v>-0.27454621494103076</v>
      </c>
      <c r="AN453" s="110">
        <f>AO453-2%</f>
        <v>-0.25454621494103075</v>
      </c>
      <c r="AO453" s="110">
        <f>AP453-2%</f>
        <v>-0.23454621494103076</v>
      </c>
      <c r="AP453" s="303">
        <f>AT32</f>
        <v>-0.21454621494103077</v>
      </c>
      <c r="AQ453" s="110">
        <f>AP453+2%</f>
        <v>-0.19454621494103078</v>
      </c>
      <c r="AR453" s="110">
        <f>AQ453+2%</f>
        <v>-0.17454621494103079</v>
      </c>
      <c r="AS453" s="111">
        <f>AR453+2%</f>
        <v>-0.1545462149410308</v>
      </c>
      <c r="BT453" s="107"/>
      <c r="BU453" s="384"/>
      <c r="BV453" s="152"/>
    </row>
    <row r="454" spans="1:74" ht="12.75" customHeight="1" x14ac:dyDescent="0.2">
      <c r="A454" s="258"/>
      <c r="P454" s="507"/>
      <c r="Z454" s="258"/>
      <c r="AA454" s="509"/>
      <c r="AK454" s="97"/>
      <c r="AL454" s="28">
        <f>AJ421</f>
        <v>787.84800000000018</v>
      </c>
      <c r="AM454" s="107">
        <v>-0.35</v>
      </c>
      <c r="AN454" s="107">
        <v>-0.32333333333333336</v>
      </c>
      <c r="AO454" s="107">
        <v>-0.29666666666666669</v>
      </c>
      <c r="AP454" s="107">
        <v>-0.27</v>
      </c>
      <c r="AQ454" s="107">
        <v>-0.24333333333333335</v>
      </c>
      <c r="AR454" s="107">
        <v>-0.21666666666666667</v>
      </c>
      <c r="AS454" s="494">
        <v>-0.19000000000000003</v>
      </c>
      <c r="BT454" s="109"/>
      <c r="BU454" s="383"/>
      <c r="BV454" s="152"/>
    </row>
    <row r="455" spans="1:74" ht="12.75" customHeight="1" x14ac:dyDescent="0.2">
      <c r="A455" s="258"/>
      <c r="P455" s="507"/>
      <c r="Z455" s="258"/>
      <c r="AA455" s="509"/>
      <c r="AK455" s="217">
        <f t="shared" ref="AK455:AK461" si="927">AL455*42</f>
        <v>14.100000000000001</v>
      </c>
      <c r="AL455" s="287">
        <v>0.33571428571428574</v>
      </c>
      <c r="AM455" s="339">
        <f t="dataTable" ref="AM455:AS461" dt2D="1" dtr="0" r1="AU32" r2="AV70"/>
        <v>787.84800000000018</v>
      </c>
      <c r="AN455" s="112">
        <v>787.84800000000018</v>
      </c>
      <c r="AO455" s="112">
        <v>787.84800000000018</v>
      </c>
      <c r="AP455" s="113">
        <v>787.84800000000018</v>
      </c>
      <c r="AQ455" s="112">
        <v>787.84800000000018</v>
      </c>
      <c r="AR455" s="112">
        <v>787.84800000000018</v>
      </c>
      <c r="AS455" s="340">
        <v>787.84800000000018</v>
      </c>
      <c r="BT455" s="109"/>
      <c r="BU455" s="383"/>
      <c r="BV455" s="152"/>
    </row>
    <row r="456" spans="1:74" ht="12.75" customHeight="1" x14ac:dyDescent="0.2">
      <c r="A456" s="258"/>
      <c r="P456" s="507"/>
      <c r="Z456" s="258"/>
      <c r="AA456" s="509"/>
      <c r="AK456" s="217">
        <f t="shared" si="927"/>
        <v>24.1</v>
      </c>
      <c r="AL456" s="287">
        <v>0.57380952380952388</v>
      </c>
      <c r="AM456" s="247">
        <v>787.84800000000018</v>
      </c>
      <c r="AN456" s="109">
        <v>787.84800000000018</v>
      </c>
      <c r="AO456" s="109">
        <v>787.84800000000018</v>
      </c>
      <c r="AP456" s="114">
        <v>787.84800000000018</v>
      </c>
      <c r="AQ456" s="109">
        <v>787.84800000000018</v>
      </c>
      <c r="AR456" s="109">
        <v>787.84800000000018</v>
      </c>
      <c r="AS456" s="341">
        <v>787.84800000000018</v>
      </c>
      <c r="BT456" s="109"/>
      <c r="BU456" s="383"/>
      <c r="BV456" s="152"/>
    </row>
    <row r="457" spans="1:74" ht="12.75" customHeight="1" x14ac:dyDescent="0.2">
      <c r="A457" s="258"/>
      <c r="P457" s="507"/>
      <c r="Z457" s="258"/>
      <c r="AA457" s="509"/>
      <c r="AK457" s="217">
        <f t="shared" si="927"/>
        <v>34.1</v>
      </c>
      <c r="AL457" s="287">
        <v>0.81190476190476191</v>
      </c>
      <c r="AM457" s="247">
        <v>787.84800000000018</v>
      </c>
      <c r="AN457" s="109">
        <v>787.84800000000018</v>
      </c>
      <c r="AO457" s="109">
        <v>787.84800000000018</v>
      </c>
      <c r="AP457" s="114">
        <v>787.84800000000018</v>
      </c>
      <c r="AQ457" s="109">
        <v>787.84800000000018</v>
      </c>
      <c r="AR457" s="109">
        <v>787.84800000000018</v>
      </c>
      <c r="AS457" s="341">
        <v>787.84800000000018</v>
      </c>
      <c r="BT457" s="109"/>
      <c r="BU457" s="383"/>
      <c r="BV457" s="152"/>
    </row>
    <row r="458" spans="1:74" ht="12.75" customHeight="1" x14ac:dyDescent="0.2">
      <c r="A458" s="258"/>
      <c r="P458" s="507"/>
      <c r="Z458" s="258"/>
      <c r="AA458" s="509"/>
      <c r="AK458" s="299">
        <f t="shared" si="927"/>
        <v>44.1</v>
      </c>
      <c r="AL458" s="300">
        <v>1.05</v>
      </c>
      <c r="AM458" s="248">
        <v>787.84800000000018</v>
      </c>
      <c r="AN458" s="115">
        <v>787.84800000000018</v>
      </c>
      <c r="AO458" s="115">
        <v>787.84800000000018</v>
      </c>
      <c r="AP458" s="116">
        <v>787.84800000000018</v>
      </c>
      <c r="AQ458" s="115">
        <v>787.84800000000018</v>
      </c>
      <c r="AR458" s="115">
        <v>787.84800000000018</v>
      </c>
      <c r="AS458" s="342">
        <v>787.84800000000018</v>
      </c>
      <c r="BT458" s="109"/>
      <c r="BU458" s="383"/>
      <c r="BV458" s="152"/>
    </row>
    <row r="459" spans="1:74" ht="12.75" customHeight="1" x14ac:dyDescent="0.2">
      <c r="A459" s="258"/>
      <c r="P459" s="507"/>
      <c r="Z459" s="258"/>
      <c r="AA459" s="509"/>
      <c r="AK459" s="217">
        <f t="shared" si="927"/>
        <v>54.1</v>
      </c>
      <c r="AL459" s="287">
        <v>1.2880952380952382</v>
      </c>
      <c r="AM459" s="247">
        <v>787.84800000000018</v>
      </c>
      <c r="AN459" s="109">
        <v>787.84800000000018</v>
      </c>
      <c r="AO459" s="109">
        <v>787.84800000000018</v>
      </c>
      <c r="AP459" s="114">
        <v>787.84800000000018</v>
      </c>
      <c r="AQ459" s="109">
        <v>787.84800000000018</v>
      </c>
      <c r="AR459" s="109">
        <v>787.84800000000018</v>
      </c>
      <c r="AS459" s="341">
        <v>787.84800000000018</v>
      </c>
      <c r="BT459" s="109"/>
      <c r="BU459" s="383"/>
      <c r="BV459" s="152"/>
    </row>
    <row r="460" spans="1:74" ht="12.75" customHeight="1" x14ac:dyDescent="0.2">
      <c r="A460" s="258"/>
      <c r="P460" s="507"/>
      <c r="Z460" s="258"/>
      <c r="AA460" s="509"/>
      <c r="AK460" s="217">
        <f t="shared" si="927"/>
        <v>64.099999999999994</v>
      </c>
      <c r="AL460" s="287">
        <v>1.5261904761904761</v>
      </c>
      <c r="AM460" s="247">
        <v>787.84800000000018</v>
      </c>
      <c r="AN460" s="109">
        <v>787.84800000000018</v>
      </c>
      <c r="AO460" s="109">
        <v>787.84800000000018</v>
      </c>
      <c r="AP460" s="114">
        <v>787.84800000000018</v>
      </c>
      <c r="AQ460" s="109">
        <v>787.84800000000018</v>
      </c>
      <c r="AR460" s="109">
        <v>787.84800000000018</v>
      </c>
      <c r="AS460" s="341">
        <v>787.84800000000018</v>
      </c>
      <c r="BT460" s="109"/>
      <c r="BU460" s="383"/>
      <c r="BV460" s="152"/>
    </row>
    <row r="461" spans="1:74" ht="12.75" customHeight="1" thickBot="1" x14ac:dyDescent="0.25">
      <c r="A461" s="258"/>
      <c r="P461" s="507"/>
      <c r="Z461" s="258"/>
      <c r="AA461" s="2"/>
      <c r="AK461" s="218">
        <f t="shared" si="927"/>
        <v>74.099999999999994</v>
      </c>
      <c r="AL461" s="298">
        <v>1.7642857142857142</v>
      </c>
      <c r="AM461" s="343">
        <v>787.84800000000018</v>
      </c>
      <c r="AN461" s="344">
        <v>787.84800000000018</v>
      </c>
      <c r="AO461" s="344">
        <v>787.84800000000018</v>
      </c>
      <c r="AP461" s="345">
        <v>787.84800000000018</v>
      </c>
      <c r="AQ461" s="344">
        <v>787.84800000000018</v>
      </c>
      <c r="AR461" s="344">
        <v>787.84800000000018</v>
      </c>
      <c r="AS461" s="346">
        <v>787.84800000000018</v>
      </c>
      <c r="BT461" s="21"/>
      <c r="BU461" s="364"/>
      <c r="BV461" s="152"/>
    </row>
    <row r="462" spans="1:74" ht="12.75" customHeight="1" x14ac:dyDescent="0.2">
      <c r="A462" s="258"/>
      <c r="P462" s="507"/>
      <c r="Z462" s="258"/>
      <c r="AA462" s="2"/>
      <c r="AK462" s="21"/>
      <c r="AL462" s="24"/>
      <c r="AM462" s="24"/>
      <c r="AN462" s="21"/>
      <c r="AO462" s="21"/>
      <c r="AP462" s="21"/>
      <c r="AQ462" s="21"/>
      <c r="AR462" s="21"/>
      <c r="AS462" s="21"/>
      <c r="BT462" s="21"/>
      <c r="BU462" s="364"/>
      <c r="BV462" s="152"/>
    </row>
    <row r="463" spans="1:74" ht="12.75" customHeight="1" thickBot="1" x14ac:dyDescent="0.25">
      <c r="A463" s="258"/>
      <c r="P463" s="507"/>
      <c r="Z463" s="258"/>
      <c r="AK463" s="21"/>
      <c r="AL463" s="21"/>
      <c r="AM463" s="21"/>
      <c r="AN463" s="21"/>
      <c r="AO463" s="21"/>
      <c r="AP463" s="21"/>
      <c r="AQ463" s="21"/>
      <c r="AR463" s="21"/>
      <c r="AS463" s="21"/>
      <c r="BT463" s="100"/>
      <c r="BU463" s="381"/>
      <c r="BV463" s="152"/>
    </row>
    <row r="464" spans="1:74" ht="12.75" customHeight="1" x14ac:dyDescent="0.2">
      <c r="A464" s="258"/>
      <c r="P464" s="507"/>
      <c r="Z464" s="258"/>
      <c r="AA464" s="508"/>
      <c r="AK464" s="927" t="str">
        <f>AJ415&amp;" EBITDAR Margin"</f>
        <v>2016 EBITDAR Margin</v>
      </c>
      <c r="AL464" s="928"/>
      <c r="AM464" s="928"/>
      <c r="AN464" s="928"/>
      <c r="AO464" s="928"/>
      <c r="AP464" s="928"/>
      <c r="AQ464" s="928"/>
      <c r="AR464" s="928"/>
      <c r="AS464" s="929"/>
      <c r="BT464" s="102"/>
      <c r="BU464" s="382"/>
      <c r="BV464" s="152"/>
    </row>
    <row r="465" spans="1:74" ht="12.75" customHeight="1" x14ac:dyDescent="0.2">
      <c r="A465" s="258"/>
      <c r="P465" s="507"/>
      <c r="Z465" s="258"/>
      <c r="AA465" s="508"/>
      <c r="AK465" s="351"/>
      <c r="AL465" s="101" t="s">
        <v>11</v>
      </c>
      <c r="AM465" s="244">
        <f>AN465-2%</f>
        <v>-0.06</v>
      </c>
      <c r="AN465" s="102">
        <f>AO465-2%</f>
        <v>-0.04</v>
      </c>
      <c r="AO465" s="102">
        <v>-0.02</v>
      </c>
      <c r="AP465" s="301" t="str">
        <f>AP452</f>
        <v>Cur. Est.*</v>
      </c>
      <c r="AQ465" s="102">
        <v>0.02</v>
      </c>
      <c r="AR465" s="102">
        <f>AQ465+2%</f>
        <v>0.04</v>
      </c>
      <c r="AS465" s="296">
        <f>AR465+2%</f>
        <v>0.06</v>
      </c>
      <c r="BT465" s="102"/>
      <c r="BU465" s="382"/>
      <c r="BV465" s="152"/>
    </row>
    <row r="466" spans="1:74" ht="12.75" customHeight="1" x14ac:dyDescent="0.2">
      <c r="A466" s="258"/>
      <c r="P466" s="507"/>
      <c r="Z466" s="258"/>
      <c r="AA466" s="510"/>
      <c r="AK466" s="350" t="s">
        <v>16</v>
      </c>
      <c r="AL466" s="347"/>
      <c r="AM466" s="245">
        <f>AN466-2%</f>
        <v>-0.27454621494103076</v>
      </c>
      <c r="AN466" s="110">
        <f>AO466-2%</f>
        <v>-0.25454621494103075</v>
      </c>
      <c r="AO466" s="110">
        <f>AP466-2%</f>
        <v>-0.23454621494103076</v>
      </c>
      <c r="AP466" s="303">
        <f>AP453</f>
        <v>-0.21454621494103077</v>
      </c>
      <c r="AQ466" s="110">
        <f>AP466+2%</f>
        <v>-0.19454621494103078</v>
      </c>
      <c r="AR466" s="110">
        <f>AQ466+2%</f>
        <v>-0.17454621494103079</v>
      </c>
      <c r="AS466" s="111">
        <f>AR466+2%</f>
        <v>-0.1545462149410308</v>
      </c>
      <c r="BT466" s="107"/>
      <c r="BU466" s="384"/>
      <c r="BV466" s="152"/>
    </row>
    <row r="467" spans="1:74" ht="12.75" customHeight="1" x14ac:dyDescent="0.2">
      <c r="A467" s="258"/>
      <c r="P467" s="507"/>
      <c r="Z467" s="258"/>
      <c r="AA467" s="509"/>
      <c r="AK467" s="97"/>
      <c r="AL467" s="24">
        <f>AY127</f>
        <v>0.33930358714807696</v>
      </c>
      <c r="AM467" s="107">
        <v>-0.35</v>
      </c>
      <c r="AN467" s="107">
        <v>-0.32333333333333336</v>
      </c>
      <c r="AO467" s="107">
        <v>-0.29666666666666669</v>
      </c>
      <c r="AP467" s="107">
        <v>-0.27</v>
      </c>
      <c r="AQ467" s="107">
        <v>-0.24333333333333335</v>
      </c>
      <c r="AR467" s="107">
        <v>-0.21666666666666667</v>
      </c>
      <c r="AS467" s="494">
        <v>-0.19000000000000003</v>
      </c>
      <c r="BT467" s="109"/>
      <c r="BU467" s="383"/>
      <c r="BV467" s="152"/>
    </row>
    <row r="468" spans="1:74" ht="12.75" customHeight="1" x14ac:dyDescent="0.2">
      <c r="A468" s="258"/>
      <c r="P468" s="507"/>
      <c r="Z468" s="258"/>
      <c r="AA468" s="509"/>
      <c r="AK468" s="217">
        <f t="shared" ref="AK468:AK474" si="928">AL468*42</f>
        <v>14.100000000000001</v>
      </c>
      <c r="AL468" s="287">
        <v>0.33571428571428574</v>
      </c>
      <c r="AM468" s="453">
        <f t="dataTable" ref="AM468:AS474" dt2D="1" dtr="0" r1="AU32" r2="AV70"/>
        <v>0.33930358714807696</v>
      </c>
      <c r="AN468" s="454">
        <v>0.33930358714807696</v>
      </c>
      <c r="AO468" s="454">
        <v>0.33930358714807696</v>
      </c>
      <c r="AP468" s="455">
        <v>0.33930358714807696</v>
      </c>
      <c r="AQ468" s="454">
        <v>0.33930358714807696</v>
      </c>
      <c r="AR468" s="454">
        <v>0.33930358714807696</v>
      </c>
      <c r="AS468" s="456">
        <v>0.33930358714807696</v>
      </c>
      <c r="BT468" s="109"/>
      <c r="BU468" s="383"/>
      <c r="BV468" s="152"/>
    </row>
    <row r="469" spans="1:74" ht="12.75" customHeight="1" x14ac:dyDescent="0.2">
      <c r="A469" s="258"/>
      <c r="P469" s="507"/>
      <c r="Z469" s="258"/>
      <c r="AA469" s="509"/>
      <c r="AK469" s="217">
        <f t="shared" si="928"/>
        <v>24.1</v>
      </c>
      <c r="AL469" s="287">
        <v>0.57380952380952388</v>
      </c>
      <c r="AM469" s="246">
        <v>0.33930358714807696</v>
      </c>
      <c r="AN469" s="107">
        <v>0.33930358714807696</v>
      </c>
      <c r="AO469" s="107">
        <v>0.33930358714807696</v>
      </c>
      <c r="AP469" s="457">
        <v>0.33930358714807696</v>
      </c>
      <c r="AQ469" s="107">
        <v>0.33930358714807696</v>
      </c>
      <c r="AR469" s="107">
        <v>0.33930358714807696</v>
      </c>
      <c r="AS469" s="458">
        <v>0.33930358714807696</v>
      </c>
      <c r="BT469" s="109"/>
      <c r="BU469" s="383"/>
      <c r="BV469" s="152"/>
    </row>
    <row r="470" spans="1:74" ht="12.75" customHeight="1" x14ac:dyDescent="0.2">
      <c r="A470" s="258"/>
      <c r="P470" s="507"/>
      <c r="Z470" s="258"/>
      <c r="AA470" s="509"/>
      <c r="AK470" s="217">
        <f t="shared" si="928"/>
        <v>34.1</v>
      </c>
      <c r="AL470" s="287">
        <v>0.81190476190476191</v>
      </c>
      <c r="AM470" s="246">
        <v>0.33930358714807696</v>
      </c>
      <c r="AN470" s="107">
        <v>0.33930358714807696</v>
      </c>
      <c r="AO470" s="107">
        <v>0.33930358714807696</v>
      </c>
      <c r="AP470" s="457">
        <v>0.33930358714807696</v>
      </c>
      <c r="AQ470" s="107">
        <v>0.33930358714807696</v>
      </c>
      <c r="AR470" s="107">
        <v>0.33930358714807696</v>
      </c>
      <c r="AS470" s="458">
        <v>0.33930358714807696</v>
      </c>
      <c r="BT470" s="109"/>
      <c r="BU470" s="383"/>
      <c r="BV470" s="152"/>
    </row>
    <row r="471" spans="1:74" ht="12.75" customHeight="1" x14ac:dyDescent="0.2">
      <c r="A471" s="258"/>
      <c r="P471" s="507"/>
      <c r="Z471" s="258"/>
      <c r="AA471" s="509"/>
      <c r="AK471" s="299">
        <f t="shared" si="928"/>
        <v>44.1</v>
      </c>
      <c r="AL471" s="300">
        <v>1.05</v>
      </c>
      <c r="AM471" s="459">
        <v>0.33930358714807696</v>
      </c>
      <c r="AN471" s="460">
        <v>0.33930358714807696</v>
      </c>
      <c r="AO471" s="460">
        <v>0.33930358714807696</v>
      </c>
      <c r="AP471" s="461">
        <v>0.33930358714807696</v>
      </c>
      <c r="AQ471" s="460">
        <v>0.33930358714807696</v>
      </c>
      <c r="AR471" s="460">
        <v>0.33930358714807696</v>
      </c>
      <c r="AS471" s="462">
        <v>0.33930358714807696</v>
      </c>
      <c r="BT471" s="109"/>
      <c r="BU471" s="383"/>
      <c r="BV471" s="152"/>
    </row>
    <row r="472" spans="1:74" ht="12.75" customHeight="1" x14ac:dyDescent="0.2">
      <c r="A472" s="258"/>
      <c r="P472" s="507"/>
      <c r="Z472" s="258"/>
      <c r="AA472" s="509"/>
      <c r="AK472" s="217">
        <f t="shared" si="928"/>
        <v>54.1</v>
      </c>
      <c r="AL472" s="287">
        <v>1.2880952380952382</v>
      </c>
      <c r="AM472" s="246">
        <v>0.33930358714807696</v>
      </c>
      <c r="AN472" s="107">
        <v>0.33930358714807696</v>
      </c>
      <c r="AO472" s="107">
        <v>0.33930358714807696</v>
      </c>
      <c r="AP472" s="457">
        <v>0.33930358714807696</v>
      </c>
      <c r="AQ472" s="107">
        <v>0.33930358714807696</v>
      </c>
      <c r="AR472" s="107">
        <v>0.33930358714807696</v>
      </c>
      <c r="AS472" s="458">
        <v>0.33930358714807696</v>
      </c>
      <c r="BT472" s="109"/>
      <c r="BU472" s="383"/>
      <c r="BV472" s="152"/>
    </row>
    <row r="473" spans="1:74" ht="12.75" customHeight="1" x14ac:dyDescent="0.2">
      <c r="A473" s="258"/>
      <c r="P473" s="507"/>
      <c r="Z473" s="258"/>
      <c r="AA473" s="509"/>
      <c r="AK473" s="217">
        <f t="shared" si="928"/>
        <v>64.099999999999994</v>
      </c>
      <c r="AL473" s="287">
        <v>1.5261904761904761</v>
      </c>
      <c r="AM473" s="246">
        <v>0.33930358714807696</v>
      </c>
      <c r="AN473" s="107">
        <v>0.33930358714807696</v>
      </c>
      <c r="AO473" s="107">
        <v>0.33930358714807696</v>
      </c>
      <c r="AP473" s="457">
        <v>0.33930358714807696</v>
      </c>
      <c r="AQ473" s="107">
        <v>0.33930358714807696</v>
      </c>
      <c r="AR473" s="107">
        <v>0.33930358714807696</v>
      </c>
      <c r="AS473" s="458">
        <v>0.33930358714807696</v>
      </c>
      <c r="BT473" s="109"/>
      <c r="BU473" s="383"/>
      <c r="BV473" s="152"/>
    </row>
    <row r="474" spans="1:74" ht="12.75" customHeight="1" thickBot="1" x14ac:dyDescent="0.25">
      <c r="A474" s="258"/>
      <c r="P474" s="507"/>
      <c r="S474" s="6"/>
      <c r="T474" s="2"/>
      <c r="U474" s="265"/>
      <c r="V474" s="265"/>
      <c r="W474" s="2"/>
      <c r="X474" s="2"/>
      <c r="Y474" s="2"/>
      <c r="Z474" s="2"/>
      <c r="AA474" s="2"/>
      <c r="AK474" s="218">
        <f t="shared" si="928"/>
        <v>74.099999999999994</v>
      </c>
      <c r="AL474" s="298">
        <v>1.7642857142857142</v>
      </c>
      <c r="AM474" s="463">
        <v>0.33930358714807696</v>
      </c>
      <c r="AN474" s="464">
        <v>0.33930358714807696</v>
      </c>
      <c r="AO474" s="464">
        <v>0.33930358714807696</v>
      </c>
      <c r="AP474" s="465">
        <v>0.33930358714807696</v>
      </c>
      <c r="AQ474" s="464">
        <v>0.33930358714807696</v>
      </c>
      <c r="AR474" s="464">
        <v>0.33930358714807696</v>
      </c>
      <c r="AS474" s="466">
        <v>0.33930358714807696</v>
      </c>
      <c r="AT474" s="21"/>
      <c r="AU474" s="21"/>
      <c r="AV474" s="21"/>
      <c r="AW474" s="21"/>
      <c r="AX474" s="21"/>
      <c r="AY474" s="21"/>
      <c r="BT474" s="21"/>
      <c r="BU474" s="364"/>
      <c r="BV474" s="152"/>
    </row>
    <row r="475" spans="1:74" ht="12.75" customHeight="1" x14ac:dyDescent="0.2">
      <c r="A475" s="258"/>
      <c r="P475" s="507"/>
      <c r="Z475" s="258"/>
      <c r="BV475" s="152"/>
    </row>
    <row r="476" spans="1:74" ht="12.75" customHeight="1" x14ac:dyDescent="0.2">
      <c r="A476" s="258"/>
      <c r="P476" s="507"/>
      <c r="Z476" s="258"/>
      <c r="BV476" s="152"/>
    </row>
    <row r="477" spans="1:74" ht="12.75" customHeight="1" x14ac:dyDescent="0.2">
      <c r="A477" s="258"/>
      <c r="P477" s="507"/>
      <c r="Z477" s="258"/>
      <c r="BV477" s="152"/>
    </row>
    <row r="478" spans="1:74" ht="12.75" customHeight="1" x14ac:dyDescent="0.2">
      <c r="A478" s="258"/>
      <c r="P478" s="507"/>
      <c r="Z478" s="258"/>
      <c r="BV478" s="152"/>
    </row>
    <row r="479" spans="1:74" ht="12.75" customHeight="1" x14ac:dyDescent="0.2">
      <c r="A479" s="258"/>
      <c r="P479" s="507"/>
      <c r="Z479" s="258"/>
      <c r="BV479" s="152"/>
    </row>
    <row r="480" spans="1:74" ht="12.75" customHeight="1" x14ac:dyDescent="0.2">
      <c r="A480" s="258"/>
      <c r="P480" s="507"/>
      <c r="Z480" s="258"/>
      <c r="BV480" s="152"/>
    </row>
    <row r="481" spans="1:74" ht="12.75" customHeight="1" x14ac:dyDescent="0.2">
      <c r="A481" s="258"/>
      <c r="P481" s="507"/>
      <c r="Z481" s="258"/>
      <c r="BV481" s="152"/>
    </row>
    <row r="482" spans="1:74" ht="12.75" customHeight="1" x14ac:dyDescent="0.2">
      <c r="A482" s="258"/>
      <c r="P482" s="507"/>
      <c r="Z482" s="258"/>
      <c r="BV482" s="152"/>
    </row>
    <row r="483" spans="1:74" ht="12.75" customHeight="1" x14ac:dyDescent="0.2">
      <c r="A483" s="258"/>
      <c r="P483" s="507"/>
      <c r="Z483" s="258"/>
      <c r="BV483" s="152"/>
    </row>
    <row r="484" spans="1:74" ht="12.75" customHeight="1" x14ac:dyDescent="0.2">
      <c r="A484" s="258"/>
      <c r="P484" s="507"/>
      <c r="Z484" s="258"/>
      <c r="BV484" s="152"/>
    </row>
    <row r="485" spans="1:74" ht="12.75" customHeight="1" x14ac:dyDescent="0.2">
      <c r="A485" s="258"/>
      <c r="P485" s="507"/>
      <c r="Z485" s="258"/>
      <c r="BV485" s="152"/>
    </row>
    <row r="486" spans="1:74" ht="12.75" customHeight="1" x14ac:dyDescent="0.2">
      <c r="A486" s="258"/>
      <c r="P486" s="507"/>
      <c r="Z486" s="258"/>
      <c r="BV486" s="152"/>
    </row>
    <row r="487" spans="1:74" ht="12.75" customHeight="1" x14ac:dyDescent="0.2">
      <c r="A487" s="258"/>
      <c r="P487" s="507"/>
      <c r="Z487" s="258"/>
      <c r="BV487" s="152"/>
    </row>
    <row r="488" spans="1:74" ht="12.75" customHeight="1" x14ac:dyDescent="0.2">
      <c r="A488" s="258"/>
      <c r="P488" s="507"/>
      <c r="Z488" s="258"/>
      <c r="BV488" s="152"/>
    </row>
    <row r="489" spans="1:74" ht="12.75" customHeight="1" x14ac:dyDescent="0.2">
      <c r="A489" s="258"/>
      <c r="P489" s="507"/>
      <c r="Z489" s="258"/>
      <c r="BV489" s="152"/>
    </row>
    <row r="490" spans="1:74" ht="12.75" customHeight="1" x14ac:dyDescent="0.2">
      <c r="A490" s="258"/>
      <c r="P490" s="507"/>
      <c r="Z490" s="258"/>
      <c r="BV490" s="152"/>
    </row>
    <row r="491" spans="1:74" ht="12.75" customHeight="1" x14ac:dyDescent="0.2">
      <c r="A491" s="258"/>
      <c r="P491" s="507"/>
      <c r="Z491" s="258"/>
      <c r="BV491" s="152"/>
    </row>
    <row r="492" spans="1:74" ht="12.75" customHeight="1" x14ac:dyDescent="0.2">
      <c r="A492" s="258"/>
      <c r="P492" s="507"/>
      <c r="Z492" s="258"/>
      <c r="BV492" s="152"/>
    </row>
    <row r="493" spans="1:74" ht="12.75" customHeight="1" x14ac:dyDescent="0.2">
      <c r="A493" s="258"/>
      <c r="P493" s="507"/>
      <c r="Z493" s="258"/>
      <c r="BV493" s="152"/>
    </row>
    <row r="494" spans="1:74" ht="12.75" customHeight="1" x14ac:dyDescent="0.2">
      <c r="A494" s="258"/>
      <c r="P494" s="507"/>
      <c r="Z494" s="258"/>
      <c r="BV494" s="152"/>
    </row>
    <row r="495" spans="1:74" ht="12.75" customHeight="1" x14ac:dyDescent="0.2">
      <c r="A495" s="258"/>
      <c r="P495" s="507"/>
      <c r="Z495" s="258"/>
      <c r="BV495" s="152"/>
    </row>
    <row r="496" spans="1:74" ht="12.75" customHeight="1" x14ac:dyDescent="0.2">
      <c r="A496" s="258"/>
      <c r="P496" s="507"/>
      <c r="Z496" s="258"/>
      <c r="BV496" s="152"/>
    </row>
    <row r="497" spans="1:74" ht="12.75" customHeight="1" x14ac:dyDescent="0.2">
      <c r="A497" s="258"/>
      <c r="P497" s="507"/>
      <c r="Z497" s="258"/>
      <c r="BV497" s="152"/>
    </row>
    <row r="498" spans="1:74" ht="12.75" customHeight="1" x14ac:dyDescent="0.2">
      <c r="A498" s="258"/>
      <c r="P498" s="507"/>
      <c r="Z498" s="258"/>
      <c r="BV498" s="152"/>
    </row>
    <row r="499" spans="1:74" ht="12.75" customHeight="1" x14ac:dyDescent="0.2">
      <c r="A499" s="258"/>
      <c r="P499" s="507"/>
      <c r="Z499" s="258"/>
      <c r="BV499" s="152"/>
    </row>
    <row r="500" spans="1:74" ht="12.75" customHeight="1" x14ac:dyDescent="0.2">
      <c r="A500" s="258"/>
      <c r="P500" s="507"/>
      <c r="Z500" s="258"/>
      <c r="BV500" s="152"/>
    </row>
    <row r="501" spans="1:74" ht="12.75" customHeight="1" x14ac:dyDescent="0.2">
      <c r="A501" s="258"/>
      <c r="P501" s="507"/>
      <c r="Z501" s="258"/>
      <c r="BV501" s="152"/>
    </row>
    <row r="502" spans="1:74" ht="12.75" customHeight="1" x14ac:dyDescent="0.2">
      <c r="A502" s="258"/>
      <c r="P502" s="507"/>
      <c r="Z502" s="258"/>
      <c r="BV502" s="152"/>
    </row>
    <row r="503" spans="1:74" ht="12.75" customHeight="1" x14ac:dyDescent="0.2">
      <c r="A503" s="258"/>
      <c r="P503" s="507"/>
      <c r="Z503" s="258"/>
      <c r="BV503" s="152"/>
    </row>
    <row r="504" spans="1:74" ht="12.75" customHeight="1" x14ac:dyDescent="0.2">
      <c r="A504" s="258"/>
      <c r="P504" s="507"/>
      <c r="Z504" s="258"/>
      <c r="BV504" s="152"/>
    </row>
    <row r="505" spans="1:74" ht="12.75" customHeight="1" x14ac:dyDescent="0.2">
      <c r="A505" s="258"/>
      <c r="P505" s="507"/>
      <c r="Z505" s="258"/>
      <c r="BV505" s="152"/>
    </row>
    <row r="506" spans="1:74" ht="12.75" customHeight="1" x14ac:dyDescent="0.2">
      <c r="A506" s="258"/>
      <c r="P506" s="507"/>
      <c r="Z506" s="258"/>
      <c r="BV506" s="152"/>
    </row>
    <row r="507" spans="1:74" ht="12.75" customHeight="1" x14ac:dyDescent="0.2">
      <c r="A507" s="258"/>
      <c r="P507" s="507"/>
      <c r="Z507" s="258"/>
      <c r="BV507" s="152"/>
    </row>
    <row r="508" spans="1:74" ht="12.75" customHeight="1" x14ac:dyDescent="0.2">
      <c r="A508" s="258"/>
      <c r="P508" s="507"/>
      <c r="Z508" s="258"/>
      <c r="BV508" s="152"/>
    </row>
    <row r="509" spans="1:74" ht="12.75" customHeight="1" x14ac:dyDescent="0.2">
      <c r="A509" s="258"/>
      <c r="P509" s="507"/>
      <c r="Z509" s="258"/>
      <c r="BV509" s="152"/>
    </row>
    <row r="510" spans="1:74" ht="12.75" customHeight="1" x14ac:dyDescent="0.2">
      <c r="A510" s="258"/>
      <c r="P510" s="507"/>
      <c r="Z510" s="258"/>
      <c r="BV510" s="152"/>
    </row>
    <row r="511" spans="1:74" ht="12.75" customHeight="1" x14ac:dyDescent="0.2">
      <c r="A511" s="258"/>
      <c r="P511" s="507"/>
      <c r="Z511" s="258"/>
      <c r="BV511" s="152"/>
    </row>
    <row r="512" spans="1:74" ht="12.75" customHeight="1" x14ac:dyDescent="0.2">
      <c r="A512" s="258"/>
      <c r="P512" s="507"/>
      <c r="Z512" s="258"/>
      <c r="BV512" s="152"/>
    </row>
    <row r="513" spans="1:74" ht="12.75" customHeight="1" x14ac:dyDescent="0.2">
      <c r="A513" s="258"/>
      <c r="P513" s="507"/>
      <c r="Z513" s="258"/>
      <c r="BV513" s="152"/>
    </row>
    <row r="514" spans="1:74" ht="12.75" customHeight="1" x14ac:dyDescent="0.2">
      <c r="A514" s="258"/>
      <c r="P514" s="507"/>
      <c r="Z514" s="258"/>
      <c r="BV514" s="152"/>
    </row>
    <row r="515" spans="1:74" ht="12.75" customHeight="1" x14ac:dyDescent="0.2">
      <c r="A515" s="258"/>
      <c r="P515" s="507"/>
      <c r="Z515" s="258"/>
      <c r="BV515" s="152"/>
    </row>
    <row r="516" spans="1:74" ht="12.75" customHeight="1" x14ac:dyDescent="0.2">
      <c r="A516" s="258"/>
      <c r="P516" s="507"/>
      <c r="Z516" s="258"/>
      <c r="BV516" s="152"/>
    </row>
    <row r="517" spans="1:74" ht="12.75" customHeight="1" x14ac:dyDescent="0.2">
      <c r="A517" s="258"/>
      <c r="P517" s="507"/>
      <c r="Z517" s="258"/>
      <c r="BV517" s="152"/>
    </row>
    <row r="518" spans="1:74" ht="12.75" customHeight="1" x14ac:dyDescent="0.2">
      <c r="A518" s="258"/>
      <c r="P518" s="507"/>
      <c r="Z518" s="258"/>
      <c r="BV518" s="152"/>
    </row>
    <row r="519" spans="1:74" ht="12.75" customHeight="1" x14ac:dyDescent="0.2">
      <c r="A519" s="258"/>
      <c r="P519" s="507"/>
      <c r="Z519" s="258"/>
      <c r="BV519" s="152"/>
    </row>
    <row r="520" spans="1:74" ht="12.75" customHeight="1" x14ac:dyDescent="0.2">
      <c r="A520" s="258"/>
      <c r="P520" s="507"/>
      <c r="Z520" s="258"/>
      <c r="BV520" s="152"/>
    </row>
    <row r="521" spans="1:74" ht="12.75" customHeight="1" x14ac:dyDescent="0.2">
      <c r="A521" s="258"/>
      <c r="P521" s="507"/>
      <c r="Z521" s="258"/>
      <c r="BV521" s="152"/>
    </row>
    <row r="522" spans="1:74" ht="12.75" customHeight="1" x14ac:dyDescent="0.2">
      <c r="A522" s="258"/>
      <c r="P522" s="507"/>
      <c r="Z522" s="258"/>
      <c r="BV522" s="152"/>
    </row>
    <row r="523" spans="1:74" ht="12.75" customHeight="1" x14ac:dyDescent="0.2">
      <c r="A523" s="258"/>
      <c r="P523" s="507"/>
      <c r="Z523" s="258"/>
      <c r="BV523" s="152"/>
    </row>
    <row r="524" spans="1:74" ht="12.75" customHeight="1" x14ac:dyDescent="0.2">
      <c r="A524" s="258"/>
      <c r="P524" s="507"/>
      <c r="Z524" s="258"/>
      <c r="BV524" s="152"/>
    </row>
    <row r="525" spans="1:74" ht="12.75" customHeight="1" x14ac:dyDescent="0.2">
      <c r="A525" s="258"/>
      <c r="P525" s="507"/>
      <c r="Z525" s="258"/>
      <c r="BV525" s="152"/>
    </row>
    <row r="526" spans="1:74" ht="12.75" customHeight="1" x14ac:dyDescent="0.2">
      <c r="A526" s="258"/>
      <c r="P526" s="507"/>
      <c r="Z526" s="258"/>
      <c r="BV526" s="152"/>
    </row>
    <row r="527" spans="1:74" ht="12.75" customHeight="1" x14ac:dyDescent="0.2">
      <c r="A527" s="258"/>
      <c r="P527" s="507"/>
      <c r="Z527" s="258"/>
      <c r="BV527" s="152"/>
    </row>
    <row r="528" spans="1:74" ht="12.75" customHeight="1" x14ac:dyDescent="0.2">
      <c r="A528" s="258"/>
      <c r="P528" s="507"/>
      <c r="Z528" s="258"/>
      <c r="BV528" s="152"/>
    </row>
    <row r="529" spans="1:74" ht="12.75" customHeight="1" x14ac:dyDescent="0.2">
      <c r="A529" s="258"/>
      <c r="P529" s="507"/>
      <c r="Z529" s="258"/>
      <c r="BV529" s="152"/>
    </row>
    <row r="530" spans="1:74" ht="12.75" customHeight="1" x14ac:dyDescent="0.2">
      <c r="A530" s="258"/>
      <c r="P530" s="507"/>
      <c r="Z530" s="258"/>
      <c r="BV530" s="152"/>
    </row>
    <row r="531" spans="1:74" ht="12.75" customHeight="1" x14ac:dyDescent="0.2">
      <c r="A531" s="258"/>
      <c r="P531" s="507"/>
      <c r="Z531" s="258"/>
      <c r="BV531" s="152"/>
    </row>
    <row r="532" spans="1:74" ht="12.75" customHeight="1" x14ac:dyDescent="0.2">
      <c r="A532" s="258"/>
      <c r="P532" s="507"/>
      <c r="Z532" s="258"/>
      <c r="BV532" s="152"/>
    </row>
    <row r="533" spans="1:74" ht="12.75" customHeight="1" x14ac:dyDescent="0.2">
      <c r="A533" s="258"/>
      <c r="P533" s="507"/>
      <c r="Z533" s="258"/>
      <c r="BV533" s="152"/>
    </row>
    <row r="534" spans="1:74" ht="12.75" customHeight="1" x14ac:dyDescent="0.2">
      <c r="A534" s="258"/>
      <c r="P534" s="507"/>
      <c r="Z534" s="258"/>
      <c r="BV534" s="152"/>
    </row>
    <row r="535" spans="1:74" ht="12.75" customHeight="1" x14ac:dyDescent="0.2">
      <c r="A535" s="258"/>
      <c r="P535" s="507"/>
      <c r="Z535" s="258"/>
      <c r="BV535" s="152"/>
    </row>
    <row r="536" spans="1:74" ht="12.75" customHeight="1" x14ac:dyDescent="0.2">
      <c r="A536" s="258"/>
      <c r="P536" s="507"/>
      <c r="Z536" s="258"/>
      <c r="BV536" s="152"/>
    </row>
    <row r="537" spans="1:74" ht="12.75" customHeight="1" x14ac:dyDescent="0.2">
      <c r="A537" s="258"/>
      <c r="P537" s="507"/>
      <c r="Z537" s="258"/>
      <c r="BV537" s="152"/>
    </row>
    <row r="538" spans="1:74" ht="12.75" customHeight="1" x14ac:dyDescent="0.2">
      <c r="A538" s="258"/>
      <c r="P538" s="507"/>
      <c r="Z538" s="258"/>
      <c r="BV538" s="152"/>
    </row>
    <row r="539" spans="1:74" ht="12.75" customHeight="1" x14ac:dyDescent="0.2">
      <c r="A539" s="258"/>
      <c r="P539" s="507"/>
      <c r="Z539" s="258"/>
      <c r="BV539" s="152"/>
    </row>
    <row r="540" spans="1:74" ht="12.75" customHeight="1" x14ac:dyDescent="0.2">
      <c r="A540" s="258"/>
      <c r="P540" s="507"/>
      <c r="Z540" s="258"/>
      <c r="BV540" s="152"/>
    </row>
    <row r="541" spans="1:74" ht="12.75" customHeight="1" x14ac:dyDescent="0.2">
      <c r="A541" s="258"/>
      <c r="P541" s="507"/>
      <c r="Z541" s="258"/>
      <c r="BV541" s="152"/>
    </row>
    <row r="542" spans="1:74" ht="12.75" customHeight="1" x14ac:dyDescent="0.2">
      <c r="A542" s="258"/>
      <c r="P542" s="507"/>
      <c r="Z542" s="258"/>
      <c r="BV542" s="152"/>
    </row>
    <row r="543" spans="1:74" ht="12.75" customHeight="1" x14ac:dyDescent="0.2">
      <c r="A543" s="258"/>
      <c r="P543" s="507"/>
      <c r="Z543" s="258"/>
      <c r="BV543" s="152"/>
    </row>
    <row r="544" spans="1:74" ht="12.75" customHeight="1" x14ac:dyDescent="0.2">
      <c r="A544" s="258"/>
      <c r="P544" s="507"/>
      <c r="Z544" s="258"/>
      <c r="BV544" s="152"/>
    </row>
    <row r="545" spans="1:74" ht="12.75" customHeight="1" x14ac:dyDescent="0.2">
      <c r="A545" s="258"/>
      <c r="P545" s="507"/>
      <c r="Z545" s="258"/>
      <c r="BV545" s="152"/>
    </row>
    <row r="546" spans="1:74" ht="12.75" customHeight="1" x14ac:dyDescent="0.2">
      <c r="A546" s="258"/>
      <c r="P546" s="507"/>
      <c r="Z546" s="258"/>
      <c r="BV546" s="152"/>
    </row>
    <row r="547" spans="1:74" ht="12.75" customHeight="1" x14ac:dyDescent="0.2">
      <c r="A547" s="258"/>
      <c r="P547" s="507"/>
      <c r="Z547" s="258"/>
      <c r="BV547" s="152"/>
    </row>
    <row r="548" spans="1:74" ht="12.75" customHeight="1" x14ac:dyDescent="0.2">
      <c r="A548" s="258"/>
      <c r="P548" s="507"/>
      <c r="Z548" s="258"/>
      <c r="BV548" s="152"/>
    </row>
    <row r="549" spans="1:74" ht="12.75" customHeight="1" x14ac:dyDescent="0.2">
      <c r="A549" s="258"/>
      <c r="P549" s="507"/>
      <c r="Z549" s="258"/>
      <c r="BV549" s="152"/>
    </row>
    <row r="550" spans="1:74" ht="12.75" customHeight="1" x14ac:dyDescent="0.2">
      <c r="A550" s="258"/>
      <c r="P550" s="507"/>
      <c r="Z550" s="258"/>
      <c r="BV550" s="152"/>
    </row>
    <row r="551" spans="1:74" ht="12.75" customHeight="1" x14ac:dyDescent="0.2">
      <c r="A551" s="258"/>
      <c r="P551" s="507"/>
      <c r="Z551" s="258"/>
      <c r="BV551" s="152"/>
    </row>
    <row r="552" spans="1:74" ht="12.75" customHeight="1" x14ac:dyDescent="0.2">
      <c r="A552" s="258"/>
      <c r="P552" s="507"/>
      <c r="Z552" s="258"/>
      <c r="BV552" s="152"/>
    </row>
    <row r="553" spans="1:74" ht="12.75" customHeight="1" x14ac:dyDescent="0.2">
      <c r="A553" s="258"/>
      <c r="P553" s="507"/>
      <c r="Z553" s="258"/>
      <c r="BV553" s="152"/>
    </row>
    <row r="554" spans="1:74" ht="12.75" customHeight="1" x14ac:dyDescent="0.2">
      <c r="A554" s="258"/>
      <c r="P554" s="507"/>
      <c r="Z554" s="258"/>
      <c r="BV554" s="152"/>
    </row>
    <row r="555" spans="1:74" ht="12.75" customHeight="1" x14ac:dyDescent="0.2">
      <c r="A555" s="258"/>
      <c r="P555" s="507"/>
      <c r="Z555" s="258"/>
      <c r="BV555" s="152"/>
    </row>
    <row r="556" spans="1:74" ht="12.75" customHeight="1" x14ac:dyDescent="0.2">
      <c r="A556" s="258"/>
      <c r="P556" s="507"/>
      <c r="Z556" s="258"/>
      <c r="BV556" s="152"/>
    </row>
    <row r="557" spans="1:74" ht="12.75" customHeight="1" x14ac:dyDescent="0.2">
      <c r="A557" s="258"/>
      <c r="P557" s="507"/>
      <c r="Z557" s="258"/>
      <c r="BV557" s="152"/>
    </row>
    <row r="558" spans="1:74" ht="12.75" customHeight="1" x14ac:dyDescent="0.2">
      <c r="A558" s="258"/>
      <c r="P558" s="507"/>
      <c r="Z558" s="258"/>
      <c r="BV558" s="152"/>
    </row>
    <row r="559" spans="1:74" ht="12.75" customHeight="1" x14ac:dyDescent="0.2">
      <c r="A559" s="258"/>
      <c r="P559" s="507"/>
      <c r="Z559" s="258"/>
      <c r="BV559" s="152"/>
    </row>
    <row r="560" spans="1:74" ht="12.75" customHeight="1" x14ac:dyDescent="0.2">
      <c r="A560" s="258"/>
      <c r="P560" s="507"/>
      <c r="Z560" s="258"/>
      <c r="BV560" s="152"/>
    </row>
    <row r="561" spans="1:74" ht="12.75" customHeight="1" x14ac:dyDescent="0.2">
      <c r="A561" s="258"/>
      <c r="P561" s="507"/>
      <c r="Z561" s="258"/>
      <c r="BV561" s="152"/>
    </row>
    <row r="562" spans="1:74" ht="12.75" customHeight="1" x14ac:dyDescent="0.2">
      <c r="A562" s="258"/>
      <c r="P562" s="507"/>
      <c r="Z562" s="258"/>
      <c r="BV562" s="152"/>
    </row>
    <row r="563" spans="1:74" ht="12.75" customHeight="1" x14ac:dyDescent="0.2">
      <c r="A563" s="258"/>
      <c r="P563" s="507"/>
      <c r="Z563" s="258"/>
      <c r="BV563" s="152"/>
    </row>
    <row r="564" spans="1:74" ht="12.75" customHeight="1" x14ac:dyDescent="0.2">
      <c r="A564" s="258"/>
      <c r="P564" s="507"/>
      <c r="Z564" s="258"/>
      <c r="BV564" s="152"/>
    </row>
    <row r="565" spans="1:74" ht="12.75" customHeight="1" x14ac:dyDescent="0.2">
      <c r="A565" s="258"/>
      <c r="P565" s="507"/>
      <c r="Z565" s="258"/>
      <c r="BV565" s="152"/>
    </row>
    <row r="566" spans="1:74" ht="12.75" customHeight="1" x14ac:dyDescent="0.2">
      <c r="A566" s="258"/>
      <c r="P566" s="507"/>
      <c r="Z566" s="258"/>
      <c r="BV566" s="152"/>
    </row>
    <row r="567" spans="1:74" ht="12.75" customHeight="1" x14ac:dyDescent="0.2">
      <c r="A567" s="258"/>
      <c r="P567" s="507"/>
      <c r="Z567" s="258"/>
      <c r="BV567" s="152"/>
    </row>
    <row r="568" spans="1:74" ht="12.75" customHeight="1" x14ac:dyDescent="0.2">
      <c r="A568" s="258"/>
      <c r="P568" s="507"/>
      <c r="Z568" s="258"/>
      <c r="BV568" s="152"/>
    </row>
    <row r="569" spans="1:74" ht="12.75" customHeight="1" x14ac:dyDescent="0.2">
      <c r="A569" s="258"/>
      <c r="P569" s="507"/>
      <c r="Z569" s="258"/>
      <c r="BV569" s="152"/>
    </row>
    <row r="570" spans="1:74" ht="12.75" customHeight="1" x14ac:dyDescent="0.2">
      <c r="A570" s="258"/>
      <c r="P570" s="507"/>
      <c r="Z570" s="258"/>
      <c r="BV570" s="152"/>
    </row>
    <row r="571" spans="1:74" ht="12.75" customHeight="1" x14ac:dyDescent="0.2">
      <c r="A571" s="258"/>
      <c r="P571" s="507"/>
      <c r="Z571" s="258"/>
      <c r="BV571" s="152"/>
    </row>
    <row r="572" spans="1:74" ht="12.75" customHeight="1" x14ac:dyDescent="0.2">
      <c r="A572" s="258"/>
      <c r="P572" s="507"/>
      <c r="Z572" s="258"/>
      <c r="BV572" s="152"/>
    </row>
    <row r="573" spans="1:74" ht="12.75" customHeight="1" x14ac:dyDescent="0.2">
      <c r="A573" s="258"/>
      <c r="P573" s="507"/>
      <c r="Z573" s="258"/>
      <c r="BV573" s="152"/>
    </row>
    <row r="574" spans="1:74" ht="12.75" customHeight="1" x14ac:dyDescent="0.2">
      <c r="A574" s="258"/>
      <c r="P574" s="507"/>
      <c r="Z574" s="258"/>
      <c r="BV574" s="152"/>
    </row>
    <row r="575" spans="1:74" ht="12.75" customHeight="1" x14ac:dyDescent="0.2">
      <c r="A575" s="258"/>
      <c r="P575" s="507"/>
      <c r="Z575" s="258"/>
      <c r="BV575" s="152"/>
    </row>
    <row r="576" spans="1:74" ht="12.75" customHeight="1" x14ac:dyDescent="0.2">
      <c r="A576" s="258"/>
      <c r="P576" s="507"/>
      <c r="Z576" s="258"/>
      <c r="BV576" s="152"/>
    </row>
    <row r="577" spans="1:74" ht="12.75" customHeight="1" x14ac:dyDescent="0.2">
      <c r="A577" s="258"/>
      <c r="P577" s="507"/>
      <c r="Z577" s="258"/>
      <c r="BV577" s="152"/>
    </row>
    <row r="578" spans="1:74" ht="12.75" customHeight="1" x14ac:dyDescent="0.2">
      <c r="A578" s="258"/>
      <c r="P578" s="507"/>
      <c r="Z578" s="258"/>
      <c r="BV578" s="152"/>
    </row>
    <row r="579" spans="1:74" ht="12.75" customHeight="1" x14ac:dyDescent="0.2">
      <c r="A579" s="258"/>
      <c r="P579" s="507"/>
      <c r="Z579" s="258"/>
      <c r="BV579" s="152"/>
    </row>
    <row r="580" spans="1:74" ht="12.75" customHeight="1" x14ac:dyDescent="0.2">
      <c r="A580" s="258"/>
      <c r="P580" s="507"/>
      <c r="Z580" s="258"/>
      <c r="BV580" s="152"/>
    </row>
    <row r="581" spans="1:74" ht="12.75" customHeight="1" x14ac:dyDescent="0.2">
      <c r="A581" s="258"/>
      <c r="P581" s="507"/>
      <c r="Z581" s="258"/>
      <c r="BV581" s="152"/>
    </row>
    <row r="582" spans="1:74" ht="12.75" customHeight="1" x14ac:dyDescent="0.2">
      <c r="A582" s="258"/>
      <c r="P582" s="507"/>
      <c r="Z582" s="258"/>
      <c r="BV582" s="152"/>
    </row>
    <row r="583" spans="1:74" ht="12.75" customHeight="1" x14ac:dyDescent="0.2">
      <c r="A583" s="258"/>
      <c r="P583" s="507"/>
      <c r="Z583" s="258"/>
      <c r="BV583" s="152"/>
    </row>
    <row r="584" spans="1:74" ht="12.75" customHeight="1" x14ac:dyDescent="0.2">
      <c r="A584" s="258"/>
      <c r="P584" s="507"/>
      <c r="Z584" s="258"/>
      <c r="BV584" s="152"/>
    </row>
    <row r="585" spans="1:74" ht="12.75" customHeight="1" x14ac:dyDescent="0.2">
      <c r="A585" s="258"/>
      <c r="P585" s="507"/>
      <c r="Z585" s="258"/>
      <c r="BV585" s="152"/>
    </row>
    <row r="586" spans="1:74" ht="12.75" customHeight="1" x14ac:dyDescent="0.2">
      <c r="A586" s="258"/>
      <c r="P586" s="507"/>
      <c r="Z586" s="258"/>
      <c r="BV586" s="152"/>
    </row>
    <row r="587" spans="1:74" ht="12.75" customHeight="1" x14ac:dyDescent="0.2">
      <c r="A587" s="258"/>
      <c r="P587" s="507"/>
      <c r="Z587" s="258"/>
      <c r="BV587" s="152"/>
    </row>
    <row r="588" spans="1:74" ht="12.75" customHeight="1" x14ac:dyDescent="0.2">
      <c r="A588" s="258"/>
      <c r="P588" s="507"/>
      <c r="Z588" s="258"/>
      <c r="BV588" s="152"/>
    </row>
    <row r="589" spans="1:74" ht="12.75" customHeight="1" x14ac:dyDescent="0.2">
      <c r="A589" s="258"/>
      <c r="P589" s="507"/>
      <c r="Z589" s="258"/>
      <c r="BV589" s="152"/>
    </row>
    <row r="590" spans="1:74" ht="12.75" customHeight="1" x14ac:dyDescent="0.2">
      <c r="A590" s="258"/>
      <c r="P590" s="507"/>
      <c r="Z590" s="258"/>
      <c r="BV590" s="152"/>
    </row>
    <row r="591" spans="1:74" ht="12.75" customHeight="1" x14ac:dyDescent="0.2">
      <c r="A591" s="258"/>
      <c r="P591" s="507"/>
      <c r="Z591" s="258"/>
      <c r="BV591" s="152"/>
    </row>
    <row r="592" spans="1:74" ht="12.75" customHeight="1" x14ac:dyDescent="0.2">
      <c r="A592" s="258"/>
      <c r="P592" s="507"/>
      <c r="Z592" s="258"/>
      <c r="BV592" s="152"/>
    </row>
    <row r="593" spans="1:74" ht="12.75" customHeight="1" x14ac:dyDescent="0.2">
      <c r="A593" s="258"/>
      <c r="P593" s="507"/>
      <c r="Z593" s="258"/>
      <c r="BV593" s="152"/>
    </row>
    <row r="594" spans="1:74" ht="12.75" customHeight="1" x14ac:dyDescent="0.2">
      <c r="A594" s="258"/>
      <c r="P594" s="507"/>
      <c r="Z594" s="258"/>
      <c r="BV594" s="152"/>
    </row>
    <row r="595" spans="1:74" ht="12.75" customHeight="1" x14ac:dyDescent="0.2">
      <c r="A595" s="258"/>
      <c r="P595" s="507"/>
      <c r="Z595" s="258"/>
      <c r="BV595" s="152"/>
    </row>
    <row r="596" spans="1:74" ht="12.75" customHeight="1" x14ac:dyDescent="0.2">
      <c r="A596" s="258"/>
      <c r="P596" s="507"/>
      <c r="Z596" s="258"/>
      <c r="BV596" s="152"/>
    </row>
    <row r="597" spans="1:74" ht="12.75" customHeight="1" x14ac:dyDescent="0.2">
      <c r="A597" s="258"/>
      <c r="P597" s="507"/>
      <c r="Z597" s="258"/>
      <c r="BV597" s="152"/>
    </row>
    <row r="598" spans="1:74" ht="12.75" customHeight="1" x14ac:dyDescent="0.2">
      <c r="A598" s="258"/>
      <c r="P598" s="507"/>
      <c r="Z598" s="258"/>
      <c r="BV598" s="152"/>
    </row>
    <row r="599" spans="1:74" ht="12.75" customHeight="1" x14ac:dyDescent="0.2">
      <c r="A599" s="258"/>
      <c r="P599" s="507"/>
      <c r="Z599" s="258"/>
      <c r="BV599" s="152"/>
    </row>
    <row r="600" spans="1:74" ht="12.75" customHeight="1" x14ac:dyDescent="0.2">
      <c r="A600" s="258"/>
      <c r="P600" s="507"/>
      <c r="Z600" s="258"/>
      <c r="BV600" s="152"/>
    </row>
    <row r="601" spans="1:74" ht="12.75" customHeight="1" x14ac:dyDescent="0.2">
      <c r="A601" s="258"/>
      <c r="P601" s="507"/>
      <c r="Z601" s="258"/>
      <c r="BV601" s="152"/>
    </row>
    <row r="602" spans="1:74" ht="12.75" customHeight="1" x14ac:dyDescent="0.2">
      <c r="A602" s="258"/>
      <c r="P602" s="507"/>
      <c r="Z602" s="258"/>
      <c r="BV602" s="152"/>
    </row>
    <row r="603" spans="1:74" ht="12.75" customHeight="1" x14ac:dyDescent="0.2">
      <c r="A603" s="258"/>
      <c r="P603" s="507"/>
      <c r="Z603" s="258"/>
      <c r="BV603" s="152"/>
    </row>
    <row r="604" spans="1:74" ht="12.75" customHeight="1" x14ac:dyDescent="0.2">
      <c r="A604" s="258"/>
      <c r="P604" s="507"/>
      <c r="Z604" s="258"/>
      <c r="BV604" s="152"/>
    </row>
    <row r="605" spans="1:74" ht="12.75" customHeight="1" x14ac:dyDescent="0.2">
      <c r="A605" s="258"/>
      <c r="P605" s="507"/>
      <c r="Z605" s="258"/>
      <c r="BV605" s="152"/>
    </row>
    <row r="606" spans="1:74" ht="12.75" customHeight="1" x14ac:dyDescent="0.2">
      <c r="A606" s="258"/>
      <c r="P606" s="507"/>
      <c r="Z606" s="258"/>
      <c r="BV606" s="152"/>
    </row>
    <row r="607" spans="1:74" ht="12.75" customHeight="1" x14ac:dyDescent="0.2">
      <c r="A607" s="258"/>
      <c r="P607" s="507"/>
      <c r="Z607" s="258"/>
      <c r="BV607" s="152"/>
    </row>
    <row r="608" spans="1:74" ht="12.75" customHeight="1" x14ac:dyDescent="0.2">
      <c r="A608" s="258"/>
      <c r="P608" s="507"/>
      <c r="Z608" s="258"/>
      <c r="BV608" s="152"/>
    </row>
    <row r="609" spans="1:74" ht="12.75" customHeight="1" x14ac:dyDescent="0.2">
      <c r="A609" s="258"/>
      <c r="P609" s="507"/>
      <c r="Z609" s="258"/>
      <c r="BV609" s="152"/>
    </row>
    <row r="610" spans="1:74" ht="12.75" customHeight="1" x14ac:dyDescent="0.2">
      <c r="A610" s="258"/>
      <c r="P610" s="507"/>
      <c r="Z610" s="258"/>
      <c r="BV610" s="152"/>
    </row>
    <row r="611" spans="1:74" ht="12.75" customHeight="1" x14ac:dyDescent="0.2">
      <c r="A611" s="258"/>
      <c r="P611" s="507"/>
      <c r="Z611" s="258"/>
      <c r="BV611" s="152"/>
    </row>
    <row r="612" spans="1:74" ht="12.75" customHeight="1" x14ac:dyDescent="0.2">
      <c r="A612" s="258"/>
      <c r="P612" s="507"/>
      <c r="Z612" s="258"/>
      <c r="BV612" s="152"/>
    </row>
    <row r="613" spans="1:74" ht="12.75" customHeight="1" x14ac:dyDescent="0.2">
      <c r="A613" s="258"/>
      <c r="P613" s="507"/>
      <c r="Z613" s="258"/>
      <c r="BV613" s="152"/>
    </row>
    <row r="614" spans="1:74" ht="12.75" customHeight="1" x14ac:dyDescent="0.2">
      <c r="A614" s="258"/>
      <c r="P614" s="507"/>
      <c r="Z614" s="258"/>
      <c r="BV614" s="152"/>
    </row>
    <row r="615" spans="1:74" ht="12.75" customHeight="1" x14ac:dyDescent="0.2">
      <c r="A615" s="258"/>
      <c r="P615" s="507"/>
      <c r="Z615" s="258"/>
      <c r="BV615" s="152"/>
    </row>
    <row r="616" spans="1:74" ht="12.75" customHeight="1" x14ac:dyDescent="0.2">
      <c r="A616" s="258"/>
      <c r="P616" s="507"/>
      <c r="Z616" s="258"/>
      <c r="BV616" s="152"/>
    </row>
    <row r="617" spans="1:74" ht="12.75" customHeight="1" x14ac:dyDescent="0.2">
      <c r="A617" s="258"/>
      <c r="P617" s="507"/>
      <c r="Z617" s="258"/>
      <c r="BV617" s="152"/>
    </row>
    <row r="618" spans="1:74" ht="12.75" customHeight="1" x14ac:dyDescent="0.2">
      <c r="A618" s="258"/>
      <c r="P618" s="507"/>
      <c r="Z618" s="258"/>
      <c r="BV618" s="152"/>
    </row>
    <row r="619" spans="1:74" ht="12.75" customHeight="1" x14ac:dyDescent="0.2">
      <c r="A619" s="258"/>
      <c r="P619" s="507"/>
      <c r="Z619" s="258"/>
      <c r="BV619" s="152"/>
    </row>
    <row r="620" spans="1:74" ht="12.75" customHeight="1" x14ac:dyDescent="0.2">
      <c r="A620" s="258"/>
      <c r="P620" s="507"/>
      <c r="Z620" s="258"/>
      <c r="BV620" s="152"/>
    </row>
    <row r="621" spans="1:74" ht="12.75" customHeight="1" x14ac:dyDescent="0.2">
      <c r="A621" s="258"/>
      <c r="P621" s="507"/>
      <c r="Z621" s="258"/>
      <c r="BV621" s="152"/>
    </row>
    <row r="622" spans="1:74" ht="12.75" customHeight="1" x14ac:dyDescent="0.2">
      <c r="A622" s="258"/>
      <c r="P622" s="507"/>
      <c r="Z622" s="258"/>
      <c r="BV622" s="152"/>
    </row>
    <row r="623" spans="1:74" ht="12.75" customHeight="1" x14ac:dyDescent="0.2">
      <c r="A623" s="258"/>
      <c r="P623" s="507"/>
      <c r="Z623" s="258"/>
      <c r="BV623" s="152"/>
    </row>
    <row r="624" spans="1:74" ht="12.75" customHeight="1" x14ac:dyDescent="0.2">
      <c r="A624" s="258"/>
      <c r="P624" s="507"/>
      <c r="Z624" s="258"/>
      <c r="BV624" s="152"/>
    </row>
    <row r="625" spans="1:74" ht="12.75" customHeight="1" x14ac:dyDescent="0.2">
      <c r="A625" s="258"/>
      <c r="P625" s="507"/>
      <c r="Z625" s="258"/>
      <c r="BV625" s="152"/>
    </row>
    <row r="626" spans="1:74" ht="12.75" customHeight="1" x14ac:dyDescent="0.2">
      <c r="A626" s="258"/>
      <c r="P626" s="507"/>
      <c r="Z626" s="258"/>
      <c r="BV626" s="152"/>
    </row>
    <row r="627" spans="1:74" ht="12.75" customHeight="1" x14ac:dyDescent="0.2">
      <c r="A627" s="258"/>
      <c r="P627" s="507"/>
      <c r="Z627" s="258"/>
      <c r="BV627" s="152"/>
    </row>
    <row r="628" spans="1:74" ht="12.75" customHeight="1" x14ac:dyDescent="0.2">
      <c r="A628" s="258"/>
      <c r="P628" s="507"/>
      <c r="Z628" s="258"/>
      <c r="BV628" s="152"/>
    </row>
    <row r="629" spans="1:74" ht="12.75" customHeight="1" x14ac:dyDescent="0.2">
      <c r="A629" s="258"/>
      <c r="P629" s="507"/>
      <c r="Z629" s="258"/>
      <c r="BV629" s="152"/>
    </row>
    <row r="630" spans="1:74" ht="12.75" customHeight="1" x14ac:dyDescent="0.2">
      <c r="A630" s="258"/>
      <c r="P630" s="507"/>
      <c r="Z630" s="258"/>
      <c r="BV630" s="152"/>
    </row>
    <row r="631" spans="1:74" ht="12.75" customHeight="1" x14ac:dyDescent="0.2">
      <c r="A631" s="258"/>
      <c r="P631" s="507"/>
      <c r="Z631" s="258"/>
      <c r="BV631" s="152"/>
    </row>
    <row r="632" spans="1:74" ht="12.75" customHeight="1" x14ac:dyDescent="0.2">
      <c r="A632" s="258"/>
      <c r="P632" s="507"/>
      <c r="Z632" s="258"/>
      <c r="BV632" s="152"/>
    </row>
    <row r="633" spans="1:74" ht="12.75" customHeight="1" x14ac:dyDescent="0.2">
      <c r="A633" s="258"/>
      <c r="P633" s="507"/>
      <c r="Z633" s="258"/>
      <c r="BV633" s="152"/>
    </row>
    <row r="634" spans="1:74" ht="12.75" customHeight="1" x14ac:dyDescent="0.2">
      <c r="A634" s="258"/>
      <c r="P634" s="507"/>
      <c r="Z634" s="258"/>
      <c r="BV634" s="152"/>
    </row>
    <row r="635" spans="1:74" ht="12.75" customHeight="1" x14ac:dyDescent="0.2">
      <c r="A635" s="258"/>
      <c r="P635" s="507"/>
      <c r="Z635" s="258"/>
      <c r="BV635" s="152"/>
    </row>
    <row r="636" spans="1:74" ht="12.75" customHeight="1" x14ac:dyDescent="0.2">
      <c r="A636" s="258"/>
      <c r="P636" s="507"/>
      <c r="Z636" s="258"/>
      <c r="BV636" s="152"/>
    </row>
    <row r="637" spans="1:74" ht="12.75" customHeight="1" x14ac:dyDescent="0.2">
      <c r="A637" s="258"/>
      <c r="P637" s="507"/>
      <c r="Z637" s="258"/>
      <c r="BV637" s="152"/>
    </row>
    <row r="638" spans="1:74" ht="12.75" customHeight="1" x14ac:dyDescent="0.2">
      <c r="A638" s="258" t="s">
        <v>354</v>
      </c>
      <c r="P638" s="507"/>
      <c r="Z638" s="258"/>
      <c r="BV638" s="152"/>
    </row>
    <row r="639" spans="1:74" ht="12.75" customHeight="1" x14ac:dyDescent="0.2">
      <c r="A639" s="258" t="s">
        <v>355</v>
      </c>
      <c r="P639" s="507"/>
      <c r="Z639" s="258"/>
      <c r="BV639" s="152"/>
    </row>
    <row r="640" spans="1:74" ht="12.75" customHeight="1" x14ac:dyDescent="0.2">
      <c r="A640" s="258" t="s">
        <v>356</v>
      </c>
      <c r="P640" s="507"/>
      <c r="Z640" s="258"/>
      <c r="BV640" s="152"/>
    </row>
    <row r="641" spans="1:74" ht="12.75" customHeight="1" x14ac:dyDescent="0.2">
      <c r="A641" s="258"/>
      <c r="P641" s="507"/>
      <c r="Z641" s="258"/>
      <c r="BV641" s="152"/>
    </row>
    <row r="642" spans="1:74" ht="12.75" customHeight="1" x14ac:dyDescent="0.2">
      <c r="A642" s="258"/>
      <c r="P642" s="507"/>
      <c r="Z642" s="258"/>
      <c r="BV642" s="152"/>
    </row>
    <row r="643" spans="1:74" ht="12.75" customHeight="1" x14ac:dyDescent="0.2">
      <c r="A643" s="258"/>
      <c r="P643" s="507"/>
      <c r="Z643" s="258"/>
      <c r="BV643" s="152"/>
    </row>
    <row r="644" spans="1:74" ht="12.75" customHeight="1" x14ac:dyDescent="0.2">
      <c r="A644" s="258"/>
      <c r="P644" s="507"/>
      <c r="Z644" s="258"/>
      <c r="BV644" s="152"/>
    </row>
    <row r="645" spans="1:74" ht="12.75" customHeight="1" x14ac:dyDescent="0.2">
      <c r="A645" s="258"/>
      <c r="P645" s="507"/>
      <c r="Z645" s="258"/>
      <c r="BV645" s="152"/>
    </row>
    <row r="646" spans="1:74" ht="12.75" customHeight="1" x14ac:dyDescent="0.2">
      <c r="A646" s="258"/>
      <c r="P646" s="507"/>
      <c r="Z646" s="258"/>
      <c r="BV646" s="152"/>
    </row>
    <row r="647" spans="1:74" ht="12.75" customHeight="1" x14ac:dyDescent="0.2">
      <c r="A647" s="258"/>
      <c r="P647" s="507"/>
      <c r="Z647" s="258"/>
      <c r="BV647" s="152"/>
    </row>
    <row r="648" spans="1:74" ht="12.75" customHeight="1" x14ac:dyDescent="0.2">
      <c r="A648" s="258"/>
      <c r="P648" s="507"/>
      <c r="Z648" s="258"/>
      <c r="BV648" s="152"/>
    </row>
    <row r="649" spans="1:74" ht="12.75" customHeight="1" x14ac:dyDescent="0.2">
      <c r="A649" s="258"/>
      <c r="P649" s="507"/>
      <c r="Z649" s="258"/>
      <c r="BV649" s="152"/>
    </row>
    <row r="650" spans="1:74" ht="12.75" customHeight="1" x14ac:dyDescent="0.2">
      <c r="A650" s="258"/>
      <c r="P650" s="507"/>
      <c r="Z650" s="258"/>
      <c r="BV650" s="152"/>
    </row>
    <row r="651" spans="1:74" ht="12.75" customHeight="1" x14ac:dyDescent="0.2">
      <c r="A651" s="258"/>
      <c r="P651" s="507"/>
      <c r="Z651" s="258"/>
      <c r="BV651" s="152"/>
    </row>
    <row r="652" spans="1:74" ht="12.75" customHeight="1" x14ac:dyDescent="0.2">
      <c r="A652" s="258"/>
      <c r="P652" s="507"/>
      <c r="Z652" s="258"/>
      <c r="BV652" s="152"/>
    </row>
    <row r="653" spans="1:74" ht="12.75" customHeight="1" x14ac:dyDescent="0.2">
      <c r="A653" s="258"/>
      <c r="P653" s="507"/>
      <c r="Z653" s="258"/>
      <c r="BV653" s="152"/>
    </row>
    <row r="654" spans="1:74" ht="12.75" customHeight="1" x14ac:dyDescent="0.2">
      <c r="A654" s="258"/>
      <c r="P654" s="507"/>
      <c r="Z654" s="258"/>
      <c r="BV654" s="152"/>
    </row>
    <row r="655" spans="1:74" ht="12.75" customHeight="1" x14ac:dyDescent="0.2">
      <c r="A655" s="258"/>
      <c r="P655" s="507"/>
      <c r="Z655" s="258"/>
      <c r="BV655" s="152"/>
    </row>
    <row r="656" spans="1:74" ht="12.75" customHeight="1" x14ac:dyDescent="0.2">
      <c r="A656" s="258"/>
      <c r="P656" s="507"/>
      <c r="Z656" s="258"/>
      <c r="BV656" s="152"/>
    </row>
    <row r="657" spans="1:74" ht="12.75" customHeight="1" x14ac:dyDescent="0.2">
      <c r="A657" s="258"/>
      <c r="P657" s="507"/>
      <c r="Z657" s="258"/>
      <c r="BV657" s="152"/>
    </row>
    <row r="658" spans="1:74" ht="12.75" customHeight="1" x14ac:dyDescent="0.2">
      <c r="A658" s="258"/>
      <c r="P658" s="507"/>
      <c r="Z658" s="258"/>
      <c r="BV658" s="152"/>
    </row>
    <row r="659" spans="1:74" ht="12.75" customHeight="1" x14ac:dyDescent="0.2">
      <c r="A659" s="258"/>
      <c r="P659" s="507"/>
      <c r="Z659" s="258"/>
      <c r="BV659" s="152"/>
    </row>
    <row r="660" spans="1:74" ht="12.75" customHeight="1" x14ac:dyDescent="0.2">
      <c r="A660" s="258"/>
      <c r="P660" s="507"/>
      <c r="Z660" s="258"/>
      <c r="BV660" s="152"/>
    </row>
    <row r="661" spans="1:74" ht="12.75" customHeight="1" x14ac:dyDescent="0.2">
      <c r="A661" s="258"/>
      <c r="P661" s="507"/>
      <c r="Z661" s="258"/>
      <c r="BV661" s="152"/>
    </row>
    <row r="662" spans="1:74" ht="12.75" customHeight="1" x14ac:dyDescent="0.2">
      <c r="A662" s="258"/>
      <c r="P662" s="507"/>
      <c r="Z662" s="258"/>
      <c r="BV662" s="152"/>
    </row>
    <row r="663" spans="1:74" ht="12.75" customHeight="1" x14ac:dyDescent="0.2">
      <c r="A663" s="258"/>
      <c r="P663" s="507"/>
      <c r="Z663" s="258"/>
      <c r="BV663" s="152"/>
    </row>
    <row r="664" spans="1:74" ht="12.75" customHeight="1" x14ac:dyDescent="0.2">
      <c r="A664" s="258"/>
      <c r="P664" s="507"/>
      <c r="Z664" s="258"/>
      <c r="BV664" s="152"/>
    </row>
    <row r="665" spans="1:74" ht="12.75" customHeight="1" x14ac:dyDescent="0.2">
      <c r="A665" s="258"/>
      <c r="P665" s="507"/>
      <c r="Z665" s="258"/>
      <c r="BV665" s="152"/>
    </row>
    <row r="666" spans="1:74" ht="12.75" customHeight="1" x14ac:dyDescent="0.2">
      <c r="A666" s="258"/>
      <c r="P666" s="507"/>
      <c r="Z666" s="258"/>
      <c r="BV666" s="152"/>
    </row>
    <row r="667" spans="1:74" ht="12.75" customHeight="1" x14ac:dyDescent="0.2">
      <c r="A667" s="258"/>
      <c r="P667" s="507"/>
      <c r="Z667" s="258"/>
      <c r="BV667" s="152"/>
    </row>
    <row r="668" spans="1:74" ht="12.75" customHeight="1" x14ac:dyDescent="0.2">
      <c r="A668" s="258"/>
      <c r="P668" s="507"/>
      <c r="Z668" s="258"/>
      <c r="BV668" s="152"/>
    </row>
    <row r="669" spans="1:74" ht="12.75" customHeight="1" x14ac:dyDescent="0.2">
      <c r="A669" s="258"/>
      <c r="P669" s="507"/>
      <c r="Z669" s="258"/>
      <c r="BV669" s="152"/>
    </row>
    <row r="670" spans="1:74" ht="12.75" customHeight="1" x14ac:dyDescent="0.2">
      <c r="A670" s="258"/>
      <c r="P670" s="507"/>
      <c r="Z670" s="258"/>
      <c r="BV670" s="152"/>
    </row>
    <row r="671" spans="1:74" ht="12.75" customHeight="1" x14ac:dyDescent="0.2">
      <c r="A671" s="258"/>
      <c r="P671" s="507"/>
      <c r="Z671" s="258"/>
      <c r="BV671" s="152"/>
    </row>
    <row r="672" spans="1:74" ht="12.75" customHeight="1" x14ac:dyDescent="0.2">
      <c r="A672" s="258"/>
      <c r="P672" s="507"/>
      <c r="Z672" s="258"/>
      <c r="BV672" s="152"/>
    </row>
    <row r="673" spans="1:74" ht="12.75" customHeight="1" x14ac:dyDescent="0.2">
      <c r="A673" s="258"/>
      <c r="P673" s="507"/>
      <c r="Z673" s="258"/>
      <c r="BV673" s="152"/>
    </row>
    <row r="674" spans="1:74" ht="12.75" customHeight="1" x14ac:dyDescent="0.2">
      <c r="A674" s="258"/>
      <c r="P674" s="507"/>
      <c r="Z674" s="258"/>
      <c r="BV674" s="152"/>
    </row>
    <row r="675" spans="1:74" ht="12.75" customHeight="1" x14ac:dyDescent="0.2">
      <c r="A675" s="258"/>
      <c r="P675" s="507"/>
      <c r="Z675" s="258"/>
      <c r="BV675" s="152"/>
    </row>
    <row r="676" spans="1:74" ht="12.75" customHeight="1" x14ac:dyDescent="0.2">
      <c r="A676" s="258"/>
      <c r="P676" s="507"/>
      <c r="Z676" s="258"/>
      <c r="BV676" s="152"/>
    </row>
    <row r="677" spans="1:74" ht="12.75" customHeight="1" x14ac:dyDescent="0.2">
      <c r="A677" s="258"/>
      <c r="P677" s="507"/>
      <c r="Z677" s="258"/>
      <c r="BV677" s="152"/>
    </row>
    <row r="678" spans="1:74" ht="12.75" customHeight="1" x14ac:dyDescent="0.2">
      <c r="A678" s="258"/>
      <c r="P678" s="507"/>
      <c r="Z678" s="258"/>
      <c r="BV678" s="152"/>
    </row>
    <row r="679" spans="1:74" ht="12.75" customHeight="1" x14ac:dyDescent="0.2">
      <c r="A679" s="258"/>
      <c r="P679" s="507"/>
      <c r="Z679" s="258"/>
      <c r="BV679" s="152"/>
    </row>
    <row r="680" spans="1:74" ht="12.75" customHeight="1" x14ac:dyDescent="0.2">
      <c r="A680" s="258"/>
      <c r="P680" s="507"/>
      <c r="Z680" s="258"/>
      <c r="BV680" s="152"/>
    </row>
    <row r="681" spans="1:74" ht="12.75" customHeight="1" x14ac:dyDescent="0.2">
      <c r="A681" s="258"/>
      <c r="P681" s="507"/>
      <c r="Z681" s="258"/>
      <c r="BV681" s="152"/>
    </row>
    <row r="682" spans="1:74" ht="12.75" customHeight="1" x14ac:dyDescent="0.2">
      <c r="A682" s="258"/>
      <c r="P682" s="507"/>
      <c r="Z682" s="258"/>
      <c r="BV682" s="152"/>
    </row>
    <row r="683" spans="1:74" ht="12.75" customHeight="1" x14ac:dyDescent="0.2">
      <c r="A683" s="258"/>
      <c r="P683" s="507"/>
      <c r="Z683" s="258"/>
      <c r="BV683" s="152"/>
    </row>
    <row r="684" spans="1:74" ht="12.75" customHeight="1" x14ac:dyDescent="0.2">
      <c r="A684" s="258"/>
      <c r="P684" s="507"/>
      <c r="Z684" s="258"/>
      <c r="BV684" s="152"/>
    </row>
    <row r="685" spans="1:74" ht="12.75" customHeight="1" x14ac:dyDescent="0.2">
      <c r="A685" s="258"/>
      <c r="P685" s="507"/>
      <c r="Z685" s="258"/>
      <c r="BV685" s="152"/>
    </row>
    <row r="686" spans="1:74" ht="12.75" customHeight="1" x14ac:dyDescent="0.2">
      <c r="A686" s="258"/>
      <c r="P686" s="507"/>
      <c r="Z686" s="258"/>
      <c r="BV686" s="152"/>
    </row>
    <row r="687" spans="1:74" ht="12.75" customHeight="1" x14ac:dyDescent="0.2">
      <c r="A687" s="258"/>
      <c r="P687" s="507"/>
      <c r="Z687" s="258"/>
      <c r="BV687" s="152"/>
    </row>
    <row r="688" spans="1:74" ht="12.75" customHeight="1" x14ac:dyDescent="0.2">
      <c r="A688" s="258"/>
      <c r="P688" s="507"/>
      <c r="Z688" s="258"/>
      <c r="BV688" s="152"/>
    </row>
    <row r="689" spans="1:74" ht="12.75" customHeight="1" x14ac:dyDescent="0.2">
      <c r="A689" s="258"/>
      <c r="P689" s="507"/>
      <c r="Z689" s="258"/>
      <c r="BV689" s="152"/>
    </row>
    <row r="690" spans="1:74" ht="12.75" customHeight="1" x14ac:dyDescent="0.2">
      <c r="A690" s="258"/>
      <c r="P690" s="507"/>
      <c r="Z690" s="258"/>
      <c r="BV690" s="152"/>
    </row>
    <row r="691" spans="1:74" ht="12.75" customHeight="1" x14ac:dyDescent="0.2">
      <c r="A691" s="258"/>
      <c r="P691" s="507"/>
      <c r="Z691" s="258"/>
      <c r="BV691" s="152"/>
    </row>
    <row r="692" spans="1:74" ht="12.75" customHeight="1" x14ac:dyDescent="0.2">
      <c r="A692" s="258"/>
      <c r="P692" s="507"/>
      <c r="Z692" s="258"/>
      <c r="BV692" s="152"/>
    </row>
    <row r="693" spans="1:74" ht="12.75" customHeight="1" x14ac:dyDescent="0.2">
      <c r="A693" s="258"/>
      <c r="P693" s="507"/>
      <c r="Z693" s="258"/>
      <c r="BV693" s="152"/>
    </row>
    <row r="694" spans="1:74" ht="12.75" customHeight="1" x14ac:dyDescent="0.2">
      <c r="A694" s="258"/>
      <c r="P694" s="507"/>
      <c r="Z694" s="258"/>
      <c r="BV694" s="152"/>
    </row>
    <row r="695" spans="1:74" ht="12.75" customHeight="1" x14ac:dyDescent="0.2">
      <c r="A695" s="258"/>
      <c r="P695" s="507"/>
      <c r="Z695" s="258"/>
      <c r="BV695" s="152"/>
    </row>
    <row r="696" spans="1:74" ht="12.75" customHeight="1" x14ac:dyDescent="0.2">
      <c r="A696" s="258"/>
      <c r="P696" s="507"/>
      <c r="Z696" s="258"/>
      <c r="BV696" s="152"/>
    </row>
    <row r="697" spans="1:74" ht="12.75" customHeight="1" x14ac:dyDescent="0.2">
      <c r="A697" s="258"/>
      <c r="P697" s="507"/>
      <c r="Z697" s="258"/>
      <c r="BV697" s="152"/>
    </row>
    <row r="698" spans="1:74" ht="12.75" customHeight="1" x14ac:dyDescent="0.2">
      <c r="A698" s="258"/>
      <c r="Z698" s="258"/>
    </row>
    <row r="699" spans="1:74" ht="12.75" customHeight="1" x14ac:dyDescent="0.2">
      <c r="A699" s="258"/>
      <c r="Z699" s="258"/>
    </row>
    <row r="700" spans="1:74" ht="12.75" customHeight="1" x14ac:dyDescent="0.2">
      <c r="A700" s="258"/>
      <c r="Z700" s="258"/>
    </row>
    <row r="701" spans="1:74" ht="12.75" customHeight="1" x14ac:dyDescent="0.2">
      <c r="A701" s="258"/>
      <c r="Z701" s="258"/>
    </row>
    <row r="702" spans="1:74" ht="12.75" customHeight="1" x14ac:dyDescent="0.2">
      <c r="A702" s="258"/>
      <c r="Z702" s="258"/>
    </row>
    <row r="703" spans="1:74" ht="12.75" customHeight="1" x14ac:dyDescent="0.2">
      <c r="A703" s="258"/>
      <c r="Z703" s="258"/>
    </row>
    <row r="704" spans="1:74" ht="12.75" customHeight="1" x14ac:dyDescent="0.2">
      <c r="A704" s="258"/>
      <c r="Z704" s="258"/>
    </row>
    <row r="705" spans="1:26" ht="12.75" customHeight="1" x14ac:dyDescent="0.2">
      <c r="A705" s="258"/>
      <c r="Z705" s="258"/>
    </row>
    <row r="706" spans="1:26" ht="12.75" customHeight="1" x14ac:dyDescent="0.2">
      <c r="A706" s="258"/>
      <c r="Z706" s="258"/>
    </row>
    <row r="707" spans="1:26" ht="12.75" customHeight="1" x14ac:dyDescent="0.2">
      <c r="A707" s="258"/>
      <c r="Z707" s="258"/>
    </row>
    <row r="708" spans="1:26" ht="12.75" customHeight="1" x14ac:dyDescent="0.2">
      <c r="A708" s="258"/>
      <c r="Z708" s="258"/>
    </row>
    <row r="709" spans="1:26" ht="12.75" customHeight="1" x14ac:dyDescent="0.2">
      <c r="A709" s="258"/>
      <c r="Z709" s="258"/>
    </row>
    <row r="710" spans="1:26" ht="12.75" customHeight="1" x14ac:dyDescent="0.2">
      <c r="A710" s="258"/>
      <c r="Z710" s="258"/>
    </row>
    <row r="711" spans="1:26" ht="12.75" customHeight="1" x14ac:dyDescent="0.2">
      <c r="A711" s="258"/>
      <c r="Z711" s="258"/>
    </row>
    <row r="712" spans="1:26" ht="12.75" customHeight="1" x14ac:dyDescent="0.2">
      <c r="A712" s="258"/>
      <c r="Z712" s="258"/>
    </row>
    <row r="713" spans="1:26" ht="12.75" customHeight="1" x14ac:dyDescent="0.2">
      <c r="A713" s="258"/>
      <c r="Z713" s="258"/>
    </row>
    <row r="714" spans="1:26" ht="12.75" customHeight="1" x14ac:dyDescent="0.2">
      <c r="A714" s="258"/>
      <c r="Z714" s="258"/>
    </row>
    <row r="715" spans="1:26" ht="12.75" customHeight="1" x14ac:dyDescent="0.2">
      <c r="A715" s="258"/>
      <c r="Z715" s="258"/>
    </row>
    <row r="716" spans="1:26" ht="12.75" customHeight="1" x14ac:dyDescent="0.2">
      <c r="A716" s="258"/>
      <c r="Z716" s="258"/>
    </row>
    <row r="717" spans="1:26" ht="12.75" customHeight="1" x14ac:dyDescent="0.2">
      <c r="A717" s="258"/>
      <c r="Z717" s="258"/>
    </row>
    <row r="718" spans="1:26" ht="12.75" customHeight="1" x14ac:dyDescent="0.2">
      <c r="A718" s="258"/>
      <c r="Z718" s="258"/>
    </row>
    <row r="719" spans="1:26" ht="12.75" customHeight="1" x14ac:dyDescent="0.2">
      <c r="A719" s="258"/>
      <c r="Z719" s="258"/>
    </row>
    <row r="720" spans="1:26" ht="12.75" customHeight="1" x14ac:dyDescent="0.2">
      <c r="A720" s="258"/>
      <c r="Z720" s="258"/>
    </row>
    <row r="721" spans="1:26" ht="12.75" customHeight="1" x14ac:dyDescent="0.2">
      <c r="A721" s="258"/>
      <c r="Z721" s="258"/>
    </row>
    <row r="722" spans="1:26" ht="12.75" customHeight="1" x14ac:dyDescent="0.2">
      <c r="A722" s="258"/>
      <c r="Z722" s="258"/>
    </row>
    <row r="723" spans="1:26" ht="12.75" customHeight="1" x14ac:dyDescent="0.2">
      <c r="A723" s="258"/>
      <c r="Z723" s="258"/>
    </row>
    <row r="724" spans="1:26" ht="12.75" customHeight="1" x14ac:dyDescent="0.2">
      <c r="A724" s="258"/>
      <c r="Z724" s="258"/>
    </row>
    <row r="725" spans="1:26" ht="12.75" customHeight="1" x14ac:dyDescent="0.2">
      <c r="A725" s="258"/>
      <c r="Z725" s="258"/>
    </row>
    <row r="726" spans="1:26" ht="12.75" customHeight="1" x14ac:dyDescent="0.2">
      <c r="A726" s="258"/>
      <c r="Z726" s="258"/>
    </row>
    <row r="727" spans="1:26" ht="12.75" customHeight="1" x14ac:dyDescent="0.2">
      <c r="A727" s="258"/>
      <c r="Z727" s="258"/>
    </row>
    <row r="728" spans="1:26" ht="12.75" customHeight="1" x14ac:dyDescent="0.2">
      <c r="A728" s="258"/>
      <c r="Z728" s="258"/>
    </row>
    <row r="729" spans="1:26" ht="12.75" customHeight="1" x14ac:dyDescent="0.2">
      <c r="A729" s="258"/>
      <c r="Z729" s="258"/>
    </row>
    <row r="730" spans="1:26" ht="12.75" customHeight="1" x14ac:dyDescent="0.2">
      <c r="A730" s="258"/>
      <c r="Z730" s="258"/>
    </row>
    <row r="731" spans="1:26" ht="12.75" customHeight="1" x14ac:dyDescent="0.2">
      <c r="A731" s="258"/>
      <c r="Z731" s="258"/>
    </row>
    <row r="732" spans="1:26" ht="12.75" customHeight="1" x14ac:dyDescent="0.2">
      <c r="A732" s="258"/>
      <c r="Z732" s="258"/>
    </row>
    <row r="733" spans="1:26" ht="12.75" customHeight="1" x14ac:dyDescent="0.2">
      <c r="A733" s="258"/>
      <c r="Z733" s="258"/>
    </row>
    <row r="734" spans="1:26" ht="12.75" customHeight="1" x14ac:dyDescent="0.2">
      <c r="A734" s="258"/>
      <c r="Z734" s="258"/>
    </row>
    <row r="735" spans="1:26" ht="12.75" customHeight="1" x14ac:dyDescent="0.2">
      <c r="A735" s="258"/>
      <c r="Z735" s="258"/>
    </row>
    <row r="736" spans="1:26" ht="12.75" customHeight="1" x14ac:dyDescent="0.2">
      <c r="A736" s="258"/>
      <c r="Z736" s="258"/>
    </row>
    <row r="737" spans="1:26" ht="12.75" customHeight="1" x14ac:dyDescent="0.2">
      <c r="A737" s="258"/>
      <c r="Z737" s="258"/>
    </row>
    <row r="738" spans="1:26" ht="12.75" customHeight="1" x14ac:dyDescent="0.2">
      <c r="A738" s="258"/>
      <c r="Z738" s="258"/>
    </row>
    <row r="739" spans="1:26" ht="12.75" customHeight="1" x14ac:dyDescent="0.2">
      <c r="A739" s="258"/>
      <c r="Z739" s="258"/>
    </row>
    <row r="740" spans="1:26" ht="12.75" customHeight="1" x14ac:dyDescent="0.2">
      <c r="A740" s="258"/>
      <c r="Z740" s="258"/>
    </row>
    <row r="741" spans="1:26" ht="12.75" customHeight="1" x14ac:dyDescent="0.2">
      <c r="A741" s="258"/>
      <c r="Z741" s="258"/>
    </row>
    <row r="742" spans="1:26" ht="12.75" customHeight="1" x14ac:dyDescent="0.2">
      <c r="A742" s="258"/>
      <c r="Z742" s="258"/>
    </row>
    <row r="743" spans="1:26" ht="12.75" customHeight="1" x14ac:dyDescent="0.2">
      <c r="A743" s="258"/>
      <c r="Z743" s="258"/>
    </row>
    <row r="744" spans="1:26" ht="12.75" customHeight="1" x14ac:dyDescent="0.2">
      <c r="A744" s="258"/>
      <c r="Z744" s="258"/>
    </row>
    <row r="745" spans="1:26" ht="12.75" customHeight="1" x14ac:dyDescent="0.2">
      <c r="A745" s="258"/>
      <c r="Z745" s="258"/>
    </row>
    <row r="746" spans="1:26" ht="12.75" customHeight="1" x14ac:dyDescent="0.2">
      <c r="A746" s="258"/>
      <c r="Z746" s="258"/>
    </row>
    <row r="747" spans="1:26" ht="12.75" customHeight="1" x14ac:dyDescent="0.2">
      <c r="A747" s="258"/>
      <c r="Z747" s="258"/>
    </row>
    <row r="748" spans="1:26" ht="12.75" customHeight="1" x14ac:dyDescent="0.2">
      <c r="A748" s="258"/>
      <c r="Z748" s="258"/>
    </row>
    <row r="749" spans="1:26" ht="12.75" customHeight="1" x14ac:dyDescent="0.2">
      <c r="A749" s="258"/>
      <c r="Z749" s="258"/>
    </row>
    <row r="750" spans="1:26" ht="12.75" customHeight="1" x14ac:dyDescent="0.2">
      <c r="A750" s="258"/>
      <c r="Z750" s="258"/>
    </row>
    <row r="751" spans="1:26" ht="12.75" customHeight="1" x14ac:dyDescent="0.2">
      <c r="A751" s="258"/>
      <c r="Z751" s="258"/>
    </row>
    <row r="752" spans="1:26" ht="12.75" customHeight="1" x14ac:dyDescent="0.2">
      <c r="A752" s="258"/>
      <c r="Z752" s="258"/>
    </row>
    <row r="753" spans="1:26" ht="12.75" customHeight="1" x14ac:dyDescent="0.2">
      <c r="A753" s="258"/>
      <c r="Z753" s="258"/>
    </row>
    <row r="754" spans="1:26" ht="12.75" customHeight="1" x14ac:dyDescent="0.2">
      <c r="A754" s="258"/>
      <c r="Z754" s="258"/>
    </row>
    <row r="755" spans="1:26" ht="12.75" customHeight="1" x14ac:dyDescent="0.2">
      <c r="A755" s="258"/>
      <c r="Z755" s="258"/>
    </row>
    <row r="756" spans="1:26" ht="12.75" customHeight="1" x14ac:dyDescent="0.2">
      <c r="A756" s="258"/>
      <c r="Z756" s="258"/>
    </row>
    <row r="757" spans="1:26" ht="12.75" customHeight="1" x14ac:dyDescent="0.2">
      <c r="A757" s="258"/>
      <c r="Z757" s="258"/>
    </row>
    <row r="758" spans="1:26" ht="12.75" customHeight="1" x14ac:dyDescent="0.2">
      <c r="A758" s="258"/>
      <c r="Z758" s="258"/>
    </row>
    <row r="759" spans="1:26" ht="12.75" customHeight="1" x14ac:dyDescent="0.2">
      <c r="A759" s="258"/>
      <c r="Z759" s="258"/>
    </row>
    <row r="760" spans="1:26" ht="12.75" customHeight="1" x14ac:dyDescent="0.2">
      <c r="A760" s="258"/>
      <c r="Z760" s="258"/>
    </row>
    <row r="761" spans="1:26" ht="12.75" customHeight="1" x14ac:dyDescent="0.2">
      <c r="A761" s="258"/>
      <c r="Z761" s="258"/>
    </row>
    <row r="762" spans="1:26" ht="12.75" customHeight="1" x14ac:dyDescent="0.2">
      <c r="A762" s="258"/>
      <c r="Z762" s="258"/>
    </row>
    <row r="763" spans="1:26" ht="12.75" customHeight="1" x14ac:dyDescent="0.2">
      <c r="A763" s="258"/>
      <c r="Z763" s="258"/>
    </row>
    <row r="764" spans="1:26" ht="12.75" customHeight="1" x14ac:dyDescent="0.2">
      <c r="A764" s="258"/>
      <c r="Z764" s="258"/>
    </row>
    <row r="765" spans="1:26" ht="12.75" customHeight="1" x14ac:dyDescent="0.2">
      <c r="A765" s="258"/>
      <c r="Z765" s="258"/>
    </row>
    <row r="766" spans="1:26" ht="12.75" customHeight="1" x14ac:dyDescent="0.2">
      <c r="A766" s="258"/>
      <c r="Z766" s="258"/>
    </row>
    <row r="767" spans="1:26" ht="12.75" customHeight="1" x14ac:dyDescent="0.2">
      <c r="A767" s="258"/>
      <c r="Z767" s="258"/>
    </row>
    <row r="768" spans="1:26" ht="12.75" customHeight="1" x14ac:dyDescent="0.2">
      <c r="A768" s="258"/>
      <c r="Z768" s="258"/>
    </row>
    <row r="769" spans="1:26" ht="12.75" customHeight="1" x14ac:dyDescent="0.2">
      <c r="A769" s="258"/>
      <c r="Z769" s="258"/>
    </row>
    <row r="770" spans="1:26" ht="12.75" customHeight="1" x14ac:dyDescent="0.2">
      <c r="A770" s="258"/>
      <c r="Z770" s="258"/>
    </row>
    <row r="771" spans="1:26" ht="12.75" customHeight="1" x14ac:dyDescent="0.2">
      <c r="A771" s="258"/>
      <c r="Z771" s="258"/>
    </row>
    <row r="772" spans="1:26" ht="12.75" customHeight="1" x14ac:dyDescent="0.2">
      <c r="A772" s="258"/>
      <c r="Z772" s="258"/>
    </row>
    <row r="773" spans="1:26" ht="12.75" customHeight="1" x14ac:dyDescent="0.2">
      <c r="A773" s="258"/>
      <c r="Z773" s="258"/>
    </row>
    <row r="774" spans="1:26" ht="12.75" customHeight="1" x14ac:dyDescent="0.2">
      <c r="A774" s="258"/>
      <c r="Z774" s="258"/>
    </row>
    <row r="775" spans="1:26" ht="12.75" customHeight="1" x14ac:dyDescent="0.2">
      <c r="A775" s="258"/>
      <c r="Z775" s="258"/>
    </row>
    <row r="776" spans="1:26" ht="12.75" customHeight="1" x14ac:dyDescent="0.2">
      <c r="A776" s="258"/>
      <c r="Z776" s="258"/>
    </row>
    <row r="777" spans="1:26" ht="12.75" customHeight="1" x14ac:dyDescent="0.2">
      <c r="A777" s="258"/>
      <c r="Z777" s="258"/>
    </row>
    <row r="778" spans="1:26" ht="12.75" customHeight="1" x14ac:dyDescent="0.2">
      <c r="A778" s="258"/>
      <c r="Z778" s="258"/>
    </row>
    <row r="779" spans="1:26" ht="12.75" customHeight="1" x14ac:dyDescent="0.2">
      <c r="A779" s="258"/>
      <c r="Z779" s="258"/>
    </row>
    <row r="780" spans="1:26" ht="12.75" customHeight="1" x14ac:dyDescent="0.2">
      <c r="A780" s="258"/>
      <c r="Z780" s="258"/>
    </row>
    <row r="781" spans="1:26" ht="12.75" customHeight="1" x14ac:dyDescent="0.2">
      <c r="A781" s="258"/>
      <c r="Z781" s="258"/>
    </row>
    <row r="782" spans="1:26" ht="12.75" customHeight="1" x14ac:dyDescent="0.2">
      <c r="A782" s="258"/>
      <c r="Z782" s="258"/>
    </row>
    <row r="783" spans="1:26" ht="12.75" customHeight="1" x14ac:dyDescent="0.2">
      <c r="A783" s="258"/>
      <c r="Z783" s="258"/>
    </row>
    <row r="784" spans="1:26" ht="12.75" customHeight="1" x14ac:dyDescent="0.2">
      <c r="A784" s="258"/>
      <c r="Z784" s="258"/>
    </row>
    <row r="785" spans="1:26" ht="12.75" customHeight="1" x14ac:dyDescent="0.2">
      <c r="A785" s="258"/>
      <c r="Z785" s="258"/>
    </row>
    <row r="786" spans="1:26" ht="12.75" customHeight="1" x14ac:dyDescent="0.2">
      <c r="A786" s="258"/>
      <c r="Z786" s="258"/>
    </row>
    <row r="787" spans="1:26" ht="12.75" customHeight="1" x14ac:dyDescent="0.2">
      <c r="A787" s="258"/>
      <c r="Z787" s="258"/>
    </row>
    <row r="788" spans="1:26" ht="12.75" customHeight="1" x14ac:dyDescent="0.2">
      <c r="A788" s="258"/>
      <c r="Z788" s="258"/>
    </row>
    <row r="789" spans="1:26" ht="12.75" customHeight="1" x14ac:dyDescent="0.2">
      <c r="A789" s="258"/>
      <c r="Z789" s="258"/>
    </row>
    <row r="790" spans="1:26" ht="12.75" customHeight="1" x14ac:dyDescent="0.2">
      <c r="A790" s="258"/>
      <c r="Z790" s="258"/>
    </row>
    <row r="791" spans="1:26" ht="12.75" customHeight="1" x14ac:dyDescent="0.2">
      <c r="A791" s="258"/>
      <c r="Z791" s="258"/>
    </row>
    <row r="792" spans="1:26" ht="12.75" customHeight="1" x14ac:dyDescent="0.2">
      <c r="A792" s="258"/>
      <c r="Z792" s="258"/>
    </row>
    <row r="793" spans="1:26" ht="12.75" customHeight="1" x14ac:dyDescent="0.2">
      <c r="A793" s="258"/>
      <c r="Z793" s="258"/>
    </row>
    <row r="794" spans="1:26" ht="12.75" customHeight="1" x14ac:dyDescent="0.2">
      <c r="A794" s="258"/>
      <c r="Z794" s="258"/>
    </row>
    <row r="795" spans="1:26" ht="12.75" customHeight="1" x14ac:dyDescent="0.2">
      <c r="A795" s="258"/>
      <c r="Z795" s="258"/>
    </row>
    <row r="796" spans="1:26" ht="12.75" customHeight="1" x14ac:dyDescent="0.2">
      <c r="A796" s="258"/>
      <c r="Z796" s="258"/>
    </row>
    <row r="797" spans="1:26" ht="12.75" customHeight="1" x14ac:dyDescent="0.2">
      <c r="A797" s="258"/>
      <c r="Z797" s="258"/>
    </row>
    <row r="798" spans="1:26" ht="12.75" customHeight="1" x14ac:dyDescent="0.2">
      <c r="A798" s="258"/>
      <c r="Z798" s="258"/>
    </row>
    <row r="799" spans="1:26" ht="12.75" customHeight="1" x14ac:dyDescent="0.2">
      <c r="A799" s="258"/>
      <c r="Z799" s="258"/>
    </row>
    <row r="800" spans="1:26" ht="12.75" customHeight="1" x14ac:dyDescent="0.2">
      <c r="A800" s="258"/>
      <c r="Z800" s="258"/>
    </row>
    <row r="801" spans="1:26" ht="12.75" customHeight="1" x14ac:dyDescent="0.2">
      <c r="A801" s="258"/>
      <c r="Z801" s="258"/>
    </row>
    <row r="802" spans="1:26" ht="12.75" customHeight="1" x14ac:dyDescent="0.2">
      <c r="A802" s="258"/>
      <c r="Z802" s="258"/>
    </row>
    <row r="803" spans="1:26" ht="12.75" customHeight="1" x14ac:dyDescent="0.2">
      <c r="A803" s="258"/>
      <c r="Z803" s="258"/>
    </row>
    <row r="804" spans="1:26" ht="12.75" customHeight="1" x14ac:dyDescent="0.2">
      <c r="A804" s="258"/>
      <c r="Z804" s="258"/>
    </row>
    <row r="805" spans="1:26" ht="12.75" customHeight="1" x14ac:dyDescent="0.2">
      <c r="A805" s="258"/>
      <c r="Z805" s="258"/>
    </row>
    <row r="806" spans="1:26" ht="12.75" customHeight="1" x14ac:dyDescent="0.2">
      <c r="A806" s="258"/>
      <c r="Z806" s="258"/>
    </row>
    <row r="807" spans="1:26" ht="12.75" customHeight="1" x14ac:dyDescent="0.2">
      <c r="A807" s="258"/>
      <c r="Z807" s="258"/>
    </row>
    <row r="808" spans="1:26" ht="12.75" customHeight="1" x14ac:dyDescent="0.2">
      <c r="A808" s="258"/>
      <c r="Z808" s="258"/>
    </row>
    <row r="809" spans="1:26" ht="12.75" customHeight="1" x14ac:dyDescent="0.2">
      <c r="A809" s="258"/>
      <c r="Z809" s="258"/>
    </row>
    <row r="810" spans="1:26" ht="12.75" customHeight="1" x14ac:dyDescent="0.2">
      <c r="A810" s="258"/>
      <c r="Z810" s="258"/>
    </row>
    <row r="811" spans="1:26" ht="12.75" customHeight="1" x14ac:dyDescent="0.2">
      <c r="A811" s="258"/>
      <c r="Z811" s="258"/>
    </row>
    <row r="812" spans="1:26" ht="12.75" customHeight="1" x14ac:dyDescent="0.2">
      <c r="A812" s="258"/>
      <c r="Z812" s="258"/>
    </row>
    <row r="813" spans="1:26" ht="12.75" customHeight="1" x14ac:dyDescent="0.2">
      <c r="A813" s="258"/>
      <c r="Z813" s="258"/>
    </row>
    <row r="814" spans="1:26" ht="12.75" customHeight="1" x14ac:dyDescent="0.2">
      <c r="A814" s="258"/>
      <c r="Z814" s="258"/>
    </row>
    <row r="815" spans="1:26" ht="12.75" customHeight="1" x14ac:dyDescent="0.2">
      <c r="A815" s="258"/>
      <c r="Z815" s="258"/>
    </row>
    <row r="816" spans="1:26" ht="12.75" customHeight="1" x14ac:dyDescent="0.2">
      <c r="A816" s="258"/>
      <c r="Z816" s="258"/>
    </row>
    <row r="817" spans="1:26" ht="12.75" customHeight="1" x14ac:dyDescent="0.2">
      <c r="A817" s="258"/>
      <c r="Z817" s="258"/>
    </row>
    <row r="818" spans="1:26" ht="12.75" customHeight="1" x14ac:dyDescent="0.2">
      <c r="A818" s="258"/>
      <c r="Z818" s="258"/>
    </row>
    <row r="819" spans="1:26" ht="12.75" customHeight="1" x14ac:dyDescent="0.2">
      <c r="A819" s="258"/>
      <c r="Z819" s="258"/>
    </row>
    <row r="820" spans="1:26" ht="12.75" customHeight="1" x14ac:dyDescent="0.2">
      <c r="A820" s="258"/>
      <c r="Z820" s="258"/>
    </row>
    <row r="821" spans="1:26" ht="12.75" customHeight="1" x14ac:dyDescent="0.2">
      <c r="A821" s="258"/>
      <c r="Z821" s="258"/>
    </row>
    <row r="822" spans="1:26" ht="12.75" customHeight="1" x14ac:dyDescent="0.2">
      <c r="A822" s="258"/>
      <c r="Z822" s="258"/>
    </row>
    <row r="823" spans="1:26" ht="12.75" customHeight="1" x14ac:dyDescent="0.2">
      <c r="A823" s="258"/>
      <c r="Z823" s="258"/>
    </row>
    <row r="824" spans="1:26" ht="12.75" customHeight="1" x14ac:dyDescent="0.2">
      <c r="A824" s="258"/>
      <c r="Z824" s="258"/>
    </row>
    <row r="825" spans="1:26" ht="12.75" customHeight="1" x14ac:dyDescent="0.2">
      <c r="A825" s="258"/>
      <c r="Z825" s="258"/>
    </row>
    <row r="826" spans="1:26" ht="12.75" customHeight="1" x14ac:dyDescent="0.2">
      <c r="A826" s="258"/>
      <c r="Z826" s="258"/>
    </row>
    <row r="827" spans="1:26" ht="12.75" customHeight="1" x14ac:dyDescent="0.2">
      <c r="A827" s="258"/>
      <c r="Z827" s="258"/>
    </row>
    <row r="828" spans="1:26" ht="12.75" customHeight="1" x14ac:dyDescent="0.2">
      <c r="A828" s="258"/>
      <c r="Z828" s="258"/>
    </row>
    <row r="829" spans="1:26" ht="12.75" customHeight="1" x14ac:dyDescent="0.2">
      <c r="A829" s="258"/>
      <c r="Z829" s="258"/>
    </row>
    <row r="830" spans="1:26" ht="12.75" customHeight="1" x14ac:dyDescent="0.2">
      <c r="A830" s="258"/>
      <c r="Z830" s="258"/>
    </row>
    <row r="831" spans="1:26" ht="12.75" customHeight="1" x14ac:dyDescent="0.2">
      <c r="A831" s="258"/>
      <c r="Z831" s="258"/>
    </row>
    <row r="832" spans="1:26" ht="12.75" customHeight="1" x14ac:dyDescent="0.2">
      <c r="A832" s="258"/>
      <c r="Z832" s="258"/>
    </row>
    <row r="833" spans="1:26" ht="12.75" customHeight="1" x14ac:dyDescent="0.2">
      <c r="A833" s="258"/>
      <c r="Z833" s="258"/>
    </row>
    <row r="834" spans="1:26" ht="12.75" customHeight="1" x14ac:dyDescent="0.2">
      <c r="A834" s="258"/>
      <c r="Z834" s="258"/>
    </row>
    <row r="835" spans="1:26" ht="12.75" customHeight="1" x14ac:dyDescent="0.2">
      <c r="A835" s="258"/>
      <c r="Z835" s="258"/>
    </row>
    <row r="836" spans="1:26" ht="12.75" customHeight="1" x14ac:dyDescent="0.2">
      <c r="A836" s="258"/>
      <c r="Z836" s="258"/>
    </row>
    <row r="837" spans="1:26" ht="12.75" customHeight="1" x14ac:dyDescent="0.2">
      <c r="A837" s="258"/>
      <c r="Z837" s="258"/>
    </row>
    <row r="838" spans="1:26" ht="12.75" customHeight="1" x14ac:dyDescent="0.2">
      <c r="A838" s="258"/>
      <c r="Z838" s="258"/>
    </row>
    <row r="839" spans="1:26" ht="12.75" customHeight="1" x14ac:dyDescent="0.2">
      <c r="A839" s="258"/>
      <c r="Z839" s="258"/>
    </row>
    <row r="840" spans="1:26" ht="12.75" customHeight="1" x14ac:dyDescent="0.2">
      <c r="A840" s="258"/>
      <c r="Z840" s="258"/>
    </row>
    <row r="841" spans="1:26" ht="12.75" customHeight="1" x14ac:dyDescent="0.2">
      <c r="A841" s="258"/>
      <c r="Z841" s="258"/>
    </row>
    <row r="842" spans="1:26" ht="12.75" customHeight="1" x14ac:dyDescent="0.2">
      <c r="A842" s="258"/>
      <c r="Z842" s="258"/>
    </row>
    <row r="843" spans="1:26" ht="12.75" customHeight="1" x14ac:dyDescent="0.2">
      <c r="A843" s="258"/>
      <c r="Z843" s="258"/>
    </row>
    <row r="844" spans="1:26" ht="12.75" customHeight="1" x14ac:dyDescent="0.2">
      <c r="A844" s="258"/>
      <c r="Z844" s="258"/>
    </row>
    <row r="845" spans="1:26" ht="12.75" customHeight="1" x14ac:dyDescent="0.2">
      <c r="A845" s="258"/>
      <c r="Z845" s="258"/>
    </row>
    <row r="846" spans="1:26" ht="12.75" customHeight="1" x14ac:dyDescent="0.2">
      <c r="A846" s="258"/>
      <c r="Z846" s="258"/>
    </row>
    <row r="847" spans="1:26" ht="12.75" customHeight="1" x14ac:dyDescent="0.2">
      <c r="A847" s="258"/>
      <c r="Z847" s="258"/>
    </row>
    <row r="848" spans="1:26" ht="12.75" customHeight="1" x14ac:dyDescent="0.2">
      <c r="A848" s="258"/>
      <c r="Z848" s="258"/>
    </row>
    <row r="849" spans="1:26" ht="12.75" customHeight="1" x14ac:dyDescent="0.2">
      <c r="A849" s="258"/>
      <c r="Z849" s="258"/>
    </row>
    <row r="850" spans="1:26" ht="12.75" customHeight="1" x14ac:dyDescent="0.2">
      <c r="A850" s="258"/>
      <c r="Z850" s="258"/>
    </row>
    <row r="851" spans="1:26" ht="12.75" customHeight="1" x14ac:dyDescent="0.2">
      <c r="A851" s="258"/>
      <c r="Z851" s="258"/>
    </row>
    <row r="852" spans="1:26" ht="12.75" customHeight="1" x14ac:dyDescent="0.2">
      <c r="A852" s="258"/>
      <c r="Z852" s="258"/>
    </row>
    <row r="853" spans="1:26" ht="12.75" customHeight="1" x14ac:dyDescent="0.2">
      <c r="A853" s="258"/>
      <c r="Z853" s="258"/>
    </row>
    <row r="854" spans="1:26" ht="12.75" customHeight="1" x14ac:dyDescent="0.2">
      <c r="A854" s="258"/>
      <c r="Z854" s="258"/>
    </row>
    <row r="855" spans="1:26" ht="12.75" customHeight="1" x14ac:dyDescent="0.2">
      <c r="A855" s="258"/>
      <c r="Z855" s="258"/>
    </row>
    <row r="856" spans="1:26" ht="12.75" customHeight="1" x14ac:dyDescent="0.2">
      <c r="A856" s="258"/>
      <c r="Z856" s="258"/>
    </row>
    <row r="857" spans="1:26" ht="12.75" customHeight="1" x14ac:dyDescent="0.2">
      <c r="A857" s="258"/>
      <c r="Z857" s="258"/>
    </row>
    <row r="858" spans="1:26" ht="12.75" customHeight="1" x14ac:dyDescent="0.2">
      <c r="A858" s="258"/>
      <c r="Z858" s="258"/>
    </row>
    <row r="859" spans="1:26" ht="12.75" customHeight="1" x14ac:dyDescent="0.2">
      <c r="A859" s="258"/>
      <c r="Z859" s="258"/>
    </row>
    <row r="860" spans="1:26" ht="12.75" customHeight="1" x14ac:dyDescent="0.2">
      <c r="A860" s="258"/>
      <c r="Z860" s="258"/>
    </row>
    <row r="861" spans="1:26" ht="12.75" customHeight="1" x14ac:dyDescent="0.2">
      <c r="A861" s="258"/>
      <c r="Z861" s="258"/>
    </row>
    <row r="862" spans="1:26" ht="12.75" customHeight="1" x14ac:dyDescent="0.2">
      <c r="A862" s="258"/>
      <c r="Z862" s="258"/>
    </row>
    <row r="863" spans="1:26" ht="12.75" customHeight="1" x14ac:dyDescent="0.2">
      <c r="A863" s="258"/>
      <c r="Z863" s="258"/>
    </row>
    <row r="864" spans="1:26" ht="12.75" customHeight="1" x14ac:dyDescent="0.2">
      <c r="A864" s="258"/>
      <c r="Z864" s="258"/>
    </row>
    <row r="865" spans="1:26" ht="12.75" customHeight="1" x14ac:dyDescent="0.2">
      <c r="A865" s="258"/>
      <c r="Z865" s="258"/>
    </row>
    <row r="866" spans="1:26" ht="12.75" customHeight="1" x14ac:dyDescent="0.2">
      <c r="A866" s="258"/>
      <c r="Z866" s="258"/>
    </row>
    <row r="867" spans="1:26" ht="12.75" customHeight="1" x14ac:dyDescent="0.2">
      <c r="A867" s="258"/>
      <c r="Z867" s="258"/>
    </row>
    <row r="868" spans="1:26" ht="12.75" customHeight="1" x14ac:dyDescent="0.2">
      <c r="A868" s="258"/>
      <c r="Z868" s="258"/>
    </row>
    <row r="869" spans="1:26" ht="12.75" customHeight="1" x14ac:dyDescent="0.2">
      <c r="A869" s="258"/>
      <c r="Z869" s="258"/>
    </row>
    <row r="870" spans="1:26" ht="12.75" customHeight="1" x14ac:dyDescent="0.2">
      <c r="A870" s="258"/>
      <c r="Z870" s="258"/>
    </row>
    <row r="871" spans="1:26" ht="12.75" customHeight="1" x14ac:dyDescent="0.2">
      <c r="A871" s="258"/>
      <c r="Z871" s="258"/>
    </row>
    <row r="872" spans="1:26" ht="12.75" customHeight="1" x14ac:dyDescent="0.2">
      <c r="A872" s="258"/>
      <c r="Z872" s="258"/>
    </row>
    <row r="873" spans="1:26" ht="12.75" customHeight="1" x14ac:dyDescent="0.2">
      <c r="A873" s="258"/>
      <c r="Z873" s="258"/>
    </row>
    <row r="874" spans="1:26" ht="12.75" customHeight="1" x14ac:dyDescent="0.2">
      <c r="A874" s="258"/>
      <c r="Z874" s="258"/>
    </row>
    <row r="875" spans="1:26" ht="12.75" customHeight="1" x14ac:dyDescent="0.2">
      <c r="A875" s="258"/>
      <c r="Z875" s="258"/>
    </row>
    <row r="876" spans="1:26" ht="12.75" customHeight="1" x14ac:dyDescent="0.2">
      <c r="A876" s="258"/>
      <c r="Z876" s="258"/>
    </row>
    <row r="877" spans="1:26" ht="12.75" customHeight="1" x14ac:dyDescent="0.2">
      <c r="A877" s="258"/>
      <c r="Z877" s="258"/>
    </row>
    <row r="878" spans="1:26" ht="12.75" customHeight="1" x14ac:dyDescent="0.2">
      <c r="A878" s="258"/>
      <c r="Z878" s="258"/>
    </row>
    <row r="879" spans="1:26" ht="12.75" customHeight="1" x14ac:dyDescent="0.2">
      <c r="A879" s="258"/>
      <c r="Z879" s="258"/>
    </row>
    <row r="880" spans="1:26" ht="12.75" customHeight="1" x14ac:dyDescent="0.2">
      <c r="A880" s="258"/>
      <c r="Z880" s="258"/>
    </row>
    <row r="881" spans="1:26" ht="12.75" customHeight="1" x14ac:dyDescent="0.2">
      <c r="A881" s="258"/>
      <c r="Z881" s="258"/>
    </row>
    <row r="882" spans="1:26" ht="12.75" customHeight="1" x14ac:dyDescent="0.2">
      <c r="A882" s="258"/>
      <c r="Z882" s="258"/>
    </row>
    <row r="883" spans="1:26" ht="12.75" customHeight="1" x14ac:dyDescent="0.2">
      <c r="A883" s="258"/>
      <c r="Z883" s="258"/>
    </row>
    <row r="884" spans="1:26" ht="12.75" customHeight="1" x14ac:dyDescent="0.2">
      <c r="A884" s="258"/>
      <c r="Z884" s="258"/>
    </row>
    <row r="885" spans="1:26" ht="12.75" customHeight="1" x14ac:dyDescent="0.2">
      <c r="A885" s="258"/>
      <c r="Z885" s="258"/>
    </row>
    <row r="886" spans="1:26" ht="12.75" customHeight="1" x14ac:dyDescent="0.2">
      <c r="A886" s="258"/>
      <c r="Z886" s="258"/>
    </row>
    <row r="887" spans="1:26" ht="12.75" customHeight="1" x14ac:dyDescent="0.2">
      <c r="A887" s="258"/>
      <c r="Z887" s="258"/>
    </row>
    <row r="888" spans="1:26" ht="12.75" customHeight="1" x14ac:dyDescent="0.2">
      <c r="A888" s="258"/>
      <c r="Z888" s="258"/>
    </row>
    <row r="889" spans="1:26" ht="12.75" customHeight="1" x14ac:dyDescent="0.2">
      <c r="A889" s="258"/>
      <c r="Z889" s="258"/>
    </row>
    <row r="890" spans="1:26" ht="12.75" customHeight="1" x14ac:dyDescent="0.2">
      <c r="A890" s="258"/>
      <c r="Z890" s="258"/>
    </row>
    <row r="891" spans="1:26" ht="12.75" customHeight="1" x14ac:dyDescent="0.2">
      <c r="A891" s="258"/>
      <c r="Z891" s="258"/>
    </row>
    <row r="892" spans="1:26" ht="12.75" customHeight="1" x14ac:dyDescent="0.2">
      <c r="A892" s="258"/>
      <c r="Z892" s="258"/>
    </row>
    <row r="893" spans="1:26" ht="12.75" customHeight="1" x14ac:dyDescent="0.2">
      <c r="A893" s="258"/>
      <c r="Z893" s="258"/>
    </row>
    <row r="894" spans="1:26" ht="12.75" customHeight="1" x14ac:dyDescent="0.2">
      <c r="A894" s="258"/>
      <c r="Z894" s="258"/>
    </row>
    <row r="895" spans="1:26" ht="12.75" customHeight="1" x14ac:dyDescent="0.2">
      <c r="A895" s="258"/>
      <c r="Z895" s="258"/>
    </row>
    <row r="896" spans="1:26" ht="12.75" customHeight="1" x14ac:dyDescent="0.2">
      <c r="A896" s="258"/>
      <c r="Z896" s="258"/>
    </row>
    <row r="897" spans="1:26" ht="12.75" customHeight="1" x14ac:dyDescent="0.2">
      <c r="A897" s="258"/>
      <c r="Z897" s="258"/>
    </row>
    <row r="898" spans="1:26" ht="12.75" customHeight="1" x14ac:dyDescent="0.2">
      <c r="A898" s="258"/>
      <c r="Z898" s="258"/>
    </row>
    <row r="899" spans="1:26" ht="12.75" customHeight="1" x14ac:dyDescent="0.2">
      <c r="A899" s="258"/>
      <c r="Z899" s="258"/>
    </row>
    <row r="900" spans="1:26" ht="12.75" customHeight="1" x14ac:dyDescent="0.2">
      <c r="A900" s="258"/>
      <c r="Z900" s="258"/>
    </row>
    <row r="901" spans="1:26" ht="12.75" customHeight="1" x14ac:dyDescent="0.2">
      <c r="A901" s="258"/>
      <c r="Z901" s="258"/>
    </row>
    <row r="902" spans="1:26" ht="12.75" customHeight="1" x14ac:dyDescent="0.2">
      <c r="A902" s="258"/>
      <c r="Z902" s="258"/>
    </row>
    <row r="903" spans="1:26" ht="12.75" customHeight="1" x14ac:dyDescent="0.2">
      <c r="A903" s="258"/>
      <c r="Z903" s="258"/>
    </row>
    <row r="904" spans="1:26" ht="12.75" customHeight="1" x14ac:dyDescent="0.2">
      <c r="A904" s="258"/>
      <c r="Z904" s="258"/>
    </row>
    <row r="905" spans="1:26" ht="12.75" customHeight="1" x14ac:dyDescent="0.2">
      <c r="A905" s="258"/>
      <c r="Z905" s="258"/>
    </row>
    <row r="906" spans="1:26" ht="12.75" customHeight="1" x14ac:dyDescent="0.2">
      <c r="A906" s="258"/>
      <c r="Z906" s="258"/>
    </row>
    <row r="907" spans="1:26" ht="12.75" customHeight="1" x14ac:dyDescent="0.2">
      <c r="A907" s="258"/>
      <c r="Z907" s="258"/>
    </row>
    <row r="908" spans="1:26" ht="12.75" customHeight="1" x14ac:dyDescent="0.2">
      <c r="A908" s="258"/>
      <c r="Z908" s="258"/>
    </row>
    <row r="909" spans="1:26" ht="12.75" customHeight="1" x14ac:dyDescent="0.2">
      <c r="A909" s="258"/>
      <c r="Z909" s="258"/>
    </row>
    <row r="910" spans="1:26" ht="12.75" customHeight="1" x14ac:dyDescent="0.2">
      <c r="A910" s="258"/>
      <c r="Z910" s="258"/>
    </row>
    <row r="911" spans="1:26" ht="12.75" customHeight="1" x14ac:dyDescent="0.2">
      <c r="A911" s="258"/>
      <c r="Z911" s="258"/>
    </row>
    <row r="912" spans="1:26" ht="12.75" customHeight="1" x14ac:dyDescent="0.2">
      <c r="A912" s="258"/>
      <c r="Z912" s="258"/>
    </row>
    <row r="913" spans="1:26" ht="12.75" customHeight="1" x14ac:dyDescent="0.2">
      <c r="A913" s="258"/>
      <c r="Z913" s="258"/>
    </row>
    <row r="914" spans="1:26" ht="12.75" customHeight="1" x14ac:dyDescent="0.2">
      <c r="A914" s="258"/>
      <c r="Z914" s="258"/>
    </row>
    <row r="915" spans="1:26" ht="12.75" customHeight="1" x14ac:dyDescent="0.2">
      <c r="A915" s="258"/>
      <c r="Z915" s="258"/>
    </row>
    <row r="916" spans="1:26" ht="12.75" customHeight="1" x14ac:dyDescent="0.2">
      <c r="A916" s="258"/>
      <c r="Z916" s="258"/>
    </row>
    <row r="917" spans="1:26" ht="12.75" customHeight="1" x14ac:dyDescent="0.2">
      <c r="A917" s="258"/>
      <c r="Z917" s="258"/>
    </row>
    <row r="918" spans="1:26" ht="12.75" customHeight="1" x14ac:dyDescent="0.2">
      <c r="A918" s="258"/>
      <c r="Z918" s="258"/>
    </row>
    <row r="919" spans="1:26" ht="12.75" customHeight="1" x14ac:dyDescent="0.2">
      <c r="A919" s="258"/>
      <c r="Z919" s="258"/>
    </row>
    <row r="920" spans="1:26" ht="12.75" customHeight="1" x14ac:dyDescent="0.2">
      <c r="A920" s="258"/>
      <c r="Z920" s="258"/>
    </row>
    <row r="921" spans="1:26" ht="12.75" customHeight="1" x14ac:dyDescent="0.2">
      <c r="A921" s="258"/>
      <c r="Z921" s="258"/>
    </row>
    <row r="922" spans="1:26" ht="12.75" customHeight="1" x14ac:dyDescent="0.2">
      <c r="A922" s="258"/>
      <c r="Z922" s="258"/>
    </row>
    <row r="923" spans="1:26" ht="12.75" customHeight="1" x14ac:dyDescent="0.2">
      <c r="A923" s="258"/>
      <c r="Z923" s="258"/>
    </row>
    <row r="924" spans="1:26" ht="12.75" customHeight="1" x14ac:dyDescent="0.2">
      <c r="A924" s="258"/>
      <c r="Z924" s="258"/>
    </row>
    <row r="925" spans="1:26" ht="12.75" customHeight="1" x14ac:dyDescent="0.2">
      <c r="A925" s="258"/>
      <c r="Z925" s="258"/>
    </row>
    <row r="926" spans="1:26" ht="12.75" customHeight="1" x14ac:dyDescent="0.2">
      <c r="A926" s="258"/>
      <c r="Z926" s="258"/>
    </row>
    <row r="927" spans="1:26" ht="12.75" customHeight="1" x14ac:dyDescent="0.2">
      <c r="A927" s="258"/>
      <c r="Z927" s="258"/>
    </row>
    <row r="928" spans="1:26" ht="12.75" customHeight="1" x14ac:dyDescent="0.2">
      <c r="A928" s="258"/>
      <c r="Z928" s="258"/>
    </row>
    <row r="929" spans="1:26" ht="12.75" customHeight="1" x14ac:dyDescent="0.2">
      <c r="A929" s="258"/>
      <c r="Z929" s="258"/>
    </row>
    <row r="930" spans="1:26" ht="12.75" customHeight="1" x14ac:dyDescent="0.2">
      <c r="A930" s="258"/>
      <c r="Z930" s="258"/>
    </row>
    <row r="931" spans="1:26" ht="12.75" customHeight="1" x14ac:dyDescent="0.2">
      <c r="A931" s="258"/>
      <c r="Z931" s="258"/>
    </row>
    <row r="932" spans="1:26" ht="12.75" customHeight="1" x14ac:dyDescent="0.2">
      <c r="A932" s="258"/>
      <c r="Z932" s="258"/>
    </row>
    <row r="933" spans="1:26" ht="12.75" customHeight="1" x14ac:dyDescent="0.2">
      <c r="A933" s="258"/>
      <c r="Z933" s="258"/>
    </row>
    <row r="934" spans="1:26" ht="12.75" customHeight="1" x14ac:dyDescent="0.2">
      <c r="A934" s="258"/>
      <c r="Z934" s="258"/>
    </row>
    <row r="935" spans="1:26" ht="12.75" customHeight="1" x14ac:dyDescent="0.2">
      <c r="A935" s="258"/>
      <c r="Z935" s="258"/>
    </row>
    <row r="936" spans="1:26" ht="12.75" customHeight="1" x14ac:dyDescent="0.2">
      <c r="A936" s="258"/>
      <c r="Z936" s="258"/>
    </row>
    <row r="937" spans="1:26" ht="12.75" customHeight="1" x14ac:dyDescent="0.2">
      <c r="A937" s="258"/>
      <c r="Z937" s="258"/>
    </row>
    <row r="938" spans="1:26" ht="12.75" customHeight="1" x14ac:dyDescent="0.2">
      <c r="A938" s="258"/>
      <c r="Z938" s="258"/>
    </row>
    <row r="939" spans="1:26" ht="12.75" customHeight="1" x14ac:dyDescent="0.2">
      <c r="A939" s="258"/>
      <c r="Z939" s="258"/>
    </row>
    <row r="940" spans="1:26" ht="12.75" customHeight="1" x14ac:dyDescent="0.2">
      <c r="A940" s="258"/>
      <c r="Z940" s="258"/>
    </row>
    <row r="941" spans="1:26" ht="12.75" customHeight="1" x14ac:dyDescent="0.2">
      <c r="A941" s="258"/>
      <c r="Z941" s="258"/>
    </row>
    <row r="942" spans="1:26" ht="12.75" customHeight="1" x14ac:dyDescent="0.2">
      <c r="A942" s="258"/>
      <c r="Z942" s="258"/>
    </row>
    <row r="943" spans="1:26" ht="12.75" customHeight="1" x14ac:dyDescent="0.2">
      <c r="A943" s="258"/>
      <c r="Z943" s="258"/>
    </row>
    <row r="944" spans="1:26" ht="12.75" customHeight="1" x14ac:dyDescent="0.2">
      <c r="A944" s="258"/>
      <c r="Z944" s="258"/>
    </row>
    <row r="945" spans="1:26" ht="12.75" customHeight="1" x14ac:dyDescent="0.2">
      <c r="A945" s="258"/>
      <c r="Z945" s="258"/>
    </row>
    <row r="946" spans="1:26" ht="12.75" customHeight="1" x14ac:dyDescent="0.2">
      <c r="A946" s="258"/>
      <c r="Z946" s="258"/>
    </row>
    <row r="947" spans="1:26" ht="12.75" customHeight="1" x14ac:dyDescent="0.2">
      <c r="A947" s="258"/>
      <c r="Z947" s="258"/>
    </row>
    <row r="948" spans="1:26" ht="12.75" customHeight="1" x14ac:dyDescent="0.2">
      <c r="A948" s="258"/>
      <c r="Z948" s="258"/>
    </row>
    <row r="949" spans="1:26" ht="12.75" customHeight="1" x14ac:dyDescent="0.2">
      <c r="A949" s="258"/>
      <c r="Z949" s="258"/>
    </row>
    <row r="950" spans="1:26" ht="12.75" customHeight="1" x14ac:dyDescent="0.2">
      <c r="A950" s="258"/>
      <c r="Z950" s="258"/>
    </row>
    <row r="951" spans="1:26" ht="12.75" customHeight="1" x14ac:dyDescent="0.2">
      <c r="A951" s="258"/>
      <c r="Z951" s="258"/>
    </row>
    <row r="952" spans="1:26" ht="12.75" customHeight="1" x14ac:dyDescent="0.2">
      <c r="A952" s="258"/>
      <c r="Z952" s="258"/>
    </row>
    <row r="953" spans="1:26" ht="12.75" customHeight="1" x14ac:dyDescent="0.2">
      <c r="A953" s="258"/>
      <c r="Z953" s="258"/>
    </row>
    <row r="954" spans="1:26" ht="12.75" customHeight="1" x14ac:dyDescent="0.2">
      <c r="A954" s="258"/>
      <c r="Z954" s="258"/>
    </row>
    <row r="955" spans="1:26" ht="12.75" customHeight="1" x14ac:dyDescent="0.2">
      <c r="A955" s="258"/>
      <c r="Z955" s="258"/>
    </row>
    <row r="956" spans="1:26" ht="12.75" customHeight="1" x14ac:dyDescent="0.2">
      <c r="A956" s="258"/>
      <c r="Z956" s="258"/>
    </row>
    <row r="957" spans="1:26" ht="12.75" customHeight="1" x14ac:dyDescent="0.2">
      <c r="A957" s="258"/>
      <c r="Z957" s="258"/>
    </row>
    <row r="958" spans="1:26" ht="12.75" customHeight="1" x14ac:dyDescent="0.2">
      <c r="A958" s="258"/>
      <c r="Z958" s="258"/>
    </row>
    <row r="959" spans="1:26" ht="12.75" customHeight="1" x14ac:dyDescent="0.2">
      <c r="A959" s="258"/>
      <c r="Z959" s="258"/>
    </row>
    <row r="960" spans="1:26" ht="12.75" customHeight="1" x14ac:dyDescent="0.2">
      <c r="A960" s="258"/>
      <c r="Z960" s="258"/>
    </row>
    <row r="961" spans="1:26" ht="12.75" customHeight="1" x14ac:dyDescent="0.2">
      <c r="A961" s="258"/>
      <c r="Z961" s="258"/>
    </row>
    <row r="962" spans="1:26" ht="12.75" customHeight="1" x14ac:dyDescent="0.2">
      <c r="A962" s="258"/>
      <c r="Z962" s="258"/>
    </row>
    <row r="963" spans="1:26" ht="12.75" customHeight="1" x14ac:dyDescent="0.2">
      <c r="A963" s="258"/>
      <c r="Z963" s="258"/>
    </row>
    <row r="964" spans="1:26" ht="12.75" customHeight="1" x14ac:dyDescent="0.2">
      <c r="A964" s="258"/>
      <c r="Z964" s="258"/>
    </row>
    <row r="965" spans="1:26" ht="12.75" customHeight="1" x14ac:dyDescent="0.2">
      <c r="A965" s="258"/>
      <c r="Z965" s="258"/>
    </row>
    <row r="966" spans="1:26" ht="12.75" customHeight="1" x14ac:dyDescent="0.2">
      <c r="A966" s="258"/>
      <c r="Z966" s="258"/>
    </row>
    <row r="967" spans="1:26" ht="12.75" customHeight="1" x14ac:dyDescent="0.2">
      <c r="A967" s="258"/>
      <c r="Z967" s="258"/>
    </row>
    <row r="968" spans="1:26" ht="12.75" customHeight="1" x14ac:dyDescent="0.2">
      <c r="A968" s="258"/>
      <c r="Z968" s="258"/>
    </row>
    <row r="969" spans="1:26" ht="12.75" customHeight="1" x14ac:dyDescent="0.2">
      <c r="A969" s="258"/>
      <c r="Z969" s="258"/>
    </row>
    <row r="970" spans="1:26" ht="12.75" customHeight="1" x14ac:dyDescent="0.2">
      <c r="A970" s="258"/>
      <c r="Z970" s="258"/>
    </row>
    <row r="971" spans="1:26" ht="12.75" customHeight="1" x14ac:dyDescent="0.2">
      <c r="A971" s="258"/>
      <c r="Z971" s="258"/>
    </row>
    <row r="972" spans="1:26" ht="12.75" customHeight="1" x14ac:dyDescent="0.2">
      <c r="A972" s="258"/>
      <c r="Z972" s="258"/>
    </row>
    <row r="973" spans="1:26" ht="12.75" customHeight="1" x14ac:dyDescent="0.2">
      <c r="A973" s="258"/>
      <c r="Z973" s="258"/>
    </row>
    <row r="974" spans="1:26" ht="12.75" customHeight="1" x14ac:dyDescent="0.2">
      <c r="A974" s="258"/>
      <c r="Z974" s="258"/>
    </row>
    <row r="975" spans="1:26" ht="12.75" customHeight="1" x14ac:dyDescent="0.2">
      <c r="A975" s="258"/>
      <c r="Z975" s="258"/>
    </row>
    <row r="976" spans="1:26" ht="12.75" customHeight="1" x14ac:dyDescent="0.2">
      <c r="A976" s="258"/>
      <c r="Z976" s="258"/>
    </row>
    <row r="977" spans="1:26" ht="12.75" customHeight="1" x14ac:dyDescent="0.2">
      <c r="A977" s="258"/>
      <c r="Z977" s="258"/>
    </row>
    <row r="978" spans="1:26" ht="12.75" customHeight="1" x14ac:dyDescent="0.2">
      <c r="A978" s="258"/>
      <c r="Z978" s="258"/>
    </row>
    <row r="979" spans="1:26" ht="12.75" customHeight="1" x14ac:dyDescent="0.2">
      <c r="A979" s="258"/>
      <c r="Z979" s="258"/>
    </row>
    <row r="980" spans="1:26" ht="12.75" customHeight="1" x14ac:dyDescent="0.2">
      <c r="A980" s="258"/>
      <c r="Z980" s="258"/>
    </row>
    <row r="981" spans="1:26" ht="12.75" customHeight="1" x14ac:dyDescent="0.2">
      <c r="A981" s="258"/>
      <c r="Z981" s="258"/>
    </row>
    <row r="982" spans="1:26" ht="12.75" customHeight="1" x14ac:dyDescent="0.2">
      <c r="A982" s="258"/>
      <c r="Z982" s="258"/>
    </row>
    <row r="983" spans="1:26" ht="12.75" customHeight="1" x14ac:dyDescent="0.2">
      <c r="A983" s="258"/>
      <c r="Z983" s="258"/>
    </row>
    <row r="984" spans="1:26" ht="12.75" customHeight="1" x14ac:dyDescent="0.2">
      <c r="A984" s="258"/>
      <c r="Z984" s="258"/>
    </row>
    <row r="985" spans="1:26" ht="12.75" customHeight="1" x14ac:dyDescent="0.2">
      <c r="A985" s="258"/>
      <c r="Z985" s="258"/>
    </row>
    <row r="986" spans="1:26" ht="12.75" customHeight="1" x14ac:dyDescent="0.2">
      <c r="A986" s="258"/>
      <c r="Z986" s="258"/>
    </row>
    <row r="987" spans="1:26" ht="12.75" customHeight="1" x14ac:dyDescent="0.2">
      <c r="A987" s="258"/>
      <c r="Z987" s="258"/>
    </row>
    <row r="988" spans="1:26" ht="12.75" customHeight="1" x14ac:dyDescent="0.2">
      <c r="A988" s="258"/>
      <c r="Z988" s="258"/>
    </row>
    <row r="989" spans="1:26" ht="12.75" customHeight="1" x14ac:dyDescent="0.2">
      <c r="A989" s="258"/>
      <c r="Z989" s="258"/>
    </row>
    <row r="990" spans="1:26" ht="12.75" customHeight="1" x14ac:dyDescent="0.2">
      <c r="A990" s="258"/>
      <c r="Z990" s="258"/>
    </row>
    <row r="991" spans="1:26" ht="12.75" customHeight="1" x14ac:dyDescent="0.2">
      <c r="A991" s="258"/>
      <c r="Z991" s="258"/>
    </row>
    <row r="992" spans="1:26" ht="12.75" customHeight="1" x14ac:dyDescent="0.2">
      <c r="A992" s="258"/>
      <c r="Z992" s="258"/>
    </row>
    <row r="993" spans="1:26" ht="12.75" customHeight="1" x14ac:dyDescent="0.2">
      <c r="A993" s="258"/>
      <c r="Z993" s="258"/>
    </row>
    <row r="994" spans="1:26" ht="12.75" customHeight="1" x14ac:dyDescent="0.2">
      <c r="A994" s="258"/>
      <c r="Z994" s="258"/>
    </row>
    <row r="995" spans="1:26" ht="12.75" customHeight="1" x14ac:dyDescent="0.2">
      <c r="A995" s="258"/>
      <c r="Z995" s="258"/>
    </row>
    <row r="996" spans="1:26" ht="12.75" customHeight="1" x14ac:dyDescent="0.2">
      <c r="A996" s="258"/>
      <c r="Z996" s="258"/>
    </row>
    <row r="997" spans="1:26" ht="12.75" customHeight="1" x14ac:dyDescent="0.2">
      <c r="A997" s="258"/>
      <c r="Z997" s="258"/>
    </row>
    <row r="998" spans="1:26" ht="12.75" customHeight="1" x14ac:dyDescent="0.2">
      <c r="A998" s="258"/>
      <c r="Z998" s="258"/>
    </row>
    <row r="999" spans="1:26" ht="12.75" customHeight="1" x14ac:dyDescent="0.2">
      <c r="A999" s="258"/>
      <c r="Z999" s="258"/>
    </row>
    <row r="1000" spans="1:26" ht="12.75" customHeight="1" x14ac:dyDescent="0.2">
      <c r="A1000" s="258"/>
      <c r="Z1000" s="258"/>
    </row>
    <row r="1001" spans="1:26" ht="12.75" customHeight="1" x14ac:dyDescent="0.2">
      <c r="A1001" s="258"/>
      <c r="Z1001" s="258"/>
    </row>
    <row r="1002" spans="1:26" ht="12.75" customHeight="1" x14ac:dyDescent="0.2">
      <c r="A1002" s="258"/>
      <c r="Z1002" s="258"/>
    </row>
    <row r="1003" spans="1:26" ht="12.75" customHeight="1" x14ac:dyDescent="0.2">
      <c r="A1003" s="258"/>
      <c r="Z1003" s="258"/>
    </row>
    <row r="1004" spans="1:26" ht="12.75" customHeight="1" x14ac:dyDescent="0.2">
      <c r="A1004" s="258"/>
      <c r="Z1004" s="258"/>
    </row>
    <row r="1005" spans="1:26" ht="12.75" customHeight="1" x14ac:dyDescent="0.2">
      <c r="A1005" s="258"/>
      <c r="Z1005" s="258"/>
    </row>
    <row r="1006" spans="1:26" ht="12.75" customHeight="1" x14ac:dyDescent="0.2">
      <c r="A1006" s="258"/>
      <c r="Z1006" s="258"/>
    </row>
    <row r="1007" spans="1:26" ht="12.75" customHeight="1" x14ac:dyDescent="0.2">
      <c r="A1007" s="258"/>
      <c r="Z1007" s="258"/>
    </row>
    <row r="1008" spans="1:26" ht="12.75" customHeight="1" x14ac:dyDescent="0.2">
      <c r="A1008" s="258"/>
      <c r="Z1008" s="258"/>
    </row>
    <row r="1009" spans="1:26" ht="12.75" customHeight="1" x14ac:dyDescent="0.2">
      <c r="A1009" s="258"/>
      <c r="Z1009" s="258"/>
    </row>
    <row r="1010" spans="1:26" ht="12.75" customHeight="1" x14ac:dyDescent="0.2">
      <c r="A1010" s="258"/>
      <c r="Z1010" s="258"/>
    </row>
    <row r="1011" spans="1:26" ht="12.75" customHeight="1" x14ac:dyDescent="0.2">
      <c r="A1011" s="258"/>
      <c r="Z1011" s="258"/>
    </row>
    <row r="1012" spans="1:26" ht="12.75" customHeight="1" x14ac:dyDescent="0.2">
      <c r="A1012" s="258"/>
      <c r="Z1012" s="258"/>
    </row>
    <row r="1013" spans="1:26" ht="12.75" customHeight="1" x14ac:dyDescent="0.2">
      <c r="A1013" s="258"/>
      <c r="Z1013" s="258"/>
    </row>
    <row r="1014" spans="1:26" ht="12.75" customHeight="1" x14ac:dyDescent="0.2">
      <c r="A1014" s="258"/>
      <c r="Z1014" s="258"/>
    </row>
    <row r="1015" spans="1:26" ht="12.75" customHeight="1" x14ac:dyDescent="0.2">
      <c r="A1015" s="258"/>
      <c r="Z1015" s="258"/>
    </row>
    <row r="1016" spans="1:26" ht="12.75" customHeight="1" x14ac:dyDescent="0.2">
      <c r="A1016" s="258"/>
      <c r="Z1016" s="258"/>
    </row>
    <row r="1017" spans="1:26" ht="12.75" customHeight="1" x14ac:dyDescent="0.2">
      <c r="A1017" s="258"/>
      <c r="Z1017" s="258"/>
    </row>
    <row r="1018" spans="1:26" ht="12.75" customHeight="1" x14ac:dyDescent="0.2">
      <c r="A1018" s="258"/>
      <c r="Z1018" s="258"/>
    </row>
    <row r="1019" spans="1:26" ht="12.75" customHeight="1" x14ac:dyDescent="0.2">
      <c r="A1019" s="258"/>
      <c r="Z1019" s="258"/>
    </row>
    <row r="1020" spans="1:26" ht="12.75" customHeight="1" x14ac:dyDescent="0.2">
      <c r="A1020" s="258"/>
      <c r="Z1020" s="258"/>
    </row>
    <row r="1021" spans="1:26" ht="12.75" customHeight="1" x14ac:dyDescent="0.2">
      <c r="A1021" s="258"/>
      <c r="Z1021" s="258"/>
    </row>
    <row r="1022" spans="1:26" ht="12.75" customHeight="1" x14ac:dyDescent="0.2">
      <c r="A1022" s="258"/>
      <c r="Z1022" s="258"/>
    </row>
    <row r="1023" spans="1:26" ht="12.75" customHeight="1" x14ac:dyDescent="0.2">
      <c r="A1023" s="258"/>
      <c r="Z1023" s="258"/>
    </row>
    <row r="1024" spans="1:26" ht="12.75" customHeight="1" x14ac:dyDescent="0.2">
      <c r="A1024" s="258"/>
      <c r="Z1024" s="258"/>
    </row>
    <row r="1025" spans="1:26" ht="12.75" customHeight="1" x14ac:dyDescent="0.2">
      <c r="A1025" s="258"/>
      <c r="Z1025" s="258"/>
    </row>
    <row r="1026" spans="1:26" ht="12.75" customHeight="1" x14ac:dyDescent="0.2">
      <c r="A1026" s="258"/>
      <c r="Z1026" s="258"/>
    </row>
    <row r="1027" spans="1:26" ht="12.75" customHeight="1" x14ac:dyDescent="0.2">
      <c r="A1027" s="258"/>
      <c r="Z1027" s="258"/>
    </row>
    <row r="1028" spans="1:26" ht="12.75" customHeight="1" x14ac:dyDescent="0.2">
      <c r="A1028" s="258"/>
      <c r="Z1028" s="258"/>
    </row>
    <row r="1029" spans="1:26" ht="12.75" customHeight="1" x14ac:dyDescent="0.2">
      <c r="A1029" s="258"/>
      <c r="Z1029" s="258"/>
    </row>
    <row r="1030" spans="1:26" ht="12.75" customHeight="1" x14ac:dyDescent="0.2">
      <c r="A1030" s="258"/>
      <c r="Z1030" s="258"/>
    </row>
    <row r="1031" spans="1:26" ht="12.75" customHeight="1" x14ac:dyDescent="0.2">
      <c r="A1031" s="258"/>
      <c r="Z1031" s="258"/>
    </row>
    <row r="1032" spans="1:26" ht="12.75" customHeight="1" x14ac:dyDescent="0.2">
      <c r="A1032" s="258"/>
      <c r="Z1032" s="258"/>
    </row>
    <row r="1033" spans="1:26" ht="12.75" customHeight="1" x14ac:dyDescent="0.2">
      <c r="A1033" s="258"/>
      <c r="Z1033" s="258"/>
    </row>
    <row r="1034" spans="1:26" ht="12.75" customHeight="1" x14ac:dyDescent="0.2">
      <c r="A1034" s="258"/>
      <c r="Z1034" s="258"/>
    </row>
    <row r="1035" spans="1:26" ht="12.75" customHeight="1" x14ac:dyDescent="0.2">
      <c r="A1035" s="258"/>
      <c r="Z1035" s="258"/>
    </row>
    <row r="1036" spans="1:26" ht="12.75" customHeight="1" x14ac:dyDescent="0.2">
      <c r="A1036" s="258"/>
      <c r="Z1036" s="258"/>
    </row>
    <row r="1037" spans="1:26" ht="12.75" customHeight="1" x14ac:dyDescent="0.2">
      <c r="A1037" s="258"/>
      <c r="Z1037" s="258"/>
    </row>
    <row r="1038" spans="1:26" ht="12.75" customHeight="1" x14ac:dyDescent="0.2">
      <c r="A1038" s="258"/>
      <c r="Z1038" s="258"/>
    </row>
    <row r="1039" spans="1:26" ht="12.75" customHeight="1" x14ac:dyDescent="0.2">
      <c r="A1039" s="258"/>
      <c r="Z1039" s="258"/>
    </row>
    <row r="1040" spans="1:26" ht="12.75" customHeight="1" x14ac:dyDescent="0.2">
      <c r="A1040" s="258"/>
      <c r="Z1040" s="258"/>
    </row>
    <row r="1041" spans="1:26" ht="12.75" customHeight="1" x14ac:dyDescent="0.2">
      <c r="A1041" s="258"/>
      <c r="Z1041" s="258"/>
    </row>
    <row r="1042" spans="1:26" ht="12.75" customHeight="1" x14ac:dyDescent="0.2">
      <c r="A1042" s="258"/>
      <c r="Z1042" s="258"/>
    </row>
    <row r="1043" spans="1:26" ht="12.75" customHeight="1" x14ac:dyDescent="0.2">
      <c r="A1043" s="258"/>
      <c r="Z1043" s="258"/>
    </row>
    <row r="1044" spans="1:26" ht="12.75" customHeight="1" x14ac:dyDescent="0.2">
      <c r="A1044" s="258"/>
      <c r="Z1044" s="258"/>
    </row>
    <row r="1045" spans="1:26" ht="12.75" customHeight="1" x14ac:dyDescent="0.2">
      <c r="A1045" s="258"/>
      <c r="Z1045" s="258"/>
    </row>
    <row r="1046" spans="1:26" ht="12.75" customHeight="1" x14ac:dyDescent="0.2">
      <c r="A1046" s="258"/>
      <c r="Z1046" s="258"/>
    </row>
    <row r="1047" spans="1:26" ht="12.75" customHeight="1" x14ac:dyDescent="0.2">
      <c r="A1047" s="258"/>
      <c r="Z1047" s="258"/>
    </row>
    <row r="1048" spans="1:26" ht="12.75" customHeight="1" x14ac:dyDescent="0.2">
      <c r="A1048" s="258"/>
      <c r="Z1048" s="258"/>
    </row>
    <row r="1049" spans="1:26" ht="12.75" customHeight="1" x14ac:dyDescent="0.2">
      <c r="A1049" s="258"/>
      <c r="Z1049" s="258"/>
    </row>
    <row r="1050" spans="1:26" ht="12.75" customHeight="1" x14ac:dyDescent="0.2">
      <c r="A1050" s="258"/>
      <c r="Z1050" s="258"/>
    </row>
    <row r="1051" spans="1:26" ht="12.75" customHeight="1" x14ac:dyDescent="0.2">
      <c r="A1051" s="258"/>
      <c r="Z1051" s="258"/>
    </row>
    <row r="1052" spans="1:26" ht="12.75" customHeight="1" x14ac:dyDescent="0.2">
      <c r="A1052" s="258"/>
      <c r="Z1052" s="258"/>
    </row>
    <row r="1053" spans="1:26" ht="12.75" customHeight="1" x14ac:dyDescent="0.2">
      <c r="A1053" s="258"/>
      <c r="Z1053" s="258"/>
    </row>
    <row r="1054" spans="1:26" ht="12.75" customHeight="1" x14ac:dyDescent="0.2">
      <c r="A1054" s="258"/>
      <c r="Z1054" s="258"/>
    </row>
    <row r="1055" spans="1:26" ht="12.75" customHeight="1" x14ac:dyDescent="0.2">
      <c r="A1055" s="258"/>
      <c r="Z1055" s="258"/>
    </row>
    <row r="1056" spans="1:26" ht="12.75" customHeight="1" x14ac:dyDescent="0.2">
      <c r="A1056" s="258"/>
      <c r="Z1056" s="258"/>
    </row>
    <row r="1057" spans="1:26" ht="12.75" customHeight="1" x14ac:dyDescent="0.2">
      <c r="A1057" s="258"/>
      <c r="Z1057" s="258"/>
    </row>
    <row r="1058" spans="1:26" ht="12.75" customHeight="1" x14ac:dyDescent="0.2">
      <c r="A1058" s="258"/>
      <c r="Z1058" s="258"/>
    </row>
    <row r="1059" spans="1:26" ht="12.75" customHeight="1" x14ac:dyDescent="0.2">
      <c r="A1059" s="258"/>
      <c r="Z1059" s="258"/>
    </row>
    <row r="1060" spans="1:26" ht="12.75" customHeight="1" x14ac:dyDescent="0.2">
      <c r="A1060" s="258"/>
      <c r="Z1060" s="258"/>
    </row>
    <row r="1061" spans="1:26" ht="12.75" customHeight="1" x14ac:dyDescent="0.2">
      <c r="A1061" s="258"/>
      <c r="Z1061" s="258"/>
    </row>
    <row r="1062" spans="1:26" ht="12.75" customHeight="1" x14ac:dyDescent="0.2">
      <c r="A1062" s="258"/>
      <c r="Z1062" s="258"/>
    </row>
    <row r="1063" spans="1:26" ht="12.75" customHeight="1" x14ac:dyDescent="0.2">
      <c r="A1063" s="258"/>
      <c r="Z1063" s="258"/>
    </row>
    <row r="1064" spans="1:26" ht="12.75" customHeight="1" x14ac:dyDescent="0.2">
      <c r="A1064" s="258"/>
      <c r="Z1064" s="258"/>
    </row>
    <row r="1065" spans="1:26" ht="12.75" customHeight="1" x14ac:dyDescent="0.2">
      <c r="A1065" s="258"/>
      <c r="Z1065" s="258"/>
    </row>
    <row r="1066" spans="1:26" ht="12.75" customHeight="1" x14ac:dyDescent="0.2">
      <c r="A1066" s="258"/>
      <c r="Z1066" s="258"/>
    </row>
    <row r="1067" spans="1:26" ht="12.75" customHeight="1" x14ac:dyDescent="0.2">
      <c r="A1067" s="258"/>
      <c r="Z1067" s="258"/>
    </row>
    <row r="1068" spans="1:26" ht="12.75" customHeight="1" x14ac:dyDescent="0.2">
      <c r="A1068" s="258"/>
      <c r="Z1068" s="258"/>
    </row>
    <row r="1069" spans="1:26" ht="12.75" customHeight="1" x14ac:dyDescent="0.2">
      <c r="A1069" s="258"/>
      <c r="Z1069" s="258"/>
    </row>
    <row r="1070" spans="1:26" ht="12.75" customHeight="1" x14ac:dyDescent="0.2">
      <c r="A1070" s="258"/>
      <c r="Z1070" s="258"/>
    </row>
    <row r="1071" spans="1:26" ht="12.75" customHeight="1" x14ac:dyDescent="0.2">
      <c r="A1071" s="258"/>
      <c r="Z1071" s="258"/>
    </row>
    <row r="1072" spans="1:26" ht="12.75" customHeight="1" x14ac:dyDescent="0.2">
      <c r="A1072" s="258"/>
      <c r="Z1072" s="258"/>
    </row>
    <row r="1073" spans="1:26" ht="12.75" customHeight="1" x14ac:dyDescent="0.2">
      <c r="A1073" s="258"/>
      <c r="Z1073" s="258"/>
    </row>
    <row r="1074" spans="1:26" ht="12.75" customHeight="1" x14ac:dyDescent="0.2">
      <c r="A1074" s="258"/>
      <c r="Z1074" s="258"/>
    </row>
    <row r="1075" spans="1:26" ht="12.75" customHeight="1" x14ac:dyDescent="0.2">
      <c r="A1075" s="258"/>
      <c r="Z1075" s="258"/>
    </row>
    <row r="1076" spans="1:26" ht="12.75" customHeight="1" x14ac:dyDescent="0.2">
      <c r="A1076" s="258"/>
      <c r="Z1076" s="258"/>
    </row>
    <row r="1077" spans="1:26" ht="12.75" customHeight="1" x14ac:dyDescent="0.2">
      <c r="A1077" s="258"/>
      <c r="Z1077" s="258"/>
    </row>
    <row r="1078" spans="1:26" ht="12.75" customHeight="1" x14ac:dyDescent="0.2">
      <c r="A1078" s="258"/>
      <c r="Z1078" s="258"/>
    </row>
    <row r="1079" spans="1:26" ht="12.75" customHeight="1" x14ac:dyDescent="0.2">
      <c r="A1079" s="258"/>
      <c r="Z1079" s="258"/>
    </row>
    <row r="1080" spans="1:26" ht="12.75" customHeight="1" x14ac:dyDescent="0.2">
      <c r="A1080" s="258"/>
      <c r="Z1080" s="258"/>
    </row>
    <row r="1081" spans="1:26" ht="12.75" customHeight="1" x14ac:dyDescent="0.2">
      <c r="A1081" s="258"/>
      <c r="Z1081" s="258"/>
    </row>
    <row r="1082" spans="1:26" ht="12.75" customHeight="1" x14ac:dyDescent="0.2">
      <c r="A1082" s="258"/>
      <c r="Z1082" s="258"/>
    </row>
    <row r="1083" spans="1:26" ht="12.75" customHeight="1" x14ac:dyDescent="0.2">
      <c r="A1083" s="258"/>
      <c r="Z1083" s="258"/>
    </row>
    <row r="1084" spans="1:26" ht="12.75" customHeight="1" x14ac:dyDescent="0.2">
      <c r="A1084" s="258"/>
      <c r="Z1084" s="258"/>
    </row>
    <row r="1085" spans="1:26" ht="12.75" customHeight="1" x14ac:dyDescent="0.2">
      <c r="A1085" s="258"/>
      <c r="Z1085" s="258"/>
    </row>
    <row r="1086" spans="1:26" ht="12.75" customHeight="1" x14ac:dyDescent="0.2">
      <c r="A1086" s="258"/>
      <c r="Z1086" s="258"/>
    </row>
    <row r="1087" spans="1:26" ht="12.75" customHeight="1" x14ac:dyDescent="0.2">
      <c r="A1087" s="258"/>
      <c r="Z1087" s="258"/>
    </row>
    <row r="1088" spans="1:26" ht="12.75" customHeight="1" x14ac:dyDescent="0.2">
      <c r="A1088" s="258"/>
      <c r="Z1088" s="258"/>
    </row>
    <row r="1089" spans="1:26" ht="12.75" customHeight="1" x14ac:dyDescent="0.2">
      <c r="A1089" s="258"/>
      <c r="Z1089" s="258"/>
    </row>
    <row r="1090" spans="1:26" ht="12.75" customHeight="1" x14ac:dyDescent="0.2">
      <c r="A1090" s="258"/>
      <c r="Z1090" s="258"/>
    </row>
    <row r="1091" spans="1:26" ht="12.75" customHeight="1" x14ac:dyDescent="0.2">
      <c r="A1091" s="258"/>
      <c r="Z1091" s="258"/>
    </row>
    <row r="1092" spans="1:26" ht="12.75" customHeight="1" x14ac:dyDescent="0.2">
      <c r="A1092" s="258"/>
      <c r="Z1092" s="258"/>
    </row>
    <row r="1093" spans="1:26" ht="12.75" customHeight="1" x14ac:dyDescent="0.2">
      <c r="A1093" s="258"/>
      <c r="Z1093" s="258"/>
    </row>
    <row r="1094" spans="1:26" ht="12.75" customHeight="1" x14ac:dyDescent="0.2">
      <c r="A1094" s="258"/>
      <c r="Z1094" s="258"/>
    </row>
    <row r="1095" spans="1:26" ht="12.75" customHeight="1" x14ac:dyDescent="0.2">
      <c r="A1095" s="258"/>
      <c r="Z1095" s="258"/>
    </row>
    <row r="1096" spans="1:26" ht="12.75" customHeight="1" x14ac:dyDescent="0.2">
      <c r="A1096" s="258"/>
      <c r="Z1096" s="258"/>
    </row>
    <row r="1097" spans="1:26" ht="12.75" customHeight="1" x14ac:dyDescent="0.2">
      <c r="A1097" s="258"/>
      <c r="Z1097" s="258"/>
    </row>
    <row r="1098" spans="1:26" ht="12.75" customHeight="1" x14ac:dyDescent="0.2">
      <c r="A1098" s="258"/>
      <c r="Z1098" s="258"/>
    </row>
    <row r="1099" spans="1:26" ht="12.75" customHeight="1" x14ac:dyDescent="0.2">
      <c r="A1099" s="258"/>
      <c r="Z1099" s="258"/>
    </row>
    <row r="1100" spans="1:26" ht="12.75" customHeight="1" x14ac:dyDescent="0.2">
      <c r="A1100" s="258"/>
      <c r="Z1100" s="258"/>
    </row>
    <row r="1101" spans="1:26" ht="12.75" customHeight="1" x14ac:dyDescent="0.2">
      <c r="A1101" s="258"/>
      <c r="Z1101" s="258"/>
    </row>
    <row r="1102" spans="1:26" ht="12.75" customHeight="1" x14ac:dyDescent="0.2">
      <c r="A1102" s="258"/>
      <c r="Z1102" s="258"/>
    </row>
    <row r="1103" spans="1:26" ht="12.75" customHeight="1" x14ac:dyDescent="0.2">
      <c r="A1103" s="258"/>
      <c r="Z1103" s="258"/>
    </row>
    <row r="1104" spans="1:26" ht="12.75" customHeight="1" x14ac:dyDescent="0.2">
      <c r="A1104" s="258"/>
      <c r="Z1104" s="258"/>
    </row>
    <row r="1105" spans="1:26" ht="12.75" customHeight="1" x14ac:dyDescent="0.2">
      <c r="A1105" s="258"/>
      <c r="Z1105" s="258"/>
    </row>
    <row r="1106" spans="1:26" ht="12.75" customHeight="1" x14ac:dyDescent="0.2">
      <c r="A1106" s="258"/>
      <c r="Z1106" s="258"/>
    </row>
    <row r="1107" spans="1:26" ht="12.75" customHeight="1" x14ac:dyDescent="0.2">
      <c r="A1107" s="258"/>
      <c r="Z1107" s="258"/>
    </row>
    <row r="1108" spans="1:26" ht="12.75" customHeight="1" x14ac:dyDescent="0.2">
      <c r="A1108" s="258"/>
      <c r="Z1108" s="258"/>
    </row>
    <row r="1109" spans="1:26" ht="12.75" customHeight="1" x14ac:dyDescent="0.2">
      <c r="A1109" s="258"/>
      <c r="Z1109" s="258"/>
    </row>
    <row r="1110" spans="1:26" ht="12.75" customHeight="1" x14ac:dyDescent="0.2">
      <c r="A1110" s="258"/>
      <c r="Z1110" s="258"/>
    </row>
    <row r="1111" spans="1:26" ht="12.75" customHeight="1" x14ac:dyDescent="0.2">
      <c r="A1111" s="258"/>
      <c r="Z1111" s="258"/>
    </row>
    <row r="1112" spans="1:26" ht="12.75" customHeight="1" x14ac:dyDescent="0.2">
      <c r="A1112" s="258"/>
      <c r="Z1112" s="258"/>
    </row>
    <row r="1113" spans="1:26" ht="12.75" customHeight="1" x14ac:dyDescent="0.2">
      <c r="A1113" s="258"/>
      <c r="Z1113" s="258"/>
    </row>
    <row r="1114" spans="1:26" ht="12.75" customHeight="1" x14ac:dyDescent="0.2">
      <c r="A1114" s="258"/>
      <c r="Z1114" s="258"/>
    </row>
    <row r="1115" spans="1:26" ht="12.75" customHeight="1" x14ac:dyDescent="0.2">
      <c r="A1115" s="258"/>
      <c r="Z1115" s="258"/>
    </row>
    <row r="1116" spans="1:26" ht="12.75" customHeight="1" x14ac:dyDescent="0.2">
      <c r="A1116" s="258"/>
      <c r="Z1116" s="258"/>
    </row>
    <row r="1117" spans="1:26" ht="12.75" customHeight="1" x14ac:dyDescent="0.2">
      <c r="A1117" s="258"/>
      <c r="Z1117" s="258"/>
    </row>
    <row r="1118" spans="1:26" ht="12.75" customHeight="1" x14ac:dyDescent="0.2">
      <c r="A1118" s="258"/>
      <c r="Z1118" s="258"/>
    </row>
    <row r="1119" spans="1:26" ht="12.75" customHeight="1" x14ac:dyDescent="0.2">
      <c r="A1119" s="258"/>
      <c r="Z1119" s="258"/>
    </row>
    <row r="1120" spans="1:26" ht="12.75" customHeight="1" x14ac:dyDescent="0.2">
      <c r="A1120" s="258"/>
      <c r="Z1120" s="258"/>
    </row>
    <row r="1121" spans="1:26" ht="12.75" customHeight="1" x14ac:dyDescent="0.2">
      <c r="A1121" s="258"/>
      <c r="Z1121" s="258"/>
    </row>
    <row r="1122" spans="1:26" ht="12.75" customHeight="1" x14ac:dyDescent="0.2">
      <c r="A1122" s="258"/>
      <c r="Z1122" s="258"/>
    </row>
    <row r="1123" spans="1:26" ht="12.75" customHeight="1" x14ac:dyDescent="0.2">
      <c r="A1123" s="258"/>
      <c r="Z1123" s="258"/>
    </row>
    <row r="1124" spans="1:26" ht="12.75" customHeight="1" x14ac:dyDescent="0.2">
      <c r="A1124" s="258"/>
      <c r="Z1124" s="258"/>
    </row>
    <row r="1125" spans="1:26" ht="12.75" customHeight="1" x14ac:dyDescent="0.2">
      <c r="A1125" s="258"/>
      <c r="Z1125" s="258"/>
    </row>
    <row r="1126" spans="1:26" ht="12.75" customHeight="1" x14ac:dyDescent="0.2">
      <c r="A1126" s="258"/>
      <c r="Z1126" s="258"/>
    </row>
    <row r="1127" spans="1:26" ht="12.75" customHeight="1" x14ac:dyDescent="0.2">
      <c r="A1127" s="258"/>
      <c r="Z1127" s="258"/>
    </row>
    <row r="1128" spans="1:26" ht="12.75" customHeight="1" x14ac:dyDescent="0.2">
      <c r="A1128" s="258"/>
      <c r="Z1128" s="258"/>
    </row>
    <row r="1129" spans="1:26" ht="12.75" customHeight="1" x14ac:dyDescent="0.2">
      <c r="A1129" s="258"/>
      <c r="Z1129" s="258"/>
    </row>
    <row r="1130" spans="1:26" ht="12.75" customHeight="1" x14ac:dyDescent="0.2">
      <c r="A1130" s="258"/>
      <c r="Z1130" s="258"/>
    </row>
    <row r="1131" spans="1:26" ht="12.75" customHeight="1" x14ac:dyDescent="0.2">
      <c r="A1131" s="258"/>
      <c r="Z1131" s="258"/>
    </row>
    <row r="1132" spans="1:26" ht="12.75" customHeight="1" x14ac:dyDescent="0.2">
      <c r="A1132" s="258"/>
      <c r="Z1132" s="258"/>
    </row>
    <row r="1133" spans="1:26" ht="12.75" customHeight="1" x14ac:dyDescent="0.2">
      <c r="A1133" s="258"/>
      <c r="Z1133" s="258"/>
    </row>
    <row r="1134" spans="1:26" ht="12.75" customHeight="1" x14ac:dyDescent="0.2">
      <c r="A1134" s="258"/>
      <c r="Z1134" s="258"/>
    </row>
    <row r="1135" spans="1:26" ht="12.75" customHeight="1" x14ac:dyDescent="0.2">
      <c r="A1135" s="258"/>
      <c r="Z1135" s="258"/>
    </row>
    <row r="1136" spans="1:26" ht="12.75" customHeight="1" x14ac:dyDescent="0.2">
      <c r="A1136" s="258"/>
      <c r="Z1136" s="258"/>
    </row>
    <row r="1137" spans="1:26" ht="12.75" customHeight="1" x14ac:dyDescent="0.2">
      <c r="A1137" s="258"/>
      <c r="Z1137" s="258"/>
    </row>
    <row r="1138" spans="1:26" ht="12.75" customHeight="1" x14ac:dyDescent="0.2">
      <c r="A1138" s="258"/>
      <c r="Z1138" s="258"/>
    </row>
    <row r="1139" spans="1:26" ht="12.75" customHeight="1" x14ac:dyDescent="0.2">
      <c r="A1139" s="258"/>
      <c r="Z1139" s="258"/>
    </row>
    <row r="1140" spans="1:26" ht="12.75" customHeight="1" x14ac:dyDescent="0.2">
      <c r="A1140" s="258"/>
      <c r="Z1140" s="258"/>
    </row>
    <row r="1141" spans="1:26" ht="12.75" customHeight="1" x14ac:dyDescent="0.2">
      <c r="A1141" s="258"/>
      <c r="Z1141" s="258"/>
    </row>
    <row r="1142" spans="1:26" ht="12.75" customHeight="1" x14ac:dyDescent="0.2">
      <c r="A1142" s="258"/>
      <c r="Z1142" s="258"/>
    </row>
    <row r="1143" spans="1:26" ht="12.75" customHeight="1" x14ac:dyDescent="0.2">
      <c r="A1143" s="258"/>
      <c r="Z1143" s="258"/>
    </row>
    <row r="1144" spans="1:26" ht="12.75" customHeight="1" x14ac:dyDescent="0.2">
      <c r="A1144" s="258"/>
      <c r="Z1144" s="258"/>
    </row>
    <row r="1145" spans="1:26" ht="12.75" customHeight="1" x14ac:dyDescent="0.2">
      <c r="A1145" s="258"/>
      <c r="Z1145" s="258"/>
    </row>
    <row r="1146" spans="1:26" ht="12.75" customHeight="1" x14ac:dyDescent="0.2">
      <c r="A1146" s="258"/>
      <c r="Z1146" s="258"/>
    </row>
    <row r="1147" spans="1:26" ht="12.75" customHeight="1" x14ac:dyDescent="0.2">
      <c r="A1147" s="258"/>
      <c r="Z1147" s="258"/>
    </row>
    <row r="1148" spans="1:26" ht="12.75" customHeight="1" x14ac:dyDescent="0.2">
      <c r="A1148" s="258"/>
      <c r="Z1148" s="258"/>
    </row>
    <row r="1149" spans="1:26" ht="12.75" customHeight="1" x14ac:dyDescent="0.2">
      <c r="A1149" s="258"/>
      <c r="Z1149" s="258"/>
    </row>
    <row r="1150" spans="1:26" ht="12.75" customHeight="1" x14ac:dyDescent="0.2">
      <c r="A1150" s="258"/>
      <c r="Z1150" s="258"/>
    </row>
    <row r="1151" spans="1:26" ht="12.75" customHeight="1" x14ac:dyDescent="0.2">
      <c r="A1151" s="258"/>
      <c r="Z1151" s="258"/>
    </row>
    <row r="1152" spans="1:26" ht="12.75" customHeight="1" x14ac:dyDescent="0.2">
      <c r="A1152" s="258"/>
      <c r="Z1152" s="258"/>
    </row>
    <row r="1153" spans="1:26" ht="12.75" customHeight="1" x14ac:dyDescent="0.2">
      <c r="A1153" s="258"/>
      <c r="Z1153" s="258"/>
    </row>
    <row r="1154" spans="1:26" ht="12.75" customHeight="1" x14ac:dyDescent="0.2">
      <c r="A1154" s="258"/>
      <c r="Z1154" s="258"/>
    </row>
    <row r="1155" spans="1:26" ht="12.75" customHeight="1" x14ac:dyDescent="0.2">
      <c r="A1155" s="258"/>
      <c r="Z1155" s="258"/>
    </row>
    <row r="1156" spans="1:26" ht="12.75" customHeight="1" x14ac:dyDescent="0.2">
      <c r="A1156" s="258"/>
      <c r="Z1156" s="258"/>
    </row>
    <row r="1157" spans="1:26" ht="12.75" customHeight="1" x14ac:dyDescent="0.2">
      <c r="A1157" s="258"/>
      <c r="Z1157" s="258"/>
    </row>
    <row r="1158" spans="1:26" ht="12.75" customHeight="1" x14ac:dyDescent="0.2">
      <c r="A1158" s="258"/>
      <c r="Z1158" s="258"/>
    </row>
    <row r="1159" spans="1:26" ht="12.75" customHeight="1" x14ac:dyDescent="0.2">
      <c r="A1159" s="258"/>
      <c r="Z1159" s="258"/>
    </row>
    <row r="1160" spans="1:26" ht="12.75" customHeight="1" x14ac:dyDescent="0.2">
      <c r="A1160" s="258"/>
      <c r="Z1160" s="258"/>
    </row>
    <row r="1161" spans="1:26" ht="12.75" customHeight="1" x14ac:dyDescent="0.2">
      <c r="A1161" s="258"/>
      <c r="Z1161" s="258"/>
    </row>
    <row r="1162" spans="1:26" ht="12.75" customHeight="1" x14ac:dyDescent="0.2">
      <c r="A1162" s="258"/>
      <c r="Z1162" s="258"/>
    </row>
    <row r="1163" spans="1:26" ht="12.75" customHeight="1" x14ac:dyDescent="0.2">
      <c r="A1163" s="258"/>
      <c r="Z1163" s="258"/>
    </row>
    <row r="1164" spans="1:26" ht="12.75" customHeight="1" x14ac:dyDescent="0.2">
      <c r="A1164" s="258"/>
      <c r="Z1164" s="258"/>
    </row>
    <row r="1165" spans="1:26" ht="12.75" customHeight="1" x14ac:dyDescent="0.2">
      <c r="A1165" s="258"/>
      <c r="Z1165" s="258"/>
    </row>
    <row r="1166" spans="1:26" ht="12.75" customHeight="1" x14ac:dyDescent="0.2">
      <c r="A1166" s="258"/>
      <c r="Z1166" s="258"/>
    </row>
    <row r="1167" spans="1:26" ht="12.75" customHeight="1" x14ac:dyDescent="0.2">
      <c r="A1167" s="258"/>
      <c r="Z1167" s="258"/>
    </row>
    <row r="1168" spans="1:26" ht="12.75" customHeight="1" x14ac:dyDescent="0.2">
      <c r="A1168" s="258"/>
      <c r="Z1168" s="258"/>
    </row>
    <row r="1169" spans="1:26" ht="12.75" customHeight="1" x14ac:dyDescent="0.2">
      <c r="A1169" s="258"/>
      <c r="Z1169" s="258"/>
    </row>
    <row r="1170" spans="1:26" ht="12.75" customHeight="1" x14ac:dyDescent="0.2">
      <c r="A1170" s="258"/>
      <c r="Z1170" s="258"/>
    </row>
    <row r="1171" spans="1:26" ht="12.75" customHeight="1" x14ac:dyDescent="0.2">
      <c r="A1171" s="258"/>
      <c r="Z1171" s="258"/>
    </row>
    <row r="1172" spans="1:26" ht="12.75" customHeight="1" x14ac:dyDescent="0.2">
      <c r="A1172" s="258"/>
      <c r="Z1172" s="258"/>
    </row>
    <row r="1173" spans="1:26" ht="12.75" customHeight="1" x14ac:dyDescent="0.2">
      <c r="A1173" s="258"/>
      <c r="Z1173" s="258"/>
    </row>
    <row r="1174" spans="1:26" ht="12.75" customHeight="1" x14ac:dyDescent="0.2">
      <c r="A1174" s="258"/>
      <c r="Z1174" s="258"/>
    </row>
    <row r="1175" spans="1:26" ht="12.75" customHeight="1" x14ac:dyDescent="0.2">
      <c r="A1175" s="258"/>
      <c r="Z1175" s="258"/>
    </row>
    <row r="1176" spans="1:26" ht="12.75" customHeight="1" x14ac:dyDescent="0.2">
      <c r="A1176" s="258"/>
      <c r="Z1176" s="258"/>
    </row>
    <row r="1177" spans="1:26" ht="12.75" customHeight="1" x14ac:dyDescent="0.2">
      <c r="A1177" s="258"/>
      <c r="Z1177" s="258"/>
    </row>
    <row r="1178" spans="1:26" ht="12.75" customHeight="1" x14ac:dyDescent="0.2">
      <c r="A1178" s="258"/>
      <c r="Z1178" s="258"/>
    </row>
    <row r="1179" spans="1:26" ht="12.75" customHeight="1" x14ac:dyDescent="0.2">
      <c r="A1179" s="258"/>
      <c r="Z1179" s="258"/>
    </row>
    <row r="1180" spans="1:26" ht="12.75" customHeight="1" x14ac:dyDescent="0.2">
      <c r="A1180" s="258"/>
      <c r="Z1180" s="258"/>
    </row>
    <row r="1181" spans="1:26" ht="12.75" customHeight="1" x14ac:dyDescent="0.2">
      <c r="A1181" s="258"/>
      <c r="Z1181" s="258"/>
    </row>
    <row r="1182" spans="1:26" ht="12.75" customHeight="1" x14ac:dyDescent="0.2">
      <c r="A1182" s="258"/>
      <c r="Z1182" s="258"/>
    </row>
    <row r="1183" spans="1:26" ht="12.75" customHeight="1" x14ac:dyDescent="0.2">
      <c r="A1183" s="258"/>
      <c r="Z1183" s="258"/>
    </row>
    <row r="1184" spans="1:26" ht="12.75" customHeight="1" x14ac:dyDescent="0.2">
      <c r="A1184" s="258"/>
      <c r="Z1184" s="258"/>
    </row>
    <row r="1185" spans="1:26" ht="12.75" customHeight="1" x14ac:dyDescent="0.2">
      <c r="A1185" s="258"/>
      <c r="Z1185" s="258"/>
    </row>
    <row r="1186" spans="1:26" ht="12.75" customHeight="1" x14ac:dyDescent="0.2">
      <c r="A1186" s="258"/>
      <c r="Z1186" s="258"/>
    </row>
    <row r="1187" spans="1:26" ht="12.75" customHeight="1" x14ac:dyDescent="0.2">
      <c r="A1187" s="258"/>
      <c r="Z1187" s="258"/>
    </row>
    <row r="1188" spans="1:26" ht="12.75" customHeight="1" x14ac:dyDescent="0.2">
      <c r="A1188" s="258"/>
      <c r="Z1188" s="258"/>
    </row>
    <row r="1189" spans="1:26" ht="12.75" customHeight="1" x14ac:dyDescent="0.2">
      <c r="A1189" s="258"/>
      <c r="Z1189" s="258"/>
    </row>
    <row r="1190" spans="1:26" ht="12.75" customHeight="1" x14ac:dyDescent="0.2">
      <c r="A1190" s="258"/>
      <c r="Z1190" s="258"/>
    </row>
    <row r="1191" spans="1:26" ht="12.75" customHeight="1" x14ac:dyDescent="0.2">
      <c r="A1191" s="258"/>
      <c r="Z1191" s="258"/>
    </row>
    <row r="1192" spans="1:26" ht="12.75" customHeight="1" x14ac:dyDescent="0.2">
      <c r="A1192" s="258"/>
      <c r="Z1192" s="258"/>
    </row>
    <row r="1193" spans="1:26" ht="12.75" customHeight="1" x14ac:dyDescent="0.2">
      <c r="A1193" s="258"/>
      <c r="Z1193" s="258"/>
    </row>
    <row r="1194" spans="1:26" ht="12.75" customHeight="1" x14ac:dyDescent="0.2">
      <c r="A1194" s="258"/>
      <c r="Z1194" s="258"/>
    </row>
    <row r="1195" spans="1:26" ht="12.75" customHeight="1" x14ac:dyDescent="0.2">
      <c r="A1195" s="258"/>
      <c r="Z1195" s="258"/>
    </row>
    <row r="1196" spans="1:26" ht="12.75" customHeight="1" x14ac:dyDescent="0.2">
      <c r="A1196" s="258"/>
      <c r="Z1196" s="258"/>
    </row>
    <row r="1197" spans="1:26" ht="12.75" customHeight="1" x14ac:dyDescent="0.2">
      <c r="A1197" s="258"/>
      <c r="Z1197" s="258"/>
    </row>
    <row r="1198" spans="1:26" ht="12.75" customHeight="1" x14ac:dyDescent="0.2">
      <c r="A1198" s="258"/>
      <c r="Z1198" s="258"/>
    </row>
    <row r="1199" spans="1:26" ht="12.75" customHeight="1" x14ac:dyDescent="0.2">
      <c r="A1199" s="258"/>
      <c r="Z1199" s="258"/>
    </row>
    <row r="1200" spans="1:26" ht="12.75" customHeight="1" x14ac:dyDescent="0.2">
      <c r="A1200" s="258"/>
      <c r="Z1200" s="258"/>
    </row>
    <row r="1201" spans="1:26" ht="12.75" customHeight="1" x14ac:dyDescent="0.2">
      <c r="A1201" s="258"/>
      <c r="Z1201" s="258"/>
    </row>
    <row r="1202" spans="1:26" ht="12.75" customHeight="1" x14ac:dyDescent="0.2">
      <c r="A1202" s="258"/>
      <c r="Z1202" s="258"/>
    </row>
    <row r="1203" spans="1:26" ht="12.75" customHeight="1" x14ac:dyDescent="0.2">
      <c r="A1203" s="258"/>
      <c r="Z1203" s="258"/>
    </row>
    <row r="1204" spans="1:26" ht="12.75" customHeight="1" x14ac:dyDescent="0.2">
      <c r="A1204" s="258"/>
      <c r="Z1204" s="258"/>
    </row>
    <row r="1205" spans="1:26" ht="12.75" customHeight="1" x14ac:dyDescent="0.2">
      <c r="A1205" s="258"/>
      <c r="Z1205" s="258"/>
    </row>
    <row r="1206" spans="1:26" ht="12.75" customHeight="1" x14ac:dyDescent="0.2">
      <c r="A1206" s="258"/>
      <c r="Z1206" s="258"/>
    </row>
    <row r="1207" spans="1:26" ht="12.75" customHeight="1" x14ac:dyDescent="0.2">
      <c r="A1207" s="258"/>
      <c r="Z1207" s="258"/>
    </row>
    <row r="1208" spans="1:26" ht="12.75" customHeight="1" x14ac:dyDescent="0.2">
      <c r="A1208" s="258"/>
      <c r="Z1208" s="258"/>
    </row>
    <row r="1209" spans="1:26" ht="12.75" customHeight="1" x14ac:dyDescent="0.2">
      <c r="A1209" s="258"/>
      <c r="Z1209" s="258"/>
    </row>
    <row r="1210" spans="1:26" ht="12.75" customHeight="1" x14ac:dyDescent="0.2">
      <c r="A1210" s="258"/>
      <c r="Z1210" s="258"/>
    </row>
    <row r="1211" spans="1:26" ht="12.75" customHeight="1" x14ac:dyDescent="0.2">
      <c r="A1211" s="258"/>
      <c r="Z1211" s="258"/>
    </row>
    <row r="1212" spans="1:26" ht="12.75" customHeight="1" x14ac:dyDescent="0.2">
      <c r="A1212" s="258"/>
      <c r="Z1212" s="258"/>
    </row>
    <row r="1213" spans="1:26" ht="12.75" customHeight="1" x14ac:dyDescent="0.2">
      <c r="A1213" s="258"/>
      <c r="Z1213" s="258"/>
    </row>
    <row r="1214" spans="1:26" ht="12.75" customHeight="1" x14ac:dyDescent="0.2">
      <c r="A1214" s="258"/>
      <c r="Z1214" s="258"/>
    </row>
    <row r="1215" spans="1:26" ht="12.75" customHeight="1" x14ac:dyDescent="0.2">
      <c r="A1215" s="258"/>
      <c r="Z1215" s="258"/>
    </row>
    <row r="1216" spans="1:26" ht="12.75" customHeight="1" x14ac:dyDescent="0.2">
      <c r="A1216" s="258"/>
      <c r="Z1216" s="258"/>
    </row>
    <row r="1217" spans="1:26" ht="12.75" customHeight="1" x14ac:dyDescent="0.2">
      <c r="A1217" s="258"/>
      <c r="Z1217" s="258"/>
    </row>
    <row r="1218" spans="1:26" ht="12.75" customHeight="1" x14ac:dyDescent="0.2">
      <c r="A1218" s="258"/>
      <c r="Z1218" s="258"/>
    </row>
    <row r="1219" spans="1:26" ht="12.75" customHeight="1" x14ac:dyDescent="0.2">
      <c r="A1219" s="258"/>
      <c r="Z1219" s="258"/>
    </row>
    <row r="1220" spans="1:26" ht="12.75" customHeight="1" x14ac:dyDescent="0.2">
      <c r="A1220" s="258"/>
      <c r="Z1220" s="258"/>
    </row>
    <row r="1221" spans="1:26" ht="12.75" customHeight="1" x14ac:dyDescent="0.2">
      <c r="A1221" s="258"/>
      <c r="Z1221" s="258"/>
    </row>
    <row r="1222" spans="1:26" ht="12.75" customHeight="1" x14ac:dyDescent="0.2">
      <c r="A1222" s="258"/>
      <c r="Z1222" s="258"/>
    </row>
    <row r="1223" spans="1:26" ht="12.75" customHeight="1" x14ac:dyDescent="0.2">
      <c r="A1223" s="258"/>
      <c r="Z1223" s="258"/>
    </row>
    <row r="1224" spans="1:26" ht="12.75" customHeight="1" x14ac:dyDescent="0.2">
      <c r="A1224" s="258"/>
      <c r="Z1224" s="258"/>
    </row>
    <row r="1225" spans="1:26" ht="12.75" customHeight="1" x14ac:dyDescent="0.2">
      <c r="A1225" s="258"/>
      <c r="Z1225" s="258"/>
    </row>
    <row r="1226" spans="1:26" ht="12.75" customHeight="1" x14ac:dyDescent="0.2">
      <c r="A1226" s="258"/>
      <c r="Z1226" s="258"/>
    </row>
    <row r="1227" spans="1:26" ht="12.75" customHeight="1" x14ac:dyDescent="0.2">
      <c r="A1227" s="258"/>
      <c r="Z1227" s="258"/>
    </row>
    <row r="1228" spans="1:26" ht="12.75" customHeight="1" x14ac:dyDescent="0.2">
      <c r="A1228" s="258"/>
      <c r="Z1228" s="258"/>
    </row>
    <row r="1229" spans="1:26" ht="12.75" customHeight="1" x14ac:dyDescent="0.2">
      <c r="A1229" s="258"/>
      <c r="Z1229" s="258"/>
    </row>
    <row r="1230" spans="1:26" ht="12.75" customHeight="1" x14ac:dyDescent="0.2">
      <c r="A1230" s="258"/>
      <c r="Z1230" s="258"/>
    </row>
    <row r="1231" spans="1:26" ht="12.75" customHeight="1" x14ac:dyDescent="0.2">
      <c r="A1231" s="258"/>
      <c r="Z1231" s="258"/>
    </row>
    <row r="1232" spans="1:26" ht="12.75" customHeight="1" x14ac:dyDescent="0.2">
      <c r="A1232" s="258"/>
      <c r="Z1232" s="258"/>
    </row>
    <row r="1233" spans="1:26" ht="12.75" customHeight="1" x14ac:dyDescent="0.2">
      <c r="A1233" s="258"/>
      <c r="Z1233" s="258"/>
    </row>
    <row r="1234" spans="1:26" ht="12.75" customHeight="1" x14ac:dyDescent="0.2">
      <c r="A1234" s="258"/>
      <c r="Z1234" s="258"/>
    </row>
    <row r="1235" spans="1:26" ht="12.75" customHeight="1" x14ac:dyDescent="0.2">
      <c r="A1235" s="258"/>
      <c r="Z1235" s="258"/>
    </row>
    <row r="1236" spans="1:26" ht="12.75" customHeight="1" x14ac:dyDescent="0.2">
      <c r="A1236" s="258"/>
      <c r="Z1236" s="258"/>
    </row>
    <row r="1237" spans="1:26" ht="12.75" customHeight="1" x14ac:dyDescent="0.2">
      <c r="A1237" s="258"/>
      <c r="Z1237" s="258"/>
    </row>
    <row r="1238" spans="1:26" ht="12.75" customHeight="1" x14ac:dyDescent="0.2">
      <c r="A1238" s="258"/>
      <c r="Z1238" s="258"/>
    </row>
    <row r="1239" spans="1:26" ht="12.75" customHeight="1" x14ac:dyDescent="0.2">
      <c r="A1239" s="258"/>
      <c r="Z1239" s="258"/>
    </row>
    <row r="1240" spans="1:26" ht="12.75" customHeight="1" x14ac:dyDescent="0.2">
      <c r="A1240" s="258"/>
      <c r="Z1240" s="258"/>
    </row>
    <row r="1241" spans="1:26" ht="12.75" customHeight="1" x14ac:dyDescent="0.2">
      <c r="A1241" s="258"/>
      <c r="Z1241" s="258"/>
    </row>
    <row r="1242" spans="1:26" ht="12.75" customHeight="1" x14ac:dyDescent="0.2">
      <c r="A1242" s="258"/>
      <c r="Z1242" s="258"/>
    </row>
    <row r="1243" spans="1:26" ht="12.75" customHeight="1" x14ac:dyDescent="0.2">
      <c r="A1243" s="258"/>
      <c r="Z1243" s="258"/>
    </row>
    <row r="1244" spans="1:26" ht="12.75" customHeight="1" x14ac:dyDescent="0.2">
      <c r="A1244" s="258"/>
      <c r="Z1244" s="258"/>
    </row>
    <row r="1245" spans="1:26" ht="12.75" customHeight="1" x14ac:dyDescent="0.2">
      <c r="A1245" s="258"/>
      <c r="Z1245" s="258"/>
    </row>
    <row r="1246" spans="1:26" ht="12.75" customHeight="1" x14ac:dyDescent="0.2">
      <c r="A1246" s="258"/>
      <c r="Z1246" s="258"/>
    </row>
    <row r="1247" spans="1:26" ht="12.75" customHeight="1" x14ac:dyDescent="0.2">
      <c r="A1247" s="258"/>
      <c r="Z1247" s="258"/>
    </row>
    <row r="1248" spans="1:26" ht="12.75" customHeight="1" x14ac:dyDescent="0.2">
      <c r="A1248" s="258"/>
      <c r="Z1248" s="258"/>
    </row>
    <row r="1249" spans="1:26" ht="12.75" customHeight="1" x14ac:dyDescent="0.2">
      <c r="A1249" s="258"/>
      <c r="Z1249" s="258"/>
    </row>
    <row r="1250" spans="1:26" ht="12.75" customHeight="1" x14ac:dyDescent="0.2">
      <c r="A1250" s="258"/>
      <c r="Z1250" s="258"/>
    </row>
    <row r="1251" spans="1:26" ht="12.75" customHeight="1" x14ac:dyDescent="0.2">
      <c r="A1251" s="258"/>
      <c r="Z1251" s="258"/>
    </row>
    <row r="1252" spans="1:26" ht="12.75" customHeight="1" x14ac:dyDescent="0.2">
      <c r="A1252" s="258"/>
      <c r="Z1252" s="258"/>
    </row>
    <row r="1253" spans="1:26" ht="12.75" customHeight="1" x14ac:dyDescent="0.2">
      <c r="A1253" s="258"/>
      <c r="Z1253" s="258"/>
    </row>
    <row r="1254" spans="1:26" ht="12.75" customHeight="1" x14ac:dyDescent="0.2">
      <c r="A1254" s="258"/>
      <c r="Z1254" s="258"/>
    </row>
    <row r="1255" spans="1:26" ht="12.75" customHeight="1" x14ac:dyDescent="0.2">
      <c r="A1255" s="258"/>
      <c r="Z1255" s="258"/>
    </row>
    <row r="1256" spans="1:26" ht="12.75" customHeight="1" x14ac:dyDescent="0.2">
      <c r="A1256" s="258"/>
      <c r="Z1256" s="258"/>
    </row>
    <row r="1257" spans="1:26" ht="12.75" customHeight="1" x14ac:dyDescent="0.2">
      <c r="A1257" s="258"/>
      <c r="Z1257" s="258"/>
    </row>
    <row r="1258" spans="1:26" ht="12.75" customHeight="1" x14ac:dyDescent="0.2">
      <c r="A1258" s="258"/>
      <c r="Z1258" s="258"/>
    </row>
    <row r="1259" spans="1:26" ht="12.75" customHeight="1" x14ac:dyDescent="0.2">
      <c r="A1259" s="258"/>
      <c r="Z1259" s="258"/>
    </row>
    <row r="1260" spans="1:26" ht="12.75" customHeight="1" x14ac:dyDescent="0.2">
      <c r="A1260" s="258"/>
      <c r="Z1260" s="258"/>
    </row>
    <row r="1261" spans="1:26" ht="12.75" customHeight="1" x14ac:dyDescent="0.2">
      <c r="A1261" s="258"/>
      <c r="Z1261" s="258"/>
    </row>
    <row r="1262" spans="1:26" ht="12.75" customHeight="1" x14ac:dyDescent="0.2">
      <c r="A1262" s="258"/>
      <c r="Z1262" s="258"/>
    </row>
    <row r="1263" spans="1:26" ht="12.75" customHeight="1" x14ac:dyDescent="0.2">
      <c r="A1263" s="258"/>
      <c r="Z1263" s="258"/>
    </row>
    <row r="1264" spans="1:26" ht="12.75" customHeight="1" x14ac:dyDescent="0.2">
      <c r="A1264" s="258"/>
      <c r="Z1264" s="258"/>
    </row>
    <row r="1265" spans="1:26" ht="12.75" customHeight="1" x14ac:dyDescent="0.2">
      <c r="A1265" s="258"/>
      <c r="Z1265" s="258"/>
    </row>
    <row r="1266" spans="1:26" ht="12.75" customHeight="1" x14ac:dyDescent="0.2">
      <c r="A1266" s="258"/>
      <c r="Z1266" s="258"/>
    </row>
    <row r="1267" spans="1:26" ht="12.75" customHeight="1" x14ac:dyDescent="0.2">
      <c r="A1267" s="258"/>
      <c r="Z1267" s="258"/>
    </row>
    <row r="1268" spans="1:26" ht="12.75" customHeight="1" x14ac:dyDescent="0.2">
      <c r="A1268" s="258"/>
      <c r="Z1268" s="258"/>
    </row>
    <row r="1269" spans="1:26" ht="12.75" customHeight="1" x14ac:dyDescent="0.2">
      <c r="A1269" s="258"/>
      <c r="Z1269" s="258"/>
    </row>
    <row r="1270" spans="1:26" ht="12.75" customHeight="1" x14ac:dyDescent="0.2">
      <c r="A1270" s="258"/>
      <c r="Z1270" s="258"/>
    </row>
    <row r="1271" spans="1:26" ht="12.75" customHeight="1" x14ac:dyDescent="0.2">
      <c r="A1271" s="258"/>
      <c r="Z1271" s="258"/>
    </row>
    <row r="1272" spans="1:26" ht="12.75" customHeight="1" x14ac:dyDescent="0.2">
      <c r="A1272" s="258"/>
      <c r="Z1272" s="258"/>
    </row>
    <row r="1273" spans="1:26" ht="12.75" customHeight="1" x14ac:dyDescent="0.2">
      <c r="A1273" s="258"/>
      <c r="Z1273" s="258"/>
    </row>
    <row r="1274" spans="1:26" ht="12.75" customHeight="1" x14ac:dyDescent="0.2">
      <c r="A1274" s="258"/>
      <c r="Z1274" s="258"/>
    </row>
    <row r="1275" spans="1:26" ht="12.75" customHeight="1" x14ac:dyDescent="0.2">
      <c r="A1275" s="258"/>
      <c r="Z1275" s="258"/>
    </row>
    <row r="1276" spans="1:26" ht="12.75" customHeight="1" x14ac:dyDescent="0.2">
      <c r="A1276" s="258"/>
      <c r="Z1276" s="258"/>
    </row>
    <row r="1277" spans="1:26" ht="12.75" customHeight="1" x14ac:dyDescent="0.2">
      <c r="A1277" s="258"/>
      <c r="Z1277" s="258"/>
    </row>
    <row r="1278" spans="1:26" ht="12.75" customHeight="1" x14ac:dyDescent="0.2">
      <c r="A1278" s="258"/>
      <c r="Z1278" s="258"/>
    </row>
    <row r="1279" spans="1:26" ht="12.75" customHeight="1" x14ac:dyDescent="0.2">
      <c r="A1279" s="258"/>
      <c r="Z1279" s="258"/>
    </row>
    <row r="1280" spans="1:26" ht="12.75" customHeight="1" x14ac:dyDescent="0.2">
      <c r="A1280" s="258"/>
      <c r="Z1280" s="258"/>
    </row>
    <row r="1281" spans="1:26" ht="12.75" customHeight="1" x14ac:dyDescent="0.2">
      <c r="A1281" s="258"/>
      <c r="Z1281" s="258"/>
    </row>
    <row r="1282" spans="1:26" ht="12.75" customHeight="1" x14ac:dyDescent="0.2">
      <c r="A1282" s="258"/>
      <c r="Z1282" s="258"/>
    </row>
    <row r="1283" spans="1:26" ht="12.75" customHeight="1" x14ac:dyDescent="0.2">
      <c r="A1283" s="258"/>
      <c r="Z1283" s="258"/>
    </row>
    <row r="1284" spans="1:26" ht="12.75" customHeight="1" x14ac:dyDescent="0.2">
      <c r="A1284" s="258"/>
      <c r="Z1284" s="258"/>
    </row>
    <row r="1285" spans="1:26" ht="12.75" customHeight="1" x14ac:dyDescent="0.2">
      <c r="A1285" s="258"/>
      <c r="Z1285" s="258"/>
    </row>
    <row r="1286" spans="1:26" ht="12.75" customHeight="1" x14ac:dyDescent="0.2">
      <c r="A1286" s="258"/>
      <c r="Z1286" s="258"/>
    </row>
    <row r="1287" spans="1:26" ht="12.75" customHeight="1" x14ac:dyDescent="0.2">
      <c r="A1287" s="258"/>
      <c r="Z1287" s="258"/>
    </row>
    <row r="1288" spans="1:26" ht="12.75" customHeight="1" x14ac:dyDescent="0.2">
      <c r="A1288" s="258"/>
      <c r="Z1288" s="258"/>
    </row>
    <row r="1289" spans="1:26" ht="12.75" customHeight="1" x14ac:dyDescent="0.2">
      <c r="A1289" s="258"/>
      <c r="Z1289" s="258"/>
    </row>
    <row r="1290" spans="1:26" ht="12.75" customHeight="1" x14ac:dyDescent="0.2">
      <c r="A1290" s="258"/>
      <c r="Z1290" s="258"/>
    </row>
    <row r="1291" spans="1:26" ht="12.75" customHeight="1" x14ac:dyDescent="0.2">
      <c r="A1291" s="258"/>
      <c r="Z1291" s="258"/>
    </row>
    <row r="1292" spans="1:26" ht="12.75" customHeight="1" x14ac:dyDescent="0.2">
      <c r="A1292" s="258"/>
      <c r="Z1292" s="258"/>
    </row>
    <row r="1293" spans="1:26" ht="12.75" customHeight="1" x14ac:dyDescent="0.2">
      <c r="A1293" s="258"/>
      <c r="Z1293" s="258"/>
    </row>
    <row r="1294" spans="1:26" ht="12.75" customHeight="1" x14ac:dyDescent="0.2">
      <c r="A1294" s="258"/>
      <c r="Z1294" s="258"/>
    </row>
    <row r="1295" spans="1:26" ht="12.75" customHeight="1" x14ac:dyDescent="0.2">
      <c r="A1295" s="258"/>
      <c r="Z1295" s="258"/>
    </row>
    <row r="1296" spans="1:26" ht="12.75" customHeight="1" x14ac:dyDescent="0.2">
      <c r="A1296" s="258"/>
      <c r="Z1296" s="258"/>
    </row>
    <row r="1297" spans="1:26" ht="12.75" customHeight="1" x14ac:dyDescent="0.2">
      <c r="A1297" s="258"/>
      <c r="Z1297" s="258"/>
    </row>
    <row r="1298" spans="1:26" ht="12.75" customHeight="1" x14ac:dyDescent="0.2">
      <c r="A1298" s="258"/>
      <c r="Z1298" s="258"/>
    </row>
    <row r="1299" spans="1:26" ht="12.75" customHeight="1" x14ac:dyDescent="0.2">
      <c r="A1299" s="258"/>
      <c r="Z1299" s="258"/>
    </row>
    <row r="1300" spans="1:26" ht="12.75" customHeight="1" x14ac:dyDescent="0.2">
      <c r="A1300" s="258"/>
      <c r="Z1300" s="258"/>
    </row>
    <row r="1301" spans="1:26" ht="12.75" customHeight="1" x14ac:dyDescent="0.2">
      <c r="A1301" s="258"/>
      <c r="Z1301" s="258"/>
    </row>
    <row r="1302" spans="1:26" ht="12.75" customHeight="1" x14ac:dyDescent="0.2">
      <c r="A1302" s="258"/>
      <c r="Z1302" s="258"/>
    </row>
    <row r="1303" spans="1:26" ht="12.75" customHeight="1" x14ac:dyDescent="0.2">
      <c r="A1303" s="258"/>
      <c r="Z1303" s="258"/>
    </row>
    <row r="1304" spans="1:26" ht="12.75" customHeight="1" x14ac:dyDescent="0.2">
      <c r="A1304" s="258"/>
      <c r="Z1304" s="258"/>
    </row>
    <row r="1305" spans="1:26" ht="12.75" customHeight="1" x14ac:dyDescent="0.2">
      <c r="A1305" s="258"/>
      <c r="Z1305" s="258"/>
    </row>
    <row r="1306" spans="1:26" ht="12.75" customHeight="1" x14ac:dyDescent="0.2">
      <c r="A1306" s="258"/>
      <c r="Z1306" s="258"/>
    </row>
    <row r="1307" spans="1:26" ht="12.75" customHeight="1" x14ac:dyDescent="0.2">
      <c r="A1307" s="258"/>
      <c r="Z1307" s="258"/>
    </row>
    <row r="1308" spans="1:26" ht="12.75" customHeight="1" x14ac:dyDescent="0.2">
      <c r="A1308" s="258"/>
      <c r="Z1308" s="258"/>
    </row>
    <row r="1309" spans="1:26" ht="12.75" customHeight="1" x14ac:dyDescent="0.2">
      <c r="A1309" s="258"/>
      <c r="Z1309" s="258"/>
    </row>
    <row r="1310" spans="1:26" ht="12.75" customHeight="1" x14ac:dyDescent="0.2">
      <c r="A1310" s="258"/>
      <c r="Z1310" s="258"/>
    </row>
    <row r="1311" spans="1:26" ht="12.75" customHeight="1" x14ac:dyDescent="0.2">
      <c r="A1311" s="258"/>
      <c r="Z1311" s="258"/>
    </row>
    <row r="1312" spans="1:26" ht="12.75" customHeight="1" x14ac:dyDescent="0.2">
      <c r="A1312" s="258"/>
      <c r="Z1312" s="258"/>
    </row>
    <row r="1313" spans="1:26" ht="12.75" customHeight="1" x14ac:dyDescent="0.2">
      <c r="A1313" s="258"/>
      <c r="Z1313" s="258"/>
    </row>
    <row r="1314" spans="1:26" ht="12.75" customHeight="1" x14ac:dyDescent="0.2">
      <c r="A1314" s="258"/>
      <c r="Z1314" s="258"/>
    </row>
    <row r="1315" spans="1:26" ht="12.75" customHeight="1" x14ac:dyDescent="0.2">
      <c r="A1315" s="258"/>
      <c r="Z1315" s="258"/>
    </row>
    <row r="1316" spans="1:26" ht="12.75" customHeight="1" x14ac:dyDescent="0.2">
      <c r="A1316" s="258"/>
      <c r="Z1316" s="258"/>
    </row>
    <row r="1317" spans="1:26" ht="12.75" customHeight="1" x14ac:dyDescent="0.2">
      <c r="A1317" s="258"/>
      <c r="Z1317" s="258"/>
    </row>
    <row r="1318" spans="1:26" ht="12.75" customHeight="1" x14ac:dyDescent="0.2">
      <c r="A1318" s="258"/>
      <c r="Z1318" s="258"/>
    </row>
    <row r="1319" spans="1:26" ht="12.75" customHeight="1" x14ac:dyDescent="0.2">
      <c r="A1319" s="258"/>
      <c r="Z1319" s="258"/>
    </row>
    <row r="1320" spans="1:26" ht="12.75" customHeight="1" x14ac:dyDescent="0.2">
      <c r="A1320" s="258"/>
      <c r="Z1320" s="258"/>
    </row>
    <row r="1321" spans="1:26" ht="12.75" customHeight="1" x14ac:dyDescent="0.2">
      <c r="A1321" s="258"/>
      <c r="Z1321" s="258"/>
    </row>
    <row r="1322" spans="1:26" ht="12.75" customHeight="1" x14ac:dyDescent="0.2">
      <c r="A1322" s="258"/>
      <c r="Z1322" s="258"/>
    </row>
    <row r="1323" spans="1:26" ht="12.75" customHeight="1" x14ac:dyDescent="0.2">
      <c r="A1323" s="258"/>
      <c r="Z1323" s="258"/>
    </row>
    <row r="1324" spans="1:26" ht="12.75" customHeight="1" x14ac:dyDescent="0.2">
      <c r="A1324" s="258"/>
      <c r="Z1324" s="258"/>
    </row>
    <row r="1325" spans="1:26" ht="12.75" customHeight="1" x14ac:dyDescent="0.2">
      <c r="A1325" s="258"/>
      <c r="Z1325" s="258"/>
    </row>
    <row r="1326" spans="1:26" ht="12.75" customHeight="1" x14ac:dyDescent="0.2">
      <c r="A1326" s="258"/>
      <c r="Z1326" s="258"/>
    </row>
    <row r="1327" spans="1:26" ht="12.75" customHeight="1" x14ac:dyDescent="0.2">
      <c r="A1327" s="258"/>
      <c r="Z1327" s="258"/>
    </row>
    <row r="1328" spans="1:26" ht="12.75" customHeight="1" x14ac:dyDescent="0.2">
      <c r="A1328" s="258"/>
      <c r="Z1328" s="258"/>
    </row>
    <row r="1329" spans="1:26" ht="12.75" customHeight="1" x14ac:dyDescent="0.2">
      <c r="A1329" s="258"/>
      <c r="Z1329" s="258"/>
    </row>
    <row r="1330" spans="1:26" ht="12.75" customHeight="1" x14ac:dyDescent="0.2">
      <c r="A1330" s="258"/>
      <c r="Z1330" s="258"/>
    </row>
    <row r="1331" spans="1:26" ht="12.75" customHeight="1" x14ac:dyDescent="0.2">
      <c r="A1331" s="258"/>
      <c r="Z1331" s="258"/>
    </row>
    <row r="1332" spans="1:26" ht="12.75" customHeight="1" x14ac:dyDescent="0.2">
      <c r="A1332" s="258"/>
      <c r="Z1332" s="258"/>
    </row>
    <row r="1333" spans="1:26" ht="12.75" customHeight="1" x14ac:dyDescent="0.2">
      <c r="A1333" s="258"/>
      <c r="Z1333" s="258"/>
    </row>
    <row r="1334" spans="1:26" ht="12.75" customHeight="1" x14ac:dyDescent="0.2">
      <c r="A1334" s="258"/>
      <c r="Z1334" s="258"/>
    </row>
    <row r="1335" spans="1:26" ht="12.75" customHeight="1" x14ac:dyDescent="0.2">
      <c r="A1335" s="258"/>
      <c r="Z1335" s="258"/>
    </row>
    <row r="1336" spans="1:26" ht="12.75" customHeight="1" x14ac:dyDescent="0.2">
      <c r="A1336" s="258"/>
      <c r="Z1336" s="258"/>
    </row>
    <row r="1337" spans="1:26" ht="12.75" customHeight="1" x14ac:dyDescent="0.2">
      <c r="A1337" s="258"/>
      <c r="Z1337" s="258"/>
    </row>
    <row r="1338" spans="1:26" ht="12.75" customHeight="1" x14ac:dyDescent="0.2">
      <c r="A1338" s="258"/>
      <c r="Z1338" s="258"/>
    </row>
    <row r="1339" spans="1:26" ht="12.75" customHeight="1" x14ac:dyDescent="0.2">
      <c r="A1339" s="258"/>
      <c r="Z1339" s="258"/>
    </row>
    <row r="1340" spans="1:26" ht="12.75" customHeight="1" x14ac:dyDescent="0.2">
      <c r="A1340" s="258"/>
      <c r="Z1340" s="258"/>
    </row>
    <row r="1341" spans="1:26" ht="12.75" customHeight="1" x14ac:dyDescent="0.2">
      <c r="A1341" s="258"/>
      <c r="Z1341" s="258"/>
    </row>
    <row r="1342" spans="1:26" ht="12.75" customHeight="1" x14ac:dyDescent="0.2">
      <c r="A1342" s="258"/>
      <c r="Z1342" s="258"/>
    </row>
    <row r="1343" spans="1:26" ht="12.75" customHeight="1" x14ac:dyDescent="0.2">
      <c r="A1343" s="258"/>
      <c r="Z1343" s="258"/>
    </row>
    <row r="1344" spans="1:26" ht="12.75" customHeight="1" x14ac:dyDescent="0.2">
      <c r="A1344" s="258"/>
      <c r="Z1344" s="258"/>
    </row>
    <row r="1345" spans="1:26" ht="12.75" customHeight="1" x14ac:dyDescent="0.2">
      <c r="A1345" s="258"/>
      <c r="Z1345" s="258"/>
    </row>
    <row r="1346" spans="1:26" ht="12.75" customHeight="1" x14ac:dyDescent="0.2">
      <c r="A1346" s="258"/>
      <c r="Z1346" s="258"/>
    </row>
    <row r="1347" spans="1:26" ht="12.75" customHeight="1" x14ac:dyDescent="0.2">
      <c r="A1347" s="258"/>
      <c r="Z1347" s="258"/>
    </row>
    <row r="1348" spans="1:26" ht="12.75" customHeight="1" x14ac:dyDescent="0.2">
      <c r="A1348" s="258"/>
      <c r="Z1348" s="258"/>
    </row>
    <row r="1349" spans="1:26" ht="12.75" customHeight="1" x14ac:dyDescent="0.2">
      <c r="A1349" s="258"/>
      <c r="Z1349" s="258"/>
    </row>
    <row r="1350" spans="1:26" ht="12.75" customHeight="1" x14ac:dyDescent="0.2">
      <c r="A1350" s="258"/>
      <c r="Z1350" s="258"/>
    </row>
    <row r="1351" spans="1:26" ht="12.75" customHeight="1" x14ac:dyDescent="0.2">
      <c r="A1351" s="258"/>
      <c r="Z1351" s="258"/>
    </row>
    <row r="1352" spans="1:26" ht="12.75" customHeight="1" x14ac:dyDescent="0.2">
      <c r="A1352" s="258"/>
      <c r="Z1352" s="258"/>
    </row>
    <row r="1353" spans="1:26" ht="12.75" customHeight="1" x14ac:dyDescent="0.2">
      <c r="A1353" s="258"/>
      <c r="Z1353" s="258"/>
    </row>
    <row r="1354" spans="1:26" ht="12.75" customHeight="1" x14ac:dyDescent="0.2">
      <c r="A1354" s="258"/>
      <c r="Z1354" s="258"/>
    </row>
    <row r="1355" spans="1:26" ht="12.75" customHeight="1" x14ac:dyDescent="0.2">
      <c r="A1355" s="258"/>
      <c r="Z1355" s="258"/>
    </row>
    <row r="1356" spans="1:26" ht="12.75" customHeight="1" x14ac:dyDescent="0.2">
      <c r="A1356" s="258"/>
      <c r="Z1356" s="258"/>
    </row>
    <row r="1357" spans="1:26" ht="12.75" customHeight="1" x14ac:dyDescent="0.2">
      <c r="A1357" s="258"/>
      <c r="Z1357" s="258"/>
    </row>
    <row r="1358" spans="1:26" ht="12.75" customHeight="1" x14ac:dyDescent="0.2">
      <c r="A1358" s="258"/>
      <c r="Z1358" s="258"/>
    </row>
    <row r="1359" spans="1:26" ht="12.75" customHeight="1" x14ac:dyDescent="0.2">
      <c r="A1359" s="258"/>
      <c r="Z1359" s="258"/>
    </row>
    <row r="1360" spans="1:26" ht="12.75" customHeight="1" x14ac:dyDescent="0.2">
      <c r="A1360" s="258"/>
      <c r="Z1360" s="258"/>
    </row>
    <row r="1361" spans="1:26" ht="12.75" customHeight="1" x14ac:dyDescent="0.2">
      <c r="A1361" s="258"/>
      <c r="Z1361" s="258"/>
    </row>
    <row r="1362" spans="1:26" ht="12.75" customHeight="1" x14ac:dyDescent="0.2">
      <c r="A1362" s="258"/>
      <c r="Z1362" s="258"/>
    </row>
    <row r="1363" spans="1:26" ht="12.75" customHeight="1" x14ac:dyDescent="0.2">
      <c r="A1363" s="258"/>
      <c r="Z1363" s="258"/>
    </row>
    <row r="1364" spans="1:26" ht="12.75" customHeight="1" x14ac:dyDescent="0.2">
      <c r="A1364" s="258"/>
      <c r="Z1364" s="258"/>
    </row>
    <row r="1365" spans="1:26" ht="12.75" customHeight="1" x14ac:dyDescent="0.2">
      <c r="A1365" s="258"/>
      <c r="Z1365" s="258"/>
    </row>
    <row r="1366" spans="1:26" ht="12.75" customHeight="1" x14ac:dyDescent="0.2">
      <c r="A1366" s="258"/>
      <c r="Z1366" s="258"/>
    </row>
    <row r="1367" spans="1:26" ht="12.75" customHeight="1" x14ac:dyDescent="0.2">
      <c r="A1367" s="258"/>
      <c r="Z1367" s="258"/>
    </row>
    <row r="1368" spans="1:26" ht="12.75" customHeight="1" x14ac:dyDescent="0.2">
      <c r="A1368" s="258"/>
      <c r="Z1368" s="258"/>
    </row>
    <row r="1369" spans="1:26" ht="12.75" customHeight="1" x14ac:dyDescent="0.2">
      <c r="A1369" s="258"/>
      <c r="Z1369" s="258"/>
    </row>
    <row r="1370" spans="1:26" ht="12.75" customHeight="1" x14ac:dyDescent="0.2">
      <c r="A1370" s="258"/>
      <c r="Z1370" s="258"/>
    </row>
    <row r="1371" spans="1:26" ht="12.75" customHeight="1" x14ac:dyDescent="0.2">
      <c r="A1371" s="258"/>
      <c r="Z1371" s="258"/>
    </row>
    <row r="1372" spans="1:26" ht="12.75" customHeight="1" x14ac:dyDescent="0.2">
      <c r="A1372" s="258"/>
      <c r="Z1372" s="258"/>
    </row>
    <row r="1373" spans="1:26" ht="12.75" customHeight="1" x14ac:dyDescent="0.2">
      <c r="A1373" s="258"/>
      <c r="Z1373" s="258"/>
    </row>
    <row r="1374" spans="1:26" ht="12.75" customHeight="1" x14ac:dyDescent="0.2">
      <c r="A1374" s="258"/>
      <c r="Z1374" s="258"/>
    </row>
    <row r="1375" spans="1:26" ht="12.75" customHeight="1" x14ac:dyDescent="0.2">
      <c r="A1375" s="258"/>
      <c r="Z1375" s="258"/>
    </row>
    <row r="1376" spans="1:26" ht="12.75" customHeight="1" x14ac:dyDescent="0.2">
      <c r="A1376" s="258"/>
      <c r="Z1376" s="258"/>
    </row>
    <row r="1377" spans="1:26" ht="12.75" customHeight="1" x14ac:dyDescent="0.2">
      <c r="A1377" s="258"/>
      <c r="Z1377" s="258"/>
    </row>
    <row r="1378" spans="1:26" ht="12.75" customHeight="1" x14ac:dyDescent="0.2">
      <c r="A1378" s="258"/>
      <c r="Z1378" s="258"/>
    </row>
    <row r="1379" spans="1:26" ht="12.75" customHeight="1" x14ac:dyDescent="0.2">
      <c r="A1379" s="258"/>
      <c r="Z1379" s="258"/>
    </row>
    <row r="1380" spans="1:26" ht="12.75" customHeight="1" x14ac:dyDescent="0.2">
      <c r="A1380" s="258"/>
      <c r="Z1380" s="258"/>
    </row>
    <row r="1381" spans="1:26" ht="12.75" customHeight="1" x14ac:dyDescent="0.2">
      <c r="A1381" s="258"/>
      <c r="Z1381" s="258"/>
    </row>
    <row r="1382" spans="1:26" ht="12.75" customHeight="1" x14ac:dyDescent="0.2">
      <c r="A1382" s="258"/>
      <c r="Z1382" s="258"/>
    </row>
    <row r="1383" spans="1:26" ht="12.75" customHeight="1" x14ac:dyDescent="0.2">
      <c r="A1383" s="258"/>
      <c r="Z1383" s="258"/>
    </row>
    <row r="1384" spans="1:26" ht="12.75" customHeight="1" x14ac:dyDescent="0.2">
      <c r="A1384" s="258"/>
      <c r="Z1384" s="258"/>
    </row>
    <row r="1385" spans="1:26" ht="12.75" customHeight="1" x14ac:dyDescent="0.2">
      <c r="A1385" s="258"/>
      <c r="Z1385" s="258"/>
    </row>
    <row r="1386" spans="1:26" ht="12.75" customHeight="1" x14ac:dyDescent="0.2">
      <c r="A1386" s="258"/>
      <c r="Z1386" s="258"/>
    </row>
    <row r="1387" spans="1:26" ht="12.75" customHeight="1" x14ac:dyDescent="0.2">
      <c r="A1387" s="258"/>
      <c r="Z1387" s="258"/>
    </row>
    <row r="1388" spans="1:26" ht="12.75" customHeight="1" x14ac:dyDescent="0.2">
      <c r="A1388" s="258"/>
      <c r="Z1388" s="258"/>
    </row>
    <row r="1389" spans="1:26" ht="12.75" customHeight="1" x14ac:dyDescent="0.2">
      <c r="A1389" s="258"/>
      <c r="Z1389" s="258"/>
    </row>
    <row r="1390" spans="1:26" ht="12.75" customHeight="1" x14ac:dyDescent="0.2">
      <c r="A1390" s="258"/>
      <c r="Z1390" s="258"/>
    </row>
    <row r="1391" spans="1:26" ht="12.75" customHeight="1" x14ac:dyDescent="0.2">
      <c r="A1391" s="258"/>
      <c r="Z1391" s="258"/>
    </row>
    <row r="1392" spans="1:26" ht="12.75" customHeight="1" x14ac:dyDescent="0.2">
      <c r="A1392" s="258"/>
      <c r="Z1392" s="258"/>
    </row>
    <row r="1393" spans="1:26" ht="12.75" customHeight="1" x14ac:dyDescent="0.2">
      <c r="A1393" s="258"/>
      <c r="Z1393" s="258"/>
    </row>
    <row r="1394" spans="1:26" ht="12.75" customHeight="1" x14ac:dyDescent="0.2">
      <c r="A1394" s="258"/>
      <c r="Z1394" s="258"/>
    </row>
    <row r="1395" spans="1:26" ht="12.75" customHeight="1" x14ac:dyDescent="0.2">
      <c r="A1395" s="258"/>
      <c r="Z1395" s="258"/>
    </row>
    <row r="1396" spans="1:26" ht="12.75" customHeight="1" x14ac:dyDescent="0.2">
      <c r="A1396" s="258"/>
      <c r="Z1396" s="258"/>
    </row>
    <row r="1397" spans="1:26" ht="12.75" customHeight="1" x14ac:dyDescent="0.2">
      <c r="A1397" s="258"/>
      <c r="Z1397" s="258"/>
    </row>
    <row r="1398" spans="1:26" ht="12.75" customHeight="1" x14ac:dyDescent="0.2">
      <c r="A1398" s="258"/>
      <c r="Z1398" s="258"/>
    </row>
    <row r="1399" spans="1:26" ht="12.75" customHeight="1" x14ac:dyDescent="0.2">
      <c r="A1399" s="258"/>
      <c r="Z1399" s="258"/>
    </row>
    <row r="1400" spans="1:26" ht="12.75" customHeight="1" x14ac:dyDescent="0.2">
      <c r="A1400" s="258"/>
      <c r="Z1400" s="258"/>
    </row>
    <row r="1401" spans="1:26" ht="12.75" customHeight="1" x14ac:dyDescent="0.2">
      <c r="A1401" s="258"/>
      <c r="Z1401" s="258"/>
    </row>
    <row r="1402" spans="1:26" ht="12.75" customHeight="1" x14ac:dyDescent="0.2">
      <c r="A1402" s="258"/>
      <c r="Z1402" s="258"/>
    </row>
    <row r="1403" spans="1:26" ht="12.75" customHeight="1" x14ac:dyDescent="0.2">
      <c r="A1403" s="258"/>
      <c r="Z1403" s="258"/>
    </row>
    <row r="1404" spans="1:26" ht="12.75" customHeight="1" x14ac:dyDescent="0.2">
      <c r="A1404" s="258"/>
      <c r="Z1404" s="258"/>
    </row>
    <row r="1405" spans="1:26" ht="12.75" customHeight="1" x14ac:dyDescent="0.2">
      <c r="A1405" s="258"/>
      <c r="Z1405" s="258"/>
    </row>
    <row r="1406" spans="1:26" ht="12.75" customHeight="1" x14ac:dyDescent="0.2">
      <c r="A1406" s="258"/>
      <c r="Z1406" s="258"/>
    </row>
    <row r="1407" spans="1:26" ht="12.75" customHeight="1" x14ac:dyDescent="0.2">
      <c r="A1407" s="258"/>
      <c r="Z1407" s="258"/>
    </row>
    <row r="1408" spans="1:26" ht="12.75" customHeight="1" x14ac:dyDescent="0.2">
      <c r="A1408" s="258"/>
      <c r="Z1408" s="258"/>
    </row>
    <row r="1409" spans="1:26" ht="12.75" customHeight="1" x14ac:dyDescent="0.2">
      <c r="A1409" s="258"/>
      <c r="Z1409" s="258"/>
    </row>
    <row r="1410" spans="1:26" ht="12.75" customHeight="1" x14ac:dyDescent="0.2">
      <c r="A1410" s="258"/>
      <c r="Z1410" s="258"/>
    </row>
    <row r="1411" spans="1:26" ht="12.75" customHeight="1" x14ac:dyDescent="0.2">
      <c r="A1411" s="258"/>
      <c r="Z1411" s="258"/>
    </row>
    <row r="1412" spans="1:26" ht="12.75" customHeight="1" x14ac:dyDescent="0.2">
      <c r="A1412" s="258"/>
      <c r="Z1412" s="258"/>
    </row>
    <row r="1413" spans="1:26" ht="12.75" customHeight="1" x14ac:dyDescent="0.2">
      <c r="A1413" s="258"/>
      <c r="Z1413" s="258"/>
    </row>
    <row r="1414" spans="1:26" ht="12.75" customHeight="1" x14ac:dyDescent="0.2">
      <c r="A1414" s="258"/>
      <c r="Z1414" s="258"/>
    </row>
    <row r="1415" spans="1:26" ht="12.75" customHeight="1" x14ac:dyDescent="0.2">
      <c r="A1415" s="258"/>
      <c r="Z1415" s="258"/>
    </row>
    <row r="1416" spans="1:26" ht="12.75" customHeight="1" x14ac:dyDescent="0.2">
      <c r="A1416" s="258"/>
      <c r="Z1416" s="258"/>
    </row>
    <row r="1417" spans="1:26" ht="12.75" customHeight="1" x14ac:dyDescent="0.2">
      <c r="A1417" s="258"/>
      <c r="Z1417" s="258"/>
    </row>
    <row r="1418" spans="1:26" ht="12.75" customHeight="1" x14ac:dyDescent="0.2">
      <c r="A1418" s="258"/>
      <c r="Z1418" s="258"/>
    </row>
    <row r="1419" spans="1:26" ht="12.75" customHeight="1" x14ac:dyDescent="0.2">
      <c r="A1419" s="258"/>
      <c r="Z1419" s="258"/>
    </row>
    <row r="1420" spans="1:26" ht="12.75" customHeight="1" x14ac:dyDescent="0.2">
      <c r="A1420" s="258"/>
      <c r="Z1420" s="258"/>
    </row>
    <row r="1421" spans="1:26" ht="12.75" customHeight="1" x14ac:dyDescent="0.2">
      <c r="A1421" s="258"/>
      <c r="Z1421" s="258"/>
    </row>
    <row r="1422" spans="1:26" ht="12.75" customHeight="1" x14ac:dyDescent="0.2">
      <c r="A1422" s="258"/>
      <c r="Z1422" s="258"/>
    </row>
    <row r="1423" spans="1:26" ht="12.75" customHeight="1" x14ac:dyDescent="0.2">
      <c r="A1423" s="258"/>
      <c r="Z1423" s="258"/>
    </row>
    <row r="1424" spans="1:26" ht="12.75" customHeight="1" x14ac:dyDescent="0.2">
      <c r="A1424" s="258"/>
      <c r="Z1424" s="258"/>
    </row>
    <row r="1425" spans="1:26" ht="12.75" customHeight="1" x14ac:dyDescent="0.2">
      <c r="A1425" s="258"/>
      <c r="Z1425" s="258"/>
    </row>
    <row r="1426" spans="1:26" ht="12.75" customHeight="1" x14ac:dyDescent="0.2">
      <c r="A1426" s="258"/>
      <c r="Z1426" s="258"/>
    </row>
    <row r="1427" spans="1:26" ht="12.75" customHeight="1" x14ac:dyDescent="0.2">
      <c r="A1427" s="258"/>
      <c r="Z1427" s="258"/>
    </row>
    <row r="1428" spans="1:26" ht="12.75" customHeight="1" x14ac:dyDescent="0.2">
      <c r="A1428" s="258"/>
      <c r="Z1428" s="258"/>
    </row>
    <row r="1429" spans="1:26" ht="12.75" customHeight="1" x14ac:dyDescent="0.2">
      <c r="A1429" s="258"/>
      <c r="Z1429" s="258"/>
    </row>
    <row r="1430" spans="1:26" ht="12.75" customHeight="1" x14ac:dyDescent="0.2">
      <c r="A1430" s="258"/>
      <c r="Z1430" s="258"/>
    </row>
    <row r="1431" spans="1:26" ht="12.75" customHeight="1" x14ac:dyDescent="0.2">
      <c r="A1431" s="258"/>
      <c r="Z1431" s="258"/>
    </row>
    <row r="1432" spans="1:26" ht="12.75" customHeight="1" x14ac:dyDescent="0.2">
      <c r="A1432" s="258"/>
      <c r="Z1432" s="258"/>
    </row>
    <row r="1433" spans="1:26" ht="12.75" customHeight="1" x14ac:dyDescent="0.2">
      <c r="A1433" s="258"/>
      <c r="Z1433" s="258"/>
    </row>
    <row r="1434" spans="1:26" ht="12.75" customHeight="1" x14ac:dyDescent="0.2">
      <c r="A1434" s="258"/>
      <c r="Z1434" s="258"/>
    </row>
    <row r="1435" spans="1:26" ht="12.75" customHeight="1" x14ac:dyDescent="0.2">
      <c r="A1435" s="258"/>
      <c r="Z1435" s="258"/>
    </row>
    <row r="1436" spans="1:26" ht="12.75" customHeight="1" x14ac:dyDescent="0.2">
      <c r="A1436" s="258"/>
      <c r="Z1436" s="258"/>
    </row>
    <row r="1437" spans="1:26" ht="12.75" customHeight="1" x14ac:dyDescent="0.2">
      <c r="A1437" s="258"/>
      <c r="Z1437" s="258"/>
    </row>
    <row r="1438" spans="1:26" ht="12.75" customHeight="1" x14ac:dyDescent="0.2">
      <c r="A1438" s="258"/>
      <c r="Z1438" s="258"/>
    </row>
    <row r="1439" spans="1:26" ht="12.75" customHeight="1" x14ac:dyDescent="0.2">
      <c r="A1439" s="258"/>
      <c r="Z1439" s="258"/>
    </row>
    <row r="1440" spans="1:26" ht="12.75" customHeight="1" x14ac:dyDescent="0.2">
      <c r="A1440" s="258"/>
      <c r="Z1440" s="258"/>
    </row>
    <row r="1441" spans="1:26" ht="12.75" customHeight="1" x14ac:dyDescent="0.2">
      <c r="A1441" s="258"/>
      <c r="Z1441" s="258"/>
    </row>
    <row r="1442" spans="1:26" ht="12.75" customHeight="1" x14ac:dyDescent="0.2">
      <c r="A1442" s="258"/>
      <c r="Z1442" s="258"/>
    </row>
    <row r="1443" spans="1:26" ht="12.75" customHeight="1" x14ac:dyDescent="0.2">
      <c r="A1443" s="258"/>
      <c r="Z1443" s="258"/>
    </row>
    <row r="1444" spans="1:26" ht="12.75" customHeight="1" x14ac:dyDescent="0.2">
      <c r="A1444" s="258"/>
      <c r="Z1444" s="258"/>
    </row>
    <row r="1445" spans="1:26" ht="12.75" customHeight="1" x14ac:dyDescent="0.2">
      <c r="A1445" s="258"/>
      <c r="Z1445" s="258"/>
    </row>
    <row r="1446" spans="1:26" ht="12.75" customHeight="1" x14ac:dyDescent="0.2">
      <c r="A1446" s="258"/>
      <c r="Z1446" s="258"/>
    </row>
    <row r="1447" spans="1:26" ht="12.75" customHeight="1" x14ac:dyDescent="0.2">
      <c r="A1447" s="258"/>
      <c r="Z1447" s="258"/>
    </row>
    <row r="1448" spans="1:26" ht="12.75" customHeight="1" x14ac:dyDescent="0.2">
      <c r="A1448" s="258"/>
      <c r="Z1448" s="258"/>
    </row>
    <row r="1449" spans="1:26" ht="12.75" customHeight="1" x14ac:dyDescent="0.2">
      <c r="A1449" s="258"/>
      <c r="Z1449" s="258"/>
    </row>
    <row r="1450" spans="1:26" ht="12.75" customHeight="1" x14ac:dyDescent="0.2">
      <c r="A1450" s="258"/>
      <c r="Z1450" s="258"/>
    </row>
    <row r="1451" spans="1:26" ht="12.75" customHeight="1" x14ac:dyDescent="0.2">
      <c r="A1451" s="258"/>
      <c r="Z1451" s="258"/>
    </row>
    <row r="1452" spans="1:26" ht="12.75" customHeight="1" x14ac:dyDescent="0.2">
      <c r="A1452" s="258"/>
      <c r="Z1452" s="258"/>
    </row>
    <row r="1453" spans="1:26" ht="12.75" customHeight="1" x14ac:dyDescent="0.2">
      <c r="A1453" s="258"/>
      <c r="Z1453" s="258"/>
    </row>
    <row r="1454" spans="1:26" ht="12.75" customHeight="1" x14ac:dyDescent="0.2">
      <c r="A1454" s="258"/>
      <c r="Z1454" s="258"/>
    </row>
    <row r="1455" spans="1:26" ht="12.75" customHeight="1" x14ac:dyDescent="0.2">
      <c r="A1455" s="258"/>
      <c r="Z1455" s="258"/>
    </row>
    <row r="1456" spans="1:26" ht="12.75" customHeight="1" x14ac:dyDescent="0.2">
      <c r="A1456" s="258"/>
      <c r="Z1456" s="258"/>
    </row>
    <row r="1457" spans="1:26" ht="12.75" customHeight="1" x14ac:dyDescent="0.2">
      <c r="A1457" s="258"/>
      <c r="Z1457" s="258"/>
    </row>
    <row r="1458" spans="1:26" ht="12.75" customHeight="1" x14ac:dyDescent="0.2">
      <c r="A1458" s="258"/>
      <c r="Z1458" s="258"/>
    </row>
    <row r="1459" spans="1:26" ht="12.75" customHeight="1" x14ac:dyDescent="0.2">
      <c r="A1459" s="258"/>
      <c r="Z1459" s="258"/>
    </row>
    <row r="1460" spans="1:26" ht="12.75" customHeight="1" x14ac:dyDescent="0.2">
      <c r="A1460" s="258"/>
      <c r="Z1460" s="258"/>
    </row>
    <row r="1461" spans="1:26" ht="12.75" customHeight="1" x14ac:dyDescent="0.2">
      <c r="A1461" s="258"/>
      <c r="Z1461" s="258"/>
    </row>
    <row r="1462" spans="1:26" ht="12.75" customHeight="1" x14ac:dyDescent="0.2">
      <c r="A1462" s="258"/>
      <c r="Z1462" s="258"/>
    </row>
    <row r="1463" spans="1:26" ht="12.75" customHeight="1" x14ac:dyDescent="0.2">
      <c r="A1463" s="258"/>
      <c r="Z1463" s="258"/>
    </row>
    <row r="1464" spans="1:26" ht="12.75" customHeight="1" x14ac:dyDescent="0.2">
      <c r="A1464" s="258"/>
      <c r="Z1464" s="258"/>
    </row>
    <row r="1465" spans="1:26" ht="12.75" customHeight="1" x14ac:dyDescent="0.2">
      <c r="A1465" s="258"/>
      <c r="Z1465" s="258"/>
    </row>
    <row r="1466" spans="1:26" ht="12.75" customHeight="1" x14ac:dyDescent="0.2">
      <c r="A1466" s="258"/>
      <c r="Z1466" s="258"/>
    </row>
    <row r="1467" spans="1:26" ht="12.75" customHeight="1" x14ac:dyDescent="0.2">
      <c r="A1467" s="258"/>
      <c r="Z1467" s="258"/>
    </row>
    <row r="1468" spans="1:26" ht="12.75" customHeight="1" x14ac:dyDescent="0.2">
      <c r="A1468" s="258"/>
      <c r="Z1468" s="258"/>
    </row>
    <row r="1469" spans="1:26" ht="12.75" customHeight="1" x14ac:dyDescent="0.2">
      <c r="A1469" s="258"/>
      <c r="Z1469" s="258"/>
    </row>
    <row r="1470" spans="1:26" ht="12.75" customHeight="1" x14ac:dyDescent="0.2">
      <c r="A1470" s="258"/>
      <c r="Z1470" s="258"/>
    </row>
    <row r="1471" spans="1:26" ht="12.75" customHeight="1" x14ac:dyDescent="0.2">
      <c r="A1471" s="258"/>
      <c r="Z1471" s="258"/>
    </row>
    <row r="1472" spans="1:26" ht="12.75" customHeight="1" x14ac:dyDescent="0.2">
      <c r="A1472" s="258"/>
      <c r="Z1472" s="258"/>
    </row>
    <row r="1473" spans="1:26" ht="12.75" customHeight="1" x14ac:dyDescent="0.2">
      <c r="A1473" s="258"/>
      <c r="Z1473" s="258"/>
    </row>
    <row r="1474" spans="1:26" ht="12.75" customHeight="1" x14ac:dyDescent="0.2">
      <c r="A1474" s="258"/>
      <c r="Z1474" s="258"/>
    </row>
    <row r="1475" spans="1:26" ht="12.75" customHeight="1" x14ac:dyDescent="0.2">
      <c r="A1475" s="258"/>
      <c r="Z1475" s="258"/>
    </row>
    <row r="1476" spans="1:26" ht="12.75" customHeight="1" x14ac:dyDescent="0.2">
      <c r="A1476" s="258"/>
      <c r="Z1476" s="258"/>
    </row>
    <row r="1477" spans="1:26" ht="12.75" customHeight="1" x14ac:dyDescent="0.2">
      <c r="A1477" s="258"/>
      <c r="Z1477" s="258"/>
    </row>
    <row r="1478" spans="1:26" ht="12.75" customHeight="1" x14ac:dyDescent="0.2">
      <c r="A1478" s="258"/>
      <c r="Z1478" s="258"/>
    </row>
    <row r="1479" spans="1:26" ht="12.75" customHeight="1" x14ac:dyDescent="0.2">
      <c r="A1479" s="258"/>
      <c r="Z1479" s="258"/>
    </row>
    <row r="1480" spans="1:26" ht="12.75" customHeight="1" x14ac:dyDescent="0.2">
      <c r="A1480" s="258"/>
      <c r="Z1480" s="258"/>
    </row>
    <row r="1481" spans="1:26" ht="12.75" customHeight="1" x14ac:dyDescent="0.2">
      <c r="A1481" s="258"/>
      <c r="Z1481" s="258"/>
    </row>
    <row r="1482" spans="1:26" ht="12.75" customHeight="1" x14ac:dyDescent="0.2">
      <c r="A1482" s="258"/>
      <c r="Z1482" s="258"/>
    </row>
    <row r="1483" spans="1:26" ht="12.75" customHeight="1" x14ac:dyDescent="0.2">
      <c r="A1483" s="258"/>
      <c r="Z1483" s="258"/>
    </row>
    <row r="1484" spans="1:26" ht="12.75" customHeight="1" x14ac:dyDescent="0.2">
      <c r="A1484" s="258"/>
      <c r="Z1484" s="258"/>
    </row>
    <row r="1485" spans="1:26" ht="12.75" customHeight="1" x14ac:dyDescent="0.2">
      <c r="A1485" s="258"/>
      <c r="Z1485" s="258"/>
    </row>
    <row r="1486" spans="1:26" ht="12.75" customHeight="1" x14ac:dyDescent="0.2">
      <c r="A1486" s="258"/>
      <c r="Z1486" s="258"/>
    </row>
    <row r="1487" spans="1:26" ht="12.75" customHeight="1" x14ac:dyDescent="0.2">
      <c r="A1487" s="258"/>
      <c r="Z1487" s="258"/>
    </row>
    <row r="1488" spans="1:26" ht="12.75" customHeight="1" x14ac:dyDescent="0.2">
      <c r="A1488" s="258"/>
      <c r="Z1488" s="258"/>
    </row>
    <row r="1489" spans="1:26" ht="12.75" customHeight="1" x14ac:dyDescent="0.2">
      <c r="A1489" s="258"/>
      <c r="Z1489" s="258"/>
    </row>
    <row r="1490" spans="1:26" ht="12.75" customHeight="1" x14ac:dyDescent="0.2">
      <c r="A1490" s="258"/>
      <c r="Z1490" s="258"/>
    </row>
    <row r="1491" spans="1:26" ht="12.75" customHeight="1" x14ac:dyDescent="0.2">
      <c r="A1491" s="258"/>
      <c r="Z1491" s="258"/>
    </row>
    <row r="1492" spans="1:26" ht="12.75" customHeight="1" x14ac:dyDescent="0.2">
      <c r="A1492" s="258"/>
      <c r="Z1492" s="258"/>
    </row>
    <row r="1493" spans="1:26" ht="12.75" customHeight="1" x14ac:dyDescent="0.2">
      <c r="A1493" s="258"/>
      <c r="Z1493" s="258"/>
    </row>
    <row r="1494" spans="1:26" ht="12.75" customHeight="1" x14ac:dyDescent="0.2">
      <c r="A1494" s="258"/>
      <c r="Z1494" s="258"/>
    </row>
    <row r="1495" spans="1:26" ht="12.75" customHeight="1" x14ac:dyDescent="0.2">
      <c r="A1495" s="258"/>
      <c r="Z1495" s="258"/>
    </row>
    <row r="1496" spans="1:26" ht="12.75" customHeight="1" x14ac:dyDescent="0.2">
      <c r="A1496" s="258"/>
      <c r="Z1496" s="258"/>
    </row>
    <row r="1497" spans="1:26" ht="12.75" customHeight="1" x14ac:dyDescent="0.2">
      <c r="A1497" s="258"/>
      <c r="Z1497" s="258"/>
    </row>
    <row r="1498" spans="1:26" ht="12.75" customHeight="1" x14ac:dyDescent="0.2">
      <c r="A1498" s="258"/>
      <c r="Z1498" s="258"/>
    </row>
    <row r="1499" spans="1:26" ht="12.75" customHeight="1" x14ac:dyDescent="0.2">
      <c r="A1499" s="258"/>
      <c r="Z1499" s="258"/>
    </row>
    <row r="1500" spans="1:26" ht="12.75" customHeight="1" x14ac:dyDescent="0.2">
      <c r="A1500" s="258"/>
      <c r="Z1500" s="258"/>
    </row>
    <row r="1501" spans="1:26" ht="12.75" customHeight="1" x14ac:dyDescent="0.2">
      <c r="A1501" s="258"/>
      <c r="Z1501" s="258"/>
    </row>
    <row r="1502" spans="1:26" ht="12.75" customHeight="1" x14ac:dyDescent="0.2">
      <c r="A1502" s="258"/>
      <c r="Z1502" s="258"/>
    </row>
    <row r="1503" spans="1:26" ht="12.75" customHeight="1" x14ac:dyDescent="0.2">
      <c r="A1503" s="258"/>
      <c r="Z1503" s="258"/>
    </row>
    <row r="1504" spans="1:26" ht="12.75" customHeight="1" x14ac:dyDescent="0.2">
      <c r="A1504" s="258"/>
      <c r="Z1504" s="258"/>
    </row>
    <row r="1505" spans="1:26" ht="12.75" customHeight="1" x14ac:dyDescent="0.2">
      <c r="A1505" s="258"/>
      <c r="Z1505" s="258"/>
    </row>
    <row r="1506" spans="1:26" ht="12.75" customHeight="1" x14ac:dyDescent="0.2">
      <c r="A1506" s="258"/>
      <c r="Z1506" s="258"/>
    </row>
    <row r="1507" spans="1:26" ht="12.75" customHeight="1" x14ac:dyDescent="0.2">
      <c r="A1507" s="258"/>
      <c r="Z1507" s="258"/>
    </row>
    <row r="1508" spans="1:26" ht="12.75" customHeight="1" x14ac:dyDescent="0.2">
      <c r="A1508" s="258"/>
      <c r="Z1508" s="258"/>
    </row>
    <row r="1509" spans="1:26" ht="12.75" customHeight="1" x14ac:dyDescent="0.2">
      <c r="A1509" s="258"/>
      <c r="Z1509" s="258"/>
    </row>
    <row r="1510" spans="1:26" ht="12.75" customHeight="1" x14ac:dyDescent="0.2">
      <c r="A1510" s="258"/>
      <c r="Z1510" s="258"/>
    </row>
    <row r="1511" spans="1:26" ht="12.75" customHeight="1" x14ac:dyDescent="0.2">
      <c r="A1511" s="258"/>
      <c r="Z1511" s="258"/>
    </row>
    <row r="1512" spans="1:26" ht="12.75" customHeight="1" x14ac:dyDescent="0.2">
      <c r="A1512" s="258"/>
      <c r="Z1512" s="258"/>
    </row>
    <row r="1513" spans="1:26" ht="12.75" customHeight="1" x14ac:dyDescent="0.2">
      <c r="A1513" s="258"/>
      <c r="Z1513" s="258"/>
    </row>
    <row r="1514" spans="1:26" ht="12.75" customHeight="1" x14ac:dyDescent="0.2">
      <c r="A1514" s="258"/>
      <c r="Z1514" s="258"/>
    </row>
    <row r="1515" spans="1:26" ht="12.75" customHeight="1" x14ac:dyDescent="0.2">
      <c r="A1515" s="258"/>
      <c r="Z1515" s="258"/>
    </row>
    <row r="1516" spans="1:26" ht="12.75" customHeight="1" x14ac:dyDescent="0.2">
      <c r="A1516" s="258"/>
      <c r="Z1516" s="258"/>
    </row>
    <row r="1517" spans="1:26" ht="12.75" customHeight="1" x14ac:dyDescent="0.2">
      <c r="A1517" s="258"/>
      <c r="Z1517" s="258"/>
    </row>
    <row r="1518" spans="1:26" ht="12.75" customHeight="1" x14ac:dyDescent="0.2">
      <c r="A1518" s="258"/>
      <c r="Z1518" s="258"/>
    </row>
    <row r="1519" spans="1:26" ht="12.75" customHeight="1" x14ac:dyDescent="0.2">
      <c r="A1519" s="258"/>
      <c r="Z1519" s="258"/>
    </row>
    <row r="1520" spans="1:26" ht="12.75" customHeight="1" x14ac:dyDescent="0.2">
      <c r="A1520" s="258"/>
      <c r="Z1520" s="258"/>
    </row>
    <row r="1521" spans="1:26" ht="12.75" customHeight="1" x14ac:dyDescent="0.2">
      <c r="A1521" s="258"/>
      <c r="Z1521" s="258"/>
    </row>
    <row r="1522" spans="1:26" ht="12.75" customHeight="1" x14ac:dyDescent="0.2">
      <c r="A1522" s="258"/>
      <c r="Z1522" s="258"/>
    </row>
    <row r="1523" spans="1:26" ht="12.75" customHeight="1" x14ac:dyDescent="0.2">
      <c r="A1523" s="258"/>
      <c r="Z1523" s="258"/>
    </row>
    <row r="1524" spans="1:26" ht="12.75" customHeight="1" x14ac:dyDescent="0.2">
      <c r="A1524" s="258"/>
      <c r="Z1524" s="258"/>
    </row>
    <row r="1525" spans="1:26" ht="12.75" customHeight="1" x14ac:dyDescent="0.2">
      <c r="A1525" s="258"/>
      <c r="Z1525" s="258"/>
    </row>
    <row r="1526" spans="1:26" ht="12.75" customHeight="1" x14ac:dyDescent="0.2">
      <c r="A1526" s="258"/>
      <c r="Z1526" s="258"/>
    </row>
    <row r="1527" spans="1:26" ht="12.75" customHeight="1" x14ac:dyDescent="0.2">
      <c r="A1527" s="258"/>
      <c r="Z1527" s="258"/>
    </row>
    <row r="1528" spans="1:26" ht="12.75" customHeight="1" x14ac:dyDescent="0.2">
      <c r="A1528" s="258"/>
      <c r="Z1528" s="258"/>
    </row>
    <row r="1529" spans="1:26" ht="12.75" customHeight="1" x14ac:dyDescent="0.2">
      <c r="A1529" s="258"/>
      <c r="Z1529" s="258"/>
    </row>
    <row r="1530" spans="1:26" ht="12.75" customHeight="1" x14ac:dyDescent="0.2">
      <c r="A1530" s="258"/>
      <c r="Z1530" s="258"/>
    </row>
    <row r="1531" spans="1:26" ht="12.75" customHeight="1" x14ac:dyDescent="0.2">
      <c r="A1531" s="258"/>
      <c r="Z1531" s="258"/>
    </row>
    <row r="1532" spans="1:26" ht="12.75" customHeight="1" x14ac:dyDescent="0.2">
      <c r="A1532" s="258"/>
      <c r="Z1532" s="258"/>
    </row>
    <row r="1533" spans="1:26" ht="12.75" customHeight="1" x14ac:dyDescent="0.2">
      <c r="A1533" s="258"/>
      <c r="Z1533" s="258"/>
    </row>
    <row r="1534" spans="1:26" ht="12.75" customHeight="1" x14ac:dyDescent="0.2">
      <c r="A1534" s="258"/>
      <c r="Z1534" s="258"/>
    </row>
    <row r="1535" spans="1:26" ht="12.75" customHeight="1" x14ac:dyDescent="0.2">
      <c r="A1535" s="258"/>
      <c r="Z1535" s="258"/>
    </row>
    <row r="1536" spans="1:26" ht="12.75" customHeight="1" x14ac:dyDescent="0.2">
      <c r="A1536" s="258"/>
      <c r="Z1536" s="258"/>
    </row>
    <row r="1537" spans="1:26" ht="12.75" customHeight="1" x14ac:dyDescent="0.2">
      <c r="A1537" s="258"/>
      <c r="Z1537" s="258"/>
    </row>
    <row r="1538" spans="1:26" ht="12.75" customHeight="1" x14ac:dyDescent="0.2">
      <c r="A1538" s="258"/>
      <c r="Z1538" s="258"/>
    </row>
    <row r="1539" spans="1:26" ht="12.75" customHeight="1" x14ac:dyDescent="0.2">
      <c r="A1539" s="258"/>
      <c r="Z1539" s="258"/>
    </row>
    <row r="1540" spans="1:26" ht="12.75" customHeight="1" x14ac:dyDescent="0.2">
      <c r="A1540" s="258"/>
      <c r="Z1540" s="258"/>
    </row>
    <row r="1541" spans="1:26" ht="12.75" customHeight="1" x14ac:dyDescent="0.2">
      <c r="A1541" s="258"/>
      <c r="Z1541" s="258"/>
    </row>
    <row r="1542" spans="1:26" ht="12.75" customHeight="1" x14ac:dyDescent="0.2">
      <c r="A1542" s="258"/>
      <c r="Z1542" s="258"/>
    </row>
    <row r="1543" spans="1:26" ht="12.75" customHeight="1" x14ac:dyDescent="0.2">
      <c r="A1543" s="258"/>
      <c r="Z1543" s="258"/>
    </row>
    <row r="1544" spans="1:26" ht="12.75" customHeight="1" x14ac:dyDescent="0.2">
      <c r="A1544" s="258"/>
      <c r="Z1544" s="258"/>
    </row>
    <row r="1545" spans="1:26" ht="12.75" customHeight="1" x14ac:dyDescent="0.2">
      <c r="A1545" s="258"/>
      <c r="Z1545" s="258"/>
    </row>
    <row r="1546" spans="1:26" ht="12.75" customHeight="1" x14ac:dyDescent="0.2">
      <c r="A1546" s="258"/>
      <c r="Z1546" s="258"/>
    </row>
    <row r="1547" spans="1:26" ht="12.75" customHeight="1" x14ac:dyDescent="0.2">
      <c r="A1547" s="258"/>
      <c r="Z1547" s="258"/>
    </row>
    <row r="1548" spans="1:26" ht="12.75" customHeight="1" x14ac:dyDescent="0.2">
      <c r="A1548" s="258"/>
      <c r="Z1548" s="258"/>
    </row>
    <row r="1549" spans="1:26" ht="12.75" customHeight="1" x14ac:dyDescent="0.2">
      <c r="A1549" s="258"/>
      <c r="Z1549" s="258"/>
    </row>
    <row r="1550" spans="1:26" ht="12.75" customHeight="1" x14ac:dyDescent="0.2">
      <c r="A1550" s="258"/>
      <c r="Z1550" s="258"/>
    </row>
    <row r="1551" spans="1:26" ht="12.75" customHeight="1" x14ac:dyDescent="0.2">
      <c r="A1551" s="258"/>
      <c r="Z1551" s="258"/>
    </row>
    <row r="1552" spans="1:26" ht="12.75" customHeight="1" x14ac:dyDescent="0.2">
      <c r="A1552" s="258"/>
      <c r="Z1552" s="258"/>
    </row>
    <row r="1553" spans="1:26" ht="12.75" customHeight="1" x14ac:dyDescent="0.2">
      <c r="A1553" s="258"/>
      <c r="Z1553" s="258"/>
    </row>
    <row r="1554" spans="1:26" ht="12.75" customHeight="1" x14ac:dyDescent="0.2">
      <c r="A1554" s="258"/>
      <c r="Z1554" s="258"/>
    </row>
    <row r="1555" spans="1:26" ht="12.75" customHeight="1" x14ac:dyDescent="0.2">
      <c r="A1555" s="258"/>
      <c r="Z1555" s="258"/>
    </row>
    <row r="1556" spans="1:26" ht="12.75" customHeight="1" x14ac:dyDescent="0.2">
      <c r="A1556" s="258"/>
      <c r="Z1556" s="258"/>
    </row>
    <row r="1557" spans="1:26" ht="12.75" customHeight="1" x14ac:dyDescent="0.2">
      <c r="A1557" s="258"/>
      <c r="Z1557" s="258"/>
    </row>
    <row r="1558" spans="1:26" ht="12.75" customHeight="1" x14ac:dyDescent="0.2">
      <c r="A1558" s="258"/>
      <c r="Z1558" s="258"/>
    </row>
    <row r="1559" spans="1:26" ht="12.75" customHeight="1" x14ac:dyDescent="0.2">
      <c r="A1559" s="258"/>
      <c r="Z1559" s="258"/>
    </row>
    <row r="1560" spans="1:26" ht="12.75" customHeight="1" x14ac:dyDescent="0.2">
      <c r="A1560" s="258"/>
      <c r="Z1560" s="258"/>
    </row>
    <row r="1561" spans="1:26" ht="12.75" customHeight="1" x14ac:dyDescent="0.2">
      <c r="A1561" s="258"/>
      <c r="Z1561" s="258"/>
    </row>
    <row r="1562" spans="1:26" ht="12.75" customHeight="1" x14ac:dyDescent="0.2">
      <c r="A1562" s="258"/>
      <c r="Z1562" s="258"/>
    </row>
    <row r="1563" spans="1:26" ht="12.75" customHeight="1" x14ac:dyDescent="0.2">
      <c r="A1563" s="258"/>
      <c r="Z1563" s="258"/>
    </row>
    <row r="1564" spans="1:26" ht="12.75" customHeight="1" x14ac:dyDescent="0.2">
      <c r="A1564" s="258"/>
      <c r="Z1564" s="258"/>
    </row>
    <row r="1565" spans="1:26" ht="12.75" customHeight="1" x14ac:dyDescent="0.2">
      <c r="A1565" s="258"/>
      <c r="Z1565" s="258"/>
    </row>
    <row r="1566" spans="1:26" ht="12.75" customHeight="1" x14ac:dyDescent="0.2">
      <c r="A1566" s="258"/>
      <c r="Z1566" s="258"/>
    </row>
    <row r="1567" spans="1:26" ht="12.75" customHeight="1" x14ac:dyDescent="0.2">
      <c r="A1567" s="258"/>
      <c r="Z1567" s="258"/>
    </row>
    <row r="1568" spans="1:26" ht="12.75" customHeight="1" x14ac:dyDescent="0.2">
      <c r="A1568" s="258"/>
      <c r="Z1568" s="258"/>
    </row>
    <row r="1569" spans="1:26" ht="12.75" customHeight="1" x14ac:dyDescent="0.2">
      <c r="A1569" s="258"/>
      <c r="Z1569" s="258"/>
    </row>
    <row r="1570" spans="1:26" ht="12.75" customHeight="1" x14ac:dyDescent="0.2">
      <c r="A1570" s="258"/>
      <c r="Z1570" s="258"/>
    </row>
    <row r="1571" spans="1:26" ht="12.75" customHeight="1" x14ac:dyDescent="0.2">
      <c r="A1571" s="258"/>
      <c r="Z1571" s="258"/>
    </row>
    <row r="1572" spans="1:26" ht="12.75" customHeight="1" x14ac:dyDescent="0.2">
      <c r="A1572" s="258"/>
      <c r="Z1572" s="258"/>
    </row>
    <row r="1573" spans="1:26" ht="12.75" customHeight="1" x14ac:dyDescent="0.2">
      <c r="A1573" s="258"/>
      <c r="Z1573" s="258"/>
    </row>
    <row r="1574" spans="1:26" ht="12.75" customHeight="1" x14ac:dyDescent="0.2">
      <c r="A1574" s="258"/>
      <c r="Z1574" s="258"/>
    </row>
    <row r="1575" spans="1:26" ht="12.75" customHeight="1" x14ac:dyDescent="0.2">
      <c r="A1575" s="258"/>
      <c r="Z1575" s="258"/>
    </row>
    <row r="1576" spans="1:26" ht="12.75" customHeight="1" x14ac:dyDescent="0.2">
      <c r="A1576" s="258"/>
      <c r="Z1576" s="258"/>
    </row>
    <row r="1577" spans="1:26" ht="12.75" customHeight="1" x14ac:dyDescent="0.2">
      <c r="A1577" s="258"/>
      <c r="Z1577" s="258"/>
    </row>
    <row r="1578" spans="1:26" ht="12.75" customHeight="1" x14ac:dyDescent="0.2">
      <c r="A1578" s="258"/>
      <c r="Z1578" s="258"/>
    </row>
    <row r="1579" spans="1:26" ht="12.75" customHeight="1" x14ac:dyDescent="0.2">
      <c r="A1579" s="258"/>
      <c r="Z1579" s="258"/>
    </row>
    <row r="1580" spans="1:26" ht="12.75" customHeight="1" x14ac:dyDescent="0.2">
      <c r="A1580" s="258"/>
      <c r="Z1580" s="258"/>
    </row>
    <row r="1581" spans="1:26" ht="12.75" customHeight="1" x14ac:dyDescent="0.2">
      <c r="A1581" s="258"/>
      <c r="Z1581" s="258"/>
    </row>
    <row r="1582" spans="1:26" ht="12.75" customHeight="1" x14ac:dyDescent="0.2">
      <c r="A1582" s="258"/>
      <c r="Z1582" s="258"/>
    </row>
    <row r="1583" spans="1:26" ht="12.75" customHeight="1" x14ac:dyDescent="0.2">
      <c r="A1583" s="258"/>
      <c r="Z1583" s="258"/>
    </row>
    <row r="1584" spans="1:26" ht="12.75" customHeight="1" x14ac:dyDescent="0.2">
      <c r="A1584" s="258"/>
      <c r="Z1584" s="258"/>
    </row>
    <row r="1585" spans="1:26" ht="12.75" customHeight="1" x14ac:dyDescent="0.2">
      <c r="A1585" s="258"/>
      <c r="Z1585" s="258"/>
    </row>
    <row r="1586" spans="1:26" ht="12.75" customHeight="1" x14ac:dyDescent="0.2">
      <c r="A1586" s="258"/>
      <c r="Z1586" s="258"/>
    </row>
    <row r="1587" spans="1:26" ht="12.75" customHeight="1" x14ac:dyDescent="0.2">
      <c r="A1587" s="258"/>
      <c r="Z1587" s="258"/>
    </row>
    <row r="1588" spans="1:26" ht="12.75" customHeight="1" x14ac:dyDescent="0.2">
      <c r="A1588" s="258"/>
      <c r="Z1588" s="258"/>
    </row>
    <row r="1589" spans="1:26" ht="12.75" customHeight="1" x14ac:dyDescent="0.2">
      <c r="A1589" s="258"/>
      <c r="Z1589" s="258"/>
    </row>
    <row r="1590" spans="1:26" ht="12.75" customHeight="1" x14ac:dyDescent="0.2">
      <c r="A1590" s="258"/>
      <c r="Z1590" s="258"/>
    </row>
    <row r="1591" spans="1:26" ht="12.75" customHeight="1" x14ac:dyDescent="0.2">
      <c r="A1591" s="258"/>
      <c r="Z1591" s="258"/>
    </row>
    <row r="1592" spans="1:26" ht="12.75" customHeight="1" x14ac:dyDescent="0.2">
      <c r="A1592" s="258"/>
      <c r="Z1592" s="258"/>
    </row>
    <row r="1593" spans="1:26" ht="12.75" customHeight="1" x14ac:dyDescent="0.2">
      <c r="A1593" s="258"/>
      <c r="Z1593" s="258"/>
    </row>
    <row r="1594" spans="1:26" ht="12.75" customHeight="1" x14ac:dyDescent="0.2">
      <c r="A1594" s="258"/>
      <c r="Z1594" s="258"/>
    </row>
    <row r="1595" spans="1:26" ht="12.75" customHeight="1" x14ac:dyDescent="0.2">
      <c r="A1595" s="258"/>
      <c r="Z1595" s="258"/>
    </row>
    <row r="1596" spans="1:26" ht="12.75" customHeight="1" x14ac:dyDescent="0.2">
      <c r="A1596" s="258"/>
      <c r="Z1596" s="258"/>
    </row>
    <row r="1597" spans="1:26" ht="12.75" customHeight="1" x14ac:dyDescent="0.2">
      <c r="A1597" s="258"/>
      <c r="Z1597" s="258"/>
    </row>
    <row r="1598" spans="1:26" ht="12.75" customHeight="1" x14ac:dyDescent="0.2">
      <c r="A1598" s="258"/>
      <c r="Z1598" s="258"/>
    </row>
    <row r="1599" spans="1:26" ht="12.75" customHeight="1" x14ac:dyDescent="0.2">
      <c r="A1599" s="258"/>
      <c r="Z1599" s="258"/>
    </row>
    <row r="1600" spans="1:26" ht="12.75" customHeight="1" x14ac:dyDescent="0.2">
      <c r="A1600" s="258"/>
      <c r="Z1600" s="258"/>
    </row>
    <row r="1601" spans="1:26" ht="12.75" customHeight="1" x14ac:dyDescent="0.2">
      <c r="A1601" s="258"/>
      <c r="Z1601" s="258"/>
    </row>
    <row r="1602" spans="1:26" ht="12.75" customHeight="1" x14ac:dyDescent="0.2">
      <c r="A1602" s="258"/>
      <c r="Z1602" s="258"/>
    </row>
    <row r="1603" spans="1:26" ht="12.75" customHeight="1" x14ac:dyDescent="0.2">
      <c r="A1603" s="258"/>
      <c r="Z1603" s="258"/>
    </row>
    <row r="1604" spans="1:26" ht="12.75" customHeight="1" x14ac:dyDescent="0.2">
      <c r="A1604" s="258"/>
      <c r="Z1604" s="258"/>
    </row>
    <row r="1605" spans="1:26" ht="12.75" customHeight="1" x14ac:dyDescent="0.2">
      <c r="A1605" s="258"/>
      <c r="Z1605" s="258"/>
    </row>
    <row r="1606" spans="1:26" ht="12.75" customHeight="1" x14ac:dyDescent="0.2">
      <c r="A1606" s="258"/>
      <c r="Z1606" s="258"/>
    </row>
    <row r="1607" spans="1:26" ht="12.75" customHeight="1" x14ac:dyDescent="0.2">
      <c r="A1607" s="258"/>
      <c r="Z1607" s="258"/>
    </row>
    <row r="1608" spans="1:26" ht="12.75" customHeight="1" x14ac:dyDescent="0.2">
      <c r="A1608" s="258"/>
      <c r="Z1608" s="258"/>
    </row>
    <row r="1609" spans="1:26" ht="12.75" customHeight="1" x14ac:dyDescent="0.2">
      <c r="A1609" s="258"/>
      <c r="Z1609" s="258"/>
    </row>
    <row r="1610" spans="1:26" ht="12.75" customHeight="1" x14ac:dyDescent="0.2">
      <c r="A1610" s="258"/>
      <c r="Z1610" s="258"/>
    </row>
    <row r="1611" spans="1:26" ht="12.75" customHeight="1" x14ac:dyDescent="0.2">
      <c r="A1611" s="258"/>
      <c r="Z1611" s="258"/>
    </row>
    <row r="1612" spans="1:26" ht="12.75" customHeight="1" x14ac:dyDescent="0.2">
      <c r="A1612" s="258"/>
      <c r="Z1612" s="258"/>
    </row>
    <row r="1613" spans="1:26" ht="12.75" customHeight="1" x14ac:dyDescent="0.2">
      <c r="A1613" s="258"/>
      <c r="Z1613" s="258"/>
    </row>
    <row r="1614" spans="1:26" ht="12.75" customHeight="1" x14ac:dyDescent="0.2">
      <c r="A1614" s="258"/>
      <c r="Z1614" s="258"/>
    </row>
    <row r="1615" spans="1:26" ht="12.75" customHeight="1" x14ac:dyDescent="0.2">
      <c r="A1615" s="258"/>
      <c r="Z1615" s="258"/>
    </row>
    <row r="1616" spans="1:26" ht="12.75" customHeight="1" x14ac:dyDescent="0.2">
      <c r="A1616" s="258"/>
      <c r="Z1616" s="258"/>
    </row>
    <row r="1617" spans="1:26" ht="12.75" customHeight="1" x14ac:dyDescent="0.2">
      <c r="A1617" s="258"/>
      <c r="Z1617" s="258"/>
    </row>
    <row r="1618" spans="1:26" ht="12.75" customHeight="1" x14ac:dyDescent="0.2">
      <c r="A1618" s="258"/>
      <c r="Z1618" s="258"/>
    </row>
    <row r="1619" spans="1:26" ht="12.75" customHeight="1" x14ac:dyDescent="0.2">
      <c r="A1619" s="258"/>
      <c r="Z1619" s="258"/>
    </row>
    <row r="1620" spans="1:26" ht="12.75" customHeight="1" x14ac:dyDescent="0.2">
      <c r="A1620" s="258"/>
      <c r="Z1620" s="258"/>
    </row>
    <row r="1621" spans="1:26" ht="12.75" customHeight="1" x14ac:dyDescent="0.2">
      <c r="A1621" s="258"/>
      <c r="Z1621" s="258"/>
    </row>
    <row r="1622" spans="1:26" ht="12.75" customHeight="1" x14ac:dyDescent="0.2">
      <c r="A1622" s="258"/>
      <c r="Z1622" s="258"/>
    </row>
    <row r="1623" spans="1:26" ht="12.75" customHeight="1" x14ac:dyDescent="0.2">
      <c r="A1623" s="258"/>
      <c r="Z1623" s="258"/>
    </row>
    <row r="1624" spans="1:26" ht="12.75" customHeight="1" x14ac:dyDescent="0.2">
      <c r="A1624" s="258"/>
      <c r="Z1624" s="258"/>
    </row>
    <row r="1625" spans="1:26" ht="12.75" customHeight="1" x14ac:dyDescent="0.2">
      <c r="A1625" s="258"/>
      <c r="Z1625" s="258"/>
    </row>
    <row r="1626" spans="1:26" ht="12.75" customHeight="1" x14ac:dyDescent="0.2">
      <c r="A1626" s="258"/>
      <c r="Z1626" s="258"/>
    </row>
    <row r="1627" spans="1:26" ht="12.75" customHeight="1" x14ac:dyDescent="0.2">
      <c r="A1627" s="258"/>
      <c r="Z1627" s="258"/>
    </row>
    <row r="1628" spans="1:26" ht="12.75" customHeight="1" x14ac:dyDescent="0.2">
      <c r="A1628" s="258"/>
      <c r="Z1628" s="258"/>
    </row>
    <row r="1629" spans="1:26" ht="12.75" customHeight="1" x14ac:dyDescent="0.2">
      <c r="A1629" s="258"/>
      <c r="Z1629" s="258"/>
    </row>
    <row r="1630" spans="1:26" ht="12.75" customHeight="1" x14ac:dyDescent="0.2">
      <c r="A1630" s="258"/>
      <c r="Z1630" s="258"/>
    </row>
    <row r="1631" spans="1:26" ht="12.75" customHeight="1" x14ac:dyDescent="0.2">
      <c r="A1631" s="258"/>
      <c r="Z1631" s="258"/>
    </row>
    <row r="1632" spans="1:26" ht="12.75" customHeight="1" x14ac:dyDescent="0.2">
      <c r="A1632" s="258"/>
      <c r="Z1632" s="258"/>
    </row>
    <row r="1633" spans="1:26" ht="12.75" customHeight="1" x14ac:dyDescent="0.2">
      <c r="A1633" s="258"/>
      <c r="Z1633" s="258"/>
    </row>
    <row r="1634" spans="1:26" ht="12.75" customHeight="1" x14ac:dyDescent="0.2">
      <c r="A1634" s="258"/>
      <c r="Z1634" s="258"/>
    </row>
    <row r="1635" spans="1:26" ht="12.75" customHeight="1" x14ac:dyDescent="0.2">
      <c r="A1635" s="258"/>
      <c r="Z1635" s="258"/>
    </row>
    <row r="1636" spans="1:26" ht="12.75" customHeight="1" x14ac:dyDescent="0.2">
      <c r="A1636" s="258"/>
      <c r="Z1636" s="258"/>
    </row>
    <row r="1637" spans="1:26" ht="12.75" customHeight="1" x14ac:dyDescent="0.2">
      <c r="A1637" s="258"/>
      <c r="Z1637" s="258"/>
    </row>
    <row r="1638" spans="1:26" ht="12.75" customHeight="1" x14ac:dyDescent="0.2">
      <c r="A1638" s="258"/>
      <c r="Z1638" s="258"/>
    </row>
    <row r="1639" spans="1:26" ht="12.75" customHeight="1" x14ac:dyDescent="0.2">
      <c r="A1639" s="258"/>
      <c r="Z1639" s="258"/>
    </row>
    <row r="1640" spans="1:26" ht="12.75" customHeight="1" x14ac:dyDescent="0.2">
      <c r="A1640" s="258"/>
      <c r="Z1640" s="258"/>
    </row>
    <row r="1641" spans="1:26" ht="12.75" customHeight="1" x14ac:dyDescent="0.2">
      <c r="A1641" s="258"/>
      <c r="Z1641" s="258"/>
    </row>
    <row r="1642" spans="1:26" ht="12.75" customHeight="1" x14ac:dyDescent="0.2">
      <c r="A1642" s="258"/>
      <c r="Z1642" s="258"/>
    </row>
    <row r="1643" spans="1:26" ht="12.75" customHeight="1" x14ac:dyDescent="0.2">
      <c r="A1643" s="258"/>
      <c r="Z1643" s="258"/>
    </row>
    <row r="1644" spans="1:26" ht="12.75" customHeight="1" x14ac:dyDescent="0.2">
      <c r="A1644" s="258"/>
      <c r="Z1644" s="258"/>
    </row>
    <row r="1645" spans="1:26" ht="12.75" customHeight="1" x14ac:dyDescent="0.2">
      <c r="A1645" s="258"/>
      <c r="Z1645" s="258"/>
    </row>
    <row r="1646" spans="1:26" ht="12.75" customHeight="1" x14ac:dyDescent="0.2">
      <c r="A1646" s="258"/>
      <c r="Z1646" s="258"/>
    </row>
    <row r="1647" spans="1:26" ht="12.75" customHeight="1" x14ac:dyDescent="0.2">
      <c r="A1647" s="258"/>
      <c r="Z1647" s="258"/>
    </row>
    <row r="1648" spans="1:26" ht="12.75" customHeight="1" x14ac:dyDescent="0.2">
      <c r="A1648" s="258"/>
      <c r="Z1648" s="258"/>
    </row>
    <row r="1649" spans="1:26" ht="12.75" customHeight="1" x14ac:dyDescent="0.2">
      <c r="A1649" s="258"/>
      <c r="Z1649" s="258"/>
    </row>
    <row r="1650" spans="1:26" ht="12.75" customHeight="1" x14ac:dyDescent="0.2">
      <c r="A1650" s="258"/>
      <c r="Z1650" s="258"/>
    </row>
    <row r="1651" spans="1:26" ht="12.75" customHeight="1" x14ac:dyDescent="0.2">
      <c r="A1651" s="258"/>
      <c r="Z1651" s="258"/>
    </row>
    <row r="1652" spans="1:26" ht="12.75" customHeight="1" x14ac:dyDescent="0.2">
      <c r="A1652" s="258"/>
      <c r="Z1652" s="258"/>
    </row>
    <row r="1653" spans="1:26" ht="12.75" customHeight="1" x14ac:dyDescent="0.2">
      <c r="A1653" s="258"/>
      <c r="Z1653" s="258"/>
    </row>
    <row r="1654" spans="1:26" ht="12.75" customHeight="1" x14ac:dyDescent="0.2">
      <c r="A1654" s="258"/>
      <c r="Z1654" s="258"/>
    </row>
    <row r="1655" spans="1:26" ht="12.75" customHeight="1" x14ac:dyDescent="0.2">
      <c r="A1655" s="258"/>
      <c r="Z1655" s="258"/>
    </row>
    <row r="1656" spans="1:26" ht="12.75" customHeight="1" x14ac:dyDescent="0.2">
      <c r="A1656" s="258"/>
      <c r="Z1656" s="258"/>
    </row>
    <row r="1657" spans="1:26" ht="12.75" customHeight="1" x14ac:dyDescent="0.2">
      <c r="A1657" s="258"/>
      <c r="Z1657" s="258"/>
    </row>
    <row r="1658" spans="1:26" ht="12.75" customHeight="1" x14ac:dyDescent="0.2">
      <c r="A1658" s="258"/>
      <c r="Z1658" s="258"/>
    </row>
    <row r="1659" spans="1:26" ht="12.75" customHeight="1" x14ac:dyDescent="0.2">
      <c r="A1659" s="258"/>
      <c r="Z1659" s="258"/>
    </row>
    <row r="1660" spans="1:26" ht="12.75" customHeight="1" x14ac:dyDescent="0.2">
      <c r="A1660" s="258"/>
      <c r="Z1660" s="258"/>
    </row>
    <row r="1661" spans="1:26" ht="12.75" customHeight="1" x14ac:dyDescent="0.2">
      <c r="A1661" s="258"/>
      <c r="Z1661" s="258"/>
    </row>
    <row r="1662" spans="1:26" ht="12.75" customHeight="1" x14ac:dyDescent="0.2">
      <c r="A1662" s="258"/>
      <c r="Z1662" s="258"/>
    </row>
    <row r="1663" spans="1:26" ht="12.75" customHeight="1" x14ac:dyDescent="0.2">
      <c r="A1663" s="258"/>
      <c r="Z1663" s="258"/>
    </row>
    <row r="1664" spans="1:26" ht="12.75" customHeight="1" x14ac:dyDescent="0.2">
      <c r="A1664" s="258"/>
      <c r="Z1664" s="258"/>
    </row>
    <row r="1665" spans="1:26" ht="12.75" customHeight="1" x14ac:dyDescent="0.2">
      <c r="A1665" s="258"/>
      <c r="Z1665" s="258"/>
    </row>
    <row r="1666" spans="1:26" ht="12.75" customHeight="1" x14ac:dyDescent="0.2">
      <c r="A1666" s="258"/>
      <c r="Z1666" s="258"/>
    </row>
    <row r="1667" spans="1:26" ht="12.75" customHeight="1" x14ac:dyDescent="0.2">
      <c r="A1667" s="258"/>
      <c r="Z1667" s="258"/>
    </row>
    <row r="1668" spans="1:26" ht="12.75" customHeight="1" x14ac:dyDescent="0.2">
      <c r="A1668" s="258"/>
      <c r="Z1668" s="258"/>
    </row>
    <row r="1669" spans="1:26" ht="12.75" customHeight="1" x14ac:dyDescent="0.2">
      <c r="A1669" s="258"/>
      <c r="Z1669" s="258"/>
    </row>
    <row r="1670" spans="1:26" ht="12.75" customHeight="1" x14ac:dyDescent="0.2">
      <c r="A1670" s="258"/>
      <c r="Z1670" s="258"/>
    </row>
    <row r="1671" spans="1:26" ht="12.75" customHeight="1" x14ac:dyDescent="0.2">
      <c r="A1671" s="258"/>
      <c r="Z1671" s="258"/>
    </row>
    <row r="1672" spans="1:26" ht="12.75" customHeight="1" x14ac:dyDescent="0.2">
      <c r="A1672" s="258"/>
      <c r="Z1672" s="258"/>
    </row>
    <row r="1673" spans="1:26" ht="12.75" customHeight="1" x14ac:dyDescent="0.2">
      <c r="A1673" s="258"/>
      <c r="Z1673" s="258"/>
    </row>
    <row r="1674" spans="1:26" ht="12.75" customHeight="1" x14ac:dyDescent="0.2">
      <c r="A1674" s="258"/>
      <c r="Z1674" s="258"/>
    </row>
    <row r="1675" spans="1:26" ht="12.75" customHeight="1" x14ac:dyDescent="0.2">
      <c r="A1675" s="258"/>
      <c r="Z1675" s="258"/>
    </row>
    <row r="1676" spans="1:26" ht="12.75" customHeight="1" x14ac:dyDescent="0.2">
      <c r="A1676" s="258"/>
      <c r="Z1676" s="258"/>
    </row>
    <row r="1677" spans="1:26" ht="12.75" customHeight="1" x14ac:dyDescent="0.2">
      <c r="A1677" s="258"/>
      <c r="Z1677" s="258"/>
    </row>
    <row r="1678" spans="1:26" ht="12.75" customHeight="1" x14ac:dyDescent="0.2">
      <c r="A1678" s="258"/>
      <c r="Z1678" s="258"/>
    </row>
    <row r="1679" spans="1:26" ht="12.75" customHeight="1" x14ac:dyDescent="0.2">
      <c r="A1679" s="258"/>
      <c r="Z1679" s="258"/>
    </row>
    <row r="1680" spans="1:26" ht="12.75" customHeight="1" x14ac:dyDescent="0.2">
      <c r="A1680" s="258"/>
      <c r="Z1680" s="258"/>
    </row>
    <row r="1681" spans="1:26" ht="12.75" customHeight="1" x14ac:dyDescent="0.2">
      <c r="A1681" s="258"/>
      <c r="Z1681" s="258"/>
    </row>
    <row r="1682" spans="1:26" ht="12.75" customHeight="1" x14ac:dyDescent="0.2">
      <c r="A1682" s="258"/>
      <c r="Z1682" s="258"/>
    </row>
    <row r="1683" spans="1:26" ht="12.75" customHeight="1" x14ac:dyDescent="0.2">
      <c r="A1683" s="258"/>
      <c r="Z1683" s="258"/>
    </row>
    <row r="1684" spans="1:26" ht="12.75" customHeight="1" x14ac:dyDescent="0.2">
      <c r="A1684" s="258"/>
      <c r="Z1684" s="258"/>
    </row>
    <row r="1685" spans="1:26" ht="12.75" customHeight="1" x14ac:dyDescent="0.2">
      <c r="A1685" s="258"/>
      <c r="Z1685" s="258"/>
    </row>
    <row r="1686" spans="1:26" ht="12.75" customHeight="1" x14ac:dyDescent="0.2">
      <c r="A1686" s="258"/>
      <c r="Z1686" s="258"/>
    </row>
    <row r="1687" spans="1:26" ht="12.75" customHeight="1" x14ac:dyDescent="0.2">
      <c r="A1687" s="258"/>
      <c r="Z1687" s="258"/>
    </row>
    <row r="1688" spans="1:26" ht="12.75" customHeight="1" x14ac:dyDescent="0.2">
      <c r="A1688" s="258"/>
      <c r="Z1688" s="258"/>
    </row>
    <row r="1689" spans="1:26" ht="12.75" customHeight="1" x14ac:dyDescent="0.2">
      <c r="A1689" s="258"/>
      <c r="Z1689" s="258"/>
    </row>
    <row r="1690" spans="1:26" ht="12.75" customHeight="1" x14ac:dyDescent="0.2">
      <c r="A1690" s="258"/>
      <c r="Z1690" s="258"/>
    </row>
    <row r="1691" spans="1:26" ht="12.75" customHeight="1" x14ac:dyDescent="0.2">
      <c r="A1691" s="258"/>
      <c r="Z1691" s="258"/>
    </row>
    <row r="1692" spans="1:26" ht="12.75" customHeight="1" x14ac:dyDescent="0.2">
      <c r="A1692" s="258"/>
      <c r="Z1692" s="258"/>
    </row>
    <row r="1693" spans="1:26" ht="12.75" customHeight="1" x14ac:dyDescent="0.2">
      <c r="A1693" s="258"/>
      <c r="Z1693" s="258"/>
    </row>
    <row r="1694" spans="1:26" ht="12.75" customHeight="1" x14ac:dyDescent="0.2">
      <c r="A1694" s="258"/>
      <c r="Z1694" s="258"/>
    </row>
    <row r="1695" spans="1:26" ht="12.75" customHeight="1" x14ac:dyDescent="0.2">
      <c r="A1695" s="258"/>
      <c r="Z1695" s="258"/>
    </row>
    <row r="1696" spans="1:26" ht="12.75" customHeight="1" x14ac:dyDescent="0.2">
      <c r="A1696" s="258"/>
      <c r="Z1696" s="258"/>
    </row>
    <row r="1697" spans="1:26" ht="12.75" customHeight="1" x14ac:dyDescent="0.2">
      <c r="A1697" s="258"/>
      <c r="Z1697" s="258"/>
    </row>
    <row r="1698" spans="1:26" ht="12.75" customHeight="1" x14ac:dyDescent="0.2">
      <c r="A1698" s="258"/>
      <c r="Z1698" s="258"/>
    </row>
    <row r="1699" spans="1:26" ht="12.75" customHeight="1" x14ac:dyDescent="0.2">
      <c r="A1699" s="258"/>
      <c r="Z1699" s="258"/>
    </row>
    <row r="1700" spans="1:26" ht="12.75" customHeight="1" x14ac:dyDescent="0.2">
      <c r="A1700" s="258"/>
      <c r="Z1700" s="258"/>
    </row>
    <row r="1701" spans="1:26" ht="12.75" customHeight="1" x14ac:dyDescent="0.2">
      <c r="A1701" s="258"/>
      <c r="Z1701" s="258"/>
    </row>
    <row r="1702" spans="1:26" ht="12.75" customHeight="1" x14ac:dyDescent="0.2">
      <c r="A1702" s="258"/>
      <c r="Z1702" s="258"/>
    </row>
    <row r="1703" spans="1:26" ht="12.75" customHeight="1" x14ac:dyDescent="0.2">
      <c r="A1703" s="258"/>
      <c r="Z1703" s="258"/>
    </row>
    <row r="1704" spans="1:26" ht="12.75" customHeight="1" x14ac:dyDescent="0.2">
      <c r="A1704" s="258"/>
      <c r="Z1704" s="258"/>
    </row>
    <row r="1705" spans="1:26" ht="12.75" customHeight="1" x14ac:dyDescent="0.2">
      <c r="A1705" s="258"/>
      <c r="Z1705" s="258"/>
    </row>
    <row r="1706" spans="1:26" ht="12.75" customHeight="1" x14ac:dyDescent="0.2">
      <c r="A1706" s="258"/>
      <c r="Z1706" s="258"/>
    </row>
    <row r="1707" spans="1:26" ht="12.75" customHeight="1" x14ac:dyDescent="0.2">
      <c r="A1707" s="258"/>
      <c r="Z1707" s="258"/>
    </row>
    <row r="1708" spans="1:26" ht="12.75" customHeight="1" x14ac:dyDescent="0.2">
      <c r="A1708" s="258"/>
      <c r="Z1708" s="258"/>
    </row>
    <row r="1709" spans="1:26" ht="12.75" customHeight="1" x14ac:dyDescent="0.2">
      <c r="A1709" s="258"/>
      <c r="Z1709" s="258"/>
    </row>
    <row r="1710" spans="1:26" ht="12.75" customHeight="1" x14ac:dyDescent="0.2">
      <c r="A1710" s="258"/>
      <c r="Z1710" s="258"/>
    </row>
    <row r="1711" spans="1:26" ht="12.75" customHeight="1" x14ac:dyDescent="0.2">
      <c r="A1711" s="258"/>
      <c r="Z1711" s="258"/>
    </row>
    <row r="1712" spans="1:26" ht="12.75" customHeight="1" x14ac:dyDescent="0.2">
      <c r="A1712" s="258"/>
      <c r="Z1712" s="258"/>
    </row>
    <row r="1713" spans="1:26" ht="12.75" customHeight="1" x14ac:dyDescent="0.2">
      <c r="A1713" s="258"/>
      <c r="Z1713" s="258"/>
    </row>
    <row r="1714" spans="1:26" ht="12.75" customHeight="1" x14ac:dyDescent="0.2">
      <c r="A1714" s="258"/>
      <c r="Z1714" s="258"/>
    </row>
    <row r="1715" spans="1:26" ht="12.75" customHeight="1" x14ac:dyDescent="0.2">
      <c r="A1715" s="258"/>
      <c r="Z1715" s="258"/>
    </row>
    <row r="1716" spans="1:26" ht="12.75" customHeight="1" x14ac:dyDescent="0.2">
      <c r="A1716" s="258"/>
      <c r="Z1716" s="258"/>
    </row>
    <row r="1717" spans="1:26" ht="12.75" customHeight="1" x14ac:dyDescent="0.2">
      <c r="A1717" s="258"/>
      <c r="Z1717" s="258"/>
    </row>
    <row r="1718" spans="1:26" ht="12.75" customHeight="1" x14ac:dyDescent="0.2">
      <c r="A1718" s="258"/>
      <c r="Z1718" s="258"/>
    </row>
    <row r="1719" spans="1:26" ht="12.75" customHeight="1" x14ac:dyDescent="0.2">
      <c r="A1719" s="258"/>
      <c r="Z1719" s="258"/>
    </row>
    <row r="1720" spans="1:26" ht="12.75" customHeight="1" x14ac:dyDescent="0.2">
      <c r="A1720" s="258"/>
      <c r="Z1720" s="258"/>
    </row>
    <row r="1721" spans="1:26" ht="12.75" customHeight="1" x14ac:dyDescent="0.2">
      <c r="A1721" s="258"/>
      <c r="Z1721" s="258"/>
    </row>
    <row r="1722" spans="1:26" ht="12.75" customHeight="1" x14ac:dyDescent="0.2">
      <c r="A1722" s="258"/>
      <c r="Z1722" s="258"/>
    </row>
    <row r="1723" spans="1:26" ht="12.75" customHeight="1" x14ac:dyDescent="0.2">
      <c r="A1723" s="258"/>
      <c r="Z1723" s="258"/>
    </row>
    <row r="1724" spans="1:26" ht="12.75" customHeight="1" x14ac:dyDescent="0.2">
      <c r="A1724" s="258"/>
      <c r="Z1724" s="258"/>
    </row>
    <row r="1725" spans="1:26" ht="12.75" customHeight="1" x14ac:dyDescent="0.2">
      <c r="A1725" s="258"/>
      <c r="Z1725" s="258"/>
    </row>
    <row r="1726" spans="1:26" ht="12.75" customHeight="1" x14ac:dyDescent="0.2">
      <c r="A1726" s="258"/>
      <c r="Z1726" s="258"/>
    </row>
    <row r="1727" spans="1:26" ht="12.75" customHeight="1" x14ac:dyDescent="0.2">
      <c r="A1727" s="258"/>
      <c r="Z1727" s="258"/>
    </row>
    <row r="1728" spans="1:26" ht="12.75" customHeight="1" x14ac:dyDescent="0.2">
      <c r="A1728" s="258"/>
      <c r="Z1728" s="258"/>
    </row>
    <row r="1729" spans="1:26" ht="12.75" customHeight="1" x14ac:dyDescent="0.2">
      <c r="A1729" s="258"/>
      <c r="Z1729" s="258"/>
    </row>
    <row r="1730" spans="1:26" ht="12.75" customHeight="1" x14ac:dyDescent="0.2">
      <c r="A1730" s="258"/>
      <c r="Z1730" s="258"/>
    </row>
    <row r="1731" spans="1:26" ht="12.75" customHeight="1" x14ac:dyDescent="0.2">
      <c r="A1731" s="258"/>
      <c r="Z1731" s="258"/>
    </row>
    <row r="1732" spans="1:26" ht="12.75" customHeight="1" x14ac:dyDescent="0.2">
      <c r="A1732" s="258"/>
      <c r="Z1732" s="258"/>
    </row>
    <row r="1733" spans="1:26" ht="12.75" customHeight="1" x14ac:dyDescent="0.2">
      <c r="A1733" s="258"/>
      <c r="Z1733" s="258"/>
    </row>
    <row r="1734" spans="1:26" ht="12.75" customHeight="1" x14ac:dyDescent="0.2">
      <c r="A1734" s="258"/>
      <c r="Z1734" s="258"/>
    </row>
    <row r="1735" spans="1:26" ht="12.75" customHeight="1" x14ac:dyDescent="0.2">
      <c r="A1735" s="258"/>
      <c r="Z1735" s="258"/>
    </row>
    <row r="1736" spans="1:26" ht="12.75" customHeight="1" x14ac:dyDescent="0.2">
      <c r="A1736" s="258"/>
      <c r="Z1736" s="258"/>
    </row>
    <row r="1737" spans="1:26" ht="12.75" customHeight="1" x14ac:dyDescent="0.2">
      <c r="A1737" s="258"/>
      <c r="Z1737" s="258"/>
    </row>
    <row r="1738" spans="1:26" ht="12.75" customHeight="1" x14ac:dyDescent="0.2">
      <c r="A1738" s="258"/>
      <c r="Z1738" s="258"/>
    </row>
    <row r="1739" spans="1:26" ht="12.75" customHeight="1" x14ac:dyDescent="0.2">
      <c r="A1739" s="258"/>
      <c r="Z1739" s="258"/>
    </row>
    <row r="1740" spans="1:26" ht="12.75" customHeight="1" x14ac:dyDescent="0.2">
      <c r="A1740" s="258"/>
      <c r="Z1740" s="258"/>
    </row>
    <row r="1741" spans="1:26" ht="12.75" customHeight="1" x14ac:dyDescent="0.2">
      <c r="A1741" s="258"/>
      <c r="Z1741" s="258"/>
    </row>
    <row r="1742" spans="1:26" ht="12.75" customHeight="1" x14ac:dyDescent="0.2">
      <c r="A1742" s="258"/>
      <c r="Z1742" s="258"/>
    </row>
    <row r="1743" spans="1:26" ht="12.75" customHeight="1" x14ac:dyDescent="0.2">
      <c r="A1743" s="258"/>
      <c r="Z1743" s="258"/>
    </row>
    <row r="1744" spans="1:26" ht="12.75" customHeight="1" x14ac:dyDescent="0.2">
      <c r="A1744" s="258"/>
      <c r="Z1744" s="258"/>
    </row>
    <row r="1745" spans="1:26" ht="12.75" customHeight="1" x14ac:dyDescent="0.2">
      <c r="A1745" s="258"/>
      <c r="Z1745" s="258"/>
    </row>
    <row r="1746" spans="1:26" ht="12.75" customHeight="1" x14ac:dyDescent="0.2">
      <c r="A1746" s="258"/>
      <c r="Z1746" s="258"/>
    </row>
    <row r="1747" spans="1:26" ht="12.75" customHeight="1" x14ac:dyDescent="0.2">
      <c r="A1747" s="258"/>
      <c r="Z1747" s="258"/>
    </row>
    <row r="1748" spans="1:26" ht="12.75" customHeight="1" x14ac:dyDescent="0.2">
      <c r="A1748" s="258"/>
      <c r="Z1748" s="258"/>
    </row>
    <row r="1749" spans="1:26" ht="12.75" customHeight="1" x14ac:dyDescent="0.2">
      <c r="A1749" s="258"/>
      <c r="Z1749" s="258"/>
    </row>
    <row r="1750" spans="1:26" ht="12.75" customHeight="1" x14ac:dyDescent="0.2">
      <c r="A1750" s="258"/>
      <c r="Z1750" s="258"/>
    </row>
    <row r="1751" spans="1:26" ht="12.75" customHeight="1" x14ac:dyDescent="0.2">
      <c r="A1751" s="258"/>
      <c r="Z1751" s="258"/>
    </row>
    <row r="1752" spans="1:26" ht="12.75" customHeight="1" x14ac:dyDescent="0.2">
      <c r="A1752" s="258"/>
      <c r="Z1752" s="258"/>
    </row>
    <row r="1753" spans="1:26" ht="12.75" customHeight="1" x14ac:dyDescent="0.2">
      <c r="A1753" s="258"/>
      <c r="Z1753" s="258"/>
    </row>
    <row r="1754" spans="1:26" ht="12.75" customHeight="1" x14ac:dyDescent="0.2">
      <c r="A1754" s="258"/>
      <c r="Z1754" s="258"/>
    </row>
    <row r="1755" spans="1:26" ht="12.75" customHeight="1" x14ac:dyDescent="0.2">
      <c r="A1755" s="258"/>
      <c r="Z1755" s="258"/>
    </row>
    <row r="1756" spans="1:26" ht="12.75" customHeight="1" x14ac:dyDescent="0.2">
      <c r="A1756" s="258"/>
      <c r="Z1756" s="258"/>
    </row>
    <row r="1757" spans="1:26" ht="12.75" customHeight="1" x14ac:dyDescent="0.2">
      <c r="A1757" s="258"/>
      <c r="Z1757" s="258"/>
    </row>
    <row r="1758" spans="1:26" ht="12.75" customHeight="1" x14ac:dyDescent="0.2">
      <c r="A1758" s="258"/>
      <c r="Z1758" s="258"/>
    </row>
    <row r="1759" spans="1:26" ht="12.75" customHeight="1" x14ac:dyDescent="0.2">
      <c r="A1759" s="258"/>
      <c r="Z1759" s="258"/>
    </row>
    <row r="1760" spans="1:26" ht="12.75" customHeight="1" x14ac:dyDescent="0.2">
      <c r="A1760" s="258"/>
      <c r="Z1760" s="258"/>
    </row>
    <row r="1761" spans="1:26" ht="12.75" customHeight="1" x14ac:dyDescent="0.2">
      <c r="A1761" s="258"/>
      <c r="Z1761" s="258"/>
    </row>
    <row r="1762" spans="1:26" ht="12.75" customHeight="1" x14ac:dyDescent="0.2">
      <c r="A1762" s="258"/>
      <c r="Z1762" s="258"/>
    </row>
    <row r="1763" spans="1:26" ht="12.75" customHeight="1" x14ac:dyDescent="0.2">
      <c r="A1763" s="258"/>
      <c r="Z1763" s="258"/>
    </row>
    <row r="1764" spans="1:26" ht="12.75" customHeight="1" x14ac:dyDescent="0.2">
      <c r="A1764" s="258"/>
      <c r="Z1764" s="258"/>
    </row>
    <row r="1765" spans="1:26" ht="12.75" customHeight="1" x14ac:dyDescent="0.2">
      <c r="A1765" s="258"/>
      <c r="Z1765" s="258"/>
    </row>
    <row r="1766" spans="1:26" ht="12.75" customHeight="1" x14ac:dyDescent="0.2">
      <c r="A1766" s="258"/>
      <c r="Z1766" s="258"/>
    </row>
    <row r="1767" spans="1:26" ht="12.75" customHeight="1" x14ac:dyDescent="0.2">
      <c r="A1767" s="258"/>
      <c r="Z1767" s="258"/>
    </row>
    <row r="1768" spans="1:26" ht="12.75" customHeight="1" x14ac:dyDescent="0.2">
      <c r="A1768" s="258"/>
      <c r="Z1768" s="258"/>
    </row>
    <row r="1769" spans="1:26" ht="12.75" customHeight="1" x14ac:dyDescent="0.2">
      <c r="A1769" s="258"/>
      <c r="Z1769" s="258"/>
    </row>
    <row r="1770" spans="1:26" ht="12.75" customHeight="1" x14ac:dyDescent="0.2">
      <c r="A1770" s="258"/>
      <c r="Z1770" s="258"/>
    </row>
    <row r="1771" spans="1:26" ht="12.75" customHeight="1" x14ac:dyDescent="0.2">
      <c r="A1771" s="258"/>
      <c r="Z1771" s="258"/>
    </row>
    <row r="1772" spans="1:26" ht="12.75" customHeight="1" x14ac:dyDescent="0.2">
      <c r="A1772" s="258"/>
      <c r="Z1772" s="258"/>
    </row>
    <row r="1773" spans="1:26" ht="12.75" customHeight="1" x14ac:dyDescent="0.2">
      <c r="A1773" s="258"/>
      <c r="Z1773" s="258"/>
    </row>
    <row r="1774" spans="1:26" ht="12.75" customHeight="1" x14ac:dyDescent="0.2">
      <c r="A1774" s="258"/>
      <c r="Z1774" s="258"/>
    </row>
    <row r="1775" spans="1:26" ht="12.75" customHeight="1" x14ac:dyDescent="0.2">
      <c r="A1775" s="258"/>
      <c r="Z1775" s="258"/>
    </row>
    <row r="1776" spans="1:26" ht="12.75" customHeight="1" x14ac:dyDescent="0.2">
      <c r="A1776" s="258"/>
      <c r="Z1776" s="258"/>
    </row>
    <row r="1777" spans="1:26" ht="12.75" customHeight="1" x14ac:dyDescent="0.2">
      <c r="A1777" s="258"/>
      <c r="Z1777" s="258"/>
    </row>
    <row r="1778" spans="1:26" ht="12.75" customHeight="1" x14ac:dyDescent="0.2">
      <c r="A1778" s="258"/>
      <c r="Z1778" s="258"/>
    </row>
    <row r="1779" spans="1:26" ht="12.75" customHeight="1" x14ac:dyDescent="0.2">
      <c r="A1779" s="258"/>
      <c r="Z1779" s="258"/>
    </row>
    <row r="1780" spans="1:26" ht="12.75" customHeight="1" x14ac:dyDescent="0.2">
      <c r="A1780" s="258"/>
      <c r="Z1780" s="258"/>
    </row>
    <row r="1781" spans="1:26" ht="12.75" customHeight="1" x14ac:dyDescent="0.2">
      <c r="A1781" s="258"/>
      <c r="Z1781" s="258"/>
    </row>
    <row r="1782" spans="1:26" ht="12.75" customHeight="1" x14ac:dyDescent="0.2">
      <c r="A1782" s="258"/>
      <c r="Z1782" s="258"/>
    </row>
    <row r="1783" spans="1:26" ht="12.75" customHeight="1" x14ac:dyDescent="0.2">
      <c r="A1783" s="258"/>
      <c r="Z1783" s="258"/>
    </row>
    <row r="1784" spans="1:26" ht="12.75" customHeight="1" x14ac:dyDescent="0.2">
      <c r="A1784" s="258"/>
      <c r="Z1784" s="258"/>
    </row>
    <row r="1785" spans="1:26" ht="12.75" customHeight="1" x14ac:dyDescent="0.2">
      <c r="A1785" s="258"/>
      <c r="Z1785" s="258"/>
    </row>
    <row r="1786" spans="1:26" ht="12.75" customHeight="1" x14ac:dyDescent="0.2">
      <c r="A1786" s="258"/>
      <c r="Z1786" s="258"/>
    </row>
    <row r="1787" spans="1:26" ht="12.75" customHeight="1" x14ac:dyDescent="0.2">
      <c r="A1787" s="258"/>
      <c r="Z1787" s="258"/>
    </row>
    <row r="1788" spans="1:26" ht="12.75" customHeight="1" x14ac:dyDescent="0.2">
      <c r="A1788" s="258"/>
      <c r="Z1788" s="258"/>
    </row>
    <row r="1789" spans="1:26" ht="12.75" customHeight="1" x14ac:dyDescent="0.2">
      <c r="A1789" s="258"/>
      <c r="Z1789" s="258"/>
    </row>
    <row r="1790" spans="1:26" ht="12.75" customHeight="1" x14ac:dyDescent="0.2">
      <c r="A1790" s="258"/>
      <c r="Z1790" s="258"/>
    </row>
    <row r="1791" spans="1:26" ht="12.75" customHeight="1" x14ac:dyDescent="0.2">
      <c r="A1791" s="258"/>
      <c r="Z1791" s="258"/>
    </row>
    <row r="1792" spans="1:26" ht="12.75" customHeight="1" x14ac:dyDescent="0.2">
      <c r="A1792" s="258"/>
      <c r="Z1792" s="258"/>
    </row>
    <row r="1793" spans="1:26" ht="12.75" customHeight="1" x14ac:dyDescent="0.2">
      <c r="A1793" s="258"/>
      <c r="Z1793" s="258"/>
    </row>
    <row r="1794" spans="1:26" ht="12.75" customHeight="1" x14ac:dyDescent="0.2">
      <c r="A1794" s="258"/>
      <c r="Z1794" s="258"/>
    </row>
    <row r="1795" spans="1:26" ht="12.75" customHeight="1" x14ac:dyDescent="0.2">
      <c r="A1795" s="258"/>
      <c r="Z1795" s="258"/>
    </row>
    <row r="1796" spans="1:26" ht="12.75" customHeight="1" x14ac:dyDescent="0.2">
      <c r="A1796" s="258"/>
      <c r="Z1796" s="258"/>
    </row>
    <row r="1797" spans="1:26" ht="12.75" customHeight="1" x14ac:dyDescent="0.2">
      <c r="A1797" s="258"/>
      <c r="Z1797" s="258"/>
    </row>
    <row r="1798" spans="1:26" ht="12.75" customHeight="1" x14ac:dyDescent="0.2">
      <c r="A1798" s="258"/>
      <c r="Z1798" s="258"/>
    </row>
    <row r="1799" spans="1:26" ht="12.75" customHeight="1" x14ac:dyDescent="0.2">
      <c r="A1799" s="258"/>
      <c r="Z1799" s="258"/>
    </row>
    <row r="1800" spans="1:26" ht="12.75" customHeight="1" x14ac:dyDescent="0.2">
      <c r="A1800" s="258"/>
      <c r="Z1800" s="258"/>
    </row>
    <row r="1801" spans="1:26" ht="12.75" customHeight="1" x14ac:dyDescent="0.2">
      <c r="A1801" s="258"/>
      <c r="Z1801" s="258"/>
    </row>
    <row r="1802" spans="1:26" ht="12.75" customHeight="1" x14ac:dyDescent="0.2">
      <c r="A1802" s="258"/>
      <c r="Z1802" s="258"/>
    </row>
    <row r="1803" spans="1:26" ht="12.75" customHeight="1" x14ac:dyDescent="0.2">
      <c r="A1803" s="258"/>
      <c r="Z1803" s="258"/>
    </row>
    <row r="1804" spans="1:26" ht="12.75" customHeight="1" x14ac:dyDescent="0.2">
      <c r="A1804" s="258"/>
      <c r="Z1804" s="258"/>
    </row>
    <row r="1805" spans="1:26" ht="12.75" customHeight="1" x14ac:dyDescent="0.2">
      <c r="A1805" s="258"/>
      <c r="Z1805" s="258"/>
    </row>
    <row r="1806" spans="1:26" ht="12.75" customHeight="1" x14ac:dyDescent="0.2">
      <c r="A1806" s="258"/>
      <c r="Z1806" s="258"/>
    </row>
    <row r="1807" spans="1:26" ht="12.75" customHeight="1" x14ac:dyDescent="0.2">
      <c r="A1807" s="258"/>
      <c r="Z1807" s="258"/>
    </row>
    <row r="1808" spans="1:26" ht="12.75" customHeight="1" x14ac:dyDescent="0.2">
      <c r="A1808" s="258"/>
      <c r="Z1808" s="258"/>
    </row>
    <row r="1809" spans="1:26" ht="12.75" customHeight="1" x14ac:dyDescent="0.2">
      <c r="A1809" s="258"/>
      <c r="Z1809" s="258"/>
    </row>
    <row r="1810" spans="1:26" ht="12.75" customHeight="1" x14ac:dyDescent="0.2">
      <c r="A1810" s="258"/>
      <c r="Z1810" s="258"/>
    </row>
    <row r="1811" spans="1:26" ht="12.75" customHeight="1" x14ac:dyDescent="0.2">
      <c r="A1811" s="258"/>
      <c r="Z1811" s="258"/>
    </row>
    <row r="1812" spans="1:26" ht="12.75" customHeight="1" x14ac:dyDescent="0.2">
      <c r="A1812" s="258"/>
      <c r="Z1812" s="258"/>
    </row>
    <row r="1813" spans="1:26" ht="12.75" customHeight="1" x14ac:dyDescent="0.2">
      <c r="A1813" s="258"/>
      <c r="Z1813" s="258"/>
    </row>
    <row r="1814" spans="1:26" ht="12.75" customHeight="1" x14ac:dyDescent="0.2">
      <c r="A1814" s="258"/>
      <c r="Z1814" s="258"/>
    </row>
    <row r="1815" spans="1:26" ht="12.75" customHeight="1" x14ac:dyDescent="0.2">
      <c r="A1815" s="258"/>
      <c r="Z1815" s="258"/>
    </row>
    <row r="1816" spans="1:26" ht="12.75" customHeight="1" x14ac:dyDescent="0.2">
      <c r="A1816" s="258"/>
      <c r="Z1816" s="258"/>
    </row>
    <row r="1817" spans="1:26" ht="12.75" customHeight="1" x14ac:dyDescent="0.2">
      <c r="A1817" s="258"/>
      <c r="Z1817" s="258"/>
    </row>
    <row r="1818" spans="1:26" ht="12.75" customHeight="1" x14ac:dyDescent="0.2">
      <c r="A1818" s="258"/>
      <c r="Z1818" s="258"/>
    </row>
    <row r="1819" spans="1:26" ht="12.75" customHeight="1" x14ac:dyDescent="0.2">
      <c r="A1819" s="258"/>
      <c r="Z1819" s="258"/>
    </row>
    <row r="1820" spans="1:26" ht="12.75" customHeight="1" x14ac:dyDescent="0.2">
      <c r="A1820" s="258"/>
      <c r="Z1820" s="258"/>
    </row>
    <row r="1821" spans="1:26" ht="12.75" customHeight="1" x14ac:dyDescent="0.2">
      <c r="A1821" s="258"/>
      <c r="Z1821" s="258"/>
    </row>
    <row r="1822" spans="1:26" ht="12.75" customHeight="1" x14ac:dyDescent="0.2">
      <c r="A1822" s="258"/>
      <c r="Z1822" s="258"/>
    </row>
    <row r="1823" spans="1:26" ht="12.75" customHeight="1" x14ac:dyDescent="0.2">
      <c r="A1823" s="258"/>
      <c r="Z1823" s="258"/>
    </row>
    <row r="1824" spans="1:26" ht="12.75" customHeight="1" x14ac:dyDescent="0.2">
      <c r="A1824" s="258"/>
      <c r="Z1824" s="258"/>
    </row>
    <row r="1825" spans="1:26" ht="12.75" customHeight="1" x14ac:dyDescent="0.2">
      <c r="A1825" s="258"/>
      <c r="Z1825" s="258"/>
    </row>
    <row r="1826" spans="1:26" ht="12.75" customHeight="1" x14ac:dyDescent="0.2">
      <c r="A1826" s="258"/>
      <c r="Z1826" s="258"/>
    </row>
    <row r="1827" spans="1:26" ht="12.75" customHeight="1" x14ac:dyDescent="0.2">
      <c r="A1827" s="258"/>
      <c r="Z1827" s="258"/>
    </row>
    <row r="1828" spans="1:26" ht="12.75" customHeight="1" x14ac:dyDescent="0.2">
      <c r="A1828" s="258"/>
      <c r="Z1828" s="258"/>
    </row>
    <row r="1829" spans="1:26" ht="12.75" customHeight="1" x14ac:dyDescent="0.2">
      <c r="A1829" s="258"/>
      <c r="Z1829" s="258"/>
    </row>
    <row r="1830" spans="1:26" ht="12.75" customHeight="1" x14ac:dyDescent="0.2">
      <c r="A1830" s="258"/>
      <c r="Z1830" s="258"/>
    </row>
    <row r="1831" spans="1:26" ht="12.75" customHeight="1" x14ac:dyDescent="0.2">
      <c r="A1831" s="258"/>
      <c r="Z1831" s="258"/>
    </row>
    <row r="1832" spans="1:26" ht="12.75" customHeight="1" x14ac:dyDescent="0.2">
      <c r="A1832" s="258"/>
      <c r="Z1832" s="258"/>
    </row>
    <row r="1833" spans="1:26" ht="12.75" customHeight="1" x14ac:dyDescent="0.2">
      <c r="A1833" s="258"/>
      <c r="Z1833" s="258"/>
    </row>
    <row r="1834" spans="1:26" ht="12.75" customHeight="1" x14ac:dyDescent="0.2">
      <c r="A1834" s="258"/>
      <c r="Z1834" s="258"/>
    </row>
    <row r="1835" spans="1:26" ht="12.75" customHeight="1" x14ac:dyDescent="0.2">
      <c r="A1835" s="258"/>
      <c r="Z1835" s="258"/>
    </row>
    <row r="1836" spans="1:26" ht="12.75" customHeight="1" x14ac:dyDescent="0.2">
      <c r="A1836" s="258"/>
      <c r="Z1836" s="258"/>
    </row>
    <row r="1837" spans="1:26" ht="12.75" customHeight="1" x14ac:dyDescent="0.2">
      <c r="A1837" s="258"/>
      <c r="Z1837" s="258"/>
    </row>
    <row r="1838" spans="1:26" ht="12.75" customHeight="1" x14ac:dyDescent="0.2">
      <c r="A1838" s="258"/>
      <c r="Z1838" s="258"/>
    </row>
    <row r="1839" spans="1:26" ht="12.75" customHeight="1" x14ac:dyDescent="0.2">
      <c r="A1839" s="258"/>
      <c r="Z1839" s="258"/>
    </row>
    <row r="1840" spans="1:26" ht="12.75" customHeight="1" x14ac:dyDescent="0.2">
      <c r="A1840" s="258"/>
      <c r="Z1840" s="258"/>
    </row>
    <row r="1841" spans="1:26" ht="12.75" customHeight="1" x14ac:dyDescent="0.2">
      <c r="A1841" s="258"/>
      <c r="Z1841" s="258"/>
    </row>
    <row r="1842" spans="1:26" ht="12.75" customHeight="1" x14ac:dyDescent="0.2">
      <c r="A1842" s="258"/>
      <c r="Z1842" s="258"/>
    </row>
    <row r="1843" spans="1:26" ht="12.75" customHeight="1" x14ac:dyDescent="0.2">
      <c r="A1843" s="258"/>
      <c r="Z1843" s="258"/>
    </row>
    <row r="1844" spans="1:26" ht="12.75" customHeight="1" x14ac:dyDescent="0.2">
      <c r="A1844" s="258"/>
      <c r="Z1844" s="258"/>
    </row>
    <row r="1845" spans="1:26" ht="12.75" customHeight="1" x14ac:dyDescent="0.2">
      <c r="A1845" s="258"/>
      <c r="Z1845" s="258"/>
    </row>
    <row r="1846" spans="1:26" ht="12.75" customHeight="1" x14ac:dyDescent="0.2">
      <c r="A1846" s="258"/>
      <c r="Z1846" s="258"/>
    </row>
    <row r="1847" spans="1:26" ht="12.75" customHeight="1" x14ac:dyDescent="0.2">
      <c r="A1847" s="258"/>
      <c r="Z1847" s="258"/>
    </row>
    <row r="1848" spans="1:26" ht="12.75" customHeight="1" x14ac:dyDescent="0.2">
      <c r="A1848" s="258"/>
      <c r="Z1848" s="258"/>
    </row>
    <row r="1849" spans="1:26" ht="12.75" customHeight="1" x14ac:dyDescent="0.2">
      <c r="A1849" s="258"/>
      <c r="Z1849" s="258"/>
    </row>
    <row r="1850" spans="1:26" ht="12.75" customHeight="1" x14ac:dyDescent="0.2">
      <c r="A1850" s="258"/>
      <c r="Z1850" s="258"/>
    </row>
    <row r="1851" spans="1:26" ht="12.75" customHeight="1" x14ac:dyDescent="0.2">
      <c r="A1851" s="258"/>
      <c r="Z1851" s="258"/>
    </row>
    <row r="1852" spans="1:26" ht="12.75" customHeight="1" x14ac:dyDescent="0.2">
      <c r="A1852" s="258"/>
      <c r="Z1852" s="258"/>
    </row>
    <row r="1853" spans="1:26" ht="12.75" customHeight="1" x14ac:dyDescent="0.2">
      <c r="A1853" s="258"/>
      <c r="Z1853" s="258"/>
    </row>
    <row r="1854" spans="1:26" ht="12.75" customHeight="1" x14ac:dyDescent="0.2">
      <c r="A1854" s="258"/>
      <c r="Z1854" s="258"/>
    </row>
    <row r="1855" spans="1:26" ht="12.75" customHeight="1" x14ac:dyDescent="0.2">
      <c r="A1855" s="258"/>
      <c r="Z1855" s="258"/>
    </row>
    <row r="1856" spans="1:26" ht="12.75" customHeight="1" x14ac:dyDescent="0.2">
      <c r="A1856" s="258"/>
      <c r="Z1856" s="258"/>
    </row>
    <row r="1857" spans="1:26" ht="12.75" customHeight="1" x14ac:dyDescent="0.2">
      <c r="A1857" s="258"/>
      <c r="Z1857" s="258"/>
    </row>
    <row r="1858" spans="1:26" ht="12.75" customHeight="1" x14ac:dyDescent="0.2">
      <c r="A1858" s="258"/>
      <c r="Z1858" s="258"/>
    </row>
    <row r="1859" spans="1:26" ht="12.75" customHeight="1" x14ac:dyDescent="0.2">
      <c r="A1859" s="258"/>
      <c r="Z1859" s="258"/>
    </row>
    <row r="1860" spans="1:26" ht="12.75" customHeight="1" x14ac:dyDescent="0.2">
      <c r="A1860" s="258"/>
      <c r="Z1860" s="258"/>
    </row>
    <row r="1861" spans="1:26" ht="12.75" customHeight="1" x14ac:dyDescent="0.2">
      <c r="A1861" s="258"/>
      <c r="Z1861" s="258"/>
    </row>
    <row r="1862" spans="1:26" ht="12.75" customHeight="1" x14ac:dyDescent="0.2">
      <c r="A1862" s="258"/>
      <c r="Z1862" s="258"/>
    </row>
    <row r="1863" spans="1:26" ht="12.75" customHeight="1" x14ac:dyDescent="0.2">
      <c r="A1863" s="258"/>
      <c r="Z1863" s="258"/>
    </row>
    <row r="1864" spans="1:26" ht="12.75" customHeight="1" x14ac:dyDescent="0.2">
      <c r="A1864" s="258"/>
      <c r="Z1864" s="258"/>
    </row>
    <row r="1865" spans="1:26" ht="12.75" customHeight="1" x14ac:dyDescent="0.2">
      <c r="A1865" s="258"/>
      <c r="Z1865" s="258"/>
    </row>
    <row r="1866" spans="1:26" ht="12.75" customHeight="1" x14ac:dyDescent="0.2">
      <c r="A1866" s="258"/>
      <c r="Z1866" s="258"/>
    </row>
    <row r="1867" spans="1:26" ht="12.75" customHeight="1" x14ac:dyDescent="0.2">
      <c r="A1867" s="258"/>
      <c r="Z1867" s="258"/>
    </row>
    <row r="1868" spans="1:26" ht="12.75" customHeight="1" x14ac:dyDescent="0.2">
      <c r="A1868" s="258"/>
      <c r="Z1868" s="258"/>
    </row>
    <row r="1869" spans="1:26" ht="12.75" customHeight="1" x14ac:dyDescent="0.2">
      <c r="A1869" s="258"/>
      <c r="Z1869" s="258"/>
    </row>
    <row r="1870" spans="1:26" ht="12.75" customHeight="1" x14ac:dyDescent="0.2">
      <c r="A1870" s="258"/>
      <c r="Z1870" s="258"/>
    </row>
    <row r="1871" spans="1:26" ht="12.75" customHeight="1" x14ac:dyDescent="0.2">
      <c r="A1871" s="258"/>
      <c r="Z1871" s="258"/>
    </row>
    <row r="1872" spans="1:26" ht="12.75" customHeight="1" x14ac:dyDescent="0.2">
      <c r="A1872" s="258"/>
      <c r="Z1872" s="258"/>
    </row>
    <row r="1873" spans="1:26" ht="12.75" customHeight="1" x14ac:dyDescent="0.2">
      <c r="A1873" s="258"/>
      <c r="Z1873" s="258"/>
    </row>
    <row r="1874" spans="1:26" ht="12.75" customHeight="1" x14ac:dyDescent="0.2">
      <c r="A1874" s="258"/>
      <c r="Z1874" s="258"/>
    </row>
    <row r="1875" spans="1:26" ht="12.75" customHeight="1" x14ac:dyDescent="0.2">
      <c r="A1875" s="258"/>
      <c r="Z1875" s="258"/>
    </row>
    <row r="1876" spans="1:26" ht="12.75" customHeight="1" x14ac:dyDescent="0.2">
      <c r="A1876" s="258"/>
      <c r="Z1876" s="258"/>
    </row>
    <row r="1877" spans="1:26" ht="12.75" customHeight="1" x14ac:dyDescent="0.2">
      <c r="A1877" s="258"/>
      <c r="Z1877" s="258"/>
    </row>
    <row r="1878" spans="1:26" ht="12.75" customHeight="1" x14ac:dyDescent="0.2">
      <c r="A1878" s="258"/>
      <c r="Z1878" s="258"/>
    </row>
    <row r="1879" spans="1:26" ht="12.75" customHeight="1" x14ac:dyDescent="0.2">
      <c r="A1879" s="258"/>
      <c r="Z1879" s="258"/>
    </row>
    <row r="1880" spans="1:26" ht="12.75" customHeight="1" x14ac:dyDescent="0.2">
      <c r="A1880" s="258"/>
      <c r="Z1880" s="258"/>
    </row>
    <row r="1881" spans="1:26" ht="12.75" customHeight="1" x14ac:dyDescent="0.2">
      <c r="A1881" s="258"/>
      <c r="Z1881" s="258"/>
    </row>
    <row r="1882" spans="1:26" ht="12.75" customHeight="1" x14ac:dyDescent="0.2">
      <c r="A1882" s="258"/>
      <c r="Z1882" s="258"/>
    </row>
    <row r="1883" spans="1:26" ht="12.75" customHeight="1" x14ac:dyDescent="0.2">
      <c r="A1883" s="258"/>
      <c r="Z1883" s="258"/>
    </row>
    <row r="1884" spans="1:26" ht="12.75" customHeight="1" x14ac:dyDescent="0.2">
      <c r="A1884" s="258"/>
      <c r="Z1884" s="258"/>
    </row>
    <row r="1885" spans="1:26" ht="12.75" customHeight="1" x14ac:dyDescent="0.2">
      <c r="A1885" s="258"/>
      <c r="Z1885" s="258"/>
    </row>
    <row r="1886" spans="1:26" ht="12.75" customHeight="1" x14ac:dyDescent="0.2">
      <c r="A1886" s="258"/>
      <c r="Z1886" s="258"/>
    </row>
    <row r="1887" spans="1:26" ht="12.75" customHeight="1" x14ac:dyDescent="0.2">
      <c r="A1887" s="258"/>
      <c r="Z1887" s="258"/>
    </row>
    <row r="1888" spans="1:26" ht="12.75" customHeight="1" x14ac:dyDescent="0.2">
      <c r="A1888" s="258"/>
      <c r="Z1888" s="258"/>
    </row>
    <row r="1889" spans="1:26" ht="12.75" customHeight="1" x14ac:dyDescent="0.2">
      <c r="A1889" s="258"/>
      <c r="Z1889" s="258"/>
    </row>
    <row r="1890" spans="1:26" ht="12.75" customHeight="1" x14ac:dyDescent="0.2">
      <c r="A1890" s="258"/>
      <c r="Z1890" s="258"/>
    </row>
    <row r="1891" spans="1:26" ht="12.75" customHeight="1" x14ac:dyDescent="0.2">
      <c r="A1891" s="258"/>
      <c r="Z1891" s="258"/>
    </row>
    <row r="1892" spans="1:26" ht="12.75" customHeight="1" x14ac:dyDescent="0.2">
      <c r="A1892" s="258"/>
      <c r="Z1892" s="258"/>
    </row>
    <row r="1893" spans="1:26" ht="12.75" customHeight="1" x14ac:dyDescent="0.2">
      <c r="A1893" s="258"/>
      <c r="Z1893" s="258"/>
    </row>
    <row r="1894" spans="1:26" ht="12.75" customHeight="1" x14ac:dyDescent="0.2">
      <c r="A1894" s="258"/>
      <c r="Z1894" s="258"/>
    </row>
    <row r="1895" spans="1:26" ht="12.75" customHeight="1" x14ac:dyDescent="0.2">
      <c r="A1895" s="258"/>
      <c r="Z1895" s="258"/>
    </row>
    <row r="1896" spans="1:26" ht="12.75" customHeight="1" x14ac:dyDescent="0.2">
      <c r="A1896" s="258"/>
      <c r="Z1896" s="258"/>
    </row>
    <row r="1897" spans="1:26" ht="12.75" customHeight="1" x14ac:dyDescent="0.2">
      <c r="A1897" s="258"/>
      <c r="Z1897" s="258"/>
    </row>
    <row r="1898" spans="1:26" ht="12.75" customHeight="1" x14ac:dyDescent="0.2">
      <c r="A1898" s="258"/>
      <c r="Z1898" s="258"/>
    </row>
    <row r="1899" spans="1:26" ht="12.75" customHeight="1" x14ac:dyDescent="0.2">
      <c r="A1899" s="258"/>
      <c r="Z1899" s="258"/>
    </row>
    <row r="1900" spans="1:26" ht="12.75" customHeight="1" x14ac:dyDescent="0.2">
      <c r="A1900" s="258"/>
      <c r="Z1900" s="258"/>
    </row>
    <row r="1901" spans="1:26" ht="12.75" customHeight="1" x14ac:dyDescent="0.2">
      <c r="A1901" s="258"/>
      <c r="Z1901" s="258"/>
    </row>
    <row r="1902" spans="1:26" ht="12.75" customHeight="1" x14ac:dyDescent="0.2">
      <c r="A1902" s="258"/>
      <c r="Z1902" s="258"/>
    </row>
    <row r="1903" spans="1:26" ht="12.75" customHeight="1" x14ac:dyDescent="0.2">
      <c r="A1903" s="258"/>
      <c r="Z1903" s="258"/>
    </row>
    <row r="1904" spans="1:26" ht="12.75" customHeight="1" x14ac:dyDescent="0.2">
      <c r="A1904" s="258"/>
      <c r="Z1904" s="258"/>
    </row>
    <row r="1905" spans="1:26" ht="12.75" customHeight="1" x14ac:dyDescent="0.2">
      <c r="A1905" s="258"/>
      <c r="Z1905" s="258"/>
    </row>
    <row r="1906" spans="1:26" ht="12.75" customHeight="1" x14ac:dyDescent="0.2">
      <c r="A1906" s="258"/>
      <c r="Z1906" s="258"/>
    </row>
    <row r="1907" spans="1:26" ht="12.75" customHeight="1" x14ac:dyDescent="0.2">
      <c r="A1907" s="258"/>
      <c r="Z1907" s="258"/>
    </row>
    <row r="1908" spans="1:26" ht="12.75" customHeight="1" x14ac:dyDescent="0.2">
      <c r="A1908" s="258"/>
      <c r="Z1908" s="258"/>
    </row>
    <row r="1909" spans="1:26" ht="12.75" customHeight="1" x14ac:dyDescent="0.2">
      <c r="A1909" s="258"/>
      <c r="Z1909" s="258"/>
    </row>
    <row r="1910" spans="1:26" ht="12.75" customHeight="1" x14ac:dyDescent="0.2">
      <c r="A1910" s="258"/>
      <c r="Z1910" s="258"/>
    </row>
    <row r="1911" spans="1:26" ht="12.75" customHeight="1" x14ac:dyDescent="0.2">
      <c r="A1911" s="258"/>
      <c r="Z1911" s="258"/>
    </row>
    <row r="1912" spans="1:26" ht="12.75" customHeight="1" x14ac:dyDescent="0.2">
      <c r="A1912" s="258"/>
      <c r="Z1912" s="258"/>
    </row>
    <row r="1913" spans="1:26" ht="12.75" customHeight="1" x14ac:dyDescent="0.2">
      <c r="A1913" s="258"/>
      <c r="Z1913" s="258"/>
    </row>
    <row r="1914" spans="1:26" ht="12.75" customHeight="1" x14ac:dyDescent="0.2">
      <c r="A1914" s="258"/>
      <c r="Z1914" s="258"/>
    </row>
    <row r="1915" spans="1:26" ht="12.75" customHeight="1" x14ac:dyDescent="0.2">
      <c r="A1915" s="258"/>
      <c r="Z1915" s="258"/>
    </row>
    <row r="1916" spans="1:26" ht="12.75" customHeight="1" x14ac:dyDescent="0.2">
      <c r="A1916" s="258"/>
      <c r="Z1916" s="258"/>
    </row>
    <row r="1917" spans="1:26" ht="12.75" customHeight="1" x14ac:dyDescent="0.2">
      <c r="A1917" s="258"/>
      <c r="Z1917" s="258"/>
    </row>
    <row r="1918" spans="1:26" ht="12.75" customHeight="1" x14ac:dyDescent="0.2">
      <c r="A1918" s="258"/>
      <c r="Z1918" s="258"/>
    </row>
    <row r="1919" spans="1:26" ht="12.75" customHeight="1" x14ac:dyDescent="0.2">
      <c r="A1919" s="258"/>
      <c r="Z1919" s="258"/>
    </row>
    <row r="1920" spans="1:26" ht="12.75" customHeight="1" x14ac:dyDescent="0.2">
      <c r="A1920" s="258"/>
      <c r="Z1920" s="258"/>
    </row>
    <row r="1921" spans="1:26" ht="12.75" customHeight="1" x14ac:dyDescent="0.2">
      <c r="A1921" s="258"/>
      <c r="Z1921" s="258"/>
    </row>
    <row r="1922" spans="1:26" ht="12.75" customHeight="1" x14ac:dyDescent="0.2">
      <c r="A1922" s="258"/>
      <c r="Z1922" s="258"/>
    </row>
    <row r="1923" spans="1:26" ht="12.75" customHeight="1" x14ac:dyDescent="0.2">
      <c r="A1923" s="258"/>
      <c r="Z1923" s="258"/>
    </row>
    <row r="1924" spans="1:26" ht="12.75" customHeight="1" x14ac:dyDescent="0.2">
      <c r="A1924" s="258"/>
      <c r="Z1924" s="258"/>
    </row>
    <row r="1925" spans="1:26" ht="12.75" customHeight="1" x14ac:dyDescent="0.2">
      <c r="A1925" s="258"/>
      <c r="Z1925" s="258"/>
    </row>
    <row r="1926" spans="1:26" ht="12.75" customHeight="1" x14ac:dyDescent="0.2">
      <c r="A1926" s="258"/>
      <c r="Z1926" s="258"/>
    </row>
    <row r="1927" spans="1:26" ht="12.75" customHeight="1" x14ac:dyDescent="0.2">
      <c r="A1927" s="258"/>
      <c r="Z1927" s="258"/>
    </row>
    <row r="1928" spans="1:26" ht="12.75" customHeight="1" x14ac:dyDescent="0.2">
      <c r="A1928" s="258"/>
      <c r="Z1928" s="258"/>
    </row>
    <row r="1929" spans="1:26" ht="12.75" customHeight="1" x14ac:dyDescent="0.2">
      <c r="A1929" s="258"/>
      <c r="Z1929" s="258"/>
    </row>
    <row r="1930" spans="1:26" ht="12.75" customHeight="1" x14ac:dyDescent="0.2">
      <c r="A1930" s="258"/>
      <c r="Z1930" s="258"/>
    </row>
    <row r="1931" spans="1:26" ht="12.75" customHeight="1" x14ac:dyDescent="0.2">
      <c r="A1931" s="258"/>
      <c r="Z1931" s="258"/>
    </row>
    <row r="1932" spans="1:26" ht="12.75" customHeight="1" x14ac:dyDescent="0.2">
      <c r="A1932" s="258"/>
      <c r="Z1932" s="258"/>
    </row>
    <row r="1933" spans="1:26" ht="12.75" customHeight="1" x14ac:dyDescent="0.2">
      <c r="A1933" s="258"/>
      <c r="Z1933" s="258"/>
    </row>
    <row r="1934" spans="1:26" ht="12.75" customHeight="1" x14ac:dyDescent="0.2">
      <c r="A1934" s="258"/>
      <c r="Z1934" s="258"/>
    </row>
    <row r="1935" spans="1:26" ht="12.75" customHeight="1" x14ac:dyDescent="0.2">
      <c r="A1935" s="258"/>
      <c r="Z1935" s="258"/>
    </row>
    <row r="1936" spans="1:26" ht="12.75" customHeight="1" x14ac:dyDescent="0.2">
      <c r="A1936" s="258"/>
      <c r="Z1936" s="258"/>
    </row>
    <row r="1937" spans="1:26" ht="12.75" customHeight="1" x14ac:dyDescent="0.2">
      <c r="A1937" s="258"/>
      <c r="Z1937" s="258"/>
    </row>
    <row r="1938" spans="1:26" ht="12.75" customHeight="1" x14ac:dyDescent="0.2">
      <c r="A1938" s="258"/>
      <c r="Z1938" s="258"/>
    </row>
    <row r="1939" spans="1:26" ht="12.75" customHeight="1" x14ac:dyDescent="0.2">
      <c r="A1939" s="258"/>
      <c r="Z1939" s="258"/>
    </row>
    <row r="1940" spans="1:26" ht="12.75" customHeight="1" x14ac:dyDescent="0.2">
      <c r="A1940" s="258"/>
      <c r="Z1940" s="258"/>
    </row>
    <row r="1941" spans="1:26" ht="12.75" customHeight="1" x14ac:dyDescent="0.2">
      <c r="A1941" s="258"/>
      <c r="Z1941" s="258"/>
    </row>
    <row r="1942" spans="1:26" ht="12.75" customHeight="1" x14ac:dyDescent="0.2">
      <c r="A1942" s="258"/>
      <c r="Z1942" s="258"/>
    </row>
    <row r="1943" spans="1:26" ht="12.75" customHeight="1" x14ac:dyDescent="0.2">
      <c r="A1943" s="258"/>
      <c r="Z1943" s="258"/>
    </row>
    <row r="1944" spans="1:26" ht="12.75" customHeight="1" x14ac:dyDescent="0.2">
      <c r="A1944" s="258"/>
      <c r="Z1944" s="258"/>
    </row>
    <row r="1945" spans="1:26" ht="12.75" customHeight="1" x14ac:dyDescent="0.2">
      <c r="A1945" s="258"/>
      <c r="Z1945" s="258"/>
    </row>
    <row r="1946" spans="1:26" ht="12.75" customHeight="1" x14ac:dyDescent="0.2">
      <c r="A1946" s="258"/>
      <c r="Z1946" s="258"/>
    </row>
    <row r="1947" spans="1:26" ht="12.75" customHeight="1" x14ac:dyDescent="0.2">
      <c r="A1947" s="258"/>
      <c r="Z1947" s="258"/>
    </row>
    <row r="1948" spans="1:26" ht="12.75" customHeight="1" x14ac:dyDescent="0.2">
      <c r="A1948" s="258"/>
      <c r="Z1948" s="258"/>
    </row>
    <row r="1949" spans="1:26" ht="12.75" customHeight="1" x14ac:dyDescent="0.2">
      <c r="A1949" s="258"/>
      <c r="Z1949" s="258"/>
    </row>
    <row r="1950" spans="1:26" ht="12.75" customHeight="1" x14ac:dyDescent="0.2">
      <c r="A1950" s="258"/>
      <c r="Z1950" s="258"/>
    </row>
    <row r="1951" spans="1:26" ht="12.75" customHeight="1" x14ac:dyDescent="0.2">
      <c r="A1951" s="258"/>
      <c r="Z1951" s="258"/>
    </row>
    <row r="1952" spans="1:26" ht="12.75" customHeight="1" x14ac:dyDescent="0.2">
      <c r="A1952" s="258"/>
      <c r="Z1952" s="258"/>
    </row>
    <row r="1953" spans="1:26" ht="12.75" customHeight="1" x14ac:dyDescent="0.2">
      <c r="A1953" s="258"/>
      <c r="Z1953" s="258"/>
    </row>
    <row r="1954" spans="1:26" ht="12.75" customHeight="1" x14ac:dyDescent="0.2">
      <c r="A1954" s="258"/>
      <c r="Z1954" s="258"/>
    </row>
    <row r="1955" spans="1:26" ht="12.75" customHeight="1" x14ac:dyDescent="0.2">
      <c r="A1955" s="258"/>
      <c r="Z1955" s="258"/>
    </row>
    <row r="1956" spans="1:26" ht="12.75" customHeight="1" x14ac:dyDescent="0.2">
      <c r="A1956" s="258"/>
      <c r="Z1956" s="258"/>
    </row>
    <row r="1957" spans="1:26" ht="12.75" customHeight="1" x14ac:dyDescent="0.2">
      <c r="A1957" s="258"/>
      <c r="Z1957" s="258"/>
    </row>
    <row r="1958" spans="1:26" ht="12.75" customHeight="1" x14ac:dyDescent="0.2">
      <c r="A1958" s="258"/>
      <c r="Z1958" s="258"/>
    </row>
    <row r="1959" spans="1:26" ht="12.75" customHeight="1" x14ac:dyDescent="0.2">
      <c r="A1959" s="258"/>
      <c r="Z1959" s="258"/>
    </row>
    <row r="1960" spans="1:26" ht="12.75" customHeight="1" x14ac:dyDescent="0.2">
      <c r="A1960" s="258"/>
      <c r="Z1960" s="258"/>
    </row>
    <row r="1961" spans="1:26" ht="12.75" customHeight="1" x14ac:dyDescent="0.2">
      <c r="A1961" s="258"/>
      <c r="Z1961" s="258"/>
    </row>
    <row r="1962" spans="1:26" ht="12.75" customHeight="1" x14ac:dyDescent="0.2">
      <c r="A1962" s="258"/>
      <c r="Z1962" s="258"/>
    </row>
    <row r="1963" spans="1:26" ht="12.75" customHeight="1" x14ac:dyDescent="0.2">
      <c r="A1963" s="258"/>
      <c r="Z1963" s="258"/>
    </row>
    <row r="1964" spans="1:26" ht="12.75" customHeight="1" x14ac:dyDescent="0.2">
      <c r="A1964" s="258"/>
      <c r="Z1964" s="258"/>
    </row>
    <row r="1965" spans="1:26" ht="12.75" customHeight="1" x14ac:dyDescent="0.2">
      <c r="A1965" s="258"/>
      <c r="Z1965" s="258"/>
    </row>
    <row r="1966" spans="1:26" ht="12.75" customHeight="1" x14ac:dyDescent="0.2">
      <c r="A1966" s="258"/>
      <c r="Z1966" s="258"/>
    </row>
    <row r="1967" spans="1:26" ht="12.75" customHeight="1" x14ac:dyDescent="0.2">
      <c r="A1967" s="258"/>
      <c r="Z1967" s="258"/>
    </row>
    <row r="1968" spans="1:26" ht="12.75" customHeight="1" x14ac:dyDescent="0.2">
      <c r="A1968" s="258"/>
      <c r="Z1968" s="258"/>
    </row>
    <row r="1969" spans="1:26" ht="12.75" customHeight="1" x14ac:dyDescent="0.2">
      <c r="A1969" s="258"/>
      <c r="Z1969" s="258"/>
    </row>
    <row r="1970" spans="1:26" ht="12.75" customHeight="1" x14ac:dyDescent="0.2">
      <c r="A1970" s="258"/>
      <c r="Z1970" s="258"/>
    </row>
    <row r="1971" spans="1:26" ht="12.75" customHeight="1" x14ac:dyDescent="0.2">
      <c r="A1971" s="258"/>
      <c r="Z1971" s="258"/>
    </row>
    <row r="1972" spans="1:26" ht="12.75" customHeight="1" x14ac:dyDescent="0.2">
      <c r="A1972" s="258"/>
      <c r="Z1972" s="258"/>
    </row>
    <row r="1973" spans="1:26" ht="12.75" customHeight="1" x14ac:dyDescent="0.2">
      <c r="A1973" s="258"/>
      <c r="Z1973" s="258"/>
    </row>
    <row r="1974" spans="1:26" ht="12.75" customHeight="1" x14ac:dyDescent="0.2">
      <c r="A1974" s="258"/>
      <c r="Z1974" s="258"/>
    </row>
    <row r="1975" spans="1:26" ht="12.75" customHeight="1" x14ac:dyDescent="0.2">
      <c r="A1975" s="258"/>
      <c r="Z1975" s="258"/>
    </row>
    <row r="1976" spans="1:26" ht="12.75" customHeight="1" x14ac:dyDescent="0.2">
      <c r="A1976" s="258"/>
      <c r="Z1976" s="258"/>
    </row>
    <row r="1977" spans="1:26" ht="12.75" customHeight="1" x14ac:dyDescent="0.2">
      <c r="A1977" s="258"/>
      <c r="Z1977" s="258"/>
    </row>
    <row r="1978" spans="1:26" ht="12.75" customHeight="1" x14ac:dyDescent="0.2">
      <c r="A1978" s="258"/>
      <c r="Z1978" s="258"/>
    </row>
    <row r="1979" spans="1:26" ht="12.75" customHeight="1" x14ac:dyDescent="0.2">
      <c r="A1979" s="258"/>
      <c r="Z1979" s="258"/>
    </row>
    <row r="1980" spans="1:26" ht="12.75" customHeight="1" x14ac:dyDescent="0.2">
      <c r="A1980" s="258"/>
      <c r="Z1980" s="258"/>
    </row>
    <row r="1981" spans="1:26" ht="12.75" customHeight="1" x14ac:dyDescent="0.2">
      <c r="A1981" s="258"/>
      <c r="Z1981" s="258"/>
    </row>
    <row r="1982" spans="1:26" ht="12.75" customHeight="1" x14ac:dyDescent="0.2">
      <c r="A1982" s="258"/>
      <c r="Z1982" s="258"/>
    </row>
    <row r="1983" spans="1:26" ht="12.75" customHeight="1" x14ac:dyDescent="0.2">
      <c r="A1983" s="258"/>
      <c r="Z1983" s="258"/>
    </row>
    <row r="1984" spans="1:26" ht="12.75" customHeight="1" x14ac:dyDescent="0.2">
      <c r="A1984" s="258"/>
      <c r="Z1984" s="258"/>
    </row>
    <row r="1985" spans="1:26" ht="12.75" customHeight="1" x14ac:dyDescent="0.2">
      <c r="A1985" s="258"/>
      <c r="Z1985" s="258"/>
    </row>
    <row r="1986" spans="1:26" ht="12.75" customHeight="1" x14ac:dyDescent="0.2">
      <c r="A1986" s="258"/>
      <c r="Z1986" s="258"/>
    </row>
    <row r="1987" spans="1:26" ht="12.75" customHeight="1" x14ac:dyDescent="0.2">
      <c r="A1987" s="258"/>
      <c r="Z1987" s="258"/>
    </row>
    <row r="1988" spans="1:26" ht="12.75" customHeight="1" x14ac:dyDescent="0.2">
      <c r="A1988" s="258"/>
      <c r="Z1988" s="258"/>
    </row>
    <row r="1989" spans="1:26" ht="12.75" customHeight="1" x14ac:dyDescent="0.2">
      <c r="A1989" s="258"/>
      <c r="Z1989" s="258"/>
    </row>
    <row r="1990" spans="1:26" ht="12.75" customHeight="1" x14ac:dyDescent="0.2">
      <c r="A1990" s="258"/>
      <c r="Z1990" s="258"/>
    </row>
    <row r="1991" spans="1:26" ht="12.75" customHeight="1" x14ac:dyDescent="0.2">
      <c r="A1991" s="258"/>
      <c r="Z1991" s="258"/>
    </row>
    <row r="1992" spans="1:26" ht="12.75" customHeight="1" x14ac:dyDescent="0.2">
      <c r="A1992" s="258"/>
      <c r="Z1992" s="258"/>
    </row>
    <row r="1993" spans="1:26" ht="12.75" customHeight="1" x14ac:dyDescent="0.2">
      <c r="A1993" s="258"/>
      <c r="Z1993" s="258"/>
    </row>
    <row r="1994" spans="1:26" ht="12.75" customHeight="1" x14ac:dyDescent="0.2">
      <c r="A1994" s="258"/>
      <c r="Z1994" s="258"/>
    </row>
    <row r="1995" spans="1:26" ht="12.75" customHeight="1" x14ac:dyDescent="0.2">
      <c r="A1995" s="258"/>
      <c r="Z1995" s="258"/>
    </row>
    <row r="1996" spans="1:26" ht="12.75" customHeight="1" x14ac:dyDescent="0.2">
      <c r="A1996" s="258"/>
      <c r="Z1996" s="258"/>
    </row>
    <row r="1997" spans="1:26" ht="12.75" customHeight="1" x14ac:dyDescent="0.2">
      <c r="A1997" s="258"/>
      <c r="Z1997" s="258"/>
    </row>
    <row r="1998" spans="1:26" ht="12.75" customHeight="1" x14ac:dyDescent="0.2">
      <c r="A1998" s="258"/>
      <c r="Z1998" s="258"/>
    </row>
    <row r="1999" spans="1:26" ht="12.75" customHeight="1" x14ac:dyDescent="0.2">
      <c r="A1999" s="258"/>
      <c r="Z1999" s="258"/>
    </row>
    <row r="2000" spans="1:26" ht="12.75" customHeight="1" x14ac:dyDescent="0.2">
      <c r="A2000" s="258"/>
      <c r="Z2000" s="258"/>
    </row>
    <row r="2001" spans="1:26" ht="12.75" customHeight="1" x14ac:dyDescent="0.2">
      <c r="A2001" s="258"/>
      <c r="Z2001" s="258"/>
    </row>
    <row r="2002" spans="1:26" ht="12.75" customHeight="1" x14ac:dyDescent="0.2">
      <c r="A2002" s="258"/>
      <c r="Z2002" s="258"/>
    </row>
    <row r="2003" spans="1:26" ht="12.75" customHeight="1" x14ac:dyDescent="0.2">
      <c r="A2003" s="258"/>
      <c r="Z2003" s="258"/>
    </row>
    <row r="2004" spans="1:26" ht="12.75" customHeight="1" x14ac:dyDescent="0.2">
      <c r="A2004" s="258"/>
      <c r="Z2004" s="258"/>
    </row>
    <row r="2005" spans="1:26" ht="12.75" customHeight="1" x14ac:dyDescent="0.2">
      <c r="A2005" s="258"/>
      <c r="Z2005" s="258"/>
    </row>
    <row r="2006" spans="1:26" ht="12.75" customHeight="1" x14ac:dyDescent="0.2">
      <c r="A2006" s="258"/>
      <c r="Z2006" s="258"/>
    </row>
    <row r="2007" spans="1:26" ht="12.75" customHeight="1" x14ac:dyDescent="0.2">
      <c r="A2007" s="258"/>
      <c r="Z2007" s="258"/>
    </row>
    <row r="2008" spans="1:26" ht="12.75" customHeight="1" x14ac:dyDescent="0.2">
      <c r="A2008" s="258"/>
      <c r="Z2008" s="258"/>
    </row>
    <row r="2009" spans="1:26" ht="12.75" customHeight="1" x14ac:dyDescent="0.2">
      <c r="A2009" s="258"/>
      <c r="Z2009" s="258"/>
    </row>
    <row r="2010" spans="1:26" ht="12.75" customHeight="1" x14ac:dyDescent="0.2">
      <c r="A2010" s="258"/>
      <c r="Z2010" s="258"/>
    </row>
    <row r="2011" spans="1:26" ht="12.75" customHeight="1" x14ac:dyDescent="0.2">
      <c r="A2011" s="258"/>
      <c r="Z2011" s="258"/>
    </row>
    <row r="2012" spans="1:26" ht="12.75" customHeight="1" x14ac:dyDescent="0.2">
      <c r="A2012" s="258"/>
      <c r="Z2012" s="258"/>
    </row>
    <row r="2013" spans="1:26" ht="12.75" customHeight="1" x14ac:dyDescent="0.2">
      <c r="A2013" s="258"/>
      <c r="Z2013" s="258"/>
    </row>
    <row r="2014" spans="1:26" ht="12.75" customHeight="1" x14ac:dyDescent="0.2">
      <c r="A2014" s="258"/>
      <c r="Z2014" s="258"/>
    </row>
    <row r="2015" spans="1:26" ht="12.75" customHeight="1" x14ac:dyDescent="0.2">
      <c r="A2015" s="258"/>
      <c r="Z2015" s="258"/>
    </row>
    <row r="2016" spans="1:26" ht="12.75" customHeight="1" x14ac:dyDescent="0.2">
      <c r="A2016" s="258"/>
      <c r="Z2016" s="258"/>
    </row>
    <row r="2017" spans="1:26" ht="12.75" customHeight="1" x14ac:dyDescent="0.2">
      <c r="A2017" s="258"/>
      <c r="Z2017" s="258"/>
    </row>
    <row r="2018" spans="1:26" ht="12.75" customHeight="1" x14ac:dyDescent="0.2">
      <c r="A2018" s="258"/>
      <c r="Z2018" s="258"/>
    </row>
    <row r="2019" spans="1:26" ht="12.75" customHeight="1" x14ac:dyDescent="0.2">
      <c r="A2019" s="258"/>
      <c r="Z2019" s="258"/>
    </row>
    <row r="2020" spans="1:26" ht="12.75" customHeight="1" x14ac:dyDescent="0.2">
      <c r="A2020" s="258"/>
      <c r="Z2020" s="258"/>
    </row>
    <row r="2021" spans="1:26" ht="12.75" customHeight="1" x14ac:dyDescent="0.2">
      <c r="A2021" s="258"/>
      <c r="Z2021" s="258"/>
    </row>
    <row r="2022" spans="1:26" ht="12.75" customHeight="1" x14ac:dyDescent="0.2">
      <c r="A2022" s="258"/>
      <c r="Z2022" s="258"/>
    </row>
    <row r="2023" spans="1:26" ht="12.75" customHeight="1" x14ac:dyDescent="0.2">
      <c r="A2023" s="258"/>
      <c r="Z2023" s="258"/>
    </row>
    <row r="2024" spans="1:26" ht="12.75" customHeight="1" x14ac:dyDescent="0.2">
      <c r="A2024" s="258"/>
      <c r="Z2024" s="258"/>
    </row>
    <row r="2025" spans="1:26" ht="12.75" customHeight="1" x14ac:dyDescent="0.2">
      <c r="A2025" s="258"/>
      <c r="Z2025" s="258"/>
    </row>
    <row r="2026" spans="1:26" ht="12.75" customHeight="1" x14ac:dyDescent="0.2">
      <c r="A2026" s="258"/>
      <c r="Z2026" s="258"/>
    </row>
    <row r="2027" spans="1:26" ht="12.75" customHeight="1" x14ac:dyDescent="0.2">
      <c r="A2027" s="258"/>
      <c r="Z2027" s="258"/>
    </row>
    <row r="2028" spans="1:26" ht="12.75" customHeight="1" x14ac:dyDescent="0.2">
      <c r="A2028" s="258"/>
      <c r="Z2028" s="258"/>
    </row>
    <row r="2029" spans="1:26" ht="12.75" customHeight="1" x14ac:dyDescent="0.2">
      <c r="A2029" s="258"/>
      <c r="Z2029" s="258"/>
    </row>
    <row r="2030" spans="1:26" ht="12.75" customHeight="1" x14ac:dyDescent="0.2">
      <c r="A2030" s="258"/>
      <c r="Z2030" s="258"/>
    </row>
    <row r="2031" spans="1:26" ht="12.75" customHeight="1" x14ac:dyDescent="0.2">
      <c r="A2031" s="258"/>
      <c r="Z2031" s="258"/>
    </row>
    <row r="2032" spans="1:26" ht="12.75" customHeight="1" x14ac:dyDescent="0.2">
      <c r="A2032" s="258"/>
      <c r="Z2032" s="258"/>
    </row>
    <row r="2033" spans="1:26" ht="12.75" customHeight="1" x14ac:dyDescent="0.2">
      <c r="A2033" s="258"/>
      <c r="Z2033" s="258"/>
    </row>
    <row r="2034" spans="1:26" ht="12.75" customHeight="1" x14ac:dyDescent="0.2">
      <c r="A2034" s="258"/>
      <c r="Z2034" s="258"/>
    </row>
    <row r="2035" spans="1:26" ht="12.75" customHeight="1" x14ac:dyDescent="0.2">
      <c r="A2035" s="258"/>
      <c r="Z2035" s="258"/>
    </row>
    <row r="2036" spans="1:26" ht="12.75" customHeight="1" x14ac:dyDescent="0.2">
      <c r="A2036" s="258"/>
      <c r="Z2036" s="258"/>
    </row>
    <row r="2037" spans="1:26" ht="12.75" customHeight="1" x14ac:dyDescent="0.2">
      <c r="A2037" s="258"/>
      <c r="Z2037" s="258"/>
    </row>
    <row r="2038" spans="1:26" ht="12.75" customHeight="1" x14ac:dyDescent="0.2">
      <c r="A2038" s="258"/>
      <c r="Z2038" s="258"/>
    </row>
    <row r="2039" spans="1:26" ht="12.75" customHeight="1" x14ac:dyDescent="0.2">
      <c r="A2039" s="258"/>
      <c r="Z2039" s="258"/>
    </row>
    <row r="2040" spans="1:26" ht="12.75" customHeight="1" x14ac:dyDescent="0.2">
      <c r="A2040" s="258"/>
      <c r="Z2040" s="258"/>
    </row>
    <row r="2041" spans="1:26" ht="12.75" customHeight="1" x14ac:dyDescent="0.2">
      <c r="A2041" s="258"/>
      <c r="Z2041" s="258"/>
    </row>
    <row r="2042" spans="1:26" ht="12.75" customHeight="1" x14ac:dyDescent="0.2">
      <c r="A2042" s="258"/>
      <c r="Z2042" s="258"/>
    </row>
    <row r="2043" spans="1:26" ht="12.75" customHeight="1" x14ac:dyDescent="0.2">
      <c r="A2043" s="258"/>
      <c r="Z2043" s="258"/>
    </row>
    <row r="2044" spans="1:26" ht="12.75" customHeight="1" x14ac:dyDescent="0.2">
      <c r="A2044" s="258"/>
      <c r="Z2044" s="258"/>
    </row>
    <row r="2045" spans="1:26" ht="12.75" customHeight="1" x14ac:dyDescent="0.2">
      <c r="A2045" s="258"/>
      <c r="Z2045" s="258"/>
    </row>
    <row r="2046" spans="1:26" ht="12.75" customHeight="1" x14ac:dyDescent="0.2">
      <c r="A2046" s="258"/>
      <c r="Z2046" s="258"/>
    </row>
    <row r="2047" spans="1:26" ht="12.75" customHeight="1" x14ac:dyDescent="0.2">
      <c r="A2047" s="258"/>
      <c r="Z2047" s="258"/>
    </row>
    <row r="2048" spans="1:26" ht="12.75" customHeight="1" x14ac:dyDescent="0.2">
      <c r="A2048" s="258"/>
      <c r="Z2048" s="258"/>
    </row>
    <row r="2049" spans="1:26" ht="12.75" customHeight="1" x14ac:dyDescent="0.2">
      <c r="A2049" s="258"/>
      <c r="Z2049" s="258"/>
    </row>
    <row r="2050" spans="1:26" ht="12.75" customHeight="1" x14ac:dyDescent="0.2">
      <c r="A2050" s="258"/>
      <c r="Z2050" s="258"/>
    </row>
    <row r="2051" spans="1:26" ht="12.75" customHeight="1" x14ac:dyDescent="0.2">
      <c r="A2051" s="258"/>
      <c r="Z2051" s="258"/>
    </row>
    <row r="2052" spans="1:26" ht="12.75" customHeight="1" x14ac:dyDescent="0.2">
      <c r="A2052" s="258"/>
      <c r="Z2052" s="258"/>
    </row>
    <row r="2053" spans="1:26" ht="12.75" customHeight="1" x14ac:dyDescent="0.2">
      <c r="A2053" s="258"/>
      <c r="Z2053" s="258"/>
    </row>
    <row r="2054" spans="1:26" ht="12.75" customHeight="1" x14ac:dyDescent="0.2">
      <c r="A2054" s="258"/>
      <c r="Z2054" s="258"/>
    </row>
    <row r="2055" spans="1:26" ht="12.75" customHeight="1" x14ac:dyDescent="0.2">
      <c r="A2055" s="258"/>
      <c r="Z2055" s="258"/>
    </row>
    <row r="2056" spans="1:26" ht="12.75" customHeight="1" x14ac:dyDescent="0.2">
      <c r="A2056" s="258"/>
      <c r="Z2056" s="258"/>
    </row>
    <row r="2057" spans="1:26" ht="12.75" customHeight="1" x14ac:dyDescent="0.2">
      <c r="A2057" s="258"/>
      <c r="Z2057" s="258"/>
    </row>
    <row r="2058" spans="1:26" ht="12.75" customHeight="1" x14ac:dyDescent="0.2">
      <c r="A2058" s="258"/>
      <c r="Z2058" s="258"/>
    </row>
    <row r="2059" spans="1:26" ht="12.75" customHeight="1" x14ac:dyDescent="0.2">
      <c r="A2059" s="258"/>
      <c r="Z2059" s="258"/>
    </row>
    <row r="2060" spans="1:26" ht="12.75" customHeight="1" x14ac:dyDescent="0.2">
      <c r="A2060" s="258"/>
      <c r="Z2060" s="258"/>
    </row>
    <row r="2061" spans="1:26" ht="12.75" customHeight="1" x14ac:dyDescent="0.2">
      <c r="A2061" s="258"/>
      <c r="Z2061" s="258"/>
    </row>
    <row r="2062" spans="1:26" ht="12.75" customHeight="1" x14ac:dyDescent="0.2">
      <c r="A2062" s="258"/>
      <c r="Z2062" s="258"/>
    </row>
    <row r="2063" spans="1:26" ht="12.75" customHeight="1" x14ac:dyDescent="0.2">
      <c r="A2063" s="258"/>
      <c r="Z2063" s="258"/>
    </row>
    <row r="2064" spans="1:26" ht="12.75" customHeight="1" x14ac:dyDescent="0.2">
      <c r="A2064" s="258"/>
      <c r="Z2064" s="258"/>
    </row>
    <row r="2065" spans="1:26" ht="12.75" customHeight="1" x14ac:dyDescent="0.2">
      <c r="A2065" s="258"/>
      <c r="Z2065" s="258"/>
    </row>
    <row r="2066" spans="1:26" ht="12.75" customHeight="1" x14ac:dyDescent="0.2">
      <c r="A2066" s="258"/>
      <c r="Z2066" s="258"/>
    </row>
    <row r="2067" spans="1:26" ht="12.75" customHeight="1" x14ac:dyDescent="0.2">
      <c r="A2067" s="258"/>
      <c r="Z2067" s="258"/>
    </row>
    <row r="2068" spans="1:26" ht="12.75" customHeight="1" x14ac:dyDescent="0.2">
      <c r="A2068" s="258"/>
      <c r="Z2068" s="258"/>
    </row>
    <row r="2069" spans="1:26" ht="12.75" customHeight="1" x14ac:dyDescent="0.2">
      <c r="A2069" s="258"/>
      <c r="Z2069" s="258"/>
    </row>
    <row r="2070" spans="1:26" ht="12.75" customHeight="1" x14ac:dyDescent="0.2">
      <c r="A2070" s="258"/>
      <c r="Z2070" s="258"/>
    </row>
    <row r="2071" spans="1:26" ht="12.75" customHeight="1" x14ac:dyDescent="0.2">
      <c r="A2071" s="258"/>
      <c r="Z2071" s="258"/>
    </row>
    <row r="2072" spans="1:26" ht="12.75" customHeight="1" x14ac:dyDescent="0.2">
      <c r="A2072" s="258"/>
      <c r="Z2072" s="258"/>
    </row>
    <row r="2073" spans="1:26" ht="12.75" customHeight="1" x14ac:dyDescent="0.2">
      <c r="A2073" s="258"/>
      <c r="Z2073" s="258"/>
    </row>
    <row r="2074" spans="1:26" ht="12.75" customHeight="1" x14ac:dyDescent="0.2">
      <c r="A2074" s="258"/>
      <c r="Z2074" s="258"/>
    </row>
    <row r="2075" spans="1:26" ht="12.75" customHeight="1" x14ac:dyDescent="0.2">
      <c r="A2075" s="258"/>
      <c r="Z2075" s="258"/>
    </row>
    <row r="2076" spans="1:26" ht="12.75" customHeight="1" x14ac:dyDescent="0.2">
      <c r="A2076" s="258"/>
      <c r="Z2076" s="258"/>
    </row>
    <row r="2077" spans="1:26" ht="12.75" customHeight="1" x14ac:dyDescent="0.2">
      <c r="A2077" s="258"/>
      <c r="Z2077" s="258"/>
    </row>
    <row r="2078" spans="1:26" ht="12.75" customHeight="1" x14ac:dyDescent="0.2">
      <c r="A2078" s="258"/>
      <c r="Z2078" s="258"/>
    </row>
    <row r="2079" spans="1:26" ht="12.75" customHeight="1" x14ac:dyDescent="0.2">
      <c r="A2079" s="258"/>
      <c r="Z2079" s="258"/>
    </row>
    <row r="2080" spans="1:26" ht="12.75" customHeight="1" x14ac:dyDescent="0.2">
      <c r="A2080" s="258"/>
      <c r="Z2080" s="258"/>
    </row>
    <row r="2081" spans="1:26" ht="12.75" customHeight="1" x14ac:dyDescent="0.2">
      <c r="A2081" s="258"/>
      <c r="Z2081" s="258"/>
    </row>
    <row r="2082" spans="1:26" ht="12.75" customHeight="1" x14ac:dyDescent="0.2">
      <c r="A2082" s="258"/>
      <c r="Z2082" s="258"/>
    </row>
    <row r="2083" spans="1:26" ht="12.75" customHeight="1" x14ac:dyDescent="0.2">
      <c r="A2083" s="258"/>
      <c r="Z2083" s="258"/>
    </row>
    <row r="2084" spans="1:26" ht="12.75" customHeight="1" x14ac:dyDescent="0.2">
      <c r="A2084" s="258"/>
      <c r="Z2084" s="258"/>
    </row>
    <row r="2085" spans="1:26" ht="12.75" customHeight="1" x14ac:dyDescent="0.2">
      <c r="A2085" s="258"/>
      <c r="Z2085" s="258"/>
    </row>
    <row r="2086" spans="1:26" ht="12.75" customHeight="1" x14ac:dyDescent="0.2">
      <c r="A2086" s="258"/>
      <c r="Z2086" s="258"/>
    </row>
    <row r="2087" spans="1:26" ht="12.75" customHeight="1" x14ac:dyDescent="0.2">
      <c r="A2087" s="258"/>
      <c r="Z2087" s="258"/>
    </row>
    <row r="2088" spans="1:26" ht="12.75" customHeight="1" x14ac:dyDescent="0.2">
      <c r="A2088" s="258"/>
      <c r="Z2088" s="258"/>
    </row>
    <row r="2089" spans="1:26" ht="12.75" customHeight="1" x14ac:dyDescent="0.2">
      <c r="A2089" s="258"/>
      <c r="Z2089" s="258"/>
    </row>
    <row r="2090" spans="1:26" ht="12.75" customHeight="1" x14ac:dyDescent="0.2">
      <c r="A2090" s="258"/>
      <c r="Z2090" s="258"/>
    </row>
    <row r="2091" spans="1:26" ht="12.75" customHeight="1" x14ac:dyDescent="0.2">
      <c r="A2091" s="258"/>
      <c r="Z2091" s="258"/>
    </row>
    <row r="2092" spans="1:26" ht="12.75" customHeight="1" x14ac:dyDescent="0.2">
      <c r="A2092" s="258"/>
      <c r="Z2092" s="258"/>
    </row>
    <row r="2093" spans="1:26" ht="12.75" customHeight="1" x14ac:dyDescent="0.2">
      <c r="A2093" s="258"/>
      <c r="Z2093" s="258"/>
    </row>
    <row r="2094" spans="1:26" ht="12.75" customHeight="1" x14ac:dyDescent="0.2">
      <c r="A2094" s="258"/>
      <c r="Z2094" s="258"/>
    </row>
    <row r="2095" spans="1:26" ht="12.75" customHeight="1" x14ac:dyDescent="0.2">
      <c r="A2095" s="258"/>
      <c r="Z2095" s="258"/>
    </row>
    <row r="2096" spans="1:26" ht="12.75" customHeight="1" x14ac:dyDescent="0.2">
      <c r="A2096" s="258"/>
      <c r="Z2096" s="258"/>
    </row>
    <row r="2097" spans="1:26" ht="12.75" customHeight="1" x14ac:dyDescent="0.2">
      <c r="A2097" s="258"/>
      <c r="Z2097" s="258"/>
    </row>
    <row r="2098" spans="1:26" ht="12.75" customHeight="1" x14ac:dyDescent="0.2">
      <c r="A2098" s="258"/>
      <c r="Z2098" s="258"/>
    </row>
    <row r="2099" spans="1:26" ht="12.75" customHeight="1" x14ac:dyDescent="0.2">
      <c r="A2099" s="258"/>
      <c r="Z2099" s="258"/>
    </row>
    <row r="2100" spans="1:26" ht="12.75" customHeight="1" x14ac:dyDescent="0.2">
      <c r="A2100" s="258"/>
      <c r="Z2100" s="258"/>
    </row>
    <row r="2101" spans="1:26" ht="12.75" customHeight="1" x14ac:dyDescent="0.2">
      <c r="A2101" s="258"/>
      <c r="Z2101" s="258"/>
    </row>
    <row r="2102" spans="1:26" ht="12.75" customHeight="1" x14ac:dyDescent="0.2">
      <c r="A2102" s="258"/>
      <c r="Z2102" s="258"/>
    </row>
    <row r="2103" spans="1:26" ht="12.75" customHeight="1" x14ac:dyDescent="0.2">
      <c r="A2103" s="258"/>
      <c r="Z2103" s="258"/>
    </row>
    <row r="2104" spans="1:26" ht="12.75" customHeight="1" x14ac:dyDescent="0.2">
      <c r="A2104" s="258"/>
      <c r="Z2104" s="258"/>
    </row>
    <row r="2105" spans="1:26" ht="12.75" customHeight="1" x14ac:dyDescent="0.2">
      <c r="A2105" s="258"/>
      <c r="Z2105" s="258"/>
    </row>
    <row r="2106" spans="1:26" ht="12.75" customHeight="1" x14ac:dyDescent="0.2">
      <c r="A2106" s="258"/>
      <c r="Z2106" s="258"/>
    </row>
    <row r="2107" spans="1:26" ht="12.75" customHeight="1" x14ac:dyDescent="0.2">
      <c r="A2107" s="258"/>
      <c r="Z2107" s="258"/>
    </row>
    <row r="2108" spans="1:26" ht="12.75" customHeight="1" x14ac:dyDescent="0.2">
      <c r="A2108" s="258"/>
      <c r="Z2108" s="258"/>
    </row>
    <row r="2109" spans="1:26" ht="12.75" customHeight="1" x14ac:dyDescent="0.2">
      <c r="A2109" s="258"/>
      <c r="Z2109" s="258"/>
    </row>
    <row r="2110" spans="1:26" ht="12.75" customHeight="1" x14ac:dyDescent="0.2">
      <c r="A2110" s="258"/>
      <c r="Z2110" s="258"/>
    </row>
    <row r="2111" spans="1:26" ht="12.75" customHeight="1" x14ac:dyDescent="0.2">
      <c r="A2111" s="258"/>
      <c r="Z2111" s="258"/>
    </row>
    <row r="2112" spans="1:26" ht="12.75" customHeight="1" x14ac:dyDescent="0.2">
      <c r="A2112" s="258"/>
      <c r="Z2112" s="258"/>
    </row>
    <row r="2113" spans="1:26" ht="12.75" customHeight="1" x14ac:dyDescent="0.2">
      <c r="A2113" s="258"/>
      <c r="Z2113" s="258"/>
    </row>
    <row r="2114" spans="1:26" ht="12.75" customHeight="1" x14ac:dyDescent="0.2">
      <c r="A2114" s="258"/>
      <c r="Z2114" s="258"/>
    </row>
    <row r="2115" spans="1:26" ht="12.75" customHeight="1" x14ac:dyDescent="0.2">
      <c r="A2115" s="258"/>
      <c r="Z2115" s="258"/>
    </row>
    <row r="2116" spans="1:26" ht="12.75" customHeight="1" x14ac:dyDescent="0.2">
      <c r="A2116" s="258"/>
      <c r="Z2116" s="258"/>
    </row>
    <row r="2117" spans="1:26" ht="12.75" customHeight="1" x14ac:dyDescent="0.2">
      <c r="A2117" s="258"/>
      <c r="Z2117" s="258"/>
    </row>
    <row r="2118" spans="1:26" ht="12.75" customHeight="1" x14ac:dyDescent="0.2">
      <c r="A2118" s="258"/>
      <c r="Z2118" s="258"/>
    </row>
    <row r="2119" spans="1:26" ht="12.75" customHeight="1" x14ac:dyDescent="0.2">
      <c r="A2119" s="258"/>
      <c r="Z2119" s="258"/>
    </row>
    <row r="2120" spans="1:26" ht="12.75" customHeight="1" x14ac:dyDescent="0.2">
      <c r="A2120" s="258"/>
      <c r="Z2120" s="258"/>
    </row>
    <row r="2121" spans="1:26" ht="12.75" customHeight="1" x14ac:dyDescent="0.2">
      <c r="A2121" s="258"/>
      <c r="Z2121" s="258"/>
    </row>
    <row r="2122" spans="1:26" ht="12.75" customHeight="1" x14ac:dyDescent="0.2">
      <c r="A2122" s="258"/>
      <c r="Z2122" s="258"/>
    </row>
    <row r="2123" spans="1:26" ht="12.75" customHeight="1" x14ac:dyDescent="0.2">
      <c r="A2123" s="258"/>
      <c r="Z2123" s="258"/>
    </row>
    <row r="2124" spans="1:26" ht="12.75" customHeight="1" x14ac:dyDescent="0.2">
      <c r="A2124" s="258"/>
      <c r="Z2124" s="258"/>
    </row>
    <row r="2125" spans="1:26" ht="12.75" customHeight="1" x14ac:dyDescent="0.2">
      <c r="A2125" s="258"/>
      <c r="Z2125" s="258"/>
    </row>
    <row r="2126" spans="1:26" ht="12.75" customHeight="1" x14ac:dyDescent="0.2">
      <c r="A2126" s="258"/>
      <c r="Z2126" s="258"/>
    </row>
    <row r="2127" spans="1:26" ht="12.75" customHeight="1" x14ac:dyDescent="0.2">
      <c r="A2127" s="258"/>
      <c r="Z2127" s="258"/>
    </row>
    <row r="2128" spans="1:26" ht="12.75" customHeight="1" x14ac:dyDescent="0.2">
      <c r="A2128" s="258"/>
      <c r="Z2128" s="258"/>
    </row>
    <row r="2129" spans="1:26" ht="12.75" customHeight="1" x14ac:dyDescent="0.2">
      <c r="A2129" s="258"/>
      <c r="Z2129" s="258"/>
    </row>
    <row r="2130" spans="1:26" ht="12.75" customHeight="1" x14ac:dyDescent="0.2">
      <c r="A2130" s="258"/>
      <c r="Z2130" s="258"/>
    </row>
    <row r="2131" spans="1:26" ht="12.75" customHeight="1" x14ac:dyDescent="0.2">
      <c r="A2131" s="258"/>
      <c r="Z2131" s="258"/>
    </row>
    <row r="2132" spans="1:26" ht="12.75" customHeight="1" x14ac:dyDescent="0.2">
      <c r="A2132" s="258"/>
      <c r="Z2132" s="258"/>
    </row>
    <row r="2133" spans="1:26" ht="12.75" customHeight="1" x14ac:dyDescent="0.2">
      <c r="A2133" s="258"/>
      <c r="Z2133" s="258"/>
    </row>
    <row r="2134" spans="1:26" ht="12.75" customHeight="1" x14ac:dyDescent="0.2">
      <c r="A2134" s="258"/>
      <c r="Z2134" s="258"/>
    </row>
    <row r="2135" spans="1:26" ht="12.75" customHeight="1" x14ac:dyDescent="0.2">
      <c r="A2135" s="258"/>
      <c r="Z2135" s="258"/>
    </row>
    <row r="2136" spans="1:26" ht="12.75" customHeight="1" x14ac:dyDescent="0.2">
      <c r="A2136" s="258"/>
      <c r="Z2136" s="258"/>
    </row>
    <row r="2137" spans="1:26" ht="12.75" customHeight="1" x14ac:dyDescent="0.2">
      <c r="A2137" s="258"/>
      <c r="Z2137" s="258"/>
    </row>
    <row r="2138" spans="1:26" ht="12.75" customHeight="1" x14ac:dyDescent="0.2">
      <c r="A2138" s="258"/>
      <c r="Z2138" s="258"/>
    </row>
    <row r="2139" spans="1:26" ht="12.75" customHeight="1" x14ac:dyDescent="0.2">
      <c r="A2139" s="258"/>
      <c r="Z2139" s="258"/>
    </row>
    <row r="2140" spans="1:26" ht="12.75" customHeight="1" x14ac:dyDescent="0.2">
      <c r="A2140" s="258"/>
      <c r="Z2140" s="258"/>
    </row>
    <row r="2141" spans="1:26" ht="12.75" customHeight="1" x14ac:dyDescent="0.2">
      <c r="A2141" s="258"/>
      <c r="Z2141" s="258"/>
    </row>
    <row r="2142" spans="1:26" ht="12.75" customHeight="1" x14ac:dyDescent="0.2">
      <c r="A2142" s="258"/>
      <c r="Z2142" s="258"/>
    </row>
    <row r="2143" spans="1:26" ht="12.75" customHeight="1" x14ac:dyDescent="0.2">
      <c r="A2143" s="258"/>
      <c r="Z2143" s="258"/>
    </row>
    <row r="2144" spans="1:26" ht="12.75" customHeight="1" x14ac:dyDescent="0.2">
      <c r="A2144" s="258"/>
      <c r="Z2144" s="258"/>
    </row>
    <row r="2145" spans="1:26" ht="12.75" customHeight="1" x14ac:dyDescent="0.2">
      <c r="A2145" s="258"/>
      <c r="Z2145" s="258"/>
    </row>
    <row r="2146" spans="1:26" ht="12.75" customHeight="1" x14ac:dyDescent="0.2">
      <c r="A2146" s="258"/>
      <c r="Z2146" s="258"/>
    </row>
    <row r="2147" spans="1:26" ht="12.75" customHeight="1" x14ac:dyDescent="0.2">
      <c r="A2147" s="258"/>
      <c r="Z2147" s="258"/>
    </row>
    <row r="2148" spans="1:26" ht="12.75" customHeight="1" x14ac:dyDescent="0.2">
      <c r="A2148" s="258"/>
      <c r="Z2148" s="258"/>
    </row>
    <row r="2149" spans="1:26" ht="12.75" customHeight="1" x14ac:dyDescent="0.2">
      <c r="A2149" s="258"/>
      <c r="Z2149" s="258"/>
    </row>
    <row r="2150" spans="1:26" ht="12.75" customHeight="1" x14ac:dyDescent="0.2">
      <c r="A2150" s="258"/>
      <c r="Z2150" s="258"/>
    </row>
    <row r="2151" spans="1:26" ht="12.75" customHeight="1" x14ac:dyDescent="0.2">
      <c r="A2151" s="258"/>
      <c r="Z2151" s="258"/>
    </row>
    <row r="2152" spans="1:26" ht="12.75" customHeight="1" x14ac:dyDescent="0.2">
      <c r="A2152" s="258"/>
      <c r="Z2152" s="258"/>
    </row>
    <row r="2153" spans="1:26" ht="12.75" customHeight="1" x14ac:dyDescent="0.2">
      <c r="A2153" s="258"/>
      <c r="Z2153" s="258"/>
    </row>
    <row r="2154" spans="1:26" ht="12.75" customHeight="1" x14ac:dyDescent="0.2">
      <c r="A2154" s="258"/>
      <c r="Z2154" s="258"/>
    </row>
    <row r="2155" spans="1:26" ht="12.75" customHeight="1" x14ac:dyDescent="0.2">
      <c r="A2155" s="258"/>
      <c r="Z2155" s="258"/>
    </row>
    <row r="2156" spans="1:26" ht="12.75" customHeight="1" x14ac:dyDescent="0.2">
      <c r="A2156" s="258"/>
      <c r="Z2156" s="258"/>
    </row>
    <row r="2157" spans="1:26" ht="12.75" customHeight="1" x14ac:dyDescent="0.2">
      <c r="A2157" s="258"/>
      <c r="Z2157" s="258"/>
    </row>
    <row r="2158" spans="1:26" ht="12.75" customHeight="1" x14ac:dyDescent="0.2">
      <c r="A2158" s="258"/>
      <c r="Z2158" s="258"/>
    </row>
    <row r="2159" spans="1:26" ht="12.75" customHeight="1" x14ac:dyDescent="0.2">
      <c r="A2159" s="258"/>
      <c r="Z2159" s="258"/>
    </row>
    <row r="2160" spans="1:26" ht="12.75" customHeight="1" x14ac:dyDescent="0.2">
      <c r="A2160" s="258"/>
      <c r="Z2160" s="258"/>
    </row>
    <row r="2161" spans="1:26" ht="12.75" customHeight="1" x14ac:dyDescent="0.2">
      <c r="A2161" s="258"/>
      <c r="Z2161" s="258"/>
    </row>
    <row r="2162" spans="1:26" ht="12.75" customHeight="1" x14ac:dyDescent="0.2">
      <c r="A2162" s="258"/>
      <c r="Z2162" s="258"/>
    </row>
    <row r="2163" spans="1:26" ht="12.75" customHeight="1" x14ac:dyDescent="0.2">
      <c r="A2163" s="258"/>
      <c r="Z2163" s="258"/>
    </row>
    <row r="2164" spans="1:26" ht="12.75" customHeight="1" x14ac:dyDescent="0.2">
      <c r="A2164" s="258"/>
      <c r="Z2164" s="258"/>
    </row>
    <row r="2165" spans="1:26" ht="12.75" customHeight="1" x14ac:dyDescent="0.2">
      <c r="A2165" s="258"/>
      <c r="Z2165" s="258"/>
    </row>
    <row r="2166" spans="1:26" ht="12.75" customHeight="1" x14ac:dyDescent="0.2">
      <c r="A2166" s="258"/>
      <c r="Z2166" s="258"/>
    </row>
    <row r="2167" spans="1:26" ht="12.75" customHeight="1" x14ac:dyDescent="0.2">
      <c r="A2167" s="258"/>
      <c r="Z2167" s="258"/>
    </row>
    <row r="2168" spans="1:26" ht="12.75" customHeight="1" x14ac:dyDescent="0.2">
      <c r="A2168" s="258"/>
      <c r="Z2168" s="258"/>
    </row>
    <row r="2169" spans="1:26" ht="12.75" customHeight="1" x14ac:dyDescent="0.2">
      <c r="A2169" s="258"/>
      <c r="Z2169" s="258"/>
    </row>
    <row r="2170" spans="1:26" ht="12.75" customHeight="1" x14ac:dyDescent="0.2">
      <c r="A2170" s="258"/>
      <c r="Z2170" s="258"/>
    </row>
    <row r="2171" spans="1:26" ht="12.75" customHeight="1" x14ac:dyDescent="0.2">
      <c r="A2171" s="258"/>
      <c r="Z2171" s="258"/>
    </row>
    <row r="2172" spans="1:26" ht="12.75" customHeight="1" x14ac:dyDescent="0.2">
      <c r="A2172" s="258"/>
      <c r="Z2172" s="258"/>
    </row>
    <row r="2173" spans="1:26" ht="12.75" customHeight="1" x14ac:dyDescent="0.2">
      <c r="A2173" s="258"/>
      <c r="Z2173" s="258"/>
    </row>
    <row r="2174" spans="1:26" ht="12.75" customHeight="1" x14ac:dyDescent="0.2">
      <c r="A2174" s="258"/>
      <c r="Z2174" s="258"/>
    </row>
    <row r="2175" spans="1:26" ht="12.75" customHeight="1" x14ac:dyDescent="0.2">
      <c r="A2175" s="258"/>
      <c r="Z2175" s="258"/>
    </row>
    <row r="2176" spans="1:26" ht="12.75" customHeight="1" x14ac:dyDescent="0.2">
      <c r="A2176" s="258"/>
      <c r="Z2176" s="258"/>
    </row>
    <row r="2177" spans="1:26" ht="12.75" customHeight="1" x14ac:dyDescent="0.2">
      <c r="A2177" s="258"/>
      <c r="Z2177" s="258"/>
    </row>
    <row r="2178" spans="1:26" ht="12.75" customHeight="1" x14ac:dyDescent="0.2">
      <c r="A2178" s="258"/>
      <c r="Z2178" s="258"/>
    </row>
    <row r="2179" spans="1:26" ht="12.75" customHeight="1" x14ac:dyDescent="0.2">
      <c r="A2179" s="258"/>
      <c r="Z2179" s="258"/>
    </row>
    <row r="2180" spans="1:26" ht="12.75" customHeight="1" x14ac:dyDescent="0.2">
      <c r="A2180" s="258"/>
      <c r="Z2180" s="258"/>
    </row>
    <row r="2181" spans="1:26" ht="12.75" customHeight="1" x14ac:dyDescent="0.2">
      <c r="A2181" s="258"/>
      <c r="Z2181" s="258"/>
    </row>
    <row r="2182" spans="1:26" ht="12.75" customHeight="1" x14ac:dyDescent="0.2">
      <c r="A2182" s="258"/>
      <c r="Z2182" s="258"/>
    </row>
    <row r="2183" spans="1:26" ht="12.75" customHeight="1" x14ac:dyDescent="0.2">
      <c r="A2183" s="258"/>
      <c r="Z2183" s="258"/>
    </row>
    <row r="2184" spans="1:26" ht="12.75" customHeight="1" x14ac:dyDescent="0.2">
      <c r="A2184" s="258"/>
      <c r="Z2184" s="258"/>
    </row>
    <row r="2185" spans="1:26" ht="12.75" customHeight="1" x14ac:dyDescent="0.2">
      <c r="A2185" s="258"/>
      <c r="Z2185" s="258"/>
    </row>
    <row r="2186" spans="1:26" ht="12.75" customHeight="1" x14ac:dyDescent="0.2">
      <c r="A2186" s="258"/>
      <c r="Z2186" s="258"/>
    </row>
    <row r="2187" spans="1:26" ht="12.75" customHeight="1" x14ac:dyDescent="0.2">
      <c r="A2187" s="258"/>
      <c r="Z2187" s="258"/>
    </row>
    <row r="2188" spans="1:26" ht="12.75" customHeight="1" x14ac:dyDescent="0.2">
      <c r="A2188" s="258"/>
      <c r="Z2188" s="258"/>
    </row>
    <row r="2189" spans="1:26" ht="12.75" customHeight="1" x14ac:dyDescent="0.2">
      <c r="A2189" s="258"/>
      <c r="Z2189" s="258"/>
    </row>
    <row r="2190" spans="1:26" ht="12.75" customHeight="1" x14ac:dyDescent="0.2">
      <c r="A2190" s="258"/>
      <c r="Z2190" s="258"/>
    </row>
    <row r="2191" spans="1:26" ht="12.75" customHeight="1" x14ac:dyDescent="0.2">
      <c r="A2191" s="258"/>
      <c r="Z2191" s="258"/>
    </row>
    <row r="2192" spans="1:26" ht="12.75" customHeight="1" x14ac:dyDescent="0.2">
      <c r="A2192" s="258"/>
      <c r="Z2192" s="258"/>
    </row>
    <row r="2193" spans="1:26" ht="12.75" customHeight="1" x14ac:dyDescent="0.2">
      <c r="A2193" s="258"/>
      <c r="Z2193" s="258"/>
    </row>
    <row r="2194" spans="1:26" ht="12.75" customHeight="1" x14ac:dyDescent="0.2">
      <c r="A2194" s="258"/>
      <c r="Z2194" s="258"/>
    </row>
    <row r="2195" spans="1:26" ht="12.75" customHeight="1" x14ac:dyDescent="0.2">
      <c r="A2195" s="258"/>
      <c r="Z2195" s="258"/>
    </row>
    <row r="2196" spans="1:26" ht="12.75" customHeight="1" x14ac:dyDescent="0.2">
      <c r="A2196" s="258"/>
      <c r="Z2196" s="258"/>
    </row>
    <row r="2197" spans="1:26" ht="12.75" customHeight="1" x14ac:dyDescent="0.2">
      <c r="A2197" s="258"/>
      <c r="Z2197" s="258"/>
    </row>
    <row r="2198" spans="1:26" ht="12.75" customHeight="1" x14ac:dyDescent="0.2">
      <c r="A2198" s="258"/>
      <c r="Z2198" s="258"/>
    </row>
    <row r="2199" spans="1:26" ht="12.75" customHeight="1" x14ac:dyDescent="0.2">
      <c r="A2199" s="258"/>
      <c r="Z2199" s="258"/>
    </row>
    <row r="2200" spans="1:26" ht="12.75" customHeight="1" x14ac:dyDescent="0.2">
      <c r="A2200" s="258"/>
      <c r="Z2200" s="258"/>
    </row>
    <row r="2201" spans="1:26" ht="12.75" customHeight="1" x14ac:dyDescent="0.2">
      <c r="A2201" s="258"/>
      <c r="Z2201" s="258"/>
    </row>
    <row r="2202" spans="1:26" ht="12.75" customHeight="1" x14ac:dyDescent="0.2">
      <c r="A2202" s="258"/>
      <c r="Z2202" s="258"/>
    </row>
    <row r="2203" spans="1:26" ht="12.75" customHeight="1" x14ac:dyDescent="0.2">
      <c r="A2203" s="258"/>
      <c r="Z2203" s="258"/>
    </row>
    <row r="2204" spans="1:26" ht="12.75" customHeight="1" x14ac:dyDescent="0.2">
      <c r="A2204" s="258"/>
      <c r="Z2204" s="258"/>
    </row>
    <row r="2205" spans="1:26" ht="12.75" customHeight="1" x14ac:dyDescent="0.2">
      <c r="A2205" s="258"/>
      <c r="Z2205" s="258"/>
    </row>
    <row r="2206" spans="1:26" ht="12.75" customHeight="1" x14ac:dyDescent="0.2">
      <c r="A2206" s="258"/>
      <c r="Z2206" s="258"/>
    </row>
    <row r="2207" spans="1:26" ht="12.75" customHeight="1" x14ac:dyDescent="0.2">
      <c r="A2207" s="258"/>
      <c r="Z2207" s="258"/>
    </row>
    <row r="2208" spans="1:26" ht="12.75" customHeight="1" x14ac:dyDescent="0.2">
      <c r="A2208" s="258"/>
      <c r="Z2208" s="258"/>
    </row>
    <row r="2209" spans="1:26" ht="12.75" customHeight="1" x14ac:dyDescent="0.2">
      <c r="A2209" s="258"/>
      <c r="Z2209" s="258"/>
    </row>
    <row r="2210" spans="1:26" ht="12.75" customHeight="1" x14ac:dyDescent="0.2">
      <c r="A2210" s="258"/>
      <c r="Z2210" s="258"/>
    </row>
    <row r="2211" spans="1:26" ht="12.75" customHeight="1" x14ac:dyDescent="0.2">
      <c r="A2211" s="258"/>
      <c r="Z2211" s="258"/>
    </row>
    <row r="2212" spans="1:26" ht="12.75" customHeight="1" x14ac:dyDescent="0.2">
      <c r="A2212" s="258"/>
      <c r="Z2212" s="258"/>
    </row>
    <row r="2213" spans="1:26" ht="12.75" customHeight="1" x14ac:dyDescent="0.2">
      <c r="A2213" s="258"/>
      <c r="Z2213" s="258"/>
    </row>
    <row r="2214" spans="1:26" ht="12.75" customHeight="1" x14ac:dyDescent="0.2">
      <c r="A2214" s="258"/>
      <c r="Z2214" s="258"/>
    </row>
    <row r="2215" spans="1:26" ht="12.75" customHeight="1" x14ac:dyDescent="0.2">
      <c r="A2215" s="258"/>
      <c r="Z2215" s="258"/>
    </row>
    <row r="2216" spans="1:26" ht="12.75" customHeight="1" x14ac:dyDescent="0.2">
      <c r="A2216" s="258"/>
      <c r="Z2216" s="258"/>
    </row>
    <row r="2217" spans="1:26" ht="12.75" customHeight="1" x14ac:dyDescent="0.2">
      <c r="A2217" s="258"/>
      <c r="Z2217" s="258"/>
    </row>
    <row r="2218" spans="1:26" ht="12.75" customHeight="1" x14ac:dyDescent="0.2">
      <c r="A2218" s="258"/>
      <c r="Z2218" s="258"/>
    </row>
    <row r="2219" spans="1:26" ht="12.75" customHeight="1" x14ac:dyDescent="0.2">
      <c r="A2219" s="258"/>
      <c r="Z2219" s="258"/>
    </row>
    <row r="2220" spans="1:26" ht="12.75" customHeight="1" x14ac:dyDescent="0.2">
      <c r="A2220" s="258"/>
      <c r="Z2220" s="258"/>
    </row>
    <row r="2221" spans="1:26" ht="12.75" customHeight="1" x14ac:dyDescent="0.2">
      <c r="A2221" s="258"/>
      <c r="Z2221" s="258"/>
    </row>
    <row r="2222" spans="1:26" ht="12.75" customHeight="1" x14ac:dyDescent="0.2">
      <c r="A2222" s="258"/>
      <c r="Z2222" s="258"/>
    </row>
    <row r="2223" spans="1:26" ht="12.75" customHeight="1" x14ac:dyDescent="0.2">
      <c r="A2223" s="258"/>
      <c r="Z2223" s="258"/>
    </row>
    <row r="2224" spans="1:26" ht="12.75" customHeight="1" x14ac:dyDescent="0.2">
      <c r="A2224" s="258"/>
      <c r="Z2224" s="258"/>
    </row>
    <row r="2225" spans="1:26" ht="12.75" customHeight="1" x14ac:dyDescent="0.2">
      <c r="A2225" s="258"/>
      <c r="Z2225" s="258"/>
    </row>
    <row r="2226" spans="1:26" ht="12.75" customHeight="1" x14ac:dyDescent="0.2">
      <c r="A2226" s="258"/>
      <c r="Z2226" s="258"/>
    </row>
    <row r="2227" spans="1:26" ht="12.75" customHeight="1" x14ac:dyDescent="0.2">
      <c r="A2227" s="258"/>
      <c r="Z2227" s="258"/>
    </row>
    <row r="2228" spans="1:26" ht="12.75" customHeight="1" x14ac:dyDescent="0.2">
      <c r="A2228" s="258"/>
      <c r="Z2228" s="258"/>
    </row>
    <row r="2229" spans="1:26" ht="12.75" customHeight="1" x14ac:dyDescent="0.2">
      <c r="A2229" s="258"/>
      <c r="Z2229" s="258"/>
    </row>
    <row r="2230" spans="1:26" ht="12.75" customHeight="1" x14ac:dyDescent="0.2">
      <c r="A2230" s="258"/>
      <c r="Z2230" s="258"/>
    </row>
    <row r="2231" spans="1:26" ht="12.75" customHeight="1" x14ac:dyDescent="0.2">
      <c r="A2231" s="258"/>
      <c r="Z2231" s="258"/>
    </row>
    <row r="2232" spans="1:26" ht="12.75" customHeight="1" x14ac:dyDescent="0.2">
      <c r="A2232" s="258"/>
      <c r="Z2232" s="258"/>
    </row>
    <row r="2233" spans="1:26" ht="12.75" customHeight="1" x14ac:dyDescent="0.2">
      <c r="A2233" s="258"/>
      <c r="Z2233" s="258"/>
    </row>
    <row r="2234" spans="1:26" ht="12.75" customHeight="1" x14ac:dyDescent="0.2">
      <c r="A2234" s="258"/>
      <c r="Z2234" s="258"/>
    </row>
    <row r="2235" spans="1:26" ht="12.75" customHeight="1" x14ac:dyDescent="0.2">
      <c r="A2235" s="258"/>
      <c r="Z2235" s="258"/>
    </row>
    <row r="2236" spans="1:26" ht="12.75" customHeight="1" x14ac:dyDescent="0.2">
      <c r="A2236" s="258"/>
      <c r="Z2236" s="258"/>
    </row>
    <row r="2237" spans="1:26" ht="12.75" customHeight="1" x14ac:dyDescent="0.2">
      <c r="A2237" s="258"/>
      <c r="Z2237" s="258"/>
    </row>
    <row r="2238" spans="1:26" ht="12.75" customHeight="1" x14ac:dyDescent="0.2">
      <c r="A2238" s="258"/>
      <c r="Z2238" s="258"/>
    </row>
    <row r="2239" spans="1:26" ht="12.75" customHeight="1" x14ac:dyDescent="0.2">
      <c r="A2239" s="258"/>
      <c r="Z2239" s="258"/>
    </row>
    <row r="2240" spans="1:26" ht="12.75" customHeight="1" x14ac:dyDescent="0.2">
      <c r="A2240" s="258"/>
      <c r="Z2240" s="258"/>
    </row>
    <row r="2241" spans="1:26" ht="12.75" customHeight="1" x14ac:dyDescent="0.2">
      <c r="A2241" s="258"/>
      <c r="Z2241" s="258"/>
    </row>
    <row r="2242" spans="1:26" ht="12.75" customHeight="1" x14ac:dyDescent="0.2">
      <c r="A2242" s="258"/>
      <c r="Z2242" s="258"/>
    </row>
    <row r="2243" spans="1:26" ht="12.75" customHeight="1" x14ac:dyDescent="0.2">
      <c r="A2243" s="258"/>
      <c r="Z2243" s="258"/>
    </row>
    <row r="2244" spans="1:26" ht="12.75" customHeight="1" x14ac:dyDescent="0.2">
      <c r="A2244" s="258"/>
      <c r="Z2244" s="258"/>
    </row>
    <row r="2245" spans="1:26" ht="12.75" customHeight="1" x14ac:dyDescent="0.2">
      <c r="A2245" s="258"/>
      <c r="Z2245" s="258"/>
    </row>
    <row r="2246" spans="1:26" ht="12.75" customHeight="1" x14ac:dyDescent="0.2">
      <c r="A2246" s="258"/>
      <c r="Z2246" s="258"/>
    </row>
    <row r="2247" spans="1:26" ht="12.75" customHeight="1" x14ac:dyDescent="0.2">
      <c r="A2247" s="258"/>
      <c r="Z2247" s="258"/>
    </row>
    <row r="2248" spans="1:26" ht="12.75" customHeight="1" x14ac:dyDescent="0.2">
      <c r="A2248" s="258"/>
      <c r="Z2248" s="258"/>
    </row>
    <row r="2249" spans="1:26" ht="12.75" customHeight="1" x14ac:dyDescent="0.2">
      <c r="A2249" s="258"/>
      <c r="Z2249" s="258"/>
    </row>
    <row r="2250" spans="1:26" ht="12.75" customHeight="1" x14ac:dyDescent="0.2">
      <c r="A2250" s="258"/>
      <c r="Z2250" s="258"/>
    </row>
    <row r="2251" spans="1:26" ht="12.75" customHeight="1" x14ac:dyDescent="0.2">
      <c r="A2251" s="258"/>
      <c r="Z2251" s="258"/>
    </row>
    <row r="2252" spans="1:26" ht="12.75" customHeight="1" x14ac:dyDescent="0.2">
      <c r="A2252" s="258"/>
      <c r="Z2252" s="258"/>
    </row>
    <row r="2253" spans="1:26" ht="12.75" customHeight="1" x14ac:dyDescent="0.2">
      <c r="A2253" s="258"/>
      <c r="Z2253" s="258"/>
    </row>
    <row r="2254" spans="1:26" ht="12.75" customHeight="1" x14ac:dyDescent="0.2">
      <c r="A2254" s="258"/>
      <c r="Z2254" s="258"/>
    </row>
    <row r="2255" spans="1:26" ht="12.75" customHeight="1" x14ac:dyDescent="0.2">
      <c r="A2255" s="258"/>
      <c r="Z2255" s="258"/>
    </row>
    <row r="2256" spans="1:26" ht="12.75" customHeight="1" x14ac:dyDescent="0.2">
      <c r="A2256" s="258"/>
      <c r="Z2256" s="258"/>
    </row>
    <row r="2257" spans="1:26" ht="12.75" customHeight="1" x14ac:dyDescent="0.2">
      <c r="A2257" s="258"/>
      <c r="Z2257" s="258"/>
    </row>
    <row r="2258" spans="1:26" ht="12.75" customHeight="1" x14ac:dyDescent="0.2">
      <c r="A2258" s="258"/>
      <c r="Z2258" s="258"/>
    </row>
    <row r="2259" spans="1:26" ht="12.75" customHeight="1" x14ac:dyDescent="0.2">
      <c r="A2259" s="258"/>
      <c r="Z2259" s="258"/>
    </row>
    <row r="2260" spans="1:26" ht="12.75" customHeight="1" x14ac:dyDescent="0.2">
      <c r="A2260" s="258"/>
      <c r="Z2260" s="258"/>
    </row>
    <row r="2261" spans="1:26" ht="12.75" customHeight="1" x14ac:dyDescent="0.2">
      <c r="A2261" s="258"/>
      <c r="Z2261" s="258"/>
    </row>
    <row r="2262" spans="1:26" ht="12.75" customHeight="1" x14ac:dyDescent="0.2">
      <c r="A2262" s="258"/>
      <c r="Z2262" s="258"/>
    </row>
    <row r="2263" spans="1:26" ht="12.75" customHeight="1" x14ac:dyDescent="0.2">
      <c r="A2263" s="258"/>
      <c r="Z2263" s="258"/>
    </row>
    <row r="2264" spans="1:26" ht="12.75" customHeight="1" x14ac:dyDescent="0.2">
      <c r="A2264" s="258"/>
      <c r="Z2264" s="258"/>
    </row>
    <row r="2265" spans="1:26" ht="12.75" customHeight="1" x14ac:dyDescent="0.2">
      <c r="A2265" s="258"/>
      <c r="Z2265" s="258"/>
    </row>
    <row r="2266" spans="1:26" ht="12.75" customHeight="1" x14ac:dyDescent="0.2">
      <c r="A2266" s="258"/>
      <c r="Z2266" s="258"/>
    </row>
    <row r="2267" spans="1:26" ht="12.75" customHeight="1" x14ac:dyDescent="0.2">
      <c r="A2267" s="258"/>
      <c r="Z2267" s="258"/>
    </row>
    <row r="2268" spans="1:26" ht="12.75" customHeight="1" x14ac:dyDescent="0.2">
      <c r="A2268" s="258"/>
      <c r="Z2268" s="258"/>
    </row>
    <row r="2269" spans="1:26" ht="12.75" customHeight="1" x14ac:dyDescent="0.2">
      <c r="A2269" s="258"/>
      <c r="Z2269" s="258"/>
    </row>
    <row r="2270" spans="1:26" ht="12.75" customHeight="1" x14ac:dyDescent="0.2">
      <c r="A2270" s="258"/>
      <c r="Z2270" s="258"/>
    </row>
    <row r="2271" spans="1:26" ht="12.75" customHeight="1" x14ac:dyDescent="0.2">
      <c r="A2271" s="258"/>
      <c r="Z2271" s="258"/>
    </row>
    <row r="2272" spans="1:26" ht="12.75" customHeight="1" x14ac:dyDescent="0.2">
      <c r="A2272" s="258"/>
      <c r="Z2272" s="258"/>
    </row>
    <row r="2273" spans="1:26" ht="12.75" customHeight="1" x14ac:dyDescent="0.2">
      <c r="A2273" s="258"/>
      <c r="Z2273" s="258"/>
    </row>
    <row r="2274" spans="1:26" ht="12.75" customHeight="1" x14ac:dyDescent="0.2">
      <c r="A2274" s="258"/>
      <c r="Z2274" s="258"/>
    </row>
    <row r="2275" spans="1:26" ht="12.75" customHeight="1" x14ac:dyDescent="0.2">
      <c r="A2275" s="258"/>
      <c r="Z2275" s="258"/>
    </row>
    <row r="2276" spans="1:26" ht="12.75" customHeight="1" x14ac:dyDescent="0.2">
      <c r="A2276" s="258"/>
      <c r="Z2276" s="258"/>
    </row>
    <row r="2277" spans="1:26" ht="12.75" customHeight="1" x14ac:dyDescent="0.2">
      <c r="A2277" s="258"/>
      <c r="Z2277" s="258"/>
    </row>
    <row r="2278" spans="1:26" ht="12.75" customHeight="1" x14ac:dyDescent="0.2">
      <c r="A2278" s="258"/>
      <c r="Z2278" s="258"/>
    </row>
    <row r="2279" spans="1:26" ht="12.75" customHeight="1" x14ac:dyDescent="0.2">
      <c r="A2279" s="258"/>
      <c r="Z2279" s="258"/>
    </row>
    <row r="2280" spans="1:26" ht="12.75" customHeight="1" x14ac:dyDescent="0.2">
      <c r="A2280" s="258"/>
      <c r="Z2280" s="258"/>
    </row>
    <row r="2281" spans="1:26" ht="12.75" customHeight="1" x14ac:dyDescent="0.2">
      <c r="A2281" s="258"/>
      <c r="Z2281" s="258"/>
    </row>
    <row r="2282" spans="1:26" ht="12.75" customHeight="1" x14ac:dyDescent="0.2">
      <c r="A2282" s="258"/>
      <c r="Z2282" s="258"/>
    </row>
    <row r="2283" spans="1:26" ht="12.75" customHeight="1" x14ac:dyDescent="0.2">
      <c r="A2283" s="258"/>
      <c r="Z2283" s="258"/>
    </row>
    <row r="2284" spans="1:26" ht="12.75" customHeight="1" x14ac:dyDescent="0.2">
      <c r="A2284" s="258"/>
      <c r="Z2284" s="258"/>
    </row>
    <row r="2285" spans="1:26" ht="12.75" customHeight="1" x14ac:dyDescent="0.2">
      <c r="A2285" s="258"/>
      <c r="Z2285" s="258"/>
    </row>
    <row r="2286" spans="1:26" ht="12.75" customHeight="1" x14ac:dyDescent="0.2">
      <c r="A2286" s="258"/>
      <c r="Z2286" s="258"/>
    </row>
    <row r="2287" spans="1:26" ht="12.75" customHeight="1" x14ac:dyDescent="0.2">
      <c r="A2287" s="258"/>
      <c r="Z2287" s="258"/>
    </row>
    <row r="2288" spans="1:26" ht="12.75" customHeight="1" x14ac:dyDescent="0.2">
      <c r="A2288" s="258"/>
      <c r="Z2288" s="258"/>
    </row>
    <row r="2289" spans="1:26" ht="12.75" customHeight="1" x14ac:dyDescent="0.2">
      <c r="A2289" s="258"/>
      <c r="Z2289" s="258"/>
    </row>
    <row r="2290" spans="1:26" ht="12.75" customHeight="1" x14ac:dyDescent="0.2">
      <c r="A2290" s="258"/>
      <c r="Z2290" s="258"/>
    </row>
    <row r="2291" spans="1:26" ht="12.75" customHeight="1" x14ac:dyDescent="0.2">
      <c r="A2291" s="258"/>
      <c r="Z2291" s="258"/>
    </row>
    <row r="2292" spans="1:26" ht="12.75" customHeight="1" x14ac:dyDescent="0.2">
      <c r="A2292" s="258"/>
      <c r="Z2292" s="258"/>
    </row>
    <row r="2293" spans="1:26" ht="12.75" customHeight="1" x14ac:dyDescent="0.2">
      <c r="A2293" s="258"/>
      <c r="Z2293" s="258"/>
    </row>
    <row r="2294" spans="1:26" ht="12.75" customHeight="1" x14ac:dyDescent="0.2">
      <c r="A2294" s="258"/>
      <c r="Z2294" s="258"/>
    </row>
    <row r="2295" spans="1:26" ht="12.75" customHeight="1" x14ac:dyDescent="0.2">
      <c r="A2295" s="258"/>
      <c r="Z2295" s="258"/>
    </row>
    <row r="2296" spans="1:26" ht="12.75" customHeight="1" x14ac:dyDescent="0.2">
      <c r="A2296" s="258"/>
      <c r="Z2296" s="258"/>
    </row>
    <row r="2297" spans="1:26" ht="12.75" customHeight="1" x14ac:dyDescent="0.2">
      <c r="A2297" s="258"/>
      <c r="Z2297" s="258"/>
    </row>
    <row r="2298" spans="1:26" ht="12.75" customHeight="1" x14ac:dyDescent="0.2">
      <c r="A2298" s="258"/>
      <c r="Z2298" s="258"/>
    </row>
    <row r="2299" spans="1:26" ht="12.75" customHeight="1" x14ac:dyDescent="0.2">
      <c r="A2299" s="258"/>
      <c r="Z2299" s="258"/>
    </row>
    <row r="2300" spans="1:26" ht="12.75" customHeight="1" x14ac:dyDescent="0.2">
      <c r="A2300" s="258"/>
      <c r="Z2300" s="258"/>
    </row>
    <row r="2301" spans="1:26" ht="12.75" customHeight="1" x14ac:dyDescent="0.2">
      <c r="A2301" s="258"/>
      <c r="Z2301" s="258"/>
    </row>
    <row r="2302" spans="1:26" ht="12.75" customHeight="1" x14ac:dyDescent="0.2">
      <c r="A2302" s="258"/>
      <c r="Z2302" s="258"/>
    </row>
    <row r="2303" spans="1:26" ht="12.75" customHeight="1" x14ac:dyDescent="0.2">
      <c r="A2303" s="258"/>
      <c r="Z2303" s="258"/>
    </row>
    <row r="2304" spans="1:26" ht="12.75" customHeight="1" x14ac:dyDescent="0.2">
      <c r="A2304" s="258"/>
      <c r="Z2304" s="258"/>
    </row>
    <row r="2305" spans="1:26" ht="12.75" customHeight="1" x14ac:dyDescent="0.2">
      <c r="A2305" s="258"/>
      <c r="Z2305" s="258"/>
    </row>
    <row r="2306" spans="1:26" ht="12.75" customHeight="1" x14ac:dyDescent="0.2">
      <c r="A2306" s="258"/>
      <c r="Z2306" s="258"/>
    </row>
    <row r="2307" spans="1:26" ht="12.75" customHeight="1" x14ac:dyDescent="0.2">
      <c r="A2307" s="258"/>
      <c r="Z2307" s="258"/>
    </row>
    <row r="2308" spans="1:26" ht="12.75" customHeight="1" x14ac:dyDescent="0.2">
      <c r="A2308" s="258"/>
      <c r="Z2308" s="258"/>
    </row>
    <row r="2309" spans="1:26" ht="12.75" customHeight="1" x14ac:dyDescent="0.2">
      <c r="A2309" s="258"/>
      <c r="Z2309" s="258"/>
    </row>
    <row r="2310" spans="1:26" ht="12.75" customHeight="1" x14ac:dyDescent="0.2">
      <c r="A2310" s="258"/>
      <c r="Z2310" s="258"/>
    </row>
    <row r="2311" spans="1:26" ht="12.75" customHeight="1" x14ac:dyDescent="0.2">
      <c r="A2311" s="258"/>
      <c r="Z2311" s="258"/>
    </row>
    <row r="2312" spans="1:26" ht="12.75" customHeight="1" x14ac:dyDescent="0.2">
      <c r="A2312" s="258"/>
      <c r="Z2312" s="258"/>
    </row>
    <row r="2313" spans="1:26" ht="12.75" customHeight="1" x14ac:dyDescent="0.2">
      <c r="A2313" s="258"/>
      <c r="Z2313" s="258"/>
    </row>
    <row r="2314" spans="1:26" ht="12.75" customHeight="1" x14ac:dyDescent="0.2">
      <c r="A2314" s="258"/>
      <c r="Z2314" s="258"/>
    </row>
    <row r="2315" spans="1:26" ht="12.75" customHeight="1" x14ac:dyDescent="0.2">
      <c r="A2315" s="258"/>
      <c r="Z2315" s="258"/>
    </row>
    <row r="2316" spans="1:26" ht="12.75" customHeight="1" x14ac:dyDescent="0.2">
      <c r="A2316" s="258"/>
      <c r="Z2316" s="258"/>
    </row>
    <row r="2317" spans="1:26" ht="12.75" customHeight="1" x14ac:dyDescent="0.2">
      <c r="A2317" s="258"/>
      <c r="Z2317" s="258"/>
    </row>
    <row r="2318" spans="1:26" ht="12.75" customHeight="1" x14ac:dyDescent="0.2">
      <c r="A2318" s="258"/>
      <c r="Z2318" s="258"/>
    </row>
    <row r="2319" spans="1:26" ht="12.75" customHeight="1" x14ac:dyDescent="0.2">
      <c r="A2319" s="258"/>
      <c r="Z2319" s="258"/>
    </row>
    <row r="2320" spans="1:26" ht="12.75" customHeight="1" x14ac:dyDescent="0.2">
      <c r="A2320" s="258"/>
      <c r="Z2320" s="258"/>
    </row>
    <row r="2321" spans="1:26" ht="12.75" customHeight="1" x14ac:dyDescent="0.2">
      <c r="A2321" s="258"/>
      <c r="Z2321" s="258"/>
    </row>
    <row r="2322" spans="1:26" ht="12.75" customHeight="1" x14ac:dyDescent="0.2">
      <c r="A2322" s="258"/>
      <c r="Z2322" s="258"/>
    </row>
    <row r="2323" spans="1:26" ht="12.75" customHeight="1" x14ac:dyDescent="0.2">
      <c r="A2323" s="258"/>
      <c r="Z2323" s="258"/>
    </row>
    <row r="2324" spans="1:26" ht="12.75" customHeight="1" x14ac:dyDescent="0.2">
      <c r="A2324" s="258"/>
      <c r="Z2324" s="258"/>
    </row>
    <row r="2325" spans="1:26" ht="12.75" customHeight="1" x14ac:dyDescent="0.2">
      <c r="A2325" s="258"/>
      <c r="Z2325" s="258"/>
    </row>
    <row r="2326" spans="1:26" ht="12.75" customHeight="1" x14ac:dyDescent="0.2">
      <c r="A2326" s="258"/>
      <c r="Z2326" s="258"/>
    </row>
    <row r="2327" spans="1:26" ht="12.75" customHeight="1" x14ac:dyDescent="0.2">
      <c r="A2327" s="258"/>
      <c r="Z2327" s="258"/>
    </row>
    <row r="2328" spans="1:26" ht="12.75" customHeight="1" x14ac:dyDescent="0.2">
      <c r="A2328" s="258"/>
      <c r="Z2328" s="258"/>
    </row>
    <row r="2329" spans="1:26" ht="12.75" customHeight="1" x14ac:dyDescent="0.2">
      <c r="A2329" s="258"/>
      <c r="Z2329" s="258"/>
    </row>
    <row r="2330" spans="1:26" ht="12.75" customHeight="1" x14ac:dyDescent="0.2">
      <c r="A2330" s="258"/>
      <c r="Z2330" s="258"/>
    </row>
    <row r="2331" spans="1:26" ht="12.75" customHeight="1" x14ac:dyDescent="0.2">
      <c r="A2331" s="258"/>
      <c r="Z2331" s="258"/>
    </row>
    <row r="2332" spans="1:26" ht="12.75" customHeight="1" x14ac:dyDescent="0.2">
      <c r="A2332" s="258"/>
      <c r="Z2332" s="258"/>
    </row>
    <row r="2333" spans="1:26" ht="12.75" customHeight="1" x14ac:dyDescent="0.2">
      <c r="A2333" s="258"/>
      <c r="Z2333" s="258"/>
    </row>
    <row r="2334" spans="1:26" ht="12.75" customHeight="1" x14ac:dyDescent="0.2">
      <c r="A2334" s="258"/>
      <c r="Z2334" s="258"/>
    </row>
    <row r="2335" spans="1:26" ht="12.75" customHeight="1" x14ac:dyDescent="0.2">
      <c r="A2335" s="258"/>
      <c r="Z2335" s="258"/>
    </row>
    <row r="2336" spans="1:26" ht="12.75" customHeight="1" x14ac:dyDescent="0.2">
      <c r="A2336" s="258"/>
      <c r="Z2336" s="258"/>
    </row>
    <row r="2337" spans="1:26" ht="12.75" customHeight="1" x14ac:dyDescent="0.2">
      <c r="A2337" s="258"/>
      <c r="Z2337" s="258"/>
    </row>
    <row r="2338" spans="1:26" ht="12.75" customHeight="1" x14ac:dyDescent="0.2">
      <c r="A2338" s="258"/>
      <c r="Z2338" s="258"/>
    </row>
    <row r="2339" spans="1:26" ht="12.75" customHeight="1" x14ac:dyDescent="0.2">
      <c r="A2339" s="258"/>
      <c r="Z2339" s="258"/>
    </row>
    <row r="2340" spans="1:26" ht="12.75" customHeight="1" x14ac:dyDescent="0.2">
      <c r="A2340" s="258"/>
      <c r="Z2340" s="258"/>
    </row>
    <row r="2341" spans="1:26" ht="12.75" customHeight="1" x14ac:dyDescent="0.2">
      <c r="A2341" s="258"/>
      <c r="Z2341" s="258"/>
    </row>
    <row r="2342" spans="1:26" ht="12.75" customHeight="1" x14ac:dyDescent="0.2">
      <c r="A2342" s="258"/>
      <c r="Z2342" s="258"/>
    </row>
    <row r="2343" spans="1:26" ht="12.75" customHeight="1" x14ac:dyDescent="0.2">
      <c r="A2343" s="258"/>
      <c r="Z2343" s="258"/>
    </row>
    <row r="2344" spans="1:26" ht="12.75" customHeight="1" x14ac:dyDescent="0.2">
      <c r="A2344" s="258"/>
      <c r="Z2344" s="258"/>
    </row>
    <row r="2345" spans="1:26" ht="12.75" customHeight="1" x14ac:dyDescent="0.2">
      <c r="A2345" s="258"/>
      <c r="Z2345" s="258"/>
    </row>
    <row r="2346" spans="1:26" ht="12.75" customHeight="1" x14ac:dyDescent="0.2">
      <c r="A2346" s="258"/>
      <c r="Z2346" s="258"/>
    </row>
    <row r="2347" spans="1:26" ht="12.75" customHeight="1" x14ac:dyDescent="0.2">
      <c r="A2347" s="258"/>
      <c r="Z2347" s="258"/>
    </row>
    <row r="2348" spans="1:26" ht="12.75" customHeight="1" x14ac:dyDescent="0.2">
      <c r="A2348" s="258"/>
      <c r="Z2348" s="258"/>
    </row>
    <row r="2349" spans="1:26" ht="12.75" customHeight="1" x14ac:dyDescent="0.2">
      <c r="A2349" s="258"/>
      <c r="Z2349" s="258"/>
    </row>
    <row r="2350" spans="1:26" ht="12.75" customHeight="1" x14ac:dyDescent="0.2">
      <c r="A2350" s="258"/>
      <c r="Z2350" s="258"/>
    </row>
    <row r="2351" spans="1:26" ht="12.75" customHeight="1" x14ac:dyDescent="0.2">
      <c r="A2351" s="258"/>
      <c r="Z2351" s="258"/>
    </row>
    <row r="2352" spans="1:26" ht="12.75" customHeight="1" x14ac:dyDescent="0.2">
      <c r="A2352" s="258"/>
      <c r="Z2352" s="258"/>
    </row>
    <row r="2353" spans="1:26" ht="12.75" customHeight="1" x14ac:dyDescent="0.2">
      <c r="A2353" s="258"/>
      <c r="Z2353" s="258"/>
    </row>
    <row r="2354" spans="1:26" ht="12.75" customHeight="1" x14ac:dyDescent="0.2">
      <c r="A2354" s="258"/>
      <c r="Z2354" s="258"/>
    </row>
    <row r="2355" spans="1:26" ht="12.75" customHeight="1" x14ac:dyDescent="0.2">
      <c r="A2355" s="258"/>
      <c r="Z2355" s="258"/>
    </row>
    <row r="2356" spans="1:26" ht="12.75" customHeight="1" x14ac:dyDescent="0.2">
      <c r="A2356" s="258"/>
      <c r="Z2356" s="258"/>
    </row>
    <row r="2357" spans="1:26" ht="12.75" customHeight="1" x14ac:dyDescent="0.2">
      <c r="A2357" s="258"/>
      <c r="Z2357" s="258"/>
    </row>
    <row r="2358" spans="1:26" ht="12.75" customHeight="1" x14ac:dyDescent="0.2">
      <c r="A2358" s="258"/>
      <c r="Z2358" s="258"/>
    </row>
    <row r="2359" spans="1:26" ht="12.75" customHeight="1" x14ac:dyDescent="0.2">
      <c r="A2359" s="258"/>
      <c r="Z2359" s="258"/>
    </row>
    <row r="2360" spans="1:26" ht="12.75" customHeight="1" x14ac:dyDescent="0.2">
      <c r="A2360" s="258"/>
      <c r="Z2360" s="258"/>
    </row>
    <row r="2361" spans="1:26" ht="12.75" customHeight="1" x14ac:dyDescent="0.2">
      <c r="A2361" s="258"/>
      <c r="Z2361" s="258"/>
    </row>
    <row r="2362" spans="1:26" ht="12.75" customHeight="1" x14ac:dyDescent="0.2">
      <c r="A2362" s="258"/>
      <c r="Z2362" s="258"/>
    </row>
    <row r="2363" spans="1:26" ht="12.75" customHeight="1" x14ac:dyDescent="0.2">
      <c r="A2363" s="258"/>
      <c r="Z2363" s="258"/>
    </row>
    <row r="2364" spans="1:26" ht="12.75" customHeight="1" x14ac:dyDescent="0.2">
      <c r="A2364" s="258"/>
      <c r="Z2364" s="258"/>
    </row>
    <row r="2365" spans="1:26" ht="12.75" customHeight="1" x14ac:dyDescent="0.2">
      <c r="A2365" s="258"/>
      <c r="Z2365" s="258"/>
    </row>
    <row r="2366" spans="1:26" ht="12.75" customHeight="1" x14ac:dyDescent="0.2">
      <c r="A2366" s="258"/>
      <c r="Z2366" s="258"/>
    </row>
    <row r="2367" spans="1:26" ht="12.75" customHeight="1" x14ac:dyDescent="0.2">
      <c r="A2367" s="258"/>
      <c r="Z2367" s="258"/>
    </row>
    <row r="2368" spans="1:26" ht="12.75" customHeight="1" x14ac:dyDescent="0.2">
      <c r="A2368" s="258"/>
      <c r="Z2368" s="258"/>
    </row>
    <row r="2369" spans="1:26" ht="12.75" customHeight="1" x14ac:dyDescent="0.2">
      <c r="A2369" s="258"/>
      <c r="Z2369" s="258"/>
    </row>
    <row r="2370" spans="1:26" ht="12.75" customHeight="1" x14ac:dyDescent="0.2">
      <c r="A2370" s="258"/>
      <c r="Z2370" s="258"/>
    </row>
    <row r="2371" spans="1:26" ht="12.75" customHeight="1" x14ac:dyDescent="0.2">
      <c r="A2371" s="258"/>
      <c r="Z2371" s="258"/>
    </row>
    <row r="2372" spans="1:26" ht="12.75" customHeight="1" x14ac:dyDescent="0.2">
      <c r="A2372" s="258"/>
      <c r="Z2372" s="258"/>
    </row>
    <row r="2373" spans="1:26" ht="12.75" customHeight="1" x14ac:dyDescent="0.2">
      <c r="A2373" s="258"/>
      <c r="Z2373" s="258"/>
    </row>
    <row r="2374" spans="1:26" ht="12.75" customHeight="1" x14ac:dyDescent="0.2">
      <c r="A2374" s="258"/>
      <c r="Z2374" s="258"/>
    </row>
    <row r="2375" spans="1:26" ht="12.75" customHeight="1" x14ac:dyDescent="0.2">
      <c r="A2375" s="258"/>
      <c r="Z2375" s="258"/>
    </row>
    <row r="2376" spans="1:26" ht="12.75" customHeight="1" x14ac:dyDescent="0.2">
      <c r="A2376" s="258"/>
      <c r="Z2376" s="258"/>
    </row>
    <row r="2377" spans="1:26" ht="12.75" customHeight="1" x14ac:dyDescent="0.2">
      <c r="A2377" s="258"/>
      <c r="Z2377" s="258"/>
    </row>
    <row r="2378" spans="1:26" ht="12.75" customHeight="1" x14ac:dyDescent="0.2">
      <c r="A2378" s="258"/>
      <c r="Z2378" s="258"/>
    </row>
    <row r="2379" spans="1:26" ht="12.75" customHeight="1" x14ac:dyDescent="0.2">
      <c r="A2379" s="258"/>
      <c r="Z2379" s="258"/>
    </row>
    <row r="2380" spans="1:26" ht="12.75" customHeight="1" x14ac:dyDescent="0.2">
      <c r="A2380" s="258"/>
      <c r="Z2380" s="258"/>
    </row>
    <row r="2381" spans="1:26" ht="12.75" customHeight="1" x14ac:dyDescent="0.2">
      <c r="A2381" s="258"/>
      <c r="Z2381" s="258"/>
    </row>
    <row r="2382" spans="1:26" ht="12.75" customHeight="1" x14ac:dyDescent="0.2">
      <c r="A2382" s="258"/>
      <c r="Z2382" s="258"/>
    </row>
    <row r="2383" spans="1:26" ht="12.75" customHeight="1" x14ac:dyDescent="0.2">
      <c r="A2383" s="258"/>
      <c r="Z2383" s="258"/>
    </row>
    <row r="2384" spans="1:26" ht="12.75" customHeight="1" x14ac:dyDescent="0.2">
      <c r="A2384" s="258"/>
      <c r="Z2384" s="258"/>
    </row>
    <row r="2385" spans="1:26" ht="12.75" customHeight="1" x14ac:dyDescent="0.2">
      <c r="A2385" s="258"/>
      <c r="Z2385" s="258"/>
    </row>
    <row r="2386" spans="1:26" ht="12.75" customHeight="1" x14ac:dyDescent="0.2">
      <c r="A2386" s="258"/>
      <c r="Z2386" s="258"/>
    </row>
    <row r="2387" spans="1:26" ht="12.75" customHeight="1" x14ac:dyDescent="0.2">
      <c r="A2387" s="258"/>
      <c r="Z2387" s="258"/>
    </row>
    <row r="2388" spans="1:26" ht="12.75" customHeight="1" x14ac:dyDescent="0.2">
      <c r="A2388" s="258"/>
      <c r="Z2388" s="258"/>
    </row>
    <row r="2389" spans="1:26" ht="12.75" customHeight="1" x14ac:dyDescent="0.2">
      <c r="A2389" s="258"/>
      <c r="Z2389" s="258"/>
    </row>
    <row r="2390" spans="1:26" ht="12.75" customHeight="1" x14ac:dyDescent="0.2">
      <c r="A2390" s="258"/>
      <c r="Z2390" s="258"/>
    </row>
    <row r="2391" spans="1:26" ht="12.75" customHeight="1" x14ac:dyDescent="0.2">
      <c r="A2391" s="258"/>
      <c r="Z2391" s="258"/>
    </row>
    <row r="2392" spans="1:26" ht="12.75" customHeight="1" x14ac:dyDescent="0.2">
      <c r="A2392" s="258"/>
      <c r="Z2392" s="258"/>
    </row>
    <row r="2393" spans="1:26" ht="12.75" customHeight="1" x14ac:dyDescent="0.2">
      <c r="A2393" s="258"/>
      <c r="Z2393" s="258"/>
    </row>
    <row r="2394" spans="1:26" ht="12.75" customHeight="1" x14ac:dyDescent="0.2">
      <c r="A2394" s="258"/>
      <c r="Z2394" s="258"/>
    </row>
    <row r="2395" spans="1:26" ht="12.75" customHeight="1" x14ac:dyDescent="0.2">
      <c r="A2395" s="258"/>
      <c r="Z2395" s="258"/>
    </row>
    <row r="2396" spans="1:26" ht="12.75" customHeight="1" x14ac:dyDescent="0.2">
      <c r="A2396" s="258"/>
      <c r="Z2396" s="258"/>
    </row>
    <row r="2397" spans="1:26" ht="12.75" customHeight="1" x14ac:dyDescent="0.2">
      <c r="A2397" s="258"/>
      <c r="Z2397" s="258"/>
    </row>
    <row r="2398" spans="1:26" ht="12.75" customHeight="1" x14ac:dyDescent="0.2">
      <c r="A2398" s="258"/>
      <c r="Z2398" s="258"/>
    </row>
    <row r="2399" spans="1:26" ht="12.75" customHeight="1" x14ac:dyDescent="0.2">
      <c r="A2399" s="258"/>
      <c r="Z2399" s="258"/>
    </row>
    <row r="2400" spans="1:26" ht="12.75" customHeight="1" x14ac:dyDescent="0.2">
      <c r="A2400" s="258"/>
      <c r="Z2400" s="258"/>
    </row>
    <row r="2401" spans="1:26" ht="12.75" customHeight="1" x14ac:dyDescent="0.2">
      <c r="A2401" s="258"/>
      <c r="Z2401" s="258"/>
    </row>
    <row r="2402" spans="1:26" ht="12.75" customHeight="1" x14ac:dyDescent="0.2">
      <c r="A2402" s="258"/>
      <c r="Z2402" s="258"/>
    </row>
    <row r="2403" spans="1:26" ht="12.75" customHeight="1" x14ac:dyDescent="0.2">
      <c r="A2403" s="258"/>
      <c r="Z2403" s="258"/>
    </row>
    <row r="2404" spans="1:26" ht="12.75" customHeight="1" x14ac:dyDescent="0.2">
      <c r="A2404" s="258"/>
      <c r="Z2404" s="258"/>
    </row>
    <row r="2405" spans="1:26" ht="12.75" customHeight="1" x14ac:dyDescent="0.2">
      <c r="A2405" s="258"/>
      <c r="Z2405" s="258"/>
    </row>
    <row r="2406" spans="1:26" ht="12.75" customHeight="1" x14ac:dyDescent="0.2">
      <c r="A2406" s="258"/>
      <c r="Z2406" s="258"/>
    </row>
    <row r="2407" spans="1:26" ht="12.75" customHeight="1" x14ac:dyDescent="0.2">
      <c r="A2407" s="258"/>
      <c r="Z2407" s="258"/>
    </row>
    <row r="2408" spans="1:26" ht="12.75" customHeight="1" x14ac:dyDescent="0.2">
      <c r="A2408" s="258"/>
      <c r="Z2408" s="258"/>
    </row>
    <row r="2409" spans="1:26" ht="12.75" customHeight="1" x14ac:dyDescent="0.2">
      <c r="A2409" s="258"/>
      <c r="Z2409" s="258"/>
    </row>
    <row r="2410" spans="1:26" ht="12.75" customHeight="1" x14ac:dyDescent="0.2">
      <c r="A2410" s="258"/>
      <c r="Z2410" s="258"/>
    </row>
    <row r="2411" spans="1:26" ht="12.75" customHeight="1" x14ac:dyDescent="0.2">
      <c r="A2411" s="258"/>
      <c r="Z2411" s="258"/>
    </row>
    <row r="2412" spans="1:26" ht="12.75" customHeight="1" x14ac:dyDescent="0.2">
      <c r="A2412" s="258"/>
      <c r="Z2412" s="258"/>
    </row>
    <row r="2413" spans="1:26" ht="12.75" customHeight="1" x14ac:dyDescent="0.2">
      <c r="A2413" s="258"/>
      <c r="Z2413" s="258"/>
    </row>
    <row r="2414" spans="1:26" ht="12.75" customHeight="1" x14ac:dyDescent="0.2">
      <c r="A2414" s="258"/>
      <c r="Z2414" s="258"/>
    </row>
    <row r="2415" spans="1:26" ht="12.75" customHeight="1" x14ac:dyDescent="0.2">
      <c r="A2415" s="258"/>
      <c r="Z2415" s="258"/>
    </row>
    <row r="2416" spans="1:26" ht="12.75" customHeight="1" x14ac:dyDescent="0.2">
      <c r="A2416" s="258"/>
      <c r="Z2416" s="258"/>
    </row>
    <row r="2417" spans="1:26" ht="12.75" customHeight="1" x14ac:dyDescent="0.2">
      <c r="A2417" s="258"/>
      <c r="Z2417" s="258"/>
    </row>
    <row r="2418" spans="1:26" ht="12.75" customHeight="1" x14ac:dyDescent="0.2">
      <c r="A2418" s="258"/>
      <c r="Z2418" s="258"/>
    </row>
    <row r="2419" spans="1:26" ht="12.75" customHeight="1" x14ac:dyDescent="0.2">
      <c r="A2419" s="258"/>
      <c r="Z2419" s="258"/>
    </row>
    <row r="2420" spans="1:26" ht="12.75" customHeight="1" x14ac:dyDescent="0.2">
      <c r="A2420" s="258"/>
      <c r="Z2420" s="258"/>
    </row>
    <row r="2421" spans="1:26" ht="12.75" customHeight="1" x14ac:dyDescent="0.2">
      <c r="A2421" s="258"/>
      <c r="Z2421" s="258"/>
    </row>
    <row r="2422" spans="1:26" ht="12.75" customHeight="1" x14ac:dyDescent="0.2">
      <c r="A2422" s="258"/>
      <c r="Z2422" s="258"/>
    </row>
    <row r="2423" spans="1:26" ht="12.75" customHeight="1" x14ac:dyDescent="0.2">
      <c r="A2423" s="258"/>
      <c r="Z2423" s="258"/>
    </row>
    <row r="2424" spans="1:26" ht="12.75" customHeight="1" x14ac:dyDescent="0.2">
      <c r="A2424" s="258"/>
      <c r="Z2424" s="258"/>
    </row>
    <row r="2425" spans="1:26" ht="12.75" customHeight="1" x14ac:dyDescent="0.2">
      <c r="A2425" s="258"/>
      <c r="Z2425" s="258"/>
    </row>
    <row r="2426" spans="1:26" ht="12.75" customHeight="1" x14ac:dyDescent="0.2">
      <c r="A2426" s="258"/>
      <c r="Z2426" s="258"/>
    </row>
    <row r="2427" spans="1:26" ht="12.75" customHeight="1" x14ac:dyDescent="0.2">
      <c r="A2427" s="258"/>
      <c r="Z2427" s="258"/>
    </row>
    <row r="2428" spans="1:26" ht="12.75" customHeight="1" x14ac:dyDescent="0.2">
      <c r="A2428" s="258"/>
      <c r="Z2428" s="258"/>
    </row>
    <row r="2429" spans="1:26" ht="12.75" customHeight="1" x14ac:dyDescent="0.2">
      <c r="A2429" s="258"/>
      <c r="Z2429" s="258"/>
    </row>
    <row r="2430" spans="1:26" ht="12.75" customHeight="1" x14ac:dyDescent="0.2">
      <c r="A2430" s="258"/>
      <c r="Z2430" s="258"/>
    </row>
    <row r="2431" spans="1:26" ht="12.75" customHeight="1" x14ac:dyDescent="0.2">
      <c r="A2431" s="258"/>
      <c r="Z2431" s="258"/>
    </row>
    <row r="2432" spans="1:26" ht="12.75" customHeight="1" x14ac:dyDescent="0.2">
      <c r="A2432" s="258"/>
      <c r="Z2432" s="258"/>
    </row>
    <row r="2433" spans="1:26" ht="12.75" customHeight="1" x14ac:dyDescent="0.2">
      <c r="A2433" s="258"/>
      <c r="Z2433" s="258"/>
    </row>
    <row r="2434" spans="1:26" ht="12.75" customHeight="1" x14ac:dyDescent="0.2">
      <c r="A2434" s="258"/>
      <c r="Z2434" s="258"/>
    </row>
    <row r="2435" spans="1:26" ht="12.75" customHeight="1" x14ac:dyDescent="0.2">
      <c r="A2435" s="258"/>
      <c r="Z2435" s="258"/>
    </row>
    <row r="2436" spans="1:26" ht="12.75" customHeight="1" x14ac:dyDescent="0.2">
      <c r="A2436" s="258"/>
      <c r="Z2436" s="258"/>
    </row>
    <row r="2437" spans="1:26" ht="12.75" customHeight="1" x14ac:dyDescent="0.2">
      <c r="A2437" s="258"/>
      <c r="Z2437" s="258"/>
    </row>
    <row r="2438" spans="1:26" ht="12.75" customHeight="1" x14ac:dyDescent="0.2">
      <c r="A2438" s="258"/>
      <c r="Z2438" s="258"/>
    </row>
    <row r="2439" spans="1:26" ht="12.75" customHeight="1" x14ac:dyDescent="0.2">
      <c r="A2439" s="258"/>
      <c r="Z2439" s="258"/>
    </row>
    <row r="2440" spans="1:26" ht="12.75" customHeight="1" x14ac:dyDescent="0.2">
      <c r="A2440" s="258"/>
      <c r="Z2440" s="258"/>
    </row>
    <row r="2441" spans="1:26" ht="12.75" customHeight="1" x14ac:dyDescent="0.2">
      <c r="A2441" s="258"/>
      <c r="Z2441" s="258"/>
    </row>
    <row r="2442" spans="1:26" ht="12.75" customHeight="1" x14ac:dyDescent="0.2">
      <c r="A2442" s="258"/>
      <c r="Z2442" s="258"/>
    </row>
    <row r="2443" spans="1:26" ht="12.75" customHeight="1" x14ac:dyDescent="0.2">
      <c r="A2443" s="258"/>
      <c r="Z2443" s="258"/>
    </row>
    <row r="2444" spans="1:26" ht="12.75" customHeight="1" x14ac:dyDescent="0.2">
      <c r="A2444" s="258"/>
      <c r="Z2444" s="258"/>
    </row>
    <row r="2445" spans="1:26" ht="12.75" customHeight="1" x14ac:dyDescent="0.2">
      <c r="A2445" s="258"/>
      <c r="Z2445" s="258"/>
    </row>
    <row r="2446" spans="1:26" ht="12.75" customHeight="1" x14ac:dyDescent="0.2">
      <c r="A2446" s="258"/>
      <c r="Z2446" s="258"/>
    </row>
    <row r="2447" spans="1:26" ht="12.75" customHeight="1" x14ac:dyDescent="0.2">
      <c r="A2447" s="258"/>
      <c r="Z2447" s="258"/>
    </row>
    <row r="2448" spans="1:26" ht="12.75" customHeight="1" x14ac:dyDescent="0.2">
      <c r="A2448" s="258"/>
      <c r="Z2448" s="258"/>
    </row>
    <row r="2449" spans="1:26" ht="12.75" customHeight="1" x14ac:dyDescent="0.2">
      <c r="A2449" s="258"/>
      <c r="Z2449" s="258"/>
    </row>
    <row r="2450" spans="1:26" ht="12.75" customHeight="1" x14ac:dyDescent="0.2">
      <c r="A2450" s="258"/>
      <c r="Z2450" s="258"/>
    </row>
    <row r="2451" spans="1:26" ht="12.75" customHeight="1" x14ac:dyDescent="0.2">
      <c r="A2451" s="258"/>
      <c r="Z2451" s="258"/>
    </row>
    <row r="2452" spans="1:26" ht="12.75" customHeight="1" x14ac:dyDescent="0.2">
      <c r="A2452" s="258"/>
      <c r="Z2452" s="258"/>
    </row>
    <row r="2453" spans="1:26" ht="12.75" customHeight="1" x14ac:dyDescent="0.2">
      <c r="A2453" s="258"/>
      <c r="Z2453" s="258"/>
    </row>
    <row r="2454" spans="1:26" ht="12.75" customHeight="1" x14ac:dyDescent="0.2">
      <c r="A2454" s="258"/>
      <c r="Z2454" s="258"/>
    </row>
    <row r="2455" spans="1:26" ht="12.75" customHeight="1" x14ac:dyDescent="0.2">
      <c r="A2455" s="258"/>
      <c r="Z2455" s="258"/>
    </row>
    <row r="2456" spans="1:26" ht="12.75" customHeight="1" x14ac:dyDescent="0.2">
      <c r="A2456" s="258"/>
      <c r="Z2456" s="258"/>
    </row>
    <row r="2457" spans="1:26" ht="12.75" customHeight="1" x14ac:dyDescent="0.2">
      <c r="A2457" s="258"/>
      <c r="Z2457" s="258"/>
    </row>
    <row r="2458" spans="1:26" ht="12.75" customHeight="1" x14ac:dyDescent="0.2">
      <c r="A2458" s="258"/>
      <c r="Z2458" s="258"/>
    </row>
    <row r="2459" spans="1:26" ht="12.75" customHeight="1" x14ac:dyDescent="0.2">
      <c r="A2459" s="258"/>
      <c r="Z2459" s="258"/>
    </row>
    <row r="2460" spans="1:26" ht="12.75" customHeight="1" x14ac:dyDescent="0.2">
      <c r="A2460" s="258"/>
      <c r="Z2460" s="258"/>
    </row>
    <row r="2461" spans="1:26" ht="12.75" customHeight="1" x14ac:dyDescent="0.2">
      <c r="A2461" s="258"/>
      <c r="Z2461" s="258"/>
    </row>
    <row r="2462" spans="1:26" ht="12.75" customHeight="1" x14ac:dyDescent="0.2">
      <c r="A2462" s="258"/>
      <c r="Z2462" s="258"/>
    </row>
    <row r="2463" spans="1:26" ht="12.75" customHeight="1" x14ac:dyDescent="0.2">
      <c r="A2463" s="258"/>
      <c r="Z2463" s="258"/>
    </row>
    <row r="2464" spans="1:26" ht="12.75" customHeight="1" x14ac:dyDescent="0.2">
      <c r="A2464" s="258"/>
      <c r="Z2464" s="258"/>
    </row>
    <row r="2465" spans="1:26" ht="12.75" customHeight="1" x14ac:dyDescent="0.2">
      <c r="A2465" s="258"/>
      <c r="Z2465" s="258"/>
    </row>
    <row r="2466" spans="1:26" ht="12.75" customHeight="1" x14ac:dyDescent="0.2">
      <c r="A2466" s="258"/>
      <c r="Z2466" s="258"/>
    </row>
    <row r="2467" spans="1:26" ht="12.75" customHeight="1" x14ac:dyDescent="0.2">
      <c r="A2467" s="258"/>
      <c r="Z2467" s="258"/>
    </row>
    <row r="2468" spans="1:26" ht="12.75" customHeight="1" x14ac:dyDescent="0.2">
      <c r="A2468" s="258"/>
      <c r="Z2468" s="258"/>
    </row>
    <row r="2469" spans="1:26" ht="12.75" customHeight="1" x14ac:dyDescent="0.2">
      <c r="A2469" s="258"/>
      <c r="Z2469" s="258"/>
    </row>
    <row r="2470" spans="1:26" ht="12.75" customHeight="1" x14ac:dyDescent="0.2">
      <c r="A2470" s="258"/>
      <c r="Z2470" s="258"/>
    </row>
    <row r="2471" spans="1:26" ht="12.75" customHeight="1" x14ac:dyDescent="0.2">
      <c r="A2471" s="258"/>
      <c r="Z2471" s="258"/>
    </row>
    <row r="2472" spans="1:26" ht="12.75" customHeight="1" x14ac:dyDescent="0.2">
      <c r="A2472" s="258"/>
      <c r="Z2472" s="258"/>
    </row>
    <row r="2473" spans="1:26" ht="12.75" customHeight="1" x14ac:dyDescent="0.2">
      <c r="A2473" s="258"/>
      <c r="Z2473" s="258"/>
    </row>
    <row r="2474" spans="1:26" ht="12.75" customHeight="1" x14ac:dyDescent="0.2">
      <c r="A2474" s="258"/>
      <c r="Z2474" s="258"/>
    </row>
    <row r="2475" spans="1:26" ht="12.75" customHeight="1" x14ac:dyDescent="0.2">
      <c r="A2475" s="258"/>
      <c r="Z2475" s="258"/>
    </row>
    <row r="2476" spans="1:26" ht="12.75" customHeight="1" x14ac:dyDescent="0.2">
      <c r="A2476" s="258"/>
      <c r="Z2476" s="258"/>
    </row>
    <row r="2477" spans="1:26" ht="12.75" customHeight="1" x14ac:dyDescent="0.2">
      <c r="A2477" s="258"/>
      <c r="Z2477" s="258"/>
    </row>
    <row r="2478" spans="1:26" ht="12.75" customHeight="1" x14ac:dyDescent="0.2">
      <c r="A2478" s="258"/>
      <c r="Z2478" s="258"/>
    </row>
    <row r="2479" spans="1:26" ht="12.75" customHeight="1" x14ac:dyDescent="0.2">
      <c r="A2479" s="258"/>
      <c r="Z2479" s="258"/>
    </row>
    <row r="2480" spans="1:26" ht="12.75" customHeight="1" x14ac:dyDescent="0.2">
      <c r="A2480" s="258"/>
      <c r="Z2480" s="258"/>
    </row>
    <row r="2481" spans="1:26" ht="12.75" customHeight="1" x14ac:dyDescent="0.2">
      <c r="A2481" s="258"/>
      <c r="Z2481" s="258"/>
    </row>
    <row r="2482" spans="1:26" ht="12.75" customHeight="1" x14ac:dyDescent="0.2">
      <c r="A2482" s="258"/>
      <c r="Z2482" s="258"/>
    </row>
    <row r="2483" spans="1:26" ht="12.75" customHeight="1" x14ac:dyDescent="0.2">
      <c r="A2483" s="258"/>
      <c r="Z2483" s="258"/>
    </row>
    <row r="2484" spans="1:26" ht="12.75" customHeight="1" x14ac:dyDescent="0.2">
      <c r="A2484" s="258"/>
      <c r="Z2484" s="258"/>
    </row>
    <row r="2485" spans="1:26" ht="12.75" customHeight="1" x14ac:dyDescent="0.2">
      <c r="A2485" s="258"/>
      <c r="Z2485" s="258"/>
    </row>
    <row r="2486" spans="1:26" ht="12.75" customHeight="1" x14ac:dyDescent="0.2">
      <c r="A2486" s="258"/>
      <c r="Z2486" s="258"/>
    </row>
    <row r="2487" spans="1:26" ht="12.75" customHeight="1" x14ac:dyDescent="0.2">
      <c r="A2487" s="258"/>
      <c r="Z2487" s="258"/>
    </row>
    <row r="2488" spans="1:26" ht="12.75" customHeight="1" x14ac:dyDescent="0.2">
      <c r="A2488" s="258"/>
      <c r="Z2488" s="258"/>
    </row>
    <row r="2489" spans="1:26" ht="12.75" customHeight="1" x14ac:dyDescent="0.2">
      <c r="A2489" s="258"/>
      <c r="Z2489" s="258"/>
    </row>
    <row r="2490" spans="1:26" ht="12.75" customHeight="1" x14ac:dyDescent="0.2">
      <c r="A2490" s="258"/>
      <c r="Z2490" s="258"/>
    </row>
    <row r="2491" spans="1:26" ht="12.75" customHeight="1" x14ac:dyDescent="0.2">
      <c r="A2491" s="258"/>
      <c r="Z2491" s="258"/>
    </row>
    <row r="2492" spans="1:26" ht="12.75" customHeight="1" x14ac:dyDescent="0.2">
      <c r="A2492" s="258"/>
      <c r="Z2492" s="258"/>
    </row>
    <row r="2493" spans="1:26" ht="12.75" customHeight="1" x14ac:dyDescent="0.2">
      <c r="A2493" s="258"/>
      <c r="Z2493" s="258"/>
    </row>
    <row r="2494" spans="1:26" ht="12.75" customHeight="1" x14ac:dyDescent="0.2">
      <c r="A2494" s="258"/>
      <c r="Z2494" s="258"/>
    </row>
    <row r="2495" spans="1:26" ht="12.75" customHeight="1" x14ac:dyDescent="0.2">
      <c r="A2495" s="258"/>
      <c r="Z2495" s="258"/>
    </row>
    <row r="2496" spans="1:26" ht="12.75" customHeight="1" x14ac:dyDescent="0.2">
      <c r="A2496" s="258"/>
      <c r="Z2496" s="258"/>
    </row>
    <row r="2497" spans="1:26" ht="12.75" customHeight="1" x14ac:dyDescent="0.2">
      <c r="A2497" s="258"/>
      <c r="Z2497" s="258"/>
    </row>
    <row r="2498" spans="1:26" ht="12.75" customHeight="1" x14ac:dyDescent="0.2">
      <c r="A2498" s="258"/>
      <c r="Z2498" s="258"/>
    </row>
    <row r="2499" spans="1:26" ht="12.75" customHeight="1" x14ac:dyDescent="0.2">
      <c r="A2499" s="258"/>
      <c r="Z2499" s="258"/>
    </row>
    <row r="2500" spans="1:26" ht="12.75" customHeight="1" x14ac:dyDescent="0.2">
      <c r="A2500" s="258"/>
      <c r="Z2500" s="258"/>
    </row>
    <row r="2501" spans="1:26" ht="12.75" customHeight="1" x14ac:dyDescent="0.2">
      <c r="A2501" s="258"/>
      <c r="Z2501" s="258"/>
    </row>
    <row r="2502" spans="1:26" ht="12.75" customHeight="1" x14ac:dyDescent="0.2">
      <c r="A2502" s="258"/>
      <c r="Z2502" s="258"/>
    </row>
    <row r="2503" spans="1:26" ht="12.75" customHeight="1" x14ac:dyDescent="0.2">
      <c r="A2503" s="258"/>
      <c r="Z2503" s="258"/>
    </row>
    <row r="2504" spans="1:26" ht="12.75" customHeight="1" x14ac:dyDescent="0.2">
      <c r="A2504" s="258"/>
      <c r="Z2504" s="258"/>
    </row>
    <row r="2505" spans="1:26" ht="12.75" customHeight="1" x14ac:dyDescent="0.2">
      <c r="A2505" s="258"/>
      <c r="Z2505" s="258"/>
    </row>
    <row r="2506" spans="1:26" ht="12.75" customHeight="1" x14ac:dyDescent="0.2">
      <c r="A2506" s="258"/>
      <c r="Z2506" s="258"/>
    </row>
    <row r="2507" spans="1:26" ht="12.75" customHeight="1" x14ac:dyDescent="0.2">
      <c r="A2507" s="258"/>
      <c r="Z2507" s="258"/>
    </row>
    <row r="2508" spans="1:26" ht="12.75" customHeight="1" x14ac:dyDescent="0.2">
      <c r="A2508" s="258"/>
      <c r="Z2508" s="258"/>
    </row>
    <row r="2509" spans="1:26" ht="12.75" customHeight="1" x14ac:dyDescent="0.2">
      <c r="A2509" s="258"/>
      <c r="Z2509" s="258"/>
    </row>
    <row r="2510" spans="1:26" ht="12.75" customHeight="1" x14ac:dyDescent="0.2">
      <c r="A2510" s="258"/>
      <c r="Z2510" s="258"/>
    </row>
    <row r="2511" spans="1:26" ht="12.75" customHeight="1" x14ac:dyDescent="0.2">
      <c r="A2511" s="258"/>
      <c r="Z2511" s="258"/>
    </row>
    <row r="2512" spans="1:26" ht="12.75" customHeight="1" x14ac:dyDescent="0.2">
      <c r="A2512" s="258"/>
      <c r="Z2512" s="258"/>
    </row>
    <row r="2513" spans="1:26" ht="12.75" customHeight="1" x14ac:dyDescent="0.2">
      <c r="A2513" s="258"/>
      <c r="Z2513" s="258"/>
    </row>
    <row r="2514" spans="1:26" ht="12.75" customHeight="1" x14ac:dyDescent="0.2">
      <c r="A2514" s="258"/>
      <c r="Z2514" s="258"/>
    </row>
    <row r="2515" spans="1:26" ht="12.75" customHeight="1" x14ac:dyDescent="0.2">
      <c r="A2515" s="258"/>
      <c r="Z2515" s="258"/>
    </row>
    <row r="2516" spans="1:26" ht="12.75" customHeight="1" x14ac:dyDescent="0.2">
      <c r="A2516" s="258"/>
      <c r="Z2516" s="258"/>
    </row>
    <row r="2517" spans="1:26" ht="12.75" customHeight="1" x14ac:dyDescent="0.2">
      <c r="A2517" s="258"/>
      <c r="Z2517" s="258"/>
    </row>
    <row r="2518" spans="1:26" ht="12.75" customHeight="1" x14ac:dyDescent="0.2">
      <c r="A2518" s="258"/>
      <c r="Z2518" s="258"/>
    </row>
    <row r="2519" spans="1:26" ht="12.75" customHeight="1" x14ac:dyDescent="0.2">
      <c r="A2519" s="258"/>
      <c r="Z2519" s="258"/>
    </row>
    <row r="2520" spans="1:26" ht="12.75" customHeight="1" x14ac:dyDescent="0.2">
      <c r="A2520" s="258"/>
      <c r="Z2520" s="258"/>
    </row>
    <row r="2521" spans="1:26" ht="12.75" customHeight="1" x14ac:dyDescent="0.2">
      <c r="A2521" s="258"/>
      <c r="Z2521" s="258"/>
    </row>
    <row r="2522" spans="1:26" ht="12.75" customHeight="1" x14ac:dyDescent="0.2">
      <c r="A2522" s="258"/>
      <c r="Z2522" s="258"/>
    </row>
    <row r="2523" spans="1:26" ht="12.75" customHeight="1" x14ac:dyDescent="0.2">
      <c r="A2523" s="258"/>
      <c r="Z2523" s="258"/>
    </row>
    <row r="2524" spans="1:26" ht="12.75" customHeight="1" x14ac:dyDescent="0.2">
      <c r="A2524" s="258"/>
      <c r="Z2524" s="258"/>
    </row>
    <row r="2525" spans="1:26" ht="12.75" customHeight="1" x14ac:dyDescent="0.2">
      <c r="A2525" s="258"/>
      <c r="Z2525" s="258"/>
    </row>
    <row r="2526" spans="1:26" ht="12.75" customHeight="1" x14ac:dyDescent="0.2">
      <c r="A2526" s="258"/>
      <c r="Z2526" s="258"/>
    </row>
    <row r="2527" spans="1:26" ht="12.75" customHeight="1" x14ac:dyDescent="0.2">
      <c r="A2527" s="258"/>
      <c r="Z2527" s="258"/>
    </row>
    <row r="2528" spans="1:26" ht="12.75" customHeight="1" x14ac:dyDescent="0.2">
      <c r="A2528" s="258"/>
      <c r="Z2528" s="258"/>
    </row>
    <row r="2529" spans="1:26" ht="12.75" customHeight="1" x14ac:dyDescent="0.2">
      <c r="A2529" s="258"/>
      <c r="Z2529" s="258"/>
    </row>
    <row r="2530" spans="1:26" ht="12.75" customHeight="1" x14ac:dyDescent="0.2">
      <c r="A2530" s="258"/>
      <c r="Z2530" s="258"/>
    </row>
    <row r="2531" spans="1:26" ht="12.75" customHeight="1" x14ac:dyDescent="0.2">
      <c r="A2531" s="258"/>
      <c r="Z2531" s="258"/>
    </row>
    <row r="2532" spans="1:26" ht="12.75" customHeight="1" x14ac:dyDescent="0.2">
      <c r="A2532" s="258"/>
      <c r="Z2532" s="258"/>
    </row>
    <row r="2533" spans="1:26" ht="12.75" customHeight="1" x14ac:dyDescent="0.2">
      <c r="A2533" s="258"/>
      <c r="Z2533" s="258"/>
    </row>
    <row r="2534" spans="1:26" ht="12.75" customHeight="1" x14ac:dyDescent="0.2">
      <c r="A2534" s="258"/>
      <c r="Z2534" s="258"/>
    </row>
    <row r="2535" spans="1:26" ht="12.75" customHeight="1" x14ac:dyDescent="0.2">
      <c r="A2535" s="258"/>
      <c r="Z2535" s="258"/>
    </row>
    <row r="2536" spans="1:26" ht="12.75" customHeight="1" x14ac:dyDescent="0.2">
      <c r="A2536" s="258"/>
      <c r="Z2536" s="258"/>
    </row>
    <row r="2537" spans="1:26" ht="12.75" customHeight="1" x14ac:dyDescent="0.2">
      <c r="A2537" s="258"/>
      <c r="Z2537" s="258"/>
    </row>
    <row r="2538" spans="1:26" ht="12.75" customHeight="1" x14ac:dyDescent="0.2">
      <c r="A2538" s="258"/>
      <c r="Z2538" s="258"/>
    </row>
    <row r="2539" spans="1:26" ht="12.75" customHeight="1" x14ac:dyDescent="0.2">
      <c r="A2539" s="258"/>
      <c r="Z2539" s="258"/>
    </row>
    <row r="2540" spans="1:26" ht="12.75" customHeight="1" x14ac:dyDescent="0.2">
      <c r="A2540" s="258"/>
      <c r="Z2540" s="258"/>
    </row>
    <row r="2541" spans="1:26" ht="12.75" customHeight="1" x14ac:dyDescent="0.2">
      <c r="A2541" s="258"/>
      <c r="Z2541" s="258"/>
    </row>
    <row r="2542" spans="1:26" ht="12.75" customHeight="1" x14ac:dyDescent="0.2">
      <c r="A2542" s="258"/>
      <c r="Z2542" s="258"/>
    </row>
    <row r="2543" spans="1:26" ht="12.75" customHeight="1" x14ac:dyDescent="0.2">
      <c r="A2543" s="258"/>
      <c r="Z2543" s="258"/>
    </row>
    <row r="2544" spans="1:26" ht="12.75" customHeight="1" x14ac:dyDescent="0.2">
      <c r="A2544" s="258"/>
      <c r="Z2544" s="258"/>
    </row>
    <row r="2545" spans="1:26" ht="12.75" customHeight="1" x14ac:dyDescent="0.2">
      <c r="A2545" s="258"/>
      <c r="Z2545" s="258"/>
    </row>
    <row r="2546" spans="1:26" ht="12.75" customHeight="1" x14ac:dyDescent="0.2">
      <c r="A2546" s="258"/>
      <c r="Z2546" s="258"/>
    </row>
    <row r="2547" spans="1:26" ht="12.75" customHeight="1" x14ac:dyDescent="0.2">
      <c r="A2547" s="258"/>
      <c r="Z2547" s="258"/>
    </row>
    <row r="2548" spans="1:26" ht="12.75" customHeight="1" x14ac:dyDescent="0.2">
      <c r="A2548" s="258"/>
      <c r="Z2548" s="258"/>
    </row>
    <row r="2549" spans="1:26" ht="12.75" customHeight="1" x14ac:dyDescent="0.2">
      <c r="A2549" s="258"/>
      <c r="Z2549" s="258"/>
    </row>
    <row r="2550" spans="1:26" ht="12.75" customHeight="1" x14ac:dyDescent="0.2">
      <c r="A2550" s="258"/>
      <c r="Z2550" s="258"/>
    </row>
    <row r="2551" spans="1:26" ht="12.75" customHeight="1" x14ac:dyDescent="0.2">
      <c r="A2551" s="258"/>
      <c r="Z2551" s="258"/>
    </row>
    <row r="2552" spans="1:26" ht="12.75" customHeight="1" x14ac:dyDescent="0.2">
      <c r="A2552" s="258"/>
      <c r="Z2552" s="258"/>
    </row>
    <row r="2553" spans="1:26" ht="12.75" customHeight="1" x14ac:dyDescent="0.2">
      <c r="A2553" s="258"/>
      <c r="Z2553" s="258"/>
    </row>
    <row r="2554" spans="1:26" ht="12.75" customHeight="1" x14ac:dyDescent="0.2">
      <c r="A2554" s="258"/>
      <c r="Z2554" s="258"/>
    </row>
    <row r="2555" spans="1:26" ht="12.75" customHeight="1" x14ac:dyDescent="0.2">
      <c r="A2555" s="258"/>
      <c r="Z2555" s="258"/>
    </row>
    <row r="2556" spans="1:26" ht="12.75" customHeight="1" x14ac:dyDescent="0.2">
      <c r="A2556" s="258"/>
      <c r="Z2556" s="258"/>
    </row>
    <row r="2557" spans="1:26" ht="12.75" customHeight="1" x14ac:dyDescent="0.2">
      <c r="A2557" s="258"/>
      <c r="Z2557" s="258"/>
    </row>
    <row r="2558" spans="1:26" ht="12.75" customHeight="1" x14ac:dyDescent="0.2">
      <c r="A2558" s="258"/>
      <c r="Z2558" s="258"/>
    </row>
    <row r="2559" spans="1:26" ht="12.75" customHeight="1" x14ac:dyDescent="0.2">
      <c r="A2559" s="258"/>
      <c r="Z2559" s="258"/>
    </row>
    <row r="2560" spans="1:26" ht="12.75" customHeight="1" x14ac:dyDescent="0.2">
      <c r="A2560" s="258"/>
      <c r="Z2560" s="258"/>
    </row>
    <row r="2561" spans="1:26" ht="12.75" customHeight="1" x14ac:dyDescent="0.2">
      <c r="A2561" s="258"/>
      <c r="Z2561" s="258"/>
    </row>
    <row r="2562" spans="1:26" ht="12.75" customHeight="1" x14ac:dyDescent="0.2">
      <c r="A2562" s="258"/>
      <c r="Z2562" s="258"/>
    </row>
    <row r="2563" spans="1:26" ht="12.75" customHeight="1" x14ac:dyDescent="0.2">
      <c r="A2563" s="258"/>
      <c r="Z2563" s="258"/>
    </row>
    <row r="2564" spans="1:26" ht="12.75" customHeight="1" x14ac:dyDescent="0.2">
      <c r="A2564" s="258"/>
      <c r="Z2564" s="258"/>
    </row>
    <row r="2565" spans="1:26" ht="12.75" customHeight="1" x14ac:dyDescent="0.2">
      <c r="A2565" s="258"/>
      <c r="Z2565" s="258"/>
    </row>
    <row r="2566" spans="1:26" ht="12.75" customHeight="1" x14ac:dyDescent="0.2">
      <c r="A2566" s="258"/>
      <c r="Z2566" s="258"/>
    </row>
    <row r="2567" spans="1:26" ht="12.75" customHeight="1" x14ac:dyDescent="0.2">
      <c r="A2567" s="258"/>
      <c r="Z2567" s="258"/>
    </row>
    <row r="2568" spans="1:26" ht="12.75" customHeight="1" x14ac:dyDescent="0.2">
      <c r="A2568" s="258"/>
      <c r="Z2568" s="258"/>
    </row>
    <row r="2569" spans="1:26" ht="12.75" customHeight="1" x14ac:dyDescent="0.2">
      <c r="A2569" s="258"/>
      <c r="Z2569" s="258"/>
    </row>
    <row r="2570" spans="1:26" ht="12.75" customHeight="1" x14ac:dyDescent="0.2">
      <c r="A2570" s="258"/>
      <c r="Z2570" s="258"/>
    </row>
    <row r="2571" spans="1:26" ht="12.75" customHeight="1" x14ac:dyDescent="0.2">
      <c r="A2571" s="258"/>
      <c r="Z2571" s="258"/>
    </row>
    <row r="2572" spans="1:26" ht="12.75" customHeight="1" x14ac:dyDescent="0.2">
      <c r="A2572" s="258"/>
      <c r="Z2572" s="258"/>
    </row>
    <row r="2573" spans="1:26" ht="12.75" customHeight="1" x14ac:dyDescent="0.2">
      <c r="A2573" s="258"/>
      <c r="Z2573" s="258"/>
    </row>
    <row r="2574" spans="1:26" ht="12.75" customHeight="1" x14ac:dyDescent="0.2">
      <c r="A2574" s="258"/>
      <c r="Z2574" s="258"/>
    </row>
    <row r="2575" spans="1:26" ht="12.75" customHeight="1" x14ac:dyDescent="0.2">
      <c r="A2575" s="258"/>
      <c r="Z2575" s="258"/>
    </row>
    <row r="2576" spans="1:26" ht="12.75" customHeight="1" x14ac:dyDescent="0.2">
      <c r="A2576" s="258"/>
      <c r="Z2576" s="258"/>
    </row>
    <row r="2577" spans="1:26" ht="12.75" customHeight="1" x14ac:dyDescent="0.2">
      <c r="A2577" s="258"/>
      <c r="Z2577" s="258"/>
    </row>
    <row r="2578" spans="1:26" ht="12.75" customHeight="1" x14ac:dyDescent="0.2">
      <c r="A2578" s="258"/>
      <c r="Z2578" s="258"/>
    </row>
    <row r="2579" spans="1:26" ht="12.75" customHeight="1" x14ac:dyDescent="0.2">
      <c r="A2579" s="258"/>
      <c r="Z2579" s="258"/>
    </row>
    <row r="2580" spans="1:26" ht="12.75" customHeight="1" x14ac:dyDescent="0.2">
      <c r="A2580" s="258"/>
      <c r="Z2580" s="258"/>
    </row>
    <row r="2581" spans="1:26" ht="12.75" customHeight="1" x14ac:dyDescent="0.2">
      <c r="A2581" s="258"/>
      <c r="Z2581" s="258"/>
    </row>
    <row r="2582" spans="1:26" ht="12.75" customHeight="1" x14ac:dyDescent="0.2">
      <c r="A2582" s="258"/>
      <c r="Z2582" s="258"/>
    </row>
    <row r="2583" spans="1:26" ht="12.75" customHeight="1" x14ac:dyDescent="0.2">
      <c r="A2583" s="258"/>
      <c r="Z2583" s="258"/>
    </row>
    <row r="2584" spans="1:26" ht="12.75" customHeight="1" x14ac:dyDescent="0.2">
      <c r="A2584" s="258"/>
      <c r="Z2584" s="258"/>
    </row>
    <row r="2585" spans="1:26" ht="12.75" customHeight="1" x14ac:dyDescent="0.2">
      <c r="A2585" s="258"/>
      <c r="Z2585" s="258"/>
    </row>
    <row r="2586" spans="1:26" ht="12.75" customHeight="1" x14ac:dyDescent="0.2">
      <c r="A2586" s="258"/>
      <c r="Z2586" s="258"/>
    </row>
    <row r="2587" spans="1:26" ht="12.75" customHeight="1" x14ac:dyDescent="0.2">
      <c r="A2587" s="258"/>
      <c r="Z2587" s="258"/>
    </row>
    <row r="2588" spans="1:26" ht="12.75" customHeight="1" x14ac:dyDescent="0.2">
      <c r="A2588" s="258"/>
      <c r="Z2588" s="258"/>
    </row>
    <row r="2589" spans="1:26" ht="12.75" customHeight="1" x14ac:dyDescent="0.2">
      <c r="A2589" s="258"/>
      <c r="Z2589" s="258"/>
    </row>
    <row r="2590" spans="1:26" ht="12.75" customHeight="1" x14ac:dyDescent="0.2">
      <c r="A2590" s="258"/>
      <c r="Z2590" s="258"/>
    </row>
    <row r="2591" spans="1:26" ht="12.75" customHeight="1" x14ac:dyDescent="0.2">
      <c r="A2591" s="258"/>
      <c r="Z2591" s="258"/>
    </row>
    <row r="2592" spans="1:26" ht="12.75" customHeight="1" x14ac:dyDescent="0.2">
      <c r="A2592" s="258"/>
      <c r="Z2592" s="258"/>
    </row>
    <row r="2593" spans="1:26" ht="12.75" customHeight="1" x14ac:dyDescent="0.2">
      <c r="A2593" s="258"/>
      <c r="Z2593" s="258"/>
    </row>
    <row r="2594" spans="1:26" ht="12.75" customHeight="1" x14ac:dyDescent="0.2">
      <c r="A2594" s="258"/>
      <c r="Z2594" s="258"/>
    </row>
    <row r="2595" spans="1:26" ht="12.75" customHeight="1" x14ac:dyDescent="0.2">
      <c r="A2595" s="258"/>
      <c r="Z2595" s="258"/>
    </row>
    <row r="2596" spans="1:26" ht="12.75" customHeight="1" x14ac:dyDescent="0.2">
      <c r="A2596" s="258"/>
      <c r="Z2596" s="258"/>
    </row>
    <row r="2597" spans="1:26" ht="12.75" customHeight="1" x14ac:dyDescent="0.2">
      <c r="A2597" s="258"/>
      <c r="Z2597" s="258"/>
    </row>
    <row r="2598" spans="1:26" ht="12.75" customHeight="1" x14ac:dyDescent="0.2">
      <c r="A2598" s="258"/>
      <c r="Z2598" s="258"/>
    </row>
    <row r="2599" spans="1:26" ht="12.75" customHeight="1" x14ac:dyDescent="0.2">
      <c r="A2599" s="258"/>
      <c r="Z2599" s="258"/>
    </row>
    <row r="2600" spans="1:26" ht="12.75" customHeight="1" x14ac:dyDescent="0.2">
      <c r="A2600" s="258"/>
      <c r="Z2600" s="258"/>
    </row>
    <row r="2601" spans="1:26" ht="12.75" customHeight="1" x14ac:dyDescent="0.2">
      <c r="A2601" s="258"/>
      <c r="Z2601" s="258"/>
    </row>
    <row r="2602" spans="1:26" ht="12.75" customHeight="1" x14ac:dyDescent="0.2">
      <c r="A2602" s="258"/>
      <c r="Z2602" s="258"/>
    </row>
    <row r="2603" spans="1:26" ht="12.75" customHeight="1" x14ac:dyDescent="0.2">
      <c r="A2603" s="258"/>
      <c r="Z2603" s="258"/>
    </row>
    <row r="2604" spans="1:26" ht="12.75" customHeight="1" x14ac:dyDescent="0.2">
      <c r="A2604" s="258"/>
      <c r="Z2604" s="258"/>
    </row>
    <row r="2605" spans="1:26" ht="12.75" customHeight="1" x14ac:dyDescent="0.2">
      <c r="A2605" s="258"/>
      <c r="Z2605" s="258"/>
    </row>
    <row r="2606" spans="1:26" ht="12.75" customHeight="1" x14ac:dyDescent="0.2">
      <c r="A2606" s="258"/>
      <c r="Z2606" s="258"/>
    </row>
    <row r="2607" spans="1:26" ht="12.75" customHeight="1" x14ac:dyDescent="0.2">
      <c r="A2607" s="258"/>
      <c r="Z2607" s="258"/>
    </row>
    <row r="2608" spans="1:26" ht="12.75" customHeight="1" x14ac:dyDescent="0.2">
      <c r="A2608" s="258"/>
      <c r="Z2608" s="258"/>
    </row>
    <row r="2609" spans="1:26" ht="12.75" customHeight="1" x14ac:dyDescent="0.2">
      <c r="A2609" s="258"/>
      <c r="Z2609" s="258"/>
    </row>
    <row r="2610" spans="1:26" ht="12.75" customHeight="1" x14ac:dyDescent="0.2">
      <c r="A2610" s="258"/>
      <c r="Z2610" s="258"/>
    </row>
    <row r="2611" spans="1:26" ht="12.75" customHeight="1" x14ac:dyDescent="0.2">
      <c r="A2611" s="258"/>
      <c r="Z2611" s="258"/>
    </row>
    <row r="2612" spans="1:26" ht="12.75" customHeight="1" x14ac:dyDescent="0.2">
      <c r="A2612" s="258"/>
      <c r="Z2612" s="258"/>
    </row>
    <row r="2613" spans="1:26" ht="12.75" customHeight="1" x14ac:dyDescent="0.2">
      <c r="A2613" s="258"/>
      <c r="Z2613" s="258"/>
    </row>
    <row r="2614" spans="1:26" ht="12.75" customHeight="1" x14ac:dyDescent="0.2">
      <c r="A2614" s="258"/>
      <c r="Z2614" s="258"/>
    </row>
    <row r="2615" spans="1:26" ht="12.75" customHeight="1" x14ac:dyDescent="0.2">
      <c r="A2615" s="258"/>
      <c r="Z2615" s="258"/>
    </row>
    <row r="2616" spans="1:26" ht="12.75" customHeight="1" x14ac:dyDescent="0.2">
      <c r="A2616" s="258"/>
      <c r="Z2616" s="258"/>
    </row>
    <row r="2617" spans="1:26" ht="12.75" customHeight="1" x14ac:dyDescent="0.2">
      <c r="A2617" s="258"/>
      <c r="Z2617" s="258"/>
    </row>
    <row r="2618" spans="1:26" ht="12.75" customHeight="1" x14ac:dyDescent="0.2">
      <c r="A2618" s="258"/>
      <c r="Z2618" s="258"/>
    </row>
    <row r="2619" spans="1:26" ht="12.75" customHeight="1" x14ac:dyDescent="0.2">
      <c r="A2619" s="258"/>
      <c r="Z2619" s="258"/>
    </row>
    <row r="2620" spans="1:26" ht="12.75" customHeight="1" x14ac:dyDescent="0.2">
      <c r="A2620" s="258"/>
      <c r="Z2620" s="258"/>
    </row>
    <row r="2621" spans="1:26" ht="12.75" customHeight="1" x14ac:dyDescent="0.2">
      <c r="A2621" s="258"/>
      <c r="Z2621" s="258"/>
    </row>
    <row r="2622" spans="1:26" ht="12.75" customHeight="1" x14ac:dyDescent="0.2">
      <c r="A2622" s="258"/>
      <c r="Z2622" s="258"/>
    </row>
    <row r="2623" spans="1:26" ht="12.75" customHeight="1" x14ac:dyDescent="0.2">
      <c r="A2623" s="258"/>
      <c r="Z2623" s="258"/>
    </row>
    <row r="2624" spans="1:26" ht="12.75" customHeight="1" x14ac:dyDescent="0.2">
      <c r="A2624" s="258"/>
      <c r="Z2624" s="258"/>
    </row>
    <row r="2625" spans="1:26" ht="12.75" customHeight="1" x14ac:dyDescent="0.2">
      <c r="A2625" s="258"/>
      <c r="Z2625" s="258"/>
    </row>
    <row r="2626" spans="1:26" ht="12.75" customHeight="1" x14ac:dyDescent="0.2">
      <c r="A2626" s="258"/>
      <c r="Z2626" s="258"/>
    </row>
    <row r="2627" spans="1:26" ht="12.75" customHeight="1" x14ac:dyDescent="0.2">
      <c r="A2627" s="258"/>
      <c r="Z2627" s="258"/>
    </row>
    <row r="2628" spans="1:26" ht="12.75" customHeight="1" x14ac:dyDescent="0.2">
      <c r="A2628" s="258"/>
      <c r="Z2628" s="258"/>
    </row>
    <row r="2629" spans="1:26" ht="12.75" customHeight="1" x14ac:dyDescent="0.2">
      <c r="A2629" s="258"/>
      <c r="Z2629" s="258"/>
    </row>
    <row r="2630" spans="1:26" ht="12.75" customHeight="1" x14ac:dyDescent="0.2">
      <c r="A2630" s="258"/>
      <c r="Z2630" s="258"/>
    </row>
    <row r="2631" spans="1:26" ht="12.75" customHeight="1" x14ac:dyDescent="0.2">
      <c r="A2631" s="258"/>
      <c r="Z2631" s="258"/>
    </row>
    <row r="2632" spans="1:26" ht="12.75" customHeight="1" x14ac:dyDescent="0.2">
      <c r="A2632" s="258"/>
      <c r="Z2632" s="258"/>
    </row>
    <row r="2633" spans="1:26" ht="12.75" customHeight="1" x14ac:dyDescent="0.2">
      <c r="A2633" s="258"/>
      <c r="Z2633" s="258"/>
    </row>
    <row r="2634" spans="1:26" ht="12.75" customHeight="1" x14ac:dyDescent="0.2">
      <c r="A2634" s="258"/>
      <c r="Z2634" s="258"/>
    </row>
    <row r="2635" spans="1:26" ht="12.75" customHeight="1" x14ac:dyDescent="0.2">
      <c r="A2635" s="258"/>
      <c r="Z2635" s="258"/>
    </row>
    <row r="2636" spans="1:26" ht="12.75" customHeight="1" x14ac:dyDescent="0.2">
      <c r="A2636" s="258"/>
      <c r="Z2636" s="258"/>
    </row>
    <row r="2637" spans="1:26" ht="12.75" customHeight="1" x14ac:dyDescent="0.2">
      <c r="A2637" s="258"/>
      <c r="Z2637" s="258"/>
    </row>
    <row r="2638" spans="1:26" ht="12.75" customHeight="1" x14ac:dyDescent="0.2">
      <c r="A2638" s="258"/>
      <c r="Z2638" s="258"/>
    </row>
    <row r="2639" spans="1:26" ht="12.75" customHeight="1" x14ac:dyDescent="0.2">
      <c r="A2639" s="258"/>
      <c r="Z2639" s="258"/>
    </row>
    <row r="2640" spans="1:26" ht="12.75" customHeight="1" x14ac:dyDescent="0.2">
      <c r="A2640" s="258"/>
      <c r="Z2640" s="258"/>
    </row>
    <row r="2641" spans="1:26" ht="12.75" customHeight="1" x14ac:dyDescent="0.2">
      <c r="A2641" s="258"/>
      <c r="Z2641" s="258"/>
    </row>
    <row r="2642" spans="1:26" ht="12.75" customHeight="1" x14ac:dyDescent="0.2">
      <c r="A2642" s="258"/>
      <c r="Z2642" s="258"/>
    </row>
    <row r="2643" spans="1:26" ht="12.75" customHeight="1" x14ac:dyDescent="0.2">
      <c r="A2643" s="258"/>
      <c r="Z2643" s="258"/>
    </row>
    <row r="2644" spans="1:26" ht="12.75" customHeight="1" x14ac:dyDescent="0.2">
      <c r="A2644" s="258"/>
      <c r="Z2644" s="258"/>
    </row>
    <row r="2645" spans="1:26" ht="12.75" customHeight="1" x14ac:dyDescent="0.2">
      <c r="A2645" s="258"/>
      <c r="Z2645" s="258"/>
    </row>
    <row r="2646" spans="1:26" ht="12.75" customHeight="1" x14ac:dyDescent="0.2">
      <c r="A2646" s="258"/>
      <c r="Z2646" s="258"/>
    </row>
    <row r="2647" spans="1:26" ht="12.75" customHeight="1" x14ac:dyDescent="0.2">
      <c r="A2647" s="258"/>
      <c r="Z2647" s="258"/>
    </row>
    <row r="2648" spans="1:26" ht="12.75" customHeight="1" x14ac:dyDescent="0.2">
      <c r="A2648" s="258"/>
      <c r="Z2648" s="258"/>
    </row>
    <row r="2649" spans="1:26" ht="12.75" customHeight="1" x14ac:dyDescent="0.2">
      <c r="A2649" s="258"/>
      <c r="Z2649" s="258"/>
    </row>
    <row r="2650" spans="1:26" ht="12.75" customHeight="1" x14ac:dyDescent="0.2">
      <c r="A2650" s="258"/>
      <c r="Z2650" s="258"/>
    </row>
    <row r="2651" spans="1:26" ht="12.75" customHeight="1" x14ac:dyDescent="0.2">
      <c r="A2651" s="258"/>
      <c r="Z2651" s="258"/>
    </row>
    <row r="2652" spans="1:26" ht="12.75" customHeight="1" x14ac:dyDescent="0.2">
      <c r="A2652" s="258"/>
      <c r="Z2652" s="258"/>
    </row>
    <row r="2653" spans="1:26" ht="12.75" customHeight="1" x14ac:dyDescent="0.2">
      <c r="A2653" s="258"/>
      <c r="Z2653" s="258"/>
    </row>
    <row r="2654" spans="1:26" ht="12.75" customHeight="1" x14ac:dyDescent="0.2">
      <c r="A2654" s="258"/>
      <c r="Z2654" s="258"/>
    </row>
    <row r="2655" spans="1:26" ht="12.75" customHeight="1" x14ac:dyDescent="0.2">
      <c r="A2655" s="258"/>
      <c r="Z2655" s="258"/>
    </row>
    <row r="2656" spans="1:26" ht="12.75" customHeight="1" x14ac:dyDescent="0.2">
      <c r="A2656" s="258"/>
      <c r="Z2656" s="258"/>
    </row>
    <row r="2657" spans="1:26" ht="12.75" customHeight="1" x14ac:dyDescent="0.2">
      <c r="A2657" s="258"/>
      <c r="Z2657" s="258"/>
    </row>
    <row r="2658" spans="1:26" ht="12.75" customHeight="1" x14ac:dyDescent="0.2">
      <c r="A2658" s="258"/>
      <c r="Z2658" s="258"/>
    </row>
    <row r="2659" spans="1:26" ht="12.75" customHeight="1" x14ac:dyDescent="0.2">
      <c r="A2659" s="258"/>
      <c r="Z2659" s="258"/>
    </row>
    <row r="2660" spans="1:26" ht="12.75" customHeight="1" x14ac:dyDescent="0.2">
      <c r="A2660" s="258"/>
      <c r="Z2660" s="258"/>
    </row>
    <row r="2661" spans="1:26" ht="12.75" customHeight="1" x14ac:dyDescent="0.2">
      <c r="A2661" s="258"/>
      <c r="Z2661" s="258"/>
    </row>
    <row r="2662" spans="1:26" ht="12.75" customHeight="1" x14ac:dyDescent="0.2">
      <c r="A2662" s="258"/>
      <c r="Z2662" s="258"/>
    </row>
    <row r="2663" spans="1:26" ht="12.75" customHeight="1" x14ac:dyDescent="0.2">
      <c r="A2663" s="258"/>
      <c r="Z2663" s="258"/>
    </row>
    <row r="2664" spans="1:26" ht="12.75" customHeight="1" x14ac:dyDescent="0.2">
      <c r="A2664" s="258"/>
      <c r="Z2664" s="258"/>
    </row>
    <row r="2665" spans="1:26" ht="12.75" customHeight="1" x14ac:dyDescent="0.2">
      <c r="A2665" s="258"/>
      <c r="Z2665" s="258"/>
    </row>
    <row r="2666" spans="1:26" ht="12.75" customHeight="1" x14ac:dyDescent="0.2">
      <c r="A2666" s="258"/>
      <c r="Z2666" s="258"/>
    </row>
    <row r="2667" spans="1:26" ht="12.75" customHeight="1" x14ac:dyDescent="0.2">
      <c r="A2667" s="258"/>
      <c r="Z2667" s="258"/>
    </row>
    <row r="2668" spans="1:26" ht="12.75" customHeight="1" x14ac:dyDescent="0.2">
      <c r="A2668" s="258"/>
      <c r="Z2668" s="258"/>
    </row>
    <row r="2669" spans="1:26" ht="12.75" customHeight="1" x14ac:dyDescent="0.2">
      <c r="A2669" s="258"/>
      <c r="Z2669" s="258"/>
    </row>
    <row r="2670" spans="1:26" ht="12.75" customHeight="1" x14ac:dyDescent="0.2">
      <c r="A2670" s="258"/>
      <c r="Z2670" s="258"/>
    </row>
    <row r="2671" spans="1:26" ht="12.75" customHeight="1" x14ac:dyDescent="0.2">
      <c r="A2671" s="258"/>
      <c r="Z2671" s="258"/>
    </row>
    <row r="2672" spans="1:26" ht="12.75" customHeight="1" x14ac:dyDescent="0.2">
      <c r="A2672" s="258"/>
      <c r="Z2672" s="258"/>
    </row>
    <row r="2673" spans="1:26" ht="12.75" customHeight="1" x14ac:dyDescent="0.2">
      <c r="A2673" s="258"/>
      <c r="Z2673" s="258"/>
    </row>
    <row r="2674" spans="1:26" ht="12.75" customHeight="1" x14ac:dyDescent="0.2">
      <c r="A2674" s="258"/>
      <c r="Z2674" s="258"/>
    </row>
    <row r="2675" spans="1:26" ht="12.75" customHeight="1" x14ac:dyDescent="0.2">
      <c r="A2675" s="258"/>
      <c r="Z2675" s="258"/>
    </row>
    <row r="2676" spans="1:26" ht="12.75" customHeight="1" x14ac:dyDescent="0.2">
      <c r="A2676" s="258"/>
      <c r="Z2676" s="258"/>
    </row>
    <row r="2677" spans="1:26" ht="12.75" customHeight="1" x14ac:dyDescent="0.2">
      <c r="A2677" s="258"/>
      <c r="Z2677" s="258"/>
    </row>
    <row r="2678" spans="1:26" ht="12.75" customHeight="1" x14ac:dyDescent="0.2">
      <c r="A2678" s="258"/>
      <c r="Z2678" s="258"/>
    </row>
    <row r="2679" spans="1:26" ht="12.75" customHeight="1" x14ac:dyDescent="0.2">
      <c r="A2679" s="258"/>
      <c r="Z2679" s="258"/>
    </row>
    <row r="2680" spans="1:26" ht="12.75" customHeight="1" x14ac:dyDescent="0.2">
      <c r="A2680" s="258"/>
      <c r="Z2680" s="258"/>
    </row>
    <row r="2681" spans="1:26" ht="12.75" customHeight="1" x14ac:dyDescent="0.2">
      <c r="A2681" s="258"/>
      <c r="Z2681" s="258"/>
    </row>
    <row r="2682" spans="1:26" ht="12.75" customHeight="1" x14ac:dyDescent="0.2">
      <c r="A2682" s="258"/>
      <c r="Z2682" s="258"/>
    </row>
    <row r="2683" spans="1:26" ht="12.75" customHeight="1" x14ac:dyDescent="0.2">
      <c r="A2683" s="258"/>
      <c r="Z2683" s="258"/>
    </row>
    <row r="2684" spans="1:26" ht="12.75" customHeight="1" x14ac:dyDescent="0.2">
      <c r="A2684" s="258"/>
      <c r="Z2684" s="258"/>
    </row>
    <row r="2685" spans="1:26" ht="12.75" customHeight="1" x14ac:dyDescent="0.2">
      <c r="A2685" s="258"/>
      <c r="Z2685" s="258"/>
    </row>
    <row r="2686" spans="1:26" ht="12.75" customHeight="1" x14ac:dyDescent="0.2">
      <c r="A2686" s="258"/>
      <c r="Z2686" s="258"/>
    </row>
    <row r="2687" spans="1:26" ht="12.75" customHeight="1" x14ac:dyDescent="0.2">
      <c r="A2687" s="258"/>
      <c r="Z2687" s="258"/>
    </row>
    <row r="2688" spans="1:26" ht="12.75" customHeight="1" x14ac:dyDescent="0.2">
      <c r="A2688" s="258"/>
      <c r="Z2688" s="258"/>
    </row>
    <row r="2689" spans="1:26" ht="12.75" customHeight="1" x14ac:dyDescent="0.2">
      <c r="A2689" s="258"/>
      <c r="Z2689" s="258"/>
    </row>
    <row r="2690" spans="1:26" ht="12.75" customHeight="1" x14ac:dyDescent="0.2">
      <c r="A2690" s="258"/>
      <c r="Z2690" s="258"/>
    </row>
    <row r="2691" spans="1:26" ht="12.75" customHeight="1" x14ac:dyDescent="0.2">
      <c r="A2691" s="258"/>
      <c r="Z2691" s="258"/>
    </row>
    <row r="2692" spans="1:26" ht="12.75" customHeight="1" x14ac:dyDescent="0.2">
      <c r="A2692" s="258"/>
      <c r="Z2692" s="258"/>
    </row>
    <row r="2693" spans="1:26" ht="12.75" customHeight="1" x14ac:dyDescent="0.2">
      <c r="A2693" s="258"/>
      <c r="Z2693" s="258"/>
    </row>
    <row r="2694" spans="1:26" ht="12.75" customHeight="1" x14ac:dyDescent="0.2">
      <c r="A2694" s="258"/>
      <c r="Z2694" s="258"/>
    </row>
    <row r="2695" spans="1:26" ht="12.75" customHeight="1" x14ac:dyDescent="0.2">
      <c r="A2695" s="258"/>
      <c r="Z2695" s="258"/>
    </row>
    <row r="2696" spans="1:26" ht="12.75" customHeight="1" x14ac:dyDescent="0.2">
      <c r="A2696" s="258"/>
      <c r="Z2696" s="258"/>
    </row>
    <row r="2697" spans="1:26" ht="12.75" customHeight="1" x14ac:dyDescent="0.2">
      <c r="A2697" s="258"/>
      <c r="Z2697" s="258"/>
    </row>
    <row r="2698" spans="1:26" ht="12.75" customHeight="1" x14ac:dyDescent="0.2">
      <c r="A2698" s="258"/>
      <c r="Z2698" s="258"/>
    </row>
    <row r="2699" spans="1:26" ht="12.75" customHeight="1" x14ac:dyDescent="0.2">
      <c r="A2699" s="258"/>
      <c r="Z2699" s="258"/>
    </row>
    <row r="2700" spans="1:26" ht="12.75" customHeight="1" x14ac:dyDescent="0.2">
      <c r="A2700" s="258"/>
      <c r="Z2700" s="258"/>
    </row>
    <row r="2701" spans="1:26" ht="12.75" customHeight="1" x14ac:dyDescent="0.2">
      <c r="A2701" s="258"/>
      <c r="Z2701" s="258"/>
    </row>
    <row r="2702" spans="1:26" ht="12.75" customHeight="1" x14ac:dyDescent="0.2">
      <c r="A2702" s="258"/>
      <c r="Z2702" s="258"/>
    </row>
    <row r="2703" spans="1:26" ht="12.75" customHeight="1" x14ac:dyDescent="0.2">
      <c r="A2703" s="258"/>
      <c r="Z2703" s="258"/>
    </row>
    <row r="2704" spans="1:26" ht="12.75" customHeight="1" x14ac:dyDescent="0.2">
      <c r="A2704" s="258"/>
      <c r="Z2704" s="258"/>
    </row>
    <row r="2705" spans="1:26" ht="12.75" customHeight="1" x14ac:dyDescent="0.2">
      <c r="A2705" s="258"/>
      <c r="Z2705" s="258"/>
    </row>
    <row r="2706" spans="1:26" ht="12.75" customHeight="1" x14ac:dyDescent="0.2">
      <c r="A2706" s="258"/>
      <c r="Z2706" s="258"/>
    </row>
    <row r="2707" spans="1:26" ht="12.75" customHeight="1" x14ac:dyDescent="0.2">
      <c r="A2707" s="258"/>
      <c r="Z2707" s="258"/>
    </row>
    <row r="2708" spans="1:26" ht="12.75" customHeight="1" x14ac:dyDescent="0.2">
      <c r="A2708" s="258"/>
      <c r="Z2708" s="258"/>
    </row>
    <row r="2709" spans="1:26" ht="12.75" customHeight="1" x14ac:dyDescent="0.2">
      <c r="A2709" s="258"/>
      <c r="Z2709" s="258"/>
    </row>
    <row r="2710" spans="1:26" ht="12.75" customHeight="1" x14ac:dyDescent="0.2">
      <c r="A2710" s="258"/>
      <c r="Z2710" s="258"/>
    </row>
    <row r="2711" spans="1:26" ht="12.75" customHeight="1" x14ac:dyDescent="0.2">
      <c r="A2711" s="258"/>
      <c r="Z2711" s="258"/>
    </row>
    <row r="2712" spans="1:26" ht="12.75" customHeight="1" x14ac:dyDescent="0.2">
      <c r="A2712" s="258"/>
      <c r="Z2712" s="258"/>
    </row>
    <row r="2713" spans="1:26" ht="12.75" customHeight="1" x14ac:dyDescent="0.2">
      <c r="A2713" s="258"/>
      <c r="Z2713" s="258"/>
    </row>
    <row r="2714" spans="1:26" ht="12.75" customHeight="1" x14ac:dyDescent="0.2">
      <c r="A2714" s="258"/>
      <c r="Z2714" s="258"/>
    </row>
    <row r="2715" spans="1:26" ht="12.75" customHeight="1" x14ac:dyDescent="0.2">
      <c r="A2715" s="258"/>
      <c r="Z2715" s="258"/>
    </row>
    <row r="2716" spans="1:26" ht="12.75" customHeight="1" x14ac:dyDescent="0.2">
      <c r="A2716" s="258"/>
      <c r="Z2716" s="258"/>
    </row>
    <row r="2717" spans="1:26" ht="12.75" customHeight="1" x14ac:dyDescent="0.2">
      <c r="A2717" s="258"/>
      <c r="Z2717" s="258"/>
    </row>
    <row r="2718" spans="1:26" ht="12.75" customHeight="1" x14ac:dyDescent="0.2">
      <c r="A2718" s="258"/>
      <c r="Z2718" s="258"/>
    </row>
    <row r="2719" spans="1:26" ht="12.75" customHeight="1" x14ac:dyDescent="0.2">
      <c r="A2719" s="258"/>
      <c r="Z2719" s="258"/>
    </row>
    <row r="2720" spans="1:26" ht="12.75" customHeight="1" x14ac:dyDescent="0.2">
      <c r="A2720" s="258"/>
      <c r="Z2720" s="258"/>
    </row>
    <row r="2721" spans="1:26" ht="12.75" customHeight="1" x14ac:dyDescent="0.2">
      <c r="A2721" s="258"/>
      <c r="Z2721" s="258"/>
    </row>
    <row r="2722" spans="1:26" ht="12.75" customHeight="1" x14ac:dyDescent="0.2">
      <c r="A2722" s="258"/>
      <c r="Z2722" s="258"/>
    </row>
    <row r="2723" spans="1:26" ht="12.75" customHeight="1" x14ac:dyDescent="0.2">
      <c r="A2723" s="258"/>
      <c r="Z2723" s="258"/>
    </row>
    <row r="2724" spans="1:26" ht="12.75" customHeight="1" x14ac:dyDescent="0.2">
      <c r="A2724" s="258"/>
      <c r="Z2724" s="258"/>
    </row>
    <row r="2725" spans="1:26" ht="12.75" customHeight="1" x14ac:dyDescent="0.2">
      <c r="A2725" s="258"/>
      <c r="Z2725" s="258"/>
    </row>
    <row r="2726" spans="1:26" ht="12.75" customHeight="1" x14ac:dyDescent="0.2">
      <c r="A2726" s="258"/>
      <c r="Z2726" s="258"/>
    </row>
    <row r="2727" spans="1:26" ht="12.75" customHeight="1" x14ac:dyDescent="0.2">
      <c r="A2727" s="258"/>
      <c r="Z2727" s="258"/>
    </row>
    <row r="2728" spans="1:26" ht="12.75" customHeight="1" x14ac:dyDescent="0.2">
      <c r="A2728" s="258"/>
      <c r="Z2728" s="258"/>
    </row>
    <row r="2729" spans="1:26" ht="12.75" customHeight="1" x14ac:dyDescent="0.2">
      <c r="A2729" s="258"/>
      <c r="Z2729" s="258"/>
    </row>
    <row r="2730" spans="1:26" ht="12.75" customHeight="1" x14ac:dyDescent="0.2">
      <c r="A2730" s="258"/>
      <c r="Z2730" s="258"/>
    </row>
    <row r="2731" spans="1:26" ht="12.75" customHeight="1" x14ac:dyDescent="0.2">
      <c r="A2731" s="258"/>
      <c r="Z2731" s="258"/>
    </row>
    <row r="2732" spans="1:26" ht="12.75" customHeight="1" x14ac:dyDescent="0.2">
      <c r="A2732" s="258"/>
      <c r="Z2732" s="258"/>
    </row>
    <row r="2733" spans="1:26" ht="12.75" customHeight="1" x14ac:dyDescent="0.2">
      <c r="A2733" s="258"/>
      <c r="Z2733" s="258"/>
    </row>
    <row r="2734" spans="1:26" ht="12.75" customHeight="1" x14ac:dyDescent="0.2">
      <c r="A2734" s="258"/>
      <c r="Z2734" s="258"/>
    </row>
    <row r="2735" spans="1:26" ht="12.75" customHeight="1" x14ac:dyDescent="0.2">
      <c r="A2735" s="258"/>
      <c r="Z2735" s="258"/>
    </row>
    <row r="2736" spans="1:26" ht="12.75" customHeight="1" x14ac:dyDescent="0.2">
      <c r="A2736" s="258"/>
      <c r="Z2736" s="258"/>
    </row>
    <row r="2737" spans="1:26" ht="12.75" customHeight="1" x14ac:dyDescent="0.2">
      <c r="A2737" s="258"/>
      <c r="Z2737" s="258"/>
    </row>
    <row r="2738" spans="1:26" ht="12.75" customHeight="1" x14ac:dyDescent="0.2">
      <c r="A2738" s="258"/>
      <c r="Z2738" s="258"/>
    </row>
    <row r="2739" spans="1:26" ht="12.75" customHeight="1" x14ac:dyDescent="0.2">
      <c r="A2739" s="258"/>
      <c r="Z2739" s="258"/>
    </row>
    <row r="2740" spans="1:26" ht="12.75" customHeight="1" x14ac:dyDescent="0.2">
      <c r="A2740" s="258"/>
      <c r="Z2740" s="258"/>
    </row>
    <row r="2741" spans="1:26" ht="12.75" customHeight="1" x14ac:dyDescent="0.2">
      <c r="A2741" s="258"/>
      <c r="Z2741" s="258"/>
    </row>
    <row r="2742" spans="1:26" ht="12.75" customHeight="1" x14ac:dyDescent="0.2">
      <c r="A2742" s="258"/>
      <c r="Z2742" s="258"/>
    </row>
    <row r="2743" spans="1:26" ht="12.75" customHeight="1" x14ac:dyDescent="0.2">
      <c r="A2743" s="258"/>
      <c r="Z2743" s="258"/>
    </row>
    <row r="2744" spans="1:26" ht="12.75" customHeight="1" x14ac:dyDescent="0.2">
      <c r="A2744" s="258"/>
      <c r="Z2744" s="258"/>
    </row>
    <row r="2745" spans="1:26" ht="12.75" customHeight="1" x14ac:dyDescent="0.2">
      <c r="A2745" s="258"/>
      <c r="Z2745" s="258"/>
    </row>
    <row r="2746" spans="1:26" ht="12.75" customHeight="1" x14ac:dyDescent="0.2">
      <c r="A2746" s="258"/>
      <c r="Z2746" s="258"/>
    </row>
    <row r="2747" spans="1:26" ht="12.75" customHeight="1" x14ac:dyDescent="0.2">
      <c r="A2747" s="258"/>
      <c r="Z2747" s="258"/>
    </row>
    <row r="2748" spans="1:26" ht="12.75" customHeight="1" x14ac:dyDescent="0.2">
      <c r="A2748" s="258"/>
      <c r="Z2748" s="258"/>
    </row>
    <row r="2749" spans="1:26" ht="12.75" customHeight="1" x14ac:dyDescent="0.2">
      <c r="A2749" s="258"/>
      <c r="Z2749" s="258"/>
    </row>
    <row r="2750" spans="1:26" ht="12.75" customHeight="1" x14ac:dyDescent="0.2">
      <c r="A2750" s="258"/>
      <c r="Z2750" s="258"/>
    </row>
    <row r="2751" spans="1:26" ht="12.75" customHeight="1" x14ac:dyDescent="0.2">
      <c r="A2751" s="258"/>
      <c r="Z2751" s="258"/>
    </row>
    <row r="2752" spans="1:26" ht="12.75" customHeight="1" x14ac:dyDescent="0.2">
      <c r="A2752" s="258"/>
      <c r="Z2752" s="258"/>
    </row>
    <row r="2753" spans="1:26" ht="12.75" customHeight="1" x14ac:dyDescent="0.2">
      <c r="A2753" s="258"/>
      <c r="Z2753" s="258"/>
    </row>
    <row r="2754" spans="1:26" ht="12.75" customHeight="1" x14ac:dyDescent="0.2">
      <c r="A2754" s="258"/>
      <c r="Z2754" s="258"/>
    </row>
    <row r="2755" spans="1:26" ht="12.75" customHeight="1" x14ac:dyDescent="0.2">
      <c r="A2755" s="258"/>
      <c r="Z2755" s="258"/>
    </row>
    <row r="2756" spans="1:26" ht="12.75" customHeight="1" x14ac:dyDescent="0.2">
      <c r="A2756" s="258"/>
      <c r="Z2756" s="258"/>
    </row>
    <row r="2757" spans="1:26" ht="12.75" customHeight="1" x14ac:dyDescent="0.2">
      <c r="A2757" s="258"/>
      <c r="Z2757" s="258"/>
    </row>
    <row r="2758" spans="1:26" ht="12.75" customHeight="1" x14ac:dyDescent="0.2">
      <c r="A2758" s="258"/>
      <c r="Z2758" s="258"/>
    </row>
    <row r="2759" spans="1:26" ht="12.75" customHeight="1" x14ac:dyDescent="0.2">
      <c r="A2759" s="258"/>
      <c r="Z2759" s="258"/>
    </row>
    <row r="2760" spans="1:26" ht="12.75" customHeight="1" x14ac:dyDescent="0.2">
      <c r="A2760" s="258"/>
      <c r="Z2760" s="258"/>
    </row>
    <row r="2761" spans="1:26" ht="12.75" customHeight="1" x14ac:dyDescent="0.2">
      <c r="A2761" s="258"/>
      <c r="Z2761" s="258"/>
    </row>
    <row r="2762" spans="1:26" ht="12.75" customHeight="1" x14ac:dyDescent="0.2">
      <c r="A2762" s="258"/>
      <c r="Z2762" s="258"/>
    </row>
    <row r="2763" spans="1:26" ht="12.75" customHeight="1" x14ac:dyDescent="0.2">
      <c r="A2763" s="258"/>
      <c r="Z2763" s="258"/>
    </row>
    <row r="2764" spans="1:26" ht="12.75" customHeight="1" x14ac:dyDescent="0.2">
      <c r="A2764" s="258"/>
      <c r="Z2764" s="258"/>
    </row>
    <row r="2765" spans="1:26" ht="12.75" customHeight="1" x14ac:dyDescent="0.2">
      <c r="A2765" s="258"/>
      <c r="Z2765" s="258"/>
    </row>
    <row r="2766" spans="1:26" ht="12.75" customHeight="1" x14ac:dyDescent="0.2">
      <c r="A2766" s="258"/>
      <c r="Z2766" s="258"/>
    </row>
    <row r="2767" spans="1:26" ht="12.75" customHeight="1" x14ac:dyDescent="0.2">
      <c r="A2767" s="258"/>
      <c r="Z2767" s="258"/>
    </row>
    <row r="2768" spans="1:26" ht="12.75" customHeight="1" x14ac:dyDescent="0.2">
      <c r="A2768" s="258"/>
      <c r="Z2768" s="258"/>
    </row>
    <row r="2769" spans="1:26" ht="12.75" customHeight="1" x14ac:dyDescent="0.2">
      <c r="A2769" s="258"/>
      <c r="Z2769" s="258"/>
    </row>
    <row r="2770" spans="1:26" ht="12.75" customHeight="1" x14ac:dyDescent="0.2">
      <c r="A2770" s="258"/>
      <c r="Z2770" s="258"/>
    </row>
    <row r="2771" spans="1:26" ht="12.75" customHeight="1" x14ac:dyDescent="0.2">
      <c r="A2771" s="258"/>
      <c r="Z2771" s="258"/>
    </row>
    <row r="2772" spans="1:26" ht="12.75" customHeight="1" x14ac:dyDescent="0.2">
      <c r="A2772" s="258"/>
      <c r="Z2772" s="258"/>
    </row>
    <row r="2773" spans="1:26" ht="12.75" customHeight="1" x14ac:dyDescent="0.2">
      <c r="A2773" s="258"/>
      <c r="Z2773" s="258"/>
    </row>
    <row r="2774" spans="1:26" ht="12.75" customHeight="1" x14ac:dyDescent="0.2">
      <c r="A2774" s="258"/>
      <c r="Z2774" s="258"/>
    </row>
    <row r="2775" spans="1:26" ht="12.75" customHeight="1" x14ac:dyDescent="0.2">
      <c r="A2775" s="258"/>
      <c r="Z2775" s="258"/>
    </row>
    <row r="2776" spans="1:26" ht="12.75" customHeight="1" x14ac:dyDescent="0.2">
      <c r="A2776" s="258"/>
      <c r="Z2776" s="258"/>
    </row>
    <row r="2777" spans="1:26" ht="12.75" customHeight="1" x14ac:dyDescent="0.2">
      <c r="A2777" s="258"/>
      <c r="Z2777" s="258"/>
    </row>
    <row r="2778" spans="1:26" ht="12.75" customHeight="1" x14ac:dyDescent="0.2">
      <c r="A2778" s="258"/>
      <c r="Z2778" s="258"/>
    </row>
    <row r="2779" spans="1:26" ht="12.75" customHeight="1" x14ac:dyDescent="0.2">
      <c r="A2779" s="258"/>
      <c r="Z2779" s="258"/>
    </row>
    <row r="2780" spans="1:26" ht="12.75" customHeight="1" x14ac:dyDescent="0.2">
      <c r="A2780" s="258"/>
      <c r="Z2780" s="258"/>
    </row>
    <row r="2781" spans="1:26" ht="12.75" customHeight="1" x14ac:dyDescent="0.2">
      <c r="A2781" s="258"/>
      <c r="Z2781" s="258"/>
    </row>
    <row r="2782" spans="1:26" ht="12.75" customHeight="1" x14ac:dyDescent="0.2">
      <c r="A2782" s="258"/>
      <c r="Z2782" s="258"/>
    </row>
    <row r="2783" spans="1:26" ht="12.75" customHeight="1" x14ac:dyDescent="0.2">
      <c r="A2783" s="258"/>
      <c r="Z2783" s="258"/>
    </row>
    <row r="2784" spans="1:26" ht="12.75" customHeight="1" x14ac:dyDescent="0.2">
      <c r="A2784" s="258"/>
      <c r="Z2784" s="258"/>
    </row>
    <row r="2785" spans="1:26" ht="12.75" customHeight="1" x14ac:dyDescent="0.2">
      <c r="A2785" s="258"/>
      <c r="Z2785" s="258"/>
    </row>
    <row r="2786" spans="1:26" ht="12.75" customHeight="1" x14ac:dyDescent="0.2">
      <c r="A2786" s="258"/>
      <c r="Z2786" s="258"/>
    </row>
    <row r="2787" spans="1:26" ht="12.75" customHeight="1" x14ac:dyDescent="0.2">
      <c r="A2787" s="258"/>
      <c r="Z2787" s="258"/>
    </row>
    <row r="2788" spans="1:26" ht="12.75" customHeight="1" x14ac:dyDescent="0.2">
      <c r="A2788" s="258"/>
      <c r="Z2788" s="258"/>
    </row>
    <row r="2789" spans="1:26" ht="12.75" customHeight="1" x14ac:dyDescent="0.2">
      <c r="A2789" s="258"/>
      <c r="Z2789" s="258"/>
    </row>
    <row r="2790" spans="1:26" ht="12.75" customHeight="1" x14ac:dyDescent="0.2">
      <c r="A2790" s="258"/>
      <c r="Z2790" s="258"/>
    </row>
    <row r="2791" spans="1:26" ht="12.75" customHeight="1" x14ac:dyDescent="0.2">
      <c r="A2791" s="258"/>
      <c r="Z2791" s="258"/>
    </row>
    <row r="2792" spans="1:26" ht="12.75" customHeight="1" x14ac:dyDescent="0.2">
      <c r="A2792" s="258"/>
      <c r="Z2792" s="258"/>
    </row>
    <row r="2793" spans="1:26" ht="12.75" customHeight="1" x14ac:dyDescent="0.2">
      <c r="A2793" s="258"/>
      <c r="Z2793" s="258"/>
    </row>
    <row r="2794" spans="1:26" ht="12.75" customHeight="1" x14ac:dyDescent="0.2">
      <c r="A2794" s="258"/>
      <c r="Z2794" s="258"/>
    </row>
    <row r="2795" spans="1:26" ht="12.75" customHeight="1" x14ac:dyDescent="0.2">
      <c r="A2795" s="258"/>
      <c r="Z2795" s="258"/>
    </row>
    <row r="2796" spans="1:26" ht="12.75" customHeight="1" x14ac:dyDescent="0.2">
      <c r="A2796" s="258"/>
      <c r="Z2796" s="258"/>
    </row>
    <row r="2797" spans="1:26" ht="12.75" customHeight="1" x14ac:dyDescent="0.2">
      <c r="A2797" s="258"/>
      <c r="Z2797" s="258"/>
    </row>
    <row r="2798" spans="1:26" ht="12.75" customHeight="1" x14ac:dyDescent="0.2">
      <c r="A2798" s="258"/>
      <c r="Z2798" s="258"/>
    </row>
    <row r="2799" spans="1:26" ht="12.75" customHeight="1" x14ac:dyDescent="0.2">
      <c r="A2799" s="258"/>
      <c r="Z2799" s="258"/>
    </row>
    <row r="2800" spans="1:26" ht="12.75" customHeight="1" x14ac:dyDescent="0.2">
      <c r="A2800" s="258"/>
      <c r="Z2800" s="258"/>
    </row>
    <row r="2801" spans="1:26" ht="12.75" customHeight="1" x14ac:dyDescent="0.2">
      <c r="A2801" s="258"/>
      <c r="Z2801" s="258"/>
    </row>
    <row r="2802" spans="1:26" ht="12.75" customHeight="1" x14ac:dyDescent="0.2">
      <c r="A2802" s="258"/>
      <c r="Z2802" s="258"/>
    </row>
    <row r="2803" spans="1:26" ht="12.75" customHeight="1" x14ac:dyDescent="0.2">
      <c r="A2803" s="258"/>
      <c r="Z2803" s="258"/>
    </row>
    <row r="2804" spans="1:26" ht="12.75" customHeight="1" x14ac:dyDescent="0.2">
      <c r="A2804" s="258"/>
      <c r="Z2804" s="258"/>
    </row>
    <row r="2805" spans="1:26" ht="12.75" customHeight="1" x14ac:dyDescent="0.2">
      <c r="A2805" s="258"/>
      <c r="Z2805" s="258"/>
    </row>
    <row r="2806" spans="1:26" ht="12.75" customHeight="1" x14ac:dyDescent="0.2">
      <c r="A2806" s="258"/>
      <c r="Z2806" s="258"/>
    </row>
    <row r="2807" spans="1:26" ht="12.75" customHeight="1" x14ac:dyDescent="0.2">
      <c r="A2807" s="258"/>
      <c r="Z2807" s="258"/>
    </row>
    <row r="2808" spans="1:26" ht="12.75" customHeight="1" x14ac:dyDescent="0.2">
      <c r="A2808" s="258"/>
      <c r="Z2808" s="258"/>
    </row>
    <row r="2809" spans="1:26" ht="12.75" customHeight="1" x14ac:dyDescent="0.2">
      <c r="A2809" s="258"/>
      <c r="Z2809" s="258"/>
    </row>
    <row r="2810" spans="1:26" ht="12.75" customHeight="1" x14ac:dyDescent="0.2">
      <c r="A2810" s="258"/>
      <c r="Z2810" s="258"/>
    </row>
    <row r="2811" spans="1:26" ht="12.75" customHeight="1" x14ac:dyDescent="0.2">
      <c r="A2811" s="258"/>
      <c r="Z2811" s="258"/>
    </row>
    <row r="2812" spans="1:26" ht="12.75" customHeight="1" x14ac:dyDescent="0.2">
      <c r="A2812" s="258"/>
      <c r="Z2812" s="258"/>
    </row>
    <row r="2813" spans="1:26" ht="12.75" customHeight="1" x14ac:dyDescent="0.2">
      <c r="A2813" s="258"/>
      <c r="Z2813" s="258"/>
    </row>
    <row r="2814" spans="1:26" ht="12.75" customHeight="1" x14ac:dyDescent="0.2">
      <c r="A2814" s="258"/>
      <c r="Z2814" s="258"/>
    </row>
    <row r="2815" spans="1:26" ht="12.75" customHeight="1" x14ac:dyDescent="0.2">
      <c r="A2815" s="258"/>
      <c r="Z2815" s="258"/>
    </row>
    <row r="2816" spans="1:26" ht="12.75" customHeight="1" x14ac:dyDescent="0.2">
      <c r="A2816" s="258"/>
      <c r="Z2816" s="258"/>
    </row>
    <row r="2817" spans="1:26" ht="12.75" customHeight="1" x14ac:dyDescent="0.2">
      <c r="A2817" s="258"/>
      <c r="Z2817" s="258"/>
    </row>
    <row r="2818" spans="1:26" ht="12.75" customHeight="1" x14ac:dyDescent="0.2">
      <c r="A2818" s="258"/>
      <c r="Z2818" s="258"/>
    </row>
    <row r="2819" spans="1:26" ht="12.75" customHeight="1" x14ac:dyDescent="0.2">
      <c r="A2819" s="258"/>
      <c r="Z2819" s="258"/>
    </row>
    <row r="2820" spans="1:26" ht="12.75" customHeight="1" x14ac:dyDescent="0.2">
      <c r="A2820" s="258"/>
      <c r="Z2820" s="258"/>
    </row>
    <row r="2821" spans="1:26" ht="12.75" customHeight="1" x14ac:dyDescent="0.2">
      <c r="A2821" s="258"/>
      <c r="Z2821" s="258"/>
    </row>
    <row r="2822" spans="1:26" ht="12.75" customHeight="1" x14ac:dyDescent="0.2">
      <c r="A2822" s="258"/>
      <c r="Z2822" s="258"/>
    </row>
    <row r="2823" spans="1:26" ht="12.75" customHeight="1" x14ac:dyDescent="0.2">
      <c r="A2823" s="258"/>
      <c r="Z2823" s="258"/>
    </row>
    <row r="2824" spans="1:26" ht="12.75" customHeight="1" x14ac:dyDescent="0.2">
      <c r="A2824" s="258"/>
      <c r="Z2824" s="258"/>
    </row>
    <row r="2825" spans="1:26" ht="12.75" customHeight="1" x14ac:dyDescent="0.2">
      <c r="A2825" s="258"/>
      <c r="Z2825" s="258"/>
    </row>
    <row r="2826" spans="1:26" ht="12.75" customHeight="1" x14ac:dyDescent="0.2">
      <c r="A2826" s="258"/>
      <c r="Z2826" s="258"/>
    </row>
    <row r="2827" spans="1:26" ht="12.75" customHeight="1" x14ac:dyDescent="0.2">
      <c r="A2827" s="258"/>
      <c r="Z2827" s="258"/>
    </row>
    <row r="2828" spans="1:26" ht="12.75" customHeight="1" x14ac:dyDescent="0.2">
      <c r="A2828" s="258"/>
      <c r="Z2828" s="258"/>
    </row>
    <row r="2829" spans="1:26" ht="12.75" customHeight="1" x14ac:dyDescent="0.2">
      <c r="A2829" s="258"/>
      <c r="Z2829" s="258"/>
    </row>
    <row r="2830" spans="1:26" ht="12.75" customHeight="1" x14ac:dyDescent="0.2">
      <c r="A2830" s="258"/>
      <c r="Z2830" s="258"/>
    </row>
    <row r="2831" spans="1:26" ht="12.75" customHeight="1" x14ac:dyDescent="0.2">
      <c r="A2831" s="258"/>
      <c r="Z2831" s="258"/>
    </row>
    <row r="2832" spans="1:26" ht="12.75" customHeight="1" x14ac:dyDescent="0.2">
      <c r="A2832" s="258"/>
      <c r="Z2832" s="258"/>
    </row>
    <row r="2833" spans="1:26" ht="12.75" customHeight="1" x14ac:dyDescent="0.2">
      <c r="A2833" s="258"/>
      <c r="Z2833" s="258"/>
    </row>
    <row r="2834" spans="1:26" ht="12.75" customHeight="1" x14ac:dyDescent="0.2">
      <c r="A2834" s="258"/>
      <c r="Z2834" s="258"/>
    </row>
    <row r="2835" spans="1:26" ht="12.75" customHeight="1" x14ac:dyDescent="0.2">
      <c r="A2835" s="258"/>
      <c r="Z2835" s="258"/>
    </row>
    <row r="2836" spans="1:26" ht="12.75" customHeight="1" x14ac:dyDescent="0.2">
      <c r="A2836" s="258"/>
      <c r="Z2836" s="258"/>
    </row>
    <row r="2837" spans="1:26" ht="12.75" customHeight="1" x14ac:dyDescent="0.2">
      <c r="A2837" s="258"/>
      <c r="Z2837" s="258"/>
    </row>
    <row r="2838" spans="1:26" ht="12.75" customHeight="1" x14ac:dyDescent="0.2">
      <c r="A2838" s="258"/>
      <c r="Z2838" s="258"/>
    </row>
    <row r="2839" spans="1:26" ht="12.75" customHeight="1" x14ac:dyDescent="0.2">
      <c r="A2839" s="258"/>
      <c r="Z2839" s="258"/>
    </row>
    <row r="2840" spans="1:26" ht="12.75" customHeight="1" x14ac:dyDescent="0.2">
      <c r="A2840" s="258"/>
      <c r="Z2840" s="258"/>
    </row>
    <row r="2841" spans="1:26" ht="12.75" customHeight="1" x14ac:dyDescent="0.2">
      <c r="A2841" s="258"/>
      <c r="Z2841" s="258"/>
    </row>
    <row r="2842" spans="1:26" ht="12.75" customHeight="1" x14ac:dyDescent="0.2">
      <c r="A2842" s="258"/>
      <c r="Z2842" s="258"/>
    </row>
    <row r="2843" spans="1:26" ht="12.75" customHeight="1" x14ac:dyDescent="0.2">
      <c r="A2843" s="258"/>
      <c r="Z2843" s="258"/>
    </row>
    <row r="2844" spans="1:26" ht="12.75" customHeight="1" x14ac:dyDescent="0.2">
      <c r="A2844" s="258"/>
      <c r="Z2844" s="258"/>
    </row>
    <row r="2845" spans="1:26" ht="12.75" customHeight="1" x14ac:dyDescent="0.2">
      <c r="A2845" s="258"/>
      <c r="Z2845" s="258"/>
    </row>
    <row r="2846" spans="1:26" ht="12.75" customHeight="1" x14ac:dyDescent="0.2">
      <c r="A2846" s="258"/>
      <c r="Z2846" s="258"/>
    </row>
    <row r="2847" spans="1:26" ht="12.75" customHeight="1" x14ac:dyDescent="0.2">
      <c r="A2847" s="258"/>
      <c r="Z2847" s="258"/>
    </row>
    <row r="2848" spans="1:26" ht="12.75" customHeight="1" x14ac:dyDescent="0.2">
      <c r="A2848" s="258"/>
      <c r="Z2848" s="258"/>
    </row>
    <row r="2849" spans="1:26" ht="12.75" customHeight="1" x14ac:dyDescent="0.2">
      <c r="A2849" s="258"/>
      <c r="Z2849" s="258"/>
    </row>
    <row r="2850" spans="1:26" ht="12.75" customHeight="1" x14ac:dyDescent="0.2">
      <c r="A2850" s="258"/>
      <c r="Z2850" s="258"/>
    </row>
    <row r="2851" spans="1:26" ht="12.75" customHeight="1" x14ac:dyDescent="0.2">
      <c r="A2851" s="258"/>
      <c r="Z2851" s="258"/>
    </row>
    <row r="2852" spans="1:26" ht="12.75" customHeight="1" x14ac:dyDescent="0.2">
      <c r="A2852" s="258"/>
      <c r="Z2852" s="258"/>
    </row>
    <row r="2853" spans="1:26" ht="12.75" customHeight="1" x14ac:dyDescent="0.2">
      <c r="A2853" s="258"/>
      <c r="Z2853" s="258"/>
    </row>
    <row r="2854" spans="1:26" ht="12.75" customHeight="1" x14ac:dyDescent="0.2">
      <c r="A2854" s="258"/>
      <c r="Z2854" s="258"/>
    </row>
    <row r="2855" spans="1:26" ht="12.75" customHeight="1" x14ac:dyDescent="0.2">
      <c r="A2855" s="258"/>
      <c r="Z2855" s="258"/>
    </row>
    <row r="2856" spans="1:26" ht="12.75" customHeight="1" x14ac:dyDescent="0.2">
      <c r="A2856" s="258"/>
      <c r="Z2856" s="258"/>
    </row>
    <row r="2857" spans="1:26" ht="12.75" customHeight="1" x14ac:dyDescent="0.2">
      <c r="A2857" s="258"/>
      <c r="Z2857" s="258"/>
    </row>
    <row r="2858" spans="1:26" ht="12.75" customHeight="1" x14ac:dyDescent="0.2">
      <c r="A2858" s="258"/>
      <c r="Z2858" s="258"/>
    </row>
    <row r="2859" spans="1:26" ht="12.75" customHeight="1" x14ac:dyDescent="0.2">
      <c r="A2859" s="258"/>
      <c r="Z2859" s="258"/>
    </row>
    <row r="2860" spans="1:26" ht="12.75" customHeight="1" x14ac:dyDescent="0.2">
      <c r="A2860" s="258"/>
      <c r="Z2860" s="258"/>
    </row>
    <row r="2861" spans="1:26" ht="12.75" customHeight="1" x14ac:dyDescent="0.2">
      <c r="A2861" s="258"/>
      <c r="Z2861" s="258"/>
    </row>
    <row r="2862" spans="1:26" ht="12.75" customHeight="1" x14ac:dyDescent="0.2">
      <c r="A2862" s="258"/>
      <c r="Z2862" s="258"/>
    </row>
    <row r="2863" spans="1:26" ht="12.75" customHeight="1" x14ac:dyDescent="0.2">
      <c r="A2863" s="258"/>
      <c r="Z2863" s="258"/>
    </row>
    <row r="2864" spans="1:26" ht="12.75" customHeight="1" x14ac:dyDescent="0.2">
      <c r="A2864" s="258"/>
      <c r="Z2864" s="258"/>
    </row>
    <row r="2865" spans="1:26" ht="12.75" customHeight="1" x14ac:dyDescent="0.2">
      <c r="A2865" s="258"/>
      <c r="Z2865" s="258"/>
    </row>
    <row r="2866" spans="1:26" ht="12.75" customHeight="1" x14ac:dyDescent="0.2">
      <c r="A2866" s="258"/>
      <c r="Z2866" s="258"/>
    </row>
    <row r="2867" spans="1:26" ht="12.75" customHeight="1" x14ac:dyDescent="0.2">
      <c r="A2867" s="258"/>
      <c r="Z2867" s="258"/>
    </row>
    <row r="2868" spans="1:26" ht="12.75" customHeight="1" x14ac:dyDescent="0.2">
      <c r="A2868" s="258"/>
      <c r="Z2868" s="258"/>
    </row>
    <row r="2869" spans="1:26" ht="12.75" customHeight="1" x14ac:dyDescent="0.2">
      <c r="A2869" s="258"/>
      <c r="Z2869" s="258"/>
    </row>
    <row r="2870" spans="1:26" ht="12.75" customHeight="1" x14ac:dyDescent="0.2">
      <c r="A2870" s="258"/>
      <c r="Z2870" s="258"/>
    </row>
    <row r="2871" spans="1:26" ht="12.75" customHeight="1" x14ac:dyDescent="0.2">
      <c r="A2871" s="258"/>
      <c r="Z2871" s="258"/>
    </row>
    <row r="2872" spans="1:26" ht="12.75" customHeight="1" x14ac:dyDescent="0.2">
      <c r="A2872" s="258"/>
      <c r="Z2872" s="258"/>
    </row>
    <row r="2873" spans="1:26" ht="12.75" customHeight="1" x14ac:dyDescent="0.2">
      <c r="A2873" s="258"/>
      <c r="Z2873" s="258"/>
    </row>
    <row r="2874" spans="1:26" ht="12.75" customHeight="1" x14ac:dyDescent="0.2">
      <c r="A2874" s="258"/>
      <c r="Z2874" s="258"/>
    </row>
    <row r="2875" spans="1:26" ht="12.75" customHeight="1" x14ac:dyDescent="0.2">
      <c r="A2875" s="258"/>
      <c r="Z2875" s="258"/>
    </row>
    <row r="2876" spans="1:26" ht="12.75" customHeight="1" x14ac:dyDescent="0.2">
      <c r="A2876" s="258"/>
      <c r="Z2876" s="258"/>
    </row>
    <row r="2877" spans="1:26" ht="12.75" customHeight="1" x14ac:dyDescent="0.2">
      <c r="A2877" s="258"/>
      <c r="Z2877" s="258"/>
    </row>
    <row r="2878" spans="1:26" ht="12.75" customHeight="1" x14ac:dyDescent="0.2">
      <c r="A2878" s="258"/>
      <c r="Z2878" s="258"/>
    </row>
    <row r="2879" spans="1:26" ht="12.75" customHeight="1" x14ac:dyDescent="0.2">
      <c r="A2879" s="258"/>
      <c r="Z2879" s="258"/>
    </row>
    <row r="2880" spans="1:26" ht="12.75" customHeight="1" x14ac:dyDescent="0.2">
      <c r="A2880" s="258"/>
      <c r="Z2880" s="258"/>
    </row>
    <row r="2881" spans="1:26" ht="12.75" customHeight="1" x14ac:dyDescent="0.2">
      <c r="A2881" s="258"/>
      <c r="Z2881" s="258"/>
    </row>
    <row r="2882" spans="1:26" ht="12.75" customHeight="1" x14ac:dyDescent="0.2">
      <c r="A2882" s="258"/>
      <c r="Z2882" s="258"/>
    </row>
    <row r="2883" spans="1:26" ht="12.75" customHeight="1" x14ac:dyDescent="0.2">
      <c r="A2883" s="258"/>
      <c r="Z2883" s="258"/>
    </row>
    <row r="2884" spans="1:26" ht="12.75" customHeight="1" x14ac:dyDescent="0.2">
      <c r="A2884" s="258"/>
      <c r="Z2884" s="258"/>
    </row>
    <row r="2885" spans="1:26" ht="12.75" customHeight="1" x14ac:dyDescent="0.2">
      <c r="A2885" s="258"/>
      <c r="Z2885" s="258"/>
    </row>
    <row r="2886" spans="1:26" ht="12.75" customHeight="1" x14ac:dyDescent="0.2">
      <c r="A2886" s="258"/>
      <c r="Z2886" s="258"/>
    </row>
    <row r="2887" spans="1:26" ht="12.75" customHeight="1" x14ac:dyDescent="0.2">
      <c r="A2887" s="258"/>
      <c r="Z2887" s="258"/>
    </row>
    <row r="2888" spans="1:26" ht="12.75" customHeight="1" x14ac:dyDescent="0.2">
      <c r="A2888" s="258"/>
      <c r="Z2888" s="258"/>
    </row>
    <row r="2889" spans="1:26" ht="12.75" customHeight="1" x14ac:dyDescent="0.2">
      <c r="A2889" s="258"/>
      <c r="Z2889" s="258"/>
    </row>
    <row r="2890" spans="1:26" ht="12.75" customHeight="1" x14ac:dyDescent="0.2">
      <c r="A2890" s="258"/>
      <c r="Z2890" s="258"/>
    </row>
    <row r="2891" spans="1:26" ht="12.75" customHeight="1" x14ac:dyDescent="0.2">
      <c r="A2891" s="258"/>
      <c r="Z2891" s="258"/>
    </row>
    <row r="2892" spans="1:26" ht="12.75" customHeight="1" x14ac:dyDescent="0.2">
      <c r="A2892" s="258"/>
      <c r="Z2892" s="258"/>
    </row>
    <row r="2893" spans="1:26" ht="12.75" customHeight="1" x14ac:dyDescent="0.2">
      <c r="A2893" s="258"/>
      <c r="Z2893" s="258"/>
    </row>
    <row r="2894" spans="1:26" ht="12.75" customHeight="1" x14ac:dyDescent="0.2">
      <c r="A2894" s="258"/>
      <c r="Z2894" s="258"/>
    </row>
    <row r="2895" spans="1:26" ht="12.75" customHeight="1" x14ac:dyDescent="0.2">
      <c r="A2895" s="258"/>
      <c r="Z2895" s="258"/>
    </row>
    <row r="2896" spans="1:26" ht="12.75" customHeight="1" x14ac:dyDescent="0.2">
      <c r="A2896" s="258"/>
      <c r="Z2896" s="258"/>
    </row>
    <row r="2897" spans="1:26" ht="12.75" customHeight="1" x14ac:dyDescent="0.2">
      <c r="A2897" s="258"/>
      <c r="Z2897" s="258"/>
    </row>
    <row r="2898" spans="1:26" ht="12.75" customHeight="1" x14ac:dyDescent="0.2">
      <c r="A2898" s="258"/>
      <c r="Z2898" s="258"/>
    </row>
    <row r="2899" spans="1:26" ht="12.75" customHeight="1" x14ac:dyDescent="0.2">
      <c r="A2899" s="258"/>
      <c r="Z2899" s="258"/>
    </row>
    <row r="2900" spans="1:26" ht="12.75" customHeight="1" x14ac:dyDescent="0.2">
      <c r="A2900" s="258"/>
      <c r="Z2900" s="258"/>
    </row>
    <row r="2901" spans="1:26" ht="12.75" customHeight="1" x14ac:dyDescent="0.2">
      <c r="A2901" s="258"/>
      <c r="Z2901" s="258"/>
    </row>
    <row r="2902" spans="1:26" ht="12.75" customHeight="1" x14ac:dyDescent="0.2">
      <c r="A2902" s="258"/>
      <c r="Z2902" s="258"/>
    </row>
    <row r="2903" spans="1:26" ht="12.75" customHeight="1" x14ac:dyDescent="0.2">
      <c r="A2903" s="258"/>
      <c r="Z2903" s="258"/>
    </row>
    <row r="2904" spans="1:26" ht="12.75" customHeight="1" x14ac:dyDescent="0.2">
      <c r="A2904" s="258"/>
      <c r="Z2904" s="258"/>
    </row>
    <row r="2905" spans="1:26" ht="12.75" customHeight="1" x14ac:dyDescent="0.2">
      <c r="A2905" s="258"/>
      <c r="Z2905" s="258"/>
    </row>
    <row r="2906" spans="1:26" ht="12.75" customHeight="1" x14ac:dyDescent="0.2">
      <c r="A2906" s="258"/>
      <c r="Z2906" s="258"/>
    </row>
    <row r="2907" spans="1:26" ht="12.75" customHeight="1" x14ac:dyDescent="0.2">
      <c r="A2907" s="258"/>
      <c r="Z2907" s="258"/>
    </row>
    <row r="2908" spans="1:26" ht="12.75" customHeight="1" x14ac:dyDescent="0.2">
      <c r="A2908" s="258"/>
      <c r="Z2908" s="258"/>
    </row>
    <row r="2909" spans="1:26" ht="12.75" customHeight="1" x14ac:dyDescent="0.2">
      <c r="A2909" s="258"/>
      <c r="Z2909" s="258"/>
    </row>
    <row r="2910" spans="1:26" ht="12.75" customHeight="1" x14ac:dyDescent="0.2">
      <c r="A2910" s="258"/>
      <c r="Z2910" s="258"/>
    </row>
    <row r="2911" spans="1:26" ht="12.75" customHeight="1" x14ac:dyDescent="0.2">
      <c r="A2911" s="258"/>
      <c r="Z2911" s="258"/>
    </row>
    <row r="2912" spans="1:26" ht="12.75" customHeight="1" x14ac:dyDescent="0.2">
      <c r="A2912" s="258"/>
      <c r="Z2912" s="258"/>
    </row>
    <row r="2913" spans="1:26" ht="12.75" customHeight="1" x14ac:dyDescent="0.2">
      <c r="A2913" s="258"/>
      <c r="Z2913" s="258"/>
    </row>
    <row r="2914" spans="1:26" ht="12.75" customHeight="1" x14ac:dyDescent="0.2">
      <c r="A2914" s="258"/>
      <c r="Z2914" s="258"/>
    </row>
    <row r="2915" spans="1:26" ht="12.75" customHeight="1" x14ac:dyDescent="0.2">
      <c r="A2915" s="258"/>
      <c r="Z2915" s="258"/>
    </row>
    <row r="2916" spans="1:26" ht="12.75" customHeight="1" x14ac:dyDescent="0.2">
      <c r="A2916" s="258"/>
      <c r="Z2916" s="258"/>
    </row>
    <row r="2917" spans="1:26" ht="12.75" customHeight="1" x14ac:dyDescent="0.2">
      <c r="A2917" s="258"/>
      <c r="Z2917" s="258"/>
    </row>
    <row r="2918" spans="1:26" ht="12.75" customHeight="1" x14ac:dyDescent="0.2">
      <c r="A2918" s="258"/>
      <c r="Z2918" s="258"/>
    </row>
    <row r="2919" spans="1:26" ht="12.75" customHeight="1" x14ac:dyDescent="0.2">
      <c r="A2919" s="258"/>
      <c r="Z2919" s="258"/>
    </row>
    <row r="2920" spans="1:26" ht="12.75" customHeight="1" x14ac:dyDescent="0.2">
      <c r="A2920" s="258"/>
      <c r="Z2920" s="258"/>
    </row>
    <row r="2921" spans="1:26" ht="12.75" customHeight="1" x14ac:dyDescent="0.2">
      <c r="A2921" s="258"/>
      <c r="Z2921" s="258"/>
    </row>
    <row r="2922" spans="1:26" ht="12.75" customHeight="1" x14ac:dyDescent="0.2">
      <c r="A2922" s="258"/>
      <c r="Z2922" s="258"/>
    </row>
    <row r="2923" spans="1:26" ht="12.75" customHeight="1" x14ac:dyDescent="0.2">
      <c r="A2923" s="258"/>
      <c r="Z2923" s="258"/>
    </row>
    <row r="2924" spans="1:26" ht="12.75" customHeight="1" x14ac:dyDescent="0.2">
      <c r="A2924" s="258"/>
      <c r="Z2924" s="258"/>
    </row>
    <row r="2925" spans="1:26" ht="12.75" customHeight="1" x14ac:dyDescent="0.2">
      <c r="A2925" s="258"/>
      <c r="Z2925" s="258"/>
    </row>
    <row r="2926" spans="1:26" ht="12.75" customHeight="1" x14ac:dyDescent="0.2">
      <c r="A2926" s="258"/>
      <c r="Z2926" s="258"/>
    </row>
    <row r="2927" spans="1:26" ht="12.75" customHeight="1" x14ac:dyDescent="0.2">
      <c r="A2927" s="258"/>
      <c r="Z2927" s="258"/>
    </row>
    <row r="2928" spans="1:26" ht="12.75" customHeight="1" x14ac:dyDescent="0.2">
      <c r="A2928" s="258"/>
      <c r="Z2928" s="258"/>
    </row>
    <row r="2929" spans="1:26" ht="12.75" customHeight="1" x14ac:dyDescent="0.2">
      <c r="A2929" s="258"/>
      <c r="Z2929" s="258"/>
    </row>
    <row r="2930" spans="1:26" ht="12.75" customHeight="1" x14ac:dyDescent="0.2">
      <c r="A2930" s="258"/>
      <c r="Z2930" s="258"/>
    </row>
    <row r="2931" spans="1:26" ht="12.75" customHeight="1" x14ac:dyDescent="0.2">
      <c r="A2931" s="258"/>
      <c r="Z2931" s="258"/>
    </row>
    <row r="2932" spans="1:26" ht="12.75" customHeight="1" x14ac:dyDescent="0.2">
      <c r="A2932" s="258"/>
      <c r="Z2932" s="258"/>
    </row>
    <row r="2933" spans="1:26" ht="12.75" customHeight="1" x14ac:dyDescent="0.2">
      <c r="A2933" s="258"/>
      <c r="Z2933" s="258"/>
    </row>
    <row r="2934" spans="1:26" ht="12.75" customHeight="1" x14ac:dyDescent="0.2">
      <c r="A2934" s="258"/>
      <c r="Z2934" s="258"/>
    </row>
    <row r="2935" spans="1:26" ht="12.75" customHeight="1" x14ac:dyDescent="0.2">
      <c r="A2935" s="258"/>
      <c r="Z2935" s="258"/>
    </row>
    <row r="2936" spans="1:26" ht="12.75" customHeight="1" x14ac:dyDescent="0.2">
      <c r="A2936" s="258"/>
      <c r="Z2936" s="258"/>
    </row>
    <row r="2937" spans="1:26" ht="12.75" customHeight="1" x14ac:dyDescent="0.2">
      <c r="A2937" s="258"/>
      <c r="Z2937" s="258"/>
    </row>
    <row r="2938" spans="1:26" ht="12.75" customHeight="1" x14ac:dyDescent="0.2">
      <c r="A2938" s="258"/>
      <c r="Z2938" s="258"/>
    </row>
    <row r="2939" spans="1:26" ht="12.75" customHeight="1" x14ac:dyDescent="0.2">
      <c r="A2939" s="258"/>
      <c r="Z2939" s="258"/>
    </row>
    <row r="2940" spans="1:26" ht="12.75" customHeight="1" x14ac:dyDescent="0.2">
      <c r="A2940" s="258"/>
      <c r="Z2940" s="258"/>
    </row>
    <row r="2941" spans="1:26" ht="12.75" customHeight="1" x14ac:dyDescent="0.2">
      <c r="A2941" s="258"/>
      <c r="Z2941" s="258"/>
    </row>
    <row r="2942" spans="1:26" ht="12.75" customHeight="1" x14ac:dyDescent="0.2">
      <c r="A2942" s="258"/>
      <c r="Z2942" s="258"/>
    </row>
    <row r="2943" spans="1:26" ht="12.75" customHeight="1" x14ac:dyDescent="0.2">
      <c r="A2943" s="258"/>
      <c r="Z2943" s="258"/>
    </row>
    <row r="2944" spans="1:26" ht="12.75" customHeight="1" x14ac:dyDescent="0.2">
      <c r="A2944" s="258"/>
      <c r="Z2944" s="258"/>
    </row>
    <row r="2945" spans="1:26" ht="12.75" customHeight="1" x14ac:dyDescent="0.2">
      <c r="A2945" s="258"/>
      <c r="Z2945" s="258"/>
    </row>
    <row r="2946" spans="1:26" ht="12.75" customHeight="1" x14ac:dyDescent="0.2">
      <c r="A2946" s="258"/>
      <c r="Z2946" s="258"/>
    </row>
    <row r="2947" spans="1:26" ht="12.75" customHeight="1" x14ac:dyDescent="0.2">
      <c r="A2947" s="258"/>
      <c r="Z2947" s="258"/>
    </row>
    <row r="2948" spans="1:26" ht="12.75" customHeight="1" x14ac:dyDescent="0.2">
      <c r="A2948" s="258"/>
      <c r="Z2948" s="258"/>
    </row>
    <row r="2949" spans="1:26" ht="12.75" customHeight="1" x14ac:dyDescent="0.2">
      <c r="A2949" s="258"/>
      <c r="Z2949" s="258"/>
    </row>
    <row r="2950" spans="1:26" ht="12.75" customHeight="1" x14ac:dyDescent="0.2">
      <c r="A2950" s="258"/>
      <c r="Z2950" s="258"/>
    </row>
    <row r="2951" spans="1:26" ht="12.75" customHeight="1" x14ac:dyDescent="0.2">
      <c r="A2951" s="258"/>
      <c r="Z2951" s="258"/>
    </row>
    <row r="2952" spans="1:26" ht="12.75" customHeight="1" x14ac:dyDescent="0.2">
      <c r="A2952" s="258"/>
      <c r="Z2952" s="258"/>
    </row>
    <row r="2953" spans="1:26" ht="12.75" customHeight="1" x14ac:dyDescent="0.2">
      <c r="A2953" s="258"/>
      <c r="Z2953" s="258"/>
    </row>
    <row r="2954" spans="1:26" ht="12.75" customHeight="1" x14ac:dyDescent="0.2">
      <c r="A2954" s="258"/>
      <c r="Z2954" s="258"/>
    </row>
    <row r="2955" spans="1:26" ht="12.75" customHeight="1" x14ac:dyDescent="0.2">
      <c r="A2955" s="258"/>
      <c r="Z2955" s="258"/>
    </row>
    <row r="2956" spans="1:26" ht="12.75" customHeight="1" x14ac:dyDescent="0.2">
      <c r="A2956" s="258"/>
      <c r="Z2956" s="258"/>
    </row>
    <row r="2957" spans="1:26" ht="12.75" customHeight="1" x14ac:dyDescent="0.2">
      <c r="A2957" s="258"/>
      <c r="Z2957" s="258"/>
    </row>
    <row r="2958" spans="1:26" ht="12.75" customHeight="1" x14ac:dyDescent="0.2">
      <c r="A2958" s="258"/>
      <c r="Z2958" s="258"/>
    </row>
    <row r="2959" spans="1:26" ht="12.75" customHeight="1" x14ac:dyDescent="0.2">
      <c r="A2959" s="258"/>
      <c r="Z2959" s="258"/>
    </row>
    <row r="2960" spans="1:26" ht="12.75" customHeight="1" x14ac:dyDescent="0.2">
      <c r="A2960" s="258"/>
      <c r="Z2960" s="258"/>
    </row>
    <row r="2961" spans="1:26" ht="12.75" customHeight="1" x14ac:dyDescent="0.2">
      <c r="A2961" s="258"/>
      <c r="Z2961" s="258"/>
    </row>
    <row r="2962" spans="1:26" ht="12.75" customHeight="1" x14ac:dyDescent="0.2">
      <c r="A2962" s="258"/>
      <c r="Z2962" s="258"/>
    </row>
    <row r="2963" spans="1:26" ht="12.75" customHeight="1" x14ac:dyDescent="0.2">
      <c r="A2963" s="258"/>
      <c r="Z2963" s="258"/>
    </row>
    <row r="2964" spans="1:26" ht="12.75" customHeight="1" x14ac:dyDescent="0.2">
      <c r="A2964" s="258"/>
      <c r="Z2964" s="258"/>
    </row>
    <row r="2965" spans="1:26" ht="12.75" customHeight="1" x14ac:dyDescent="0.2">
      <c r="A2965" s="258"/>
      <c r="Z2965" s="258"/>
    </row>
    <row r="2966" spans="1:26" ht="12.75" customHeight="1" x14ac:dyDescent="0.2">
      <c r="A2966" s="258"/>
      <c r="Z2966" s="258"/>
    </row>
    <row r="2967" spans="1:26" ht="12.75" customHeight="1" x14ac:dyDescent="0.2">
      <c r="A2967" s="258"/>
      <c r="Z2967" s="258"/>
    </row>
    <row r="2968" spans="1:26" ht="12.75" customHeight="1" x14ac:dyDescent="0.2">
      <c r="A2968" s="258"/>
      <c r="Z2968" s="258"/>
    </row>
    <row r="2969" spans="1:26" ht="12.75" customHeight="1" x14ac:dyDescent="0.2">
      <c r="A2969" s="258"/>
      <c r="Z2969" s="258"/>
    </row>
    <row r="2970" spans="1:26" ht="12.75" customHeight="1" x14ac:dyDescent="0.2">
      <c r="A2970" s="258"/>
      <c r="Z2970" s="258"/>
    </row>
    <row r="2971" spans="1:26" ht="12.75" customHeight="1" x14ac:dyDescent="0.2">
      <c r="A2971" s="258"/>
      <c r="Z2971" s="258"/>
    </row>
    <row r="2972" spans="1:26" ht="12.75" customHeight="1" x14ac:dyDescent="0.2">
      <c r="A2972" s="258"/>
      <c r="Z2972" s="258"/>
    </row>
    <row r="2973" spans="1:26" ht="12.75" customHeight="1" x14ac:dyDescent="0.2">
      <c r="A2973" s="258"/>
      <c r="Z2973" s="258"/>
    </row>
    <row r="2974" spans="1:26" ht="12.75" customHeight="1" x14ac:dyDescent="0.2">
      <c r="A2974" s="258"/>
      <c r="Z2974" s="258"/>
    </row>
    <row r="2975" spans="1:26" ht="12.75" customHeight="1" x14ac:dyDescent="0.2">
      <c r="A2975" s="258"/>
      <c r="Z2975" s="258"/>
    </row>
    <row r="2976" spans="1:26" ht="12.75" customHeight="1" x14ac:dyDescent="0.2">
      <c r="A2976" s="258"/>
      <c r="Z2976" s="258"/>
    </row>
    <row r="2977" spans="1:26" ht="12.75" customHeight="1" x14ac:dyDescent="0.2">
      <c r="A2977" s="258"/>
      <c r="Z2977" s="258"/>
    </row>
    <row r="2978" spans="1:26" ht="12.75" customHeight="1" x14ac:dyDescent="0.2">
      <c r="A2978" s="258"/>
      <c r="Z2978" s="258"/>
    </row>
    <row r="2979" spans="1:26" ht="12.75" customHeight="1" x14ac:dyDescent="0.2">
      <c r="A2979" s="258"/>
      <c r="Z2979" s="258"/>
    </row>
    <row r="2980" spans="1:26" ht="12.75" customHeight="1" x14ac:dyDescent="0.2">
      <c r="A2980" s="258"/>
      <c r="Z2980" s="258"/>
    </row>
    <row r="2981" spans="1:26" ht="12.75" customHeight="1" x14ac:dyDescent="0.2">
      <c r="A2981" s="258"/>
      <c r="Z2981" s="258"/>
    </row>
    <row r="2982" spans="1:26" ht="12.75" customHeight="1" x14ac:dyDescent="0.2">
      <c r="A2982" s="258"/>
      <c r="Z2982" s="258"/>
    </row>
    <row r="2983" spans="1:26" ht="12.75" customHeight="1" x14ac:dyDescent="0.2">
      <c r="A2983" s="258"/>
      <c r="Z2983" s="258"/>
    </row>
    <row r="2984" spans="1:26" ht="12.75" customHeight="1" x14ac:dyDescent="0.2">
      <c r="A2984" s="258"/>
      <c r="Z2984" s="258"/>
    </row>
    <row r="2985" spans="1:26" ht="12.75" customHeight="1" x14ac:dyDescent="0.2">
      <c r="A2985" s="258"/>
      <c r="Z2985" s="258"/>
    </row>
    <row r="2986" spans="1:26" ht="12.75" customHeight="1" x14ac:dyDescent="0.2">
      <c r="A2986" s="258"/>
      <c r="Z2986" s="258"/>
    </row>
    <row r="2987" spans="1:26" ht="12.75" customHeight="1" x14ac:dyDescent="0.2">
      <c r="A2987" s="258"/>
      <c r="Z2987" s="258"/>
    </row>
    <row r="2988" spans="1:26" ht="12.75" customHeight="1" x14ac:dyDescent="0.2">
      <c r="A2988" s="258"/>
      <c r="Z2988" s="258"/>
    </row>
    <row r="2989" spans="1:26" ht="12.75" customHeight="1" x14ac:dyDescent="0.2">
      <c r="A2989" s="258"/>
      <c r="Z2989" s="258"/>
    </row>
    <row r="2990" spans="1:26" ht="12.75" customHeight="1" x14ac:dyDescent="0.2">
      <c r="A2990" s="258"/>
      <c r="Z2990" s="258"/>
    </row>
    <row r="2991" spans="1:26" ht="12.75" customHeight="1" x14ac:dyDescent="0.2">
      <c r="A2991" s="258"/>
      <c r="Z2991" s="258"/>
    </row>
    <row r="2992" spans="1:26" ht="12.75" customHeight="1" x14ac:dyDescent="0.2">
      <c r="A2992" s="258"/>
      <c r="Z2992" s="258"/>
    </row>
    <row r="2993" spans="1:26" ht="12.75" customHeight="1" x14ac:dyDescent="0.2">
      <c r="A2993" s="258"/>
      <c r="Z2993" s="258"/>
    </row>
    <row r="2994" spans="1:26" ht="12.75" customHeight="1" x14ac:dyDescent="0.2">
      <c r="A2994" s="258"/>
      <c r="Z2994" s="258"/>
    </row>
    <row r="2995" spans="1:26" ht="12.75" customHeight="1" x14ac:dyDescent="0.2">
      <c r="A2995" s="258"/>
      <c r="Z2995" s="258"/>
    </row>
    <row r="2996" spans="1:26" ht="12.75" customHeight="1" x14ac:dyDescent="0.2">
      <c r="A2996" s="258"/>
      <c r="Z2996" s="258"/>
    </row>
    <row r="2997" spans="1:26" ht="12.75" customHeight="1" x14ac:dyDescent="0.2">
      <c r="A2997" s="258"/>
      <c r="Z2997" s="258"/>
    </row>
    <row r="2998" spans="1:26" ht="12.75" customHeight="1" x14ac:dyDescent="0.2">
      <c r="A2998" s="258"/>
      <c r="Z2998" s="258"/>
    </row>
    <row r="2999" spans="1:26" ht="12.75" customHeight="1" x14ac:dyDescent="0.2">
      <c r="A2999" s="258"/>
      <c r="Z2999" s="258"/>
    </row>
    <row r="3000" spans="1:26" ht="12.75" customHeight="1" x14ac:dyDescent="0.2">
      <c r="A3000" s="258"/>
      <c r="Z3000" s="258"/>
    </row>
    <row r="3001" spans="1:26" ht="12.75" customHeight="1" x14ac:dyDescent="0.2">
      <c r="A3001" s="258"/>
      <c r="Z3001" s="258"/>
    </row>
    <row r="3002" spans="1:26" ht="12.75" customHeight="1" x14ac:dyDescent="0.2">
      <c r="A3002" s="258"/>
      <c r="Z3002" s="258"/>
    </row>
    <row r="3003" spans="1:26" ht="12.75" customHeight="1" x14ac:dyDescent="0.2">
      <c r="A3003" s="258"/>
      <c r="Z3003" s="258"/>
    </row>
    <row r="3004" spans="1:26" ht="12.75" customHeight="1" x14ac:dyDescent="0.2">
      <c r="A3004" s="258"/>
      <c r="Z3004" s="258"/>
    </row>
    <row r="3005" spans="1:26" ht="12.75" customHeight="1" x14ac:dyDescent="0.2">
      <c r="A3005" s="258"/>
      <c r="Z3005" s="258"/>
    </row>
    <row r="3006" spans="1:26" ht="12.75" customHeight="1" x14ac:dyDescent="0.2">
      <c r="A3006" s="258"/>
      <c r="Z3006" s="258"/>
    </row>
    <row r="3007" spans="1:26" ht="12.75" customHeight="1" x14ac:dyDescent="0.2">
      <c r="A3007" s="258"/>
      <c r="Z3007" s="258"/>
    </row>
    <row r="3008" spans="1:26" ht="12.75" customHeight="1" x14ac:dyDescent="0.2">
      <c r="A3008" s="258"/>
      <c r="Z3008" s="258"/>
    </row>
    <row r="3009" spans="1:26" ht="12.75" customHeight="1" x14ac:dyDescent="0.2">
      <c r="A3009" s="258"/>
      <c r="Z3009" s="258"/>
    </row>
    <row r="3010" spans="1:26" ht="12.75" customHeight="1" x14ac:dyDescent="0.2">
      <c r="A3010" s="258"/>
      <c r="Z3010" s="258"/>
    </row>
    <row r="3011" spans="1:26" ht="12.75" customHeight="1" x14ac:dyDescent="0.2">
      <c r="A3011" s="258"/>
      <c r="Z3011" s="258"/>
    </row>
    <row r="3012" spans="1:26" ht="12.75" customHeight="1" x14ac:dyDescent="0.2">
      <c r="A3012" s="258"/>
      <c r="Z3012" s="258"/>
    </row>
    <row r="3013" spans="1:26" ht="12.75" customHeight="1" x14ac:dyDescent="0.2">
      <c r="A3013" s="258"/>
      <c r="Z3013" s="258"/>
    </row>
    <row r="3014" spans="1:26" ht="12.75" customHeight="1" x14ac:dyDescent="0.2">
      <c r="A3014" s="258"/>
      <c r="Z3014" s="258"/>
    </row>
    <row r="3015" spans="1:26" ht="12.75" customHeight="1" x14ac:dyDescent="0.2">
      <c r="A3015" s="258"/>
      <c r="Z3015" s="258"/>
    </row>
    <row r="3016" spans="1:26" ht="12.75" customHeight="1" x14ac:dyDescent="0.2">
      <c r="A3016" s="258"/>
      <c r="Z3016" s="258"/>
    </row>
    <row r="3017" spans="1:26" ht="12.75" customHeight="1" x14ac:dyDescent="0.2">
      <c r="A3017" s="258"/>
      <c r="Z3017" s="258"/>
    </row>
    <row r="3018" spans="1:26" ht="12.75" customHeight="1" x14ac:dyDescent="0.2">
      <c r="A3018" s="258"/>
      <c r="Z3018" s="258"/>
    </row>
    <row r="3019" spans="1:26" ht="12.75" customHeight="1" x14ac:dyDescent="0.2">
      <c r="A3019" s="258"/>
      <c r="Z3019" s="258"/>
    </row>
    <row r="3020" spans="1:26" ht="12.75" customHeight="1" x14ac:dyDescent="0.2">
      <c r="A3020" s="258"/>
      <c r="Z3020" s="258"/>
    </row>
    <row r="3021" spans="1:26" ht="12.75" customHeight="1" x14ac:dyDescent="0.2">
      <c r="A3021" s="258"/>
      <c r="Z3021" s="258"/>
    </row>
    <row r="3022" spans="1:26" ht="12.75" customHeight="1" x14ac:dyDescent="0.2">
      <c r="A3022" s="258"/>
      <c r="Z3022" s="258"/>
    </row>
    <row r="3023" spans="1:26" ht="12.75" customHeight="1" x14ac:dyDescent="0.2">
      <c r="A3023" s="258"/>
      <c r="Z3023" s="258"/>
    </row>
    <row r="3024" spans="1:26" ht="12.75" customHeight="1" x14ac:dyDescent="0.2">
      <c r="A3024" s="258"/>
      <c r="Z3024" s="258"/>
    </row>
    <row r="3025" spans="1:26" ht="12.75" customHeight="1" x14ac:dyDescent="0.2">
      <c r="A3025" s="258"/>
      <c r="Z3025" s="258"/>
    </row>
    <row r="3026" spans="1:26" ht="12.75" customHeight="1" x14ac:dyDescent="0.2">
      <c r="A3026" s="258"/>
      <c r="Z3026" s="258"/>
    </row>
    <row r="3027" spans="1:26" ht="12.75" customHeight="1" x14ac:dyDescent="0.2">
      <c r="A3027" s="258"/>
      <c r="Z3027" s="258"/>
    </row>
    <row r="3028" spans="1:26" ht="12.75" customHeight="1" x14ac:dyDescent="0.2">
      <c r="A3028" s="258"/>
      <c r="Z3028" s="258"/>
    </row>
    <row r="3029" spans="1:26" ht="12.75" customHeight="1" x14ac:dyDescent="0.2">
      <c r="A3029" s="258"/>
      <c r="Z3029" s="258"/>
    </row>
    <row r="3030" spans="1:26" ht="12.75" customHeight="1" x14ac:dyDescent="0.2">
      <c r="A3030" s="258"/>
      <c r="Z3030" s="258"/>
    </row>
    <row r="3031" spans="1:26" ht="12.75" customHeight="1" x14ac:dyDescent="0.2">
      <c r="A3031" s="258"/>
      <c r="Z3031" s="258"/>
    </row>
    <row r="3032" spans="1:26" ht="12.75" customHeight="1" x14ac:dyDescent="0.2">
      <c r="A3032" s="258"/>
      <c r="Z3032" s="258"/>
    </row>
    <row r="3033" spans="1:26" ht="12.75" customHeight="1" x14ac:dyDescent="0.2">
      <c r="A3033" s="258"/>
      <c r="Z3033" s="258"/>
    </row>
    <row r="3034" spans="1:26" ht="12.75" customHeight="1" x14ac:dyDescent="0.2">
      <c r="A3034" s="258"/>
      <c r="Z3034" s="258"/>
    </row>
    <row r="3035" spans="1:26" ht="12.75" customHeight="1" x14ac:dyDescent="0.2">
      <c r="A3035" s="258"/>
      <c r="Z3035" s="258"/>
    </row>
    <row r="3036" spans="1:26" ht="12.75" customHeight="1" x14ac:dyDescent="0.2">
      <c r="A3036" s="258"/>
      <c r="Z3036" s="258"/>
    </row>
    <row r="3037" spans="1:26" ht="12.75" customHeight="1" x14ac:dyDescent="0.2">
      <c r="A3037" s="258"/>
      <c r="Z3037" s="258"/>
    </row>
    <row r="3038" spans="1:26" ht="12.75" customHeight="1" x14ac:dyDescent="0.2">
      <c r="A3038" s="258"/>
      <c r="Z3038" s="258"/>
    </row>
    <row r="3039" spans="1:26" ht="12.75" customHeight="1" x14ac:dyDescent="0.2">
      <c r="A3039" s="258"/>
      <c r="Z3039" s="258"/>
    </row>
    <row r="3040" spans="1:26" ht="12.75" customHeight="1" x14ac:dyDescent="0.2">
      <c r="A3040" s="258"/>
      <c r="Z3040" s="258"/>
    </row>
    <row r="3041" spans="1:26" ht="12.75" customHeight="1" x14ac:dyDescent="0.2">
      <c r="A3041" s="258"/>
      <c r="Z3041" s="258"/>
    </row>
    <row r="3042" spans="1:26" ht="12.75" customHeight="1" x14ac:dyDescent="0.2">
      <c r="A3042" s="258"/>
      <c r="Z3042" s="258"/>
    </row>
    <row r="3043" spans="1:26" ht="12.75" customHeight="1" x14ac:dyDescent="0.2">
      <c r="A3043" s="258"/>
      <c r="Z3043" s="258"/>
    </row>
    <row r="3044" spans="1:26" ht="12.75" customHeight="1" x14ac:dyDescent="0.2">
      <c r="A3044" s="258"/>
      <c r="Z3044" s="258"/>
    </row>
    <row r="3045" spans="1:26" ht="12.75" customHeight="1" x14ac:dyDescent="0.2">
      <c r="A3045" s="258"/>
      <c r="Z3045" s="258"/>
    </row>
    <row r="3046" spans="1:26" ht="12.75" customHeight="1" x14ac:dyDescent="0.2">
      <c r="A3046" s="258"/>
      <c r="Z3046" s="258"/>
    </row>
    <row r="3047" spans="1:26" ht="12.75" customHeight="1" x14ac:dyDescent="0.2">
      <c r="A3047" s="258"/>
      <c r="Z3047" s="258"/>
    </row>
    <row r="3048" spans="1:26" ht="12.75" customHeight="1" x14ac:dyDescent="0.2">
      <c r="A3048" s="258"/>
      <c r="Z3048" s="258"/>
    </row>
    <row r="3049" spans="1:26" ht="12.75" customHeight="1" x14ac:dyDescent="0.2">
      <c r="A3049" s="258"/>
      <c r="Z3049" s="258"/>
    </row>
    <row r="3050" spans="1:26" ht="12.75" customHeight="1" x14ac:dyDescent="0.2">
      <c r="A3050" s="258"/>
      <c r="Z3050" s="258"/>
    </row>
    <row r="3051" spans="1:26" ht="12.75" customHeight="1" x14ac:dyDescent="0.2">
      <c r="A3051" s="258"/>
      <c r="Z3051" s="258"/>
    </row>
    <row r="3052" spans="1:26" ht="12.75" customHeight="1" x14ac:dyDescent="0.2">
      <c r="A3052" s="258"/>
      <c r="Z3052" s="258"/>
    </row>
    <row r="3053" spans="1:26" ht="12.75" customHeight="1" x14ac:dyDescent="0.2">
      <c r="A3053" s="258"/>
      <c r="Z3053" s="258"/>
    </row>
    <row r="3054" spans="1:26" ht="12.75" customHeight="1" x14ac:dyDescent="0.2">
      <c r="A3054" s="258"/>
      <c r="Z3054" s="258"/>
    </row>
    <row r="3055" spans="1:26" ht="12.75" customHeight="1" x14ac:dyDescent="0.2">
      <c r="A3055" s="258"/>
      <c r="Z3055" s="258"/>
    </row>
    <row r="3056" spans="1:26" ht="12.75" customHeight="1" x14ac:dyDescent="0.2">
      <c r="A3056" s="258"/>
      <c r="Z3056" s="258"/>
    </row>
    <row r="3057" spans="1:26" ht="12.75" customHeight="1" x14ac:dyDescent="0.2">
      <c r="A3057" s="258"/>
      <c r="Z3057" s="258"/>
    </row>
    <row r="3058" spans="1:26" ht="12.75" customHeight="1" x14ac:dyDescent="0.2">
      <c r="A3058" s="258"/>
      <c r="Z3058" s="258"/>
    </row>
    <row r="3059" spans="1:26" ht="12.75" customHeight="1" x14ac:dyDescent="0.2">
      <c r="A3059" s="258"/>
      <c r="Z3059" s="258"/>
    </row>
    <row r="3060" spans="1:26" ht="12.75" customHeight="1" x14ac:dyDescent="0.2">
      <c r="A3060" s="258"/>
      <c r="Z3060" s="258"/>
    </row>
    <row r="3061" spans="1:26" ht="12.75" customHeight="1" x14ac:dyDescent="0.2">
      <c r="A3061" s="258"/>
      <c r="Z3061" s="258"/>
    </row>
    <row r="3062" spans="1:26" ht="12.75" customHeight="1" x14ac:dyDescent="0.2">
      <c r="A3062" s="258"/>
      <c r="Z3062" s="258"/>
    </row>
    <row r="3063" spans="1:26" ht="12.75" customHeight="1" x14ac:dyDescent="0.2">
      <c r="A3063" s="258"/>
      <c r="Z3063" s="258"/>
    </row>
    <row r="3064" spans="1:26" ht="12.75" customHeight="1" x14ac:dyDescent="0.2">
      <c r="A3064" s="258"/>
      <c r="Z3064" s="258"/>
    </row>
    <row r="3065" spans="1:26" ht="12.75" customHeight="1" x14ac:dyDescent="0.2">
      <c r="A3065" s="258"/>
      <c r="Z3065" s="258"/>
    </row>
    <row r="3066" spans="1:26" ht="12.75" customHeight="1" x14ac:dyDescent="0.2">
      <c r="A3066" s="258"/>
      <c r="Z3066" s="258"/>
    </row>
    <row r="3067" spans="1:26" ht="12.75" customHeight="1" x14ac:dyDescent="0.2">
      <c r="A3067" s="258"/>
      <c r="Z3067" s="258"/>
    </row>
    <row r="3068" spans="1:26" ht="12.75" customHeight="1" x14ac:dyDescent="0.2">
      <c r="A3068" s="258"/>
      <c r="Z3068" s="258"/>
    </row>
    <row r="3069" spans="1:26" ht="12.75" customHeight="1" x14ac:dyDescent="0.2">
      <c r="A3069" s="258"/>
      <c r="Z3069" s="258"/>
    </row>
    <row r="3070" spans="1:26" ht="12.75" customHeight="1" x14ac:dyDescent="0.2">
      <c r="A3070" s="258"/>
      <c r="Z3070" s="258"/>
    </row>
    <row r="3071" spans="1:26" ht="12.75" customHeight="1" x14ac:dyDescent="0.2">
      <c r="A3071" s="258"/>
      <c r="Z3071" s="258"/>
    </row>
    <row r="3072" spans="1:26" ht="12.75" customHeight="1" x14ac:dyDescent="0.2">
      <c r="A3072" s="258"/>
      <c r="Z3072" s="258"/>
    </row>
    <row r="3073" spans="1:26" ht="12.75" customHeight="1" x14ac:dyDescent="0.2">
      <c r="A3073" s="258"/>
      <c r="Z3073" s="258"/>
    </row>
    <row r="3074" spans="1:26" ht="12.75" customHeight="1" x14ac:dyDescent="0.2">
      <c r="A3074" s="258"/>
      <c r="Z3074" s="258"/>
    </row>
    <row r="3075" spans="1:26" ht="12.75" customHeight="1" x14ac:dyDescent="0.2">
      <c r="A3075" s="258"/>
      <c r="Z3075" s="258"/>
    </row>
    <row r="3076" spans="1:26" ht="12.75" customHeight="1" x14ac:dyDescent="0.2">
      <c r="A3076" s="258"/>
      <c r="Z3076" s="258"/>
    </row>
    <row r="3077" spans="1:26" ht="12.75" customHeight="1" x14ac:dyDescent="0.2">
      <c r="A3077" s="258"/>
      <c r="Z3077" s="258"/>
    </row>
    <row r="3078" spans="1:26" ht="12.75" customHeight="1" x14ac:dyDescent="0.2">
      <c r="A3078" s="258"/>
      <c r="Z3078" s="258"/>
    </row>
    <row r="3079" spans="1:26" ht="12.75" customHeight="1" x14ac:dyDescent="0.2">
      <c r="A3079" s="258"/>
      <c r="Z3079" s="258"/>
    </row>
    <row r="3080" spans="1:26" ht="12.75" customHeight="1" x14ac:dyDescent="0.2">
      <c r="A3080" s="258"/>
      <c r="Z3080" s="258"/>
    </row>
    <row r="3081" spans="1:26" ht="12.75" customHeight="1" x14ac:dyDescent="0.2">
      <c r="A3081" s="258"/>
      <c r="Z3081" s="258"/>
    </row>
    <row r="3082" spans="1:26" ht="12.75" customHeight="1" x14ac:dyDescent="0.2">
      <c r="A3082" s="258"/>
      <c r="Z3082" s="258"/>
    </row>
    <row r="3083" spans="1:26" ht="12.75" customHeight="1" x14ac:dyDescent="0.2">
      <c r="A3083" s="258"/>
      <c r="Z3083" s="258"/>
    </row>
    <row r="3084" spans="1:26" ht="12.75" customHeight="1" x14ac:dyDescent="0.2">
      <c r="A3084" s="258"/>
      <c r="Z3084" s="258"/>
    </row>
    <row r="3085" spans="1:26" ht="12.75" customHeight="1" x14ac:dyDescent="0.2">
      <c r="A3085" s="258"/>
      <c r="Z3085" s="258"/>
    </row>
    <row r="3086" spans="1:26" ht="12.75" customHeight="1" x14ac:dyDescent="0.2">
      <c r="A3086" s="258"/>
      <c r="Z3086" s="258"/>
    </row>
    <row r="3087" spans="1:26" ht="12.75" customHeight="1" x14ac:dyDescent="0.2">
      <c r="A3087" s="258"/>
      <c r="Z3087" s="258"/>
    </row>
    <row r="3088" spans="1:26" ht="12.75" customHeight="1" x14ac:dyDescent="0.2">
      <c r="A3088" s="258"/>
      <c r="Z3088" s="258"/>
    </row>
    <row r="3089" spans="1:26" ht="12.75" customHeight="1" x14ac:dyDescent="0.2">
      <c r="A3089" s="258"/>
      <c r="Z3089" s="258"/>
    </row>
    <row r="3090" spans="1:26" ht="12.75" customHeight="1" x14ac:dyDescent="0.2">
      <c r="A3090" s="258"/>
      <c r="Z3090" s="258"/>
    </row>
    <row r="3091" spans="1:26" ht="12.75" customHeight="1" x14ac:dyDescent="0.2">
      <c r="A3091" s="258"/>
      <c r="Z3091" s="258"/>
    </row>
    <row r="3092" spans="1:26" ht="12.75" customHeight="1" x14ac:dyDescent="0.2">
      <c r="A3092" s="258"/>
      <c r="Z3092" s="258"/>
    </row>
    <row r="3093" spans="1:26" ht="12.75" customHeight="1" x14ac:dyDescent="0.2">
      <c r="A3093" s="258"/>
      <c r="Z3093" s="258"/>
    </row>
    <row r="3094" spans="1:26" ht="12.75" customHeight="1" x14ac:dyDescent="0.2">
      <c r="A3094" s="258"/>
      <c r="Z3094" s="258"/>
    </row>
    <row r="3095" spans="1:26" ht="12.75" customHeight="1" x14ac:dyDescent="0.2">
      <c r="A3095" s="258"/>
      <c r="Z3095" s="258"/>
    </row>
    <row r="3096" spans="1:26" ht="12.75" customHeight="1" x14ac:dyDescent="0.2">
      <c r="A3096" s="258"/>
      <c r="Z3096" s="258"/>
    </row>
    <row r="3097" spans="1:26" ht="12.75" customHeight="1" x14ac:dyDescent="0.2">
      <c r="A3097" s="258"/>
      <c r="Z3097" s="258"/>
    </row>
    <row r="3098" spans="1:26" ht="12.75" customHeight="1" x14ac:dyDescent="0.2">
      <c r="A3098" s="258"/>
      <c r="Z3098" s="258"/>
    </row>
    <row r="3099" spans="1:26" ht="12.75" customHeight="1" x14ac:dyDescent="0.2">
      <c r="A3099" s="258"/>
      <c r="Z3099" s="258"/>
    </row>
    <row r="3100" spans="1:26" ht="12.75" customHeight="1" x14ac:dyDescent="0.2">
      <c r="A3100" s="258"/>
      <c r="Z3100" s="258"/>
    </row>
    <row r="3101" spans="1:26" ht="12.75" customHeight="1" x14ac:dyDescent="0.2">
      <c r="A3101" s="258"/>
      <c r="Z3101" s="258"/>
    </row>
    <row r="3102" spans="1:26" ht="12.75" customHeight="1" x14ac:dyDescent="0.2">
      <c r="A3102" s="258"/>
      <c r="Z3102" s="258"/>
    </row>
    <row r="3103" spans="1:26" ht="12.75" customHeight="1" x14ac:dyDescent="0.2">
      <c r="A3103" s="258"/>
      <c r="Z3103" s="258"/>
    </row>
    <row r="3104" spans="1:26" ht="12.75" customHeight="1" x14ac:dyDescent="0.2">
      <c r="A3104" s="258"/>
      <c r="Z3104" s="258"/>
    </row>
    <row r="3105" spans="1:26" ht="12.75" customHeight="1" x14ac:dyDescent="0.2">
      <c r="A3105" s="258"/>
      <c r="Z3105" s="258"/>
    </row>
    <row r="3106" spans="1:26" ht="12.75" customHeight="1" x14ac:dyDescent="0.2">
      <c r="A3106" s="258"/>
      <c r="Z3106" s="258"/>
    </row>
    <row r="3107" spans="1:26" ht="12.75" customHeight="1" x14ac:dyDescent="0.2">
      <c r="A3107" s="258"/>
      <c r="Z3107" s="258"/>
    </row>
    <row r="3108" spans="1:26" ht="12.75" customHeight="1" x14ac:dyDescent="0.2">
      <c r="A3108" s="258"/>
      <c r="Z3108" s="258"/>
    </row>
    <row r="3109" spans="1:26" ht="12.75" customHeight="1" x14ac:dyDescent="0.2">
      <c r="A3109" s="258"/>
      <c r="Z3109" s="258"/>
    </row>
    <row r="3110" spans="1:26" ht="12.75" customHeight="1" x14ac:dyDescent="0.2">
      <c r="A3110" s="258"/>
      <c r="Z3110" s="258"/>
    </row>
    <row r="3111" spans="1:26" ht="12.75" customHeight="1" x14ac:dyDescent="0.2">
      <c r="A3111" s="258"/>
      <c r="Z3111" s="258"/>
    </row>
    <row r="3112" spans="1:26" ht="12.75" customHeight="1" x14ac:dyDescent="0.2">
      <c r="A3112" s="258"/>
      <c r="Z3112" s="258"/>
    </row>
    <row r="3113" spans="1:26" ht="12.75" customHeight="1" x14ac:dyDescent="0.2">
      <c r="A3113" s="258"/>
      <c r="Z3113" s="258"/>
    </row>
    <row r="3114" spans="1:26" ht="12.75" customHeight="1" x14ac:dyDescent="0.2">
      <c r="A3114" s="258"/>
      <c r="Z3114" s="258"/>
    </row>
    <row r="3115" spans="1:26" ht="12.75" customHeight="1" x14ac:dyDescent="0.2">
      <c r="A3115" s="258"/>
      <c r="Z3115" s="258"/>
    </row>
    <row r="3116" spans="1:26" ht="12.75" customHeight="1" x14ac:dyDescent="0.2">
      <c r="A3116" s="258"/>
      <c r="Z3116" s="258"/>
    </row>
    <row r="3117" spans="1:26" ht="12.75" customHeight="1" x14ac:dyDescent="0.2">
      <c r="A3117" s="258"/>
      <c r="Z3117" s="258"/>
    </row>
    <row r="3118" spans="1:26" ht="12.75" customHeight="1" x14ac:dyDescent="0.2">
      <c r="A3118" s="258"/>
      <c r="Z3118" s="258"/>
    </row>
    <row r="3119" spans="1:26" ht="12.75" customHeight="1" x14ac:dyDescent="0.2">
      <c r="A3119" s="258"/>
      <c r="Z3119" s="258"/>
    </row>
    <row r="3120" spans="1:26" ht="12.75" customHeight="1" x14ac:dyDescent="0.2">
      <c r="A3120" s="258"/>
      <c r="Z3120" s="258"/>
    </row>
    <row r="3121" spans="1:26" ht="12.75" customHeight="1" x14ac:dyDescent="0.2">
      <c r="A3121" s="258"/>
      <c r="Z3121" s="258"/>
    </row>
    <row r="3122" spans="1:26" ht="12.75" customHeight="1" x14ac:dyDescent="0.2">
      <c r="A3122" s="258"/>
      <c r="Z3122" s="258"/>
    </row>
    <row r="3123" spans="1:26" ht="12.75" customHeight="1" x14ac:dyDescent="0.2">
      <c r="A3123" s="258"/>
      <c r="Z3123" s="258"/>
    </row>
    <row r="3124" spans="1:26" ht="12.75" customHeight="1" x14ac:dyDescent="0.2">
      <c r="A3124" s="258"/>
      <c r="Z3124" s="258"/>
    </row>
    <row r="3125" spans="1:26" ht="12.75" customHeight="1" x14ac:dyDescent="0.2">
      <c r="A3125" s="258"/>
      <c r="Z3125" s="258"/>
    </row>
    <row r="3126" spans="1:26" ht="12.75" customHeight="1" x14ac:dyDescent="0.2">
      <c r="A3126" s="258"/>
      <c r="Z3126" s="258"/>
    </row>
    <row r="3127" spans="1:26" ht="12.75" customHeight="1" x14ac:dyDescent="0.2">
      <c r="A3127" s="258"/>
      <c r="Z3127" s="258"/>
    </row>
    <row r="3128" spans="1:26" ht="12.75" customHeight="1" x14ac:dyDescent="0.2">
      <c r="A3128" s="258"/>
      <c r="Z3128" s="258"/>
    </row>
    <row r="3129" spans="1:26" ht="12.75" customHeight="1" x14ac:dyDescent="0.2">
      <c r="A3129" s="258"/>
      <c r="Z3129" s="258"/>
    </row>
    <row r="3130" spans="1:26" ht="12.75" customHeight="1" x14ac:dyDescent="0.2">
      <c r="A3130" s="258"/>
      <c r="Z3130" s="258"/>
    </row>
    <row r="3131" spans="1:26" ht="12.75" customHeight="1" x14ac:dyDescent="0.2">
      <c r="A3131" s="258"/>
      <c r="Z3131" s="258"/>
    </row>
    <row r="3132" spans="1:26" ht="12.75" customHeight="1" x14ac:dyDescent="0.2">
      <c r="A3132" s="258"/>
      <c r="Z3132" s="258"/>
    </row>
    <row r="3133" spans="1:26" ht="12.75" customHeight="1" x14ac:dyDescent="0.2">
      <c r="A3133" s="258"/>
      <c r="Z3133" s="258"/>
    </row>
    <row r="3134" spans="1:26" ht="12.75" customHeight="1" x14ac:dyDescent="0.2">
      <c r="A3134" s="258"/>
      <c r="Z3134" s="258"/>
    </row>
    <row r="3135" spans="1:26" ht="12.75" customHeight="1" x14ac:dyDescent="0.2">
      <c r="A3135" s="258"/>
      <c r="Z3135" s="258"/>
    </row>
    <row r="3136" spans="1:26" ht="12.75" customHeight="1" x14ac:dyDescent="0.2">
      <c r="A3136" s="258"/>
      <c r="Z3136" s="258"/>
    </row>
    <row r="3137" spans="1:26" ht="12.75" customHeight="1" x14ac:dyDescent="0.2">
      <c r="A3137" s="258"/>
      <c r="Z3137" s="258"/>
    </row>
    <row r="3138" spans="1:26" ht="12.75" customHeight="1" x14ac:dyDescent="0.2">
      <c r="A3138" s="258"/>
      <c r="Z3138" s="258"/>
    </row>
    <row r="3139" spans="1:26" ht="12.75" customHeight="1" x14ac:dyDescent="0.2">
      <c r="A3139" s="258"/>
      <c r="Z3139" s="258"/>
    </row>
    <row r="3140" spans="1:26" ht="12.75" customHeight="1" x14ac:dyDescent="0.2">
      <c r="A3140" s="258"/>
      <c r="Z3140" s="258"/>
    </row>
    <row r="3141" spans="1:26" ht="12.75" customHeight="1" x14ac:dyDescent="0.2">
      <c r="A3141" s="258"/>
      <c r="Z3141" s="258"/>
    </row>
    <row r="3142" spans="1:26" ht="12.75" customHeight="1" x14ac:dyDescent="0.2">
      <c r="A3142" s="258"/>
      <c r="Z3142" s="258"/>
    </row>
    <row r="3143" spans="1:26" ht="12.75" customHeight="1" x14ac:dyDescent="0.2">
      <c r="A3143" s="258"/>
      <c r="Z3143" s="258"/>
    </row>
    <row r="3144" spans="1:26" ht="12.75" customHeight="1" x14ac:dyDescent="0.2">
      <c r="A3144" s="258"/>
      <c r="Z3144" s="258"/>
    </row>
    <row r="3145" spans="1:26" ht="12.75" customHeight="1" x14ac:dyDescent="0.2">
      <c r="A3145" s="258"/>
      <c r="Z3145" s="258"/>
    </row>
    <row r="3146" spans="1:26" ht="12.75" customHeight="1" x14ac:dyDescent="0.2">
      <c r="A3146" s="258"/>
      <c r="Z3146" s="258"/>
    </row>
    <row r="3147" spans="1:26" ht="12.75" customHeight="1" x14ac:dyDescent="0.2">
      <c r="A3147" s="258"/>
      <c r="Z3147" s="258"/>
    </row>
    <row r="3148" spans="1:26" ht="12.75" customHeight="1" x14ac:dyDescent="0.2">
      <c r="A3148" s="258"/>
      <c r="Z3148" s="258"/>
    </row>
    <row r="3149" spans="1:26" ht="12.75" customHeight="1" x14ac:dyDescent="0.2">
      <c r="A3149" s="258"/>
      <c r="Z3149" s="258"/>
    </row>
    <row r="3150" spans="1:26" ht="12.75" customHeight="1" x14ac:dyDescent="0.2">
      <c r="A3150" s="258"/>
      <c r="Z3150" s="258"/>
    </row>
    <row r="3151" spans="1:26" ht="12.75" customHeight="1" x14ac:dyDescent="0.2">
      <c r="A3151" s="258"/>
      <c r="Z3151" s="258"/>
    </row>
    <row r="3152" spans="1:26" ht="12.75" customHeight="1" x14ac:dyDescent="0.2">
      <c r="A3152" s="258"/>
      <c r="Z3152" s="258"/>
    </row>
    <row r="3153" spans="1:26" ht="12.75" customHeight="1" x14ac:dyDescent="0.2">
      <c r="A3153" s="258"/>
      <c r="Z3153" s="258"/>
    </row>
    <row r="3154" spans="1:26" ht="12.75" customHeight="1" x14ac:dyDescent="0.2">
      <c r="A3154" s="258"/>
      <c r="Z3154" s="258"/>
    </row>
    <row r="3155" spans="1:26" ht="12.75" customHeight="1" x14ac:dyDescent="0.2">
      <c r="A3155" s="258"/>
      <c r="Z3155" s="258"/>
    </row>
    <row r="3156" spans="1:26" ht="12.75" customHeight="1" x14ac:dyDescent="0.2">
      <c r="A3156" s="258"/>
      <c r="Z3156" s="258"/>
    </row>
    <row r="3157" spans="1:26" ht="12.75" customHeight="1" x14ac:dyDescent="0.2">
      <c r="A3157" s="258"/>
      <c r="Z3157" s="258"/>
    </row>
    <row r="3158" spans="1:26" ht="12.75" customHeight="1" x14ac:dyDescent="0.2">
      <c r="A3158" s="258"/>
      <c r="Z3158" s="258"/>
    </row>
    <row r="3159" spans="1:26" ht="12.75" customHeight="1" x14ac:dyDescent="0.2">
      <c r="A3159" s="258"/>
      <c r="Z3159" s="258"/>
    </row>
    <row r="3160" spans="1:26" ht="12.75" customHeight="1" x14ac:dyDescent="0.2">
      <c r="A3160" s="258"/>
      <c r="Z3160" s="258"/>
    </row>
    <row r="3161" spans="1:26" ht="12.75" customHeight="1" x14ac:dyDescent="0.2">
      <c r="A3161" s="258"/>
      <c r="Z3161" s="258"/>
    </row>
    <row r="3162" spans="1:26" ht="12.75" customHeight="1" x14ac:dyDescent="0.2">
      <c r="A3162" s="258"/>
      <c r="Z3162" s="258"/>
    </row>
    <row r="3163" spans="1:26" ht="12.75" customHeight="1" x14ac:dyDescent="0.2">
      <c r="A3163" s="258"/>
      <c r="Z3163" s="258"/>
    </row>
    <row r="3164" spans="1:26" ht="12.75" customHeight="1" x14ac:dyDescent="0.2">
      <c r="A3164" s="258"/>
      <c r="Z3164" s="258"/>
    </row>
    <row r="3165" spans="1:26" ht="12.75" customHeight="1" x14ac:dyDescent="0.2">
      <c r="A3165" s="258"/>
      <c r="Z3165" s="258"/>
    </row>
    <row r="3166" spans="1:26" ht="12.75" customHeight="1" x14ac:dyDescent="0.2">
      <c r="A3166" s="258"/>
      <c r="Z3166" s="258"/>
    </row>
    <row r="3167" spans="1:26" ht="12.75" customHeight="1" x14ac:dyDescent="0.2">
      <c r="A3167" s="258"/>
      <c r="Z3167" s="258"/>
    </row>
    <row r="3168" spans="1:26" ht="12.75" customHeight="1" x14ac:dyDescent="0.2">
      <c r="A3168" s="258"/>
      <c r="Z3168" s="258"/>
    </row>
    <row r="3169" spans="1:26" ht="12.75" customHeight="1" x14ac:dyDescent="0.2">
      <c r="A3169" s="258"/>
      <c r="Z3169" s="258"/>
    </row>
    <row r="3170" spans="1:26" ht="12.75" customHeight="1" x14ac:dyDescent="0.2">
      <c r="A3170" s="258"/>
      <c r="Z3170" s="258"/>
    </row>
    <row r="3171" spans="1:26" ht="12.75" customHeight="1" x14ac:dyDescent="0.2">
      <c r="A3171" s="258"/>
      <c r="Z3171" s="258"/>
    </row>
    <row r="3172" spans="1:26" ht="12.75" customHeight="1" x14ac:dyDescent="0.2">
      <c r="A3172" s="258"/>
      <c r="Z3172" s="258"/>
    </row>
    <row r="3173" spans="1:26" ht="12.75" customHeight="1" x14ac:dyDescent="0.2">
      <c r="A3173" s="258"/>
      <c r="Z3173" s="258"/>
    </row>
    <row r="3174" spans="1:26" ht="12.75" customHeight="1" x14ac:dyDescent="0.2">
      <c r="A3174" s="258"/>
      <c r="Z3174" s="258"/>
    </row>
    <row r="3175" spans="1:26" ht="12.75" customHeight="1" x14ac:dyDescent="0.2">
      <c r="A3175" s="258"/>
      <c r="Z3175" s="258"/>
    </row>
    <row r="3176" spans="1:26" ht="12.75" customHeight="1" x14ac:dyDescent="0.2">
      <c r="A3176" s="258"/>
      <c r="Z3176" s="258"/>
    </row>
    <row r="3177" spans="1:26" ht="12.75" customHeight="1" x14ac:dyDescent="0.2">
      <c r="A3177" s="258"/>
      <c r="Z3177" s="258"/>
    </row>
    <row r="3178" spans="1:26" ht="12.75" customHeight="1" x14ac:dyDescent="0.2">
      <c r="A3178" s="258"/>
      <c r="Z3178" s="258"/>
    </row>
    <row r="3179" spans="1:26" ht="12.75" customHeight="1" x14ac:dyDescent="0.2">
      <c r="A3179" s="258"/>
      <c r="Z3179" s="258"/>
    </row>
    <row r="3180" spans="1:26" ht="12.75" customHeight="1" x14ac:dyDescent="0.2">
      <c r="A3180" s="258"/>
      <c r="Z3180" s="258"/>
    </row>
    <row r="3181" spans="1:26" ht="12.75" customHeight="1" x14ac:dyDescent="0.2">
      <c r="A3181" s="258"/>
      <c r="Z3181" s="258"/>
    </row>
    <row r="3182" spans="1:26" ht="12.75" customHeight="1" x14ac:dyDescent="0.2">
      <c r="A3182" s="258"/>
      <c r="Z3182" s="258"/>
    </row>
    <row r="3183" spans="1:26" ht="12.75" customHeight="1" x14ac:dyDescent="0.2">
      <c r="A3183" s="258"/>
      <c r="Z3183" s="258"/>
    </row>
    <row r="3184" spans="1:26" ht="12.75" customHeight="1" x14ac:dyDescent="0.2">
      <c r="A3184" s="258"/>
      <c r="Z3184" s="258"/>
    </row>
    <row r="3185" spans="1:26" ht="12.75" customHeight="1" x14ac:dyDescent="0.2">
      <c r="A3185" s="258"/>
      <c r="Z3185" s="258"/>
    </row>
    <row r="3186" spans="1:26" ht="12.75" customHeight="1" x14ac:dyDescent="0.2">
      <c r="A3186" s="258"/>
      <c r="Z3186" s="258"/>
    </row>
    <row r="3187" spans="1:26" ht="12.75" customHeight="1" x14ac:dyDescent="0.2">
      <c r="A3187" s="258"/>
      <c r="Z3187" s="258"/>
    </row>
    <row r="3188" spans="1:26" ht="12.75" customHeight="1" x14ac:dyDescent="0.2">
      <c r="A3188" s="258"/>
      <c r="Z3188" s="258"/>
    </row>
    <row r="3189" spans="1:26" ht="12.75" customHeight="1" x14ac:dyDescent="0.2">
      <c r="A3189" s="258"/>
      <c r="Z3189" s="258"/>
    </row>
    <row r="3190" spans="1:26" ht="12.75" customHeight="1" x14ac:dyDescent="0.2">
      <c r="A3190" s="258"/>
      <c r="Z3190" s="258"/>
    </row>
    <row r="3191" spans="1:26" ht="12.75" customHeight="1" x14ac:dyDescent="0.2">
      <c r="A3191" s="258"/>
      <c r="Z3191" s="258"/>
    </row>
    <row r="3192" spans="1:26" ht="12.75" customHeight="1" x14ac:dyDescent="0.2">
      <c r="A3192" s="258"/>
      <c r="Z3192" s="258"/>
    </row>
    <row r="3193" spans="1:26" ht="12.75" customHeight="1" x14ac:dyDescent="0.2">
      <c r="A3193" s="258"/>
      <c r="Z3193" s="258"/>
    </row>
    <row r="3194" spans="1:26" ht="12.75" customHeight="1" x14ac:dyDescent="0.2">
      <c r="A3194" s="258"/>
      <c r="Z3194" s="258"/>
    </row>
    <row r="3195" spans="1:26" ht="12.75" customHeight="1" x14ac:dyDescent="0.2">
      <c r="A3195" s="258"/>
      <c r="Z3195" s="258"/>
    </row>
    <row r="3196" spans="1:26" ht="12.75" customHeight="1" x14ac:dyDescent="0.2">
      <c r="A3196" s="258"/>
      <c r="Z3196" s="258"/>
    </row>
    <row r="3197" spans="1:26" ht="12.75" customHeight="1" x14ac:dyDescent="0.2">
      <c r="A3197" s="258"/>
      <c r="Z3197" s="258"/>
    </row>
    <row r="3198" spans="1:26" ht="12.75" customHeight="1" x14ac:dyDescent="0.2">
      <c r="A3198" s="258"/>
      <c r="Z3198" s="258"/>
    </row>
    <row r="3199" spans="1:26" ht="12.75" customHeight="1" x14ac:dyDescent="0.2">
      <c r="A3199" s="258"/>
      <c r="Z3199" s="258"/>
    </row>
    <row r="3200" spans="1:26" ht="12.75" customHeight="1" x14ac:dyDescent="0.2">
      <c r="A3200" s="258"/>
      <c r="Z3200" s="258"/>
    </row>
    <row r="3201" spans="1:26" ht="12.75" customHeight="1" x14ac:dyDescent="0.2">
      <c r="A3201" s="258"/>
      <c r="Z3201" s="258"/>
    </row>
    <row r="3202" spans="1:26" ht="12.75" customHeight="1" x14ac:dyDescent="0.2">
      <c r="A3202" s="258"/>
      <c r="Z3202" s="258"/>
    </row>
    <row r="3203" spans="1:26" ht="12.75" customHeight="1" x14ac:dyDescent="0.2">
      <c r="A3203" s="258"/>
      <c r="Z3203" s="258"/>
    </row>
    <row r="3204" spans="1:26" ht="12.75" customHeight="1" x14ac:dyDescent="0.2">
      <c r="A3204" s="258"/>
      <c r="Z3204" s="258"/>
    </row>
    <row r="3205" spans="1:26" ht="12.75" customHeight="1" x14ac:dyDescent="0.2">
      <c r="A3205" s="258"/>
      <c r="Z3205" s="258"/>
    </row>
    <row r="3206" spans="1:26" ht="12.75" customHeight="1" x14ac:dyDescent="0.2">
      <c r="A3206" s="258"/>
      <c r="Z3206" s="258"/>
    </row>
    <row r="3207" spans="1:26" ht="12.75" customHeight="1" x14ac:dyDescent="0.2">
      <c r="A3207" s="258"/>
      <c r="Z3207" s="258"/>
    </row>
    <row r="3208" spans="1:26" ht="12.75" customHeight="1" x14ac:dyDescent="0.2">
      <c r="A3208" s="258"/>
      <c r="Z3208" s="258"/>
    </row>
    <row r="3209" spans="1:26" ht="12.75" customHeight="1" x14ac:dyDescent="0.2">
      <c r="A3209" s="258"/>
      <c r="Z3209" s="258"/>
    </row>
    <row r="3210" spans="1:26" ht="12.75" customHeight="1" x14ac:dyDescent="0.2">
      <c r="A3210" s="258"/>
      <c r="Z3210" s="258"/>
    </row>
    <row r="3211" spans="1:26" ht="12.75" customHeight="1" x14ac:dyDescent="0.2">
      <c r="A3211" s="258"/>
      <c r="Z3211" s="258"/>
    </row>
    <row r="3212" spans="1:26" ht="12.75" customHeight="1" x14ac:dyDescent="0.2">
      <c r="A3212" s="258"/>
      <c r="Z3212" s="258"/>
    </row>
    <row r="3213" spans="1:26" ht="12.75" customHeight="1" x14ac:dyDescent="0.2">
      <c r="A3213" s="258"/>
      <c r="Z3213" s="258"/>
    </row>
    <row r="3214" spans="1:26" ht="12.75" customHeight="1" x14ac:dyDescent="0.2">
      <c r="A3214" s="258"/>
      <c r="Z3214" s="258"/>
    </row>
    <row r="3215" spans="1:26" ht="12.75" customHeight="1" x14ac:dyDescent="0.2">
      <c r="A3215" s="258"/>
      <c r="Z3215" s="258"/>
    </row>
    <row r="3216" spans="1:26" ht="12.75" customHeight="1" x14ac:dyDescent="0.2">
      <c r="A3216" s="258"/>
      <c r="Z3216" s="258"/>
    </row>
    <row r="3217" spans="1:26" ht="12.75" customHeight="1" x14ac:dyDescent="0.2">
      <c r="A3217" s="258"/>
      <c r="Z3217" s="258"/>
    </row>
    <row r="3218" spans="1:26" ht="12.75" customHeight="1" x14ac:dyDescent="0.2">
      <c r="A3218" s="258"/>
      <c r="Z3218" s="258"/>
    </row>
    <row r="3219" spans="1:26" ht="12.75" customHeight="1" x14ac:dyDescent="0.2">
      <c r="A3219" s="258"/>
      <c r="Z3219" s="258"/>
    </row>
    <row r="3220" spans="1:26" ht="12.75" customHeight="1" x14ac:dyDescent="0.2">
      <c r="A3220" s="258"/>
      <c r="Z3220" s="258"/>
    </row>
    <row r="3221" spans="1:26" ht="12.75" customHeight="1" x14ac:dyDescent="0.2">
      <c r="A3221" s="258"/>
      <c r="Z3221" s="258"/>
    </row>
    <row r="3222" spans="1:26" ht="12.75" customHeight="1" x14ac:dyDescent="0.2">
      <c r="A3222" s="258"/>
      <c r="Z3222" s="258"/>
    </row>
    <row r="3223" spans="1:26" ht="12.75" customHeight="1" x14ac:dyDescent="0.2">
      <c r="A3223" s="258"/>
      <c r="Z3223" s="258"/>
    </row>
    <row r="3224" spans="1:26" ht="12.75" customHeight="1" x14ac:dyDescent="0.2">
      <c r="A3224" s="258"/>
      <c r="Z3224" s="258"/>
    </row>
    <row r="3225" spans="1:26" ht="12.75" customHeight="1" x14ac:dyDescent="0.2">
      <c r="A3225" s="258"/>
      <c r="Z3225" s="258"/>
    </row>
    <row r="3226" spans="1:26" ht="12.75" customHeight="1" x14ac:dyDescent="0.2">
      <c r="A3226" s="258"/>
      <c r="Z3226" s="258"/>
    </row>
    <row r="3227" spans="1:26" ht="12.75" customHeight="1" x14ac:dyDescent="0.2">
      <c r="A3227" s="258"/>
      <c r="Z3227" s="258"/>
    </row>
    <row r="3228" spans="1:26" ht="12.75" customHeight="1" x14ac:dyDescent="0.2">
      <c r="A3228" s="258"/>
      <c r="Z3228" s="258"/>
    </row>
    <row r="3229" spans="1:26" ht="12.75" customHeight="1" x14ac:dyDescent="0.2">
      <c r="A3229" s="258"/>
      <c r="Z3229" s="258"/>
    </row>
    <row r="3230" spans="1:26" ht="12.75" customHeight="1" x14ac:dyDescent="0.2">
      <c r="A3230" s="258"/>
      <c r="Z3230" s="258"/>
    </row>
    <row r="3231" spans="1:26" ht="12.75" customHeight="1" x14ac:dyDescent="0.2">
      <c r="A3231" s="258"/>
      <c r="Z3231" s="258"/>
    </row>
    <row r="3232" spans="1:26" ht="12.75" customHeight="1" x14ac:dyDescent="0.2">
      <c r="A3232" s="258"/>
      <c r="Z3232" s="258"/>
    </row>
    <row r="3233" spans="1:26" ht="12.75" customHeight="1" x14ac:dyDescent="0.2">
      <c r="A3233" s="258"/>
      <c r="Z3233" s="258"/>
    </row>
    <row r="3234" spans="1:26" ht="12.75" customHeight="1" x14ac:dyDescent="0.2">
      <c r="A3234" s="258"/>
      <c r="Z3234" s="258"/>
    </row>
    <row r="3235" spans="1:26" ht="12.75" customHeight="1" x14ac:dyDescent="0.2">
      <c r="A3235" s="258"/>
      <c r="Z3235" s="258"/>
    </row>
    <row r="3236" spans="1:26" ht="12.75" customHeight="1" x14ac:dyDescent="0.2">
      <c r="A3236" s="258"/>
      <c r="Z3236" s="258"/>
    </row>
    <row r="3237" spans="1:26" ht="12.75" customHeight="1" x14ac:dyDescent="0.2">
      <c r="A3237" s="258"/>
      <c r="Z3237" s="258"/>
    </row>
    <row r="3238" spans="1:26" ht="12.75" customHeight="1" x14ac:dyDescent="0.2">
      <c r="A3238" s="258"/>
      <c r="Z3238" s="258"/>
    </row>
    <row r="3239" spans="1:26" ht="12.75" customHeight="1" x14ac:dyDescent="0.2">
      <c r="A3239" s="258"/>
      <c r="Z3239" s="258"/>
    </row>
    <row r="3240" spans="1:26" ht="12.75" customHeight="1" x14ac:dyDescent="0.2">
      <c r="A3240" s="258"/>
      <c r="Z3240" s="258"/>
    </row>
    <row r="3241" spans="1:26" ht="12.75" customHeight="1" x14ac:dyDescent="0.2">
      <c r="A3241" s="258"/>
      <c r="Z3241" s="258"/>
    </row>
    <row r="3242" spans="1:26" ht="12.75" customHeight="1" x14ac:dyDescent="0.2">
      <c r="A3242" s="258"/>
      <c r="Z3242" s="258"/>
    </row>
    <row r="3243" spans="1:26" ht="12.75" customHeight="1" x14ac:dyDescent="0.2">
      <c r="A3243" s="258"/>
      <c r="Z3243" s="258"/>
    </row>
    <row r="3244" spans="1:26" ht="12.75" customHeight="1" x14ac:dyDescent="0.2">
      <c r="A3244" s="258"/>
      <c r="Z3244" s="258"/>
    </row>
    <row r="3245" spans="1:26" ht="12.75" customHeight="1" x14ac:dyDescent="0.2">
      <c r="A3245" s="258"/>
      <c r="Z3245" s="258"/>
    </row>
    <row r="3246" spans="1:26" ht="12.75" customHeight="1" x14ac:dyDescent="0.2">
      <c r="A3246" s="258"/>
      <c r="Z3246" s="258"/>
    </row>
    <row r="3247" spans="1:26" ht="12.75" customHeight="1" x14ac:dyDescent="0.2">
      <c r="A3247" s="258"/>
      <c r="Z3247" s="258"/>
    </row>
    <row r="3248" spans="1:26" ht="12.75" customHeight="1" x14ac:dyDescent="0.2">
      <c r="A3248" s="258"/>
      <c r="Z3248" s="258"/>
    </row>
    <row r="3249" spans="1:26" ht="12.75" customHeight="1" x14ac:dyDescent="0.2">
      <c r="A3249" s="258"/>
      <c r="Z3249" s="258"/>
    </row>
    <row r="3250" spans="1:26" ht="12.75" customHeight="1" x14ac:dyDescent="0.2">
      <c r="A3250" s="258"/>
      <c r="Z3250" s="258"/>
    </row>
    <row r="3251" spans="1:26" ht="12.75" customHeight="1" x14ac:dyDescent="0.2">
      <c r="A3251" s="258"/>
      <c r="Z3251" s="258"/>
    </row>
    <row r="3252" spans="1:26" ht="12.75" customHeight="1" x14ac:dyDescent="0.2">
      <c r="A3252" s="258"/>
      <c r="Z3252" s="258"/>
    </row>
    <row r="3253" spans="1:26" ht="12.75" customHeight="1" x14ac:dyDescent="0.2">
      <c r="A3253" s="258"/>
      <c r="Z3253" s="258"/>
    </row>
    <row r="3254" spans="1:26" ht="12.75" customHeight="1" x14ac:dyDescent="0.2">
      <c r="A3254" s="258"/>
      <c r="Z3254" s="258"/>
    </row>
    <row r="3255" spans="1:26" ht="12.75" customHeight="1" x14ac:dyDescent="0.2">
      <c r="A3255" s="258"/>
      <c r="Z3255" s="258"/>
    </row>
    <row r="3256" spans="1:26" ht="12.75" customHeight="1" x14ac:dyDescent="0.2">
      <c r="A3256" s="258"/>
      <c r="Z3256" s="258"/>
    </row>
    <row r="3257" spans="1:26" ht="12.75" customHeight="1" x14ac:dyDescent="0.2">
      <c r="A3257" s="258"/>
      <c r="Z3257" s="258"/>
    </row>
    <row r="3258" spans="1:26" ht="12.75" customHeight="1" x14ac:dyDescent="0.2">
      <c r="A3258" s="258"/>
      <c r="Z3258" s="258"/>
    </row>
    <row r="3259" spans="1:26" ht="12.75" customHeight="1" x14ac:dyDescent="0.2">
      <c r="A3259" s="258"/>
      <c r="Z3259" s="258"/>
    </row>
    <row r="3260" spans="1:26" ht="12.75" customHeight="1" x14ac:dyDescent="0.2">
      <c r="A3260" s="258"/>
      <c r="Z3260" s="258"/>
    </row>
    <row r="3261" spans="1:26" ht="12.75" customHeight="1" x14ac:dyDescent="0.2">
      <c r="A3261" s="258"/>
      <c r="Z3261" s="258"/>
    </row>
    <row r="3262" spans="1:26" ht="12.75" customHeight="1" x14ac:dyDescent="0.2">
      <c r="A3262" s="258"/>
      <c r="Z3262" s="258"/>
    </row>
    <row r="3263" spans="1:26" ht="12.75" customHeight="1" x14ac:dyDescent="0.2">
      <c r="A3263" s="258"/>
      <c r="Z3263" s="258"/>
    </row>
    <row r="3264" spans="1:26" ht="12.75" customHeight="1" x14ac:dyDescent="0.2">
      <c r="A3264" s="258"/>
      <c r="Z3264" s="258"/>
    </row>
    <row r="3265" spans="1:26" ht="12.75" customHeight="1" x14ac:dyDescent="0.2">
      <c r="A3265" s="258"/>
      <c r="Z3265" s="258"/>
    </row>
    <row r="3266" spans="1:26" ht="12.75" customHeight="1" x14ac:dyDescent="0.2">
      <c r="A3266" s="258"/>
      <c r="Z3266" s="258"/>
    </row>
    <row r="3267" spans="1:26" ht="12.75" customHeight="1" x14ac:dyDescent="0.2">
      <c r="A3267" s="258"/>
      <c r="Z3267" s="258"/>
    </row>
    <row r="3268" spans="1:26" ht="12.75" customHeight="1" x14ac:dyDescent="0.2">
      <c r="A3268" s="258"/>
      <c r="Z3268" s="258"/>
    </row>
    <row r="3269" spans="1:26" ht="12.75" customHeight="1" x14ac:dyDescent="0.2">
      <c r="A3269" s="258"/>
      <c r="Z3269" s="258"/>
    </row>
    <row r="3270" spans="1:26" ht="12.75" customHeight="1" x14ac:dyDescent="0.2">
      <c r="A3270" s="258"/>
      <c r="Z3270" s="258"/>
    </row>
    <row r="3271" spans="1:26" ht="12.75" customHeight="1" x14ac:dyDescent="0.2">
      <c r="A3271" s="258"/>
      <c r="Z3271" s="258"/>
    </row>
    <row r="3272" spans="1:26" ht="12.75" customHeight="1" x14ac:dyDescent="0.2">
      <c r="A3272" s="258"/>
      <c r="Z3272" s="258"/>
    </row>
    <row r="3273" spans="1:26" ht="12.75" customHeight="1" x14ac:dyDescent="0.2">
      <c r="A3273" s="258"/>
      <c r="Z3273" s="258"/>
    </row>
    <row r="3274" spans="1:26" ht="12.75" customHeight="1" x14ac:dyDescent="0.2">
      <c r="A3274" s="258"/>
      <c r="Z3274" s="258"/>
    </row>
    <row r="3275" spans="1:26" ht="12.75" customHeight="1" x14ac:dyDescent="0.2">
      <c r="A3275" s="258"/>
      <c r="Z3275" s="258"/>
    </row>
    <row r="3276" spans="1:26" ht="12.75" customHeight="1" x14ac:dyDescent="0.2">
      <c r="A3276" s="258"/>
      <c r="Z3276" s="258"/>
    </row>
    <row r="3277" spans="1:26" ht="12.75" customHeight="1" x14ac:dyDescent="0.2">
      <c r="A3277" s="258"/>
      <c r="Z3277" s="258"/>
    </row>
    <row r="3278" spans="1:26" ht="12.75" customHeight="1" x14ac:dyDescent="0.2">
      <c r="A3278" s="258"/>
      <c r="Z3278" s="258"/>
    </row>
    <row r="3279" spans="1:26" ht="12.75" customHeight="1" x14ac:dyDescent="0.2">
      <c r="A3279" s="258"/>
      <c r="Z3279" s="258"/>
    </row>
    <row r="3280" spans="1:26" ht="12.75" customHeight="1" x14ac:dyDescent="0.2">
      <c r="A3280" s="258"/>
      <c r="Z3280" s="258"/>
    </row>
    <row r="3281" spans="1:26" ht="12.75" customHeight="1" x14ac:dyDescent="0.2">
      <c r="A3281" s="258"/>
      <c r="Z3281" s="258"/>
    </row>
    <row r="3282" spans="1:26" ht="12.75" customHeight="1" x14ac:dyDescent="0.2">
      <c r="A3282" s="258"/>
      <c r="Z3282" s="258"/>
    </row>
    <row r="3283" spans="1:26" ht="12.75" customHeight="1" x14ac:dyDescent="0.2">
      <c r="A3283" s="258"/>
      <c r="Z3283" s="258"/>
    </row>
    <row r="3284" spans="1:26" ht="12.75" customHeight="1" x14ac:dyDescent="0.2">
      <c r="A3284" s="258"/>
      <c r="Z3284" s="258"/>
    </row>
    <row r="3285" spans="1:26" ht="12.75" customHeight="1" x14ac:dyDescent="0.2">
      <c r="A3285" s="258"/>
      <c r="Z3285" s="258"/>
    </row>
    <row r="3286" spans="1:26" ht="12.75" customHeight="1" x14ac:dyDescent="0.2">
      <c r="A3286" s="258"/>
      <c r="Z3286" s="258"/>
    </row>
    <row r="3287" spans="1:26" ht="12.75" customHeight="1" x14ac:dyDescent="0.2">
      <c r="A3287" s="258"/>
      <c r="Z3287" s="258"/>
    </row>
    <row r="3288" spans="1:26" ht="12.75" customHeight="1" x14ac:dyDescent="0.2">
      <c r="A3288" s="258"/>
      <c r="Z3288" s="258"/>
    </row>
    <row r="3289" spans="1:26" ht="12.75" customHeight="1" x14ac:dyDescent="0.2">
      <c r="A3289" s="258"/>
      <c r="Z3289" s="258"/>
    </row>
    <row r="3290" spans="1:26" ht="12.75" customHeight="1" x14ac:dyDescent="0.2">
      <c r="A3290" s="258"/>
      <c r="Z3290" s="258"/>
    </row>
    <row r="3291" spans="1:26" ht="12.75" customHeight="1" x14ac:dyDescent="0.2">
      <c r="A3291" s="258"/>
      <c r="Z3291" s="258"/>
    </row>
    <row r="3292" spans="1:26" ht="12.75" customHeight="1" x14ac:dyDescent="0.2">
      <c r="A3292" s="258"/>
      <c r="Z3292" s="258"/>
    </row>
    <row r="3293" spans="1:26" ht="12.75" customHeight="1" x14ac:dyDescent="0.2">
      <c r="A3293" s="258"/>
      <c r="Z3293" s="258"/>
    </row>
    <row r="3294" spans="1:26" ht="12.75" customHeight="1" x14ac:dyDescent="0.2">
      <c r="A3294" s="258"/>
      <c r="Z3294" s="258"/>
    </row>
    <row r="3295" spans="1:26" ht="12.75" customHeight="1" x14ac:dyDescent="0.2">
      <c r="A3295" s="258"/>
      <c r="Z3295" s="258"/>
    </row>
    <row r="3296" spans="1:26" ht="12.75" customHeight="1" x14ac:dyDescent="0.2">
      <c r="A3296" s="258"/>
      <c r="Z3296" s="258"/>
    </row>
    <row r="3297" spans="1:26" ht="12.75" customHeight="1" x14ac:dyDescent="0.2">
      <c r="A3297" s="258"/>
      <c r="Z3297" s="258"/>
    </row>
    <row r="3298" spans="1:26" ht="12.75" customHeight="1" x14ac:dyDescent="0.2">
      <c r="A3298" s="258"/>
      <c r="Z3298" s="258"/>
    </row>
    <row r="3299" spans="1:26" ht="12.75" customHeight="1" x14ac:dyDescent="0.2">
      <c r="A3299" s="258"/>
      <c r="Z3299" s="258"/>
    </row>
    <row r="3300" spans="1:26" ht="12.75" customHeight="1" x14ac:dyDescent="0.2">
      <c r="A3300" s="258"/>
      <c r="Z3300" s="258"/>
    </row>
    <row r="3301" spans="1:26" ht="12.75" customHeight="1" x14ac:dyDescent="0.2">
      <c r="A3301" s="258"/>
      <c r="Z3301" s="258"/>
    </row>
    <row r="3302" spans="1:26" ht="12.75" customHeight="1" x14ac:dyDescent="0.2">
      <c r="A3302" s="258"/>
      <c r="Z3302" s="258"/>
    </row>
    <row r="3303" spans="1:26" ht="12.75" customHeight="1" x14ac:dyDescent="0.2">
      <c r="A3303" s="258"/>
      <c r="Z3303" s="258"/>
    </row>
    <row r="3304" spans="1:26" ht="12.75" customHeight="1" x14ac:dyDescent="0.2">
      <c r="A3304" s="258"/>
      <c r="Z3304" s="258"/>
    </row>
    <row r="3305" spans="1:26" ht="12.75" customHeight="1" x14ac:dyDescent="0.2">
      <c r="A3305" s="258"/>
      <c r="Z3305" s="258"/>
    </row>
    <row r="3306" spans="1:26" ht="12.75" customHeight="1" x14ac:dyDescent="0.2">
      <c r="A3306" s="258"/>
      <c r="Z3306" s="258"/>
    </row>
    <row r="3307" spans="1:26" ht="12.75" customHeight="1" x14ac:dyDescent="0.2">
      <c r="A3307" s="258"/>
      <c r="Z3307" s="258"/>
    </row>
    <row r="3308" spans="1:26" ht="12.75" customHeight="1" x14ac:dyDescent="0.2">
      <c r="A3308" s="258"/>
      <c r="Z3308" s="258"/>
    </row>
    <row r="3309" spans="1:26" ht="12.75" customHeight="1" x14ac:dyDescent="0.2">
      <c r="A3309" s="258"/>
      <c r="Z3309" s="258"/>
    </row>
    <row r="3310" spans="1:26" ht="12.75" customHeight="1" x14ac:dyDescent="0.2">
      <c r="A3310" s="258"/>
      <c r="Z3310" s="258"/>
    </row>
    <row r="3311" spans="1:26" ht="12.75" customHeight="1" x14ac:dyDescent="0.2">
      <c r="A3311" s="258"/>
      <c r="Z3311" s="258"/>
    </row>
    <row r="3312" spans="1:26" ht="12.75" customHeight="1" x14ac:dyDescent="0.2">
      <c r="A3312" s="258"/>
      <c r="Z3312" s="258"/>
    </row>
    <row r="3313" spans="1:26" ht="12.75" customHeight="1" x14ac:dyDescent="0.2">
      <c r="A3313" s="258"/>
      <c r="Z3313" s="258"/>
    </row>
    <row r="3314" spans="1:26" ht="12.75" customHeight="1" x14ac:dyDescent="0.2">
      <c r="A3314" s="258"/>
      <c r="Z3314" s="258"/>
    </row>
    <row r="3315" spans="1:26" ht="12.75" customHeight="1" x14ac:dyDescent="0.2">
      <c r="A3315" s="258"/>
      <c r="Z3315" s="258"/>
    </row>
    <row r="3316" spans="1:26" ht="12.75" customHeight="1" x14ac:dyDescent="0.2">
      <c r="A3316" s="258"/>
      <c r="Z3316" s="258"/>
    </row>
    <row r="3317" spans="1:26" ht="12.75" customHeight="1" x14ac:dyDescent="0.2">
      <c r="A3317" s="258"/>
      <c r="Z3317" s="258"/>
    </row>
    <row r="3318" spans="1:26" ht="12.75" customHeight="1" x14ac:dyDescent="0.2">
      <c r="A3318" s="258"/>
      <c r="Z3318" s="258"/>
    </row>
    <row r="3319" spans="1:26" ht="12.75" customHeight="1" x14ac:dyDescent="0.2">
      <c r="A3319" s="258"/>
      <c r="Z3319" s="258"/>
    </row>
    <row r="3320" spans="1:26" ht="12.75" customHeight="1" x14ac:dyDescent="0.2">
      <c r="A3320" s="258"/>
      <c r="Z3320" s="258"/>
    </row>
    <row r="3321" spans="1:26" ht="12.75" customHeight="1" x14ac:dyDescent="0.2">
      <c r="A3321" s="258"/>
      <c r="Z3321" s="258"/>
    </row>
    <row r="3322" spans="1:26" ht="12.75" customHeight="1" x14ac:dyDescent="0.2">
      <c r="A3322" s="258"/>
      <c r="Z3322" s="258"/>
    </row>
    <row r="3323" spans="1:26" ht="12.75" customHeight="1" x14ac:dyDescent="0.2">
      <c r="A3323" s="258"/>
      <c r="Z3323" s="258"/>
    </row>
    <row r="3324" spans="1:26" ht="12.75" customHeight="1" x14ac:dyDescent="0.2">
      <c r="A3324" s="258"/>
      <c r="Z3324" s="258"/>
    </row>
    <row r="3325" spans="1:26" ht="12.75" customHeight="1" x14ac:dyDescent="0.2">
      <c r="A3325" s="258"/>
      <c r="Z3325" s="258"/>
    </row>
    <row r="3326" spans="1:26" ht="12.75" customHeight="1" x14ac:dyDescent="0.2">
      <c r="A3326" s="258"/>
      <c r="Z3326" s="258"/>
    </row>
    <row r="3327" spans="1:26" ht="12.75" customHeight="1" x14ac:dyDescent="0.2">
      <c r="A3327" s="258"/>
      <c r="Z3327" s="258"/>
    </row>
    <row r="3328" spans="1:26" ht="12.75" customHeight="1" x14ac:dyDescent="0.2">
      <c r="A3328" s="258"/>
      <c r="Z3328" s="258"/>
    </row>
    <row r="3329" spans="1:26" ht="12.75" customHeight="1" x14ac:dyDescent="0.2">
      <c r="A3329" s="258"/>
      <c r="Z3329" s="258"/>
    </row>
    <row r="3330" spans="1:26" ht="12.75" customHeight="1" x14ac:dyDescent="0.2">
      <c r="A3330" s="258"/>
      <c r="Z3330" s="258"/>
    </row>
    <row r="3331" spans="1:26" ht="12.75" customHeight="1" x14ac:dyDescent="0.2">
      <c r="A3331" s="258"/>
      <c r="Z3331" s="258"/>
    </row>
    <row r="3332" spans="1:26" ht="12.75" customHeight="1" x14ac:dyDescent="0.2">
      <c r="A3332" s="258"/>
      <c r="Z3332" s="258"/>
    </row>
    <row r="3333" spans="1:26" ht="12.75" customHeight="1" x14ac:dyDescent="0.2">
      <c r="A3333" s="258"/>
      <c r="Z3333" s="258"/>
    </row>
    <row r="3334" spans="1:26" ht="12.75" customHeight="1" x14ac:dyDescent="0.2">
      <c r="A3334" s="258"/>
      <c r="Z3334" s="258"/>
    </row>
    <row r="3335" spans="1:26" ht="12.75" customHeight="1" x14ac:dyDescent="0.2">
      <c r="A3335" s="258"/>
      <c r="Z3335" s="258"/>
    </row>
    <row r="3336" spans="1:26" ht="12.75" customHeight="1" x14ac:dyDescent="0.2">
      <c r="A3336" s="258"/>
      <c r="Z3336" s="258"/>
    </row>
    <row r="3337" spans="1:26" ht="12.75" customHeight="1" x14ac:dyDescent="0.2">
      <c r="A3337" s="258"/>
      <c r="Z3337" s="258"/>
    </row>
    <row r="3338" spans="1:26" ht="12.75" customHeight="1" x14ac:dyDescent="0.2">
      <c r="A3338" s="258"/>
      <c r="Z3338" s="258"/>
    </row>
    <row r="3339" spans="1:26" ht="12.75" customHeight="1" x14ac:dyDescent="0.2">
      <c r="A3339" s="258"/>
      <c r="Z3339" s="258"/>
    </row>
    <row r="3340" spans="1:26" ht="12.75" customHeight="1" x14ac:dyDescent="0.2">
      <c r="A3340" s="258"/>
      <c r="Z3340" s="258"/>
    </row>
    <row r="3341" spans="1:26" ht="12.75" customHeight="1" x14ac:dyDescent="0.2">
      <c r="A3341" s="258"/>
      <c r="Z3341" s="258"/>
    </row>
    <row r="3342" spans="1:26" ht="12.75" customHeight="1" x14ac:dyDescent="0.2">
      <c r="A3342" s="258"/>
      <c r="Z3342" s="258"/>
    </row>
    <row r="3343" spans="1:26" ht="12.75" customHeight="1" x14ac:dyDescent="0.2">
      <c r="A3343" s="258"/>
      <c r="Z3343" s="258"/>
    </row>
    <row r="3344" spans="1:26" ht="12.75" customHeight="1" x14ac:dyDescent="0.2">
      <c r="A3344" s="258"/>
      <c r="Z3344" s="258"/>
    </row>
    <row r="3345" spans="1:26" ht="12.75" customHeight="1" x14ac:dyDescent="0.2">
      <c r="A3345" s="258"/>
      <c r="Z3345" s="258"/>
    </row>
    <row r="3346" spans="1:26" ht="12.75" customHeight="1" x14ac:dyDescent="0.2">
      <c r="A3346" s="258"/>
      <c r="Z3346" s="258"/>
    </row>
    <row r="3347" spans="1:26" ht="12.75" customHeight="1" x14ac:dyDescent="0.2">
      <c r="A3347" s="258"/>
      <c r="Z3347" s="258"/>
    </row>
    <row r="3348" spans="1:26" ht="12.75" customHeight="1" x14ac:dyDescent="0.2">
      <c r="A3348" s="258"/>
      <c r="Z3348" s="258"/>
    </row>
    <row r="3349" spans="1:26" ht="12.75" customHeight="1" x14ac:dyDescent="0.2">
      <c r="A3349" s="258"/>
      <c r="Z3349" s="258"/>
    </row>
    <row r="3350" spans="1:26" ht="12.75" customHeight="1" x14ac:dyDescent="0.2">
      <c r="A3350" s="258"/>
      <c r="Z3350" s="258"/>
    </row>
    <row r="3351" spans="1:26" ht="12.75" customHeight="1" x14ac:dyDescent="0.2">
      <c r="A3351" s="258"/>
      <c r="Z3351" s="258"/>
    </row>
    <row r="3352" spans="1:26" ht="12.75" customHeight="1" x14ac:dyDescent="0.2">
      <c r="A3352" s="258"/>
      <c r="Z3352" s="258"/>
    </row>
    <row r="3353" spans="1:26" ht="12.75" customHeight="1" x14ac:dyDescent="0.2">
      <c r="A3353" s="258"/>
      <c r="Z3353" s="258"/>
    </row>
    <row r="3354" spans="1:26" ht="12.75" customHeight="1" x14ac:dyDescent="0.2">
      <c r="A3354" s="258"/>
      <c r="Z3354" s="258"/>
    </row>
    <row r="3355" spans="1:26" ht="12.75" customHeight="1" x14ac:dyDescent="0.2">
      <c r="A3355" s="258"/>
      <c r="Z3355" s="258"/>
    </row>
    <row r="3356" spans="1:26" ht="12.75" customHeight="1" x14ac:dyDescent="0.2">
      <c r="A3356" s="258"/>
      <c r="Z3356" s="258"/>
    </row>
    <row r="3357" spans="1:26" ht="12.75" customHeight="1" x14ac:dyDescent="0.2">
      <c r="A3357" s="258"/>
      <c r="Z3357" s="258"/>
    </row>
    <row r="3358" spans="1:26" ht="12.75" customHeight="1" x14ac:dyDescent="0.2">
      <c r="A3358" s="258"/>
      <c r="Z3358" s="258"/>
    </row>
    <row r="3359" spans="1:26" ht="12.75" customHeight="1" x14ac:dyDescent="0.2">
      <c r="A3359" s="258"/>
      <c r="Z3359" s="258"/>
    </row>
    <row r="3360" spans="1:26" ht="12.75" customHeight="1" x14ac:dyDescent="0.2">
      <c r="A3360" s="258"/>
      <c r="Z3360" s="258"/>
    </row>
    <row r="3361" spans="1:26" ht="12.75" customHeight="1" x14ac:dyDescent="0.2">
      <c r="A3361" s="258"/>
      <c r="Z3361" s="258"/>
    </row>
    <row r="3362" spans="1:26" ht="12.75" customHeight="1" x14ac:dyDescent="0.2">
      <c r="A3362" s="258"/>
      <c r="Z3362" s="258"/>
    </row>
    <row r="3363" spans="1:26" ht="12.75" customHeight="1" x14ac:dyDescent="0.2">
      <c r="A3363" s="258"/>
      <c r="Z3363" s="258"/>
    </row>
    <row r="3364" spans="1:26" ht="12.75" customHeight="1" x14ac:dyDescent="0.2">
      <c r="A3364" s="258"/>
      <c r="Z3364" s="258"/>
    </row>
    <row r="3365" spans="1:26" ht="12.75" customHeight="1" x14ac:dyDescent="0.2">
      <c r="A3365" s="258"/>
      <c r="Z3365" s="258"/>
    </row>
    <row r="3366" spans="1:26" ht="12.75" customHeight="1" x14ac:dyDescent="0.2">
      <c r="A3366" s="258"/>
      <c r="Z3366" s="258"/>
    </row>
    <row r="3367" spans="1:26" ht="12.75" customHeight="1" x14ac:dyDescent="0.2">
      <c r="A3367" s="258"/>
      <c r="Z3367" s="258"/>
    </row>
    <row r="3368" spans="1:26" ht="12.75" customHeight="1" x14ac:dyDescent="0.2">
      <c r="A3368" s="258"/>
      <c r="Z3368" s="258"/>
    </row>
    <row r="3369" spans="1:26" ht="12.75" customHeight="1" x14ac:dyDescent="0.2">
      <c r="A3369" s="258"/>
      <c r="Z3369" s="258"/>
    </row>
    <row r="3370" spans="1:26" ht="12.75" customHeight="1" x14ac:dyDescent="0.2">
      <c r="A3370" s="258"/>
      <c r="Z3370" s="258"/>
    </row>
    <row r="3371" spans="1:26" ht="12.75" customHeight="1" x14ac:dyDescent="0.2">
      <c r="A3371" s="258"/>
      <c r="Z3371" s="258"/>
    </row>
    <row r="3372" spans="1:26" ht="12.75" customHeight="1" x14ac:dyDescent="0.2">
      <c r="A3372" s="258"/>
      <c r="Z3372" s="258"/>
    </row>
    <row r="3373" spans="1:26" ht="12.75" customHeight="1" x14ac:dyDescent="0.2">
      <c r="A3373" s="258"/>
      <c r="Z3373" s="258"/>
    </row>
    <row r="3374" spans="1:26" ht="12.75" customHeight="1" x14ac:dyDescent="0.2">
      <c r="A3374" s="258"/>
      <c r="Z3374" s="258"/>
    </row>
    <row r="3375" spans="1:26" ht="12.75" customHeight="1" x14ac:dyDescent="0.2">
      <c r="A3375" s="258"/>
      <c r="Z3375" s="258"/>
    </row>
    <row r="3376" spans="1:26" ht="12.75" customHeight="1" x14ac:dyDescent="0.2">
      <c r="A3376" s="258"/>
      <c r="Z3376" s="258"/>
    </row>
    <row r="3377" spans="1:26" ht="12.75" customHeight="1" x14ac:dyDescent="0.2">
      <c r="A3377" s="258"/>
      <c r="Z3377" s="258"/>
    </row>
    <row r="3378" spans="1:26" ht="12.75" customHeight="1" x14ac:dyDescent="0.2">
      <c r="A3378" s="258"/>
      <c r="Z3378" s="258"/>
    </row>
    <row r="3379" spans="1:26" ht="12.75" customHeight="1" x14ac:dyDescent="0.2">
      <c r="A3379" s="258"/>
      <c r="Z3379" s="258"/>
    </row>
    <row r="3380" spans="1:26" ht="12.75" customHeight="1" x14ac:dyDescent="0.2">
      <c r="A3380" s="258"/>
      <c r="Z3380" s="258"/>
    </row>
    <row r="3381" spans="1:26" ht="12.75" customHeight="1" x14ac:dyDescent="0.2">
      <c r="A3381" s="258"/>
      <c r="Z3381" s="258"/>
    </row>
    <row r="3382" spans="1:26" ht="12.75" customHeight="1" x14ac:dyDescent="0.2">
      <c r="A3382" s="258"/>
      <c r="Z3382" s="258"/>
    </row>
    <row r="3383" spans="1:26" ht="12.75" customHeight="1" x14ac:dyDescent="0.2">
      <c r="A3383" s="258"/>
      <c r="Z3383" s="258"/>
    </row>
    <row r="3384" spans="1:26" ht="12.75" customHeight="1" x14ac:dyDescent="0.2">
      <c r="A3384" s="258"/>
      <c r="Z3384" s="258"/>
    </row>
    <row r="3385" spans="1:26" ht="12.75" customHeight="1" x14ac:dyDescent="0.2">
      <c r="A3385" s="258"/>
      <c r="Z3385" s="258"/>
    </row>
    <row r="3386" spans="1:26" ht="12.75" customHeight="1" x14ac:dyDescent="0.2">
      <c r="A3386" s="258"/>
      <c r="Z3386" s="258"/>
    </row>
    <row r="3387" spans="1:26" ht="12.75" customHeight="1" x14ac:dyDescent="0.2">
      <c r="A3387" s="258"/>
      <c r="Z3387" s="258"/>
    </row>
    <row r="3388" spans="1:26" ht="12.75" customHeight="1" x14ac:dyDescent="0.2">
      <c r="A3388" s="258"/>
      <c r="Z3388" s="258"/>
    </row>
    <row r="3389" spans="1:26" ht="12.75" customHeight="1" x14ac:dyDescent="0.2">
      <c r="A3389" s="258"/>
      <c r="Z3389" s="258"/>
    </row>
    <row r="3390" spans="1:26" ht="12.75" customHeight="1" x14ac:dyDescent="0.2">
      <c r="A3390" s="258"/>
      <c r="Z3390" s="258"/>
    </row>
    <row r="3391" spans="1:26" ht="12.75" customHeight="1" x14ac:dyDescent="0.2">
      <c r="A3391" s="258"/>
      <c r="Z3391" s="258"/>
    </row>
    <row r="3392" spans="1:26" ht="12.75" customHeight="1" x14ac:dyDescent="0.2">
      <c r="A3392" s="258"/>
      <c r="Z3392" s="258"/>
    </row>
    <row r="3393" spans="1:26" ht="12.75" customHeight="1" x14ac:dyDescent="0.2">
      <c r="A3393" s="258"/>
      <c r="Z3393" s="258"/>
    </row>
    <row r="3394" spans="1:26" ht="12.75" customHeight="1" x14ac:dyDescent="0.2">
      <c r="A3394" s="258"/>
      <c r="Z3394" s="258"/>
    </row>
    <row r="3395" spans="1:26" ht="12.75" customHeight="1" x14ac:dyDescent="0.2">
      <c r="A3395" s="258"/>
      <c r="Z3395" s="258"/>
    </row>
    <row r="3396" spans="1:26" ht="12.75" customHeight="1" x14ac:dyDescent="0.2">
      <c r="A3396" s="258"/>
      <c r="Z3396" s="258"/>
    </row>
    <row r="3397" spans="1:26" ht="12.75" customHeight="1" x14ac:dyDescent="0.2">
      <c r="A3397" s="258"/>
      <c r="Z3397" s="258"/>
    </row>
    <row r="3398" spans="1:26" ht="12.75" customHeight="1" x14ac:dyDescent="0.2">
      <c r="A3398" s="258"/>
      <c r="Z3398" s="258"/>
    </row>
    <row r="3399" spans="1:26" ht="12.75" customHeight="1" x14ac:dyDescent="0.2">
      <c r="A3399" s="258"/>
      <c r="Z3399" s="258"/>
    </row>
    <row r="3400" spans="1:26" ht="12.75" customHeight="1" x14ac:dyDescent="0.2">
      <c r="A3400" s="258"/>
      <c r="Z3400" s="258"/>
    </row>
    <row r="3401" spans="1:26" ht="12.75" customHeight="1" x14ac:dyDescent="0.2">
      <c r="A3401" s="258"/>
      <c r="Z3401" s="258"/>
    </row>
    <row r="3402" spans="1:26" ht="12.75" customHeight="1" x14ac:dyDescent="0.2">
      <c r="A3402" s="258"/>
      <c r="Z3402" s="258"/>
    </row>
    <row r="3403" spans="1:26" ht="12.75" customHeight="1" x14ac:dyDescent="0.2">
      <c r="A3403" s="258"/>
      <c r="Z3403" s="258"/>
    </row>
    <row r="3404" spans="1:26" ht="12.75" customHeight="1" x14ac:dyDescent="0.2">
      <c r="A3404" s="258"/>
      <c r="Z3404" s="258"/>
    </row>
    <row r="3405" spans="1:26" ht="12.75" customHeight="1" x14ac:dyDescent="0.2">
      <c r="A3405" s="258"/>
      <c r="Z3405" s="258"/>
    </row>
    <row r="3406" spans="1:26" ht="12.75" customHeight="1" x14ac:dyDescent="0.2">
      <c r="A3406" s="258"/>
      <c r="Z3406" s="258"/>
    </row>
    <row r="3407" spans="1:26" ht="12.75" customHeight="1" x14ac:dyDescent="0.2">
      <c r="A3407" s="258"/>
      <c r="Z3407" s="258"/>
    </row>
    <row r="3408" spans="1:26" ht="12.75" customHeight="1" x14ac:dyDescent="0.2">
      <c r="A3408" s="258"/>
      <c r="Z3408" s="258"/>
    </row>
    <row r="3409" spans="1:26" ht="12.75" customHeight="1" x14ac:dyDescent="0.2">
      <c r="A3409" s="258"/>
      <c r="Z3409" s="258"/>
    </row>
    <row r="3410" spans="1:26" ht="12.75" customHeight="1" x14ac:dyDescent="0.2">
      <c r="A3410" s="258"/>
      <c r="Z3410" s="258"/>
    </row>
    <row r="3411" spans="1:26" ht="12.75" customHeight="1" x14ac:dyDescent="0.2">
      <c r="A3411" s="258"/>
      <c r="Z3411" s="258"/>
    </row>
    <row r="3412" spans="1:26" ht="12.75" customHeight="1" x14ac:dyDescent="0.2">
      <c r="A3412" s="258"/>
      <c r="Z3412" s="258"/>
    </row>
    <row r="3413" spans="1:26" ht="12.75" customHeight="1" x14ac:dyDescent="0.2">
      <c r="A3413" s="258"/>
      <c r="Z3413" s="258"/>
    </row>
    <row r="3414" spans="1:26" ht="12.75" customHeight="1" x14ac:dyDescent="0.2">
      <c r="A3414" s="258"/>
      <c r="Z3414" s="258"/>
    </row>
    <row r="3415" spans="1:26" ht="12.75" customHeight="1" x14ac:dyDescent="0.2">
      <c r="A3415" s="258"/>
      <c r="Z3415" s="258"/>
    </row>
    <row r="3416" spans="1:26" ht="12.75" customHeight="1" x14ac:dyDescent="0.2">
      <c r="A3416" s="258"/>
      <c r="Z3416" s="258"/>
    </row>
    <row r="3417" spans="1:26" ht="12.75" customHeight="1" x14ac:dyDescent="0.2">
      <c r="A3417" s="258"/>
      <c r="Z3417" s="258"/>
    </row>
    <row r="3418" spans="1:26" ht="12.75" customHeight="1" x14ac:dyDescent="0.2">
      <c r="A3418" s="258"/>
      <c r="Z3418" s="258"/>
    </row>
    <row r="3419" spans="1:26" ht="12.75" customHeight="1" x14ac:dyDescent="0.2">
      <c r="A3419" s="258"/>
      <c r="Z3419" s="258"/>
    </row>
    <row r="3420" spans="1:26" ht="12.75" customHeight="1" x14ac:dyDescent="0.2">
      <c r="A3420" s="258"/>
      <c r="Z3420" s="258"/>
    </row>
    <row r="3421" spans="1:26" ht="12.75" customHeight="1" x14ac:dyDescent="0.2">
      <c r="A3421" s="258"/>
      <c r="Z3421" s="258"/>
    </row>
    <row r="3422" spans="1:26" ht="12.75" customHeight="1" x14ac:dyDescent="0.2">
      <c r="A3422" s="258"/>
      <c r="Z3422" s="258"/>
    </row>
    <row r="3423" spans="1:26" ht="12.75" customHeight="1" x14ac:dyDescent="0.2">
      <c r="A3423" s="258"/>
      <c r="Z3423" s="258"/>
    </row>
    <row r="3424" spans="1:26" ht="12.75" customHeight="1" x14ac:dyDescent="0.2">
      <c r="A3424" s="258"/>
      <c r="Z3424" s="258"/>
    </row>
    <row r="3425" spans="1:26" ht="12.75" customHeight="1" x14ac:dyDescent="0.2">
      <c r="A3425" s="258"/>
      <c r="Z3425" s="258"/>
    </row>
    <row r="3426" spans="1:26" ht="12.75" customHeight="1" x14ac:dyDescent="0.2">
      <c r="A3426" s="258"/>
      <c r="Z3426" s="258"/>
    </row>
    <row r="3427" spans="1:26" ht="12.75" customHeight="1" x14ac:dyDescent="0.2">
      <c r="A3427" s="258"/>
      <c r="Z3427" s="258"/>
    </row>
    <row r="3428" spans="1:26" ht="12.75" customHeight="1" x14ac:dyDescent="0.2">
      <c r="A3428" s="258"/>
      <c r="Z3428" s="258"/>
    </row>
    <row r="3429" spans="1:26" ht="12.75" customHeight="1" x14ac:dyDescent="0.2">
      <c r="A3429" s="258"/>
      <c r="Z3429" s="258"/>
    </row>
    <row r="3430" spans="1:26" ht="12.75" customHeight="1" x14ac:dyDescent="0.2">
      <c r="A3430" s="258"/>
      <c r="Z3430" s="258"/>
    </row>
    <row r="3431" spans="1:26" ht="12.75" customHeight="1" x14ac:dyDescent="0.2">
      <c r="A3431" s="258"/>
      <c r="Z3431" s="258"/>
    </row>
    <row r="3432" spans="1:26" ht="12.75" customHeight="1" x14ac:dyDescent="0.2">
      <c r="A3432" s="258"/>
      <c r="Z3432" s="258"/>
    </row>
    <row r="3433" spans="1:26" ht="12.75" customHeight="1" x14ac:dyDescent="0.2">
      <c r="A3433" s="258"/>
      <c r="Z3433" s="258"/>
    </row>
    <row r="3434" spans="1:26" ht="12.75" customHeight="1" x14ac:dyDescent="0.2">
      <c r="A3434" s="258"/>
      <c r="Z3434" s="258"/>
    </row>
    <row r="3435" spans="1:26" ht="12.75" customHeight="1" x14ac:dyDescent="0.2">
      <c r="A3435" s="258"/>
      <c r="Z3435" s="258"/>
    </row>
    <row r="3436" spans="1:26" ht="12.75" customHeight="1" x14ac:dyDescent="0.2">
      <c r="A3436" s="258"/>
      <c r="Z3436" s="258"/>
    </row>
    <row r="3437" spans="1:26" ht="12.75" customHeight="1" x14ac:dyDescent="0.2">
      <c r="A3437" s="258"/>
      <c r="Z3437" s="258"/>
    </row>
    <row r="3438" spans="1:26" ht="12.75" customHeight="1" x14ac:dyDescent="0.2">
      <c r="A3438" s="258"/>
      <c r="Z3438" s="258"/>
    </row>
    <row r="3439" spans="1:26" ht="12.75" customHeight="1" x14ac:dyDescent="0.2">
      <c r="A3439" s="258"/>
      <c r="Z3439" s="258"/>
    </row>
    <row r="3440" spans="1:26" ht="12.75" customHeight="1" x14ac:dyDescent="0.2">
      <c r="A3440" s="258"/>
      <c r="Z3440" s="258"/>
    </row>
    <row r="3441" spans="1:26" ht="12.75" customHeight="1" x14ac:dyDescent="0.2">
      <c r="A3441" s="258"/>
      <c r="Z3441" s="258"/>
    </row>
    <row r="3442" spans="1:26" ht="12.75" customHeight="1" x14ac:dyDescent="0.2">
      <c r="A3442" s="258"/>
      <c r="Z3442" s="258"/>
    </row>
    <row r="3443" spans="1:26" ht="12.75" customHeight="1" x14ac:dyDescent="0.2">
      <c r="A3443" s="258"/>
      <c r="Z3443" s="258"/>
    </row>
    <row r="3444" spans="1:26" ht="12.75" customHeight="1" x14ac:dyDescent="0.2">
      <c r="A3444" s="258"/>
      <c r="Z3444" s="258"/>
    </row>
    <row r="3445" spans="1:26" ht="12.75" customHeight="1" x14ac:dyDescent="0.2">
      <c r="A3445" s="258"/>
      <c r="Z3445" s="258"/>
    </row>
    <row r="3446" spans="1:26" ht="12.75" customHeight="1" x14ac:dyDescent="0.2">
      <c r="A3446" s="258"/>
      <c r="Z3446" s="258"/>
    </row>
    <row r="3447" spans="1:26" ht="12.75" customHeight="1" x14ac:dyDescent="0.2">
      <c r="A3447" s="258"/>
      <c r="Z3447" s="258"/>
    </row>
    <row r="3448" spans="1:26" ht="12.75" customHeight="1" x14ac:dyDescent="0.2">
      <c r="A3448" s="258"/>
      <c r="Z3448" s="258"/>
    </row>
    <row r="3449" spans="1:26" ht="12.75" customHeight="1" x14ac:dyDescent="0.2">
      <c r="A3449" s="258"/>
      <c r="Z3449" s="258"/>
    </row>
    <row r="3450" spans="1:26" ht="12.75" customHeight="1" x14ac:dyDescent="0.2">
      <c r="A3450" s="258"/>
      <c r="Z3450" s="258"/>
    </row>
    <row r="3451" spans="1:26" ht="12.75" customHeight="1" x14ac:dyDescent="0.2">
      <c r="A3451" s="258"/>
      <c r="Z3451" s="258"/>
    </row>
    <row r="3452" spans="1:26" ht="12.75" customHeight="1" x14ac:dyDescent="0.2">
      <c r="A3452" s="258"/>
      <c r="Z3452" s="258"/>
    </row>
    <row r="3453" spans="1:26" ht="12.75" customHeight="1" x14ac:dyDescent="0.2">
      <c r="A3453" s="258"/>
      <c r="Z3453" s="258"/>
    </row>
    <row r="3454" spans="1:26" ht="12.75" customHeight="1" x14ac:dyDescent="0.2">
      <c r="A3454" s="258"/>
      <c r="Z3454" s="258"/>
    </row>
    <row r="3455" spans="1:26" ht="12.75" customHeight="1" x14ac:dyDescent="0.2">
      <c r="A3455" s="258"/>
      <c r="Z3455" s="258"/>
    </row>
    <row r="3456" spans="1:26" ht="12.75" customHeight="1" x14ac:dyDescent="0.2">
      <c r="A3456" s="258"/>
      <c r="Z3456" s="258"/>
    </row>
    <row r="3457" spans="1:26" ht="12.75" customHeight="1" x14ac:dyDescent="0.2">
      <c r="A3457" s="258"/>
      <c r="Z3457" s="258"/>
    </row>
    <row r="3458" spans="1:26" ht="12.75" customHeight="1" x14ac:dyDescent="0.2">
      <c r="A3458" s="258"/>
      <c r="Z3458" s="258"/>
    </row>
    <row r="3459" spans="1:26" ht="12.75" customHeight="1" x14ac:dyDescent="0.2">
      <c r="A3459" s="258"/>
      <c r="Z3459" s="258"/>
    </row>
    <row r="3460" spans="1:26" ht="12.75" customHeight="1" x14ac:dyDescent="0.2">
      <c r="A3460" s="258"/>
      <c r="Z3460" s="258"/>
    </row>
    <row r="3461" spans="1:26" ht="12.75" customHeight="1" x14ac:dyDescent="0.2">
      <c r="A3461" s="258"/>
      <c r="Z3461" s="258"/>
    </row>
    <row r="3462" spans="1:26" ht="12.75" customHeight="1" x14ac:dyDescent="0.2">
      <c r="A3462" s="258"/>
      <c r="Z3462" s="258"/>
    </row>
    <row r="3463" spans="1:26" ht="12.75" customHeight="1" x14ac:dyDescent="0.2">
      <c r="A3463" s="258"/>
      <c r="Z3463" s="258"/>
    </row>
    <row r="3464" spans="1:26" ht="12.75" customHeight="1" x14ac:dyDescent="0.2">
      <c r="A3464" s="258"/>
      <c r="Z3464" s="258"/>
    </row>
    <row r="3465" spans="1:26" ht="12.75" customHeight="1" x14ac:dyDescent="0.2">
      <c r="A3465" s="258"/>
      <c r="Z3465" s="258"/>
    </row>
    <row r="3466" spans="1:26" ht="12.75" customHeight="1" x14ac:dyDescent="0.2">
      <c r="A3466" s="258"/>
      <c r="Z3466" s="258"/>
    </row>
    <row r="3467" spans="1:26" ht="12.75" customHeight="1" x14ac:dyDescent="0.2">
      <c r="A3467" s="258"/>
      <c r="Z3467" s="258"/>
    </row>
    <row r="3468" spans="1:26" ht="12.75" customHeight="1" x14ac:dyDescent="0.2">
      <c r="A3468" s="258"/>
      <c r="Z3468" s="258"/>
    </row>
    <row r="3469" spans="1:26" ht="12.75" customHeight="1" x14ac:dyDescent="0.2">
      <c r="A3469" s="258"/>
      <c r="Z3469" s="258"/>
    </row>
    <row r="3470" spans="1:26" ht="12.75" customHeight="1" x14ac:dyDescent="0.2">
      <c r="A3470" s="258"/>
      <c r="Z3470" s="258"/>
    </row>
    <row r="3471" spans="1:26" ht="12.75" customHeight="1" x14ac:dyDescent="0.2">
      <c r="A3471" s="258"/>
      <c r="Z3471" s="258"/>
    </row>
    <row r="3472" spans="1:26" ht="12.75" customHeight="1" x14ac:dyDescent="0.2">
      <c r="A3472" s="258"/>
      <c r="Z3472" s="258"/>
    </row>
    <row r="3473" spans="1:26" ht="12.75" customHeight="1" x14ac:dyDescent="0.2">
      <c r="A3473" s="258"/>
      <c r="Z3473" s="258"/>
    </row>
    <row r="3474" spans="1:26" ht="12.75" customHeight="1" x14ac:dyDescent="0.2">
      <c r="A3474" s="258"/>
      <c r="Z3474" s="258"/>
    </row>
    <row r="3475" spans="1:26" ht="12.75" customHeight="1" x14ac:dyDescent="0.2">
      <c r="A3475" s="258"/>
      <c r="Z3475" s="258"/>
    </row>
    <row r="3476" spans="1:26" ht="12.75" customHeight="1" x14ac:dyDescent="0.2">
      <c r="A3476" s="258"/>
      <c r="Z3476" s="258"/>
    </row>
    <row r="3477" spans="1:26" ht="12.75" customHeight="1" x14ac:dyDescent="0.2">
      <c r="A3477" s="258"/>
      <c r="Z3477" s="258"/>
    </row>
    <row r="3478" spans="1:26" ht="12.75" customHeight="1" x14ac:dyDescent="0.2">
      <c r="A3478" s="258"/>
      <c r="Z3478" s="258"/>
    </row>
    <row r="3479" spans="1:26" ht="12.75" customHeight="1" x14ac:dyDescent="0.2">
      <c r="A3479" s="258"/>
      <c r="Z3479" s="258"/>
    </row>
    <row r="3480" spans="1:26" ht="12.75" customHeight="1" x14ac:dyDescent="0.2">
      <c r="A3480" s="258"/>
      <c r="Z3480" s="258"/>
    </row>
    <row r="3481" spans="1:26" ht="12.75" customHeight="1" x14ac:dyDescent="0.2">
      <c r="A3481" s="258"/>
      <c r="Z3481" s="258"/>
    </row>
    <row r="3482" spans="1:26" ht="12.75" customHeight="1" x14ac:dyDescent="0.2">
      <c r="A3482" s="258"/>
      <c r="Z3482" s="258"/>
    </row>
    <row r="3483" spans="1:26" ht="12.75" customHeight="1" x14ac:dyDescent="0.2">
      <c r="A3483" s="258"/>
      <c r="Z3483" s="258"/>
    </row>
    <row r="3484" spans="1:26" ht="12.75" customHeight="1" x14ac:dyDescent="0.2">
      <c r="A3484" s="258"/>
      <c r="Z3484" s="258"/>
    </row>
    <row r="3485" spans="1:26" ht="12.75" customHeight="1" x14ac:dyDescent="0.2">
      <c r="A3485" s="258"/>
      <c r="Z3485" s="258"/>
    </row>
    <row r="3486" spans="1:26" ht="12.75" customHeight="1" x14ac:dyDescent="0.2">
      <c r="A3486" s="258"/>
      <c r="Z3486" s="258"/>
    </row>
    <row r="3487" spans="1:26" ht="12.75" customHeight="1" x14ac:dyDescent="0.2">
      <c r="A3487" s="258"/>
      <c r="Z3487" s="258"/>
    </row>
    <row r="3488" spans="1:26" ht="12.75" customHeight="1" x14ac:dyDescent="0.2">
      <c r="A3488" s="258"/>
      <c r="Z3488" s="258"/>
    </row>
    <row r="3489" spans="1:26" ht="12.75" customHeight="1" x14ac:dyDescent="0.2">
      <c r="A3489" s="258"/>
      <c r="Z3489" s="258"/>
    </row>
    <row r="3490" spans="1:26" ht="12.75" customHeight="1" x14ac:dyDescent="0.2">
      <c r="A3490" s="258"/>
      <c r="Z3490" s="258"/>
    </row>
    <row r="3491" spans="1:26" ht="12.75" customHeight="1" x14ac:dyDescent="0.2">
      <c r="A3491" s="258"/>
      <c r="Z3491" s="258"/>
    </row>
    <row r="3492" spans="1:26" ht="12.75" customHeight="1" x14ac:dyDescent="0.2">
      <c r="A3492" s="258"/>
      <c r="Z3492" s="258"/>
    </row>
    <row r="3493" spans="1:26" ht="12.75" customHeight="1" x14ac:dyDescent="0.2">
      <c r="A3493" s="258"/>
      <c r="Z3493" s="258"/>
    </row>
    <row r="3494" spans="1:26" ht="12.75" customHeight="1" x14ac:dyDescent="0.2">
      <c r="A3494" s="258"/>
      <c r="Z3494" s="258"/>
    </row>
    <row r="3495" spans="1:26" ht="12.75" customHeight="1" x14ac:dyDescent="0.2">
      <c r="A3495" s="258"/>
      <c r="Z3495" s="258"/>
    </row>
    <row r="3496" spans="1:26" ht="12.75" customHeight="1" x14ac:dyDescent="0.2">
      <c r="A3496" s="258"/>
      <c r="Z3496" s="258"/>
    </row>
    <row r="3497" spans="1:26" ht="12.75" customHeight="1" x14ac:dyDescent="0.2">
      <c r="A3497" s="258"/>
      <c r="Z3497" s="258"/>
    </row>
    <row r="3498" spans="1:26" ht="12.75" customHeight="1" x14ac:dyDescent="0.2">
      <c r="A3498" s="258"/>
      <c r="Z3498" s="258"/>
    </row>
    <row r="3499" spans="1:26" ht="12.75" customHeight="1" x14ac:dyDescent="0.2">
      <c r="A3499" s="258"/>
      <c r="Z3499" s="258"/>
    </row>
    <row r="3500" spans="1:26" ht="12.75" customHeight="1" x14ac:dyDescent="0.2">
      <c r="A3500" s="258"/>
      <c r="Z3500" s="258"/>
    </row>
    <row r="3501" spans="1:26" ht="12.75" customHeight="1" x14ac:dyDescent="0.2">
      <c r="A3501" s="258"/>
      <c r="Z3501" s="258"/>
    </row>
    <row r="3502" spans="1:26" ht="12.75" customHeight="1" x14ac:dyDescent="0.2">
      <c r="A3502" s="258"/>
      <c r="Z3502" s="258"/>
    </row>
    <row r="3503" spans="1:26" ht="12.75" customHeight="1" x14ac:dyDescent="0.2">
      <c r="A3503" s="258"/>
      <c r="Z3503" s="258"/>
    </row>
    <row r="3504" spans="1:26" ht="12.75" customHeight="1" x14ac:dyDescent="0.2">
      <c r="A3504" s="258"/>
      <c r="Z3504" s="258"/>
    </row>
    <row r="3505" spans="1:26" ht="12.75" customHeight="1" x14ac:dyDescent="0.2">
      <c r="A3505" s="258"/>
      <c r="Z3505" s="258"/>
    </row>
    <row r="3506" spans="1:26" ht="12.75" customHeight="1" x14ac:dyDescent="0.2">
      <c r="A3506" s="258"/>
      <c r="Z3506" s="258"/>
    </row>
    <row r="3507" spans="1:26" ht="12.75" customHeight="1" x14ac:dyDescent="0.2">
      <c r="A3507" s="258"/>
      <c r="Z3507" s="258"/>
    </row>
    <row r="3508" spans="1:26" ht="12.75" customHeight="1" x14ac:dyDescent="0.2">
      <c r="A3508" s="258"/>
      <c r="Z3508" s="258"/>
    </row>
    <row r="3509" spans="1:26" ht="12.75" customHeight="1" x14ac:dyDescent="0.2">
      <c r="A3509" s="258"/>
      <c r="Z3509" s="258"/>
    </row>
    <row r="3510" spans="1:26" ht="12.75" customHeight="1" x14ac:dyDescent="0.2">
      <c r="A3510" s="258"/>
      <c r="Z3510" s="258"/>
    </row>
    <row r="3511" spans="1:26" ht="12.75" customHeight="1" x14ac:dyDescent="0.2">
      <c r="A3511" s="258"/>
      <c r="Z3511" s="258"/>
    </row>
    <row r="3512" spans="1:26" ht="12.75" customHeight="1" x14ac:dyDescent="0.2">
      <c r="A3512" s="258"/>
      <c r="Z3512" s="258"/>
    </row>
    <row r="3513" spans="1:26" ht="12.75" customHeight="1" x14ac:dyDescent="0.2">
      <c r="A3513" s="258"/>
      <c r="Z3513" s="258"/>
    </row>
    <row r="3514" spans="1:26" ht="12.75" customHeight="1" x14ac:dyDescent="0.2">
      <c r="A3514" s="258"/>
      <c r="Z3514" s="258"/>
    </row>
    <row r="3515" spans="1:26" ht="12.75" customHeight="1" x14ac:dyDescent="0.2">
      <c r="A3515" s="258"/>
      <c r="Z3515" s="258"/>
    </row>
    <row r="3516" spans="1:26" ht="12.75" customHeight="1" x14ac:dyDescent="0.2">
      <c r="A3516" s="258"/>
      <c r="Z3516" s="258"/>
    </row>
    <row r="3517" spans="1:26" ht="12.75" customHeight="1" x14ac:dyDescent="0.2">
      <c r="A3517" s="258"/>
      <c r="Z3517" s="258"/>
    </row>
    <row r="3518" spans="1:26" ht="12.75" customHeight="1" x14ac:dyDescent="0.2">
      <c r="A3518" s="258"/>
      <c r="Z3518" s="258"/>
    </row>
    <row r="3519" spans="1:26" ht="12.75" customHeight="1" x14ac:dyDescent="0.2">
      <c r="A3519" s="258"/>
      <c r="Z3519" s="258"/>
    </row>
    <row r="3520" spans="1:26" ht="12.75" customHeight="1" x14ac:dyDescent="0.2">
      <c r="A3520" s="258"/>
      <c r="Z3520" s="258"/>
    </row>
    <row r="3521" spans="1:26" ht="12.75" customHeight="1" x14ac:dyDescent="0.2">
      <c r="A3521" s="258"/>
      <c r="Z3521" s="258"/>
    </row>
    <row r="3522" spans="1:26" ht="12.75" customHeight="1" x14ac:dyDescent="0.2">
      <c r="A3522" s="258"/>
      <c r="Z3522" s="258"/>
    </row>
    <row r="3523" spans="1:26" ht="12.75" customHeight="1" x14ac:dyDescent="0.2">
      <c r="A3523" s="258"/>
      <c r="Z3523" s="258"/>
    </row>
    <row r="3524" spans="1:26" ht="12.75" customHeight="1" x14ac:dyDescent="0.2">
      <c r="A3524" s="258"/>
      <c r="Z3524" s="258"/>
    </row>
    <row r="3525" spans="1:26" ht="12.75" customHeight="1" x14ac:dyDescent="0.2">
      <c r="A3525" s="258"/>
      <c r="Z3525" s="258"/>
    </row>
    <row r="3526" spans="1:26" ht="12.75" customHeight="1" x14ac:dyDescent="0.2">
      <c r="A3526" s="258"/>
      <c r="Z3526" s="258"/>
    </row>
    <row r="3527" spans="1:26" ht="12.75" customHeight="1" x14ac:dyDescent="0.2">
      <c r="A3527" s="258"/>
      <c r="Z3527" s="258"/>
    </row>
    <row r="3528" spans="1:26" ht="12.75" customHeight="1" x14ac:dyDescent="0.2">
      <c r="A3528" s="258"/>
      <c r="Z3528" s="258"/>
    </row>
    <row r="3529" spans="1:26" ht="12.75" customHeight="1" x14ac:dyDescent="0.2">
      <c r="A3529" s="258"/>
      <c r="Z3529" s="258"/>
    </row>
    <row r="3530" spans="1:26" ht="12.75" customHeight="1" x14ac:dyDescent="0.2">
      <c r="A3530" s="258"/>
      <c r="Z3530" s="258"/>
    </row>
    <row r="3531" spans="1:26" ht="12.75" customHeight="1" x14ac:dyDescent="0.2">
      <c r="A3531" s="258"/>
      <c r="Z3531" s="258"/>
    </row>
    <row r="3532" spans="1:26" ht="12.75" customHeight="1" x14ac:dyDescent="0.2">
      <c r="A3532" s="258"/>
      <c r="Z3532" s="258"/>
    </row>
    <row r="3533" spans="1:26" ht="12.75" customHeight="1" x14ac:dyDescent="0.2">
      <c r="A3533" s="258"/>
      <c r="Z3533" s="258"/>
    </row>
    <row r="3534" spans="1:26" ht="12.75" customHeight="1" x14ac:dyDescent="0.2">
      <c r="A3534" s="258"/>
      <c r="Z3534" s="258"/>
    </row>
    <row r="3535" spans="1:26" ht="12.75" customHeight="1" x14ac:dyDescent="0.2">
      <c r="A3535" s="258"/>
      <c r="Z3535" s="258"/>
    </row>
    <row r="3536" spans="1:26" ht="12.75" customHeight="1" x14ac:dyDescent="0.2">
      <c r="A3536" s="258"/>
      <c r="Z3536" s="258"/>
    </row>
    <row r="3537" spans="1:26" ht="12.75" customHeight="1" x14ac:dyDescent="0.2">
      <c r="A3537" s="258"/>
      <c r="Z3537" s="258"/>
    </row>
    <row r="3538" spans="1:26" ht="12.75" customHeight="1" x14ac:dyDescent="0.2">
      <c r="A3538" s="258"/>
      <c r="Z3538" s="258"/>
    </row>
    <row r="3539" spans="1:26" ht="12.75" customHeight="1" x14ac:dyDescent="0.2">
      <c r="A3539" s="258"/>
      <c r="Z3539" s="258"/>
    </row>
    <row r="3540" spans="1:26" ht="12.75" customHeight="1" x14ac:dyDescent="0.2">
      <c r="A3540" s="258"/>
      <c r="Z3540" s="258"/>
    </row>
    <row r="3541" spans="1:26" ht="12.75" customHeight="1" x14ac:dyDescent="0.2">
      <c r="A3541" s="258"/>
      <c r="Z3541" s="258"/>
    </row>
    <row r="3542" spans="1:26" ht="12.75" customHeight="1" x14ac:dyDescent="0.2">
      <c r="A3542" s="258"/>
      <c r="Z3542" s="258"/>
    </row>
    <row r="3543" spans="1:26" ht="12.75" customHeight="1" x14ac:dyDescent="0.2">
      <c r="A3543" s="258"/>
      <c r="Z3543" s="258"/>
    </row>
    <row r="3544" spans="1:26" ht="12.75" customHeight="1" x14ac:dyDescent="0.2">
      <c r="A3544" s="258"/>
      <c r="Z3544" s="258"/>
    </row>
    <row r="3545" spans="1:26" ht="12.75" customHeight="1" x14ac:dyDescent="0.2">
      <c r="A3545" s="258"/>
      <c r="Z3545" s="258"/>
    </row>
    <row r="3546" spans="1:26" ht="12.75" customHeight="1" x14ac:dyDescent="0.2">
      <c r="A3546" s="258"/>
      <c r="Z3546" s="258"/>
    </row>
    <row r="3547" spans="1:26" ht="12.75" customHeight="1" x14ac:dyDescent="0.2">
      <c r="A3547" s="258"/>
      <c r="Z3547" s="258"/>
    </row>
    <row r="3548" spans="1:26" ht="12.75" customHeight="1" x14ac:dyDescent="0.2">
      <c r="A3548" s="258"/>
      <c r="Z3548" s="258"/>
    </row>
    <row r="3549" spans="1:26" ht="12.75" customHeight="1" x14ac:dyDescent="0.2">
      <c r="A3549" s="258"/>
      <c r="Z3549" s="258"/>
    </row>
    <row r="3550" spans="1:26" ht="12.75" customHeight="1" x14ac:dyDescent="0.2">
      <c r="A3550" s="258"/>
      <c r="Z3550" s="258"/>
    </row>
    <row r="3551" spans="1:26" ht="12.75" customHeight="1" x14ac:dyDescent="0.2">
      <c r="A3551" s="258"/>
      <c r="Z3551" s="258"/>
    </row>
    <row r="3552" spans="1:26" ht="12.75" customHeight="1" x14ac:dyDescent="0.2">
      <c r="A3552" s="258"/>
      <c r="Z3552" s="258"/>
    </row>
    <row r="3553" spans="1:26" ht="12.75" customHeight="1" x14ac:dyDescent="0.2">
      <c r="A3553" s="258"/>
      <c r="Z3553" s="258"/>
    </row>
    <row r="3554" spans="1:26" ht="12.75" customHeight="1" x14ac:dyDescent="0.2">
      <c r="A3554" s="258"/>
      <c r="Z3554" s="258"/>
    </row>
    <row r="3555" spans="1:26" ht="12.75" customHeight="1" x14ac:dyDescent="0.2">
      <c r="A3555" s="258"/>
      <c r="Z3555" s="258"/>
    </row>
    <row r="3556" spans="1:26" ht="12.75" customHeight="1" x14ac:dyDescent="0.2">
      <c r="A3556" s="258"/>
      <c r="Z3556" s="258"/>
    </row>
    <row r="3557" spans="1:26" ht="12.75" customHeight="1" x14ac:dyDescent="0.2">
      <c r="A3557" s="258"/>
      <c r="Z3557" s="258"/>
    </row>
    <row r="3558" spans="1:26" ht="12.75" customHeight="1" x14ac:dyDescent="0.2">
      <c r="A3558" s="258"/>
      <c r="Z3558" s="258"/>
    </row>
    <row r="3559" spans="1:26" ht="12.75" customHeight="1" x14ac:dyDescent="0.2">
      <c r="A3559" s="258"/>
      <c r="Z3559" s="258"/>
    </row>
    <row r="3560" spans="1:26" ht="12.75" customHeight="1" x14ac:dyDescent="0.2">
      <c r="A3560" s="258"/>
      <c r="Z3560" s="258"/>
    </row>
    <row r="3561" spans="1:26" ht="12.75" customHeight="1" x14ac:dyDescent="0.2">
      <c r="A3561" s="258"/>
      <c r="Z3561" s="258"/>
    </row>
    <row r="3562" spans="1:26" ht="12.75" customHeight="1" x14ac:dyDescent="0.2">
      <c r="A3562" s="258"/>
      <c r="Z3562" s="258"/>
    </row>
    <row r="3563" spans="1:26" ht="12.75" customHeight="1" x14ac:dyDescent="0.2">
      <c r="A3563" s="258"/>
      <c r="Z3563" s="258"/>
    </row>
    <row r="3564" spans="1:26" ht="12.75" customHeight="1" x14ac:dyDescent="0.2">
      <c r="A3564" s="258"/>
      <c r="Z3564" s="258"/>
    </row>
    <row r="3565" spans="1:26" ht="12.75" customHeight="1" x14ac:dyDescent="0.2">
      <c r="A3565" s="258"/>
      <c r="Z3565" s="258"/>
    </row>
    <row r="3566" spans="1:26" ht="12.75" customHeight="1" x14ac:dyDescent="0.2">
      <c r="A3566" s="258"/>
      <c r="Z3566" s="258"/>
    </row>
    <row r="3567" spans="1:26" ht="12.75" customHeight="1" x14ac:dyDescent="0.2">
      <c r="A3567" s="258"/>
      <c r="Z3567" s="258"/>
    </row>
    <row r="3568" spans="1:26" ht="12.75" customHeight="1" x14ac:dyDescent="0.2">
      <c r="A3568" s="258"/>
      <c r="Z3568" s="258"/>
    </row>
    <row r="3569" spans="1:26" ht="12.75" customHeight="1" x14ac:dyDescent="0.2">
      <c r="A3569" s="258"/>
      <c r="Z3569" s="258"/>
    </row>
    <row r="3570" spans="1:26" ht="12.75" customHeight="1" x14ac:dyDescent="0.2">
      <c r="A3570" s="258"/>
      <c r="Z3570" s="258"/>
    </row>
    <row r="3571" spans="1:26" ht="12.75" customHeight="1" x14ac:dyDescent="0.2">
      <c r="A3571" s="258"/>
      <c r="Z3571" s="258"/>
    </row>
    <row r="3572" spans="1:26" ht="12.75" customHeight="1" x14ac:dyDescent="0.2">
      <c r="A3572" s="258"/>
      <c r="Z3572" s="258"/>
    </row>
    <row r="3573" spans="1:26" ht="12.75" customHeight="1" x14ac:dyDescent="0.2">
      <c r="A3573" s="258"/>
      <c r="Z3573" s="258"/>
    </row>
    <row r="3574" spans="1:26" ht="12.75" customHeight="1" x14ac:dyDescent="0.2">
      <c r="A3574" s="258"/>
      <c r="Z3574" s="258"/>
    </row>
    <row r="3575" spans="1:26" ht="12.75" customHeight="1" x14ac:dyDescent="0.2">
      <c r="A3575" s="258"/>
      <c r="Z3575" s="258"/>
    </row>
    <row r="3576" spans="1:26" ht="12.75" customHeight="1" x14ac:dyDescent="0.2">
      <c r="A3576" s="258"/>
      <c r="Z3576" s="258"/>
    </row>
    <row r="3577" spans="1:26" ht="12.75" customHeight="1" x14ac:dyDescent="0.2">
      <c r="A3577" s="258"/>
      <c r="Z3577" s="258"/>
    </row>
    <row r="3578" spans="1:26" ht="12.75" customHeight="1" x14ac:dyDescent="0.2">
      <c r="A3578" s="258"/>
      <c r="Z3578" s="258"/>
    </row>
    <row r="3579" spans="1:26" ht="12.75" customHeight="1" x14ac:dyDescent="0.2">
      <c r="A3579" s="258"/>
      <c r="Z3579" s="258"/>
    </row>
    <row r="3580" spans="1:26" ht="12.75" customHeight="1" x14ac:dyDescent="0.2">
      <c r="A3580" s="258"/>
      <c r="Z3580" s="258"/>
    </row>
    <row r="3581" spans="1:26" ht="12.75" customHeight="1" x14ac:dyDescent="0.2">
      <c r="A3581" s="258"/>
      <c r="Z3581" s="258"/>
    </row>
    <row r="3582" spans="1:26" ht="12.75" customHeight="1" x14ac:dyDescent="0.2">
      <c r="A3582" s="258"/>
      <c r="Z3582" s="258"/>
    </row>
    <row r="3583" spans="1:26" ht="12.75" customHeight="1" x14ac:dyDescent="0.2">
      <c r="A3583" s="258"/>
      <c r="Z3583" s="258"/>
    </row>
    <row r="3584" spans="1:26" ht="12.75" customHeight="1" x14ac:dyDescent="0.2">
      <c r="A3584" s="258"/>
      <c r="Z3584" s="258"/>
    </row>
    <row r="3585" spans="1:26" ht="12.75" customHeight="1" x14ac:dyDescent="0.2">
      <c r="A3585" s="258"/>
      <c r="Z3585" s="258"/>
    </row>
    <row r="3586" spans="1:26" ht="12.75" customHeight="1" x14ac:dyDescent="0.2">
      <c r="A3586" s="258"/>
      <c r="Z3586" s="258"/>
    </row>
    <row r="3587" spans="1:26" ht="12.75" customHeight="1" x14ac:dyDescent="0.2">
      <c r="A3587" s="258"/>
      <c r="Z3587" s="258"/>
    </row>
    <row r="3588" spans="1:26" ht="12.75" customHeight="1" x14ac:dyDescent="0.2">
      <c r="A3588" s="258"/>
      <c r="Z3588" s="258"/>
    </row>
    <row r="3589" spans="1:26" ht="12.75" customHeight="1" x14ac:dyDescent="0.2">
      <c r="A3589" s="258"/>
      <c r="Z3589" s="258"/>
    </row>
    <row r="3590" spans="1:26" ht="12.75" customHeight="1" x14ac:dyDescent="0.2">
      <c r="A3590" s="258"/>
      <c r="Z3590" s="258"/>
    </row>
    <row r="3591" spans="1:26" ht="12.75" customHeight="1" x14ac:dyDescent="0.2">
      <c r="A3591" s="258"/>
      <c r="Z3591" s="258"/>
    </row>
    <row r="3592" spans="1:26" ht="12.75" customHeight="1" x14ac:dyDescent="0.2">
      <c r="A3592" s="258"/>
      <c r="Z3592" s="258"/>
    </row>
    <row r="3593" spans="1:26" ht="12.75" customHeight="1" x14ac:dyDescent="0.2">
      <c r="A3593" s="258"/>
      <c r="Z3593" s="258"/>
    </row>
    <row r="3594" spans="1:26" ht="12.75" customHeight="1" x14ac:dyDescent="0.2">
      <c r="A3594" s="258"/>
      <c r="Z3594" s="258"/>
    </row>
    <row r="3595" spans="1:26" ht="12.75" customHeight="1" x14ac:dyDescent="0.2">
      <c r="A3595" s="258"/>
      <c r="Z3595" s="258"/>
    </row>
    <row r="3596" spans="1:26" ht="12.75" customHeight="1" x14ac:dyDescent="0.2">
      <c r="A3596" s="258"/>
      <c r="Z3596" s="258"/>
    </row>
    <row r="3597" spans="1:26" ht="12.75" customHeight="1" x14ac:dyDescent="0.2">
      <c r="A3597" s="258"/>
      <c r="Z3597" s="258"/>
    </row>
    <row r="3598" spans="1:26" ht="12.75" customHeight="1" x14ac:dyDescent="0.2">
      <c r="A3598" s="258"/>
      <c r="Z3598" s="258"/>
    </row>
    <row r="3599" spans="1:26" ht="12.75" customHeight="1" x14ac:dyDescent="0.2">
      <c r="A3599" s="258"/>
      <c r="Z3599" s="258"/>
    </row>
    <row r="3600" spans="1:26" ht="12.75" customHeight="1" x14ac:dyDescent="0.2">
      <c r="A3600" s="258"/>
      <c r="Z3600" s="258"/>
    </row>
    <row r="3601" spans="1:26" ht="12.75" customHeight="1" x14ac:dyDescent="0.2">
      <c r="A3601" s="258"/>
      <c r="Z3601" s="258"/>
    </row>
    <row r="3602" spans="1:26" ht="12.75" customHeight="1" x14ac:dyDescent="0.2">
      <c r="A3602" s="258"/>
      <c r="Z3602" s="258"/>
    </row>
    <row r="3603" spans="1:26" ht="12.75" customHeight="1" x14ac:dyDescent="0.2">
      <c r="A3603" s="258"/>
      <c r="Z3603" s="258"/>
    </row>
    <row r="3604" spans="1:26" ht="12.75" customHeight="1" x14ac:dyDescent="0.2">
      <c r="A3604" s="258"/>
      <c r="Z3604" s="258"/>
    </row>
    <row r="3605" spans="1:26" ht="12.75" customHeight="1" x14ac:dyDescent="0.2">
      <c r="A3605" s="258"/>
      <c r="Z3605" s="258"/>
    </row>
    <row r="3606" spans="1:26" ht="12.75" customHeight="1" x14ac:dyDescent="0.2">
      <c r="A3606" s="258"/>
      <c r="Z3606" s="258"/>
    </row>
    <row r="3607" spans="1:26" ht="12.75" customHeight="1" x14ac:dyDescent="0.2">
      <c r="A3607" s="258"/>
      <c r="Z3607" s="258"/>
    </row>
    <row r="3608" spans="1:26" ht="12.75" customHeight="1" x14ac:dyDescent="0.2">
      <c r="A3608" s="258"/>
      <c r="Z3608" s="258"/>
    </row>
    <row r="3609" spans="1:26" ht="12.75" customHeight="1" x14ac:dyDescent="0.2">
      <c r="A3609" s="258"/>
      <c r="Z3609" s="258"/>
    </row>
    <row r="3610" spans="1:26" ht="12.75" customHeight="1" x14ac:dyDescent="0.2">
      <c r="A3610" s="258"/>
      <c r="Z3610" s="258"/>
    </row>
    <row r="3611" spans="1:26" ht="12.75" customHeight="1" x14ac:dyDescent="0.2">
      <c r="A3611" s="258"/>
      <c r="Z3611" s="258"/>
    </row>
    <row r="3612" spans="1:26" ht="12.75" customHeight="1" x14ac:dyDescent="0.2">
      <c r="A3612" s="258"/>
      <c r="Z3612" s="258"/>
    </row>
    <row r="3613" spans="1:26" ht="12.75" customHeight="1" x14ac:dyDescent="0.2">
      <c r="A3613" s="258"/>
      <c r="Z3613" s="258"/>
    </row>
    <row r="3614" spans="1:26" ht="12.75" customHeight="1" x14ac:dyDescent="0.2">
      <c r="A3614" s="258"/>
      <c r="Z3614" s="258"/>
    </row>
    <row r="3615" spans="1:26" ht="12.75" customHeight="1" x14ac:dyDescent="0.2">
      <c r="A3615" s="258"/>
      <c r="Z3615" s="258"/>
    </row>
    <row r="3616" spans="1:26" ht="12.75" customHeight="1" x14ac:dyDescent="0.2">
      <c r="A3616" s="258"/>
      <c r="Z3616" s="258"/>
    </row>
    <row r="3617" spans="1:26" ht="12.75" customHeight="1" x14ac:dyDescent="0.2">
      <c r="A3617" s="258"/>
      <c r="Z3617" s="258"/>
    </row>
    <row r="3618" spans="1:26" ht="12.75" customHeight="1" x14ac:dyDescent="0.2">
      <c r="A3618" s="258"/>
      <c r="Z3618" s="258"/>
    </row>
    <row r="3619" spans="1:26" ht="12.75" customHeight="1" x14ac:dyDescent="0.2">
      <c r="A3619" s="258"/>
      <c r="Z3619" s="258"/>
    </row>
    <row r="3620" spans="1:26" ht="12.75" customHeight="1" x14ac:dyDescent="0.2">
      <c r="A3620" s="258"/>
      <c r="Z3620" s="258"/>
    </row>
    <row r="3621" spans="1:26" ht="12.75" customHeight="1" x14ac:dyDescent="0.2">
      <c r="A3621" s="258"/>
      <c r="Z3621" s="258"/>
    </row>
    <row r="3622" spans="1:26" ht="12.75" customHeight="1" x14ac:dyDescent="0.2">
      <c r="A3622" s="258"/>
      <c r="Z3622" s="258"/>
    </row>
    <row r="3623" spans="1:26" ht="12.75" customHeight="1" x14ac:dyDescent="0.2">
      <c r="A3623" s="258"/>
      <c r="Z3623" s="258"/>
    </row>
    <row r="3624" spans="1:26" ht="12.75" customHeight="1" x14ac:dyDescent="0.2">
      <c r="A3624" s="258"/>
      <c r="Z3624" s="258"/>
    </row>
    <row r="3625" spans="1:26" ht="12.75" customHeight="1" x14ac:dyDescent="0.2">
      <c r="A3625" s="258"/>
      <c r="Z3625" s="258"/>
    </row>
    <row r="3626" spans="1:26" ht="12.75" customHeight="1" x14ac:dyDescent="0.2">
      <c r="A3626" s="258"/>
      <c r="Z3626" s="258"/>
    </row>
    <row r="3627" spans="1:26" ht="12.75" customHeight="1" x14ac:dyDescent="0.2">
      <c r="A3627" s="258"/>
      <c r="Z3627" s="258"/>
    </row>
    <row r="3628" spans="1:26" ht="12.75" customHeight="1" x14ac:dyDescent="0.2">
      <c r="A3628" s="258"/>
      <c r="Z3628" s="258"/>
    </row>
    <row r="3629" spans="1:26" ht="12.75" customHeight="1" x14ac:dyDescent="0.2">
      <c r="A3629" s="258"/>
      <c r="Z3629" s="258"/>
    </row>
    <row r="3630" spans="1:26" ht="12.75" customHeight="1" x14ac:dyDescent="0.2">
      <c r="A3630" s="258"/>
      <c r="Z3630" s="258"/>
    </row>
    <row r="3631" spans="1:26" ht="12.75" customHeight="1" x14ac:dyDescent="0.2">
      <c r="A3631" s="258"/>
      <c r="Z3631" s="258"/>
    </row>
    <row r="3632" spans="1:26" ht="12.75" customHeight="1" x14ac:dyDescent="0.2">
      <c r="A3632" s="258"/>
      <c r="Z3632" s="258"/>
    </row>
    <row r="3633" spans="1:26" ht="12.75" customHeight="1" x14ac:dyDescent="0.2">
      <c r="A3633" s="258"/>
      <c r="Z3633" s="258"/>
    </row>
    <row r="3634" spans="1:26" ht="12.75" customHeight="1" x14ac:dyDescent="0.2">
      <c r="A3634" s="258"/>
      <c r="Z3634" s="258"/>
    </row>
    <row r="3635" spans="1:26" ht="12.75" customHeight="1" x14ac:dyDescent="0.2">
      <c r="A3635" s="258"/>
      <c r="Z3635" s="258"/>
    </row>
    <row r="3636" spans="1:26" ht="12.75" customHeight="1" x14ac:dyDescent="0.2">
      <c r="A3636" s="258"/>
      <c r="Z3636" s="258"/>
    </row>
    <row r="3637" spans="1:26" ht="12.75" customHeight="1" x14ac:dyDescent="0.2">
      <c r="A3637" s="258"/>
      <c r="Z3637" s="258"/>
    </row>
    <row r="3638" spans="1:26" ht="12.75" customHeight="1" x14ac:dyDescent="0.2">
      <c r="A3638" s="258"/>
      <c r="Z3638" s="258"/>
    </row>
    <row r="3639" spans="1:26" ht="12.75" customHeight="1" x14ac:dyDescent="0.2">
      <c r="A3639" s="258"/>
      <c r="Z3639" s="258"/>
    </row>
    <row r="3640" spans="1:26" ht="12.75" customHeight="1" x14ac:dyDescent="0.2">
      <c r="A3640" s="258"/>
      <c r="Z3640" s="258"/>
    </row>
    <row r="3641" spans="1:26" ht="12.75" customHeight="1" x14ac:dyDescent="0.2">
      <c r="A3641" s="258"/>
      <c r="Z3641" s="258"/>
    </row>
    <row r="3642" spans="1:26" ht="12.75" customHeight="1" x14ac:dyDescent="0.2">
      <c r="A3642" s="258"/>
      <c r="Z3642" s="258"/>
    </row>
    <row r="3643" spans="1:26" ht="12.75" customHeight="1" x14ac:dyDescent="0.2">
      <c r="A3643" s="258"/>
      <c r="Z3643" s="258"/>
    </row>
    <row r="3644" spans="1:26" ht="12.75" customHeight="1" x14ac:dyDescent="0.2">
      <c r="A3644" s="258"/>
      <c r="Z3644" s="258"/>
    </row>
    <row r="3645" spans="1:26" ht="12.75" customHeight="1" x14ac:dyDescent="0.2">
      <c r="A3645" s="258"/>
      <c r="Z3645" s="258"/>
    </row>
    <row r="3646" spans="1:26" ht="12.75" customHeight="1" x14ac:dyDescent="0.2">
      <c r="A3646" s="258"/>
      <c r="Z3646" s="258"/>
    </row>
    <row r="3647" spans="1:26" ht="12.75" customHeight="1" x14ac:dyDescent="0.2">
      <c r="A3647" s="258"/>
      <c r="Z3647" s="258"/>
    </row>
    <row r="3648" spans="1:26" ht="12.75" customHeight="1" x14ac:dyDescent="0.2">
      <c r="A3648" s="258"/>
      <c r="Z3648" s="258"/>
    </row>
    <row r="3649" spans="1:26" ht="12.75" customHeight="1" x14ac:dyDescent="0.2">
      <c r="A3649" s="258"/>
      <c r="Z3649" s="258"/>
    </row>
    <row r="3650" spans="1:26" ht="12.75" customHeight="1" x14ac:dyDescent="0.2">
      <c r="A3650" s="258"/>
      <c r="Z3650" s="258"/>
    </row>
    <row r="3651" spans="1:26" ht="12.75" customHeight="1" x14ac:dyDescent="0.2">
      <c r="A3651" s="258"/>
      <c r="Z3651" s="258"/>
    </row>
    <row r="3652" spans="1:26" ht="12.75" customHeight="1" x14ac:dyDescent="0.2">
      <c r="A3652" s="258"/>
      <c r="Z3652" s="258"/>
    </row>
    <row r="3653" spans="1:26" ht="12.75" customHeight="1" x14ac:dyDescent="0.2">
      <c r="A3653" s="258"/>
      <c r="Z3653" s="258"/>
    </row>
    <row r="3654" spans="1:26" ht="12.75" customHeight="1" x14ac:dyDescent="0.2">
      <c r="A3654" s="258"/>
      <c r="Z3654" s="258"/>
    </row>
    <row r="3655" spans="1:26" ht="12.75" customHeight="1" x14ac:dyDescent="0.2">
      <c r="A3655" s="258"/>
      <c r="Z3655" s="258"/>
    </row>
    <row r="3656" spans="1:26" ht="12.75" customHeight="1" x14ac:dyDescent="0.2">
      <c r="A3656" s="258"/>
      <c r="Z3656" s="258"/>
    </row>
    <row r="3657" spans="1:26" ht="12.75" customHeight="1" x14ac:dyDescent="0.2">
      <c r="A3657" s="258"/>
      <c r="Z3657" s="258"/>
    </row>
    <row r="3658" spans="1:26" ht="12.75" customHeight="1" x14ac:dyDescent="0.2">
      <c r="A3658" s="258"/>
      <c r="Z3658" s="258"/>
    </row>
    <row r="3659" spans="1:26" ht="12.75" customHeight="1" x14ac:dyDescent="0.2">
      <c r="A3659" s="258"/>
      <c r="Z3659" s="258"/>
    </row>
    <row r="3660" spans="1:26" ht="12.75" customHeight="1" x14ac:dyDescent="0.2">
      <c r="A3660" s="258"/>
      <c r="Z3660" s="258"/>
    </row>
    <row r="3661" spans="1:26" ht="12.75" customHeight="1" x14ac:dyDescent="0.2">
      <c r="A3661" s="258"/>
      <c r="Z3661" s="258"/>
    </row>
    <row r="3662" spans="1:26" ht="12.75" customHeight="1" x14ac:dyDescent="0.2">
      <c r="A3662" s="258"/>
      <c r="Z3662" s="258"/>
    </row>
    <row r="3663" spans="1:26" ht="12.75" customHeight="1" x14ac:dyDescent="0.2">
      <c r="A3663" s="258"/>
      <c r="Z3663" s="258"/>
    </row>
    <row r="3664" spans="1:26" ht="12.75" customHeight="1" x14ac:dyDescent="0.2">
      <c r="A3664" s="258"/>
      <c r="Z3664" s="258"/>
    </row>
    <row r="3665" spans="1:26" ht="12.75" customHeight="1" x14ac:dyDescent="0.2">
      <c r="A3665" s="258"/>
      <c r="Z3665" s="258"/>
    </row>
    <row r="3666" spans="1:26" ht="12.75" customHeight="1" x14ac:dyDescent="0.2">
      <c r="A3666" s="258"/>
      <c r="Z3666" s="258"/>
    </row>
    <row r="3667" spans="1:26" ht="12.75" customHeight="1" x14ac:dyDescent="0.2">
      <c r="A3667" s="258"/>
      <c r="Z3667" s="258"/>
    </row>
    <row r="3668" spans="1:26" ht="12.75" customHeight="1" x14ac:dyDescent="0.2">
      <c r="A3668" s="258"/>
      <c r="Z3668" s="258"/>
    </row>
    <row r="3669" spans="1:26" ht="12.75" customHeight="1" x14ac:dyDescent="0.2">
      <c r="A3669" s="258"/>
      <c r="Z3669" s="258"/>
    </row>
    <row r="3670" spans="1:26" ht="12.75" customHeight="1" x14ac:dyDescent="0.2">
      <c r="A3670" s="258"/>
      <c r="Z3670" s="258"/>
    </row>
    <row r="3671" spans="1:26" ht="12.75" customHeight="1" x14ac:dyDescent="0.2">
      <c r="A3671" s="258"/>
      <c r="Z3671" s="258"/>
    </row>
    <row r="3672" spans="1:26" ht="12.75" customHeight="1" x14ac:dyDescent="0.2">
      <c r="A3672" s="258"/>
      <c r="Z3672" s="258"/>
    </row>
    <row r="3673" spans="1:26" ht="12.75" customHeight="1" x14ac:dyDescent="0.2">
      <c r="A3673" s="258"/>
      <c r="Z3673" s="258"/>
    </row>
    <row r="3674" spans="1:26" ht="12.75" customHeight="1" x14ac:dyDescent="0.2">
      <c r="A3674" s="258"/>
      <c r="Z3674" s="258"/>
    </row>
    <row r="3675" spans="1:26" ht="12.75" customHeight="1" x14ac:dyDescent="0.2">
      <c r="A3675" s="258"/>
      <c r="Z3675" s="258"/>
    </row>
    <row r="3676" spans="1:26" ht="12.75" customHeight="1" x14ac:dyDescent="0.2">
      <c r="A3676" s="258"/>
      <c r="Z3676" s="258"/>
    </row>
    <row r="3677" spans="1:26" ht="12.75" customHeight="1" x14ac:dyDescent="0.2">
      <c r="A3677" s="258"/>
      <c r="Z3677" s="258"/>
    </row>
    <row r="3678" spans="1:26" ht="12.75" customHeight="1" x14ac:dyDescent="0.2">
      <c r="A3678" s="258"/>
      <c r="Z3678" s="258"/>
    </row>
    <row r="3679" spans="1:26" ht="12.75" customHeight="1" x14ac:dyDescent="0.2">
      <c r="A3679" s="258"/>
      <c r="Z3679" s="258"/>
    </row>
    <row r="3680" spans="1:26" ht="12.75" customHeight="1" x14ac:dyDescent="0.2">
      <c r="A3680" s="258"/>
      <c r="Z3680" s="258"/>
    </row>
    <row r="3681" spans="1:26" ht="12.75" customHeight="1" x14ac:dyDescent="0.2">
      <c r="A3681" s="258"/>
      <c r="Z3681" s="258"/>
    </row>
    <row r="3682" spans="1:26" ht="12.75" customHeight="1" x14ac:dyDescent="0.2">
      <c r="A3682" s="258"/>
      <c r="Z3682" s="258"/>
    </row>
    <row r="3683" spans="1:26" ht="12.75" customHeight="1" x14ac:dyDescent="0.2">
      <c r="A3683" s="258"/>
      <c r="Z3683" s="258"/>
    </row>
    <row r="3684" spans="1:26" ht="12.75" customHeight="1" x14ac:dyDescent="0.2">
      <c r="A3684" s="258"/>
      <c r="Z3684" s="258"/>
    </row>
    <row r="3685" spans="1:26" ht="12.75" customHeight="1" x14ac:dyDescent="0.2">
      <c r="A3685" s="258"/>
      <c r="Z3685" s="258"/>
    </row>
    <row r="3686" spans="1:26" ht="12.75" customHeight="1" x14ac:dyDescent="0.2">
      <c r="A3686" s="258"/>
      <c r="Z3686" s="258"/>
    </row>
    <row r="3687" spans="1:26" ht="12.75" customHeight="1" x14ac:dyDescent="0.2">
      <c r="A3687" s="258"/>
      <c r="Z3687" s="258"/>
    </row>
    <row r="3688" spans="1:26" ht="12.75" customHeight="1" x14ac:dyDescent="0.2">
      <c r="A3688" s="258"/>
      <c r="Z3688" s="258"/>
    </row>
    <row r="3689" spans="1:26" ht="12.75" customHeight="1" x14ac:dyDescent="0.2">
      <c r="A3689" s="258"/>
      <c r="Z3689" s="258"/>
    </row>
    <row r="3690" spans="1:26" ht="12.75" customHeight="1" x14ac:dyDescent="0.2">
      <c r="A3690" s="258"/>
      <c r="Z3690" s="258"/>
    </row>
    <row r="3691" spans="1:26" ht="12.75" customHeight="1" x14ac:dyDescent="0.2">
      <c r="A3691" s="258"/>
      <c r="Z3691" s="258"/>
    </row>
    <row r="3692" spans="1:26" ht="12.75" customHeight="1" x14ac:dyDescent="0.2">
      <c r="A3692" s="258"/>
      <c r="Z3692" s="258"/>
    </row>
    <row r="3693" spans="1:26" ht="12.75" customHeight="1" x14ac:dyDescent="0.2">
      <c r="A3693" s="258"/>
      <c r="Z3693" s="258"/>
    </row>
    <row r="3694" spans="1:26" ht="12.75" customHeight="1" x14ac:dyDescent="0.2">
      <c r="A3694" s="258"/>
      <c r="Z3694" s="258"/>
    </row>
    <row r="3695" spans="1:26" ht="12.75" customHeight="1" x14ac:dyDescent="0.2">
      <c r="A3695" s="258"/>
      <c r="Z3695" s="258"/>
    </row>
    <row r="3696" spans="1:26" ht="12.75" customHeight="1" x14ac:dyDescent="0.2">
      <c r="A3696" s="258"/>
      <c r="Z3696" s="258"/>
    </row>
    <row r="3697" spans="1:26" ht="12.75" customHeight="1" x14ac:dyDescent="0.2">
      <c r="A3697" s="258"/>
      <c r="Z3697" s="258"/>
    </row>
    <row r="3698" spans="1:26" ht="12.75" customHeight="1" x14ac:dyDescent="0.2">
      <c r="A3698" s="258"/>
      <c r="Z3698" s="258"/>
    </row>
    <row r="3699" spans="1:26" ht="12.75" customHeight="1" x14ac:dyDescent="0.2">
      <c r="A3699" s="258"/>
      <c r="Z3699" s="258"/>
    </row>
    <row r="3700" spans="1:26" ht="12.75" customHeight="1" x14ac:dyDescent="0.2">
      <c r="A3700" s="258"/>
      <c r="Z3700" s="258"/>
    </row>
    <row r="3701" spans="1:26" ht="12.75" customHeight="1" x14ac:dyDescent="0.2">
      <c r="A3701" s="258"/>
      <c r="Z3701" s="258"/>
    </row>
    <row r="3702" spans="1:26" ht="12.75" customHeight="1" x14ac:dyDescent="0.2">
      <c r="A3702" s="258"/>
      <c r="Z3702" s="258"/>
    </row>
    <row r="3703" spans="1:26" ht="12.75" customHeight="1" x14ac:dyDescent="0.2">
      <c r="A3703" s="258"/>
      <c r="Z3703" s="258"/>
    </row>
    <row r="3704" spans="1:26" ht="12.75" customHeight="1" x14ac:dyDescent="0.2">
      <c r="A3704" s="258"/>
      <c r="Z3704" s="258"/>
    </row>
    <row r="3705" spans="1:26" ht="12.75" customHeight="1" x14ac:dyDescent="0.2">
      <c r="A3705" s="258"/>
      <c r="Z3705" s="258"/>
    </row>
    <row r="3706" spans="1:26" ht="12.75" customHeight="1" x14ac:dyDescent="0.2">
      <c r="A3706" s="258"/>
      <c r="Z3706" s="258"/>
    </row>
    <row r="3707" spans="1:26" ht="12.75" customHeight="1" x14ac:dyDescent="0.2">
      <c r="A3707" s="258"/>
      <c r="Z3707" s="258"/>
    </row>
    <row r="3708" spans="1:26" ht="12.75" customHeight="1" x14ac:dyDescent="0.2">
      <c r="A3708" s="258"/>
      <c r="Z3708" s="258"/>
    </row>
    <row r="3709" spans="1:26" ht="12.75" customHeight="1" x14ac:dyDescent="0.2">
      <c r="A3709" s="258"/>
      <c r="Z3709" s="258"/>
    </row>
    <row r="3710" spans="1:26" ht="12.75" customHeight="1" x14ac:dyDescent="0.2">
      <c r="A3710" s="258"/>
      <c r="Z3710" s="258"/>
    </row>
    <row r="3711" spans="1:26" ht="12.75" customHeight="1" x14ac:dyDescent="0.2">
      <c r="A3711" s="258"/>
      <c r="Z3711" s="258"/>
    </row>
    <row r="3712" spans="1:26" ht="12.75" customHeight="1" x14ac:dyDescent="0.2">
      <c r="A3712" s="258"/>
      <c r="Z3712" s="258"/>
    </row>
    <row r="3713" spans="1:26" ht="12.75" customHeight="1" x14ac:dyDescent="0.2">
      <c r="A3713" s="258"/>
      <c r="Z3713" s="258"/>
    </row>
    <row r="3714" spans="1:26" ht="12.75" customHeight="1" x14ac:dyDescent="0.2">
      <c r="A3714" s="258"/>
      <c r="Z3714" s="258"/>
    </row>
    <row r="3715" spans="1:26" ht="12.75" customHeight="1" x14ac:dyDescent="0.2">
      <c r="A3715" s="258"/>
      <c r="Z3715" s="258"/>
    </row>
    <row r="3716" spans="1:26" ht="12.75" customHeight="1" x14ac:dyDescent="0.2">
      <c r="A3716" s="258"/>
      <c r="Z3716" s="258"/>
    </row>
    <row r="3717" spans="1:26" ht="12.75" customHeight="1" x14ac:dyDescent="0.2">
      <c r="A3717" s="258"/>
      <c r="Z3717" s="258"/>
    </row>
    <row r="3718" spans="1:26" ht="12.75" customHeight="1" x14ac:dyDescent="0.2">
      <c r="A3718" s="258"/>
      <c r="Z3718" s="258"/>
    </row>
    <row r="3719" spans="1:26" ht="12.75" customHeight="1" x14ac:dyDescent="0.2">
      <c r="A3719" s="258"/>
      <c r="Z3719" s="258"/>
    </row>
    <row r="3720" spans="1:26" ht="12.75" customHeight="1" x14ac:dyDescent="0.2">
      <c r="A3720" s="258"/>
      <c r="Z3720" s="258"/>
    </row>
    <row r="3721" spans="1:26" ht="12.75" customHeight="1" x14ac:dyDescent="0.2">
      <c r="A3721" s="258"/>
      <c r="Z3721" s="258"/>
    </row>
    <row r="3722" spans="1:26" ht="12.75" customHeight="1" x14ac:dyDescent="0.2">
      <c r="A3722" s="258"/>
      <c r="Z3722" s="258"/>
    </row>
    <row r="3723" spans="1:26" ht="12.75" customHeight="1" x14ac:dyDescent="0.2">
      <c r="A3723" s="258"/>
      <c r="Z3723" s="258"/>
    </row>
    <row r="3724" spans="1:26" ht="12.75" customHeight="1" x14ac:dyDescent="0.2">
      <c r="A3724" s="258"/>
      <c r="Z3724" s="258"/>
    </row>
    <row r="3725" spans="1:26" ht="12.75" customHeight="1" x14ac:dyDescent="0.2">
      <c r="A3725" s="258"/>
      <c r="Z3725" s="258"/>
    </row>
    <row r="3726" spans="1:26" ht="12.75" customHeight="1" x14ac:dyDescent="0.2">
      <c r="A3726" s="258"/>
      <c r="Z3726" s="258"/>
    </row>
    <row r="3727" spans="1:26" ht="12.75" customHeight="1" x14ac:dyDescent="0.2">
      <c r="A3727" s="258"/>
      <c r="Z3727" s="258"/>
    </row>
    <row r="3728" spans="1:26" ht="12.75" customHeight="1" x14ac:dyDescent="0.2">
      <c r="A3728" s="258"/>
      <c r="Z3728" s="258"/>
    </row>
    <row r="3729" spans="1:26" ht="12.75" customHeight="1" x14ac:dyDescent="0.2">
      <c r="A3729" s="258"/>
      <c r="Z3729" s="258"/>
    </row>
    <row r="3730" spans="1:26" ht="12.75" customHeight="1" x14ac:dyDescent="0.2">
      <c r="A3730" s="258"/>
      <c r="Z3730" s="258"/>
    </row>
    <row r="3731" spans="1:26" ht="12.75" customHeight="1" x14ac:dyDescent="0.2">
      <c r="A3731" s="258"/>
      <c r="Z3731" s="258"/>
    </row>
    <row r="3732" spans="1:26" ht="12.75" customHeight="1" x14ac:dyDescent="0.2">
      <c r="A3732" s="258"/>
      <c r="Z3732" s="258"/>
    </row>
    <row r="3733" spans="1:26" ht="12.75" customHeight="1" x14ac:dyDescent="0.2">
      <c r="A3733" s="258"/>
      <c r="Z3733" s="258"/>
    </row>
    <row r="3734" spans="1:26" ht="12.75" customHeight="1" x14ac:dyDescent="0.2">
      <c r="A3734" s="258"/>
      <c r="Z3734" s="258"/>
    </row>
    <row r="3735" spans="1:26" ht="12.75" customHeight="1" x14ac:dyDescent="0.2">
      <c r="A3735" s="258"/>
      <c r="Z3735" s="258"/>
    </row>
    <row r="3736" spans="1:26" ht="12.75" customHeight="1" x14ac:dyDescent="0.2">
      <c r="A3736" s="258"/>
      <c r="Z3736" s="258"/>
    </row>
    <row r="3737" spans="1:26" ht="12.75" customHeight="1" x14ac:dyDescent="0.2">
      <c r="A3737" s="258"/>
      <c r="Z3737" s="258"/>
    </row>
    <row r="3738" spans="1:26" ht="12.75" customHeight="1" x14ac:dyDescent="0.2">
      <c r="A3738" s="258"/>
      <c r="Z3738" s="258"/>
    </row>
    <row r="3739" spans="1:26" ht="12.75" customHeight="1" x14ac:dyDescent="0.2">
      <c r="A3739" s="258"/>
      <c r="Z3739" s="258"/>
    </row>
    <row r="3740" spans="1:26" ht="12.75" customHeight="1" x14ac:dyDescent="0.2">
      <c r="A3740" s="258"/>
      <c r="Z3740" s="258"/>
    </row>
    <row r="3741" spans="1:26" ht="12.75" customHeight="1" x14ac:dyDescent="0.2">
      <c r="A3741" s="258"/>
      <c r="Z3741" s="258"/>
    </row>
    <row r="3742" spans="1:26" ht="12.75" customHeight="1" x14ac:dyDescent="0.2">
      <c r="A3742" s="258"/>
      <c r="Z3742" s="258"/>
    </row>
    <row r="3743" spans="1:26" ht="12.75" customHeight="1" x14ac:dyDescent="0.2">
      <c r="A3743" s="258"/>
      <c r="Z3743" s="258"/>
    </row>
    <row r="3744" spans="1:26" ht="12.75" customHeight="1" x14ac:dyDescent="0.2">
      <c r="A3744" s="258"/>
      <c r="Z3744" s="258"/>
    </row>
    <row r="3745" spans="1:26" ht="12.75" customHeight="1" x14ac:dyDescent="0.2">
      <c r="A3745" s="258"/>
      <c r="Z3745" s="258"/>
    </row>
    <row r="3746" spans="1:26" ht="12.75" customHeight="1" x14ac:dyDescent="0.2">
      <c r="A3746" s="258"/>
      <c r="Z3746" s="258"/>
    </row>
    <row r="3747" spans="1:26" ht="12.75" customHeight="1" x14ac:dyDescent="0.2">
      <c r="A3747" s="258"/>
      <c r="Z3747" s="258"/>
    </row>
    <row r="3748" spans="1:26" ht="12.75" customHeight="1" x14ac:dyDescent="0.2">
      <c r="A3748" s="258"/>
      <c r="Z3748" s="258"/>
    </row>
    <row r="3749" spans="1:26" ht="12.75" customHeight="1" x14ac:dyDescent="0.2">
      <c r="A3749" s="258"/>
      <c r="Z3749" s="258"/>
    </row>
    <row r="3750" spans="1:26" ht="12.75" customHeight="1" x14ac:dyDescent="0.2">
      <c r="A3750" s="258"/>
      <c r="Z3750" s="258"/>
    </row>
    <row r="3751" spans="1:26" ht="12.75" customHeight="1" x14ac:dyDescent="0.2">
      <c r="A3751" s="258"/>
      <c r="Z3751" s="258"/>
    </row>
    <row r="3752" spans="1:26" ht="12.75" customHeight="1" x14ac:dyDescent="0.2">
      <c r="A3752" s="258"/>
      <c r="Z3752" s="258"/>
    </row>
    <row r="3753" spans="1:26" ht="12.75" customHeight="1" x14ac:dyDescent="0.2">
      <c r="A3753" s="258"/>
      <c r="Z3753" s="258"/>
    </row>
    <row r="3754" spans="1:26" ht="12.75" customHeight="1" x14ac:dyDescent="0.2">
      <c r="A3754" s="258"/>
      <c r="Z3754" s="258"/>
    </row>
    <row r="3755" spans="1:26" ht="12.75" customHeight="1" x14ac:dyDescent="0.2">
      <c r="A3755" s="258"/>
      <c r="Z3755" s="258"/>
    </row>
    <row r="3756" spans="1:26" ht="12.75" customHeight="1" x14ac:dyDescent="0.2">
      <c r="A3756" s="258"/>
      <c r="Z3756" s="258"/>
    </row>
    <row r="3757" spans="1:26" ht="12.75" customHeight="1" x14ac:dyDescent="0.2">
      <c r="A3757" s="258"/>
      <c r="Z3757" s="258"/>
    </row>
    <row r="3758" spans="1:26" ht="12.75" customHeight="1" x14ac:dyDescent="0.2">
      <c r="A3758" s="258"/>
      <c r="Z3758" s="258"/>
    </row>
    <row r="3759" spans="1:26" ht="12.75" customHeight="1" x14ac:dyDescent="0.2">
      <c r="A3759" s="258"/>
      <c r="Z3759" s="258"/>
    </row>
    <row r="3760" spans="1:26" ht="12.75" customHeight="1" x14ac:dyDescent="0.2">
      <c r="A3760" s="258"/>
      <c r="Z3760" s="258"/>
    </row>
    <row r="3761" spans="1:26" ht="12.75" customHeight="1" x14ac:dyDescent="0.2">
      <c r="A3761" s="258"/>
      <c r="Z3761" s="258"/>
    </row>
    <row r="3762" spans="1:26" ht="12.75" customHeight="1" x14ac:dyDescent="0.2">
      <c r="A3762" s="258"/>
      <c r="Z3762" s="258"/>
    </row>
    <row r="3763" spans="1:26" ht="12.75" customHeight="1" x14ac:dyDescent="0.2">
      <c r="A3763" s="258"/>
      <c r="Z3763" s="258"/>
    </row>
    <row r="3764" spans="1:26" ht="12.75" customHeight="1" x14ac:dyDescent="0.2">
      <c r="A3764" s="258"/>
      <c r="Z3764" s="258"/>
    </row>
    <row r="3765" spans="1:26" ht="12.75" customHeight="1" x14ac:dyDescent="0.2">
      <c r="A3765" s="258"/>
      <c r="Z3765" s="258"/>
    </row>
    <row r="3766" spans="1:26" ht="12.75" customHeight="1" x14ac:dyDescent="0.2">
      <c r="A3766" s="258"/>
      <c r="Z3766" s="258"/>
    </row>
    <row r="3767" spans="1:26" ht="12.75" customHeight="1" x14ac:dyDescent="0.2">
      <c r="A3767" s="258"/>
      <c r="Z3767" s="258"/>
    </row>
    <row r="3768" spans="1:26" ht="12.75" customHeight="1" x14ac:dyDescent="0.2">
      <c r="A3768" s="258"/>
      <c r="Z3768" s="258"/>
    </row>
    <row r="3769" spans="1:26" ht="12.75" customHeight="1" x14ac:dyDescent="0.2">
      <c r="A3769" s="258"/>
      <c r="Z3769" s="258"/>
    </row>
    <row r="3770" spans="1:26" ht="12.75" customHeight="1" x14ac:dyDescent="0.2">
      <c r="A3770" s="258"/>
      <c r="Z3770" s="258"/>
    </row>
    <row r="3771" spans="1:26" ht="12.75" customHeight="1" x14ac:dyDescent="0.2">
      <c r="A3771" s="258"/>
      <c r="Z3771" s="258"/>
    </row>
    <row r="3772" spans="1:26" ht="12.75" customHeight="1" x14ac:dyDescent="0.2">
      <c r="A3772" s="258"/>
      <c r="Z3772" s="258"/>
    </row>
    <row r="3773" spans="1:26" ht="12.75" customHeight="1" x14ac:dyDescent="0.2">
      <c r="A3773" s="258"/>
      <c r="Z3773" s="258"/>
    </row>
    <row r="3774" spans="1:26" ht="12.75" customHeight="1" x14ac:dyDescent="0.2">
      <c r="A3774" s="258"/>
      <c r="Z3774" s="258"/>
    </row>
    <row r="3775" spans="1:26" ht="12.75" customHeight="1" x14ac:dyDescent="0.2">
      <c r="A3775" s="258"/>
      <c r="Z3775" s="258"/>
    </row>
    <row r="3776" spans="1:26" ht="12.75" customHeight="1" x14ac:dyDescent="0.2">
      <c r="A3776" s="258"/>
      <c r="Z3776" s="258"/>
    </row>
    <row r="3777" spans="1:26" ht="12.75" customHeight="1" x14ac:dyDescent="0.2">
      <c r="A3777" s="258"/>
      <c r="Z3777" s="258"/>
    </row>
    <row r="3778" spans="1:26" ht="12.75" customHeight="1" x14ac:dyDescent="0.2">
      <c r="A3778" s="258"/>
      <c r="Z3778" s="258"/>
    </row>
    <row r="3779" spans="1:26" ht="12.75" customHeight="1" x14ac:dyDescent="0.2">
      <c r="A3779" s="258"/>
      <c r="Z3779" s="258"/>
    </row>
    <row r="3780" spans="1:26" ht="12.75" customHeight="1" x14ac:dyDescent="0.2">
      <c r="A3780" s="258"/>
      <c r="Z3780" s="258"/>
    </row>
    <row r="3781" spans="1:26" ht="12.75" customHeight="1" x14ac:dyDescent="0.2">
      <c r="A3781" s="258"/>
      <c r="Z3781" s="258"/>
    </row>
    <row r="3782" spans="1:26" ht="12.75" customHeight="1" x14ac:dyDescent="0.2">
      <c r="A3782" s="258"/>
      <c r="Z3782" s="258"/>
    </row>
    <row r="3783" spans="1:26" ht="12.75" customHeight="1" x14ac:dyDescent="0.2">
      <c r="A3783" s="258"/>
      <c r="Z3783" s="258"/>
    </row>
    <row r="3784" spans="1:26" ht="12.75" customHeight="1" x14ac:dyDescent="0.2">
      <c r="A3784" s="258"/>
      <c r="Z3784" s="258"/>
    </row>
    <row r="3785" spans="1:26" ht="12.75" customHeight="1" x14ac:dyDescent="0.2">
      <c r="A3785" s="258"/>
      <c r="Z3785" s="258"/>
    </row>
    <row r="3786" spans="1:26" ht="12.75" customHeight="1" x14ac:dyDescent="0.2">
      <c r="A3786" s="258"/>
      <c r="Z3786" s="258"/>
    </row>
    <row r="3787" spans="1:26" ht="12.75" customHeight="1" x14ac:dyDescent="0.2">
      <c r="A3787" s="258"/>
      <c r="Z3787" s="258"/>
    </row>
    <row r="3788" spans="1:26" ht="12.75" customHeight="1" x14ac:dyDescent="0.2">
      <c r="A3788" s="258"/>
      <c r="Z3788" s="258"/>
    </row>
    <row r="3789" spans="1:26" ht="12.75" customHeight="1" x14ac:dyDescent="0.2">
      <c r="A3789" s="258"/>
      <c r="Z3789" s="258"/>
    </row>
    <row r="3790" spans="1:26" ht="12.75" customHeight="1" x14ac:dyDescent="0.2">
      <c r="A3790" s="258"/>
      <c r="Z3790" s="258"/>
    </row>
    <row r="3791" spans="1:26" ht="12.75" customHeight="1" x14ac:dyDescent="0.2">
      <c r="A3791" s="258"/>
      <c r="Z3791" s="258"/>
    </row>
    <row r="3792" spans="1:26" ht="12.75" customHeight="1" x14ac:dyDescent="0.2">
      <c r="A3792" s="258"/>
      <c r="Z3792" s="258"/>
    </row>
    <row r="3793" spans="1:26" ht="12.75" customHeight="1" x14ac:dyDescent="0.2">
      <c r="A3793" s="258"/>
      <c r="Z3793" s="258"/>
    </row>
    <row r="3794" spans="1:26" ht="12.75" customHeight="1" x14ac:dyDescent="0.2">
      <c r="A3794" s="258"/>
      <c r="Z3794" s="258"/>
    </row>
    <row r="3795" spans="1:26" ht="12.75" customHeight="1" x14ac:dyDescent="0.2">
      <c r="A3795" s="258"/>
      <c r="Z3795" s="258"/>
    </row>
    <row r="3796" spans="1:26" ht="12.75" customHeight="1" x14ac:dyDescent="0.2">
      <c r="A3796" s="258"/>
      <c r="Z3796" s="258"/>
    </row>
    <row r="3797" spans="1:26" ht="12.75" customHeight="1" x14ac:dyDescent="0.2">
      <c r="A3797" s="258"/>
      <c r="Z3797" s="258"/>
    </row>
    <row r="3798" spans="1:26" ht="12.75" customHeight="1" x14ac:dyDescent="0.2">
      <c r="A3798" s="258"/>
      <c r="Z3798" s="258"/>
    </row>
    <row r="3799" spans="1:26" ht="12.75" customHeight="1" x14ac:dyDescent="0.2">
      <c r="A3799" s="258"/>
      <c r="Z3799" s="258"/>
    </row>
    <row r="3800" spans="1:26" ht="12.75" customHeight="1" x14ac:dyDescent="0.2">
      <c r="A3800" s="258"/>
      <c r="Z3800" s="258"/>
    </row>
    <row r="3801" spans="1:26" ht="12.75" customHeight="1" x14ac:dyDescent="0.2">
      <c r="A3801" s="258"/>
      <c r="Z3801" s="258"/>
    </row>
    <row r="3802" spans="1:26" ht="12.75" customHeight="1" x14ac:dyDescent="0.2">
      <c r="A3802" s="258"/>
      <c r="Z3802" s="258"/>
    </row>
    <row r="3803" spans="1:26" ht="12.75" customHeight="1" x14ac:dyDescent="0.2">
      <c r="A3803" s="258"/>
      <c r="Z3803" s="258"/>
    </row>
    <row r="3804" spans="1:26" ht="12.75" customHeight="1" x14ac:dyDescent="0.2">
      <c r="A3804" s="258"/>
      <c r="Z3804" s="258"/>
    </row>
    <row r="3805" spans="1:26" ht="12.75" customHeight="1" x14ac:dyDescent="0.2">
      <c r="A3805" s="258"/>
      <c r="Z3805" s="258"/>
    </row>
    <row r="3806" spans="1:26" ht="12.75" customHeight="1" x14ac:dyDescent="0.2">
      <c r="A3806" s="258"/>
      <c r="Z3806" s="258"/>
    </row>
    <row r="3807" spans="1:26" ht="12.75" customHeight="1" x14ac:dyDescent="0.2">
      <c r="A3807" s="258"/>
      <c r="Z3807" s="258"/>
    </row>
    <row r="3808" spans="1:26" ht="12.75" customHeight="1" x14ac:dyDescent="0.2">
      <c r="A3808" s="258"/>
      <c r="Z3808" s="258"/>
    </row>
    <row r="3809" spans="1:26" ht="12.75" customHeight="1" x14ac:dyDescent="0.2">
      <c r="A3809" s="258"/>
      <c r="Z3809" s="258"/>
    </row>
    <row r="3810" spans="1:26" ht="12.75" customHeight="1" x14ac:dyDescent="0.2">
      <c r="A3810" s="258"/>
      <c r="Z3810" s="258"/>
    </row>
    <row r="3811" spans="1:26" ht="12.75" customHeight="1" x14ac:dyDescent="0.2">
      <c r="A3811" s="258"/>
      <c r="Z3811" s="258"/>
    </row>
    <row r="3812" spans="1:26" ht="12.75" customHeight="1" x14ac:dyDescent="0.2">
      <c r="A3812" s="258"/>
      <c r="Z3812" s="258"/>
    </row>
    <row r="3813" spans="1:26" ht="12.75" customHeight="1" x14ac:dyDescent="0.2">
      <c r="A3813" s="258"/>
      <c r="Z3813" s="258"/>
    </row>
    <row r="3814" spans="1:26" ht="12.75" customHeight="1" x14ac:dyDescent="0.2">
      <c r="A3814" s="258"/>
      <c r="Z3814" s="258"/>
    </row>
    <row r="3815" spans="1:26" ht="12.75" customHeight="1" x14ac:dyDescent="0.2">
      <c r="A3815" s="258"/>
      <c r="Z3815" s="258"/>
    </row>
    <row r="3816" spans="1:26" ht="12.75" customHeight="1" x14ac:dyDescent="0.2">
      <c r="A3816" s="258"/>
      <c r="Z3816" s="258"/>
    </row>
    <row r="3817" spans="1:26" ht="12.75" customHeight="1" x14ac:dyDescent="0.2">
      <c r="A3817" s="258"/>
      <c r="Z3817" s="258"/>
    </row>
    <row r="3818" spans="1:26" ht="12.75" customHeight="1" x14ac:dyDescent="0.2">
      <c r="A3818" s="258"/>
      <c r="Z3818" s="258"/>
    </row>
    <row r="3819" spans="1:26" ht="12.75" customHeight="1" x14ac:dyDescent="0.2">
      <c r="A3819" s="258"/>
      <c r="Z3819" s="258"/>
    </row>
    <row r="3820" spans="1:26" ht="12.75" customHeight="1" x14ac:dyDescent="0.2">
      <c r="A3820" s="258"/>
      <c r="Z3820" s="258"/>
    </row>
    <row r="3821" spans="1:26" ht="12.75" customHeight="1" x14ac:dyDescent="0.2">
      <c r="A3821" s="258"/>
      <c r="Z3821" s="258"/>
    </row>
    <row r="3822" spans="1:26" ht="12.75" customHeight="1" x14ac:dyDescent="0.2">
      <c r="A3822" s="258"/>
      <c r="Z3822" s="258"/>
    </row>
    <row r="3823" spans="1:26" ht="12.75" customHeight="1" x14ac:dyDescent="0.2">
      <c r="A3823" s="258"/>
      <c r="Z3823" s="258"/>
    </row>
    <row r="3824" spans="1:26" ht="12.75" customHeight="1" x14ac:dyDescent="0.2">
      <c r="A3824" s="258"/>
      <c r="Z3824" s="258"/>
    </row>
    <row r="3825" spans="1:26" ht="12.75" customHeight="1" x14ac:dyDescent="0.2">
      <c r="A3825" s="258"/>
      <c r="Z3825" s="258"/>
    </row>
    <row r="3826" spans="1:26" ht="12.75" customHeight="1" x14ac:dyDescent="0.2">
      <c r="A3826" s="258"/>
      <c r="Z3826" s="258"/>
    </row>
    <row r="3827" spans="1:26" ht="12.75" customHeight="1" x14ac:dyDescent="0.2">
      <c r="A3827" s="258"/>
      <c r="Z3827" s="258"/>
    </row>
    <row r="3828" spans="1:26" ht="12.75" customHeight="1" x14ac:dyDescent="0.2">
      <c r="A3828" s="258"/>
      <c r="Z3828" s="258"/>
    </row>
    <row r="3829" spans="1:26" ht="12.75" customHeight="1" x14ac:dyDescent="0.2">
      <c r="A3829" s="258"/>
      <c r="Z3829" s="258"/>
    </row>
    <row r="3830" spans="1:26" ht="12.75" customHeight="1" x14ac:dyDescent="0.2">
      <c r="A3830" s="258"/>
      <c r="Z3830" s="258"/>
    </row>
    <row r="3831" spans="1:26" ht="12.75" customHeight="1" x14ac:dyDescent="0.2">
      <c r="A3831" s="258"/>
      <c r="Z3831" s="258"/>
    </row>
    <row r="3832" spans="1:26" ht="12.75" customHeight="1" x14ac:dyDescent="0.2">
      <c r="A3832" s="258"/>
      <c r="Z3832" s="258"/>
    </row>
    <row r="3833" spans="1:26" ht="12.75" customHeight="1" x14ac:dyDescent="0.2">
      <c r="A3833" s="258"/>
      <c r="Z3833" s="258"/>
    </row>
    <row r="3834" spans="1:26" ht="12.75" customHeight="1" x14ac:dyDescent="0.2">
      <c r="A3834" s="258"/>
      <c r="Z3834" s="258"/>
    </row>
    <row r="3835" spans="1:26" ht="12.75" customHeight="1" x14ac:dyDescent="0.2">
      <c r="A3835" s="258"/>
      <c r="Z3835" s="258"/>
    </row>
    <row r="3836" spans="1:26" ht="12.75" customHeight="1" x14ac:dyDescent="0.2">
      <c r="A3836" s="258"/>
      <c r="Z3836" s="258"/>
    </row>
    <row r="3837" spans="1:26" ht="12.75" customHeight="1" x14ac:dyDescent="0.2">
      <c r="A3837" s="258"/>
      <c r="Z3837" s="258"/>
    </row>
    <row r="3838" spans="1:26" ht="12.75" customHeight="1" x14ac:dyDescent="0.2">
      <c r="A3838" s="258"/>
      <c r="Z3838" s="258"/>
    </row>
    <row r="3839" spans="1:26" ht="12.75" customHeight="1" x14ac:dyDescent="0.2">
      <c r="A3839" s="258"/>
      <c r="Z3839" s="258"/>
    </row>
    <row r="3840" spans="1:26" ht="12.75" customHeight="1" x14ac:dyDescent="0.2">
      <c r="A3840" s="258"/>
      <c r="Z3840" s="258"/>
    </row>
    <row r="3841" spans="1:26" ht="12.75" customHeight="1" x14ac:dyDescent="0.2">
      <c r="A3841" s="258"/>
      <c r="Z3841" s="258"/>
    </row>
    <row r="3842" spans="1:26" ht="12.75" customHeight="1" x14ac:dyDescent="0.2">
      <c r="A3842" s="258"/>
      <c r="Z3842" s="258"/>
    </row>
    <row r="3843" spans="1:26" ht="12.75" customHeight="1" x14ac:dyDescent="0.2">
      <c r="A3843" s="258"/>
      <c r="Z3843" s="258"/>
    </row>
    <row r="3844" spans="1:26" ht="12.75" customHeight="1" x14ac:dyDescent="0.2">
      <c r="A3844" s="258"/>
      <c r="Z3844" s="258"/>
    </row>
    <row r="3845" spans="1:26" ht="12.75" customHeight="1" x14ac:dyDescent="0.2">
      <c r="A3845" s="258"/>
      <c r="Z3845" s="258"/>
    </row>
    <row r="3846" spans="1:26" ht="12.75" customHeight="1" x14ac:dyDescent="0.2">
      <c r="A3846" s="258"/>
      <c r="Z3846" s="258"/>
    </row>
    <row r="3847" spans="1:26" ht="12.75" customHeight="1" x14ac:dyDescent="0.2">
      <c r="A3847" s="258"/>
      <c r="Z3847" s="258"/>
    </row>
    <row r="3848" spans="1:26" ht="12.75" customHeight="1" x14ac:dyDescent="0.2">
      <c r="A3848" s="258"/>
      <c r="Z3848" s="258"/>
    </row>
    <row r="3849" spans="1:26" ht="12.75" customHeight="1" x14ac:dyDescent="0.2">
      <c r="A3849" s="258"/>
      <c r="Z3849" s="258"/>
    </row>
    <row r="3850" spans="1:26" ht="12.75" customHeight="1" x14ac:dyDescent="0.2">
      <c r="A3850" s="258"/>
      <c r="Z3850" s="258"/>
    </row>
    <row r="3851" spans="1:26" ht="12.75" customHeight="1" x14ac:dyDescent="0.2">
      <c r="A3851" s="258"/>
      <c r="Z3851" s="258"/>
    </row>
    <row r="3852" spans="1:26" ht="12.75" customHeight="1" x14ac:dyDescent="0.2">
      <c r="A3852" s="258"/>
      <c r="Z3852" s="258"/>
    </row>
    <row r="3853" spans="1:26" ht="12.75" customHeight="1" x14ac:dyDescent="0.2">
      <c r="A3853" s="258"/>
      <c r="Z3853" s="258"/>
    </row>
    <row r="3854" spans="1:26" ht="12.75" customHeight="1" x14ac:dyDescent="0.2">
      <c r="A3854" s="258"/>
      <c r="Z3854" s="258"/>
    </row>
    <row r="3855" spans="1:26" ht="12.75" customHeight="1" x14ac:dyDescent="0.2">
      <c r="A3855" s="258"/>
      <c r="Z3855" s="258"/>
    </row>
    <row r="3856" spans="1:26" ht="12.75" customHeight="1" x14ac:dyDescent="0.2">
      <c r="A3856" s="258"/>
      <c r="Z3856" s="258"/>
    </row>
    <row r="3857" spans="1:26" ht="12.75" customHeight="1" x14ac:dyDescent="0.2">
      <c r="A3857" s="258"/>
      <c r="Z3857" s="258"/>
    </row>
    <row r="3858" spans="1:26" ht="12.75" customHeight="1" x14ac:dyDescent="0.2">
      <c r="A3858" s="258"/>
      <c r="Z3858" s="258"/>
    </row>
    <row r="3859" spans="1:26" ht="12.75" customHeight="1" x14ac:dyDescent="0.2">
      <c r="A3859" s="258"/>
      <c r="Z3859" s="258"/>
    </row>
    <row r="3860" spans="1:26" ht="12.75" customHeight="1" x14ac:dyDescent="0.2">
      <c r="A3860" s="258"/>
      <c r="Z3860" s="258"/>
    </row>
    <row r="3861" spans="1:26" ht="12.75" customHeight="1" x14ac:dyDescent="0.2">
      <c r="A3861" s="258"/>
      <c r="Z3861" s="258"/>
    </row>
    <row r="3862" spans="1:26" ht="12.75" customHeight="1" x14ac:dyDescent="0.2">
      <c r="A3862" s="258"/>
      <c r="Z3862" s="258"/>
    </row>
    <row r="3863" spans="1:26" ht="12.75" customHeight="1" x14ac:dyDescent="0.2">
      <c r="A3863" s="258"/>
      <c r="Z3863" s="258"/>
    </row>
    <row r="3864" spans="1:26" ht="12.75" customHeight="1" x14ac:dyDescent="0.2">
      <c r="A3864" s="258"/>
      <c r="Z3864" s="258"/>
    </row>
    <row r="3865" spans="1:26" ht="12.75" customHeight="1" x14ac:dyDescent="0.2">
      <c r="A3865" s="258"/>
      <c r="Z3865" s="258"/>
    </row>
    <row r="3866" spans="1:26" ht="12.75" customHeight="1" x14ac:dyDescent="0.2">
      <c r="A3866" s="258"/>
      <c r="Z3866" s="258"/>
    </row>
    <row r="3867" spans="1:26" ht="12.75" customHeight="1" x14ac:dyDescent="0.2">
      <c r="A3867" s="258"/>
      <c r="Z3867" s="258"/>
    </row>
    <row r="3868" spans="1:26" ht="12.75" customHeight="1" x14ac:dyDescent="0.2">
      <c r="A3868" s="258"/>
      <c r="Z3868" s="258"/>
    </row>
    <row r="3869" spans="1:26" ht="12.75" customHeight="1" x14ac:dyDescent="0.2">
      <c r="A3869" s="258"/>
      <c r="Z3869" s="258"/>
    </row>
    <row r="3870" spans="1:26" ht="12.75" customHeight="1" x14ac:dyDescent="0.2">
      <c r="A3870" s="258"/>
      <c r="Z3870" s="258"/>
    </row>
    <row r="3871" spans="1:26" ht="12.75" customHeight="1" x14ac:dyDescent="0.2">
      <c r="A3871" s="258"/>
      <c r="Z3871" s="258"/>
    </row>
    <row r="3872" spans="1:26" ht="12.75" customHeight="1" x14ac:dyDescent="0.2">
      <c r="A3872" s="258"/>
      <c r="Z3872" s="258"/>
    </row>
    <row r="3873" spans="1:26" ht="12.75" customHeight="1" x14ac:dyDescent="0.2">
      <c r="A3873" s="258"/>
      <c r="Z3873" s="258"/>
    </row>
    <row r="3874" spans="1:26" ht="12.75" customHeight="1" x14ac:dyDescent="0.2">
      <c r="A3874" s="258"/>
      <c r="Z3874" s="258"/>
    </row>
    <row r="3875" spans="1:26" ht="12.75" customHeight="1" x14ac:dyDescent="0.2">
      <c r="A3875" s="258"/>
      <c r="Z3875" s="258"/>
    </row>
    <row r="3876" spans="1:26" ht="12.75" customHeight="1" x14ac:dyDescent="0.2">
      <c r="A3876" s="258"/>
      <c r="Z3876" s="258"/>
    </row>
    <row r="3877" spans="1:26" ht="12.75" customHeight="1" x14ac:dyDescent="0.2">
      <c r="A3877" s="258"/>
      <c r="Z3877" s="258"/>
    </row>
    <row r="3878" spans="1:26" ht="12.75" customHeight="1" x14ac:dyDescent="0.2">
      <c r="A3878" s="258"/>
      <c r="Z3878" s="258"/>
    </row>
    <row r="3879" spans="1:26" ht="12.75" customHeight="1" x14ac:dyDescent="0.2">
      <c r="A3879" s="258"/>
      <c r="Z3879" s="258"/>
    </row>
    <row r="3880" spans="1:26" ht="12.75" customHeight="1" x14ac:dyDescent="0.2">
      <c r="A3880" s="258"/>
      <c r="Z3880" s="258"/>
    </row>
    <row r="3881" spans="1:26" ht="12.75" customHeight="1" x14ac:dyDescent="0.2">
      <c r="A3881" s="258"/>
      <c r="Z3881" s="258"/>
    </row>
    <row r="3882" spans="1:26" ht="12.75" customHeight="1" x14ac:dyDescent="0.2">
      <c r="A3882" s="258"/>
      <c r="Z3882" s="258"/>
    </row>
    <row r="3883" spans="1:26" ht="12.75" customHeight="1" x14ac:dyDescent="0.2">
      <c r="A3883" s="258"/>
      <c r="Z3883" s="258"/>
    </row>
    <row r="3884" spans="1:26" ht="12.75" customHeight="1" x14ac:dyDescent="0.2">
      <c r="A3884" s="258"/>
      <c r="Z3884" s="258"/>
    </row>
    <row r="3885" spans="1:26" ht="12.75" customHeight="1" x14ac:dyDescent="0.2">
      <c r="A3885" s="258"/>
      <c r="Z3885" s="258"/>
    </row>
    <row r="3886" spans="1:26" ht="12.75" customHeight="1" x14ac:dyDescent="0.2">
      <c r="A3886" s="258"/>
      <c r="Z3886" s="258"/>
    </row>
    <row r="3887" spans="1:26" ht="12.75" customHeight="1" x14ac:dyDescent="0.2">
      <c r="A3887" s="258"/>
      <c r="Z3887" s="258"/>
    </row>
    <row r="3888" spans="1:26" ht="12.75" customHeight="1" x14ac:dyDescent="0.2">
      <c r="A3888" s="258"/>
      <c r="Z3888" s="258"/>
    </row>
    <row r="3889" spans="1:26" ht="12.75" customHeight="1" x14ac:dyDescent="0.2">
      <c r="A3889" s="258"/>
      <c r="Z3889" s="258"/>
    </row>
    <row r="3890" spans="1:26" ht="12.75" customHeight="1" x14ac:dyDescent="0.2">
      <c r="A3890" s="258"/>
      <c r="Z3890" s="258"/>
    </row>
    <row r="3891" spans="1:26" ht="12.75" customHeight="1" x14ac:dyDescent="0.2">
      <c r="A3891" s="258"/>
      <c r="Z3891" s="258"/>
    </row>
    <row r="3892" spans="1:26" ht="12.75" customHeight="1" x14ac:dyDescent="0.2">
      <c r="A3892" s="258"/>
      <c r="Z3892" s="258"/>
    </row>
    <row r="3893" spans="1:26" ht="12.75" customHeight="1" x14ac:dyDescent="0.2">
      <c r="A3893" s="258"/>
      <c r="Z3893" s="258"/>
    </row>
    <row r="3894" spans="1:26" ht="12.75" customHeight="1" x14ac:dyDescent="0.2">
      <c r="A3894" s="258"/>
      <c r="Z3894" s="258"/>
    </row>
    <row r="3895" spans="1:26" ht="12.75" customHeight="1" x14ac:dyDescent="0.2">
      <c r="A3895" s="258"/>
      <c r="Z3895" s="258"/>
    </row>
    <row r="3896" spans="1:26" ht="12.75" customHeight="1" x14ac:dyDescent="0.2">
      <c r="A3896" s="258"/>
      <c r="Z3896" s="258"/>
    </row>
    <row r="3897" spans="1:26" ht="12.75" customHeight="1" x14ac:dyDescent="0.2">
      <c r="A3897" s="258"/>
      <c r="Z3897" s="258"/>
    </row>
    <row r="3898" spans="1:26" ht="12.75" customHeight="1" x14ac:dyDescent="0.2">
      <c r="A3898" s="258"/>
      <c r="Z3898" s="258"/>
    </row>
    <row r="3899" spans="1:26" ht="12.75" customHeight="1" x14ac:dyDescent="0.2">
      <c r="A3899" s="258"/>
      <c r="Z3899" s="258"/>
    </row>
    <row r="3900" spans="1:26" ht="12.75" customHeight="1" x14ac:dyDescent="0.2">
      <c r="A3900" s="258"/>
      <c r="Z3900" s="258"/>
    </row>
    <row r="3901" spans="1:26" ht="12.75" customHeight="1" x14ac:dyDescent="0.2">
      <c r="A3901" s="258"/>
      <c r="Z3901" s="258"/>
    </row>
    <row r="3902" spans="1:26" ht="12.75" customHeight="1" x14ac:dyDescent="0.2">
      <c r="A3902" s="258"/>
      <c r="Z3902" s="258"/>
    </row>
    <row r="3903" spans="1:26" ht="12.75" customHeight="1" x14ac:dyDescent="0.2">
      <c r="A3903" s="258"/>
      <c r="Z3903" s="258"/>
    </row>
    <row r="3904" spans="1:26" ht="12.75" customHeight="1" x14ac:dyDescent="0.2">
      <c r="A3904" s="258"/>
      <c r="Z3904" s="258"/>
    </row>
    <row r="3905" spans="1:26" ht="12.75" customHeight="1" x14ac:dyDescent="0.2">
      <c r="A3905" s="258"/>
      <c r="Z3905" s="258"/>
    </row>
    <row r="3906" spans="1:26" ht="12.75" customHeight="1" x14ac:dyDescent="0.2">
      <c r="A3906" s="258"/>
      <c r="Z3906" s="258"/>
    </row>
    <row r="3907" spans="1:26" ht="12.75" customHeight="1" x14ac:dyDescent="0.2">
      <c r="A3907" s="258"/>
      <c r="Z3907" s="258"/>
    </row>
    <row r="3908" spans="1:26" ht="12.75" customHeight="1" x14ac:dyDescent="0.2">
      <c r="A3908" s="258"/>
      <c r="Z3908" s="258"/>
    </row>
    <row r="3909" spans="1:26" ht="12.75" customHeight="1" x14ac:dyDescent="0.2">
      <c r="A3909" s="258"/>
      <c r="Z3909" s="258"/>
    </row>
    <row r="3910" spans="1:26" ht="12.75" customHeight="1" x14ac:dyDescent="0.2">
      <c r="A3910" s="258"/>
      <c r="Z3910" s="258"/>
    </row>
    <row r="3911" spans="1:26" ht="12.75" customHeight="1" x14ac:dyDescent="0.2">
      <c r="A3911" s="258"/>
      <c r="Z3911" s="258"/>
    </row>
    <row r="3912" spans="1:26" ht="12.75" customHeight="1" x14ac:dyDescent="0.2">
      <c r="A3912" s="258"/>
      <c r="Z3912" s="258"/>
    </row>
    <row r="3913" spans="1:26" ht="12.75" customHeight="1" x14ac:dyDescent="0.2">
      <c r="A3913" s="258"/>
      <c r="Z3913" s="258"/>
    </row>
    <row r="3914" spans="1:26" ht="12.75" customHeight="1" x14ac:dyDescent="0.2">
      <c r="A3914" s="258"/>
      <c r="Z3914" s="258"/>
    </row>
    <row r="3915" spans="1:26" ht="12.75" customHeight="1" x14ac:dyDescent="0.2">
      <c r="A3915" s="258"/>
      <c r="Z3915" s="258"/>
    </row>
    <row r="3916" spans="1:26" ht="12.75" customHeight="1" x14ac:dyDescent="0.2">
      <c r="A3916" s="258"/>
      <c r="Z3916" s="258"/>
    </row>
    <row r="3917" spans="1:26" ht="12.75" customHeight="1" x14ac:dyDescent="0.2">
      <c r="A3917" s="258"/>
      <c r="Z3917" s="258"/>
    </row>
    <row r="3918" spans="1:26" ht="12.75" customHeight="1" x14ac:dyDescent="0.2">
      <c r="A3918" s="258"/>
      <c r="Z3918" s="258"/>
    </row>
    <row r="3919" spans="1:26" ht="12.75" customHeight="1" x14ac:dyDescent="0.2">
      <c r="A3919" s="258"/>
      <c r="Z3919" s="258"/>
    </row>
    <row r="3920" spans="1:26" ht="12.75" customHeight="1" x14ac:dyDescent="0.2">
      <c r="A3920" s="258"/>
      <c r="Z3920" s="258"/>
    </row>
    <row r="3921" spans="1:26" ht="12.75" customHeight="1" x14ac:dyDescent="0.2">
      <c r="A3921" s="258"/>
      <c r="Z3921" s="258"/>
    </row>
    <row r="3922" spans="1:26" ht="12.75" customHeight="1" x14ac:dyDescent="0.2">
      <c r="A3922" s="258"/>
      <c r="Z3922" s="258"/>
    </row>
    <row r="3923" spans="1:26" ht="12.75" customHeight="1" x14ac:dyDescent="0.2">
      <c r="A3923" s="258"/>
      <c r="Z3923" s="258"/>
    </row>
    <row r="3924" spans="1:26" ht="12.75" customHeight="1" x14ac:dyDescent="0.2">
      <c r="A3924" s="258"/>
      <c r="Z3924" s="258"/>
    </row>
    <row r="3925" spans="1:26" ht="12.75" customHeight="1" x14ac:dyDescent="0.2">
      <c r="A3925" s="258"/>
      <c r="Z3925" s="258"/>
    </row>
    <row r="3926" spans="1:26" ht="12.75" customHeight="1" x14ac:dyDescent="0.2">
      <c r="A3926" s="258"/>
      <c r="Z3926" s="258"/>
    </row>
    <row r="3927" spans="1:26" ht="12.75" customHeight="1" x14ac:dyDescent="0.2">
      <c r="A3927" s="258"/>
      <c r="Z3927" s="258"/>
    </row>
    <row r="3928" spans="1:26" ht="12.75" customHeight="1" x14ac:dyDescent="0.2">
      <c r="A3928" s="258"/>
      <c r="Z3928" s="258"/>
    </row>
    <row r="3929" spans="1:26" ht="12.75" customHeight="1" x14ac:dyDescent="0.2">
      <c r="A3929" s="258"/>
      <c r="Z3929" s="258"/>
    </row>
    <row r="3930" spans="1:26" ht="12.75" customHeight="1" x14ac:dyDescent="0.2">
      <c r="A3930" s="258"/>
      <c r="Z3930" s="258"/>
    </row>
    <row r="3931" spans="1:26" ht="12.75" customHeight="1" x14ac:dyDescent="0.2">
      <c r="A3931" s="258"/>
      <c r="Z3931" s="258"/>
    </row>
    <row r="3932" spans="1:26" ht="12.75" customHeight="1" x14ac:dyDescent="0.2">
      <c r="A3932" s="258"/>
      <c r="Z3932" s="258"/>
    </row>
    <row r="3933" spans="1:26" ht="12.75" customHeight="1" x14ac:dyDescent="0.2">
      <c r="A3933" s="258"/>
      <c r="Z3933" s="258"/>
    </row>
    <row r="3934" spans="1:26" ht="12.75" customHeight="1" x14ac:dyDescent="0.2">
      <c r="A3934" s="258"/>
      <c r="Z3934" s="258"/>
    </row>
    <row r="3935" spans="1:26" ht="12.75" customHeight="1" x14ac:dyDescent="0.2">
      <c r="A3935" s="258"/>
      <c r="Z3935" s="258"/>
    </row>
    <row r="3936" spans="1:26" ht="12.75" customHeight="1" x14ac:dyDescent="0.2">
      <c r="A3936" s="258"/>
      <c r="Z3936" s="258"/>
    </row>
    <row r="3937" spans="1:26" ht="12.75" customHeight="1" x14ac:dyDescent="0.2">
      <c r="A3937" s="258"/>
      <c r="Z3937" s="258"/>
    </row>
    <row r="3938" spans="1:26" ht="12.75" customHeight="1" x14ac:dyDescent="0.2">
      <c r="A3938" s="258"/>
      <c r="Z3938" s="258"/>
    </row>
    <row r="3939" spans="1:26" ht="12.75" customHeight="1" x14ac:dyDescent="0.2">
      <c r="A3939" s="258"/>
      <c r="Z3939" s="258"/>
    </row>
    <row r="3940" spans="1:26" ht="12.75" customHeight="1" x14ac:dyDescent="0.2">
      <c r="A3940" s="258"/>
      <c r="Z3940" s="258"/>
    </row>
    <row r="3941" spans="1:26" ht="12.75" customHeight="1" x14ac:dyDescent="0.2">
      <c r="A3941" s="258"/>
      <c r="Z3941" s="258"/>
    </row>
    <row r="3942" spans="1:26" ht="12.75" customHeight="1" x14ac:dyDescent="0.2">
      <c r="A3942" s="258"/>
      <c r="Z3942" s="258"/>
    </row>
    <row r="3943" spans="1:26" ht="12.75" customHeight="1" x14ac:dyDescent="0.2">
      <c r="A3943" s="258"/>
      <c r="Z3943" s="258"/>
    </row>
    <row r="3944" spans="1:26" ht="12.75" customHeight="1" x14ac:dyDescent="0.2">
      <c r="A3944" s="258"/>
      <c r="Z3944" s="258"/>
    </row>
    <row r="3945" spans="1:26" ht="12.75" customHeight="1" x14ac:dyDescent="0.2">
      <c r="A3945" s="258"/>
      <c r="Z3945" s="258"/>
    </row>
    <row r="3946" spans="1:26" ht="12.75" customHeight="1" x14ac:dyDescent="0.2">
      <c r="A3946" s="258"/>
      <c r="Z3946" s="258"/>
    </row>
    <row r="3947" spans="1:26" ht="12.75" customHeight="1" x14ac:dyDescent="0.2">
      <c r="A3947" s="258"/>
      <c r="Z3947" s="258"/>
    </row>
    <row r="3948" spans="1:26" ht="12.75" customHeight="1" x14ac:dyDescent="0.2">
      <c r="A3948" s="258"/>
      <c r="Z3948" s="258"/>
    </row>
    <row r="3949" spans="1:26" ht="12.75" customHeight="1" x14ac:dyDescent="0.2">
      <c r="A3949" s="258"/>
      <c r="Z3949" s="258"/>
    </row>
    <row r="3950" spans="1:26" ht="12.75" customHeight="1" x14ac:dyDescent="0.2">
      <c r="A3950" s="258"/>
      <c r="Z3950" s="258"/>
    </row>
    <row r="3951" spans="1:26" ht="12.75" customHeight="1" x14ac:dyDescent="0.2">
      <c r="A3951" s="258"/>
      <c r="Z3951" s="258"/>
    </row>
    <row r="3952" spans="1:26" ht="12.75" customHeight="1" x14ac:dyDescent="0.2">
      <c r="A3952" s="258"/>
      <c r="Z3952" s="258"/>
    </row>
    <row r="3953" spans="1:26" ht="12.75" customHeight="1" x14ac:dyDescent="0.2">
      <c r="A3953" s="258"/>
      <c r="Z3953" s="258"/>
    </row>
    <row r="3954" spans="1:26" ht="12.75" customHeight="1" x14ac:dyDescent="0.2">
      <c r="A3954" s="258"/>
      <c r="Z3954" s="258"/>
    </row>
    <row r="3955" spans="1:26" ht="12.75" customHeight="1" x14ac:dyDescent="0.2">
      <c r="A3955" s="258"/>
      <c r="Z3955" s="258"/>
    </row>
    <row r="3956" spans="1:26" ht="12.75" customHeight="1" x14ac:dyDescent="0.2">
      <c r="A3956" s="258"/>
      <c r="Z3956" s="258"/>
    </row>
    <row r="3957" spans="1:26" ht="12.75" customHeight="1" x14ac:dyDescent="0.2">
      <c r="A3957" s="258"/>
      <c r="Z3957" s="258"/>
    </row>
    <row r="3958" spans="1:26" ht="12.75" customHeight="1" x14ac:dyDescent="0.2">
      <c r="A3958" s="258"/>
      <c r="Z3958" s="258"/>
    </row>
    <row r="3959" spans="1:26" ht="12.75" customHeight="1" x14ac:dyDescent="0.2">
      <c r="A3959" s="258"/>
      <c r="Z3959" s="258"/>
    </row>
    <row r="3960" spans="1:26" ht="12.75" customHeight="1" x14ac:dyDescent="0.2">
      <c r="A3960" s="258"/>
      <c r="Z3960" s="258"/>
    </row>
    <row r="3961" spans="1:26" ht="12.75" customHeight="1" x14ac:dyDescent="0.2">
      <c r="A3961" s="258"/>
      <c r="Z3961" s="258"/>
    </row>
    <row r="3962" spans="1:26" ht="12.75" customHeight="1" x14ac:dyDescent="0.2">
      <c r="A3962" s="258"/>
      <c r="Z3962" s="258"/>
    </row>
    <row r="3963" spans="1:26" ht="12.75" customHeight="1" x14ac:dyDescent="0.2">
      <c r="A3963" s="258"/>
      <c r="Z3963" s="258"/>
    </row>
    <row r="3964" spans="1:26" ht="12.75" customHeight="1" x14ac:dyDescent="0.2">
      <c r="A3964" s="258"/>
      <c r="Z3964" s="258"/>
    </row>
    <row r="3965" spans="1:26" ht="12.75" customHeight="1" x14ac:dyDescent="0.2">
      <c r="A3965" s="258"/>
      <c r="Z3965" s="258"/>
    </row>
    <row r="3966" spans="1:26" ht="12.75" customHeight="1" x14ac:dyDescent="0.2">
      <c r="A3966" s="258"/>
      <c r="Z3966" s="258"/>
    </row>
    <row r="3967" spans="1:26" ht="12.75" customHeight="1" x14ac:dyDescent="0.2">
      <c r="A3967" s="258"/>
      <c r="Z3967" s="258"/>
    </row>
    <row r="3968" spans="1:26" ht="12.75" customHeight="1" x14ac:dyDescent="0.2">
      <c r="A3968" s="258"/>
      <c r="Z3968" s="258"/>
    </row>
    <row r="3969" spans="1:26" ht="12.75" customHeight="1" x14ac:dyDescent="0.2">
      <c r="A3969" s="258"/>
      <c r="Z3969" s="258"/>
    </row>
    <row r="3970" spans="1:26" ht="12.75" customHeight="1" x14ac:dyDescent="0.2">
      <c r="A3970" s="258"/>
      <c r="Z3970" s="258"/>
    </row>
    <row r="3971" spans="1:26" ht="12.75" customHeight="1" x14ac:dyDescent="0.2">
      <c r="A3971" s="258"/>
      <c r="Z3971" s="258"/>
    </row>
    <row r="3972" spans="1:26" ht="12.75" customHeight="1" x14ac:dyDescent="0.2">
      <c r="A3972" s="258"/>
      <c r="Z3972" s="258"/>
    </row>
    <row r="3973" spans="1:26" ht="12.75" customHeight="1" x14ac:dyDescent="0.2">
      <c r="A3973" s="258"/>
      <c r="Z3973" s="258"/>
    </row>
    <row r="3974" spans="1:26" ht="12.75" customHeight="1" x14ac:dyDescent="0.2">
      <c r="A3974" s="258"/>
      <c r="Z3974" s="258"/>
    </row>
    <row r="3975" spans="1:26" ht="12.75" customHeight="1" x14ac:dyDescent="0.2">
      <c r="A3975" s="258"/>
      <c r="Z3975" s="258"/>
    </row>
    <row r="3976" spans="1:26" ht="12.75" customHeight="1" x14ac:dyDescent="0.2">
      <c r="A3976" s="258"/>
      <c r="Z3976" s="258"/>
    </row>
    <row r="3977" spans="1:26" ht="12.75" customHeight="1" x14ac:dyDescent="0.2">
      <c r="A3977" s="258"/>
      <c r="Z3977" s="258"/>
    </row>
    <row r="3978" spans="1:26" ht="12.75" customHeight="1" x14ac:dyDescent="0.2">
      <c r="A3978" s="258"/>
      <c r="Z3978" s="258"/>
    </row>
    <row r="3979" spans="1:26" ht="12.75" customHeight="1" x14ac:dyDescent="0.2">
      <c r="A3979" s="258"/>
      <c r="Z3979" s="258"/>
    </row>
    <row r="3980" spans="1:26" ht="12.75" customHeight="1" x14ac:dyDescent="0.2">
      <c r="A3980" s="258"/>
      <c r="Z3980" s="258"/>
    </row>
    <row r="3981" spans="1:26" ht="12.75" customHeight="1" x14ac:dyDescent="0.2">
      <c r="A3981" s="258"/>
      <c r="Z3981" s="258"/>
    </row>
    <row r="3982" spans="1:26" ht="12.75" customHeight="1" x14ac:dyDescent="0.2">
      <c r="A3982" s="258"/>
      <c r="Z3982" s="258"/>
    </row>
    <row r="3983" spans="1:26" ht="12.75" customHeight="1" x14ac:dyDescent="0.2">
      <c r="A3983" s="258"/>
      <c r="Z3983" s="258"/>
    </row>
    <row r="3984" spans="1:26" ht="12.75" customHeight="1" x14ac:dyDescent="0.2">
      <c r="A3984" s="258"/>
      <c r="Z3984" s="258"/>
    </row>
    <row r="3985" spans="1:26" ht="12.75" customHeight="1" x14ac:dyDescent="0.2">
      <c r="A3985" s="258"/>
      <c r="Z3985" s="258"/>
    </row>
    <row r="3986" spans="1:26" ht="12.75" customHeight="1" x14ac:dyDescent="0.2">
      <c r="A3986" s="258"/>
      <c r="Z3986" s="258"/>
    </row>
    <row r="3987" spans="1:26" ht="12.75" customHeight="1" x14ac:dyDescent="0.2">
      <c r="A3987" s="258"/>
      <c r="Z3987" s="258"/>
    </row>
    <row r="3988" spans="1:26" ht="12.75" customHeight="1" x14ac:dyDescent="0.2">
      <c r="A3988" s="258"/>
      <c r="Z3988" s="258"/>
    </row>
    <row r="3989" spans="1:26" ht="12.75" customHeight="1" x14ac:dyDescent="0.2">
      <c r="A3989" s="258"/>
      <c r="Z3989" s="258"/>
    </row>
    <row r="3990" spans="1:26" ht="12.75" customHeight="1" x14ac:dyDescent="0.2">
      <c r="A3990" s="258"/>
      <c r="Z3990" s="258"/>
    </row>
    <row r="3991" spans="1:26" ht="12.75" customHeight="1" x14ac:dyDescent="0.2">
      <c r="A3991" s="258"/>
      <c r="Z3991" s="258"/>
    </row>
    <row r="3992" spans="1:26" ht="12.75" customHeight="1" x14ac:dyDescent="0.2">
      <c r="A3992" s="258"/>
      <c r="Z3992" s="258"/>
    </row>
    <row r="3993" spans="1:26" ht="12.75" customHeight="1" x14ac:dyDescent="0.2">
      <c r="A3993" s="258"/>
      <c r="Z3993" s="258"/>
    </row>
    <row r="3994" spans="1:26" ht="12.75" customHeight="1" x14ac:dyDescent="0.2">
      <c r="A3994" s="258"/>
      <c r="Z3994" s="258"/>
    </row>
    <row r="3995" spans="1:26" ht="12.75" customHeight="1" x14ac:dyDescent="0.2">
      <c r="A3995" s="258"/>
      <c r="Z3995" s="258"/>
    </row>
    <row r="3996" spans="1:26" ht="12.75" customHeight="1" x14ac:dyDescent="0.2">
      <c r="A3996" s="258"/>
      <c r="Z3996" s="258"/>
    </row>
    <row r="3997" spans="1:26" ht="12.75" customHeight="1" x14ac:dyDescent="0.2">
      <c r="A3997" s="258"/>
      <c r="Z3997" s="258"/>
    </row>
    <row r="3998" spans="1:26" ht="12.75" customHeight="1" x14ac:dyDescent="0.2">
      <c r="A3998" s="258"/>
      <c r="Z3998" s="258"/>
    </row>
    <row r="3999" spans="1:26" ht="12.75" customHeight="1" x14ac:dyDescent="0.2">
      <c r="A3999" s="258"/>
      <c r="Z3999" s="258"/>
    </row>
    <row r="4000" spans="1:26" ht="12.75" customHeight="1" x14ac:dyDescent="0.2">
      <c r="A4000" s="258"/>
      <c r="Z4000" s="258"/>
    </row>
    <row r="4001" spans="1:26" ht="12.75" customHeight="1" x14ac:dyDescent="0.2">
      <c r="A4001" s="258"/>
      <c r="Z4001" s="258"/>
    </row>
    <row r="4002" spans="1:26" ht="12.75" customHeight="1" x14ac:dyDescent="0.2">
      <c r="A4002" s="258"/>
      <c r="Z4002" s="258"/>
    </row>
    <row r="4003" spans="1:26" ht="12.75" customHeight="1" x14ac:dyDescent="0.2">
      <c r="A4003" s="258"/>
      <c r="Z4003" s="258"/>
    </row>
    <row r="4004" spans="1:26" ht="12.75" customHeight="1" x14ac:dyDescent="0.2">
      <c r="A4004" s="258"/>
      <c r="Z4004" s="258"/>
    </row>
    <row r="4005" spans="1:26" ht="12.75" customHeight="1" x14ac:dyDescent="0.2">
      <c r="A4005" s="258"/>
      <c r="Z4005" s="258"/>
    </row>
    <row r="4006" spans="1:26" ht="12.75" customHeight="1" x14ac:dyDescent="0.2">
      <c r="A4006" s="258"/>
      <c r="Z4006" s="258"/>
    </row>
    <row r="4007" spans="1:26" ht="12.75" customHeight="1" x14ac:dyDescent="0.2">
      <c r="A4007" s="258"/>
      <c r="Z4007" s="258"/>
    </row>
    <row r="4008" spans="1:26" ht="12.75" customHeight="1" x14ac:dyDescent="0.2">
      <c r="A4008" s="258"/>
      <c r="Z4008" s="258"/>
    </row>
    <row r="4009" spans="1:26" ht="12.75" customHeight="1" x14ac:dyDescent="0.2">
      <c r="A4009" s="258"/>
      <c r="Z4009" s="258"/>
    </row>
    <row r="4010" spans="1:26" ht="12.75" customHeight="1" x14ac:dyDescent="0.2">
      <c r="A4010" s="258"/>
      <c r="Z4010" s="258"/>
    </row>
    <row r="4011" spans="1:26" ht="12.75" customHeight="1" x14ac:dyDescent="0.2">
      <c r="A4011" s="258"/>
      <c r="Z4011" s="258"/>
    </row>
    <row r="4012" spans="1:26" ht="12.75" customHeight="1" x14ac:dyDescent="0.2">
      <c r="A4012" s="258"/>
      <c r="Z4012" s="258"/>
    </row>
    <row r="4013" spans="1:26" ht="12.75" customHeight="1" x14ac:dyDescent="0.2">
      <c r="A4013" s="258"/>
      <c r="Z4013" s="258"/>
    </row>
    <row r="4014" spans="1:26" ht="12.75" customHeight="1" x14ac:dyDescent="0.2">
      <c r="A4014" s="258"/>
      <c r="Z4014" s="258"/>
    </row>
    <row r="4015" spans="1:26" ht="12.75" customHeight="1" x14ac:dyDescent="0.2">
      <c r="A4015" s="258"/>
      <c r="Z4015" s="258"/>
    </row>
    <row r="4016" spans="1:26" ht="12.75" customHeight="1" x14ac:dyDescent="0.2">
      <c r="A4016" s="258"/>
      <c r="Z4016" s="258"/>
    </row>
    <row r="4017" spans="1:26" ht="12.75" customHeight="1" x14ac:dyDescent="0.2">
      <c r="A4017" s="258"/>
      <c r="Z4017" s="258"/>
    </row>
    <row r="4018" spans="1:26" ht="12.75" customHeight="1" x14ac:dyDescent="0.2">
      <c r="A4018" s="258"/>
      <c r="Z4018" s="258"/>
    </row>
    <row r="4019" spans="1:26" ht="12.75" customHeight="1" x14ac:dyDescent="0.2">
      <c r="A4019" s="258"/>
      <c r="Z4019" s="258"/>
    </row>
    <row r="4020" spans="1:26" ht="12.75" customHeight="1" x14ac:dyDescent="0.2">
      <c r="A4020" s="258"/>
      <c r="Z4020" s="258"/>
    </row>
    <row r="4021" spans="1:26" ht="12.75" customHeight="1" x14ac:dyDescent="0.2">
      <c r="A4021" s="258"/>
      <c r="Z4021" s="258"/>
    </row>
    <row r="4022" spans="1:26" ht="12.75" customHeight="1" x14ac:dyDescent="0.2">
      <c r="A4022" s="258"/>
      <c r="Z4022" s="258"/>
    </row>
    <row r="4023" spans="1:26" ht="12.75" customHeight="1" x14ac:dyDescent="0.2">
      <c r="A4023" s="258"/>
      <c r="Z4023" s="258"/>
    </row>
    <row r="4024" spans="1:26" ht="12.75" customHeight="1" x14ac:dyDescent="0.2">
      <c r="A4024" s="258"/>
      <c r="Z4024" s="258"/>
    </row>
    <row r="4025" spans="1:26" ht="12.75" customHeight="1" x14ac:dyDescent="0.2">
      <c r="A4025" s="258"/>
      <c r="Z4025" s="258"/>
    </row>
    <row r="4026" spans="1:26" ht="12.75" customHeight="1" x14ac:dyDescent="0.2">
      <c r="A4026" s="258"/>
      <c r="Z4026" s="258"/>
    </row>
    <row r="4027" spans="1:26" ht="12.75" customHeight="1" x14ac:dyDescent="0.2">
      <c r="A4027" s="258"/>
      <c r="Z4027" s="258"/>
    </row>
    <row r="4028" spans="1:26" ht="12.75" customHeight="1" x14ac:dyDescent="0.2">
      <c r="A4028" s="258"/>
      <c r="Z4028" s="258"/>
    </row>
    <row r="4029" spans="1:26" ht="12.75" customHeight="1" x14ac:dyDescent="0.2">
      <c r="A4029" s="258"/>
      <c r="Z4029" s="258"/>
    </row>
    <row r="4030" spans="1:26" ht="12.75" customHeight="1" x14ac:dyDescent="0.2">
      <c r="A4030" s="258"/>
      <c r="Z4030" s="258"/>
    </row>
    <row r="4031" spans="1:26" ht="12.75" customHeight="1" x14ac:dyDescent="0.2">
      <c r="A4031" s="258"/>
      <c r="Z4031" s="258"/>
    </row>
    <row r="4032" spans="1:26" ht="12.75" customHeight="1" x14ac:dyDescent="0.2">
      <c r="A4032" s="258"/>
      <c r="Z4032" s="258"/>
    </row>
    <row r="4033" spans="1:26" ht="12.75" customHeight="1" x14ac:dyDescent="0.2">
      <c r="A4033" s="258"/>
      <c r="Z4033" s="258"/>
    </row>
    <row r="4034" spans="1:26" ht="12.75" customHeight="1" x14ac:dyDescent="0.2">
      <c r="A4034" s="258"/>
      <c r="Z4034" s="258"/>
    </row>
    <row r="4035" spans="1:26" ht="12.75" customHeight="1" x14ac:dyDescent="0.2">
      <c r="A4035" s="258"/>
      <c r="Z4035" s="258"/>
    </row>
    <row r="4036" spans="1:26" ht="12.75" customHeight="1" x14ac:dyDescent="0.2">
      <c r="A4036" s="258"/>
      <c r="Z4036" s="258"/>
    </row>
    <row r="4037" spans="1:26" ht="12.75" customHeight="1" x14ac:dyDescent="0.2">
      <c r="A4037" s="258"/>
      <c r="Z4037" s="258"/>
    </row>
    <row r="4038" spans="1:26" ht="12.75" customHeight="1" x14ac:dyDescent="0.2">
      <c r="A4038" s="258"/>
      <c r="Z4038" s="258"/>
    </row>
    <row r="4039" spans="1:26" ht="12.75" customHeight="1" x14ac:dyDescent="0.2">
      <c r="A4039" s="258"/>
      <c r="Z4039" s="258"/>
    </row>
    <row r="4040" spans="1:26" ht="12.75" customHeight="1" x14ac:dyDescent="0.2">
      <c r="A4040" s="258"/>
      <c r="Z4040" s="258"/>
    </row>
    <row r="4041" spans="1:26" ht="12.75" customHeight="1" x14ac:dyDescent="0.2">
      <c r="A4041" s="258"/>
      <c r="Z4041" s="258"/>
    </row>
    <row r="4042" spans="1:26" ht="12.75" customHeight="1" x14ac:dyDescent="0.2">
      <c r="A4042" s="258"/>
      <c r="Z4042" s="258"/>
    </row>
    <row r="4043" spans="1:26" ht="12.75" customHeight="1" x14ac:dyDescent="0.2">
      <c r="A4043" s="258"/>
      <c r="Z4043" s="258"/>
    </row>
    <row r="4044" spans="1:26" ht="12.75" customHeight="1" x14ac:dyDescent="0.2">
      <c r="A4044" s="258"/>
      <c r="Z4044" s="258"/>
    </row>
    <row r="4045" spans="1:26" ht="12.75" customHeight="1" x14ac:dyDescent="0.2">
      <c r="A4045" s="258"/>
      <c r="Z4045" s="258"/>
    </row>
    <row r="4046" spans="1:26" ht="12.75" customHeight="1" x14ac:dyDescent="0.2">
      <c r="A4046" s="258"/>
      <c r="Z4046" s="258"/>
    </row>
    <row r="4047" spans="1:26" ht="12.75" customHeight="1" x14ac:dyDescent="0.2">
      <c r="A4047" s="258"/>
      <c r="Z4047" s="258"/>
    </row>
    <row r="4048" spans="1:26" ht="12.75" customHeight="1" x14ac:dyDescent="0.2">
      <c r="A4048" s="258"/>
      <c r="Z4048" s="258"/>
    </row>
    <row r="4049" spans="1:26" ht="12.75" customHeight="1" x14ac:dyDescent="0.2">
      <c r="A4049" s="258"/>
      <c r="Z4049" s="258"/>
    </row>
    <row r="4050" spans="1:26" ht="12.75" customHeight="1" x14ac:dyDescent="0.2">
      <c r="A4050" s="258"/>
      <c r="Z4050" s="258"/>
    </row>
    <row r="4051" spans="1:26" ht="12.75" customHeight="1" x14ac:dyDescent="0.2">
      <c r="A4051" s="258"/>
      <c r="Z4051" s="258"/>
    </row>
    <row r="4052" spans="1:26" ht="12.75" customHeight="1" x14ac:dyDescent="0.2">
      <c r="A4052" s="258"/>
      <c r="Z4052" s="258"/>
    </row>
    <row r="4053" spans="1:26" ht="12.75" customHeight="1" x14ac:dyDescent="0.2">
      <c r="A4053" s="258"/>
      <c r="Z4053" s="258"/>
    </row>
    <row r="4054" spans="1:26" ht="12.75" customHeight="1" x14ac:dyDescent="0.2">
      <c r="A4054" s="258"/>
      <c r="Z4054" s="258"/>
    </row>
    <row r="4055" spans="1:26" ht="12.75" customHeight="1" x14ac:dyDescent="0.2">
      <c r="A4055" s="258"/>
      <c r="Z4055" s="258"/>
    </row>
    <row r="4056" spans="1:26" ht="12.75" customHeight="1" x14ac:dyDescent="0.2">
      <c r="A4056" s="258"/>
      <c r="Z4056" s="258"/>
    </row>
    <row r="4057" spans="1:26" ht="12.75" customHeight="1" x14ac:dyDescent="0.2">
      <c r="A4057" s="258"/>
      <c r="Z4057" s="258"/>
    </row>
    <row r="4058" spans="1:26" ht="12.75" customHeight="1" x14ac:dyDescent="0.2">
      <c r="A4058" s="258"/>
      <c r="Z4058" s="258"/>
    </row>
    <row r="4059" spans="1:26" ht="12.75" customHeight="1" x14ac:dyDescent="0.2">
      <c r="A4059" s="258"/>
      <c r="Z4059" s="258"/>
    </row>
    <row r="4060" spans="1:26" ht="12.75" customHeight="1" x14ac:dyDescent="0.2">
      <c r="A4060" s="258"/>
      <c r="Z4060" s="258"/>
    </row>
    <row r="4061" spans="1:26" ht="12.75" customHeight="1" x14ac:dyDescent="0.2">
      <c r="A4061" s="258"/>
      <c r="Z4061" s="258"/>
    </row>
    <row r="4062" spans="1:26" ht="12.75" customHeight="1" x14ac:dyDescent="0.2">
      <c r="A4062" s="258"/>
      <c r="Z4062" s="258"/>
    </row>
    <row r="4063" spans="1:26" ht="12.75" customHeight="1" x14ac:dyDescent="0.2">
      <c r="A4063" s="258"/>
      <c r="Z4063" s="258"/>
    </row>
    <row r="4064" spans="1:26" ht="12.75" customHeight="1" x14ac:dyDescent="0.2">
      <c r="A4064" s="258"/>
      <c r="Z4064" s="258"/>
    </row>
    <row r="4065" spans="1:26" ht="12.75" customHeight="1" x14ac:dyDescent="0.2">
      <c r="A4065" s="258"/>
      <c r="Z4065" s="258"/>
    </row>
    <row r="4066" spans="1:26" ht="12.75" customHeight="1" x14ac:dyDescent="0.2">
      <c r="A4066" s="258"/>
      <c r="Z4066" s="258"/>
    </row>
    <row r="4067" spans="1:26" ht="12.75" customHeight="1" x14ac:dyDescent="0.2">
      <c r="A4067" s="258"/>
      <c r="Z4067" s="258"/>
    </row>
    <row r="4068" spans="1:26" ht="12.75" customHeight="1" x14ac:dyDescent="0.2">
      <c r="A4068" s="258"/>
      <c r="Z4068" s="258"/>
    </row>
    <row r="4069" spans="1:26" ht="12.75" customHeight="1" x14ac:dyDescent="0.2">
      <c r="A4069" s="258"/>
      <c r="Z4069" s="258"/>
    </row>
    <row r="4070" spans="1:26" ht="12.75" customHeight="1" x14ac:dyDescent="0.2">
      <c r="A4070" s="258"/>
      <c r="Z4070" s="258"/>
    </row>
    <row r="4071" spans="1:26" ht="12.75" customHeight="1" x14ac:dyDescent="0.2">
      <c r="A4071" s="258"/>
      <c r="Z4071" s="258"/>
    </row>
    <row r="4072" spans="1:26" ht="12.75" customHeight="1" x14ac:dyDescent="0.2">
      <c r="A4072" s="258"/>
      <c r="Z4072" s="258"/>
    </row>
    <row r="4073" spans="1:26" ht="12.75" customHeight="1" x14ac:dyDescent="0.2">
      <c r="A4073" s="258"/>
      <c r="Z4073" s="258"/>
    </row>
    <row r="4074" spans="1:26" ht="12.75" customHeight="1" x14ac:dyDescent="0.2">
      <c r="A4074" s="258"/>
      <c r="Z4074" s="258"/>
    </row>
    <row r="4075" spans="1:26" ht="12.75" customHeight="1" x14ac:dyDescent="0.2">
      <c r="A4075" s="258"/>
      <c r="Z4075" s="258"/>
    </row>
    <row r="4076" spans="1:26" ht="12.75" customHeight="1" x14ac:dyDescent="0.2">
      <c r="A4076" s="258"/>
      <c r="Z4076" s="258"/>
    </row>
    <row r="4077" spans="1:26" ht="12.75" customHeight="1" x14ac:dyDescent="0.2">
      <c r="A4077" s="258"/>
      <c r="Z4077" s="258"/>
    </row>
    <row r="4078" spans="1:26" ht="12.75" customHeight="1" x14ac:dyDescent="0.2">
      <c r="A4078" s="258"/>
      <c r="Z4078" s="258"/>
    </row>
    <row r="4079" spans="1:26" ht="12.75" customHeight="1" x14ac:dyDescent="0.2">
      <c r="A4079" s="258"/>
      <c r="Z4079" s="258"/>
    </row>
    <row r="4080" spans="1:26" ht="12.75" customHeight="1" x14ac:dyDescent="0.2">
      <c r="A4080" s="258"/>
      <c r="Z4080" s="258"/>
    </row>
    <row r="4081" spans="1:26" ht="12.75" customHeight="1" x14ac:dyDescent="0.2">
      <c r="A4081" s="258"/>
      <c r="Z4081" s="258"/>
    </row>
    <row r="4082" spans="1:26" ht="12.75" customHeight="1" x14ac:dyDescent="0.2">
      <c r="A4082" s="258"/>
      <c r="Z4082" s="258"/>
    </row>
    <row r="4083" spans="1:26" ht="12.75" customHeight="1" x14ac:dyDescent="0.2">
      <c r="A4083" s="258"/>
      <c r="Z4083" s="258"/>
    </row>
    <row r="4084" spans="1:26" ht="12.75" customHeight="1" x14ac:dyDescent="0.2">
      <c r="A4084" s="258"/>
      <c r="Z4084" s="258"/>
    </row>
    <row r="4085" spans="1:26" ht="12.75" customHeight="1" x14ac:dyDescent="0.2">
      <c r="A4085" s="258"/>
      <c r="Z4085" s="258"/>
    </row>
    <row r="4086" spans="1:26" ht="12.75" customHeight="1" x14ac:dyDescent="0.2">
      <c r="A4086" s="258"/>
      <c r="Z4086" s="258"/>
    </row>
    <row r="4087" spans="1:26" ht="12.75" customHeight="1" x14ac:dyDescent="0.2">
      <c r="A4087" s="258"/>
      <c r="Z4087" s="258"/>
    </row>
    <row r="4088" spans="1:26" ht="12.75" customHeight="1" x14ac:dyDescent="0.2">
      <c r="A4088" s="258"/>
      <c r="Z4088" s="258"/>
    </row>
    <row r="4089" spans="1:26" ht="12.75" customHeight="1" x14ac:dyDescent="0.2">
      <c r="A4089" s="258"/>
      <c r="Z4089" s="258"/>
    </row>
    <row r="4090" spans="1:26" ht="12.75" customHeight="1" x14ac:dyDescent="0.2">
      <c r="A4090" s="258"/>
      <c r="Z4090" s="258"/>
    </row>
    <row r="4091" spans="1:26" ht="12.75" customHeight="1" x14ac:dyDescent="0.2">
      <c r="A4091" s="258"/>
      <c r="Z4091" s="258"/>
    </row>
    <row r="4092" spans="1:26" ht="12.75" customHeight="1" x14ac:dyDescent="0.2">
      <c r="A4092" s="258"/>
      <c r="Z4092" s="258"/>
    </row>
    <row r="4093" spans="1:26" ht="12.75" customHeight="1" x14ac:dyDescent="0.2">
      <c r="A4093" s="258"/>
      <c r="Z4093" s="258"/>
    </row>
    <row r="4094" spans="1:26" ht="12.75" customHeight="1" x14ac:dyDescent="0.2">
      <c r="A4094" s="258"/>
      <c r="Z4094" s="258"/>
    </row>
    <row r="4095" spans="1:26" ht="12.75" customHeight="1" x14ac:dyDescent="0.2">
      <c r="A4095" s="258"/>
      <c r="Z4095" s="258"/>
    </row>
    <row r="4096" spans="1:26" ht="12.75" customHeight="1" x14ac:dyDescent="0.2">
      <c r="A4096" s="258"/>
      <c r="Z4096" s="258"/>
    </row>
    <row r="4097" spans="1:26" ht="12.75" customHeight="1" x14ac:dyDescent="0.2">
      <c r="A4097" s="258"/>
      <c r="Z4097" s="258"/>
    </row>
    <row r="4098" spans="1:26" ht="12.75" customHeight="1" x14ac:dyDescent="0.2">
      <c r="A4098" s="258"/>
      <c r="Z4098" s="258"/>
    </row>
    <row r="4099" spans="1:26" ht="12.75" customHeight="1" x14ac:dyDescent="0.2">
      <c r="A4099" s="258"/>
      <c r="Z4099" s="258"/>
    </row>
    <row r="4100" spans="1:26" ht="12.75" customHeight="1" x14ac:dyDescent="0.2">
      <c r="A4100" s="258"/>
      <c r="Z4100" s="258"/>
    </row>
    <row r="4101" spans="1:26" ht="12.75" customHeight="1" x14ac:dyDescent="0.2">
      <c r="A4101" s="258"/>
      <c r="Z4101" s="258"/>
    </row>
    <row r="4102" spans="1:26" ht="12.75" customHeight="1" x14ac:dyDescent="0.2">
      <c r="A4102" s="258"/>
      <c r="Z4102" s="258"/>
    </row>
    <row r="4103" spans="1:26" ht="12.75" customHeight="1" x14ac:dyDescent="0.2">
      <c r="A4103" s="258"/>
      <c r="Z4103" s="258"/>
    </row>
    <row r="4104" spans="1:26" ht="12.75" customHeight="1" x14ac:dyDescent="0.2">
      <c r="A4104" s="258"/>
      <c r="Z4104" s="258"/>
    </row>
    <row r="4105" spans="1:26" ht="12.75" customHeight="1" x14ac:dyDescent="0.2">
      <c r="A4105" s="258"/>
      <c r="Z4105" s="258"/>
    </row>
    <row r="4106" spans="1:26" ht="12.75" customHeight="1" x14ac:dyDescent="0.2">
      <c r="A4106" s="258"/>
      <c r="Z4106" s="258"/>
    </row>
    <row r="4107" spans="1:26" ht="12.75" customHeight="1" x14ac:dyDescent="0.2">
      <c r="A4107" s="258"/>
      <c r="Z4107" s="258"/>
    </row>
    <row r="4108" spans="1:26" ht="12.75" customHeight="1" x14ac:dyDescent="0.2">
      <c r="A4108" s="258"/>
      <c r="Z4108" s="258"/>
    </row>
    <row r="4109" spans="1:26" ht="12.75" customHeight="1" x14ac:dyDescent="0.2">
      <c r="A4109" s="258"/>
      <c r="Z4109" s="258"/>
    </row>
    <row r="4110" spans="1:26" ht="12.75" customHeight="1" x14ac:dyDescent="0.2">
      <c r="A4110" s="258"/>
      <c r="Z4110" s="258"/>
    </row>
    <row r="4111" spans="1:26" ht="12.75" customHeight="1" x14ac:dyDescent="0.2">
      <c r="A4111" s="258"/>
      <c r="Z4111" s="258"/>
    </row>
    <row r="4112" spans="1:26" ht="12.75" customHeight="1" x14ac:dyDescent="0.2">
      <c r="A4112" s="258"/>
      <c r="Z4112" s="258"/>
    </row>
    <row r="4113" spans="1:26" ht="12.75" customHeight="1" x14ac:dyDescent="0.2">
      <c r="A4113" s="258"/>
      <c r="Z4113" s="258"/>
    </row>
    <row r="4114" spans="1:26" ht="12.75" customHeight="1" x14ac:dyDescent="0.2">
      <c r="A4114" s="258"/>
      <c r="Z4114" s="258"/>
    </row>
    <row r="4115" spans="1:26" ht="12.75" customHeight="1" x14ac:dyDescent="0.2">
      <c r="A4115" s="258"/>
      <c r="Z4115" s="258"/>
    </row>
    <row r="4116" spans="1:26" ht="12.75" customHeight="1" x14ac:dyDescent="0.2">
      <c r="A4116" s="258"/>
      <c r="Z4116" s="258"/>
    </row>
    <row r="4117" spans="1:26" ht="12.75" customHeight="1" x14ac:dyDescent="0.2">
      <c r="A4117" s="258"/>
      <c r="Z4117" s="258"/>
    </row>
    <row r="4118" spans="1:26" ht="12.75" customHeight="1" x14ac:dyDescent="0.2">
      <c r="A4118" s="258"/>
      <c r="Z4118" s="258"/>
    </row>
    <row r="4119" spans="1:26" ht="12.75" customHeight="1" x14ac:dyDescent="0.2">
      <c r="A4119" s="258"/>
      <c r="Z4119" s="258"/>
    </row>
    <row r="4120" spans="1:26" ht="12.75" customHeight="1" x14ac:dyDescent="0.2">
      <c r="A4120" s="258"/>
      <c r="Z4120" s="258"/>
    </row>
    <row r="4121" spans="1:26" ht="12.75" customHeight="1" x14ac:dyDescent="0.2">
      <c r="A4121" s="258"/>
      <c r="Z4121" s="258"/>
    </row>
    <row r="4122" spans="1:26" ht="12.75" customHeight="1" x14ac:dyDescent="0.2">
      <c r="A4122" s="258"/>
      <c r="Z4122" s="258"/>
    </row>
    <row r="4123" spans="1:26" ht="12.75" customHeight="1" x14ac:dyDescent="0.2">
      <c r="A4123" s="258"/>
      <c r="Z4123" s="258"/>
    </row>
    <row r="4124" spans="1:26" ht="12.75" customHeight="1" x14ac:dyDescent="0.2">
      <c r="A4124" s="258"/>
      <c r="Z4124" s="258"/>
    </row>
    <row r="4125" spans="1:26" ht="12.75" customHeight="1" x14ac:dyDescent="0.2">
      <c r="A4125" s="258"/>
      <c r="Z4125" s="258"/>
    </row>
    <row r="4126" spans="1:26" ht="12.75" customHeight="1" x14ac:dyDescent="0.2">
      <c r="A4126" s="258"/>
      <c r="Z4126" s="258"/>
    </row>
    <row r="4127" spans="1:26" ht="12.75" customHeight="1" x14ac:dyDescent="0.2">
      <c r="A4127" s="258"/>
      <c r="Z4127" s="258"/>
    </row>
    <row r="4128" spans="1:26" ht="12.75" customHeight="1" x14ac:dyDescent="0.2">
      <c r="A4128" s="258"/>
      <c r="Z4128" s="258"/>
    </row>
    <row r="4129" spans="1:26" ht="12.75" customHeight="1" x14ac:dyDescent="0.2">
      <c r="A4129" s="258"/>
      <c r="Z4129" s="258"/>
    </row>
    <row r="4130" spans="1:26" ht="12.75" customHeight="1" x14ac:dyDescent="0.2">
      <c r="A4130" s="258"/>
      <c r="Z4130" s="258"/>
    </row>
    <row r="4131" spans="1:26" ht="12.75" customHeight="1" x14ac:dyDescent="0.2">
      <c r="A4131" s="258"/>
      <c r="Z4131" s="258"/>
    </row>
    <row r="4132" spans="1:26" ht="12.75" customHeight="1" x14ac:dyDescent="0.2">
      <c r="A4132" s="258"/>
      <c r="Z4132" s="258"/>
    </row>
    <row r="4133" spans="1:26" ht="12.75" customHeight="1" x14ac:dyDescent="0.2">
      <c r="A4133" s="258"/>
      <c r="Z4133" s="258"/>
    </row>
    <row r="4134" spans="1:26" ht="12.75" customHeight="1" x14ac:dyDescent="0.2">
      <c r="A4134" s="258"/>
      <c r="Z4134" s="258"/>
    </row>
    <row r="4135" spans="1:26" ht="12.75" customHeight="1" x14ac:dyDescent="0.2">
      <c r="A4135" s="258"/>
      <c r="Z4135" s="258"/>
    </row>
    <row r="4136" spans="1:26" ht="12.75" customHeight="1" x14ac:dyDescent="0.2">
      <c r="A4136" s="258"/>
      <c r="Z4136" s="258"/>
    </row>
    <row r="4137" spans="1:26" ht="12.75" customHeight="1" x14ac:dyDescent="0.2">
      <c r="A4137" s="258"/>
      <c r="Z4137" s="258"/>
    </row>
    <row r="4138" spans="1:26" ht="12.75" customHeight="1" x14ac:dyDescent="0.2">
      <c r="A4138" s="258"/>
      <c r="Z4138" s="258"/>
    </row>
    <row r="4139" spans="1:26" ht="12.75" customHeight="1" x14ac:dyDescent="0.2">
      <c r="A4139" s="258"/>
      <c r="Z4139" s="258"/>
    </row>
    <row r="4140" spans="1:26" ht="12.75" customHeight="1" x14ac:dyDescent="0.2">
      <c r="A4140" s="258"/>
      <c r="Z4140" s="258"/>
    </row>
    <row r="4141" spans="1:26" ht="12.75" customHeight="1" x14ac:dyDescent="0.2">
      <c r="A4141" s="258"/>
      <c r="Z4141" s="258"/>
    </row>
    <row r="4142" spans="1:26" ht="12.75" customHeight="1" x14ac:dyDescent="0.2">
      <c r="A4142" s="258"/>
      <c r="Z4142" s="258"/>
    </row>
    <row r="4143" spans="1:26" ht="12.75" customHeight="1" x14ac:dyDescent="0.2">
      <c r="A4143" s="258"/>
      <c r="Z4143" s="258"/>
    </row>
    <row r="4144" spans="1:26" ht="12.75" customHeight="1" x14ac:dyDescent="0.2">
      <c r="A4144" s="258"/>
      <c r="Z4144" s="258"/>
    </row>
    <row r="4145" spans="1:26" ht="12.75" customHeight="1" x14ac:dyDescent="0.2">
      <c r="A4145" s="258"/>
      <c r="Z4145" s="258"/>
    </row>
    <row r="4146" spans="1:26" ht="12.75" customHeight="1" x14ac:dyDescent="0.2">
      <c r="A4146" s="258"/>
      <c r="Z4146" s="258"/>
    </row>
    <row r="4147" spans="1:26" ht="12.75" customHeight="1" x14ac:dyDescent="0.2">
      <c r="A4147" s="258"/>
      <c r="Z4147" s="258"/>
    </row>
    <row r="4148" spans="1:26" ht="12.75" customHeight="1" x14ac:dyDescent="0.2">
      <c r="A4148" s="258"/>
      <c r="Z4148" s="258"/>
    </row>
    <row r="4149" spans="1:26" ht="12.75" customHeight="1" x14ac:dyDescent="0.2">
      <c r="A4149" s="258"/>
      <c r="Z4149" s="258"/>
    </row>
    <row r="4150" spans="1:26" ht="12.75" customHeight="1" x14ac:dyDescent="0.2">
      <c r="A4150" s="258"/>
      <c r="Z4150" s="258"/>
    </row>
    <row r="4151" spans="1:26" ht="12.75" customHeight="1" x14ac:dyDescent="0.2">
      <c r="A4151" s="258"/>
      <c r="Z4151" s="258"/>
    </row>
    <row r="4152" spans="1:26" ht="12.75" customHeight="1" x14ac:dyDescent="0.2">
      <c r="A4152" s="258"/>
      <c r="Z4152" s="258"/>
    </row>
    <row r="4153" spans="1:26" ht="12.75" customHeight="1" x14ac:dyDescent="0.2">
      <c r="A4153" s="258"/>
      <c r="Z4153" s="258"/>
    </row>
    <row r="4154" spans="1:26" ht="12.75" customHeight="1" x14ac:dyDescent="0.2">
      <c r="A4154" s="258"/>
      <c r="Z4154" s="258"/>
    </row>
    <row r="4155" spans="1:26" ht="12.75" customHeight="1" x14ac:dyDescent="0.2">
      <c r="A4155" s="258"/>
      <c r="Z4155" s="258"/>
    </row>
    <row r="4156" spans="1:26" ht="12.75" customHeight="1" x14ac:dyDescent="0.2">
      <c r="A4156" s="258"/>
      <c r="Z4156" s="258"/>
    </row>
    <row r="4157" spans="1:26" ht="12.75" customHeight="1" x14ac:dyDescent="0.2">
      <c r="A4157" s="258"/>
      <c r="Z4157" s="258"/>
    </row>
    <row r="4158" spans="1:26" ht="12.75" customHeight="1" x14ac:dyDescent="0.2">
      <c r="A4158" s="258"/>
      <c r="Z4158" s="258"/>
    </row>
    <row r="4159" spans="1:26" ht="12.75" customHeight="1" x14ac:dyDescent="0.2">
      <c r="A4159" s="258"/>
      <c r="Z4159" s="258"/>
    </row>
    <row r="4160" spans="1:26" ht="12.75" customHeight="1" x14ac:dyDescent="0.2">
      <c r="A4160" s="258"/>
      <c r="Z4160" s="258"/>
    </row>
    <row r="4161" spans="1:26" ht="12.75" customHeight="1" x14ac:dyDescent="0.2">
      <c r="A4161" s="258"/>
      <c r="Z4161" s="258"/>
    </row>
    <row r="4162" spans="1:26" ht="12.75" customHeight="1" x14ac:dyDescent="0.2">
      <c r="A4162" s="258"/>
      <c r="Z4162" s="258"/>
    </row>
    <row r="4163" spans="1:26" ht="12.75" customHeight="1" x14ac:dyDescent="0.2">
      <c r="A4163" s="258"/>
      <c r="Z4163" s="258"/>
    </row>
    <row r="4164" spans="1:26" ht="12.75" customHeight="1" x14ac:dyDescent="0.2">
      <c r="A4164" s="258"/>
      <c r="Z4164" s="258"/>
    </row>
    <row r="4165" spans="1:26" ht="12.75" customHeight="1" x14ac:dyDescent="0.2">
      <c r="A4165" s="258"/>
      <c r="Z4165" s="258"/>
    </row>
    <row r="4166" spans="1:26" ht="12.75" customHeight="1" x14ac:dyDescent="0.2">
      <c r="A4166" s="258"/>
      <c r="Z4166" s="258"/>
    </row>
    <row r="4167" spans="1:26" ht="12.75" customHeight="1" x14ac:dyDescent="0.2">
      <c r="A4167" s="258"/>
      <c r="Z4167" s="258"/>
    </row>
    <row r="4168" spans="1:26" ht="12.75" customHeight="1" x14ac:dyDescent="0.2">
      <c r="A4168" s="258"/>
      <c r="Z4168" s="258"/>
    </row>
    <row r="4169" spans="1:26" ht="12.75" customHeight="1" x14ac:dyDescent="0.2">
      <c r="A4169" s="258"/>
      <c r="Z4169" s="258"/>
    </row>
    <row r="4170" spans="1:26" ht="12.75" customHeight="1" x14ac:dyDescent="0.2">
      <c r="A4170" s="258"/>
      <c r="Z4170" s="258"/>
    </row>
    <row r="4171" spans="1:26" ht="12.75" customHeight="1" x14ac:dyDescent="0.2">
      <c r="A4171" s="258"/>
      <c r="Z4171" s="258"/>
    </row>
    <row r="4172" spans="1:26" ht="12.75" customHeight="1" x14ac:dyDescent="0.2">
      <c r="A4172" s="258"/>
      <c r="Z4172" s="258"/>
    </row>
    <row r="4173" spans="1:26" ht="12.75" customHeight="1" x14ac:dyDescent="0.2">
      <c r="A4173" s="258"/>
      <c r="Z4173" s="258"/>
    </row>
    <row r="4174" spans="1:26" ht="12.75" customHeight="1" x14ac:dyDescent="0.2">
      <c r="A4174" s="258"/>
      <c r="Z4174" s="258"/>
    </row>
    <row r="4175" spans="1:26" ht="12.75" customHeight="1" x14ac:dyDescent="0.2">
      <c r="A4175" s="258"/>
      <c r="Z4175" s="258"/>
    </row>
    <row r="4176" spans="1:26" ht="12.75" customHeight="1" x14ac:dyDescent="0.2">
      <c r="A4176" s="258"/>
      <c r="Z4176" s="258"/>
    </row>
    <row r="4177" spans="1:26" ht="12.75" customHeight="1" x14ac:dyDescent="0.2">
      <c r="A4177" s="258"/>
      <c r="Z4177" s="258"/>
    </row>
    <row r="4178" spans="1:26" ht="12.75" customHeight="1" x14ac:dyDescent="0.2">
      <c r="A4178" s="258"/>
      <c r="Z4178" s="258"/>
    </row>
    <row r="4179" spans="1:26" ht="12.75" customHeight="1" x14ac:dyDescent="0.2">
      <c r="A4179" s="258"/>
      <c r="Z4179" s="258"/>
    </row>
    <row r="4180" spans="1:26" ht="12.75" customHeight="1" x14ac:dyDescent="0.2">
      <c r="A4180" s="258"/>
      <c r="Z4180" s="258"/>
    </row>
    <row r="4181" spans="1:26" ht="12.75" customHeight="1" x14ac:dyDescent="0.2">
      <c r="A4181" s="258"/>
      <c r="Z4181" s="258"/>
    </row>
    <row r="4182" spans="1:26" ht="12.75" customHeight="1" x14ac:dyDescent="0.2">
      <c r="A4182" s="258"/>
      <c r="Z4182" s="258"/>
    </row>
    <row r="4183" spans="1:26" ht="12.75" customHeight="1" x14ac:dyDescent="0.2">
      <c r="A4183" s="258"/>
      <c r="Z4183" s="258"/>
    </row>
    <row r="4184" spans="1:26" ht="12.75" customHeight="1" x14ac:dyDescent="0.2">
      <c r="A4184" s="258"/>
      <c r="Z4184" s="258"/>
    </row>
    <row r="4185" spans="1:26" ht="12.75" customHeight="1" x14ac:dyDescent="0.2">
      <c r="A4185" s="258"/>
      <c r="Z4185" s="258"/>
    </row>
    <row r="4186" spans="1:26" ht="12.75" customHeight="1" x14ac:dyDescent="0.2">
      <c r="A4186" s="258"/>
      <c r="Z4186" s="258"/>
    </row>
    <row r="4187" spans="1:26" ht="12.75" customHeight="1" x14ac:dyDescent="0.2">
      <c r="A4187" s="258"/>
      <c r="Z4187" s="258"/>
    </row>
    <row r="4188" spans="1:26" ht="12.75" customHeight="1" x14ac:dyDescent="0.2">
      <c r="A4188" s="258"/>
      <c r="Z4188" s="258"/>
    </row>
    <row r="4189" spans="1:26" ht="12.75" customHeight="1" x14ac:dyDescent="0.2">
      <c r="A4189" s="258"/>
      <c r="Z4189" s="258"/>
    </row>
    <row r="4190" spans="1:26" ht="12.75" customHeight="1" x14ac:dyDescent="0.2">
      <c r="A4190" s="258"/>
      <c r="Z4190" s="258"/>
    </row>
    <row r="4191" spans="1:26" ht="12.75" customHeight="1" x14ac:dyDescent="0.2">
      <c r="A4191" s="258"/>
      <c r="Z4191" s="258"/>
    </row>
    <row r="4192" spans="1:26" ht="12.75" customHeight="1" x14ac:dyDescent="0.2">
      <c r="A4192" s="258"/>
      <c r="Z4192" s="258"/>
    </row>
    <row r="4193" spans="1:26" ht="12.75" customHeight="1" x14ac:dyDescent="0.2">
      <c r="A4193" s="258"/>
      <c r="Z4193" s="258"/>
    </row>
    <row r="4194" spans="1:26" ht="12.75" customHeight="1" x14ac:dyDescent="0.2">
      <c r="A4194" s="258"/>
      <c r="Z4194" s="258"/>
    </row>
    <row r="4195" spans="1:26" ht="12.75" customHeight="1" x14ac:dyDescent="0.2">
      <c r="A4195" s="258"/>
      <c r="Z4195" s="258"/>
    </row>
    <row r="4196" spans="1:26" ht="12.75" customHeight="1" x14ac:dyDescent="0.2">
      <c r="A4196" s="258"/>
      <c r="Z4196" s="258"/>
    </row>
    <row r="4197" spans="1:26" ht="12.75" customHeight="1" x14ac:dyDescent="0.2">
      <c r="A4197" s="258"/>
      <c r="Z4197" s="258"/>
    </row>
    <row r="4198" spans="1:26" ht="12.75" customHeight="1" x14ac:dyDescent="0.2">
      <c r="A4198" s="258"/>
      <c r="Z4198" s="258"/>
    </row>
    <row r="4199" spans="1:26" ht="12.75" customHeight="1" x14ac:dyDescent="0.2">
      <c r="A4199" s="258"/>
      <c r="Z4199" s="258"/>
    </row>
    <row r="4200" spans="1:26" ht="12.75" customHeight="1" x14ac:dyDescent="0.2">
      <c r="A4200" s="258"/>
      <c r="Z4200" s="258"/>
    </row>
    <row r="4201" spans="1:26" ht="12.75" customHeight="1" x14ac:dyDescent="0.2">
      <c r="A4201" s="258"/>
      <c r="Z4201" s="258"/>
    </row>
    <row r="4202" spans="1:26" ht="12.75" customHeight="1" x14ac:dyDescent="0.2">
      <c r="A4202" s="258"/>
      <c r="Z4202" s="258"/>
    </row>
    <row r="4203" spans="1:26" ht="12.75" customHeight="1" x14ac:dyDescent="0.2">
      <c r="A4203" s="258"/>
      <c r="Z4203" s="258"/>
    </row>
    <row r="4204" spans="1:26" ht="12.75" customHeight="1" x14ac:dyDescent="0.2">
      <c r="A4204" s="258"/>
      <c r="Z4204" s="258"/>
    </row>
    <row r="4205" spans="1:26" ht="12.75" customHeight="1" x14ac:dyDescent="0.2">
      <c r="A4205" s="258"/>
      <c r="Z4205" s="258"/>
    </row>
    <row r="4206" spans="1:26" ht="12.75" customHeight="1" x14ac:dyDescent="0.2">
      <c r="A4206" s="258"/>
      <c r="Z4206" s="258"/>
    </row>
    <row r="4207" spans="1:26" ht="12.75" customHeight="1" x14ac:dyDescent="0.2">
      <c r="A4207" s="258"/>
      <c r="Z4207" s="258"/>
    </row>
    <row r="4208" spans="1:26" ht="12.75" customHeight="1" x14ac:dyDescent="0.2">
      <c r="A4208" s="258"/>
      <c r="Z4208" s="258"/>
    </row>
    <row r="4209" spans="1:26" ht="12.75" customHeight="1" x14ac:dyDescent="0.2">
      <c r="A4209" s="258"/>
      <c r="Z4209" s="258"/>
    </row>
    <row r="4210" spans="1:26" ht="12.75" customHeight="1" x14ac:dyDescent="0.2">
      <c r="A4210" s="258"/>
      <c r="Z4210" s="258"/>
    </row>
    <row r="4211" spans="1:26" ht="12.75" customHeight="1" x14ac:dyDescent="0.2">
      <c r="A4211" s="258"/>
      <c r="Z4211" s="258"/>
    </row>
    <row r="4212" spans="1:26" ht="12.75" customHeight="1" x14ac:dyDescent="0.2">
      <c r="A4212" s="258"/>
      <c r="Z4212" s="258"/>
    </row>
    <row r="4213" spans="1:26" ht="12.75" customHeight="1" x14ac:dyDescent="0.2">
      <c r="A4213" s="258"/>
      <c r="Z4213" s="258"/>
    </row>
    <row r="4214" spans="1:26" ht="12.75" customHeight="1" x14ac:dyDescent="0.2">
      <c r="A4214" s="258"/>
      <c r="Z4214" s="258"/>
    </row>
    <row r="4215" spans="1:26" ht="12.75" customHeight="1" x14ac:dyDescent="0.2">
      <c r="A4215" s="258"/>
      <c r="Z4215" s="258"/>
    </row>
    <row r="4216" spans="1:26" ht="12.75" customHeight="1" x14ac:dyDescent="0.2">
      <c r="A4216" s="258"/>
      <c r="Z4216" s="258"/>
    </row>
    <row r="4217" spans="1:26" ht="12.75" customHeight="1" x14ac:dyDescent="0.2">
      <c r="A4217" s="258"/>
      <c r="Z4217" s="258"/>
    </row>
    <row r="4218" spans="1:26" ht="12.75" customHeight="1" x14ac:dyDescent="0.2">
      <c r="A4218" s="258"/>
      <c r="Z4218" s="258"/>
    </row>
    <row r="4219" spans="1:26" ht="12.75" customHeight="1" x14ac:dyDescent="0.2">
      <c r="A4219" s="258"/>
      <c r="Z4219" s="258"/>
    </row>
    <row r="4220" spans="1:26" ht="12.75" customHeight="1" x14ac:dyDescent="0.2">
      <c r="A4220" s="258"/>
      <c r="Z4220" s="258"/>
    </row>
    <row r="4221" spans="1:26" ht="12.75" customHeight="1" x14ac:dyDescent="0.2">
      <c r="A4221" s="258"/>
      <c r="Z4221" s="258"/>
    </row>
    <row r="4222" spans="1:26" ht="12.75" customHeight="1" x14ac:dyDescent="0.2">
      <c r="A4222" s="258"/>
      <c r="Z4222" s="258"/>
    </row>
    <row r="4223" spans="1:26" ht="12.75" customHeight="1" x14ac:dyDescent="0.2">
      <c r="A4223" s="258"/>
      <c r="Z4223" s="258"/>
    </row>
    <row r="4224" spans="1:26" ht="12.75" customHeight="1" x14ac:dyDescent="0.2">
      <c r="A4224" s="258"/>
      <c r="Z4224" s="258"/>
    </row>
    <row r="4225" spans="1:26" ht="12.75" customHeight="1" x14ac:dyDescent="0.2">
      <c r="A4225" s="258"/>
      <c r="Z4225" s="258"/>
    </row>
    <row r="4226" spans="1:26" ht="12.75" customHeight="1" x14ac:dyDescent="0.2">
      <c r="A4226" s="258"/>
      <c r="Z4226" s="258"/>
    </row>
    <row r="4227" spans="1:26" ht="12.75" customHeight="1" x14ac:dyDescent="0.2">
      <c r="A4227" s="258"/>
      <c r="Z4227" s="258"/>
    </row>
    <row r="4228" spans="1:26" ht="12.75" customHeight="1" x14ac:dyDescent="0.2">
      <c r="A4228" s="258"/>
      <c r="Z4228" s="258"/>
    </row>
    <row r="4229" spans="1:26" ht="12.75" customHeight="1" x14ac:dyDescent="0.2">
      <c r="A4229" s="258"/>
      <c r="Z4229" s="258"/>
    </row>
    <row r="4230" spans="1:26" ht="12.75" customHeight="1" x14ac:dyDescent="0.2">
      <c r="A4230" s="258"/>
      <c r="Z4230" s="258"/>
    </row>
    <row r="4231" spans="1:26" ht="12.75" customHeight="1" x14ac:dyDescent="0.2">
      <c r="A4231" s="258"/>
      <c r="Z4231" s="258"/>
    </row>
    <row r="4232" spans="1:26" ht="12.75" customHeight="1" x14ac:dyDescent="0.2">
      <c r="A4232" s="258"/>
      <c r="Z4232" s="258"/>
    </row>
    <row r="4233" spans="1:26" ht="12.75" customHeight="1" x14ac:dyDescent="0.2">
      <c r="A4233" s="258"/>
      <c r="Z4233" s="258"/>
    </row>
    <row r="4234" spans="1:26" ht="12.75" customHeight="1" x14ac:dyDescent="0.2">
      <c r="A4234" s="258"/>
      <c r="Z4234" s="258"/>
    </row>
    <row r="4235" spans="1:26" ht="12.75" customHeight="1" x14ac:dyDescent="0.2">
      <c r="A4235" s="258"/>
      <c r="Z4235" s="258"/>
    </row>
    <row r="4236" spans="1:26" ht="12.75" customHeight="1" x14ac:dyDescent="0.2">
      <c r="A4236" s="258"/>
      <c r="Z4236" s="258"/>
    </row>
    <row r="4237" spans="1:26" ht="12.75" customHeight="1" x14ac:dyDescent="0.2">
      <c r="A4237" s="258"/>
      <c r="Z4237" s="258"/>
    </row>
    <row r="4238" spans="1:26" ht="12.75" customHeight="1" x14ac:dyDescent="0.2">
      <c r="A4238" s="258"/>
      <c r="Z4238" s="258"/>
    </row>
    <row r="4239" spans="1:26" ht="12.75" customHeight="1" x14ac:dyDescent="0.2">
      <c r="A4239" s="258"/>
      <c r="Z4239" s="258"/>
    </row>
    <row r="4240" spans="1:26" ht="12.75" customHeight="1" x14ac:dyDescent="0.2">
      <c r="A4240" s="258"/>
      <c r="Z4240" s="258"/>
    </row>
    <row r="4241" spans="1:26" ht="12.75" customHeight="1" x14ac:dyDescent="0.2">
      <c r="A4241" s="258"/>
      <c r="Z4241" s="258"/>
    </row>
    <row r="4242" spans="1:26" ht="12.75" customHeight="1" x14ac:dyDescent="0.2">
      <c r="A4242" s="258"/>
      <c r="Z4242" s="258"/>
    </row>
    <row r="4243" spans="1:26" ht="12.75" customHeight="1" x14ac:dyDescent="0.2">
      <c r="A4243" s="258"/>
      <c r="Z4243" s="258"/>
    </row>
    <row r="4244" spans="1:26" ht="12.75" customHeight="1" x14ac:dyDescent="0.2">
      <c r="A4244" s="258"/>
      <c r="Z4244" s="258"/>
    </row>
    <row r="4245" spans="1:26" ht="12.75" customHeight="1" x14ac:dyDescent="0.2">
      <c r="A4245" s="258"/>
      <c r="Z4245" s="258"/>
    </row>
    <row r="4246" spans="1:26" ht="12.75" customHeight="1" x14ac:dyDescent="0.2">
      <c r="A4246" s="258"/>
      <c r="Z4246" s="258"/>
    </row>
    <row r="4247" spans="1:26" ht="12.75" customHeight="1" x14ac:dyDescent="0.2">
      <c r="A4247" s="258"/>
      <c r="Z4247" s="258"/>
    </row>
    <row r="4248" spans="1:26" ht="12.75" customHeight="1" x14ac:dyDescent="0.2">
      <c r="A4248" s="258"/>
      <c r="Z4248" s="258"/>
    </row>
    <row r="4249" spans="1:26" ht="12.75" customHeight="1" x14ac:dyDescent="0.2">
      <c r="A4249" s="258"/>
      <c r="Z4249" s="258"/>
    </row>
    <row r="4250" spans="1:26" ht="12.75" customHeight="1" x14ac:dyDescent="0.2">
      <c r="A4250" s="258"/>
      <c r="Z4250" s="258"/>
    </row>
    <row r="4251" spans="1:26" ht="12.75" customHeight="1" x14ac:dyDescent="0.2">
      <c r="A4251" s="258"/>
      <c r="Z4251" s="258"/>
    </row>
    <row r="4252" spans="1:26" ht="12.75" customHeight="1" x14ac:dyDescent="0.2">
      <c r="A4252" s="258"/>
      <c r="Z4252" s="258"/>
    </row>
    <row r="4253" spans="1:26" ht="12.75" customHeight="1" x14ac:dyDescent="0.2">
      <c r="A4253" s="258"/>
      <c r="Z4253" s="258"/>
    </row>
    <row r="4254" spans="1:26" ht="12.75" customHeight="1" x14ac:dyDescent="0.2">
      <c r="A4254" s="258"/>
      <c r="Z4254" s="258"/>
    </row>
    <row r="4255" spans="1:26" ht="12.75" customHeight="1" x14ac:dyDescent="0.2">
      <c r="A4255" s="258"/>
      <c r="Z4255" s="258"/>
    </row>
    <row r="4256" spans="1:26" ht="12.75" customHeight="1" x14ac:dyDescent="0.2">
      <c r="A4256" s="258"/>
      <c r="Z4256" s="258"/>
    </row>
    <row r="4257" spans="1:26" ht="12.75" customHeight="1" x14ac:dyDescent="0.2">
      <c r="A4257" s="258"/>
      <c r="Z4257" s="258"/>
    </row>
    <row r="4258" spans="1:26" ht="12.75" customHeight="1" x14ac:dyDescent="0.2">
      <c r="A4258" s="258"/>
      <c r="Z4258" s="258"/>
    </row>
    <row r="4259" spans="1:26" ht="12.75" customHeight="1" x14ac:dyDescent="0.2">
      <c r="A4259" s="258"/>
      <c r="Z4259" s="258"/>
    </row>
    <row r="4260" spans="1:26" ht="12.75" customHeight="1" x14ac:dyDescent="0.2">
      <c r="A4260" s="258"/>
      <c r="Z4260" s="258"/>
    </row>
    <row r="4261" spans="1:26" ht="12.75" customHeight="1" x14ac:dyDescent="0.2">
      <c r="A4261" s="258"/>
      <c r="Z4261" s="258"/>
    </row>
    <row r="4262" spans="1:26" ht="12.75" customHeight="1" x14ac:dyDescent="0.2">
      <c r="A4262" s="258"/>
      <c r="Z4262" s="258"/>
    </row>
    <row r="4263" spans="1:26" ht="12.75" customHeight="1" x14ac:dyDescent="0.2">
      <c r="A4263" s="258"/>
      <c r="Z4263" s="258"/>
    </row>
    <row r="4264" spans="1:26" ht="12.75" customHeight="1" x14ac:dyDescent="0.2">
      <c r="A4264" s="258"/>
      <c r="Z4264" s="258"/>
    </row>
    <row r="4265" spans="1:26" ht="12.75" customHeight="1" x14ac:dyDescent="0.2">
      <c r="A4265" s="258"/>
      <c r="Z4265" s="258"/>
    </row>
    <row r="4266" spans="1:26" ht="12.75" customHeight="1" x14ac:dyDescent="0.2">
      <c r="A4266" s="258"/>
      <c r="Z4266" s="258"/>
    </row>
    <row r="4267" spans="1:26" ht="12.75" customHeight="1" x14ac:dyDescent="0.2">
      <c r="A4267" s="258"/>
      <c r="Z4267" s="258"/>
    </row>
    <row r="4268" spans="1:26" ht="12.75" customHeight="1" x14ac:dyDescent="0.2">
      <c r="A4268" s="258"/>
      <c r="Z4268" s="258"/>
    </row>
    <row r="4269" spans="1:26" ht="12.75" customHeight="1" x14ac:dyDescent="0.2">
      <c r="A4269" s="258"/>
      <c r="Z4269" s="258"/>
    </row>
    <row r="4270" spans="1:26" ht="12.75" customHeight="1" x14ac:dyDescent="0.2">
      <c r="A4270" s="258"/>
      <c r="Z4270" s="258"/>
    </row>
    <row r="4271" spans="1:26" ht="12.75" customHeight="1" x14ac:dyDescent="0.2">
      <c r="A4271" s="258"/>
      <c r="Z4271" s="258"/>
    </row>
    <row r="4272" spans="1:26" ht="12.75" customHeight="1" x14ac:dyDescent="0.2">
      <c r="A4272" s="258"/>
      <c r="Z4272" s="258"/>
    </row>
    <row r="4273" spans="1:26" ht="12.75" customHeight="1" x14ac:dyDescent="0.2">
      <c r="A4273" s="258"/>
      <c r="Z4273" s="258"/>
    </row>
    <row r="4274" spans="1:26" ht="12.75" customHeight="1" x14ac:dyDescent="0.2">
      <c r="A4274" s="258"/>
      <c r="Z4274" s="258"/>
    </row>
    <row r="4275" spans="1:26" ht="12.75" customHeight="1" x14ac:dyDescent="0.2">
      <c r="A4275" s="258"/>
      <c r="Z4275" s="258"/>
    </row>
    <row r="4276" spans="1:26" ht="12.75" customHeight="1" x14ac:dyDescent="0.2">
      <c r="A4276" s="258"/>
      <c r="Z4276" s="258"/>
    </row>
    <row r="4277" spans="1:26" ht="12.75" customHeight="1" x14ac:dyDescent="0.2">
      <c r="A4277" s="258"/>
      <c r="Z4277" s="258"/>
    </row>
    <row r="4278" spans="1:26" ht="12.75" customHeight="1" x14ac:dyDescent="0.2">
      <c r="A4278" s="258"/>
      <c r="Z4278" s="258"/>
    </row>
    <row r="4279" spans="1:26" ht="12.75" customHeight="1" x14ac:dyDescent="0.2">
      <c r="A4279" s="258"/>
      <c r="Z4279" s="258"/>
    </row>
    <row r="4280" spans="1:26" ht="12.75" customHeight="1" x14ac:dyDescent="0.2">
      <c r="A4280" s="258"/>
      <c r="Z4280" s="258"/>
    </row>
    <row r="4281" spans="1:26" ht="12.75" customHeight="1" x14ac:dyDescent="0.2">
      <c r="A4281" s="258"/>
      <c r="Z4281" s="258"/>
    </row>
    <row r="4282" spans="1:26" ht="12.75" customHeight="1" x14ac:dyDescent="0.2">
      <c r="A4282" s="258"/>
      <c r="Z4282" s="258"/>
    </row>
    <row r="4283" spans="1:26" ht="12.75" customHeight="1" x14ac:dyDescent="0.2">
      <c r="A4283" s="258"/>
      <c r="Z4283" s="258"/>
    </row>
    <row r="4284" spans="1:26" ht="12.75" customHeight="1" x14ac:dyDescent="0.2">
      <c r="A4284" s="258"/>
      <c r="Z4284" s="258"/>
    </row>
    <row r="4285" spans="1:26" ht="12.75" customHeight="1" x14ac:dyDescent="0.2">
      <c r="A4285" s="258"/>
      <c r="Z4285" s="258"/>
    </row>
    <row r="4286" spans="1:26" ht="12.75" customHeight="1" x14ac:dyDescent="0.2">
      <c r="A4286" s="258"/>
      <c r="Z4286" s="258"/>
    </row>
    <row r="4287" spans="1:26" ht="12.75" customHeight="1" x14ac:dyDescent="0.2">
      <c r="A4287" s="258"/>
      <c r="Z4287" s="258"/>
    </row>
    <row r="4288" spans="1:26" ht="12.75" customHeight="1" x14ac:dyDescent="0.2">
      <c r="A4288" s="258"/>
      <c r="Z4288" s="258"/>
    </row>
    <row r="4289" spans="1:26" ht="12.75" customHeight="1" x14ac:dyDescent="0.2">
      <c r="A4289" s="258"/>
      <c r="Z4289" s="258"/>
    </row>
    <row r="4290" spans="1:26" ht="12.75" customHeight="1" x14ac:dyDescent="0.2">
      <c r="A4290" s="258"/>
      <c r="Z4290" s="258"/>
    </row>
    <row r="4291" spans="1:26" ht="12.75" customHeight="1" x14ac:dyDescent="0.2">
      <c r="A4291" s="258"/>
      <c r="Z4291" s="258"/>
    </row>
    <row r="4292" spans="1:26" ht="12.75" customHeight="1" x14ac:dyDescent="0.2">
      <c r="A4292" s="258"/>
      <c r="Z4292" s="258"/>
    </row>
    <row r="4293" spans="1:26" ht="12.75" customHeight="1" x14ac:dyDescent="0.2">
      <c r="A4293" s="258"/>
      <c r="Z4293" s="258"/>
    </row>
    <row r="4294" spans="1:26" ht="12.75" customHeight="1" x14ac:dyDescent="0.2">
      <c r="A4294" s="258"/>
      <c r="Z4294" s="258"/>
    </row>
    <row r="4295" spans="1:26" ht="12.75" customHeight="1" x14ac:dyDescent="0.2">
      <c r="A4295" s="258"/>
      <c r="Z4295" s="258"/>
    </row>
    <row r="4296" spans="1:26" ht="12.75" customHeight="1" x14ac:dyDescent="0.2">
      <c r="A4296" s="258"/>
      <c r="Z4296" s="258"/>
    </row>
    <row r="4297" spans="1:26" ht="12.75" customHeight="1" x14ac:dyDescent="0.2">
      <c r="A4297" s="258"/>
      <c r="Z4297" s="258"/>
    </row>
    <row r="4298" spans="1:26" ht="12.75" customHeight="1" x14ac:dyDescent="0.2">
      <c r="A4298" s="258"/>
      <c r="Z4298" s="258"/>
    </row>
    <row r="4299" spans="1:26" ht="12.75" customHeight="1" x14ac:dyDescent="0.2">
      <c r="A4299" s="258"/>
      <c r="Z4299" s="258"/>
    </row>
    <row r="4300" spans="1:26" ht="12.75" customHeight="1" x14ac:dyDescent="0.2">
      <c r="A4300" s="258"/>
      <c r="Z4300" s="258"/>
    </row>
    <row r="4301" spans="1:26" ht="12.75" customHeight="1" x14ac:dyDescent="0.2">
      <c r="A4301" s="258"/>
      <c r="Z4301" s="258"/>
    </row>
    <row r="4302" spans="1:26" ht="12.75" customHeight="1" x14ac:dyDescent="0.2">
      <c r="A4302" s="258"/>
      <c r="Z4302" s="258"/>
    </row>
    <row r="4303" spans="1:26" ht="12.75" customHeight="1" x14ac:dyDescent="0.2">
      <c r="A4303" s="258"/>
      <c r="Z4303" s="258"/>
    </row>
    <row r="4304" spans="1:26" ht="12.75" customHeight="1" x14ac:dyDescent="0.2">
      <c r="A4304" s="258"/>
      <c r="Z4304" s="258"/>
    </row>
    <row r="4305" spans="1:26" ht="12.75" customHeight="1" x14ac:dyDescent="0.2">
      <c r="A4305" s="258"/>
      <c r="Z4305" s="258"/>
    </row>
    <row r="4306" spans="1:26" ht="12.75" customHeight="1" x14ac:dyDescent="0.2">
      <c r="A4306" s="258"/>
      <c r="Z4306" s="258"/>
    </row>
    <row r="4307" spans="1:26" ht="12.75" customHeight="1" x14ac:dyDescent="0.2">
      <c r="A4307" s="258"/>
      <c r="Z4307" s="258"/>
    </row>
    <row r="4308" spans="1:26" ht="12.75" customHeight="1" x14ac:dyDescent="0.2">
      <c r="A4308" s="258"/>
      <c r="Z4308" s="258"/>
    </row>
    <row r="4309" spans="1:26" ht="12.75" customHeight="1" x14ac:dyDescent="0.2">
      <c r="A4309" s="258"/>
      <c r="Z4309" s="258"/>
    </row>
    <row r="4310" spans="1:26" ht="12.75" customHeight="1" x14ac:dyDescent="0.2">
      <c r="A4310" s="258"/>
      <c r="Z4310" s="258"/>
    </row>
    <row r="4311" spans="1:26" ht="12.75" customHeight="1" x14ac:dyDescent="0.2">
      <c r="A4311" s="258"/>
      <c r="Z4311" s="258"/>
    </row>
    <row r="4312" spans="1:26" ht="12.75" customHeight="1" x14ac:dyDescent="0.2">
      <c r="A4312" s="258"/>
      <c r="Z4312" s="258"/>
    </row>
    <row r="4313" spans="1:26" ht="12.75" customHeight="1" x14ac:dyDescent="0.2">
      <c r="A4313" s="258"/>
      <c r="Z4313" s="258"/>
    </row>
    <row r="4314" spans="1:26" ht="12.75" customHeight="1" x14ac:dyDescent="0.2">
      <c r="A4314" s="258"/>
      <c r="Z4314" s="258"/>
    </row>
    <row r="4315" spans="1:26" ht="12.75" customHeight="1" x14ac:dyDescent="0.2">
      <c r="A4315" s="258"/>
      <c r="Z4315" s="258"/>
    </row>
    <row r="4316" spans="1:26" ht="12.75" customHeight="1" x14ac:dyDescent="0.2">
      <c r="A4316" s="258"/>
      <c r="Z4316" s="258"/>
    </row>
    <row r="4317" spans="1:26" ht="12.75" customHeight="1" x14ac:dyDescent="0.2">
      <c r="A4317" s="258"/>
      <c r="Z4317" s="258"/>
    </row>
    <row r="4318" spans="1:26" ht="12.75" customHeight="1" x14ac:dyDescent="0.2">
      <c r="A4318" s="258"/>
      <c r="Z4318" s="258"/>
    </row>
    <row r="4319" spans="1:26" ht="12.75" customHeight="1" x14ac:dyDescent="0.2">
      <c r="A4319" s="258"/>
      <c r="Z4319" s="258"/>
    </row>
    <row r="4320" spans="1:26" ht="12.75" customHeight="1" x14ac:dyDescent="0.2">
      <c r="A4320" s="258"/>
      <c r="Z4320" s="258"/>
    </row>
    <row r="4321" spans="1:26" ht="12.75" customHeight="1" x14ac:dyDescent="0.2">
      <c r="A4321" s="258"/>
      <c r="Z4321" s="258"/>
    </row>
    <row r="4322" spans="1:26" ht="12.75" customHeight="1" x14ac:dyDescent="0.2">
      <c r="A4322" s="258"/>
      <c r="Z4322" s="258"/>
    </row>
    <row r="4323" spans="1:26" ht="12.75" customHeight="1" x14ac:dyDescent="0.2">
      <c r="A4323" s="258"/>
      <c r="Z4323" s="258"/>
    </row>
    <row r="4324" spans="1:26" ht="12.75" customHeight="1" x14ac:dyDescent="0.2">
      <c r="A4324" s="258"/>
      <c r="Z4324" s="258"/>
    </row>
    <row r="4325" spans="1:26" ht="12.75" customHeight="1" x14ac:dyDescent="0.2">
      <c r="A4325" s="258"/>
      <c r="Z4325" s="258"/>
    </row>
    <row r="4326" spans="1:26" ht="12.75" customHeight="1" x14ac:dyDescent="0.2">
      <c r="A4326" s="258"/>
      <c r="Z4326" s="258"/>
    </row>
    <row r="4327" spans="1:26" ht="12.75" customHeight="1" x14ac:dyDescent="0.2">
      <c r="A4327" s="258"/>
      <c r="Z4327" s="258"/>
    </row>
    <row r="4328" spans="1:26" ht="12.75" customHeight="1" x14ac:dyDescent="0.2">
      <c r="A4328" s="258"/>
      <c r="Z4328" s="258"/>
    </row>
    <row r="4329" spans="1:26" ht="12.75" customHeight="1" x14ac:dyDescent="0.2">
      <c r="A4329" s="258"/>
      <c r="Z4329" s="258"/>
    </row>
    <row r="4330" spans="1:26" ht="12.75" customHeight="1" x14ac:dyDescent="0.2">
      <c r="A4330" s="258"/>
      <c r="Z4330" s="258"/>
    </row>
    <row r="4331" spans="1:26" ht="12.75" customHeight="1" x14ac:dyDescent="0.2">
      <c r="A4331" s="258"/>
      <c r="Z4331" s="258"/>
    </row>
    <row r="4332" spans="1:26" ht="12.75" customHeight="1" x14ac:dyDescent="0.2">
      <c r="A4332" s="258"/>
      <c r="Z4332" s="258"/>
    </row>
    <row r="4333" spans="1:26" ht="12.75" customHeight="1" x14ac:dyDescent="0.2">
      <c r="A4333" s="258"/>
      <c r="Z4333" s="258"/>
    </row>
    <row r="4334" spans="1:26" ht="12.75" customHeight="1" x14ac:dyDescent="0.2">
      <c r="A4334" s="258"/>
      <c r="Z4334" s="258"/>
    </row>
    <row r="4335" spans="1:26" ht="12.75" customHeight="1" x14ac:dyDescent="0.2">
      <c r="A4335" s="258"/>
      <c r="Z4335" s="258"/>
    </row>
    <row r="4336" spans="1:26" ht="12.75" customHeight="1" x14ac:dyDescent="0.2">
      <c r="A4336" s="258"/>
      <c r="Z4336" s="258"/>
    </row>
    <row r="4337" spans="1:26" ht="12.75" customHeight="1" x14ac:dyDescent="0.2">
      <c r="A4337" s="258"/>
      <c r="Z4337" s="258"/>
    </row>
    <row r="4338" spans="1:26" ht="12.75" customHeight="1" x14ac:dyDescent="0.2">
      <c r="A4338" s="258"/>
      <c r="Z4338" s="258"/>
    </row>
    <row r="4339" spans="1:26" ht="12.75" customHeight="1" x14ac:dyDescent="0.2">
      <c r="A4339" s="258"/>
      <c r="Z4339" s="258"/>
    </row>
    <row r="4340" spans="1:26" ht="12.75" customHeight="1" x14ac:dyDescent="0.2">
      <c r="A4340" s="258"/>
      <c r="Z4340" s="258"/>
    </row>
    <row r="4341" spans="1:26" ht="12.75" customHeight="1" x14ac:dyDescent="0.2">
      <c r="A4341" s="258"/>
      <c r="Z4341" s="258"/>
    </row>
    <row r="4342" spans="1:26" ht="12.75" customHeight="1" x14ac:dyDescent="0.2">
      <c r="A4342" s="258"/>
      <c r="Z4342" s="258"/>
    </row>
    <row r="4343" spans="1:26" ht="12.75" customHeight="1" x14ac:dyDescent="0.2">
      <c r="A4343" s="258"/>
      <c r="Z4343" s="258"/>
    </row>
    <row r="4344" spans="1:26" ht="12.75" customHeight="1" x14ac:dyDescent="0.2">
      <c r="A4344" s="258"/>
      <c r="Z4344" s="258"/>
    </row>
    <row r="4345" spans="1:26" ht="12.75" customHeight="1" x14ac:dyDescent="0.2">
      <c r="A4345" s="258"/>
      <c r="Z4345" s="258"/>
    </row>
    <row r="4346" spans="1:26" ht="12.75" customHeight="1" x14ac:dyDescent="0.2">
      <c r="A4346" s="258"/>
      <c r="Z4346" s="258"/>
    </row>
    <row r="4347" spans="1:26" ht="12.75" customHeight="1" x14ac:dyDescent="0.2">
      <c r="A4347" s="258"/>
      <c r="Z4347" s="258"/>
    </row>
    <row r="4348" spans="1:26" ht="12.75" customHeight="1" x14ac:dyDescent="0.2">
      <c r="A4348" s="258"/>
      <c r="Z4348" s="258"/>
    </row>
    <row r="4349" spans="1:26" ht="12.75" customHeight="1" x14ac:dyDescent="0.2">
      <c r="A4349" s="258"/>
      <c r="Z4349" s="258"/>
    </row>
    <row r="4350" spans="1:26" ht="12.75" customHeight="1" x14ac:dyDescent="0.2">
      <c r="A4350" s="258"/>
      <c r="Z4350" s="258"/>
    </row>
    <row r="4351" spans="1:26" ht="12.75" customHeight="1" x14ac:dyDescent="0.2">
      <c r="A4351" s="258"/>
      <c r="Z4351" s="258"/>
    </row>
    <row r="4352" spans="1:26" ht="12.75" customHeight="1" x14ac:dyDescent="0.2">
      <c r="A4352" s="258"/>
      <c r="Z4352" s="258"/>
    </row>
    <row r="4353" spans="1:26" ht="12.75" customHeight="1" x14ac:dyDescent="0.2">
      <c r="A4353" s="258"/>
      <c r="Z4353" s="258"/>
    </row>
    <row r="4354" spans="1:26" ht="12.75" customHeight="1" x14ac:dyDescent="0.2">
      <c r="A4354" s="258"/>
      <c r="Z4354" s="258"/>
    </row>
    <row r="4355" spans="1:26" ht="12.75" customHeight="1" x14ac:dyDescent="0.2">
      <c r="A4355" s="258"/>
      <c r="Z4355" s="258"/>
    </row>
    <row r="4356" spans="1:26" ht="12.75" customHeight="1" x14ac:dyDescent="0.2">
      <c r="A4356" s="258"/>
      <c r="Z4356" s="258"/>
    </row>
    <row r="4357" spans="1:26" ht="12.75" customHeight="1" x14ac:dyDescent="0.2">
      <c r="A4357" s="258"/>
      <c r="Z4357" s="258"/>
    </row>
    <row r="4358" spans="1:26" ht="12.75" customHeight="1" x14ac:dyDescent="0.2">
      <c r="A4358" s="258"/>
      <c r="Z4358" s="258"/>
    </row>
    <row r="4359" spans="1:26" ht="12.75" customHeight="1" x14ac:dyDescent="0.2">
      <c r="A4359" s="258"/>
      <c r="Z4359" s="258"/>
    </row>
    <row r="4360" spans="1:26" ht="12.75" customHeight="1" x14ac:dyDescent="0.2">
      <c r="A4360" s="258"/>
      <c r="Z4360" s="258"/>
    </row>
    <row r="4361" spans="1:26" ht="12.75" customHeight="1" x14ac:dyDescent="0.2">
      <c r="A4361" s="258"/>
      <c r="Z4361" s="258"/>
    </row>
    <row r="4362" spans="1:26" ht="12.75" customHeight="1" x14ac:dyDescent="0.2">
      <c r="A4362" s="258"/>
      <c r="Z4362" s="258"/>
    </row>
    <row r="4363" spans="1:26" ht="12.75" customHeight="1" x14ac:dyDescent="0.2">
      <c r="A4363" s="258"/>
      <c r="Z4363" s="258"/>
    </row>
    <row r="4364" spans="1:26" ht="12.75" customHeight="1" x14ac:dyDescent="0.2">
      <c r="A4364" s="258"/>
      <c r="Z4364" s="258"/>
    </row>
    <row r="4365" spans="1:26" ht="12.75" customHeight="1" x14ac:dyDescent="0.2">
      <c r="A4365" s="258"/>
      <c r="Z4365" s="258"/>
    </row>
    <row r="4366" spans="1:26" ht="12.75" customHeight="1" x14ac:dyDescent="0.2">
      <c r="A4366" s="258"/>
      <c r="Z4366" s="258"/>
    </row>
    <row r="4367" spans="1:26" ht="12.75" customHeight="1" x14ac:dyDescent="0.2">
      <c r="A4367" s="258"/>
      <c r="Z4367" s="258"/>
    </row>
    <row r="4368" spans="1:26" ht="12.75" customHeight="1" x14ac:dyDescent="0.2">
      <c r="A4368" s="258"/>
      <c r="Z4368" s="258"/>
    </row>
    <row r="4369" spans="1:26" ht="12.75" customHeight="1" x14ac:dyDescent="0.2">
      <c r="A4369" s="258"/>
      <c r="Z4369" s="258"/>
    </row>
    <row r="4370" spans="1:26" ht="12.75" customHeight="1" x14ac:dyDescent="0.2">
      <c r="A4370" s="258"/>
      <c r="Z4370" s="258"/>
    </row>
    <row r="4371" spans="1:26" ht="12.75" customHeight="1" x14ac:dyDescent="0.2">
      <c r="A4371" s="258"/>
      <c r="Z4371" s="258"/>
    </row>
    <row r="4372" spans="1:26" ht="12.75" customHeight="1" x14ac:dyDescent="0.2">
      <c r="A4372" s="258"/>
      <c r="Z4372" s="258"/>
    </row>
    <row r="4373" spans="1:26" ht="12.75" customHeight="1" x14ac:dyDescent="0.2">
      <c r="A4373" s="258"/>
      <c r="Z4373" s="258"/>
    </row>
    <row r="4374" spans="1:26" ht="12.75" customHeight="1" x14ac:dyDescent="0.2">
      <c r="A4374" s="258"/>
      <c r="Z4374" s="258"/>
    </row>
    <row r="4375" spans="1:26" ht="12.75" customHeight="1" x14ac:dyDescent="0.2">
      <c r="A4375" s="258"/>
      <c r="Z4375" s="258"/>
    </row>
    <row r="4376" spans="1:26" ht="12.75" customHeight="1" x14ac:dyDescent="0.2">
      <c r="A4376" s="258"/>
      <c r="Z4376" s="258"/>
    </row>
    <row r="4377" spans="1:26" ht="12.75" customHeight="1" x14ac:dyDescent="0.2">
      <c r="A4377" s="258"/>
      <c r="Z4377" s="258"/>
    </row>
    <row r="4378" spans="1:26" ht="12.75" customHeight="1" x14ac:dyDescent="0.2">
      <c r="A4378" s="258"/>
      <c r="Z4378" s="258"/>
    </row>
    <row r="4379" spans="1:26" ht="12.75" customHeight="1" x14ac:dyDescent="0.2">
      <c r="A4379" s="258"/>
      <c r="Z4379" s="258"/>
    </row>
    <row r="4380" spans="1:26" ht="12.75" customHeight="1" x14ac:dyDescent="0.2">
      <c r="A4380" s="258"/>
      <c r="Z4380" s="258"/>
    </row>
    <row r="4381" spans="1:26" ht="12.75" customHeight="1" x14ac:dyDescent="0.2">
      <c r="A4381" s="258"/>
      <c r="Z4381" s="258"/>
    </row>
    <row r="4382" spans="1:26" ht="12.75" customHeight="1" x14ac:dyDescent="0.2">
      <c r="A4382" s="258"/>
      <c r="Z4382" s="258"/>
    </row>
    <row r="4383" spans="1:26" ht="12.75" customHeight="1" x14ac:dyDescent="0.2">
      <c r="A4383" s="258"/>
      <c r="Z4383" s="258"/>
    </row>
    <row r="4384" spans="1:26" ht="12.75" customHeight="1" x14ac:dyDescent="0.2">
      <c r="A4384" s="258"/>
      <c r="Z4384" s="258"/>
    </row>
    <row r="4385" spans="1:26" ht="12.75" customHeight="1" x14ac:dyDescent="0.2">
      <c r="A4385" s="258"/>
      <c r="Z4385" s="258"/>
    </row>
    <row r="4386" spans="1:26" ht="12.75" customHeight="1" x14ac:dyDescent="0.2">
      <c r="A4386" s="258"/>
      <c r="Z4386" s="258"/>
    </row>
    <row r="4387" spans="1:26" ht="12.75" customHeight="1" x14ac:dyDescent="0.2">
      <c r="A4387" s="258"/>
      <c r="Z4387" s="258"/>
    </row>
    <row r="4388" spans="1:26" ht="12.75" customHeight="1" x14ac:dyDescent="0.2">
      <c r="A4388" s="258"/>
      <c r="Z4388" s="258"/>
    </row>
    <row r="4389" spans="1:26" ht="12.75" customHeight="1" x14ac:dyDescent="0.2">
      <c r="A4389" s="258"/>
      <c r="Z4389" s="258"/>
    </row>
    <row r="4390" spans="1:26" ht="12.75" customHeight="1" x14ac:dyDescent="0.2">
      <c r="A4390" s="258"/>
      <c r="Z4390" s="258"/>
    </row>
    <row r="4391" spans="1:26" ht="12.75" customHeight="1" x14ac:dyDescent="0.2">
      <c r="A4391" s="258"/>
      <c r="Z4391" s="258"/>
    </row>
    <row r="4392" spans="1:26" ht="12.75" customHeight="1" x14ac:dyDescent="0.2">
      <c r="A4392" s="258"/>
      <c r="Z4392" s="258"/>
    </row>
    <row r="4393" spans="1:26" ht="12.75" customHeight="1" x14ac:dyDescent="0.2">
      <c r="A4393" s="258"/>
      <c r="Z4393" s="258"/>
    </row>
    <row r="4394" spans="1:26" ht="12.75" customHeight="1" x14ac:dyDescent="0.2">
      <c r="A4394" s="258"/>
      <c r="Z4394" s="258"/>
    </row>
    <row r="4395" spans="1:26" ht="12.75" customHeight="1" x14ac:dyDescent="0.2">
      <c r="A4395" s="258"/>
      <c r="Z4395" s="258"/>
    </row>
    <row r="4396" spans="1:26" ht="12.75" customHeight="1" x14ac:dyDescent="0.2">
      <c r="A4396" s="258"/>
      <c r="Z4396" s="258"/>
    </row>
    <row r="4397" spans="1:26" ht="12.75" customHeight="1" x14ac:dyDescent="0.2">
      <c r="A4397" s="258"/>
      <c r="Z4397" s="258"/>
    </row>
    <row r="4398" spans="1:26" ht="12.75" customHeight="1" x14ac:dyDescent="0.2">
      <c r="A4398" s="258"/>
      <c r="Z4398" s="258"/>
    </row>
    <row r="4399" spans="1:26" ht="12.75" customHeight="1" x14ac:dyDescent="0.2">
      <c r="A4399" s="258"/>
      <c r="Z4399" s="258"/>
    </row>
    <row r="4400" spans="1:26" ht="12.75" customHeight="1" x14ac:dyDescent="0.2">
      <c r="A4400" s="258"/>
      <c r="Z4400" s="258"/>
    </row>
    <row r="4401" spans="1:26" ht="12.75" customHeight="1" x14ac:dyDescent="0.2">
      <c r="A4401" s="258"/>
      <c r="Z4401" s="258"/>
    </row>
    <row r="4402" spans="1:26" ht="12.75" customHeight="1" x14ac:dyDescent="0.2">
      <c r="A4402" s="258"/>
      <c r="Z4402" s="258"/>
    </row>
    <row r="4403" spans="1:26" ht="12.75" customHeight="1" x14ac:dyDescent="0.2">
      <c r="A4403" s="258"/>
      <c r="Z4403" s="258"/>
    </row>
    <row r="4404" spans="1:26" ht="12.75" customHeight="1" x14ac:dyDescent="0.2">
      <c r="A4404" s="258"/>
      <c r="Z4404" s="258"/>
    </row>
    <row r="4405" spans="1:26" ht="12.75" customHeight="1" x14ac:dyDescent="0.2">
      <c r="A4405" s="258"/>
      <c r="Z4405" s="258"/>
    </row>
    <row r="4406" spans="1:26" ht="12.75" customHeight="1" x14ac:dyDescent="0.2">
      <c r="A4406" s="258"/>
      <c r="Z4406" s="258"/>
    </row>
    <row r="4407" spans="1:26" ht="12.75" customHeight="1" x14ac:dyDescent="0.2">
      <c r="A4407" s="258"/>
      <c r="Z4407" s="258"/>
    </row>
    <row r="4408" spans="1:26" ht="12.75" customHeight="1" x14ac:dyDescent="0.2">
      <c r="A4408" s="258"/>
      <c r="Z4408" s="258"/>
    </row>
    <row r="4409" spans="1:26" ht="12.75" customHeight="1" x14ac:dyDescent="0.2">
      <c r="A4409" s="258"/>
      <c r="Z4409" s="258"/>
    </row>
    <row r="4410" spans="1:26" ht="12.75" customHeight="1" x14ac:dyDescent="0.2">
      <c r="A4410" s="258"/>
      <c r="Z4410" s="258"/>
    </row>
    <row r="4411" spans="1:26" ht="12.75" customHeight="1" x14ac:dyDescent="0.2">
      <c r="A4411" s="258"/>
      <c r="Z4411" s="258"/>
    </row>
    <row r="4412" spans="1:26" ht="12.75" customHeight="1" x14ac:dyDescent="0.2">
      <c r="A4412" s="258"/>
      <c r="Z4412" s="258"/>
    </row>
    <row r="4413" spans="1:26" ht="12.75" customHeight="1" x14ac:dyDescent="0.2">
      <c r="A4413" s="258"/>
      <c r="Z4413" s="258"/>
    </row>
    <row r="4414" spans="1:26" ht="12.75" customHeight="1" x14ac:dyDescent="0.2">
      <c r="A4414" s="258"/>
      <c r="Z4414" s="258"/>
    </row>
    <row r="4415" spans="1:26" ht="12.75" customHeight="1" x14ac:dyDescent="0.2">
      <c r="A4415" s="258"/>
      <c r="Z4415" s="258"/>
    </row>
    <row r="4416" spans="1:26" ht="12.75" customHeight="1" x14ac:dyDescent="0.2">
      <c r="A4416" s="258"/>
      <c r="Z4416" s="258"/>
    </row>
    <row r="4417" spans="1:26" ht="12.75" customHeight="1" x14ac:dyDescent="0.2">
      <c r="A4417" s="258"/>
      <c r="Z4417" s="258"/>
    </row>
    <row r="4418" spans="1:26" ht="12.75" customHeight="1" x14ac:dyDescent="0.2">
      <c r="A4418" s="258"/>
      <c r="Z4418" s="258"/>
    </row>
    <row r="4419" spans="1:26" ht="12.75" customHeight="1" x14ac:dyDescent="0.2">
      <c r="A4419" s="258"/>
      <c r="Z4419" s="258"/>
    </row>
    <row r="4420" spans="1:26" ht="12.75" customHeight="1" x14ac:dyDescent="0.2">
      <c r="A4420" s="258"/>
      <c r="Z4420" s="258"/>
    </row>
    <row r="4421" spans="1:26" ht="12.75" customHeight="1" x14ac:dyDescent="0.2">
      <c r="A4421" s="258"/>
      <c r="Z4421" s="258"/>
    </row>
    <row r="4422" spans="1:26" ht="12.75" customHeight="1" x14ac:dyDescent="0.2">
      <c r="A4422" s="258"/>
      <c r="Z4422" s="258"/>
    </row>
    <row r="4423" spans="1:26" ht="12.75" customHeight="1" x14ac:dyDescent="0.2">
      <c r="A4423" s="258"/>
      <c r="Z4423" s="258"/>
    </row>
    <row r="4424" spans="1:26" ht="12.75" customHeight="1" x14ac:dyDescent="0.2">
      <c r="A4424" s="258"/>
      <c r="Z4424" s="258"/>
    </row>
    <row r="4425" spans="1:26" ht="12.75" customHeight="1" x14ac:dyDescent="0.2">
      <c r="A4425" s="258"/>
      <c r="Z4425" s="258"/>
    </row>
    <row r="4426" spans="1:26" ht="12.75" customHeight="1" x14ac:dyDescent="0.2">
      <c r="A4426" s="258"/>
      <c r="Z4426" s="258"/>
    </row>
    <row r="4427" spans="1:26" ht="12.75" customHeight="1" x14ac:dyDescent="0.2">
      <c r="A4427" s="258"/>
      <c r="Z4427" s="258"/>
    </row>
    <row r="4428" spans="1:26" ht="12.75" customHeight="1" x14ac:dyDescent="0.2">
      <c r="A4428" s="258"/>
      <c r="Z4428" s="258"/>
    </row>
    <row r="4429" spans="1:26" ht="12.75" customHeight="1" x14ac:dyDescent="0.2">
      <c r="A4429" s="258"/>
      <c r="Z4429" s="258"/>
    </row>
    <row r="4430" spans="1:26" ht="12.75" customHeight="1" x14ac:dyDescent="0.2">
      <c r="A4430" s="258"/>
      <c r="Z4430" s="258"/>
    </row>
    <row r="4431" spans="1:26" ht="12.75" customHeight="1" x14ac:dyDescent="0.2">
      <c r="A4431" s="258"/>
      <c r="Z4431" s="258"/>
    </row>
    <row r="4432" spans="1:26" ht="12.75" customHeight="1" x14ac:dyDescent="0.2">
      <c r="A4432" s="258"/>
      <c r="Z4432" s="258"/>
    </row>
    <row r="4433" spans="1:26" ht="12.75" customHeight="1" x14ac:dyDescent="0.2">
      <c r="A4433" s="258"/>
      <c r="Z4433" s="258"/>
    </row>
    <row r="4434" spans="1:26" ht="12.75" customHeight="1" x14ac:dyDescent="0.2">
      <c r="A4434" s="258"/>
      <c r="Z4434" s="258"/>
    </row>
    <row r="4435" spans="1:26" ht="12.75" customHeight="1" x14ac:dyDescent="0.2">
      <c r="A4435" s="258"/>
      <c r="Z4435" s="258"/>
    </row>
    <row r="4436" spans="1:26" ht="12.75" customHeight="1" x14ac:dyDescent="0.2">
      <c r="A4436" s="258"/>
      <c r="Z4436" s="258"/>
    </row>
    <row r="4437" spans="1:26" ht="12.75" customHeight="1" x14ac:dyDescent="0.2">
      <c r="A4437" s="258"/>
      <c r="Z4437" s="258"/>
    </row>
    <row r="4438" spans="1:26" ht="12.75" customHeight="1" x14ac:dyDescent="0.2">
      <c r="A4438" s="258"/>
      <c r="Z4438" s="258"/>
    </row>
    <row r="4439" spans="1:26" ht="12.75" customHeight="1" x14ac:dyDescent="0.2">
      <c r="A4439" s="258"/>
      <c r="Z4439" s="258"/>
    </row>
    <row r="4440" spans="1:26" ht="12.75" customHeight="1" x14ac:dyDescent="0.2">
      <c r="A4440" s="258"/>
      <c r="Z4440" s="258"/>
    </row>
    <row r="4441" spans="1:26" ht="12.75" customHeight="1" x14ac:dyDescent="0.2">
      <c r="A4441" s="258"/>
      <c r="Z4441" s="258"/>
    </row>
    <row r="4442" spans="1:26" ht="12.75" customHeight="1" x14ac:dyDescent="0.2">
      <c r="A4442" s="258"/>
      <c r="Z4442" s="258"/>
    </row>
    <row r="4443" spans="1:26" ht="12.75" customHeight="1" x14ac:dyDescent="0.2">
      <c r="A4443" s="258"/>
      <c r="Z4443" s="258"/>
    </row>
    <row r="4444" spans="1:26" ht="12.75" customHeight="1" x14ac:dyDescent="0.2">
      <c r="A4444" s="258"/>
      <c r="Z4444" s="258"/>
    </row>
    <row r="4445" spans="1:26" ht="12.75" customHeight="1" x14ac:dyDescent="0.2">
      <c r="A4445" s="258"/>
      <c r="Z4445" s="258"/>
    </row>
    <row r="4446" spans="1:26" ht="12.75" customHeight="1" x14ac:dyDescent="0.2">
      <c r="A4446" s="258"/>
      <c r="Z4446" s="258"/>
    </row>
    <row r="4447" spans="1:26" ht="12.75" customHeight="1" x14ac:dyDescent="0.2">
      <c r="A4447" s="258"/>
      <c r="Z4447" s="258"/>
    </row>
    <row r="4448" spans="1:26" ht="12.75" customHeight="1" x14ac:dyDescent="0.2">
      <c r="A4448" s="258"/>
      <c r="Z4448" s="258"/>
    </row>
    <row r="4449" spans="1:26" ht="12.75" customHeight="1" x14ac:dyDescent="0.2">
      <c r="A4449" s="258"/>
      <c r="Z4449" s="258"/>
    </row>
    <row r="4450" spans="1:26" ht="12.75" customHeight="1" x14ac:dyDescent="0.2">
      <c r="A4450" s="258"/>
      <c r="Z4450" s="258"/>
    </row>
    <row r="4451" spans="1:26" ht="12.75" customHeight="1" x14ac:dyDescent="0.2">
      <c r="A4451" s="258"/>
      <c r="Z4451" s="258"/>
    </row>
    <row r="4452" spans="1:26" ht="12.75" customHeight="1" x14ac:dyDescent="0.2">
      <c r="A4452" s="258"/>
      <c r="Z4452" s="258"/>
    </row>
    <row r="4453" spans="1:26" ht="12.75" customHeight="1" x14ac:dyDescent="0.2">
      <c r="A4453" s="258"/>
      <c r="Z4453" s="258"/>
    </row>
    <row r="4454" spans="1:26" ht="12.75" customHeight="1" x14ac:dyDescent="0.2">
      <c r="A4454" s="258"/>
      <c r="Z4454" s="258"/>
    </row>
    <row r="4455" spans="1:26" ht="12.75" customHeight="1" x14ac:dyDescent="0.2">
      <c r="A4455" s="258"/>
      <c r="Z4455" s="258"/>
    </row>
    <row r="4456" spans="1:26" ht="12.75" customHeight="1" x14ac:dyDescent="0.2">
      <c r="A4456" s="258"/>
      <c r="Z4456" s="258"/>
    </row>
    <row r="4457" spans="1:26" ht="12.75" customHeight="1" x14ac:dyDescent="0.2">
      <c r="A4457" s="258"/>
      <c r="Z4457" s="258"/>
    </row>
    <row r="4458" spans="1:26" ht="12.75" customHeight="1" x14ac:dyDescent="0.2">
      <c r="A4458" s="258"/>
      <c r="Z4458" s="258"/>
    </row>
    <row r="4459" spans="1:26" ht="12.75" customHeight="1" x14ac:dyDescent="0.2">
      <c r="A4459" s="258"/>
      <c r="Z4459" s="258"/>
    </row>
    <row r="4460" spans="1:26" ht="12.75" customHeight="1" x14ac:dyDescent="0.2">
      <c r="A4460" s="258"/>
      <c r="Z4460" s="258"/>
    </row>
    <row r="4461" spans="1:26" ht="12.75" customHeight="1" x14ac:dyDescent="0.2">
      <c r="A4461" s="258"/>
      <c r="Z4461" s="258"/>
    </row>
    <row r="4462" spans="1:26" ht="12.75" customHeight="1" x14ac:dyDescent="0.2">
      <c r="A4462" s="258"/>
      <c r="Z4462" s="258"/>
    </row>
    <row r="4463" spans="1:26" ht="12.75" customHeight="1" x14ac:dyDescent="0.2">
      <c r="A4463" s="258"/>
      <c r="Z4463" s="258"/>
    </row>
    <row r="4464" spans="1:26" ht="12.75" customHeight="1" x14ac:dyDescent="0.2">
      <c r="A4464" s="258"/>
      <c r="Z4464" s="258"/>
    </row>
    <row r="4465" spans="1:26" ht="12.75" customHeight="1" x14ac:dyDescent="0.2">
      <c r="A4465" s="258"/>
      <c r="Z4465" s="258"/>
    </row>
    <row r="4466" spans="1:26" ht="12.75" customHeight="1" x14ac:dyDescent="0.2">
      <c r="A4466" s="258"/>
      <c r="Z4466" s="258"/>
    </row>
    <row r="4467" spans="1:26" ht="12.75" customHeight="1" x14ac:dyDescent="0.2">
      <c r="A4467" s="258"/>
      <c r="Z4467" s="258"/>
    </row>
    <row r="4468" spans="1:26" ht="12.75" customHeight="1" x14ac:dyDescent="0.2">
      <c r="A4468" s="258"/>
      <c r="Z4468" s="258"/>
    </row>
    <row r="4469" spans="1:26" ht="12.75" customHeight="1" x14ac:dyDescent="0.2">
      <c r="A4469" s="258"/>
      <c r="Z4469" s="258"/>
    </row>
    <row r="4470" spans="1:26" ht="12.75" customHeight="1" x14ac:dyDescent="0.2">
      <c r="A4470" s="258"/>
      <c r="Z4470" s="258"/>
    </row>
    <row r="4471" spans="1:26" ht="12.75" customHeight="1" x14ac:dyDescent="0.2">
      <c r="A4471" s="258"/>
      <c r="Z4471" s="258"/>
    </row>
    <row r="4472" spans="1:26" ht="12.75" customHeight="1" x14ac:dyDescent="0.2">
      <c r="A4472" s="258"/>
      <c r="Z4472" s="258"/>
    </row>
    <row r="4473" spans="1:26" ht="12.75" customHeight="1" x14ac:dyDescent="0.2">
      <c r="A4473" s="258"/>
      <c r="Z4473" s="258"/>
    </row>
    <row r="4474" spans="1:26" ht="12.75" customHeight="1" x14ac:dyDescent="0.2">
      <c r="A4474" s="258"/>
      <c r="Z4474" s="258"/>
    </row>
    <row r="4475" spans="1:26" ht="12.75" customHeight="1" x14ac:dyDescent="0.2">
      <c r="A4475" s="258"/>
      <c r="Z4475" s="258"/>
    </row>
    <row r="4476" spans="1:26" ht="12.75" customHeight="1" x14ac:dyDescent="0.2">
      <c r="A4476" s="258"/>
      <c r="Z4476" s="258"/>
    </row>
    <row r="4477" spans="1:26" ht="12.75" customHeight="1" x14ac:dyDescent="0.2">
      <c r="A4477" s="258"/>
      <c r="Z4477" s="258"/>
    </row>
    <row r="4478" spans="1:26" ht="12.75" customHeight="1" x14ac:dyDescent="0.2">
      <c r="A4478" s="258"/>
      <c r="Z4478" s="258"/>
    </row>
    <row r="4479" spans="1:26" ht="12.75" customHeight="1" x14ac:dyDescent="0.2">
      <c r="A4479" s="258"/>
      <c r="Z4479" s="258"/>
    </row>
    <row r="4480" spans="1:26" ht="12.75" customHeight="1" x14ac:dyDescent="0.2">
      <c r="A4480" s="258"/>
      <c r="Z4480" s="258"/>
    </row>
    <row r="4481" spans="1:26" ht="12.75" customHeight="1" x14ac:dyDescent="0.2">
      <c r="A4481" s="258"/>
      <c r="Z4481" s="258"/>
    </row>
    <row r="4482" spans="1:26" ht="12.75" customHeight="1" x14ac:dyDescent="0.2">
      <c r="A4482" s="258"/>
      <c r="Z4482" s="258"/>
    </row>
    <row r="4483" spans="1:26" ht="12.75" customHeight="1" x14ac:dyDescent="0.2">
      <c r="A4483" s="258"/>
      <c r="Z4483" s="258"/>
    </row>
    <row r="4484" spans="1:26" ht="12.75" customHeight="1" x14ac:dyDescent="0.2">
      <c r="A4484" s="258"/>
      <c r="Z4484" s="258"/>
    </row>
    <row r="4485" spans="1:26" ht="12.75" customHeight="1" x14ac:dyDescent="0.2">
      <c r="A4485" s="258"/>
      <c r="Z4485" s="258"/>
    </row>
    <row r="4486" spans="1:26" ht="12.75" customHeight="1" x14ac:dyDescent="0.2">
      <c r="A4486" s="258"/>
      <c r="Z4486" s="258"/>
    </row>
    <row r="4487" spans="1:26" ht="12.75" customHeight="1" x14ac:dyDescent="0.2">
      <c r="A4487" s="258"/>
      <c r="Z4487" s="258"/>
    </row>
    <row r="4488" spans="1:26" ht="12.75" customHeight="1" x14ac:dyDescent="0.2">
      <c r="A4488" s="258"/>
      <c r="Z4488" s="258"/>
    </row>
    <row r="4489" spans="1:26" ht="12.75" customHeight="1" x14ac:dyDescent="0.2">
      <c r="A4489" s="258"/>
      <c r="Z4489" s="258"/>
    </row>
    <row r="4490" spans="1:26" ht="12.75" customHeight="1" x14ac:dyDescent="0.2">
      <c r="A4490" s="258"/>
      <c r="Z4490" s="258"/>
    </row>
    <row r="4491" spans="1:26" ht="12.75" customHeight="1" x14ac:dyDescent="0.2">
      <c r="A4491" s="258"/>
      <c r="Z4491" s="258"/>
    </row>
    <row r="4492" spans="1:26" ht="12.75" customHeight="1" x14ac:dyDescent="0.2">
      <c r="A4492" s="258"/>
      <c r="Z4492" s="258"/>
    </row>
    <row r="4493" spans="1:26" ht="12.75" customHeight="1" x14ac:dyDescent="0.2">
      <c r="A4493" s="258"/>
      <c r="Z4493" s="258"/>
    </row>
    <row r="4494" spans="1:26" ht="12.75" customHeight="1" x14ac:dyDescent="0.2">
      <c r="A4494" s="258"/>
      <c r="Z4494" s="258"/>
    </row>
    <row r="4495" spans="1:26" ht="12.75" customHeight="1" x14ac:dyDescent="0.2">
      <c r="A4495" s="258"/>
      <c r="Z4495" s="258"/>
    </row>
    <row r="4496" spans="1:26" ht="12.75" customHeight="1" x14ac:dyDescent="0.2">
      <c r="A4496" s="258"/>
      <c r="Z4496" s="258"/>
    </row>
    <row r="4497" spans="1:26" ht="12.75" customHeight="1" x14ac:dyDescent="0.2">
      <c r="A4497" s="258"/>
      <c r="Z4497" s="258"/>
    </row>
    <row r="4498" spans="1:26" ht="12.75" customHeight="1" x14ac:dyDescent="0.2">
      <c r="A4498" s="258"/>
      <c r="Z4498" s="258"/>
    </row>
    <row r="4499" spans="1:26" ht="12.75" customHeight="1" x14ac:dyDescent="0.2">
      <c r="A4499" s="258"/>
      <c r="Z4499" s="258"/>
    </row>
    <row r="4500" spans="1:26" ht="12.75" customHeight="1" x14ac:dyDescent="0.2">
      <c r="A4500" s="258"/>
      <c r="Z4500" s="258"/>
    </row>
    <row r="4501" spans="1:26" ht="12.75" customHeight="1" x14ac:dyDescent="0.2">
      <c r="A4501" s="258"/>
      <c r="Z4501" s="258"/>
    </row>
    <row r="4502" spans="1:26" ht="12.75" customHeight="1" x14ac:dyDescent="0.2">
      <c r="A4502" s="258"/>
      <c r="Z4502" s="258"/>
    </row>
    <row r="4503" spans="1:26" ht="12.75" customHeight="1" x14ac:dyDescent="0.2">
      <c r="A4503" s="258"/>
      <c r="Z4503" s="258"/>
    </row>
    <row r="4504" spans="1:26" ht="12.75" customHeight="1" x14ac:dyDescent="0.2">
      <c r="A4504" s="258"/>
      <c r="Z4504" s="258"/>
    </row>
    <row r="4505" spans="1:26" ht="12.75" customHeight="1" x14ac:dyDescent="0.2">
      <c r="A4505" s="258"/>
      <c r="Z4505" s="258"/>
    </row>
    <row r="4506" spans="1:26" ht="12.75" customHeight="1" x14ac:dyDescent="0.2">
      <c r="A4506" s="258"/>
      <c r="Z4506" s="258"/>
    </row>
    <row r="4507" spans="1:26" ht="12.75" customHeight="1" x14ac:dyDescent="0.2">
      <c r="A4507" s="258"/>
      <c r="Z4507" s="258"/>
    </row>
    <row r="4508" spans="1:26" ht="12.75" customHeight="1" x14ac:dyDescent="0.2">
      <c r="A4508" s="258"/>
      <c r="Z4508" s="258"/>
    </row>
    <row r="4509" spans="1:26" ht="12.75" customHeight="1" x14ac:dyDescent="0.2">
      <c r="A4509" s="258"/>
      <c r="Z4509" s="258"/>
    </row>
    <row r="4510" spans="1:26" ht="12.75" customHeight="1" x14ac:dyDescent="0.2">
      <c r="A4510" s="258"/>
      <c r="Z4510" s="258"/>
    </row>
    <row r="4511" spans="1:26" ht="12.75" customHeight="1" x14ac:dyDescent="0.2">
      <c r="A4511" s="258"/>
      <c r="Z4511" s="258"/>
    </row>
    <row r="4512" spans="1:26" ht="12.75" customHeight="1" x14ac:dyDescent="0.2">
      <c r="A4512" s="258"/>
      <c r="Z4512" s="258"/>
    </row>
    <row r="4513" spans="1:26" ht="12.75" customHeight="1" x14ac:dyDescent="0.2">
      <c r="A4513" s="258"/>
      <c r="Z4513" s="258"/>
    </row>
    <row r="4514" spans="1:26" ht="12.75" customHeight="1" x14ac:dyDescent="0.2">
      <c r="A4514" s="258"/>
      <c r="Z4514" s="258"/>
    </row>
    <row r="4515" spans="1:26" ht="12.75" customHeight="1" x14ac:dyDescent="0.2">
      <c r="A4515" s="258"/>
      <c r="Z4515" s="258"/>
    </row>
    <row r="4516" spans="1:26" ht="12.75" customHeight="1" x14ac:dyDescent="0.2">
      <c r="A4516" s="258"/>
      <c r="Z4516" s="258"/>
    </row>
    <row r="4517" spans="1:26" ht="12.75" customHeight="1" x14ac:dyDescent="0.2">
      <c r="A4517" s="258"/>
      <c r="Z4517" s="258"/>
    </row>
    <row r="4518" spans="1:26" ht="12.75" customHeight="1" x14ac:dyDescent="0.2">
      <c r="A4518" s="258"/>
      <c r="Z4518" s="258"/>
    </row>
    <row r="4519" spans="1:26" ht="12.75" customHeight="1" x14ac:dyDescent="0.2">
      <c r="A4519" s="258"/>
      <c r="Z4519" s="258"/>
    </row>
    <row r="4520" spans="1:26" ht="12.75" customHeight="1" x14ac:dyDescent="0.2">
      <c r="A4520" s="258"/>
      <c r="Z4520" s="258"/>
    </row>
    <row r="4521" spans="1:26" ht="12.75" customHeight="1" x14ac:dyDescent="0.2">
      <c r="A4521" s="258"/>
      <c r="Z4521" s="258"/>
    </row>
    <row r="4522" spans="1:26" ht="12.75" customHeight="1" x14ac:dyDescent="0.2">
      <c r="A4522" s="258"/>
      <c r="Z4522" s="258"/>
    </row>
    <row r="4523" spans="1:26" ht="12.75" customHeight="1" x14ac:dyDescent="0.2">
      <c r="A4523" s="258"/>
      <c r="Z4523" s="258"/>
    </row>
    <row r="4524" spans="1:26" ht="12.75" customHeight="1" x14ac:dyDescent="0.2">
      <c r="A4524" s="258"/>
      <c r="Z4524" s="258"/>
    </row>
    <row r="4525" spans="1:26" ht="12.75" customHeight="1" x14ac:dyDescent="0.2">
      <c r="A4525" s="258"/>
      <c r="Z4525" s="258"/>
    </row>
    <row r="4526" spans="1:26" ht="12.75" customHeight="1" x14ac:dyDescent="0.2">
      <c r="A4526" s="258"/>
      <c r="Z4526" s="258"/>
    </row>
    <row r="4527" spans="1:26" ht="12.75" customHeight="1" x14ac:dyDescent="0.2">
      <c r="A4527" s="258"/>
      <c r="Z4527" s="258"/>
    </row>
    <row r="4528" spans="1:26" ht="12.75" customHeight="1" x14ac:dyDescent="0.2">
      <c r="A4528" s="258"/>
      <c r="Z4528" s="258"/>
    </row>
    <row r="4529" spans="1:26" ht="12.75" customHeight="1" x14ac:dyDescent="0.2">
      <c r="A4529" s="258"/>
      <c r="Z4529" s="258"/>
    </row>
    <row r="4530" spans="1:26" ht="12.75" customHeight="1" x14ac:dyDescent="0.2">
      <c r="A4530" s="258"/>
      <c r="Z4530" s="258"/>
    </row>
    <row r="4531" spans="1:26" ht="12.75" customHeight="1" x14ac:dyDescent="0.2">
      <c r="A4531" s="258"/>
      <c r="Z4531" s="258"/>
    </row>
    <row r="4532" spans="1:26" ht="12.75" customHeight="1" x14ac:dyDescent="0.2">
      <c r="A4532" s="258"/>
      <c r="Z4532" s="258"/>
    </row>
    <row r="4533" spans="1:26" ht="12.75" customHeight="1" x14ac:dyDescent="0.2">
      <c r="A4533" s="258"/>
      <c r="Z4533" s="258"/>
    </row>
    <row r="4534" spans="1:26" ht="12.75" customHeight="1" x14ac:dyDescent="0.2">
      <c r="A4534" s="258"/>
      <c r="Z4534" s="258"/>
    </row>
    <row r="4535" spans="1:26" ht="12.75" customHeight="1" x14ac:dyDescent="0.2">
      <c r="A4535" s="258"/>
      <c r="Z4535" s="258"/>
    </row>
    <row r="4536" spans="1:26" ht="12.75" customHeight="1" x14ac:dyDescent="0.2">
      <c r="A4536" s="258"/>
      <c r="Z4536" s="258"/>
    </row>
    <row r="4537" spans="1:26" ht="12.75" customHeight="1" x14ac:dyDescent="0.2">
      <c r="A4537" s="258"/>
      <c r="Z4537" s="258"/>
    </row>
    <row r="4538" spans="1:26" ht="12.75" customHeight="1" x14ac:dyDescent="0.2">
      <c r="A4538" s="258"/>
      <c r="Z4538" s="258"/>
    </row>
    <row r="4539" spans="1:26" ht="12.75" customHeight="1" x14ac:dyDescent="0.2">
      <c r="A4539" s="258"/>
      <c r="Z4539" s="258"/>
    </row>
    <row r="4540" spans="1:26" ht="12.75" customHeight="1" x14ac:dyDescent="0.2">
      <c r="A4540" s="258"/>
      <c r="Z4540" s="258"/>
    </row>
    <row r="4541" spans="1:26" ht="12.75" customHeight="1" x14ac:dyDescent="0.2">
      <c r="A4541" s="258"/>
      <c r="Z4541" s="258"/>
    </row>
    <row r="4542" spans="1:26" ht="12.75" customHeight="1" x14ac:dyDescent="0.2">
      <c r="A4542" s="258"/>
      <c r="Z4542" s="258"/>
    </row>
    <row r="4543" spans="1:26" ht="12.75" customHeight="1" x14ac:dyDescent="0.2">
      <c r="A4543" s="258"/>
      <c r="Z4543" s="258"/>
    </row>
    <row r="4544" spans="1:26" ht="12.75" customHeight="1" x14ac:dyDescent="0.2">
      <c r="A4544" s="258"/>
      <c r="Z4544" s="258"/>
    </row>
    <row r="4545" spans="1:26" ht="12.75" customHeight="1" x14ac:dyDescent="0.2">
      <c r="A4545" s="258"/>
      <c r="Z4545" s="258"/>
    </row>
    <row r="4546" spans="1:26" ht="12.75" customHeight="1" x14ac:dyDescent="0.2">
      <c r="A4546" s="258"/>
      <c r="Z4546" s="258"/>
    </row>
    <row r="4547" spans="1:26" ht="12.75" customHeight="1" x14ac:dyDescent="0.2">
      <c r="A4547" s="258"/>
      <c r="Z4547" s="258"/>
    </row>
    <row r="4548" spans="1:26" ht="12.75" customHeight="1" x14ac:dyDescent="0.2">
      <c r="A4548" s="258"/>
      <c r="Z4548" s="258"/>
    </row>
    <row r="4549" spans="1:26" ht="12.75" customHeight="1" x14ac:dyDescent="0.2">
      <c r="A4549" s="258"/>
      <c r="Z4549" s="258"/>
    </row>
    <row r="4550" spans="1:26" ht="12.75" customHeight="1" x14ac:dyDescent="0.2">
      <c r="A4550" s="258"/>
      <c r="Z4550" s="258"/>
    </row>
    <row r="4551" spans="1:26" ht="12.75" customHeight="1" x14ac:dyDescent="0.2">
      <c r="A4551" s="258"/>
      <c r="Z4551" s="258"/>
    </row>
    <row r="4552" spans="1:26" ht="12.75" customHeight="1" x14ac:dyDescent="0.2">
      <c r="A4552" s="258"/>
      <c r="Z4552" s="258"/>
    </row>
    <row r="4553" spans="1:26" ht="12.75" customHeight="1" x14ac:dyDescent="0.2">
      <c r="A4553" s="258"/>
      <c r="Z4553" s="258"/>
    </row>
    <row r="4554" spans="1:26" ht="12.75" customHeight="1" x14ac:dyDescent="0.2">
      <c r="A4554" s="258"/>
      <c r="Z4554" s="258"/>
    </row>
    <row r="4555" spans="1:26" ht="12.75" customHeight="1" x14ac:dyDescent="0.2">
      <c r="A4555" s="258"/>
      <c r="Z4555" s="258"/>
    </row>
    <row r="4556" spans="1:26" ht="12.75" customHeight="1" x14ac:dyDescent="0.2">
      <c r="A4556" s="258"/>
      <c r="Z4556" s="258"/>
    </row>
    <row r="4557" spans="1:26" ht="12.75" customHeight="1" x14ac:dyDescent="0.2">
      <c r="A4557" s="258"/>
      <c r="Z4557" s="258"/>
    </row>
    <row r="4558" spans="1:26" ht="12.75" customHeight="1" x14ac:dyDescent="0.2">
      <c r="A4558" s="258"/>
      <c r="Z4558" s="258"/>
    </row>
    <row r="4559" spans="1:26" ht="12.75" customHeight="1" x14ac:dyDescent="0.2">
      <c r="A4559" s="258"/>
      <c r="Z4559" s="258"/>
    </row>
    <row r="4560" spans="1:26" ht="12.75" customHeight="1" x14ac:dyDescent="0.2">
      <c r="A4560" s="258"/>
      <c r="Z4560" s="258"/>
    </row>
    <row r="4561" spans="1:26" ht="12.75" customHeight="1" x14ac:dyDescent="0.2">
      <c r="A4561" s="258"/>
      <c r="Z4561" s="258"/>
    </row>
    <row r="4562" spans="1:26" ht="12.75" customHeight="1" x14ac:dyDescent="0.2">
      <c r="A4562" s="258"/>
      <c r="Z4562" s="258"/>
    </row>
    <row r="4563" spans="1:26" ht="12.75" customHeight="1" x14ac:dyDescent="0.2">
      <c r="A4563" s="258"/>
      <c r="Z4563" s="258"/>
    </row>
    <row r="4564" spans="1:26" ht="12.75" customHeight="1" x14ac:dyDescent="0.2">
      <c r="A4564" s="258"/>
      <c r="Z4564" s="258"/>
    </row>
    <row r="4565" spans="1:26" ht="12.75" customHeight="1" x14ac:dyDescent="0.2">
      <c r="A4565" s="258"/>
      <c r="Z4565" s="258"/>
    </row>
    <row r="4566" spans="1:26" ht="12.75" customHeight="1" x14ac:dyDescent="0.2">
      <c r="A4566" s="258"/>
      <c r="Z4566" s="258"/>
    </row>
    <row r="4567" spans="1:26" ht="12.75" customHeight="1" x14ac:dyDescent="0.2">
      <c r="A4567" s="258"/>
      <c r="Z4567" s="258"/>
    </row>
    <row r="4568" spans="1:26" ht="12.75" customHeight="1" x14ac:dyDescent="0.2">
      <c r="A4568" s="258"/>
      <c r="Z4568" s="258"/>
    </row>
    <row r="4569" spans="1:26" ht="12.75" customHeight="1" x14ac:dyDescent="0.2">
      <c r="A4569" s="258"/>
      <c r="Z4569" s="258"/>
    </row>
    <row r="4570" spans="1:26" ht="12.75" customHeight="1" x14ac:dyDescent="0.2">
      <c r="A4570" s="258"/>
      <c r="Z4570" s="258"/>
    </row>
    <row r="4571" spans="1:26" ht="12.75" customHeight="1" x14ac:dyDescent="0.2">
      <c r="A4571" s="258"/>
      <c r="Z4571" s="258"/>
    </row>
    <row r="4572" spans="1:26" ht="12.75" customHeight="1" x14ac:dyDescent="0.2">
      <c r="A4572" s="258"/>
      <c r="Z4572" s="258"/>
    </row>
    <row r="4573" spans="1:26" ht="12.75" customHeight="1" x14ac:dyDescent="0.2">
      <c r="A4573" s="258"/>
      <c r="Z4573" s="258"/>
    </row>
    <row r="4574" spans="1:26" ht="12.75" customHeight="1" x14ac:dyDescent="0.2">
      <c r="A4574" s="258"/>
      <c r="Z4574" s="258"/>
    </row>
    <row r="4575" spans="1:26" ht="12.75" customHeight="1" x14ac:dyDescent="0.2">
      <c r="A4575" s="258"/>
      <c r="Z4575" s="258"/>
    </row>
    <row r="4576" spans="1:26" ht="12.75" customHeight="1" x14ac:dyDescent="0.2">
      <c r="A4576" s="258"/>
      <c r="Z4576" s="258"/>
    </row>
    <row r="4577" spans="1:26" ht="12.75" customHeight="1" x14ac:dyDescent="0.2">
      <c r="A4577" s="258"/>
      <c r="Z4577" s="258"/>
    </row>
    <row r="4578" spans="1:26" ht="12.75" customHeight="1" x14ac:dyDescent="0.2">
      <c r="A4578" s="258"/>
      <c r="Z4578" s="258"/>
    </row>
    <row r="4579" spans="1:26" ht="12.75" customHeight="1" x14ac:dyDescent="0.2">
      <c r="A4579" s="258"/>
      <c r="Z4579" s="258"/>
    </row>
    <row r="4580" spans="1:26" ht="12.75" customHeight="1" x14ac:dyDescent="0.2">
      <c r="A4580" s="258"/>
      <c r="Z4580" s="258"/>
    </row>
    <row r="4581" spans="1:26" ht="12.75" customHeight="1" x14ac:dyDescent="0.2">
      <c r="A4581" s="258"/>
      <c r="Z4581" s="258"/>
    </row>
    <row r="4582" spans="1:26" ht="12.75" customHeight="1" x14ac:dyDescent="0.2">
      <c r="A4582" s="258"/>
      <c r="Z4582" s="258"/>
    </row>
    <row r="4583" spans="1:26" ht="12.75" customHeight="1" x14ac:dyDescent="0.2">
      <c r="A4583" s="258"/>
      <c r="Z4583" s="258"/>
    </row>
    <row r="4584" spans="1:26" ht="12.75" customHeight="1" x14ac:dyDescent="0.2">
      <c r="A4584" s="258"/>
      <c r="Z4584" s="258"/>
    </row>
    <row r="4585" spans="1:26" ht="12.75" customHeight="1" x14ac:dyDescent="0.2">
      <c r="A4585" s="258"/>
      <c r="Z4585" s="258"/>
    </row>
    <row r="4586" spans="1:26" ht="12.75" customHeight="1" x14ac:dyDescent="0.2">
      <c r="A4586" s="258"/>
      <c r="Z4586" s="258"/>
    </row>
    <row r="4587" spans="1:26" ht="12.75" customHeight="1" x14ac:dyDescent="0.2">
      <c r="A4587" s="258"/>
      <c r="Z4587" s="258"/>
    </row>
    <row r="4588" spans="1:26" ht="12.75" customHeight="1" x14ac:dyDescent="0.2">
      <c r="A4588" s="258"/>
      <c r="Z4588" s="258"/>
    </row>
    <row r="4589" spans="1:26" ht="12.75" customHeight="1" x14ac:dyDescent="0.2">
      <c r="A4589" s="258"/>
      <c r="Z4589" s="258"/>
    </row>
    <row r="4590" spans="1:26" ht="12.75" customHeight="1" x14ac:dyDescent="0.2">
      <c r="A4590" s="258"/>
      <c r="Z4590" s="258"/>
    </row>
    <row r="4591" spans="1:26" ht="12.75" customHeight="1" x14ac:dyDescent="0.2">
      <c r="A4591" s="258"/>
      <c r="Z4591" s="258"/>
    </row>
    <row r="4592" spans="1:26" ht="12.75" customHeight="1" x14ac:dyDescent="0.2">
      <c r="A4592" s="258"/>
      <c r="Z4592" s="258"/>
    </row>
    <row r="4593" spans="1:26" ht="12.75" customHeight="1" x14ac:dyDescent="0.2">
      <c r="A4593" s="258"/>
      <c r="Z4593" s="258"/>
    </row>
    <row r="4594" spans="1:26" ht="12.75" customHeight="1" x14ac:dyDescent="0.2">
      <c r="A4594" s="258"/>
      <c r="Z4594" s="258"/>
    </row>
    <row r="4595" spans="1:26" ht="12.75" customHeight="1" x14ac:dyDescent="0.2">
      <c r="A4595" s="258"/>
      <c r="Z4595" s="258"/>
    </row>
    <row r="4596" spans="1:26" ht="12.75" customHeight="1" x14ac:dyDescent="0.2">
      <c r="A4596" s="258"/>
      <c r="Z4596" s="258"/>
    </row>
    <row r="4597" spans="1:26" ht="12.75" customHeight="1" x14ac:dyDescent="0.2">
      <c r="A4597" s="258"/>
      <c r="Z4597" s="258"/>
    </row>
    <row r="4598" spans="1:26" ht="12.75" customHeight="1" x14ac:dyDescent="0.2">
      <c r="A4598" s="258"/>
      <c r="Z4598" s="258"/>
    </row>
    <row r="4599" spans="1:26" ht="12.75" customHeight="1" x14ac:dyDescent="0.2">
      <c r="A4599" s="258"/>
      <c r="Z4599" s="258"/>
    </row>
    <row r="4600" spans="1:26" ht="12.75" customHeight="1" x14ac:dyDescent="0.2">
      <c r="A4600" s="258"/>
      <c r="Z4600" s="258"/>
    </row>
    <row r="4601" spans="1:26" ht="12.75" customHeight="1" x14ac:dyDescent="0.2">
      <c r="A4601" s="258"/>
      <c r="Z4601" s="258"/>
    </row>
    <row r="4602" spans="1:26" ht="12.75" customHeight="1" x14ac:dyDescent="0.2">
      <c r="A4602" s="258"/>
      <c r="Z4602" s="258"/>
    </row>
    <row r="4603" spans="1:26" ht="12.75" customHeight="1" x14ac:dyDescent="0.2">
      <c r="A4603" s="258"/>
      <c r="Z4603" s="258"/>
    </row>
    <row r="4604" spans="1:26" ht="12.75" customHeight="1" x14ac:dyDescent="0.2">
      <c r="A4604" s="258"/>
      <c r="Z4604" s="258"/>
    </row>
    <row r="4605" spans="1:26" ht="12.75" customHeight="1" x14ac:dyDescent="0.2">
      <c r="A4605" s="258"/>
      <c r="Z4605" s="258"/>
    </row>
    <row r="4606" spans="1:26" ht="12.75" customHeight="1" x14ac:dyDescent="0.2">
      <c r="A4606" s="258"/>
      <c r="Z4606" s="258"/>
    </row>
    <row r="4607" spans="1:26" ht="12.75" customHeight="1" x14ac:dyDescent="0.2">
      <c r="A4607" s="258"/>
      <c r="Z4607" s="258"/>
    </row>
    <row r="4608" spans="1:26" ht="12.75" customHeight="1" x14ac:dyDescent="0.2">
      <c r="A4608" s="258"/>
      <c r="Z4608" s="258"/>
    </row>
    <row r="4609" spans="1:26" ht="12.75" customHeight="1" x14ac:dyDescent="0.2">
      <c r="A4609" s="258"/>
      <c r="Z4609" s="258"/>
    </row>
    <row r="4610" spans="1:26" ht="12.75" customHeight="1" x14ac:dyDescent="0.2">
      <c r="A4610" s="258"/>
      <c r="Z4610" s="258"/>
    </row>
    <row r="4611" spans="1:26" ht="12.75" customHeight="1" x14ac:dyDescent="0.2">
      <c r="A4611" s="258"/>
      <c r="Z4611" s="258"/>
    </row>
    <row r="4612" spans="1:26" ht="12.75" customHeight="1" x14ac:dyDescent="0.2">
      <c r="A4612" s="258"/>
      <c r="Z4612" s="258"/>
    </row>
    <row r="4613" spans="1:26" ht="12.75" customHeight="1" x14ac:dyDescent="0.2">
      <c r="A4613" s="258"/>
      <c r="Z4613" s="258"/>
    </row>
    <row r="4614" spans="1:26" ht="12.75" customHeight="1" x14ac:dyDescent="0.2">
      <c r="A4614" s="258"/>
      <c r="Z4614" s="258"/>
    </row>
    <row r="4615" spans="1:26" ht="12.75" customHeight="1" x14ac:dyDescent="0.2">
      <c r="A4615" s="258"/>
      <c r="Z4615" s="258"/>
    </row>
    <row r="4616" spans="1:26" ht="12.75" customHeight="1" x14ac:dyDescent="0.2">
      <c r="A4616" s="258"/>
      <c r="Z4616" s="258"/>
    </row>
    <row r="4617" spans="1:26" ht="12.75" customHeight="1" x14ac:dyDescent="0.2">
      <c r="A4617" s="258"/>
      <c r="Z4617" s="258"/>
    </row>
    <row r="4618" spans="1:26" ht="12.75" customHeight="1" x14ac:dyDescent="0.2">
      <c r="A4618" s="258"/>
      <c r="Z4618" s="258"/>
    </row>
    <row r="4619" spans="1:26" ht="12.75" customHeight="1" x14ac:dyDescent="0.2">
      <c r="A4619" s="258"/>
      <c r="Z4619" s="258"/>
    </row>
    <row r="4620" spans="1:26" ht="12.75" customHeight="1" x14ac:dyDescent="0.2">
      <c r="A4620" s="258"/>
      <c r="Z4620" s="258"/>
    </row>
    <row r="4621" spans="1:26" ht="12.75" customHeight="1" x14ac:dyDescent="0.2">
      <c r="A4621" s="258"/>
      <c r="Z4621" s="258"/>
    </row>
    <row r="4622" spans="1:26" ht="12.75" customHeight="1" x14ac:dyDescent="0.2">
      <c r="A4622" s="258"/>
      <c r="Z4622" s="258"/>
    </row>
    <row r="4623" spans="1:26" ht="12.75" customHeight="1" x14ac:dyDescent="0.2">
      <c r="A4623" s="258"/>
      <c r="Z4623" s="258"/>
    </row>
    <row r="4624" spans="1:26" ht="12.75" customHeight="1" x14ac:dyDescent="0.2">
      <c r="A4624" s="258"/>
      <c r="Z4624" s="258"/>
    </row>
    <row r="4625" spans="1:26" ht="12.75" customHeight="1" x14ac:dyDescent="0.2">
      <c r="A4625" s="258"/>
      <c r="Z4625" s="258"/>
    </row>
    <row r="4626" spans="1:26" ht="12.75" customHeight="1" x14ac:dyDescent="0.2">
      <c r="A4626" s="258"/>
      <c r="Z4626" s="258"/>
    </row>
    <row r="4627" spans="1:26" ht="12.75" customHeight="1" x14ac:dyDescent="0.2">
      <c r="A4627" s="258"/>
      <c r="Z4627" s="258"/>
    </row>
    <row r="4628" spans="1:26" ht="12.75" customHeight="1" x14ac:dyDescent="0.2">
      <c r="A4628" s="258"/>
      <c r="Z4628" s="258"/>
    </row>
    <row r="4629" spans="1:26" ht="12.75" customHeight="1" x14ac:dyDescent="0.2">
      <c r="A4629" s="258"/>
      <c r="Z4629" s="258"/>
    </row>
    <row r="4630" spans="1:26" ht="12.75" customHeight="1" x14ac:dyDescent="0.2">
      <c r="A4630" s="258"/>
      <c r="Z4630" s="258"/>
    </row>
    <row r="4631" spans="1:26" ht="12.75" customHeight="1" x14ac:dyDescent="0.2">
      <c r="A4631" s="258"/>
      <c r="Z4631" s="258"/>
    </row>
    <row r="4632" spans="1:26" ht="12.75" customHeight="1" x14ac:dyDescent="0.2">
      <c r="A4632" s="258"/>
      <c r="Z4632" s="258"/>
    </row>
    <row r="4633" spans="1:26" ht="12.75" customHeight="1" x14ac:dyDescent="0.2">
      <c r="A4633" s="258"/>
      <c r="Z4633" s="258"/>
    </row>
    <row r="4634" spans="1:26" ht="12.75" customHeight="1" x14ac:dyDescent="0.2">
      <c r="A4634" s="258"/>
      <c r="Z4634" s="258"/>
    </row>
    <row r="4635" spans="1:26" ht="12.75" customHeight="1" x14ac:dyDescent="0.2">
      <c r="A4635" s="258"/>
      <c r="Z4635" s="258"/>
    </row>
    <row r="4636" spans="1:26" ht="12.75" customHeight="1" x14ac:dyDescent="0.2">
      <c r="A4636" s="258"/>
      <c r="Z4636" s="258"/>
    </row>
    <row r="4637" spans="1:26" ht="12.75" customHeight="1" x14ac:dyDescent="0.2">
      <c r="A4637" s="258"/>
      <c r="Z4637" s="258"/>
    </row>
    <row r="4638" spans="1:26" ht="12.75" customHeight="1" x14ac:dyDescent="0.2">
      <c r="A4638" s="258"/>
      <c r="Z4638" s="258"/>
    </row>
    <row r="4639" spans="1:26" ht="12.75" customHeight="1" x14ac:dyDescent="0.2">
      <c r="A4639" s="258"/>
      <c r="Z4639" s="258"/>
    </row>
    <row r="4640" spans="1:26" ht="12.75" customHeight="1" x14ac:dyDescent="0.2">
      <c r="A4640" s="258"/>
      <c r="Z4640" s="258"/>
    </row>
    <row r="4641" spans="1:26" ht="12.75" customHeight="1" x14ac:dyDescent="0.2">
      <c r="A4641" s="258"/>
      <c r="Z4641" s="258"/>
    </row>
    <row r="4642" spans="1:26" ht="12.75" customHeight="1" x14ac:dyDescent="0.2">
      <c r="A4642" s="258"/>
      <c r="Z4642" s="258"/>
    </row>
    <row r="4643" spans="1:26" ht="12.75" customHeight="1" x14ac:dyDescent="0.2">
      <c r="A4643" s="258"/>
      <c r="Z4643" s="258"/>
    </row>
    <row r="4644" spans="1:26" ht="12.75" customHeight="1" x14ac:dyDescent="0.2">
      <c r="A4644" s="258"/>
      <c r="Z4644" s="258"/>
    </row>
    <row r="4645" spans="1:26" ht="12.75" customHeight="1" x14ac:dyDescent="0.2">
      <c r="A4645" s="258"/>
      <c r="Z4645" s="258"/>
    </row>
    <row r="4646" spans="1:26" ht="12.75" customHeight="1" x14ac:dyDescent="0.2">
      <c r="A4646" s="258"/>
      <c r="Z4646" s="258"/>
    </row>
    <row r="4647" spans="1:26" ht="12.75" customHeight="1" x14ac:dyDescent="0.2">
      <c r="A4647" s="258"/>
      <c r="Z4647" s="258"/>
    </row>
    <row r="4648" spans="1:26" ht="12.75" customHeight="1" x14ac:dyDescent="0.2">
      <c r="A4648" s="258"/>
      <c r="Z4648" s="258"/>
    </row>
    <row r="4649" spans="1:26" ht="12.75" customHeight="1" x14ac:dyDescent="0.2">
      <c r="A4649" s="258"/>
      <c r="Z4649" s="258"/>
    </row>
    <row r="4650" spans="1:26" ht="12.75" customHeight="1" x14ac:dyDescent="0.2">
      <c r="A4650" s="258"/>
      <c r="Z4650" s="258"/>
    </row>
    <row r="4651" spans="1:26" ht="12.75" customHeight="1" x14ac:dyDescent="0.2">
      <c r="A4651" s="258"/>
      <c r="Z4651" s="258"/>
    </row>
    <row r="4652" spans="1:26" ht="12.75" customHeight="1" x14ac:dyDescent="0.2">
      <c r="A4652" s="258"/>
      <c r="Z4652" s="258"/>
    </row>
    <row r="4653" spans="1:26" ht="12.75" customHeight="1" x14ac:dyDescent="0.2">
      <c r="A4653" s="258"/>
      <c r="Z4653" s="258"/>
    </row>
    <row r="4654" spans="1:26" ht="12.75" customHeight="1" x14ac:dyDescent="0.2">
      <c r="A4654" s="258"/>
      <c r="Z4654" s="258"/>
    </row>
    <row r="4655" spans="1:26" ht="12.75" customHeight="1" x14ac:dyDescent="0.2">
      <c r="A4655" s="258"/>
      <c r="Z4655" s="258"/>
    </row>
    <row r="4656" spans="1:26" ht="12.75" customHeight="1" x14ac:dyDescent="0.2">
      <c r="A4656" s="258"/>
      <c r="Z4656" s="258"/>
    </row>
    <row r="4657" spans="1:26" ht="12.75" customHeight="1" x14ac:dyDescent="0.2">
      <c r="A4657" s="258"/>
      <c r="Z4657" s="258"/>
    </row>
    <row r="4658" spans="1:26" ht="12.75" customHeight="1" x14ac:dyDescent="0.2">
      <c r="A4658" s="258"/>
      <c r="Z4658" s="258"/>
    </row>
    <row r="4659" spans="1:26" ht="12.75" customHeight="1" x14ac:dyDescent="0.2">
      <c r="A4659" s="258"/>
      <c r="Z4659" s="258"/>
    </row>
    <row r="4660" spans="1:26" ht="12.75" customHeight="1" x14ac:dyDescent="0.2">
      <c r="A4660" s="258"/>
      <c r="Z4660" s="258"/>
    </row>
    <row r="4661" spans="1:26" ht="12.75" customHeight="1" x14ac:dyDescent="0.2">
      <c r="A4661" s="258"/>
      <c r="Z4661" s="258"/>
    </row>
    <row r="4662" spans="1:26" ht="12.75" customHeight="1" x14ac:dyDescent="0.2">
      <c r="A4662" s="258"/>
      <c r="Z4662" s="258"/>
    </row>
    <row r="4663" spans="1:26" ht="12.75" customHeight="1" x14ac:dyDescent="0.2">
      <c r="A4663" s="258"/>
      <c r="Z4663" s="258"/>
    </row>
    <row r="4664" spans="1:26" ht="12.75" customHeight="1" x14ac:dyDescent="0.2">
      <c r="A4664" s="258"/>
      <c r="Z4664" s="258"/>
    </row>
    <row r="4665" spans="1:26" ht="12.75" customHeight="1" x14ac:dyDescent="0.2">
      <c r="A4665" s="258"/>
      <c r="Z4665" s="258"/>
    </row>
    <row r="4666" spans="1:26" ht="12.75" customHeight="1" x14ac:dyDescent="0.2">
      <c r="A4666" s="258"/>
      <c r="Z4666" s="258"/>
    </row>
    <row r="4667" spans="1:26" ht="12.75" customHeight="1" x14ac:dyDescent="0.2">
      <c r="A4667" s="258"/>
      <c r="Z4667" s="258"/>
    </row>
    <row r="4668" spans="1:26" ht="12.75" customHeight="1" x14ac:dyDescent="0.2">
      <c r="A4668" s="258"/>
      <c r="Z4668" s="258"/>
    </row>
    <row r="4669" spans="1:26" ht="12.75" customHeight="1" x14ac:dyDescent="0.2">
      <c r="A4669" s="258"/>
      <c r="Z4669" s="258"/>
    </row>
    <row r="4670" spans="1:26" ht="12.75" customHeight="1" x14ac:dyDescent="0.2">
      <c r="A4670" s="258"/>
      <c r="Z4670" s="258"/>
    </row>
    <row r="4671" spans="1:26" ht="12.75" customHeight="1" x14ac:dyDescent="0.2">
      <c r="A4671" s="258"/>
      <c r="Z4671" s="258"/>
    </row>
    <row r="4672" spans="1:26" ht="12.75" customHeight="1" x14ac:dyDescent="0.2">
      <c r="A4672" s="258"/>
      <c r="Z4672" s="258"/>
    </row>
    <row r="4673" spans="1:26" ht="12.75" customHeight="1" x14ac:dyDescent="0.2">
      <c r="A4673" s="258"/>
      <c r="Z4673" s="258"/>
    </row>
    <row r="4674" spans="1:26" ht="12.75" customHeight="1" x14ac:dyDescent="0.2">
      <c r="A4674" s="258"/>
      <c r="Z4674" s="258"/>
    </row>
    <row r="4675" spans="1:26" ht="12.75" customHeight="1" x14ac:dyDescent="0.2">
      <c r="A4675" s="258"/>
      <c r="Z4675" s="258"/>
    </row>
    <row r="4676" spans="1:26" ht="12.75" customHeight="1" x14ac:dyDescent="0.2">
      <c r="A4676" s="258"/>
      <c r="Z4676" s="258"/>
    </row>
    <row r="4677" spans="1:26" ht="12.75" customHeight="1" x14ac:dyDescent="0.2">
      <c r="A4677" s="258"/>
      <c r="Z4677" s="258"/>
    </row>
    <row r="4678" spans="1:26" ht="12.75" customHeight="1" x14ac:dyDescent="0.2">
      <c r="A4678" s="258"/>
      <c r="Z4678" s="258"/>
    </row>
    <row r="4679" spans="1:26" ht="12.75" customHeight="1" x14ac:dyDescent="0.2">
      <c r="A4679" s="258"/>
      <c r="Z4679" s="258"/>
    </row>
    <row r="4680" spans="1:26" ht="12.75" customHeight="1" x14ac:dyDescent="0.2">
      <c r="A4680" s="258"/>
      <c r="Z4680" s="258"/>
    </row>
    <row r="4681" spans="1:26" ht="12.75" customHeight="1" x14ac:dyDescent="0.2">
      <c r="A4681" s="258"/>
      <c r="Z4681" s="258"/>
    </row>
    <row r="4682" spans="1:26" ht="12.75" customHeight="1" x14ac:dyDescent="0.2">
      <c r="A4682" s="258"/>
      <c r="Z4682" s="258"/>
    </row>
    <row r="4683" spans="1:26" ht="12.75" customHeight="1" x14ac:dyDescent="0.2">
      <c r="A4683" s="258"/>
      <c r="Z4683" s="258"/>
    </row>
    <row r="4684" spans="1:26" ht="12.75" customHeight="1" x14ac:dyDescent="0.2">
      <c r="A4684" s="258"/>
      <c r="Z4684" s="258"/>
    </row>
    <row r="4685" spans="1:26" ht="12.75" customHeight="1" x14ac:dyDescent="0.2">
      <c r="A4685" s="258"/>
      <c r="Z4685" s="258"/>
    </row>
    <row r="4686" spans="1:26" ht="12.75" customHeight="1" x14ac:dyDescent="0.2">
      <c r="A4686" s="258"/>
      <c r="Z4686" s="258"/>
    </row>
    <row r="4687" spans="1:26" ht="12.75" customHeight="1" x14ac:dyDescent="0.2">
      <c r="A4687" s="258"/>
      <c r="Z4687" s="258"/>
    </row>
    <row r="4688" spans="1:26" ht="12.75" customHeight="1" x14ac:dyDescent="0.2">
      <c r="A4688" s="258"/>
      <c r="Z4688" s="258"/>
    </row>
    <row r="4689" spans="1:26" ht="12.75" customHeight="1" x14ac:dyDescent="0.2">
      <c r="A4689" s="258"/>
      <c r="Z4689" s="258"/>
    </row>
    <row r="4690" spans="1:26" ht="12.75" customHeight="1" x14ac:dyDescent="0.2">
      <c r="A4690" s="258"/>
      <c r="Z4690" s="258"/>
    </row>
    <row r="4691" spans="1:26" ht="12.75" customHeight="1" x14ac:dyDescent="0.2">
      <c r="A4691" s="258"/>
      <c r="Z4691" s="258"/>
    </row>
    <row r="4692" spans="1:26" ht="12.75" customHeight="1" x14ac:dyDescent="0.2">
      <c r="A4692" s="258"/>
      <c r="Z4692" s="258"/>
    </row>
    <row r="4693" spans="1:26" ht="12.75" customHeight="1" x14ac:dyDescent="0.2">
      <c r="A4693" s="258"/>
      <c r="Z4693" s="258"/>
    </row>
    <row r="4694" spans="1:26" ht="12.75" customHeight="1" x14ac:dyDescent="0.2">
      <c r="A4694" s="258"/>
      <c r="Z4694" s="258"/>
    </row>
    <row r="4695" spans="1:26" ht="12.75" customHeight="1" x14ac:dyDescent="0.2">
      <c r="A4695" s="258"/>
      <c r="Z4695" s="258"/>
    </row>
    <row r="4696" spans="1:26" ht="12.75" customHeight="1" x14ac:dyDescent="0.2">
      <c r="A4696" s="258"/>
      <c r="Z4696" s="258"/>
    </row>
    <row r="4697" spans="1:26" ht="12.75" customHeight="1" x14ac:dyDescent="0.2">
      <c r="A4697" s="258"/>
      <c r="Z4697" s="258"/>
    </row>
    <row r="4698" spans="1:26" ht="12.75" customHeight="1" x14ac:dyDescent="0.2">
      <c r="A4698" s="258"/>
      <c r="Z4698" s="258"/>
    </row>
    <row r="4699" spans="1:26" ht="12.75" customHeight="1" x14ac:dyDescent="0.2">
      <c r="A4699" s="258"/>
      <c r="Z4699" s="258"/>
    </row>
    <row r="4700" spans="1:26" ht="12.75" customHeight="1" x14ac:dyDescent="0.2">
      <c r="A4700" s="258"/>
      <c r="Z4700" s="258"/>
    </row>
    <row r="4701" spans="1:26" ht="12.75" customHeight="1" x14ac:dyDescent="0.2">
      <c r="A4701" s="258"/>
      <c r="Z4701" s="258"/>
    </row>
    <row r="4702" spans="1:26" ht="12.75" customHeight="1" x14ac:dyDescent="0.2">
      <c r="A4702" s="258"/>
      <c r="Z4702" s="258"/>
    </row>
    <row r="4703" spans="1:26" ht="12.75" customHeight="1" x14ac:dyDescent="0.2">
      <c r="A4703" s="258"/>
      <c r="Z4703" s="258"/>
    </row>
    <row r="4704" spans="1:26" ht="12.75" customHeight="1" x14ac:dyDescent="0.2">
      <c r="A4704" s="258"/>
      <c r="Z4704" s="258"/>
    </row>
    <row r="4705" spans="1:26" ht="12.75" customHeight="1" x14ac:dyDescent="0.2">
      <c r="A4705" s="258"/>
      <c r="Z4705" s="258"/>
    </row>
    <row r="4706" spans="1:26" ht="12.75" customHeight="1" x14ac:dyDescent="0.2">
      <c r="A4706" s="258"/>
      <c r="Z4706" s="258"/>
    </row>
    <row r="4707" spans="1:26" ht="12.75" customHeight="1" x14ac:dyDescent="0.2">
      <c r="A4707" s="258"/>
      <c r="Z4707" s="258"/>
    </row>
    <row r="4708" spans="1:26" ht="12.75" customHeight="1" x14ac:dyDescent="0.2">
      <c r="A4708" s="258"/>
      <c r="Z4708" s="258"/>
    </row>
    <row r="4709" spans="1:26" ht="12.75" customHeight="1" x14ac:dyDescent="0.2">
      <c r="A4709" s="258"/>
      <c r="Z4709" s="258"/>
    </row>
    <row r="4710" spans="1:26" ht="12.75" customHeight="1" x14ac:dyDescent="0.2">
      <c r="A4710" s="258"/>
      <c r="Z4710" s="258"/>
    </row>
    <row r="4711" spans="1:26" ht="12.75" customHeight="1" x14ac:dyDescent="0.2">
      <c r="A4711" s="258"/>
      <c r="Z4711" s="258"/>
    </row>
    <row r="4712" spans="1:26" ht="12.75" customHeight="1" x14ac:dyDescent="0.2">
      <c r="A4712" s="258"/>
      <c r="Z4712" s="258"/>
    </row>
    <row r="4713" spans="1:26" ht="12.75" customHeight="1" x14ac:dyDescent="0.2">
      <c r="A4713" s="258"/>
      <c r="Z4713" s="258"/>
    </row>
    <row r="4714" spans="1:26" ht="12.75" customHeight="1" x14ac:dyDescent="0.2">
      <c r="A4714" s="258"/>
      <c r="Z4714" s="258"/>
    </row>
    <row r="4715" spans="1:26" ht="12.75" customHeight="1" x14ac:dyDescent="0.2">
      <c r="A4715" s="258"/>
      <c r="Z4715" s="258"/>
    </row>
    <row r="4716" spans="1:26" ht="12.75" customHeight="1" x14ac:dyDescent="0.2">
      <c r="A4716" s="258"/>
      <c r="Z4716" s="258"/>
    </row>
    <row r="4717" spans="1:26" ht="12.75" customHeight="1" x14ac:dyDescent="0.2">
      <c r="A4717" s="258"/>
      <c r="Z4717" s="258"/>
    </row>
    <row r="4718" spans="1:26" ht="12.75" customHeight="1" x14ac:dyDescent="0.2">
      <c r="A4718" s="258"/>
      <c r="Z4718" s="258"/>
    </row>
    <row r="4719" spans="1:26" ht="12.75" customHeight="1" x14ac:dyDescent="0.2">
      <c r="A4719" s="258"/>
      <c r="Z4719" s="258"/>
    </row>
    <row r="4720" spans="1:26" ht="12.75" customHeight="1" x14ac:dyDescent="0.2">
      <c r="A4720" s="258"/>
      <c r="Z4720" s="258"/>
    </row>
    <row r="4721" spans="1:26" ht="12.75" customHeight="1" x14ac:dyDescent="0.2">
      <c r="A4721" s="258"/>
      <c r="Z4721" s="258"/>
    </row>
    <row r="4722" spans="1:26" ht="12.75" customHeight="1" x14ac:dyDescent="0.2">
      <c r="A4722" s="258"/>
      <c r="Z4722" s="258"/>
    </row>
    <row r="4723" spans="1:26" ht="12.75" customHeight="1" x14ac:dyDescent="0.2">
      <c r="A4723" s="258"/>
      <c r="Z4723" s="258"/>
    </row>
    <row r="4724" spans="1:26" ht="12.75" customHeight="1" x14ac:dyDescent="0.2">
      <c r="A4724" s="258"/>
      <c r="Z4724" s="258"/>
    </row>
    <row r="4725" spans="1:26" ht="12.75" customHeight="1" x14ac:dyDescent="0.2">
      <c r="A4725" s="258"/>
      <c r="Z4725" s="258"/>
    </row>
    <row r="4726" spans="1:26" ht="12.75" customHeight="1" x14ac:dyDescent="0.2">
      <c r="A4726" s="258"/>
      <c r="Z4726" s="258"/>
    </row>
    <row r="4727" spans="1:26" ht="12.75" customHeight="1" x14ac:dyDescent="0.2">
      <c r="A4727" s="258"/>
      <c r="Z4727" s="258"/>
    </row>
    <row r="4728" spans="1:26" ht="12.75" customHeight="1" x14ac:dyDescent="0.2">
      <c r="A4728" s="258"/>
      <c r="Z4728" s="258"/>
    </row>
    <row r="4729" spans="1:26" ht="12.75" customHeight="1" x14ac:dyDescent="0.2">
      <c r="A4729" s="258"/>
      <c r="Z4729" s="258"/>
    </row>
    <row r="4730" spans="1:26" ht="12.75" customHeight="1" x14ac:dyDescent="0.2">
      <c r="A4730" s="258"/>
      <c r="Z4730" s="258"/>
    </row>
    <row r="4731" spans="1:26" ht="12.75" customHeight="1" x14ac:dyDescent="0.2">
      <c r="A4731" s="258"/>
      <c r="Z4731" s="258"/>
    </row>
    <row r="4732" spans="1:26" ht="12.75" customHeight="1" x14ac:dyDescent="0.2">
      <c r="A4732" s="258"/>
      <c r="Z4732" s="258"/>
    </row>
    <row r="4733" spans="1:26" ht="12.75" customHeight="1" x14ac:dyDescent="0.2">
      <c r="A4733" s="258"/>
      <c r="Z4733" s="258"/>
    </row>
    <row r="4734" spans="1:26" ht="12.75" customHeight="1" x14ac:dyDescent="0.2">
      <c r="A4734" s="258"/>
      <c r="Z4734" s="258"/>
    </row>
    <row r="4735" spans="1:26" ht="12.75" customHeight="1" x14ac:dyDescent="0.2">
      <c r="A4735" s="258"/>
      <c r="Z4735" s="258"/>
    </row>
    <row r="4736" spans="1:26" ht="12.75" customHeight="1" x14ac:dyDescent="0.2">
      <c r="A4736" s="258"/>
      <c r="Z4736" s="258"/>
    </row>
    <row r="4737" spans="1:26" ht="12.75" customHeight="1" x14ac:dyDescent="0.2">
      <c r="A4737" s="258"/>
      <c r="Z4737" s="258"/>
    </row>
    <row r="4738" spans="1:26" ht="12.75" customHeight="1" x14ac:dyDescent="0.2">
      <c r="A4738" s="258"/>
      <c r="Z4738" s="258"/>
    </row>
    <row r="4739" spans="1:26" ht="12.75" customHeight="1" x14ac:dyDescent="0.2">
      <c r="A4739" s="258"/>
      <c r="Z4739" s="258"/>
    </row>
    <row r="4740" spans="1:26" ht="12.75" customHeight="1" x14ac:dyDescent="0.2">
      <c r="A4740" s="258"/>
      <c r="Z4740" s="258"/>
    </row>
    <row r="4741" spans="1:26" ht="12.75" customHeight="1" x14ac:dyDescent="0.2">
      <c r="A4741" s="258"/>
      <c r="Z4741" s="258"/>
    </row>
    <row r="4742" spans="1:26" ht="12.75" customHeight="1" x14ac:dyDescent="0.2">
      <c r="A4742" s="258"/>
      <c r="Z4742" s="258"/>
    </row>
    <row r="4743" spans="1:26" ht="12.75" customHeight="1" x14ac:dyDescent="0.2">
      <c r="A4743" s="258"/>
      <c r="Z4743" s="258"/>
    </row>
    <row r="4744" spans="1:26" ht="12.75" customHeight="1" x14ac:dyDescent="0.2">
      <c r="A4744" s="258"/>
      <c r="Z4744" s="258"/>
    </row>
    <row r="4745" spans="1:26" ht="12.75" customHeight="1" x14ac:dyDescent="0.2">
      <c r="A4745" s="258"/>
      <c r="Z4745" s="258"/>
    </row>
    <row r="4746" spans="1:26" ht="12.75" customHeight="1" x14ac:dyDescent="0.2">
      <c r="A4746" s="258"/>
      <c r="Z4746" s="258"/>
    </row>
    <row r="4747" spans="1:26" ht="12.75" customHeight="1" x14ac:dyDescent="0.2">
      <c r="A4747" s="258"/>
      <c r="Z4747" s="258"/>
    </row>
    <row r="4748" spans="1:26" ht="12.75" customHeight="1" x14ac:dyDescent="0.2">
      <c r="A4748" s="258"/>
      <c r="Z4748" s="258"/>
    </row>
    <row r="4749" spans="1:26" ht="12.75" customHeight="1" x14ac:dyDescent="0.2">
      <c r="A4749" s="258"/>
      <c r="Z4749" s="258"/>
    </row>
    <row r="4750" spans="1:26" ht="12.75" customHeight="1" x14ac:dyDescent="0.2">
      <c r="A4750" s="258"/>
      <c r="Z4750" s="258"/>
    </row>
    <row r="4751" spans="1:26" ht="12.75" customHeight="1" x14ac:dyDescent="0.2">
      <c r="A4751" s="258"/>
      <c r="Z4751" s="258"/>
    </row>
    <row r="4752" spans="1:26" ht="12.75" customHeight="1" x14ac:dyDescent="0.2">
      <c r="A4752" s="258"/>
      <c r="Z4752" s="258"/>
    </row>
    <row r="4753" spans="1:26" ht="12.75" customHeight="1" x14ac:dyDescent="0.2">
      <c r="A4753" s="258"/>
      <c r="Z4753" s="258"/>
    </row>
    <row r="4754" spans="1:26" ht="12.75" customHeight="1" x14ac:dyDescent="0.2">
      <c r="A4754" s="258"/>
      <c r="Z4754" s="258"/>
    </row>
    <row r="4755" spans="1:26" ht="12.75" customHeight="1" x14ac:dyDescent="0.2">
      <c r="A4755" s="258"/>
      <c r="Z4755" s="258"/>
    </row>
    <row r="4756" spans="1:26" ht="12.75" customHeight="1" x14ac:dyDescent="0.2">
      <c r="A4756" s="258"/>
      <c r="Z4756" s="258"/>
    </row>
    <row r="4757" spans="1:26" ht="12.75" customHeight="1" x14ac:dyDescent="0.2">
      <c r="A4757" s="258"/>
      <c r="Z4757" s="258"/>
    </row>
    <row r="4758" spans="1:26" ht="12.75" customHeight="1" x14ac:dyDescent="0.2">
      <c r="A4758" s="258"/>
      <c r="Z4758" s="258"/>
    </row>
    <row r="4759" spans="1:26" ht="12.75" customHeight="1" x14ac:dyDescent="0.2">
      <c r="A4759" s="258"/>
      <c r="Z4759" s="258"/>
    </row>
    <row r="4760" spans="1:26" ht="12.75" customHeight="1" x14ac:dyDescent="0.2">
      <c r="A4760" s="258"/>
      <c r="Z4760" s="258"/>
    </row>
    <row r="4761" spans="1:26" ht="12.75" customHeight="1" x14ac:dyDescent="0.2">
      <c r="A4761" s="258"/>
      <c r="Z4761" s="258"/>
    </row>
    <row r="4762" spans="1:26" ht="12.75" customHeight="1" x14ac:dyDescent="0.2">
      <c r="A4762" s="258"/>
      <c r="Z4762" s="258"/>
    </row>
    <row r="4763" spans="1:26" ht="12.75" customHeight="1" x14ac:dyDescent="0.2">
      <c r="A4763" s="258"/>
      <c r="Z4763" s="258"/>
    </row>
    <row r="4764" spans="1:26" ht="12.75" customHeight="1" x14ac:dyDescent="0.2">
      <c r="A4764" s="258"/>
      <c r="Z4764" s="258"/>
    </row>
    <row r="4765" spans="1:26" ht="12.75" customHeight="1" x14ac:dyDescent="0.2">
      <c r="A4765" s="258"/>
      <c r="Z4765" s="258"/>
    </row>
    <row r="4766" spans="1:26" ht="12.75" customHeight="1" x14ac:dyDescent="0.2">
      <c r="A4766" s="258"/>
      <c r="Z4766" s="258"/>
    </row>
    <row r="4767" spans="1:26" ht="12.75" customHeight="1" x14ac:dyDescent="0.2">
      <c r="A4767" s="258"/>
      <c r="Z4767" s="258"/>
    </row>
    <row r="4768" spans="1:26" ht="12.75" customHeight="1" x14ac:dyDescent="0.2">
      <c r="A4768" s="258"/>
      <c r="Z4768" s="258"/>
    </row>
    <row r="4769" spans="1:26" ht="12.75" customHeight="1" x14ac:dyDescent="0.2">
      <c r="A4769" s="258"/>
      <c r="Z4769" s="258"/>
    </row>
    <row r="4770" spans="1:26" ht="12.75" customHeight="1" x14ac:dyDescent="0.2">
      <c r="A4770" s="258"/>
      <c r="Z4770" s="258"/>
    </row>
    <row r="4771" spans="1:26" ht="12.75" customHeight="1" x14ac:dyDescent="0.2">
      <c r="A4771" s="258"/>
      <c r="Z4771" s="258"/>
    </row>
    <row r="4772" spans="1:26" ht="12.75" customHeight="1" x14ac:dyDescent="0.2">
      <c r="A4772" s="258"/>
      <c r="Z4772" s="258"/>
    </row>
    <row r="4773" spans="1:26" ht="12.75" customHeight="1" x14ac:dyDescent="0.2">
      <c r="A4773" s="258"/>
      <c r="Z4773" s="258"/>
    </row>
    <row r="4774" spans="1:26" ht="12.75" customHeight="1" x14ac:dyDescent="0.2">
      <c r="A4774" s="258"/>
      <c r="Z4774" s="258"/>
    </row>
    <row r="4775" spans="1:26" ht="12.75" customHeight="1" x14ac:dyDescent="0.2">
      <c r="A4775" s="258"/>
      <c r="Z4775" s="258"/>
    </row>
    <row r="4776" spans="1:26" ht="12.75" customHeight="1" x14ac:dyDescent="0.2">
      <c r="A4776" s="258"/>
      <c r="Z4776" s="258"/>
    </row>
    <row r="4777" spans="1:26" ht="12.75" customHeight="1" x14ac:dyDescent="0.2">
      <c r="A4777" s="258"/>
      <c r="Z4777" s="258"/>
    </row>
    <row r="4778" spans="1:26" ht="12.75" customHeight="1" x14ac:dyDescent="0.2">
      <c r="A4778" s="258"/>
      <c r="Z4778" s="258"/>
    </row>
    <row r="4779" spans="1:26" ht="12.75" customHeight="1" x14ac:dyDescent="0.2">
      <c r="A4779" s="258"/>
      <c r="Z4779" s="258"/>
    </row>
    <row r="4780" spans="1:26" ht="12.75" customHeight="1" x14ac:dyDescent="0.2">
      <c r="A4780" s="258"/>
      <c r="Z4780" s="258"/>
    </row>
    <row r="4781" spans="1:26" ht="12.75" customHeight="1" x14ac:dyDescent="0.2">
      <c r="A4781" s="258"/>
      <c r="Z4781" s="258"/>
    </row>
    <row r="4782" spans="1:26" ht="12.75" customHeight="1" x14ac:dyDescent="0.2">
      <c r="A4782" s="258"/>
      <c r="Z4782" s="258"/>
    </row>
    <row r="4783" spans="1:26" ht="12.75" customHeight="1" x14ac:dyDescent="0.2">
      <c r="A4783" s="258"/>
      <c r="Z4783" s="258"/>
    </row>
    <row r="4784" spans="1:26" ht="12.75" customHeight="1" x14ac:dyDescent="0.2">
      <c r="A4784" s="258"/>
      <c r="Z4784" s="258"/>
    </row>
    <row r="4785" spans="1:26" ht="12.75" customHeight="1" x14ac:dyDescent="0.2">
      <c r="A4785" s="258"/>
      <c r="Z4785" s="258"/>
    </row>
    <row r="4786" spans="1:26" ht="12.75" customHeight="1" x14ac:dyDescent="0.2">
      <c r="A4786" s="258"/>
      <c r="Z4786" s="258"/>
    </row>
    <row r="4787" spans="1:26" ht="12.75" customHeight="1" x14ac:dyDescent="0.2">
      <c r="A4787" s="258"/>
      <c r="Z4787" s="258"/>
    </row>
    <row r="4788" spans="1:26" ht="12.75" customHeight="1" x14ac:dyDescent="0.2">
      <c r="A4788" s="258"/>
      <c r="Z4788" s="258"/>
    </row>
    <row r="4789" spans="1:26" ht="12.75" customHeight="1" x14ac:dyDescent="0.2">
      <c r="A4789" s="258"/>
      <c r="Z4789" s="258"/>
    </row>
    <row r="4790" spans="1:26" ht="12.75" customHeight="1" x14ac:dyDescent="0.2">
      <c r="A4790" s="258"/>
      <c r="Z4790" s="258"/>
    </row>
    <row r="4791" spans="1:26" ht="12.75" customHeight="1" x14ac:dyDescent="0.2">
      <c r="A4791" s="258"/>
      <c r="Z4791" s="258"/>
    </row>
    <row r="4792" spans="1:26" ht="12.75" customHeight="1" x14ac:dyDescent="0.2">
      <c r="A4792" s="258"/>
      <c r="Z4792" s="258"/>
    </row>
    <row r="4793" spans="1:26" ht="12.75" customHeight="1" x14ac:dyDescent="0.2">
      <c r="A4793" s="258"/>
      <c r="Z4793" s="258"/>
    </row>
    <row r="4794" spans="1:26" ht="12.75" customHeight="1" x14ac:dyDescent="0.2">
      <c r="A4794" s="258"/>
      <c r="Z4794" s="258"/>
    </row>
    <row r="4795" spans="1:26" ht="12.75" customHeight="1" x14ac:dyDescent="0.2">
      <c r="A4795" s="258"/>
      <c r="Z4795" s="258"/>
    </row>
    <row r="4796" spans="1:26" ht="12.75" customHeight="1" x14ac:dyDescent="0.2">
      <c r="A4796" s="258"/>
      <c r="Z4796" s="258"/>
    </row>
    <row r="4797" spans="1:26" ht="12.75" customHeight="1" x14ac:dyDescent="0.2">
      <c r="A4797" s="258"/>
      <c r="Z4797" s="258"/>
    </row>
    <row r="4798" spans="1:26" ht="12.75" customHeight="1" x14ac:dyDescent="0.2">
      <c r="A4798" s="258"/>
      <c r="Z4798" s="258"/>
    </row>
    <row r="4799" spans="1:26" ht="12.75" customHeight="1" x14ac:dyDescent="0.2">
      <c r="A4799" s="258"/>
      <c r="Z4799" s="258"/>
    </row>
    <row r="4800" spans="1:26" ht="12.75" customHeight="1" x14ac:dyDescent="0.2">
      <c r="A4800" s="258"/>
      <c r="Z4800" s="258"/>
    </row>
    <row r="4801" spans="1:26" ht="12.75" customHeight="1" x14ac:dyDescent="0.2">
      <c r="A4801" s="258"/>
      <c r="Z4801" s="258"/>
    </row>
    <row r="4802" spans="1:26" ht="12.75" customHeight="1" x14ac:dyDescent="0.2">
      <c r="A4802" s="258"/>
      <c r="Z4802" s="258"/>
    </row>
    <row r="4803" spans="1:26" ht="12.75" customHeight="1" x14ac:dyDescent="0.2">
      <c r="A4803" s="258"/>
      <c r="Z4803" s="258"/>
    </row>
    <row r="4804" spans="1:26" ht="12.75" customHeight="1" x14ac:dyDescent="0.2">
      <c r="A4804" s="258"/>
      <c r="Z4804" s="258"/>
    </row>
    <row r="4805" spans="1:26" ht="12.75" customHeight="1" x14ac:dyDescent="0.2">
      <c r="A4805" s="258"/>
      <c r="Z4805" s="258"/>
    </row>
    <row r="4806" spans="1:26" ht="12.75" customHeight="1" x14ac:dyDescent="0.2">
      <c r="A4806" s="258"/>
      <c r="Z4806" s="258"/>
    </row>
    <row r="4807" spans="1:26" ht="12.75" customHeight="1" x14ac:dyDescent="0.2">
      <c r="A4807" s="258"/>
      <c r="Z4807" s="258"/>
    </row>
    <row r="4808" spans="1:26" ht="12.75" customHeight="1" x14ac:dyDescent="0.2">
      <c r="A4808" s="258"/>
      <c r="Z4808" s="258"/>
    </row>
    <row r="4809" spans="1:26" ht="12.75" customHeight="1" x14ac:dyDescent="0.2">
      <c r="A4809" s="258"/>
      <c r="Z4809" s="258"/>
    </row>
    <row r="4810" spans="1:26" ht="12.75" customHeight="1" x14ac:dyDescent="0.2">
      <c r="A4810" s="258"/>
      <c r="Z4810" s="258"/>
    </row>
    <row r="4811" spans="1:26" ht="12.75" customHeight="1" x14ac:dyDescent="0.2">
      <c r="A4811" s="258"/>
      <c r="Z4811" s="258"/>
    </row>
    <row r="4812" spans="1:26" ht="12.75" customHeight="1" x14ac:dyDescent="0.2">
      <c r="A4812" s="258"/>
      <c r="Z4812" s="258"/>
    </row>
    <row r="4813" spans="1:26" ht="12.75" customHeight="1" x14ac:dyDescent="0.2">
      <c r="A4813" s="258"/>
      <c r="Z4813" s="258"/>
    </row>
    <row r="4814" spans="1:26" ht="12.75" customHeight="1" x14ac:dyDescent="0.2">
      <c r="A4814" s="258"/>
      <c r="Z4814" s="258"/>
    </row>
    <row r="4815" spans="1:26" ht="12.75" customHeight="1" x14ac:dyDescent="0.2">
      <c r="A4815" s="258"/>
      <c r="Z4815" s="258"/>
    </row>
    <row r="4816" spans="1:26" ht="12.75" customHeight="1" x14ac:dyDescent="0.2">
      <c r="A4816" s="258"/>
      <c r="Z4816" s="258"/>
    </row>
    <row r="4817" spans="1:26" ht="12.75" customHeight="1" x14ac:dyDescent="0.2">
      <c r="A4817" s="258"/>
      <c r="Z4817" s="258"/>
    </row>
    <row r="4818" spans="1:26" ht="12.75" customHeight="1" x14ac:dyDescent="0.2">
      <c r="A4818" s="258"/>
      <c r="Z4818" s="258"/>
    </row>
    <row r="4819" spans="1:26" ht="12.75" customHeight="1" x14ac:dyDescent="0.2">
      <c r="A4819" s="258"/>
      <c r="Z4819" s="258"/>
    </row>
    <row r="4820" spans="1:26" ht="12.75" customHeight="1" x14ac:dyDescent="0.2">
      <c r="A4820" s="258"/>
      <c r="Z4820" s="258"/>
    </row>
    <row r="4821" spans="1:26" ht="12.75" customHeight="1" x14ac:dyDescent="0.2">
      <c r="A4821" s="258"/>
      <c r="Z4821" s="258"/>
    </row>
    <row r="4822" spans="1:26" ht="12.75" customHeight="1" x14ac:dyDescent="0.2">
      <c r="A4822" s="258"/>
      <c r="Z4822" s="258"/>
    </row>
    <row r="4823" spans="1:26" ht="12.75" customHeight="1" x14ac:dyDescent="0.2">
      <c r="A4823" s="258"/>
      <c r="Z4823" s="258"/>
    </row>
    <row r="4824" spans="1:26" ht="12.75" customHeight="1" x14ac:dyDescent="0.2">
      <c r="A4824" s="258"/>
      <c r="Z4824" s="258"/>
    </row>
    <row r="4825" spans="1:26" ht="12.75" customHeight="1" x14ac:dyDescent="0.2">
      <c r="A4825" s="258"/>
      <c r="Z4825" s="258"/>
    </row>
    <row r="4826" spans="1:26" ht="12.75" customHeight="1" x14ac:dyDescent="0.2">
      <c r="A4826" s="258"/>
      <c r="Z4826" s="258"/>
    </row>
    <row r="4827" spans="1:26" ht="12.75" customHeight="1" x14ac:dyDescent="0.2">
      <c r="A4827" s="258"/>
      <c r="Z4827" s="258"/>
    </row>
    <row r="4828" spans="1:26" ht="12.75" customHeight="1" x14ac:dyDescent="0.2">
      <c r="A4828" s="258"/>
      <c r="Z4828" s="258"/>
    </row>
    <row r="4829" spans="1:26" ht="12.75" customHeight="1" x14ac:dyDescent="0.2">
      <c r="A4829" s="258"/>
      <c r="Z4829" s="258"/>
    </row>
    <row r="4830" spans="1:26" ht="12.75" customHeight="1" x14ac:dyDescent="0.2">
      <c r="A4830" s="258"/>
      <c r="Z4830" s="258"/>
    </row>
    <row r="4831" spans="1:26" ht="12.75" customHeight="1" x14ac:dyDescent="0.2">
      <c r="A4831" s="258"/>
      <c r="Z4831" s="258"/>
    </row>
    <row r="4832" spans="1:26" ht="12.75" customHeight="1" x14ac:dyDescent="0.2">
      <c r="A4832" s="258"/>
      <c r="Z4832" s="258"/>
    </row>
    <row r="4833" spans="1:26" ht="12.75" customHeight="1" x14ac:dyDescent="0.2">
      <c r="A4833" s="258"/>
      <c r="Z4833" s="258"/>
    </row>
    <row r="4834" spans="1:26" ht="12.75" customHeight="1" x14ac:dyDescent="0.2">
      <c r="A4834" s="258"/>
      <c r="Z4834" s="258"/>
    </row>
    <row r="4835" spans="1:26" ht="12.75" customHeight="1" x14ac:dyDescent="0.2">
      <c r="A4835" s="258"/>
      <c r="Z4835" s="258"/>
    </row>
    <row r="4836" spans="1:26" ht="12.75" customHeight="1" x14ac:dyDescent="0.2">
      <c r="A4836" s="258"/>
      <c r="Z4836" s="258"/>
    </row>
    <row r="4837" spans="1:26" ht="12.75" customHeight="1" x14ac:dyDescent="0.2">
      <c r="A4837" s="258"/>
      <c r="Z4837" s="258"/>
    </row>
    <row r="4838" spans="1:26" ht="12.75" customHeight="1" x14ac:dyDescent="0.2">
      <c r="A4838" s="258"/>
      <c r="Z4838" s="258"/>
    </row>
    <row r="4839" spans="1:26" ht="12.75" customHeight="1" x14ac:dyDescent="0.2">
      <c r="A4839" s="258"/>
      <c r="Z4839" s="258"/>
    </row>
    <row r="4840" spans="1:26" ht="12.75" customHeight="1" x14ac:dyDescent="0.2">
      <c r="A4840" s="258"/>
      <c r="Z4840" s="258"/>
    </row>
    <row r="4841" spans="1:26" ht="12.75" customHeight="1" x14ac:dyDescent="0.2">
      <c r="A4841" s="258"/>
      <c r="Z4841" s="258"/>
    </row>
    <row r="4842" spans="1:26" ht="12.75" customHeight="1" x14ac:dyDescent="0.2">
      <c r="A4842" s="258"/>
      <c r="Z4842" s="258"/>
    </row>
    <row r="4843" spans="1:26" ht="12.75" customHeight="1" x14ac:dyDescent="0.2">
      <c r="A4843" s="258"/>
      <c r="Z4843" s="258"/>
    </row>
    <row r="4844" spans="1:26" ht="12.75" customHeight="1" x14ac:dyDescent="0.2">
      <c r="A4844" s="258"/>
      <c r="Z4844" s="258"/>
    </row>
    <row r="4845" spans="1:26" ht="12.75" customHeight="1" x14ac:dyDescent="0.2">
      <c r="A4845" s="258"/>
      <c r="Z4845" s="258"/>
    </row>
    <row r="4846" spans="1:26" ht="12.75" customHeight="1" x14ac:dyDescent="0.2">
      <c r="A4846" s="258"/>
      <c r="Z4846" s="258"/>
    </row>
    <row r="4847" spans="1:26" ht="12.75" customHeight="1" x14ac:dyDescent="0.2">
      <c r="A4847" s="258"/>
      <c r="Z4847" s="258"/>
    </row>
    <row r="4848" spans="1:26" ht="12.75" customHeight="1" x14ac:dyDescent="0.2">
      <c r="A4848" s="258"/>
      <c r="Z4848" s="258"/>
    </row>
    <row r="4849" spans="1:26" ht="12.75" customHeight="1" x14ac:dyDescent="0.2">
      <c r="A4849" s="258"/>
      <c r="Z4849" s="258"/>
    </row>
    <row r="4850" spans="1:26" ht="12.75" customHeight="1" x14ac:dyDescent="0.2">
      <c r="A4850" s="258"/>
      <c r="Z4850" s="258"/>
    </row>
    <row r="4851" spans="1:26" ht="12.75" customHeight="1" x14ac:dyDescent="0.2">
      <c r="A4851" s="258"/>
      <c r="Z4851" s="258"/>
    </row>
    <row r="4852" spans="1:26" ht="12.75" customHeight="1" x14ac:dyDescent="0.2">
      <c r="A4852" s="258"/>
      <c r="Z4852" s="258"/>
    </row>
    <row r="4853" spans="1:26" ht="12.75" customHeight="1" x14ac:dyDescent="0.2">
      <c r="A4853" s="258"/>
      <c r="Z4853" s="258"/>
    </row>
    <row r="4854" spans="1:26" ht="12.75" customHeight="1" x14ac:dyDescent="0.2">
      <c r="A4854" s="258"/>
      <c r="Z4854" s="258"/>
    </row>
    <row r="4855" spans="1:26" ht="12.75" customHeight="1" x14ac:dyDescent="0.2">
      <c r="A4855" s="258"/>
      <c r="Z4855" s="258"/>
    </row>
    <row r="4856" spans="1:26" ht="12.75" customHeight="1" x14ac:dyDescent="0.2">
      <c r="A4856" s="258"/>
      <c r="Z4856" s="258"/>
    </row>
    <row r="4857" spans="1:26" ht="12.75" customHeight="1" x14ac:dyDescent="0.2">
      <c r="A4857" s="258"/>
      <c r="Z4857" s="258"/>
    </row>
    <row r="4858" spans="1:26" ht="12.75" customHeight="1" x14ac:dyDescent="0.2">
      <c r="A4858" s="258"/>
      <c r="Z4858" s="258"/>
    </row>
    <row r="4859" spans="1:26" ht="12.75" customHeight="1" x14ac:dyDescent="0.2">
      <c r="A4859" s="258"/>
      <c r="Z4859" s="258"/>
    </row>
    <row r="4860" spans="1:26" ht="12.75" customHeight="1" x14ac:dyDescent="0.2">
      <c r="A4860" s="258"/>
      <c r="Z4860" s="258"/>
    </row>
    <row r="4861" spans="1:26" ht="12.75" customHeight="1" x14ac:dyDescent="0.2">
      <c r="A4861" s="258"/>
      <c r="Z4861" s="258"/>
    </row>
    <row r="4862" spans="1:26" ht="12.75" customHeight="1" x14ac:dyDescent="0.2">
      <c r="A4862" s="258"/>
      <c r="Z4862" s="258"/>
    </row>
    <row r="4863" spans="1:26" ht="12.75" customHeight="1" x14ac:dyDescent="0.2">
      <c r="A4863" s="258"/>
      <c r="Z4863" s="258"/>
    </row>
    <row r="4864" spans="1:26" ht="12.75" customHeight="1" x14ac:dyDescent="0.2">
      <c r="A4864" s="258"/>
      <c r="Z4864" s="258"/>
    </row>
    <row r="4865" spans="1:26" ht="12.75" customHeight="1" x14ac:dyDescent="0.2">
      <c r="A4865" s="258"/>
      <c r="Z4865" s="258"/>
    </row>
    <row r="4866" spans="1:26" ht="12.75" customHeight="1" x14ac:dyDescent="0.2">
      <c r="A4866" s="258"/>
      <c r="Z4866" s="258"/>
    </row>
    <row r="4867" spans="1:26" ht="12.75" customHeight="1" x14ac:dyDescent="0.2">
      <c r="A4867" s="258"/>
      <c r="Z4867" s="258"/>
    </row>
    <row r="4868" spans="1:26" ht="12.75" customHeight="1" x14ac:dyDescent="0.2">
      <c r="A4868" s="258"/>
      <c r="Z4868" s="258"/>
    </row>
    <row r="4869" spans="1:26" ht="12.75" customHeight="1" x14ac:dyDescent="0.2">
      <c r="A4869" s="258"/>
      <c r="Z4869" s="258"/>
    </row>
    <row r="4870" spans="1:26" ht="12.75" customHeight="1" x14ac:dyDescent="0.2">
      <c r="A4870" s="258"/>
      <c r="Z4870" s="258"/>
    </row>
    <row r="4871" spans="1:26" ht="12.75" customHeight="1" x14ac:dyDescent="0.2">
      <c r="A4871" s="258"/>
      <c r="Z4871" s="258"/>
    </row>
    <row r="4872" spans="1:26" ht="12.75" customHeight="1" x14ac:dyDescent="0.2">
      <c r="A4872" s="258"/>
      <c r="Z4872" s="258"/>
    </row>
    <row r="4873" spans="1:26" ht="12.75" customHeight="1" x14ac:dyDescent="0.2">
      <c r="A4873" s="258"/>
      <c r="Z4873" s="258"/>
    </row>
    <row r="4874" spans="1:26" ht="12.75" customHeight="1" x14ac:dyDescent="0.2">
      <c r="A4874" s="258"/>
      <c r="Z4874" s="258"/>
    </row>
    <row r="4875" spans="1:26" ht="12.75" customHeight="1" x14ac:dyDescent="0.2">
      <c r="A4875" s="258"/>
      <c r="Z4875" s="258"/>
    </row>
    <row r="4876" spans="1:26" ht="12.75" customHeight="1" x14ac:dyDescent="0.2">
      <c r="A4876" s="258"/>
      <c r="Z4876" s="258"/>
    </row>
    <row r="4877" spans="1:26" ht="12.75" customHeight="1" x14ac:dyDescent="0.2">
      <c r="A4877" s="258"/>
      <c r="Z4877" s="258"/>
    </row>
    <row r="4878" spans="1:26" ht="12.75" customHeight="1" x14ac:dyDescent="0.2">
      <c r="A4878" s="258"/>
      <c r="Z4878" s="258"/>
    </row>
    <row r="4879" spans="1:26" ht="12.75" customHeight="1" x14ac:dyDescent="0.2">
      <c r="A4879" s="258"/>
      <c r="Z4879" s="258"/>
    </row>
    <row r="4880" spans="1:26" ht="12.75" customHeight="1" x14ac:dyDescent="0.2">
      <c r="A4880" s="258"/>
      <c r="Z4880" s="258"/>
    </row>
    <row r="4881" spans="1:26" ht="12.75" customHeight="1" x14ac:dyDescent="0.2">
      <c r="A4881" s="258"/>
      <c r="Z4881" s="258"/>
    </row>
    <row r="4882" spans="1:26" ht="12.75" customHeight="1" x14ac:dyDescent="0.2">
      <c r="A4882" s="258"/>
      <c r="Z4882" s="258"/>
    </row>
    <row r="4883" spans="1:26" ht="12.75" customHeight="1" x14ac:dyDescent="0.2">
      <c r="A4883" s="258"/>
      <c r="Z4883" s="258"/>
    </row>
    <row r="4884" spans="1:26" ht="12.75" customHeight="1" x14ac:dyDescent="0.2">
      <c r="A4884" s="258"/>
      <c r="Z4884" s="258"/>
    </row>
    <row r="4885" spans="1:26" ht="12.75" customHeight="1" x14ac:dyDescent="0.2">
      <c r="A4885" s="258"/>
      <c r="Z4885" s="258"/>
    </row>
    <row r="4886" spans="1:26" ht="12.75" customHeight="1" x14ac:dyDescent="0.2">
      <c r="A4886" s="258"/>
      <c r="Z4886" s="258"/>
    </row>
    <row r="4887" spans="1:26" ht="12.75" customHeight="1" x14ac:dyDescent="0.2">
      <c r="A4887" s="258"/>
      <c r="Z4887" s="258"/>
    </row>
    <row r="4888" spans="1:26" ht="12.75" customHeight="1" x14ac:dyDescent="0.2">
      <c r="A4888" s="258"/>
      <c r="Z4888" s="258"/>
    </row>
    <row r="4889" spans="1:26" ht="12.75" customHeight="1" x14ac:dyDescent="0.2">
      <c r="A4889" s="258"/>
      <c r="Z4889" s="258"/>
    </row>
    <row r="4890" spans="1:26" ht="12.75" customHeight="1" x14ac:dyDescent="0.2">
      <c r="A4890" s="258"/>
      <c r="Z4890" s="258"/>
    </row>
    <row r="4891" spans="1:26" ht="12.75" customHeight="1" x14ac:dyDescent="0.2">
      <c r="A4891" s="258"/>
      <c r="Z4891" s="258"/>
    </row>
    <row r="4892" spans="1:26" ht="12.75" customHeight="1" x14ac:dyDescent="0.2">
      <c r="A4892" s="258"/>
      <c r="Z4892" s="258"/>
    </row>
    <row r="4893" spans="1:26" ht="12.75" customHeight="1" x14ac:dyDescent="0.2">
      <c r="A4893" s="258"/>
      <c r="Z4893" s="258"/>
    </row>
    <row r="4894" spans="1:26" ht="12.75" customHeight="1" x14ac:dyDescent="0.2">
      <c r="A4894" s="258"/>
      <c r="Z4894" s="258"/>
    </row>
    <row r="4895" spans="1:26" ht="12.75" customHeight="1" x14ac:dyDescent="0.2">
      <c r="A4895" s="258"/>
      <c r="Z4895" s="258"/>
    </row>
    <row r="4896" spans="1:26" ht="12.75" customHeight="1" x14ac:dyDescent="0.2">
      <c r="A4896" s="258"/>
      <c r="Z4896" s="258"/>
    </row>
    <row r="4897" spans="1:26" ht="12.75" customHeight="1" x14ac:dyDescent="0.2">
      <c r="A4897" s="258"/>
      <c r="Z4897" s="258"/>
    </row>
    <row r="4898" spans="1:26" ht="12.75" customHeight="1" x14ac:dyDescent="0.2">
      <c r="A4898" s="258"/>
      <c r="Z4898" s="258"/>
    </row>
    <row r="4899" spans="1:26" ht="12.75" customHeight="1" x14ac:dyDescent="0.2">
      <c r="A4899" s="258"/>
      <c r="Z4899" s="258"/>
    </row>
    <row r="4900" spans="1:26" ht="12.75" customHeight="1" x14ac:dyDescent="0.2">
      <c r="A4900" s="258"/>
      <c r="Z4900" s="258"/>
    </row>
    <row r="4901" spans="1:26" ht="12.75" customHeight="1" x14ac:dyDescent="0.2">
      <c r="A4901" s="258"/>
      <c r="Z4901" s="258"/>
    </row>
    <row r="4902" spans="1:26" ht="12.75" customHeight="1" x14ac:dyDescent="0.2">
      <c r="A4902" s="258"/>
      <c r="Z4902" s="258"/>
    </row>
    <row r="4903" spans="1:26" ht="12.75" customHeight="1" x14ac:dyDescent="0.2">
      <c r="A4903" s="258"/>
      <c r="Z4903" s="258"/>
    </row>
    <row r="4904" spans="1:26" ht="12.75" customHeight="1" x14ac:dyDescent="0.2">
      <c r="A4904" s="258"/>
      <c r="Z4904" s="258"/>
    </row>
    <row r="4905" spans="1:26" ht="12.75" customHeight="1" x14ac:dyDescent="0.2">
      <c r="A4905" s="258"/>
      <c r="Z4905" s="258"/>
    </row>
    <row r="4906" spans="1:26" ht="12.75" customHeight="1" x14ac:dyDescent="0.2">
      <c r="A4906" s="258"/>
      <c r="Z4906" s="258"/>
    </row>
    <row r="4907" spans="1:26" ht="12.75" customHeight="1" x14ac:dyDescent="0.2">
      <c r="A4907" s="258"/>
      <c r="Z4907" s="258"/>
    </row>
    <row r="4908" spans="1:26" ht="12.75" customHeight="1" x14ac:dyDescent="0.2">
      <c r="A4908" s="258"/>
      <c r="Z4908" s="258"/>
    </row>
    <row r="4909" spans="1:26" ht="12.75" customHeight="1" x14ac:dyDescent="0.2">
      <c r="A4909" s="258"/>
      <c r="Z4909" s="258"/>
    </row>
    <row r="4910" spans="1:26" ht="12.75" customHeight="1" x14ac:dyDescent="0.2">
      <c r="A4910" s="258"/>
      <c r="Z4910" s="258"/>
    </row>
    <row r="4911" spans="1:26" ht="12.75" customHeight="1" x14ac:dyDescent="0.2">
      <c r="A4911" s="258"/>
      <c r="Z4911" s="258"/>
    </row>
    <row r="4912" spans="1:26" ht="12.75" customHeight="1" x14ac:dyDescent="0.2">
      <c r="A4912" s="258"/>
      <c r="Z4912" s="258"/>
    </row>
    <row r="4913" spans="1:26" ht="12.75" customHeight="1" x14ac:dyDescent="0.2">
      <c r="A4913" s="258"/>
      <c r="Z4913" s="258"/>
    </row>
    <row r="4914" spans="1:26" ht="12.75" customHeight="1" x14ac:dyDescent="0.2">
      <c r="A4914" s="258"/>
      <c r="Z4914" s="258"/>
    </row>
    <row r="4915" spans="1:26" ht="12.75" customHeight="1" x14ac:dyDescent="0.2">
      <c r="A4915" s="258"/>
      <c r="Z4915" s="258"/>
    </row>
    <row r="4916" spans="1:26" ht="12.75" customHeight="1" x14ac:dyDescent="0.2">
      <c r="A4916" s="258"/>
      <c r="Z4916" s="258"/>
    </row>
    <row r="4917" spans="1:26" ht="12.75" customHeight="1" x14ac:dyDescent="0.2">
      <c r="A4917" s="258"/>
      <c r="Z4917" s="258"/>
    </row>
    <row r="4918" spans="1:26" ht="12.75" customHeight="1" x14ac:dyDescent="0.2">
      <c r="A4918" s="258"/>
      <c r="Z4918" s="258"/>
    </row>
    <row r="4919" spans="1:26" ht="12.75" customHeight="1" x14ac:dyDescent="0.2">
      <c r="A4919" s="258"/>
      <c r="Z4919" s="258"/>
    </row>
    <row r="4920" spans="1:26" ht="12.75" customHeight="1" x14ac:dyDescent="0.2">
      <c r="A4920" s="258"/>
      <c r="Z4920" s="258"/>
    </row>
    <row r="4921" spans="1:26" ht="12.75" customHeight="1" x14ac:dyDescent="0.2">
      <c r="A4921" s="258"/>
      <c r="Z4921" s="258"/>
    </row>
    <row r="4922" spans="1:26" ht="12.75" customHeight="1" x14ac:dyDescent="0.2">
      <c r="A4922" s="258"/>
      <c r="Z4922" s="258"/>
    </row>
    <row r="4923" spans="1:26" ht="12.75" customHeight="1" x14ac:dyDescent="0.2">
      <c r="A4923" s="258"/>
      <c r="Z4923" s="258"/>
    </row>
    <row r="4924" spans="1:26" ht="12.75" customHeight="1" x14ac:dyDescent="0.2">
      <c r="A4924" s="258"/>
      <c r="Z4924" s="258"/>
    </row>
    <row r="4925" spans="1:26" ht="12.75" customHeight="1" x14ac:dyDescent="0.2">
      <c r="A4925" s="258"/>
      <c r="Z4925" s="258"/>
    </row>
    <row r="4926" spans="1:26" ht="12.75" customHeight="1" x14ac:dyDescent="0.2">
      <c r="A4926" s="258"/>
      <c r="Z4926" s="258"/>
    </row>
    <row r="4927" spans="1:26" ht="12.75" customHeight="1" x14ac:dyDescent="0.2">
      <c r="A4927" s="258"/>
      <c r="Z4927" s="258"/>
    </row>
    <row r="4928" spans="1:26" ht="12.75" customHeight="1" x14ac:dyDescent="0.2">
      <c r="A4928" s="258"/>
      <c r="Z4928" s="258"/>
    </row>
    <row r="4929" spans="1:26" ht="12.75" customHeight="1" x14ac:dyDescent="0.2">
      <c r="A4929" s="258"/>
      <c r="Z4929" s="258"/>
    </row>
    <row r="4930" spans="1:26" ht="12.75" customHeight="1" x14ac:dyDescent="0.2">
      <c r="A4930" s="258"/>
      <c r="Z4930" s="258"/>
    </row>
    <row r="4931" spans="1:26" ht="12.75" customHeight="1" x14ac:dyDescent="0.2">
      <c r="A4931" s="258"/>
      <c r="Z4931" s="258"/>
    </row>
    <row r="4932" spans="1:26" ht="12.75" customHeight="1" x14ac:dyDescent="0.2">
      <c r="A4932" s="258"/>
      <c r="Z4932" s="258"/>
    </row>
    <row r="4933" spans="1:26" ht="12.75" customHeight="1" x14ac:dyDescent="0.2">
      <c r="A4933" s="258"/>
      <c r="Z4933" s="258"/>
    </row>
    <row r="4934" spans="1:26" ht="12.75" customHeight="1" x14ac:dyDescent="0.2">
      <c r="A4934" s="258"/>
      <c r="Z4934" s="258"/>
    </row>
    <row r="4935" spans="1:26" ht="12.75" customHeight="1" x14ac:dyDescent="0.2">
      <c r="A4935" s="258"/>
      <c r="Z4935" s="258"/>
    </row>
    <row r="4936" spans="1:26" ht="12.75" customHeight="1" x14ac:dyDescent="0.2">
      <c r="A4936" s="258"/>
      <c r="Z4936" s="258"/>
    </row>
    <row r="4937" spans="1:26" ht="12.75" customHeight="1" x14ac:dyDescent="0.2">
      <c r="A4937" s="258"/>
      <c r="Z4937" s="258"/>
    </row>
    <row r="4938" spans="1:26" ht="12.75" customHeight="1" x14ac:dyDescent="0.2">
      <c r="A4938" s="258"/>
      <c r="Z4938" s="258"/>
    </row>
    <row r="4939" spans="1:26" ht="12.75" customHeight="1" x14ac:dyDescent="0.2">
      <c r="A4939" s="258"/>
      <c r="Z4939" s="258"/>
    </row>
    <row r="4940" spans="1:26" ht="12.75" customHeight="1" x14ac:dyDescent="0.2">
      <c r="A4940" s="258"/>
      <c r="Z4940" s="258"/>
    </row>
    <row r="4941" spans="1:26" ht="12.75" customHeight="1" x14ac:dyDescent="0.2">
      <c r="A4941" s="258"/>
      <c r="Z4941" s="258"/>
    </row>
    <row r="4942" spans="1:26" ht="12.75" customHeight="1" x14ac:dyDescent="0.2">
      <c r="A4942" s="258"/>
      <c r="Z4942" s="258"/>
    </row>
    <row r="4943" spans="1:26" ht="12.75" customHeight="1" x14ac:dyDescent="0.2">
      <c r="A4943" s="258"/>
      <c r="Z4943" s="258"/>
    </row>
    <row r="4944" spans="1:26" ht="12.75" customHeight="1" x14ac:dyDescent="0.2">
      <c r="A4944" s="258"/>
      <c r="Z4944" s="258"/>
    </row>
    <row r="4945" spans="1:26" ht="12.75" customHeight="1" x14ac:dyDescent="0.2">
      <c r="A4945" s="258"/>
      <c r="Z4945" s="258"/>
    </row>
    <row r="4946" spans="1:26" ht="12.75" customHeight="1" x14ac:dyDescent="0.2">
      <c r="A4946" s="258"/>
      <c r="Z4946" s="258"/>
    </row>
    <row r="4947" spans="1:26" ht="12.75" customHeight="1" x14ac:dyDescent="0.2">
      <c r="A4947" s="258"/>
      <c r="Z4947" s="258"/>
    </row>
    <row r="4948" spans="1:26" ht="12.75" customHeight="1" x14ac:dyDescent="0.2">
      <c r="A4948" s="258"/>
      <c r="Z4948" s="258"/>
    </row>
    <row r="4949" spans="1:26" ht="12.75" customHeight="1" x14ac:dyDescent="0.2">
      <c r="A4949" s="258"/>
      <c r="Z4949" s="258"/>
    </row>
    <row r="4950" spans="1:26" ht="12.75" customHeight="1" x14ac:dyDescent="0.2">
      <c r="A4950" s="258"/>
      <c r="Z4950" s="258"/>
    </row>
    <row r="4951" spans="1:26" ht="12.75" customHeight="1" x14ac:dyDescent="0.2">
      <c r="A4951" s="258"/>
      <c r="Z4951" s="258"/>
    </row>
    <row r="4952" spans="1:26" ht="12.75" customHeight="1" x14ac:dyDescent="0.2">
      <c r="A4952" s="258"/>
      <c r="Z4952" s="258"/>
    </row>
    <row r="4953" spans="1:26" ht="12.75" customHeight="1" x14ac:dyDescent="0.2">
      <c r="A4953" s="258"/>
      <c r="Z4953" s="258"/>
    </row>
    <row r="4954" spans="1:26" ht="12.75" customHeight="1" x14ac:dyDescent="0.2">
      <c r="A4954" s="258"/>
      <c r="Z4954" s="258"/>
    </row>
    <row r="4955" spans="1:26" ht="12.75" customHeight="1" x14ac:dyDescent="0.2">
      <c r="A4955" s="258"/>
      <c r="Z4955" s="258"/>
    </row>
    <row r="4956" spans="1:26" ht="12.75" customHeight="1" x14ac:dyDescent="0.2">
      <c r="A4956" s="258"/>
      <c r="Z4956" s="258"/>
    </row>
    <row r="4957" spans="1:26" ht="12.75" customHeight="1" x14ac:dyDescent="0.2">
      <c r="A4957" s="258"/>
      <c r="Z4957" s="258"/>
    </row>
    <row r="4958" spans="1:26" ht="12.75" customHeight="1" x14ac:dyDescent="0.2">
      <c r="A4958" s="258"/>
      <c r="Z4958" s="258"/>
    </row>
    <row r="4959" spans="1:26" ht="12.75" customHeight="1" x14ac:dyDescent="0.2">
      <c r="A4959" s="258"/>
      <c r="Z4959" s="258"/>
    </row>
    <row r="4960" spans="1:26" ht="12.75" customHeight="1" x14ac:dyDescent="0.2">
      <c r="A4960" s="258"/>
      <c r="Z4960" s="258"/>
    </row>
    <row r="4961" spans="1:26" ht="12.75" customHeight="1" x14ac:dyDescent="0.2">
      <c r="A4961" s="258"/>
      <c r="Z4961" s="258"/>
    </row>
    <row r="4962" spans="1:26" ht="12.75" customHeight="1" x14ac:dyDescent="0.2">
      <c r="A4962" s="258"/>
      <c r="Z4962" s="258"/>
    </row>
    <row r="4963" spans="1:26" ht="12.75" customHeight="1" x14ac:dyDescent="0.2">
      <c r="A4963" s="258"/>
      <c r="Z4963" s="258"/>
    </row>
    <row r="4964" spans="1:26" ht="12.75" customHeight="1" x14ac:dyDescent="0.2">
      <c r="A4964" s="258"/>
      <c r="Z4964" s="258"/>
    </row>
    <row r="4965" spans="1:26" ht="12.75" customHeight="1" x14ac:dyDescent="0.2">
      <c r="A4965" s="258"/>
      <c r="Z4965" s="258"/>
    </row>
    <row r="4966" spans="1:26" ht="12.75" customHeight="1" x14ac:dyDescent="0.2">
      <c r="A4966" s="258"/>
      <c r="Z4966" s="258"/>
    </row>
    <row r="4967" spans="1:26" ht="12.75" customHeight="1" x14ac:dyDescent="0.2">
      <c r="A4967" s="258"/>
      <c r="Z4967" s="258"/>
    </row>
    <row r="4968" spans="1:26" ht="12.75" customHeight="1" x14ac:dyDescent="0.2">
      <c r="A4968" s="258"/>
      <c r="Z4968" s="258"/>
    </row>
    <row r="4969" spans="1:26" ht="12.75" customHeight="1" x14ac:dyDescent="0.2">
      <c r="A4969" s="258"/>
      <c r="Z4969" s="258"/>
    </row>
    <row r="4970" spans="1:26" ht="12.75" customHeight="1" x14ac:dyDescent="0.2">
      <c r="A4970" s="258"/>
      <c r="Z4970" s="258"/>
    </row>
    <row r="4971" spans="1:26" ht="12.75" customHeight="1" x14ac:dyDescent="0.2">
      <c r="A4971" s="258"/>
      <c r="Z4971" s="258"/>
    </row>
    <row r="4972" spans="1:26" ht="12.75" customHeight="1" x14ac:dyDescent="0.2">
      <c r="A4972" s="258"/>
      <c r="Z4972" s="258"/>
    </row>
    <row r="4973" spans="1:26" ht="12.75" customHeight="1" x14ac:dyDescent="0.2">
      <c r="A4973" s="258"/>
      <c r="Z4973" s="258"/>
    </row>
    <row r="4974" spans="1:26" ht="12.75" customHeight="1" x14ac:dyDescent="0.2">
      <c r="A4974" s="258"/>
      <c r="Z4974" s="258"/>
    </row>
    <row r="4975" spans="1:26" ht="12.75" customHeight="1" x14ac:dyDescent="0.2">
      <c r="A4975" s="258"/>
      <c r="Z4975" s="258"/>
    </row>
    <row r="4976" spans="1:26" ht="12.75" customHeight="1" x14ac:dyDescent="0.2">
      <c r="A4976" s="258"/>
      <c r="Z4976" s="258"/>
    </row>
    <row r="4977" spans="1:26" ht="12.75" customHeight="1" x14ac:dyDescent="0.2">
      <c r="A4977" s="258"/>
      <c r="Z4977" s="258"/>
    </row>
    <row r="4978" spans="1:26" ht="12.75" customHeight="1" x14ac:dyDescent="0.2">
      <c r="A4978" s="258"/>
      <c r="Z4978" s="258"/>
    </row>
    <row r="4979" spans="1:26" ht="12.75" customHeight="1" x14ac:dyDescent="0.2">
      <c r="A4979" s="258"/>
      <c r="Z4979" s="258"/>
    </row>
    <row r="4980" spans="1:26" ht="12.75" customHeight="1" x14ac:dyDescent="0.2">
      <c r="A4980" s="258"/>
      <c r="Z4980" s="258"/>
    </row>
    <row r="4981" spans="1:26" ht="12.75" customHeight="1" x14ac:dyDescent="0.2">
      <c r="A4981" s="258"/>
      <c r="Z4981" s="258"/>
    </row>
    <row r="4982" spans="1:26" ht="12.75" customHeight="1" x14ac:dyDescent="0.2">
      <c r="A4982" s="258"/>
      <c r="Z4982" s="258"/>
    </row>
    <row r="4983" spans="1:26" ht="12.75" customHeight="1" x14ac:dyDescent="0.2">
      <c r="A4983" s="258"/>
      <c r="Z4983" s="258"/>
    </row>
    <row r="4984" spans="1:26" ht="12.75" customHeight="1" x14ac:dyDescent="0.2">
      <c r="A4984" s="258"/>
      <c r="Z4984" s="258"/>
    </row>
    <row r="4985" spans="1:26" ht="12.75" customHeight="1" x14ac:dyDescent="0.2">
      <c r="A4985" s="258"/>
      <c r="Z4985" s="258"/>
    </row>
    <row r="4986" spans="1:26" ht="12.75" customHeight="1" x14ac:dyDescent="0.2">
      <c r="A4986" s="258"/>
      <c r="Z4986" s="258"/>
    </row>
    <row r="4987" spans="1:26" ht="12.75" customHeight="1" x14ac:dyDescent="0.2">
      <c r="A4987" s="258"/>
      <c r="Z4987" s="258"/>
    </row>
    <row r="4988" spans="1:26" ht="12.75" customHeight="1" x14ac:dyDescent="0.2">
      <c r="A4988" s="258"/>
      <c r="Z4988" s="258"/>
    </row>
    <row r="4989" spans="1:26" ht="12.75" customHeight="1" x14ac:dyDescent="0.2">
      <c r="A4989" s="258"/>
      <c r="Z4989" s="258"/>
    </row>
    <row r="4990" spans="1:26" ht="12.75" customHeight="1" x14ac:dyDescent="0.2">
      <c r="A4990" s="258"/>
      <c r="Z4990" s="258"/>
    </row>
    <row r="4991" spans="1:26" ht="12.75" customHeight="1" x14ac:dyDescent="0.2">
      <c r="A4991" s="258"/>
      <c r="Z4991" s="258"/>
    </row>
    <row r="4992" spans="1:26" ht="12.75" customHeight="1" x14ac:dyDescent="0.2">
      <c r="A4992" s="258"/>
      <c r="Z4992" s="258"/>
    </row>
    <row r="4993" spans="1:26" ht="12.75" customHeight="1" x14ac:dyDescent="0.2">
      <c r="A4993" s="258"/>
      <c r="Z4993" s="258"/>
    </row>
    <row r="4994" spans="1:26" ht="12.75" customHeight="1" x14ac:dyDescent="0.2">
      <c r="A4994" s="258"/>
      <c r="Z4994" s="258"/>
    </row>
    <row r="4995" spans="1:26" ht="12.75" customHeight="1" x14ac:dyDescent="0.2">
      <c r="A4995" s="258"/>
      <c r="Z4995" s="258"/>
    </row>
    <row r="4996" spans="1:26" ht="12.75" customHeight="1" x14ac:dyDescent="0.2">
      <c r="A4996" s="258"/>
      <c r="Z4996" s="258"/>
    </row>
    <row r="4997" spans="1:26" ht="12.75" customHeight="1" x14ac:dyDescent="0.2">
      <c r="A4997" s="258"/>
      <c r="Z4997" s="258"/>
    </row>
    <row r="4998" spans="1:26" ht="12.75" customHeight="1" x14ac:dyDescent="0.2">
      <c r="A4998" s="258"/>
      <c r="Z4998" s="258"/>
    </row>
    <row r="4999" spans="1:26" ht="12.75" customHeight="1" x14ac:dyDescent="0.2">
      <c r="A4999" s="258"/>
      <c r="Z4999" s="258"/>
    </row>
    <row r="5000" spans="1:26" ht="12.75" customHeight="1" x14ac:dyDescent="0.2">
      <c r="A5000" s="258"/>
      <c r="Z5000" s="258"/>
    </row>
    <row r="5001" spans="1:26" ht="12.75" customHeight="1" x14ac:dyDescent="0.2">
      <c r="A5001" s="258"/>
      <c r="Z5001" s="258"/>
    </row>
    <row r="5002" spans="1:26" ht="12.75" customHeight="1" x14ac:dyDescent="0.2">
      <c r="A5002" s="258"/>
      <c r="Z5002" s="258"/>
    </row>
    <row r="5003" spans="1:26" ht="12.75" customHeight="1" x14ac:dyDescent="0.2">
      <c r="A5003" s="258"/>
      <c r="Z5003" s="258"/>
    </row>
    <row r="5004" spans="1:26" ht="12.75" customHeight="1" x14ac:dyDescent="0.2">
      <c r="A5004" s="258"/>
      <c r="Z5004" s="258"/>
    </row>
    <row r="5005" spans="1:26" ht="12.75" customHeight="1" x14ac:dyDescent="0.2">
      <c r="A5005" s="258"/>
      <c r="Z5005" s="258"/>
    </row>
    <row r="5006" spans="1:26" ht="12.75" customHeight="1" x14ac:dyDescent="0.2">
      <c r="A5006" s="258"/>
      <c r="Z5006" s="258"/>
    </row>
    <row r="5007" spans="1:26" ht="12.75" customHeight="1" x14ac:dyDescent="0.2">
      <c r="A5007" s="258"/>
      <c r="Z5007" s="258"/>
    </row>
    <row r="5008" spans="1:26" ht="12.75" customHeight="1" x14ac:dyDescent="0.2">
      <c r="A5008" s="258"/>
      <c r="Z5008" s="258"/>
    </row>
    <row r="5009" spans="1:26" ht="12.75" customHeight="1" x14ac:dyDescent="0.2">
      <c r="A5009" s="258"/>
      <c r="Z5009" s="258"/>
    </row>
    <row r="5010" spans="1:26" ht="12.75" customHeight="1" x14ac:dyDescent="0.2">
      <c r="A5010" s="258"/>
      <c r="Z5010" s="258"/>
    </row>
    <row r="5011" spans="1:26" ht="12.75" customHeight="1" x14ac:dyDescent="0.2">
      <c r="A5011" s="258"/>
      <c r="Z5011" s="258"/>
    </row>
    <row r="5012" spans="1:26" ht="12.75" customHeight="1" x14ac:dyDescent="0.2">
      <c r="A5012" s="258"/>
      <c r="Z5012" s="258"/>
    </row>
    <row r="5013" spans="1:26" ht="12.75" customHeight="1" x14ac:dyDescent="0.2">
      <c r="A5013" s="258"/>
      <c r="Z5013" s="258"/>
    </row>
    <row r="5014" spans="1:26" ht="12.75" customHeight="1" x14ac:dyDescent="0.2">
      <c r="A5014" s="258"/>
      <c r="Z5014" s="258"/>
    </row>
    <row r="5015" spans="1:26" ht="12.75" customHeight="1" x14ac:dyDescent="0.2">
      <c r="A5015" s="258"/>
      <c r="Z5015" s="258"/>
    </row>
    <row r="5016" spans="1:26" ht="12.75" customHeight="1" x14ac:dyDescent="0.2">
      <c r="A5016" s="258"/>
      <c r="Z5016" s="258"/>
    </row>
    <row r="5017" spans="1:26" ht="12.75" customHeight="1" x14ac:dyDescent="0.2">
      <c r="A5017" s="258"/>
      <c r="Z5017" s="258"/>
    </row>
    <row r="5018" spans="1:26" ht="12.75" customHeight="1" x14ac:dyDescent="0.2">
      <c r="A5018" s="258"/>
      <c r="Z5018" s="258"/>
    </row>
    <row r="5019" spans="1:26" ht="12.75" customHeight="1" x14ac:dyDescent="0.2">
      <c r="A5019" s="258"/>
      <c r="Z5019" s="258"/>
    </row>
    <row r="5020" spans="1:26" ht="12.75" customHeight="1" x14ac:dyDescent="0.2">
      <c r="A5020" s="258"/>
      <c r="Z5020" s="258"/>
    </row>
    <row r="5021" spans="1:26" ht="12.75" customHeight="1" x14ac:dyDescent="0.2">
      <c r="A5021" s="258"/>
      <c r="Z5021" s="258"/>
    </row>
    <row r="5022" spans="1:26" ht="12.75" customHeight="1" x14ac:dyDescent="0.2">
      <c r="A5022" s="258"/>
      <c r="Z5022" s="258"/>
    </row>
    <row r="5023" spans="1:26" ht="12.75" customHeight="1" x14ac:dyDescent="0.2">
      <c r="A5023" s="258"/>
      <c r="Z5023" s="258"/>
    </row>
    <row r="5024" spans="1:26" ht="12.75" customHeight="1" x14ac:dyDescent="0.2">
      <c r="A5024" s="258"/>
      <c r="Z5024" s="258"/>
    </row>
    <row r="5025" spans="1:26" ht="12.75" customHeight="1" x14ac:dyDescent="0.2">
      <c r="A5025" s="258"/>
      <c r="Z5025" s="258"/>
    </row>
    <row r="5026" spans="1:26" ht="12.75" customHeight="1" x14ac:dyDescent="0.2">
      <c r="A5026" s="258"/>
      <c r="Z5026" s="258"/>
    </row>
    <row r="5027" spans="1:26" ht="12.75" customHeight="1" x14ac:dyDescent="0.2">
      <c r="A5027" s="258"/>
      <c r="Z5027" s="258"/>
    </row>
    <row r="5028" spans="1:26" ht="12.75" customHeight="1" x14ac:dyDescent="0.2">
      <c r="A5028" s="258"/>
      <c r="Z5028" s="258"/>
    </row>
    <row r="5029" spans="1:26" ht="12.75" customHeight="1" x14ac:dyDescent="0.2">
      <c r="A5029" s="258"/>
      <c r="Z5029" s="258"/>
    </row>
    <row r="5030" spans="1:26" ht="12.75" customHeight="1" x14ac:dyDescent="0.2">
      <c r="A5030" s="258"/>
      <c r="Z5030" s="258"/>
    </row>
    <row r="5031" spans="1:26" ht="12.75" customHeight="1" x14ac:dyDescent="0.2">
      <c r="A5031" s="258"/>
      <c r="Z5031" s="258"/>
    </row>
    <row r="5032" spans="1:26" ht="12.75" customHeight="1" x14ac:dyDescent="0.2">
      <c r="A5032" s="258"/>
      <c r="Z5032" s="258"/>
    </row>
    <row r="5033" spans="1:26" ht="12.75" customHeight="1" x14ac:dyDescent="0.2">
      <c r="A5033" s="258"/>
      <c r="Z5033" s="258"/>
    </row>
    <row r="5034" spans="1:26" ht="12.75" customHeight="1" x14ac:dyDescent="0.2">
      <c r="A5034" s="258"/>
      <c r="Z5034" s="258"/>
    </row>
    <row r="5035" spans="1:26" ht="12.75" customHeight="1" x14ac:dyDescent="0.2">
      <c r="A5035" s="258"/>
      <c r="Z5035" s="258"/>
    </row>
    <row r="5036" spans="1:26" ht="12.75" customHeight="1" x14ac:dyDescent="0.2">
      <c r="A5036" s="258"/>
      <c r="Z5036" s="258"/>
    </row>
    <row r="5037" spans="1:26" ht="12.75" customHeight="1" x14ac:dyDescent="0.2">
      <c r="A5037" s="258"/>
      <c r="Z5037" s="258"/>
    </row>
    <row r="5038" spans="1:26" ht="12.75" customHeight="1" x14ac:dyDescent="0.2">
      <c r="A5038" s="258"/>
      <c r="Z5038" s="258"/>
    </row>
    <row r="5039" spans="1:26" ht="12.75" customHeight="1" x14ac:dyDescent="0.2">
      <c r="A5039" s="258"/>
      <c r="Z5039" s="258"/>
    </row>
    <row r="5040" spans="1:26" ht="12.75" customHeight="1" x14ac:dyDescent="0.2">
      <c r="A5040" s="258"/>
      <c r="Z5040" s="258"/>
    </row>
    <row r="5041" spans="1:26" ht="12.75" customHeight="1" x14ac:dyDescent="0.2">
      <c r="A5041" s="258"/>
      <c r="Z5041" s="258"/>
    </row>
    <row r="5042" spans="1:26" ht="12.75" customHeight="1" x14ac:dyDescent="0.2">
      <c r="A5042" s="258"/>
      <c r="Z5042" s="258"/>
    </row>
    <row r="5043" spans="1:26" ht="12.75" customHeight="1" x14ac:dyDescent="0.2">
      <c r="A5043" s="258"/>
      <c r="Z5043" s="258"/>
    </row>
    <row r="5044" spans="1:26" ht="12.75" customHeight="1" x14ac:dyDescent="0.2">
      <c r="A5044" s="258"/>
      <c r="Z5044" s="258"/>
    </row>
    <row r="5045" spans="1:26" ht="12.75" customHeight="1" x14ac:dyDescent="0.2">
      <c r="A5045" s="258"/>
      <c r="Z5045" s="258"/>
    </row>
    <row r="5046" spans="1:26" ht="12.75" customHeight="1" x14ac:dyDescent="0.2">
      <c r="A5046" s="258"/>
      <c r="Z5046" s="258"/>
    </row>
    <row r="5047" spans="1:26" ht="12.75" customHeight="1" x14ac:dyDescent="0.2">
      <c r="A5047" s="258"/>
      <c r="Z5047" s="258"/>
    </row>
    <row r="5048" spans="1:26" ht="12.75" customHeight="1" x14ac:dyDescent="0.2">
      <c r="A5048" s="258"/>
      <c r="Z5048" s="258"/>
    </row>
    <row r="5049" spans="1:26" ht="12.75" customHeight="1" x14ac:dyDescent="0.2">
      <c r="A5049" s="258"/>
      <c r="Z5049" s="258"/>
    </row>
    <row r="5050" spans="1:26" ht="12.75" customHeight="1" x14ac:dyDescent="0.2">
      <c r="A5050" s="258"/>
      <c r="Z5050" s="258"/>
    </row>
    <row r="5051" spans="1:26" ht="12.75" customHeight="1" x14ac:dyDescent="0.2">
      <c r="A5051" s="258"/>
      <c r="Z5051" s="258"/>
    </row>
    <row r="5052" spans="1:26" ht="12.75" customHeight="1" x14ac:dyDescent="0.2">
      <c r="A5052" s="258"/>
      <c r="Z5052" s="258"/>
    </row>
    <row r="5053" spans="1:26" ht="12.75" customHeight="1" x14ac:dyDescent="0.2">
      <c r="A5053" s="258"/>
      <c r="Z5053" s="258"/>
    </row>
    <row r="5054" spans="1:26" ht="12.75" customHeight="1" x14ac:dyDescent="0.2">
      <c r="A5054" s="258"/>
      <c r="Z5054" s="258"/>
    </row>
    <row r="5055" spans="1:26" ht="12.75" customHeight="1" x14ac:dyDescent="0.2">
      <c r="A5055" s="258"/>
      <c r="Z5055" s="258"/>
    </row>
    <row r="5056" spans="1:26" ht="12.75" customHeight="1" x14ac:dyDescent="0.2">
      <c r="A5056" s="258"/>
      <c r="Z5056" s="258"/>
    </row>
    <row r="5057" spans="1:26" ht="12.75" customHeight="1" x14ac:dyDescent="0.2">
      <c r="A5057" s="258"/>
      <c r="Z5057" s="258"/>
    </row>
    <row r="5058" spans="1:26" ht="12.75" customHeight="1" x14ac:dyDescent="0.2">
      <c r="A5058" s="258"/>
      <c r="Z5058" s="258"/>
    </row>
    <row r="5059" spans="1:26" ht="12.75" customHeight="1" x14ac:dyDescent="0.2">
      <c r="A5059" s="258"/>
      <c r="Z5059" s="258"/>
    </row>
    <row r="5060" spans="1:26" ht="12.75" customHeight="1" x14ac:dyDescent="0.2">
      <c r="A5060" s="258"/>
      <c r="Z5060" s="258"/>
    </row>
    <row r="5061" spans="1:26" ht="12.75" customHeight="1" x14ac:dyDescent="0.2">
      <c r="A5061" s="258"/>
      <c r="Z5061" s="258"/>
    </row>
    <row r="5062" spans="1:26" ht="12.75" customHeight="1" x14ac:dyDescent="0.2">
      <c r="A5062" s="258"/>
      <c r="Z5062" s="258"/>
    </row>
    <row r="5063" spans="1:26" ht="12.75" customHeight="1" x14ac:dyDescent="0.2">
      <c r="A5063" s="258"/>
      <c r="Z5063" s="258"/>
    </row>
    <row r="5064" spans="1:26" ht="12.75" customHeight="1" x14ac:dyDescent="0.2">
      <c r="A5064" s="258"/>
      <c r="Z5064" s="258"/>
    </row>
    <row r="5065" spans="1:26" ht="12.75" customHeight="1" x14ac:dyDescent="0.2">
      <c r="A5065" s="258"/>
      <c r="Z5065" s="258"/>
    </row>
    <row r="5066" spans="1:26" ht="12.75" customHeight="1" x14ac:dyDescent="0.2">
      <c r="A5066" s="258"/>
      <c r="Z5066" s="258"/>
    </row>
    <row r="5067" spans="1:26" ht="12.75" customHeight="1" x14ac:dyDescent="0.2">
      <c r="A5067" s="258"/>
      <c r="Z5067" s="258"/>
    </row>
    <row r="5068" spans="1:26" ht="12.75" customHeight="1" x14ac:dyDescent="0.2">
      <c r="A5068" s="258"/>
      <c r="Z5068" s="258"/>
    </row>
    <row r="5069" spans="1:26" ht="12.75" customHeight="1" x14ac:dyDescent="0.2">
      <c r="A5069" s="258"/>
      <c r="Z5069" s="258"/>
    </row>
    <row r="5070" spans="1:26" ht="12.75" customHeight="1" x14ac:dyDescent="0.2">
      <c r="A5070" s="258"/>
      <c r="Z5070" s="258"/>
    </row>
    <row r="5071" spans="1:26" ht="12.75" customHeight="1" x14ac:dyDescent="0.2">
      <c r="A5071" s="258"/>
      <c r="Z5071" s="258"/>
    </row>
    <row r="5072" spans="1:26" ht="12.75" customHeight="1" x14ac:dyDescent="0.2">
      <c r="A5072" s="258"/>
      <c r="Z5072" s="258"/>
    </row>
    <row r="5073" spans="1:26" ht="12.75" customHeight="1" x14ac:dyDescent="0.2">
      <c r="A5073" s="258"/>
      <c r="Z5073" s="258"/>
    </row>
    <row r="5074" spans="1:26" ht="12.75" customHeight="1" x14ac:dyDescent="0.2">
      <c r="A5074" s="258"/>
      <c r="Z5074" s="258"/>
    </row>
    <row r="5075" spans="1:26" ht="12.75" customHeight="1" x14ac:dyDescent="0.2">
      <c r="A5075" s="258"/>
      <c r="Z5075" s="258"/>
    </row>
    <row r="5076" spans="1:26" ht="12.75" customHeight="1" x14ac:dyDescent="0.2">
      <c r="A5076" s="258"/>
      <c r="Z5076" s="258"/>
    </row>
    <row r="5077" spans="1:26" ht="12.75" customHeight="1" x14ac:dyDescent="0.2">
      <c r="A5077" s="258"/>
      <c r="Z5077" s="258"/>
    </row>
    <row r="5078" spans="1:26" ht="12.75" customHeight="1" x14ac:dyDescent="0.2">
      <c r="A5078" s="258"/>
      <c r="Z5078" s="258"/>
    </row>
    <row r="5079" spans="1:26" ht="12.75" customHeight="1" x14ac:dyDescent="0.2">
      <c r="A5079" s="258"/>
      <c r="Z5079" s="258"/>
    </row>
    <row r="5080" spans="1:26" ht="12.75" customHeight="1" x14ac:dyDescent="0.2">
      <c r="A5080" s="258"/>
      <c r="Z5080" s="258"/>
    </row>
    <row r="5081" spans="1:26" ht="12.75" customHeight="1" x14ac:dyDescent="0.2">
      <c r="A5081" s="258"/>
      <c r="Z5081" s="258"/>
    </row>
    <row r="5082" spans="1:26" ht="12.75" customHeight="1" x14ac:dyDescent="0.2">
      <c r="A5082" s="258"/>
      <c r="Z5082" s="258"/>
    </row>
    <row r="5083" spans="1:26" ht="12.75" customHeight="1" x14ac:dyDescent="0.2">
      <c r="A5083" s="258"/>
      <c r="Z5083" s="258"/>
    </row>
    <row r="5084" spans="1:26" ht="12.75" customHeight="1" x14ac:dyDescent="0.2">
      <c r="A5084" s="258"/>
      <c r="Z5084" s="258"/>
    </row>
    <row r="5085" spans="1:26" ht="12.75" customHeight="1" x14ac:dyDescent="0.2">
      <c r="A5085" s="258"/>
      <c r="Z5085" s="258"/>
    </row>
    <row r="5086" spans="1:26" ht="12.75" customHeight="1" x14ac:dyDescent="0.2">
      <c r="A5086" s="258"/>
      <c r="Z5086" s="258"/>
    </row>
    <row r="5087" spans="1:26" ht="12.75" customHeight="1" x14ac:dyDescent="0.2">
      <c r="A5087" s="258"/>
      <c r="Z5087" s="258"/>
    </row>
    <row r="5088" spans="1:26" ht="12.75" customHeight="1" x14ac:dyDescent="0.2">
      <c r="A5088" s="258"/>
      <c r="Z5088" s="258"/>
    </row>
    <row r="5089" spans="1:26" ht="12.75" customHeight="1" x14ac:dyDescent="0.2">
      <c r="A5089" s="258"/>
      <c r="Z5089" s="258"/>
    </row>
    <row r="5090" spans="1:26" ht="12.75" customHeight="1" x14ac:dyDescent="0.2">
      <c r="A5090" s="258"/>
      <c r="Z5090" s="258"/>
    </row>
    <row r="5091" spans="1:26" ht="12.75" customHeight="1" x14ac:dyDescent="0.2">
      <c r="A5091" s="258"/>
      <c r="Z5091" s="258"/>
    </row>
    <row r="5092" spans="1:26" ht="12.75" customHeight="1" x14ac:dyDescent="0.2">
      <c r="A5092" s="258"/>
      <c r="Z5092" s="258"/>
    </row>
    <row r="5093" spans="1:26" ht="12.75" customHeight="1" x14ac:dyDescent="0.2">
      <c r="A5093" s="258"/>
      <c r="Z5093" s="258"/>
    </row>
    <row r="5094" spans="1:26" ht="12.75" customHeight="1" x14ac:dyDescent="0.2">
      <c r="A5094" s="258"/>
      <c r="Z5094" s="258"/>
    </row>
    <row r="5095" spans="1:26" ht="12.75" customHeight="1" x14ac:dyDescent="0.2">
      <c r="A5095" s="258"/>
      <c r="Z5095" s="258"/>
    </row>
    <row r="5096" spans="1:26" ht="12.75" customHeight="1" x14ac:dyDescent="0.2">
      <c r="A5096" s="258"/>
      <c r="Z5096" s="258"/>
    </row>
    <row r="5097" spans="1:26" ht="12.75" customHeight="1" x14ac:dyDescent="0.2">
      <c r="A5097" s="258"/>
      <c r="Z5097" s="258"/>
    </row>
    <row r="5098" spans="1:26" ht="12.75" customHeight="1" x14ac:dyDescent="0.2">
      <c r="A5098" s="258"/>
      <c r="Z5098" s="258"/>
    </row>
    <row r="5099" spans="1:26" ht="12.75" customHeight="1" x14ac:dyDescent="0.2">
      <c r="A5099" s="258"/>
      <c r="Z5099" s="258"/>
    </row>
    <row r="5100" spans="1:26" ht="12.75" customHeight="1" x14ac:dyDescent="0.2">
      <c r="A5100" s="258"/>
      <c r="Z5100" s="258"/>
    </row>
    <row r="5101" spans="1:26" ht="12.75" customHeight="1" x14ac:dyDescent="0.2">
      <c r="A5101" s="258"/>
      <c r="Z5101" s="258"/>
    </row>
    <row r="5102" spans="1:26" ht="12.75" customHeight="1" x14ac:dyDescent="0.2">
      <c r="A5102" s="258"/>
      <c r="Z5102" s="258"/>
    </row>
    <row r="5103" spans="1:26" ht="12.75" customHeight="1" x14ac:dyDescent="0.2">
      <c r="A5103" s="258"/>
      <c r="Z5103" s="258"/>
    </row>
    <row r="5104" spans="1:26" ht="12.75" customHeight="1" x14ac:dyDescent="0.2">
      <c r="A5104" s="258"/>
      <c r="Z5104" s="258"/>
    </row>
    <row r="5105" spans="1:26" ht="12.75" customHeight="1" x14ac:dyDescent="0.2">
      <c r="A5105" s="258"/>
      <c r="Z5105" s="258"/>
    </row>
    <row r="5106" spans="1:26" ht="12.75" customHeight="1" x14ac:dyDescent="0.2">
      <c r="A5106" s="258"/>
      <c r="Z5106" s="258"/>
    </row>
    <row r="5107" spans="1:26" ht="12.75" customHeight="1" x14ac:dyDescent="0.2">
      <c r="A5107" s="258"/>
      <c r="Z5107" s="258"/>
    </row>
    <row r="5108" spans="1:26" ht="12.75" customHeight="1" x14ac:dyDescent="0.2">
      <c r="A5108" s="258"/>
      <c r="Z5108" s="258"/>
    </row>
    <row r="5109" spans="1:26" ht="12.75" customHeight="1" x14ac:dyDescent="0.2">
      <c r="A5109" s="258"/>
      <c r="Z5109" s="258"/>
    </row>
    <row r="5110" spans="1:26" ht="12.75" customHeight="1" x14ac:dyDescent="0.2">
      <c r="A5110" s="258"/>
      <c r="Z5110" s="258"/>
    </row>
    <row r="5111" spans="1:26" ht="12.75" customHeight="1" x14ac:dyDescent="0.2">
      <c r="A5111" s="258"/>
      <c r="Z5111" s="258"/>
    </row>
    <row r="5112" spans="1:26" ht="12.75" customHeight="1" x14ac:dyDescent="0.2">
      <c r="A5112" s="258"/>
      <c r="Z5112" s="258"/>
    </row>
    <row r="5113" spans="1:26" ht="12.75" customHeight="1" x14ac:dyDescent="0.2">
      <c r="A5113" s="258"/>
      <c r="Z5113" s="258"/>
    </row>
    <row r="5114" spans="1:26" ht="12.75" customHeight="1" x14ac:dyDescent="0.2">
      <c r="A5114" s="258"/>
      <c r="Z5114" s="258"/>
    </row>
    <row r="5115" spans="1:26" ht="12.75" customHeight="1" x14ac:dyDescent="0.2">
      <c r="A5115" s="258"/>
      <c r="Z5115" s="258"/>
    </row>
    <row r="5116" spans="1:26" ht="12.75" customHeight="1" x14ac:dyDescent="0.2">
      <c r="A5116" s="258"/>
      <c r="Z5116" s="258"/>
    </row>
    <row r="5117" spans="1:26" ht="12.75" customHeight="1" x14ac:dyDescent="0.2">
      <c r="A5117" s="258"/>
      <c r="Z5117" s="258"/>
    </row>
    <row r="5118" spans="1:26" ht="12.75" customHeight="1" x14ac:dyDescent="0.2">
      <c r="A5118" s="258"/>
      <c r="Z5118" s="258"/>
    </row>
    <row r="5119" spans="1:26" ht="12.75" customHeight="1" x14ac:dyDescent="0.2">
      <c r="A5119" s="258"/>
      <c r="Z5119" s="258"/>
    </row>
    <row r="5120" spans="1:26" ht="12.75" customHeight="1" x14ac:dyDescent="0.2">
      <c r="A5120" s="258"/>
      <c r="Z5120" s="258"/>
    </row>
    <row r="5121" spans="1:26" ht="12.75" customHeight="1" x14ac:dyDescent="0.2">
      <c r="A5121" s="258"/>
      <c r="Z5121" s="258"/>
    </row>
    <row r="5122" spans="1:26" ht="12.75" customHeight="1" x14ac:dyDescent="0.2">
      <c r="A5122" s="258"/>
      <c r="Z5122" s="258"/>
    </row>
    <row r="5123" spans="1:26" ht="12.75" customHeight="1" x14ac:dyDescent="0.2">
      <c r="A5123" s="258"/>
      <c r="Z5123" s="258"/>
    </row>
    <row r="5124" spans="1:26" ht="12.75" customHeight="1" x14ac:dyDescent="0.2">
      <c r="A5124" s="258"/>
      <c r="Z5124" s="258"/>
    </row>
    <row r="5125" spans="1:26" ht="12.75" customHeight="1" x14ac:dyDescent="0.2">
      <c r="A5125" s="258"/>
      <c r="Z5125" s="258"/>
    </row>
    <row r="5126" spans="1:26" ht="12.75" customHeight="1" x14ac:dyDescent="0.2">
      <c r="A5126" s="258"/>
      <c r="Z5126" s="258"/>
    </row>
    <row r="5127" spans="1:26" ht="12.75" customHeight="1" x14ac:dyDescent="0.2">
      <c r="A5127" s="258"/>
      <c r="Z5127" s="258"/>
    </row>
    <row r="5128" spans="1:26" ht="12.75" customHeight="1" x14ac:dyDescent="0.2">
      <c r="A5128" s="258"/>
      <c r="Z5128" s="258"/>
    </row>
    <row r="5129" spans="1:26" ht="12.75" customHeight="1" x14ac:dyDescent="0.2">
      <c r="A5129" s="258"/>
      <c r="Z5129" s="258"/>
    </row>
    <row r="5130" spans="1:26" ht="12.75" customHeight="1" x14ac:dyDescent="0.2">
      <c r="A5130" s="258"/>
      <c r="Z5130" s="258"/>
    </row>
    <row r="5131" spans="1:26" ht="12.75" customHeight="1" x14ac:dyDescent="0.2">
      <c r="A5131" s="258"/>
      <c r="Z5131" s="258"/>
    </row>
    <row r="5132" spans="1:26" ht="12.75" customHeight="1" x14ac:dyDescent="0.2">
      <c r="A5132" s="258"/>
      <c r="Z5132" s="258"/>
    </row>
    <row r="5133" spans="1:26" ht="12.75" customHeight="1" x14ac:dyDescent="0.2">
      <c r="A5133" s="258"/>
      <c r="Z5133" s="258"/>
    </row>
    <row r="5134" spans="1:26" ht="12.75" customHeight="1" x14ac:dyDescent="0.2">
      <c r="A5134" s="258"/>
      <c r="Z5134" s="258"/>
    </row>
    <row r="5135" spans="1:26" ht="12.75" customHeight="1" x14ac:dyDescent="0.2">
      <c r="A5135" s="258"/>
      <c r="Z5135" s="258"/>
    </row>
    <row r="5136" spans="1:26" ht="12.75" customHeight="1" x14ac:dyDescent="0.2">
      <c r="A5136" s="258"/>
      <c r="Z5136" s="258"/>
    </row>
    <row r="5137" spans="1:26" ht="12.75" customHeight="1" x14ac:dyDescent="0.2">
      <c r="A5137" s="258"/>
      <c r="Z5137" s="258"/>
    </row>
    <row r="5138" spans="1:26" ht="12.75" customHeight="1" x14ac:dyDescent="0.2">
      <c r="A5138" s="258"/>
      <c r="Z5138" s="258"/>
    </row>
    <row r="5139" spans="1:26" ht="12.75" customHeight="1" x14ac:dyDescent="0.2">
      <c r="A5139" s="258"/>
      <c r="Z5139" s="258"/>
    </row>
    <row r="5140" spans="1:26" ht="12.75" customHeight="1" x14ac:dyDescent="0.2">
      <c r="A5140" s="258"/>
      <c r="Z5140" s="258"/>
    </row>
    <row r="5141" spans="1:26" ht="12.75" customHeight="1" x14ac:dyDescent="0.2">
      <c r="A5141" s="258"/>
      <c r="Z5141" s="258"/>
    </row>
    <row r="5142" spans="1:26" ht="12.75" customHeight="1" x14ac:dyDescent="0.2">
      <c r="A5142" s="258"/>
      <c r="Z5142" s="258"/>
    </row>
    <row r="5143" spans="1:26" ht="12.75" customHeight="1" x14ac:dyDescent="0.2">
      <c r="A5143" s="258"/>
      <c r="Z5143" s="258"/>
    </row>
    <row r="5144" spans="1:26" ht="12.75" customHeight="1" x14ac:dyDescent="0.2">
      <c r="A5144" s="258"/>
      <c r="Z5144" s="258"/>
    </row>
    <row r="5145" spans="1:26" ht="12.75" customHeight="1" x14ac:dyDescent="0.2">
      <c r="A5145" s="258"/>
      <c r="Z5145" s="258"/>
    </row>
    <row r="5146" spans="1:26" ht="12.75" customHeight="1" x14ac:dyDescent="0.2">
      <c r="A5146" s="258"/>
      <c r="Z5146" s="258"/>
    </row>
    <row r="5147" spans="1:26" ht="12.75" customHeight="1" x14ac:dyDescent="0.2">
      <c r="A5147" s="258"/>
      <c r="Z5147" s="258"/>
    </row>
    <row r="5148" spans="1:26" ht="12.75" customHeight="1" x14ac:dyDescent="0.2">
      <c r="A5148" s="258"/>
      <c r="Z5148" s="258"/>
    </row>
    <row r="5149" spans="1:26" ht="12.75" customHeight="1" x14ac:dyDescent="0.2">
      <c r="A5149" s="258"/>
      <c r="Z5149" s="258"/>
    </row>
    <row r="5150" spans="1:26" ht="12.75" customHeight="1" x14ac:dyDescent="0.2">
      <c r="A5150" s="258"/>
      <c r="Z5150" s="258"/>
    </row>
    <row r="5151" spans="1:26" ht="12.75" customHeight="1" x14ac:dyDescent="0.2">
      <c r="A5151" s="258"/>
      <c r="Z5151" s="258"/>
    </row>
    <row r="5152" spans="1:26" ht="12.75" customHeight="1" x14ac:dyDescent="0.2">
      <c r="A5152" s="258"/>
      <c r="Z5152" s="258"/>
    </row>
    <row r="5153" spans="1:26" ht="12.75" customHeight="1" x14ac:dyDescent="0.2">
      <c r="A5153" s="258"/>
      <c r="Z5153" s="258"/>
    </row>
    <row r="5154" spans="1:26" ht="12.75" customHeight="1" x14ac:dyDescent="0.2">
      <c r="A5154" s="258"/>
      <c r="Z5154" s="258"/>
    </row>
    <row r="5155" spans="1:26" ht="12.75" customHeight="1" x14ac:dyDescent="0.2">
      <c r="A5155" s="258"/>
      <c r="Z5155" s="258"/>
    </row>
    <row r="5156" spans="1:26" ht="12.75" customHeight="1" x14ac:dyDescent="0.2">
      <c r="A5156" s="258"/>
      <c r="Z5156" s="258"/>
    </row>
    <row r="5157" spans="1:26" ht="12.75" customHeight="1" x14ac:dyDescent="0.2">
      <c r="A5157" s="258"/>
      <c r="Z5157" s="258"/>
    </row>
    <row r="5158" spans="1:26" ht="12.75" customHeight="1" x14ac:dyDescent="0.2">
      <c r="A5158" s="258"/>
      <c r="Z5158" s="258"/>
    </row>
    <row r="5159" spans="1:26" ht="12.75" customHeight="1" x14ac:dyDescent="0.2">
      <c r="A5159" s="258"/>
      <c r="Z5159" s="258"/>
    </row>
    <row r="5160" spans="1:26" ht="12.75" customHeight="1" x14ac:dyDescent="0.2">
      <c r="A5160" s="258"/>
      <c r="Z5160" s="258"/>
    </row>
    <row r="5161" spans="1:26" ht="12.75" customHeight="1" x14ac:dyDescent="0.2">
      <c r="A5161" s="258"/>
      <c r="Z5161" s="258"/>
    </row>
    <row r="5162" spans="1:26" ht="12.75" customHeight="1" x14ac:dyDescent="0.2">
      <c r="A5162" s="258"/>
      <c r="Z5162" s="258"/>
    </row>
    <row r="5163" spans="1:26" ht="12.75" customHeight="1" x14ac:dyDescent="0.2">
      <c r="A5163" s="258"/>
      <c r="Z5163" s="258"/>
    </row>
    <row r="5164" spans="1:26" ht="12.75" customHeight="1" x14ac:dyDescent="0.2">
      <c r="A5164" s="258"/>
      <c r="Z5164" s="258"/>
    </row>
    <row r="5165" spans="1:26" ht="12.75" customHeight="1" x14ac:dyDescent="0.2">
      <c r="A5165" s="258"/>
      <c r="Z5165" s="258"/>
    </row>
    <row r="5166" spans="1:26" ht="12.75" customHeight="1" x14ac:dyDescent="0.2">
      <c r="A5166" s="258"/>
      <c r="Z5166" s="258"/>
    </row>
    <row r="5167" spans="1:26" ht="12.75" customHeight="1" x14ac:dyDescent="0.2">
      <c r="A5167" s="258"/>
      <c r="Z5167" s="258"/>
    </row>
    <row r="5168" spans="1:26" ht="12.75" customHeight="1" x14ac:dyDescent="0.2">
      <c r="A5168" s="258"/>
      <c r="Z5168" s="258"/>
    </row>
    <row r="5169" spans="1:26" ht="12.75" customHeight="1" x14ac:dyDescent="0.2">
      <c r="A5169" s="258"/>
      <c r="Z5169" s="258"/>
    </row>
    <row r="5170" spans="1:26" ht="12.75" customHeight="1" x14ac:dyDescent="0.2">
      <c r="A5170" s="258"/>
      <c r="Z5170" s="258"/>
    </row>
    <row r="5171" spans="1:26" ht="12.75" customHeight="1" x14ac:dyDescent="0.2">
      <c r="A5171" s="258"/>
      <c r="Z5171" s="258"/>
    </row>
    <row r="5172" spans="1:26" ht="12.75" customHeight="1" x14ac:dyDescent="0.2">
      <c r="A5172" s="258"/>
      <c r="Z5172" s="258"/>
    </row>
    <row r="5173" spans="1:26" ht="12.75" customHeight="1" x14ac:dyDescent="0.2">
      <c r="A5173" s="258"/>
      <c r="Z5173" s="258"/>
    </row>
    <row r="5174" spans="1:26" ht="12.75" customHeight="1" x14ac:dyDescent="0.2">
      <c r="A5174" s="258"/>
      <c r="Z5174" s="258"/>
    </row>
    <row r="5175" spans="1:26" ht="12.75" customHeight="1" x14ac:dyDescent="0.2">
      <c r="A5175" s="258"/>
      <c r="Z5175" s="258"/>
    </row>
    <row r="5176" spans="1:26" ht="12.75" customHeight="1" x14ac:dyDescent="0.2">
      <c r="A5176" s="258"/>
      <c r="Z5176" s="258"/>
    </row>
    <row r="5177" spans="1:26" ht="12.75" customHeight="1" x14ac:dyDescent="0.2">
      <c r="A5177" s="258"/>
      <c r="Z5177" s="258"/>
    </row>
    <row r="5178" spans="1:26" ht="12.75" customHeight="1" x14ac:dyDescent="0.2">
      <c r="A5178" s="258"/>
      <c r="Z5178" s="258"/>
    </row>
    <row r="5179" spans="1:26" ht="12.75" customHeight="1" x14ac:dyDescent="0.2">
      <c r="A5179" s="258"/>
      <c r="Z5179" s="258"/>
    </row>
    <row r="5180" spans="1:26" ht="12.75" customHeight="1" x14ac:dyDescent="0.2">
      <c r="A5180" s="258"/>
      <c r="Z5180" s="258"/>
    </row>
    <row r="5181" spans="1:26" ht="12.75" customHeight="1" x14ac:dyDescent="0.2">
      <c r="A5181" s="258"/>
      <c r="Z5181" s="258"/>
    </row>
    <row r="5182" spans="1:26" ht="12.75" customHeight="1" x14ac:dyDescent="0.2">
      <c r="A5182" s="258"/>
      <c r="Z5182" s="258"/>
    </row>
    <row r="5183" spans="1:26" ht="12.75" customHeight="1" x14ac:dyDescent="0.2">
      <c r="A5183" s="258"/>
      <c r="Z5183" s="258"/>
    </row>
    <row r="5184" spans="1:26" ht="12.75" customHeight="1" x14ac:dyDescent="0.2">
      <c r="A5184" s="258"/>
      <c r="Z5184" s="258"/>
    </row>
    <row r="5185" spans="1:26" ht="12.75" customHeight="1" x14ac:dyDescent="0.2">
      <c r="A5185" s="258"/>
      <c r="Z5185" s="258"/>
    </row>
    <row r="5186" spans="1:26" ht="12.75" customHeight="1" x14ac:dyDescent="0.2">
      <c r="A5186" s="258"/>
      <c r="Z5186" s="258"/>
    </row>
    <row r="5187" spans="1:26" ht="12.75" customHeight="1" x14ac:dyDescent="0.2">
      <c r="A5187" s="258"/>
      <c r="Z5187" s="258"/>
    </row>
    <row r="5188" spans="1:26" ht="12.75" customHeight="1" x14ac:dyDescent="0.2">
      <c r="A5188" s="258"/>
      <c r="Z5188" s="258"/>
    </row>
    <row r="5189" spans="1:26" ht="12.75" customHeight="1" x14ac:dyDescent="0.2">
      <c r="A5189" s="258"/>
      <c r="Z5189" s="258"/>
    </row>
    <row r="5190" spans="1:26" ht="12.75" customHeight="1" x14ac:dyDescent="0.2">
      <c r="A5190" s="258"/>
      <c r="Z5190" s="258"/>
    </row>
    <row r="5191" spans="1:26" ht="12.75" customHeight="1" x14ac:dyDescent="0.2">
      <c r="A5191" s="258"/>
      <c r="Z5191" s="258"/>
    </row>
    <row r="5192" spans="1:26" ht="12.75" customHeight="1" x14ac:dyDescent="0.2">
      <c r="A5192" s="258"/>
      <c r="Z5192" s="258"/>
    </row>
    <row r="5193" spans="1:26" ht="12.75" customHeight="1" x14ac:dyDescent="0.2">
      <c r="A5193" s="258"/>
      <c r="Z5193" s="258"/>
    </row>
    <row r="5194" spans="1:26" ht="12.75" customHeight="1" x14ac:dyDescent="0.2">
      <c r="A5194" s="258"/>
      <c r="Z5194" s="258"/>
    </row>
    <row r="5195" spans="1:26" ht="12.75" customHeight="1" x14ac:dyDescent="0.2">
      <c r="A5195" s="258"/>
      <c r="Z5195" s="258"/>
    </row>
    <row r="5196" spans="1:26" ht="12.75" customHeight="1" x14ac:dyDescent="0.2">
      <c r="A5196" s="258"/>
      <c r="Z5196" s="258"/>
    </row>
    <row r="5197" spans="1:26" ht="12.75" customHeight="1" x14ac:dyDescent="0.2">
      <c r="A5197" s="258"/>
      <c r="Z5197" s="258"/>
    </row>
    <row r="5198" spans="1:26" ht="12.75" customHeight="1" x14ac:dyDescent="0.2">
      <c r="A5198" s="258"/>
      <c r="Z5198" s="258"/>
    </row>
    <row r="5199" spans="1:26" ht="12.75" customHeight="1" x14ac:dyDescent="0.2">
      <c r="A5199" s="258"/>
      <c r="Z5199" s="258"/>
    </row>
    <row r="5200" spans="1:26" ht="12.75" customHeight="1" x14ac:dyDescent="0.2">
      <c r="A5200" s="258"/>
      <c r="Z5200" s="258"/>
    </row>
    <row r="5201" spans="1:26" ht="12.75" customHeight="1" x14ac:dyDescent="0.2">
      <c r="A5201" s="258"/>
      <c r="Z5201" s="258"/>
    </row>
    <row r="5202" spans="1:26" ht="12.75" customHeight="1" x14ac:dyDescent="0.2">
      <c r="A5202" s="258"/>
      <c r="Z5202" s="258"/>
    </row>
    <row r="5203" spans="1:26" ht="12.75" customHeight="1" x14ac:dyDescent="0.2">
      <c r="A5203" s="258"/>
      <c r="Z5203" s="258"/>
    </row>
    <row r="5204" spans="1:26" ht="12.75" customHeight="1" x14ac:dyDescent="0.2">
      <c r="A5204" s="258"/>
      <c r="Z5204" s="258"/>
    </row>
    <row r="5205" spans="1:26" ht="12.75" customHeight="1" x14ac:dyDescent="0.2">
      <c r="A5205" s="258"/>
      <c r="Z5205" s="258"/>
    </row>
    <row r="5206" spans="1:26" ht="12.75" customHeight="1" x14ac:dyDescent="0.2">
      <c r="A5206" s="258"/>
      <c r="Z5206" s="258"/>
    </row>
    <row r="5207" spans="1:26" ht="12.75" customHeight="1" x14ac:dyDescent="0.2">
      <c r="A5207" s="258"/>
      <c r="Z5207" s="258"/>
    </row>
    <row r="5208" spans="1:26" ht="12.75" customHeight="1" x14ac:dyDescent="0.2">
      <c r="A5208" s="258"/>
      <c r="Z5208" s="258"/>
    </row>
    <row r="5209" spans="1:26" ht="12.75" customHeight="1" x14ac:dyDescent="0.2">
      <c r="A5209" s="258"/>
      <c r="Z5209" s="258"/>
    </row>
    <row r="5210" spans="1:26" ht="12.75" customHeight="1" x14ac:dyDescent="0.2">
      <c r="A5210" s="258"/>
      <c r="Z5210" s="258"/>
    </row>
    <row r="5211" spans="1:26" ht="12.75" customHeight="1" x14ac:dyDescent="0.2">
      <c r="A5211" s="258"/>
      <c r="Z5211" s="258"/>
    </row>
    <row r="5212" spans="1:26" ht="12.75" customHeight="1" x14ac:dyDescent="0.2">
      <c r="A5212" s="258"/>
      <c r="Z5212" s="258"/>
    </row>
    <row r="5213" spans="1:26" ht="12.75" customHeight="1" x14ac:dyDescent="0.2">
      <c r="A5213" s="258"/>
      <c r="Z5213" s="258"/>
    </row>
    <row r="5214" spans="1:26" ht="12.75" customHeight="1" x14ac:dyDescent="0.2">
      <c r="A5214" s="258"/>
      <c r="Z5214" s="258"/>
    </row>
    <row r="5215" spans="1:26" ht="12.75" customHeight="1" x14ac:dyDescent="0.2">
      <c r="A5215" s="258"/>
      <c r="Z5215" s="258"/>
    </row>
    <row r="5216" spans="1:26" ht="12.75" customHeight="1" x14ac:dyDescent="0.2">
      <c r="A5216" s="258"/>
      <c r="Z5216" s="258"/>
    </row>
    <row r="5217" spans="1:26" ht="12.75" customHeight="1" x14ac:dyDescent="0.2">
      <c r="A5217" s="258"/>
      <c r="Z5217" s="258"/>
    </row>
    <row r="5218" spans="1:26" ht="12.75" customHeight="1" x14ac:dyDescent="0.2">
      <c r="A5218" s="258"/>
      <c r="Z5218" s="258"/>
    </row>
    <row r="5219" spans="1:26" ht="12.75" customHeight="1" x14ac:dyDescent="0.2">
      <c r="A5219" s="258"/>
      <c r="Z5219" s="258"/>
    </row>
    <row r="5220" spans="1:26" ht="12.75" customHeight="1" x14ac:dyDescent="0.2">
      <c r="A5220" s="258"/>
      <c r="Z5220" s="258"/>
    </row>
    <row r="5221" spans="1:26" ht="12.75" customHeight="1" x14ac:dyDescent="0.2">
      <c r="A5221" s="258"/>
      <c r="Z5221" s="258"/>
    </row>
    <row r="5222" spans="1:26" ht="12.75" customHeight="1" x14ac:dyDescent="0.2">
      <c r="A5222" s="258"/>
      <c r="Z5222" s="258"/>
    </row>
    <row r="5223" spans="1:26" ht="12.75" customHeight="1" x14ac:dyDescent="0.2">
      <c r="A5223" s="258"/>
      <c r="Z5223" s="258"/>
    </row>
    <row r="5224" spans="1:26" ht="12.75" customHeight="1" x14ac:dyDescent="0.2">
      <c r="A5224" s="258"/>
      <c r="Z5224" s="258"/>
    </row>
    <row r="5225" spans="1:26" ht="12.75" customHeight="1" x14ac:dyDescent="0.2">
      <c r="A5225" s="258"/>
      <c r="Z5225" s="258"/>
    </row>
    <row r="5226" spans="1:26" ht="12.75" customHeight="1" x14ac:dyDescent="0.2">
      <c r="A5226" s="258"/>
      <c r="Z5226" s="258"/>
    </row>
    <row r="5227" spans="1:26" ht="12.75" customHeight="1" x14ac:dyDescent="0.2">
      <c r="A5227" s="258"/>
      <c r="Z5227" s="258"/>
    </row>
    <row r="5228" spans="1:26" ht="12.75" customHeight="1" x14ac:dyDescent="0.2">
      <c r="A5228" s="258"/>
      <c r="Z5228" s="258"/>
    </row>
    <row r="5229" spans="1:26" ht="12.75" customHeight="1" x14ac:dyDescent="0.2">
      <c r="A5229" s="258"/>
      <c r="Z5229" s="258"/>
    </row>
    <row r="5230" spans="1:26" ht="12.75" customHeight="1" x14ac:dyDescent="0.2">
      <c r="A5230" s="258"/>
      <c r="Z5230" s="258"/>
    </row>
    <row r="5231" spans="1:26" ht="12.75" customHeight="1" x14ac:dyDescent="0.2">
      <c r="A5231" s="258"/>
      <c r="Z5231" s="258"/>
    </row>
    <row r="5232" spans="1:26" ht="12.75" customHeight="1" x14ac:dyDescent="0.2">
      <c r="A5232" s="258"/>
      <c r="Z5232" s="258"/>
    </row>
    <row r="5233" spans="1:26" ht="12.75" customHeight="1" x14ac:dyDescent="0.2">
      <c r="A5233" s="258"/>
      <c r="Z5233" s="258"/>
    </row>
    <row r="5234" spans="1:26" ht="12.75" customHeight="1" x14ac:dyDescent="0.2">
      <c r="A5234" s="258"/>
      <c r="Z5234" s="258"/>
    </row>
    <row r="5235" spans="1:26" ht="12.75" customHeight="1" x14ac:dyDescent="0.2">
      <c r="A5235" s="258"/>
      <c r="Z5235" s="258"/>
    </row>
    <row r="5236" spans="1:26" ht="12.75" customHeight="1" x14ac:dyDescent="0.2">
      <c r="A5236" s="258"/>
      <c r="Z5236" s="258"/>
    </row>
    <row r="5237" spans="1:26" ht="12.75" customHeight="1" x14ac:dyDescent="0.2">
      <c r="A5237" s="258"/>
      <c r="Z5237" s="258"/>
    </row>
    <row r="5238" spans="1:26" ht="12.75" customHeight="1" x14ac:dyDescent="0.2">
      <c r="A5238" s="258"/>
      <c r="Z5238" s="258"/>
    </row>
    <row r="5239" spans="1:26" ht="12.75" customHeight="1" x14ac:dyDescent="0.2">
      <c r="A5239" s="258"/>
      <c r="Z5239" s="258"/>
    </row>
    <row r="5240" spans="1:26" ht="12.75" customHeight="1" x14ac:dyDescent="0.2">
      <c r="A5240" s="258"/>
      <c r="Z5240" s="258"/>
    </row>
    <row r="5241" spans="1:26" ht="12.75" customHeight="1" x14ac:dyDescent="0.2">
      <c r="A5241" s="258"/>
      <c r="Z5241" s="258"/>
    </row>
    <row r="5242" spans="1:26" ht="12.75" customHeight="1" x14ac:dyDescent="0.2">
      <c r="A5242" s="258"/>
      <c r="Z5242" s="258"/>
    </row>
    <row r="5243" spans="1:26" ht="12.75" customHeight="1" x14ac:dyDescent="0.2">
      <c r="A5243" s="258"/>
      <c r="Z5243" s="258"/>
    </row>
    <row r="5244" spans="1:26" ht="12.75" customHeight="1" x14ac:dyDescent="0.2">
      <c r="A5244" s="258"/>
      <c r="Z5244" s="258"/>
    </row>
    <row r="5245" spans="1:26" ht="12.75" customHeight="1" x14ac:dyDescent="0.2">
      <c r="A5245" s="258"/>
      <c r="Z5245" s="258"/>
    </row>
    <row r="5246" spans="1:26" ht="12.75" customHeight="1" x14ac:dyDescent="0.2">
      <c r="A5246" s="258"/>
      <c r="Z5246" s="258"/>
    </row>
    <row r="5247" spans="1:26" ht="12.75" customHeight="1" x14ac:dyDescent="0.2">
      <c r="A5247" s="258"/>
      <c r="Z5247" s="258"/>
    </row>
    <row r="5248" spans="1:26" ht="12.75" customHeight="1" x14ac:dyDescent="0.2">
      <c r="A5248" s="258"/>
      <c r="Z5248" s="258"/>
    </row>
    <row r="5249" spans="1:26" ht="12.75" customHeight="1" x14ac:dyDescent="0.2">
      <c r="A5249" s="258"/>
      <c r="Z5249" s="258"/>
    </row>
    <row r="5250" spans="1:26" ht="12.75" customHeight="1" x14ac:dyDescent="0.2">
      <c r="A5250" s="258"/>
      <c r="Z5250" s="258"/>
    </row>
    <row r="5251" spans="1:26" ht="12.75" customHeight="1" x14ac:dyDescent="0.2">
      <c r="A5251" s="258"/>
      <c r="Z5251" s="258"/>
    </row>
    <row r="5252" spans="1:26" ht="12.75" customHeight="1" x14ac:dyDescent="0.2">
      <c r="A5252" s="258"/>
      <c r="Z5252" s="258"/>
    </row>
    <row r="5253" spans="1:26" ht="12.75" customHeight="1" x14ac:dyDescent="0.2">
      <c r="A5253" s="258"/>
      <c r="Z5253" s="258"/>
    </row>
    <row r="5254" spans="1:26" ht="12.75" customHeight="1" x14ac:dyDescent="0.2">
      <c r="A5254" s="258"/>
      <c r="Z5254" s="258"/>
    </row>
    <row r="5255" spans="1:26" ht="12.75" customHeight="1" x14ac:dyDescent="0.2">
      <c r="A5255" s="258"/>
      <c r="Z5255" s="258"/>
    </row>
    <row r="5256" spans="1:26" ht="12.75" customHeight="1" x14ac:dyDescent="0.2">
      <c r="A5256" s="258"/>
      <c r="Z5256" s="258"/>
    </row>
    <row r="5257" spans="1:26" ht="12.75" customHeight="1" x14ac:dyDescent="0.2">
      <c r="A5257" s="258"/>
      <c r="Z5257" s="258"/>
    </row>
    <row r="5258" spans="1:26" ht="12.75" customHeight="1" x14ac:dyDescent="0.2">
      <c r="A5258" s="258"/>
      <c r="Z5258" s="258"/>
    </row>
    <row r="5259" spans="1:26" ht="12.75" customHeight="1" x14ac:dyDescent="0.2">
      <c r="A5259" s="258"/>
      <c r="Z5259" s="258"/>
    </row>
    <row r="5260" spans="1:26" ht="12.75" customHeight="1" x14ac:dyDescent="0.2">
      <c r="A5260" s="258"/>
      <c r="Z5260" s="258"/>
    </row>
    <row r="5261" spans="1:26" ht="12.75" customHeight="1" x14ac:dyDescent="0.2">
      <c r="A5261" s="258"/>
      <c r="Z5261" s="258"/>
    </row>
    <row r="5262" spans="1:26" ht="12.75" customHeight="1" x14ac:dyDescent="0.2">
      <c r="A5262" s="258"/>
      <c r="Z5262" s="258"/>
    </row>
    <row r="5263" spans="1:26" ht="12.75" customHeight="1" x14ac:dyDescent="0.2">
      <c r="A5263" s="258"/>
      <c r="Z5263" s="258"/>
    </row>
    <row r="5264" spans="1:26" ht="12.75" customHeight="1" x14ac:dyDescent="0.2">
      <c r="A5264" s="258"/>
      <c r="Z5264" s="258"/>
    </row>
    <row r="5265" spans="1:26" ht="12.75" customHeight="1" x14ac:dyDescent="0.2">
      <c r="A5265" s="258"/>
      <c r="Z5265" s="258"/>
    </row>
    <row r="5266" spans="1:26" ht="12.75" customHeight="1" x14ac:dyDescent="0.2">
      <c r="A5266" s="258"/>
      <c r="Z5266" s="258"/>
    </row>
    <row r="5267" spans="1:26" ht="12.75" customHeight="1" x14ac:dyDescent="0.2">
      <c r="A5267" s="258"/>
      <c r="Z5267" s="258"/>
    </row>
    <row r="5268" spans="1:26" ht="12.75" customHeight="1" x14ac:dyDescent="0.2">
      <c r="A5268" s="258"/>
      <c r="Z5268" s="258"/>
    </row>
    <row r="5269" spans="1:26" ht="12.75" customHeight="1" x14ac:dyDescent="0.2">
      <c r="A5269" s="258"/>
      <c r="Z5269" s="258"/>
    </row>
    <row r="5270" spans="1:26" ht="12.75" customHeight="1" x14ac:dyDescent="0.2">
      <c r="A5270" s="258"/>
      <c r="Z5270" s="258"/>
    </row>
    <row r="5271" spans="1:26" ht="12.75" customHeight="1" x14ac:dyDescent="0.2">
      <c r="A5271" s="258"/>
      <c r="Z5271" s="258"/>
    </row>
    <row r="5272" spans="1:26" ht="12.75" customHeight="1" x14ac:dyDescent="0.2">
      <c r="A5272" s="258"/>
      <c r="Z5272" s="258"/>
    </row>
    <row r="5273" spans="1:26" ht="12.75" customHeight="1" x14ac:dyDescent="0.2">
      <c r="A5273" s="258"/>
      <c r="Z5273" s="258"/>
    </row>
    <row r="5274" spans="1:26" ht="12.75" customHeight="1" x14ac:dyDescent="0.2">
      <c r="A5274" s="258"/>
      <c r="Z5274" s="258"/>
    </row>
    <row r="5275" spans="1:26" ht="12.75" customHeight="1" x14ac:dyDescent="0.2">
      <c r="A5275" s="258"/>
      <c r="Z5275" s="258"/>
    </row>
    <row r="5276" spans="1:26" ht="12.75" customHeight="1" x14ac:dyDescent="0.2">
      <c r="A5276" s="258"/>
      <c r="Z5276" s="258"/>
    </row>
    <row r="5277" spans="1:26" ht="12.75" customHeight="1" x14ac:dyDescent="0.2">
      <c r="A5277" s="258"/>
      <c r="Z5277" s="258"/>
    </row>
    <row r="5278" spans="1:26" ht="12.75" customHeight="1" x14ac:dyDescent="0.2">
      <c r="A5278" s="258"/>
      <c r="Z5278" s="258"/>
    </row>
    <row r="5279" spans="1:26" ht="12.75" customHeight="1" x14ac:dyDescent="0.2">
      <c r="A5279" s="258"/>
      <c r="Z5279" s="258"/>
    </row>
    <row r="5280" spans="1:26" ht="12.75" customHeight="1" x14ac:dyDescent="0.2">
      <c r="A5280" s="258"/>
      <c r="Z5280" s="258"/>
    </row>
    <row r="5281" spans="1:26" ht="12.75" customHeight="1" x14ac:dyDescent="0.2">
      <c r="A5281" s="258"/>
      <c r="Z5281" s="258"/>
    </row>
    <row r="5282" spans="1:26" ht="12.75" customHeight="1" x14ac:dyDescent="0.2">
      <c r="A5282" s="258"/>
      <c r="Z5282" s="258"/>
    </row>
    <row r="5283" spans="1:26" ht="12.75" customHeight="1" x14ac:dyDescent="0.2">
      <c r="A5283" s="258"/>
      <c r="Z5283" s="258"/>
    </row>
    <row r="5284" spans="1:26" ht="12.75" customHeight="1" x14ac:dyDescent="0.2">
      <c r="A5284" s="258"/>
      <c r="Z5284" s="258"/>
    </row>
    <row r="5285" spans="1:26" ht="12.75" customHeight="1" x14ac:dyDescent="0.2">
      <c r="A5285" s="258"/>
      <c r="Z5285" s="258"/>
    </row>
    <row r="5286" spans="1:26" ht="12.75" customHeight="1" x14ac:dyDescent="0.2">
      <c r="A5286" s="258"/>
      <c r="Z5286" s="258"/>
    </row>
    <row r="5287" spans="1:26" ht="12.75" customHeight="1" x14ac:dyDescent="0.2">
      <c r="A5287" s="258"/>
      <c r="Z5287" s="258"/>
    </row>
    <row r="5288" spans="1:26" ht="12.75" customHeight="1" x14ac:dyDescent="0.2">
      <c r="A5288" s="258"/>
      <c r="Z5288" s="258"/>
    </row>
    <row r="5289" spans="1:26" ht="12.75" customHeight="1" x14ac:dyDescent="0.2">
      <c r="A5289" s="258"/>
      <c r="Z5289" s="258"/>
    </row>
    <row r="5290" spans="1:26" ht="12.75" customHeight="1" x14ac:dyDescent="0.2">
      <c r="A5290" s="258"/>
      <c r="Z5290" s="258"/>
    </row>
    <row r="5291" spans="1:26" ht="12.75" customHeight="1" x14ac:dyDescent="0.2">
      <c r="A5291" s="258"/>
      <c r="Z5291" s="258"/>
    </row>
    <row r="5292" spans="1:26" ht="12.75" customHeight="1" x14ac:dyDescent="0.2">
      <c r="A5292" s="258"/>
      <c r="Z5292" s="258"/>
    </row>
    <row r="5293" spans="1:26" ht="12.75" customHeight="1" x14ac:dyDescent="0.2">
      <c r="A5293" s="258"/>
      <c r="Z5293" s="258"/>
    </row>
    <row r="5294" spans="1:26" ht="12.75" customHeight="1" x14ac:dyDescent="0.2">
      <c r="A5294" s="258"/>
      <c r="Z5294" s="258"/>
    </row>
    <row r="5295" spans="1:26" ht="12.75" customHeight="1" x14ac:dyDescent="0.2">
      <c r="A5295" s="258"/>
      <c r="Z5295" s="258"/>
    </row>
    <row r="5296" spans="1:26" ht="12.75" customHeight="1" x14ac:dyDescent="0.2">
      <c r="A5296" s="258"/>
      <c r="Z5296" s="258"/>
    </row>
    <row r="5297" spans="1:26" ht="12.75" customHeight="1" x14ac:dyDescent="0.2">
      <c r="A5297" s="258"/>
      <c r="Z5297" s="258"/>
    </row>
    <row r="5298" spans="1:26" ht="12.75" customHeight="1" x14ac:dyDescent="0.2">
      <c r="A5298" s="258"/>
      <c r="Z5298" s="258"/>
    </row>
    <row r="5299" spans="1:26" ht="12.75" customHeight="1" x14ac:dyDescent="0.2">
      <c r="A5299" s="258"/>
      <c r="Z5299" s="258"/>
    </row>
    <row r="5300" spans="1:26" ht="12.75" customHeight="1" x14ac:dyDescent="0.2">
      <c r="A5300" s="258"/>
      <c r="Z5300" s="258"/>
    </row>
    <row r="5301" spans="1:26" ht="12.75" customHeight="1" x14ac:dyDescent="0.2">
      <c r="A5301" s="258"/>
      <c r="Z5301" s="258"/>
    </row>
    <row r="5302" spans="1:26" ht="12.75" customHeight="1" x14ac:dyDescent="0.2">
      <c r="A5302" s="258"/>
      <c r="Z5302" s="258"/>
    </row>
    <row r="5303" spans="1:26" ht="12.75" customHeight="1" x14ac:dyDescent="0.2">
      <c r="A5303" s="258"/>
      <c r="Z5303" s="258"/>
    </row>
    <row r="5304" spans="1:26" ht="12.75" customHeight="1" x14ac:dyDescent="0.2">
      <c r="A5304" s="258"/>
      <c r="Z5304" s="258"/>
    </row>
    <row r="5305" spans="1:26" ht="12.75" customHeight="1" x14ac:dyDescent="0.2">
      <c r="A5305" s="258"/>
      <c r="Z5305" s="258"/>
    </row>
    <row r="5306" spans="1:26" ht="12.75" customHeight="1" x14ac:dyDescent="0.2">
      <c r="A5306" s="258"/>
      <c r="Z5306" s="258"/>
    </row>
    <row r="5307" spans="1:26" ht="12.75" customHeight="1" x14ac:dyDescent="0.2">
      <c r="A5307" s="258"/>
      <c r="Z5307" s="258"/>
    </row>
    <row r="5308" spans="1:26" ht="12.75" customHeight="1" x14ac:dyDescent="0.2">
      <c r="A5308" s="258"/>
      <c r="Z5308" s="258"/>
    </row>
    <row r="5309" spans="1:26" ht="12.75" customHeight="1" x14ac:dyDescent="0.2">
      <c r="A5309" s="258"/>
      <c r="Z5309" s="258"/>
    </row>
    <row r="5310" spans="1:26" ht="12.75" customHeight="1" x14ac:dyDescent="0.2">
      <c r="A5310" s="258"/>
      <c r="Z5310" s="258"/>
    </row>
    <row r="5311" spans="1:26" ht="12.75" customHeight="1" x14ac:dyDescent="0.2">
      <c r="A5311" s="258"/>
      <c r="Z5311" s="258"/>
    </row>
    <row r="5312" spans="1:26" ht="12.75" customHeight="1" x14ac:dyDescent="0.2">
      <c r="A5312" s="258"/>
      <c r="Z5312" s="258"/>
    </row>
    <row r="5313" spans="1:26" ht="12.75" customHeight="1" x14ac:dyDescent="0.2">
      <c r="A5313" s="258"/>
      <c r="Z5313" s="258"/>
    </row>
    <row r="5314" spans="1:26" ht="12.75" customHeight="1" x14ac:dyDescent="0.2">
      <c r="A5314" s="258"/>
      <c r="Z5314" s="258"/>
    </row>
    <row r="5315" spans="1:26" ht="12.75" customHeight="1" x14ac:dyDescent="0.2">
      <c r="A5315" s="258"/>
      <c r="Z5315" s="258"/>
    </row>
    <row r="5316" spans="1:26" ht="12.75" customHeight="1" x14ac:dyDescent="0.2">
      <c r="A5316" s="258"/>
      <c r="Z5316" s="258"/>
    </row>
    <row r="5317" spans="1:26" ht="12.75" customHeight="1" x14ac:dyDescent="0.2">
      <c r="A5317" s="258"/>
      <c r="Z5317" s="258"/>
    </row>
    <row r="5318" spans="1:26" ht="12.75" customHeight="1" x14ac:dyDescent="0.2">
      <c r="A5318" s="258"/>
      <c r="Z5318" s="258"/>
    </row>
    <row r="5319" spans="1:26" ht="12.75" customHeight="1" x14ac:dyDescent="0.2">
      <c r="A5319" s="258"/>
      <c r="Z5319" s="258"/>
    </row>
    <row r="5320" spans="1:26" ht="12.75" customHeight="1" x14ac:dyDescent="0.2">
      <c r="A5320" s="258"/>
      <c r="Z5320" s="258"/>
    </row>
    <row r="5321" spans="1:26" ht="12.75" customHeight="1" x14ac:dyDescent="0.2">
      <c r="A5321" s="258"/>
      <c r="Z5321" s="258"/>
    </row>
    <row r="5322" spans="1:26" ht="12.75" customHeight="1" x14ac:dyDescent="0.2">
      <c r="A5322" s="258"/>
      <c r="Z5322" s="258"/>
    </row>
    <row r="5323" spans="1:26" ht="12.75" customHeight="1" x14ac:dyDescent="0.2">
      <c r="A5323" s="258"/>
      <c r="Z5323" s="258"/>
    </row>
    <row r="5324" spans="1:26" ht="12.75" customHeight="1" x14ac:dyDescent="0.2">
      <c r="A5324" s="258"/>
      <c r="Z5324" s="258"/>
    </row>
    <row r="5325" spans="1:26" ht="12.75" customHeight="1" x14ac:dyDescent="0.2">
      <c r="A5325" s="258"/>
      <c r="Z5325" s="258"/>
    </row>
    <row r="5326" spans="1:26" ht="12.75" customHeight="1" x14ac:dyDescent="0.2">
      <c r="A5326" s="258"/>
      <c r="Z5326" s="258"/>
    </row>
    <row r="5327" spans="1:26" ht="12.75" customHeight="1" x14ac:dyDescent="0.2">
      <c r="A5327" s="258"/>
      <c r="Z5327" s="258"/>
    </row>
    <row r="5328" spans="1:26" ht="12.75" customHeight="1" x14ac:dyDescent="0.2">
      <c r="A5328" s="258"/>
      <c r="Z5328" s="258"/>
    </row>
    <row r="5329" spans="1:26" ht="12.75" customHeight="1" x14ac:dyDescent="0.2">
      <c r="A5329" s="258"/>
      <c r="Z5329" s="258"/>
    </row>
    <row r="5330" spans="1:26" ht="12.75" customHeight="1" x14ac:dyDescent="0.2">
      <c r="A5330" s="258"/>
      <c r="Z5330" s="258"/>
    </row>
    <row r="5331" spans="1:26" ht="12.75" customHeight="1" x14ac:dyDescent="0.2">
      <c r="A5331" s="258"/>
      <c r="Z5331" s="258"/>
    </row>
    <row r="5332" spans="1:26" ht="12.75" customHeight="1" x14ac:dyDescent="0.2">
      <c r="A5332" s="258"/>
      <c r="Z5332" s="258"/>
    </row>
    <row r="5333" spans="1:26" ht="12.75" customHeight="1" x14ac:dyDescent="0.2">
      <c r="A5333" s="258"/>
      <c r="Z5333" s="258"/>
    </row>
    <row r="5334" spans="1:26" ht="12.75" customHeight="1" x14ac:dyDescent="0.2">
      <c r="A5334" s="258"/>
      <c r="Z5334" s="258"/>
    </row>
    <row r="5335" spans="1:26" ht="12.75" customHeight="1" x14ac:dyDescent="0.2">
      <c r="A5335" s="258"/>
      <c r="Z5335" s="258"/>
    </row>
    <row r="5336" spans="1:26" ht="12.75" customHeight="1" x14ac:dyDescent="0.2">
      <c r="A5336" s="258"/>
      <c r="Z5336" s="258"/>
    </row>
    <row r="5337" spans="1:26" ht="12.75" customHeight="1" x14ac:dyDescent="0.2">
      <c r="A5337" s="258"/>
      <c r="Z5337" s="258"/>
    </row>
    <row r="5338" spans="1:26" ht="12.75" customHeight="1" x14ac:dyDescent="0.2">
      <c r="A5338" s="258"/>
      <c r="Z5338" s="258"/>
    </row>
    <row r="5339" spans="1:26" ht="12.75" customHeight="1" x14ac:dyDescent="0.2">
      <c r="A5339" s="258"/>
      <c r="Z5339" s="258"/>
    </row>
    <row r="5340" spans="1:26" ht="12.75" customHeight="1" x14ac:dyDescent="0.2">
      <c r="A5340" s="258"/>
      <c r="Z5340" s="258"/>
    </row>
    <row r="5341" spans="1:26" ht="12.75" customHeight="1" x14ac:dyDescent="0.2">
      <c r="A5341" s="258"/>
      <c r="Z5341" s="258"/>
    </row>
    <row r="5342" spans="1:26" ht="12.75" customHeight="1" x14ac:dyDescent="0.2">
      <c r="A5342" s="258"/>
      <c r="Z5342" s="258"/>
    </row>
    <row r="5343" spans="1:26" ht="12.75" customHeight="1" x14ac:dyDescent="0.2">
      <c r="A5343" s="258"/>
      <c r="Z5343" s="258"/>
    </row>
    <row r="5344" spans="1:26" ht="12.75" customHeight="1" x14ac:dyDescent="0.2">
      <c r="A5344" s="258"/>
      <c r="Z5344" s="258"/>
    </row>
    <row r="5345" spans="1:26" ht="12.75" customHeight="1" x14ac:dyDescent="0.2">
      <c r="A5345" s="258"/>
      <c r="Z5345" s="258"/>
    </row>
    <row r="5346" spans="1:26" ht="12.75" customHeight="1" x14ac:dyDescent="0.2">
      <c r="A5346" s="258"/>
      <c r="Z5346" s="258"/>
    </row>
    <row r="5347" spans="1:26" ht="12.75" customHeight="1" x14ac:dyDescent="0.2">
      <c r="A5347" s="258"/>
      <c r="Z5347" s="258"/>
    </row>
    <row r="5348" spans="1:26" ht="12.75" customHeight="1" x14ac:dyDescent="0.2">
      <c r="A5348" s="258"/>
      <c r="Z5348" s="258"/>
    </row>
    <row r="5349" spans="1:26" ht="12.75" customHeight="1" x14ac:dyDescent="0.2">
      <c r="A5349" s="258"/>
      <c r="Z5349" s="258"/>
    </row>
    <row r="5350" spans="1:26" ht="12.75" customHeight="1" x14ac:dyDescent="0.2">
      <c r="A5350" s="258"/>
      <c r="Z5350" s="258"/>
    </row>
    <row r="5351" spans="1:26" ht="12.75" customHeight="1" x14ac:dyDescent="0.2">
      <c r="A5351" s="258"/>
      <c r="Z5351" s="258"/>
    </row>
    <row r="5352" spans="1:26" ht="12.75" customHeight="1" x14ac:dyDescent="0.2">
      <c r="A5352" s="258"/>
      <c r="Z5352" s="258"/>
    </row>
    <row r="5353" spans="1:26" ht="12.75" customHeight="1" x14ac:dyDescent="0.2">
      <c r="A5353" s="258"/>
      <c r="Z5353" s="258"/>
    </row>
    <row r="5354" spans="1:26" ht="12.75" customHeight="1" x14ac:dyDescent="0.2">
      <c r="A5354" s="258"/>
      <c r="Z5354" s="258"/>
    </row>
    <row r="5355" spans="1:26" ht="12.75" customHeight="1" x14ac:dyDescent="0.2">
      <c r="A5355" s="258"/>
      <c r="Z5355" s="258"/>
    </row>
    <row r="5356" spans="1:26" ht="12.75" customHeight="1" x14ac:dyDescent="0.2">
      <c r="A5356" s="258"/>
      <c r="Z5356" s="258"/>
    </row>
    <row r="5357" spans="1:26" ht="12.75" customHeight="1" x14ac:dyDescent="0.2">
      <c r="A5357" s="258"/>
      <c r="Z5357" s="258"/>
    </row>
    <row r="5358" spans="1:26" ht="12.75" customHeight="1" x14ac:dyDescent="0.2">
      <c r="A5358" s="258"/>
      <c r="Z5358" s="258"/>
    </row>
    <row r="5359" spans="1:26" ht="12.75" customHeight="1" x14ac:dyDescent="0.2">
      <c r="A5359" s="258"/>
      <c r="Z5359" s="258"/>
    </row>
    <row r="5360" spans="1:26" ht="12.75" customHeight="1" x14ac:dyDescent="0.2">
      <c r="A5360" s="258"/>
      <c r="Z5360" s="258"/>
    </row>
    <row r="5361" spans="1:26" ht="12.75" customHeight="1" x14ac:dyDescent="0.2">
      <c r="A5361" s="258"/>
      <c r="Z5361" s="258"/>
    </row>
    <row r="5362" spans="1:26" ht="12.75" customHeight="1" x14ac:dyDescent="0.2">
      <c r="A5362" s="258"/>
      <c r="Z5362" s="258"/>
    </row>
    <row r="5363" spans="1:26" ht="12.75" customHeight="1" x14ac:dyDescent="0.2">
      <c r="A5363" s="258"/>
      <c r="Z5363" s="258"/>
    </row>
    <row r="5364" spans="1:26" ht="12.75" customHeight="1" x14ac:dyDescent="0.2">
      <c r="A5364" s="258"/>
      <c r="Z5364" s="258"/>
    </row>
    <row r="5365" spans="1:26" ht="12.75" customHeight="1" x14ac:dyDescent="0.2">
      <c r="A5365" s="258"/>
      <c r="Z5365" s="258"/>
    </row>
    <row r="5366" spans="1:26" ht="12.75" customHeight="1" x14ac:dyDescent="0.2">
      <c r="A5366" s="258"/>
      <c r="Z5366" s="258"/>
    </row>
    <row r="5367" spans="1:26" ht="12.75" customHeight="1" x14ac:dyDescent="0.2">
      <c r="A5367" s="258"/>
      <c r="Z5367" s="258"/>
    </row>
    <row r="5368" spans="1:26" ht="12.75" customHeight="1" x14ac:dyDescent="0.2">
      <c r="A5368" s="258"/>
      <c r="Z5368" s="258"/>
    </row>
    <row r="5369" spans="1:26" ht="12.75" customHeight="1" x14ac:dyDescent="0.2">
      <c r="A5369" s="258"/>
      <c r="Z5369" s="258"/>
    </row>
    <row r="5370" spans="1:26" ht="12.75" customHeight="1" x14ac:dyDescent="0.2">
      <c r="A5370" s="258"/>
      <c r="Z5370" s="258"/>
    </row>
    <row r="5371" spans="1:26" ht="12.75" customHeight="1" x14ac:dyDescent="0.2">
      <c r="A5371" s="258"/>
      <c r="Z5371" s="258"/>
    </row>
    <row r="5372" spans="1:26" ht="12.75" customHeight="1" x14ac:dyDescent="0.2">
      <c r="A5372" s="258"/>
      <c r="Z5372" s="258"/>
    </row>
    <row r="5373" spans="1:26" ht="12.75" customHeight="1" x14ac:dyDescent="0.2">
      <c r="A5373" s="258"/>
      <c r="Z5373" s="258"/>
    </row>
    <row r="5374" spans="1:26" ht="12.75" customHeight="1" x14ac:dyDescent="0.2">
      <c r="A5374" s="258"/>
      <c r="Z5374" s="258"/>
    </row>
    <row r="5375" spans="1:26" ht="12.75" customHeight="1" x14ac:dyDescent="0.2">
      <c r="A5375" s="258"/>
      <c r="Z5375" s="258"/>
    </row>
    <row r="5376" spans="1:26" ht="12.75" customHeight="1" x14ac:dyDescent="0.2">
      <c r="A5376" s="258"/>
      <c r="Z5376" s="258"/>
    </row>
    <row r="5377" spans="1:26" ht="12.75" customHeight="1" x14ac:dyDescent="0.2">
      <c r="A5377" s="258"/>
      <c r="Z5377" s="258"/>
    </row>
    <row r="5378" spans="1:26" ht="12.75" customHeight="1" x14ac:dyDescent="0.2">
      <c r="A5378" s="258"/>
      <c r="Z5378" s="258"/>
    </row>
    <row r="5379" spans="1:26" ht="12.75" customHeight="1" x14ac:dyDescent="0.2">
      <c r="A5379" s="258"/>
      <c r="Z5379" s="258"/>
    </row>
    <row r="5380" spans="1:26" ht="12.75" customHeight="1" x14ac:dyDescent="0.2">
      <c r="A5380" s="258"/>
      <c r="Z5380" s="258"/>
    </row>
    <row r="5381" spans="1:26" ht="12.75" customHeight="1" x14ac:dyDescent="0.2">
      <c r="A5381" s="258"/>
      <c r="Z5381" s="258"/>
    </row>
    <row r="5382" spans="1:26" ht="12.75" customHeight="1" x14ac:dyDescent="0.2">
      <c r="A5382" s="258"/>
      <c r="Z5382" s="258"/>
    </row>
    <row r="5383" spans="1:26" ht="12.75" customHeight="1" x14ac:dyDescent="0.2">
      <c r="A5383" s="258"/>
      <c r="Z5383" s="258"/>
    </row>
    <row r="5384" spans="1:26" ht="12.75" customHeight="1" x14ac:dyDescent="0.2">
      <c r="A5384" s="258"/>
      <c r="Z5384" s="258"/>
    </row>
    <row r="5385" spans="1:26" ht="12.75" customHeight="1" x14ac:dyDescent="0.2">
      <c r="A5385" s="258"/>
      <c r="Z5385" s="258"/>
    </row>
    <row r="5386" spans="1:26" ht="12.75" customHeight="1" x14ac:dyDescent="0.2">
      <c r="A5386" s="258"/>
      <c r="Z5386" s="258"/>
    </row>
    <row r="5387" spans="1:26" ht="12.75" customHeight="1" x14ac:dyDescent="0.2">
      <c r="A5387" s="258"/>
      <c r="Z5387" s="258"/>
    </row>
    <row r="5388" spans="1:26" ht="12.75" customHeight="1" x14ac:dyDescent="0.2">
      <c r="A5388" s="258"/>
      <c r="Z5388" s="258"/>
    </row>
    <row r="5389" spans="1:26" ht="12.75" customHeight="1" x14ac:dyDescent="0.2">
      <c r="A5389" s="258"/>
      <c r="Z5389" s="258"/>
    </row>
    <row r="5390" spans="1:26" ht="12.75" customHeight="1" x14ac:dyDescent="0.2">
      <c r="A5390" s="258"/>
      <c r="Z5390" s="258"/>
    </row>
    <row r="5391" spans="1:26" ht="12.75" customHeight="1" x14ac:dyDescent="0.2">
      <c r="A5391" s="258"/>
      <c r="Z5391" s="258"/>
    </row>
    <row r="5392" spans="1:26" ht="12.75" customHeight="1" x14ac:dyDescent="0.2">
      <c r="A5392" s="258"/>
      <c r="Z5392" s="258"/>
    </row>
    <row r="5393" spans="1:26" ht="12.75" customHeight="1" x14ac:dyDescent="0.2">
      <c r="A5393" s="258"/>
      <c r="Z5393" s="258"/>
    </row>
    <row r="5394" spans="1:26" ht="12.75" customHeight="1" x14ac:dyDescent="0.2">
      <c r="A5394" s="258"/>
      <c r="Z5394" s="258"/>
    </row>
    <row r="5395" spans="1:26" ht="12.75" customHeight="1" x14ac:dyDescent="0.2">
      <c r="A5395" s="258"/>
      <c r="Z5395" s="258"/>
    </row>
    <row r="5396" spans="1:26" ht="12.75" customHeight="1" x14ac:dyDescent="0.2">
      <c r="A5396" s="258"/>
      <c r="Z5396" s="258"/>
    </row>
    <row r="5397" spans="1:26" ht="12.75" customHeight="1" x14ac:dyDescent="0.2">
      <c r="A5397" s="258"/>
      <c r="Z5397" s="258"/>
    </row>
    <row r="5398" spans="1:26" ht="12.75" customHeight="1" x14ac:dyDescent="0.2">
      <c r="A5398" s="258"/>
      <c r="Z5398" s="258"/>
    </row>
    <row r="5399" spans="1:26" ht="12.75" customHeight="1" x14ac:dyDescent="0.2">
      <c r="A5399" s="258"/>
      <c r="Z5399" s="258"/>
    </row>
    <row r="5400" spans="1:26" ht="12.75" customHeight="1" x14ac:dyDescent="0.2">
      <c r="A5400" s="258"/>
      <c r="Z5400" s="258"/>
    </row>
    <row r="5401" spans="1:26" ht="12.75" customHeight="1" x14ac:dyDescent="0.2">
      <c r="A5401" s="258"/>
      <c r="Z5401" s="258"/>
    </row>
    <row r="5402" spans="1:26" ht="12.75" customHeight="1" x14ac:dyDescent="0.2">
      <c r="A5402" s="258"/>
      <c r="Z5402" s="258"/>
    </row>
    <row r="5403" spans="1:26" ht="12.75" customHeight="1" x14ac:dyDescent="0.2">
      <c r="A5403" s="258"/>
      <c r="Z5403" s="258"/>
    </row>
    <row r="5404" spans="1:26" ht="12.75" customHeight="1" x14ac:dyDescent="0.2">
      <c r="A5404" s="258"/>
      <c r="Z5404" s="258"/>
    </row>
    <row r="5405" spans="1:26" ht="12.75" customHeight="1" x14ac:dyDescent="0.2">
      <c r="A5405" s="258"/>
      <c r="Z5405" s="258"/>
    </row>
    <row r="5406" spans="1:26" ht="12.75" customHeight="1" x14ac:dyDescent="0.2">
      <c r="A5406" s="258"/>
      <c r="Z5406" s="258"/>
    </row>
    <row r="5407" spans="1:26" ht="12.75" customHeight="1" x14ac:dyDescent="0.2">
      <c r="A5407" s="258"/>
      <c r="Z5407" s="258"/>
    </row>
    <row r="5408" spans="1:26" ht="12.75" customHeight="1" x14ac:dyDescent="0.2">
      <c r="A5408" s="258"/>
      <c r="Z5408" s="258"/>
    </row>
    <row r="5409" spans="1:26" ht="12.75" customHeight="1" x14ac:dyDescent="0.2">
      <c r="A5409" s="258"/>
      <c r="Z5409" s="258"/>
    </row>
    <row r="5410" spans="1:26" ht="12.75" customHeight="1" x14ac:dyDescent="0.2">
      <c r="A5410" s="258"/>
      <c r="Z5410" s="258"/>
    </row>
    <row r="5411" spans="1:26" ht="12.75" customHeight="1" x14ac:dyDescent="0.2">
      <c r="A5411" s="258"/>
      <c r="Z5411" s="258"/>
    </row>
    <row r="5412" spans="1:26" ht="12.75" customHeight="1" x14ac:dyDescent="0.2">
      <c r="A5412" s="258"/>
      <c r="Z5412" s="258"/>
    </row>
    <row r="5413" spans="1:26" ht="12.75" customHeight="1" x14ac:dyDescent="0.2">
      <c r="A5413" s="258"/>
      <c r="Z5413" s="258"/>
    </row>
    <row r="5414" spans="1:26" ht="12.75" customHeight="1" x14ac:dyDescent="0.2">
      <c r="A5414" s="258"/>
      <c r="Z5414" s="258"/>
    </row>
    <row r="5415" spans="1:26" ht="12.75" customHeight="1" x14ac:dyDescent="0.2">
      <c r="A5415" s="258"/>
      <c r="Z5415" s="258"/>
    </row>
    <row r="5416" spans="1:26" ht="12.75" customHeight="1" x14ac:dyDescent="0.2">
      <c r="A5416" s="258"/>
      <c r="Z5416" s="258"/>
    </row>
    <row r="5417" spans="1:26" ht="12.75" customHeight="1" x14ac:dyDescent="0.2">
      <c r="A5417" s="258"/>
      <c r="Z5417" s="258"/>
    </row>
    <row r="5418" spans="1:26" ht="12.75" customHeight="1" x14ac:dyDescent="0.2">
      <c r="A5418" s="258"/>
      <c r="Z5418" s="258"/>
    </row>
    <row r="5419" spans="1:26" ht="12.75" customHeight="1" x14ac:dyDescent="0.2">
      <c r="A5419" s="258"/>
      <c r="Z5419" s="258"/>
    </row>
    <row r="5420" spans="1:26" ht="12.75" customHeight="1" x14ac:dyDescent="0.2">
      <c r="A5420" s="258"/>
      <c r="Z5420" s="258"/>
    </row>
    <row r="5421" spans="1:26" ht="12.75" customHeight="1" x14ac:dyDescent="0.2">
      <c r="A5421" s="258"/>
      <c r="Z5421" s="258"/>
    </row>
    <row r="5422" spans="1:26" ht="12.75" customHeight="1" x14ac:dyDescent="0.2">
      <c r="A5422" s="258"/>
      <c r="Z5422" s="258"/>
    </row>
    <row r="5423" spans="1:26" ht="12.75" customHeight="1" x14ac:dyDescent="0.2">
      <c r="A5423" s="258"/>
      <c r="Z5423" s="258"/>
    </row>
    <row r="5424" spans="1:26" ht="12.75" customHeight="1" x14ac:dyDescent="0.2">
      <c r="A5424" s="258"/>
      <c r="Z5424" s="258"/>
    </row>
    <row r="5425" spans="1:26" ht="12.75" customHeight="1" x14ac:dyDescent="0.2">
      <c r="A5425" s="258"/>
      <c r="Z5425" s="258"/>
    </row>
    <row r="5426" spans="1:26" ht="12.75" customHeight="1" x14ac:dyDescent="0.2">
      <c r="A5426" s="258"/>
      <c r="Z5426" s="258"/>
    </row>
    <row r="5427" spans="1:26" ht="12.75" customHeight="1" x14ac:dyDescent="0.2">
      <c r="A5427" s="258"/>
      <c r="Z5427" s="258"/>
    </row>
    <row r="5428" spans="1:26" ht="12.75" customHeight="1" x14ac:dyDescent="0.2">
      <c r="A5428" s="258"/>
      <c r="Z5428" s="258"/>
    </row>
    <row r="5429" spans="1:26" ht="12.75" customHeight="1" x14ac:dyDescent="0.2">
      <c r="A5429" s="258"/>
      <c r="Z5429" s="258"/>
    </row>
    <row r="5430" spans="1:26" ht="12.75" customHeight="1" x14ac:dyDescent="0.2">
      <c r="A5430" s="258"/>
      <c r="Z5430" s="258"/>
    </row>
    <row r="5431" spans="1:26" ht="12.75" customHeight="1" x14ac:dyDescent="0.2">
      <c r="A5431" s="258"/>
      <c r="Z5431" s="258"/>
    </row>
    <row r="5432" spans="1:26" ht="12.75" customHeight="1" x14ac:dyDescent="0.2">
      <c r="A5432" s="258"/>
      <c r="Z5432" s="258"/>
    </row>
    <row r="5433" spans="1:26" ht="12.75" customHeight="1" x14ac:dyDescent="0.2">
      <c r="A5433" s="258"/>
      <c r="Z5433" s="258"/>
    </row>
    <row r="5434" spans="1:26" ht="12.75" customHeight="1" x14ac:dyDescent="0.2">
      <c r="A5434" s="258"/>
      <c r="Z5434" s="258"/>
    </row>
    <row r="5435" spans="1:26" ht="12.75" customHeight="1" x14ac:dyDescent="0.2">
      <c r="A5435" s="258"/>
      <c r="Z5435" s="258"/>
    </row>
    <row r="5436" spans="1:26" ht="12.75" customHeight="1" x14ac:dyDescent="0.2">
      <c r="A5436" s="258"/>
      <c r="Z5436" s="258"/>
    </row>
    <row r="5437" spans="1:26" ht="12.75" customHeight="1" x14ac:dyDescent="0.2">
      <c r="A5437" s="258"/>
      <c r="Z5437" s="258"/>
    </row>
    <row r="5438" spans="1:26" ht="12.75" customHeight="1" x14ac:dyDescent="0.2">
      <c r="A5438" s="258"/>
      <c r="Z5438" s="258"/>
    </row>
    <row r="5439" spans="1:26" ht="12.75" customHeight="1" x14ac:dyDescent="0.2">
      <c r="A5439" s="258"/>
      <c r="Z5439" s="258"/>
    </row>
    <row r="5440" spans="1:26" ht="12.75" customHeight="1" x14ac:dyDescent="0.2">
      <c r="A5440" s="258"/>
      <c r="Z5440" s="258"/>
    </row>
    <row r="5441" spans="1:26" ht="12.75" customHeight="1" x14ac:dyDescent="0.2">
      <c r="A5441" s="258"/>
      <c r="Z5441" s="258"/>
    </row>
    <row r="5442" spans="1:26" ht="12.75" customHeight="1" x14ac:dyDescent="0.2">
      <c r="A5442" s="258"/>
      <c r="Z5442" s="258"/>
    </row>
    <row r="5443" spans="1:26" ht="12.75" customHeight="1" x14ac:dyDescent="0.2">
      <c r="A5443" s="258"/>
      <c r="Z5443" s="258"/>
    </row>
    <row r="5444" spans="1:26" ht="12.75" customHeight="1" x14ac:dyDescent="0.2">
      <c r="A5444" s="258"/>
      <c r="Z5444" s="258"/>
    </row>
    <row r="5445" spans="1:26" ht="12.75" customHeight="1" x14ac:dyDescent="0.2">
      <c r="A5445" s="258"/>
      <c r="Z5445" s="258"/>
    </row>
    <row r="5446" spans="1:26" ht="12.75" customHeight="1" x14ac:dyDescent="0.2">
      <c r="A5446" s="258"/>
      <c r="Z5446" s="258"/>
    </row>
    <row r="5447" spans="1:26" ht="12.75" customHeight="1" x14ac:dyDescent="0.2">
      <c r="A5447" s="258"/>
      <c r="Z5447" s="258"/>
    </row>
    <row r="5448" spans="1:26" ht="12.75" customHeight="1" x14ac:dyDescent="0.2">
      <c r="A5448" s="258"/>
      <c r="Z5448" s="258"/>
    </row>
    <row r="5449" spans="1:26" ht="12.75" customHeight="1" x14ac:dyDescent="0.2">
      <c r="A5449" s="258"/>
      <c r="Z5449" s="258"/>
    </row>
    <row r="5450" spans="1:26" ht="12.75" customHeight="1" x14ac:dyDescent="0.2">
      <c r="A5450" s="258"/>
      <c r="Z5450" s="258"/>
    </row>
    <row r="5451" spans="1:26" ht="12.75" customHeight="1" x14ac:dyDescent="0.2">
      <c r="A5451" s="258"/>
      <c r="Z5451" s="258"/>
    </row>
    <row r="5452" spans="1:26" ht="12.75" customHeight="1" x14ac:dyDescent="0.2">
      <c r="A5452" s="258"/>
      <c r="Z5452" s="258"/>
    </row>
    <row r="5453" spans="1:26" ht="12.75" customHeight="1" x14ac:dyDescent="0.2">
      <c r="A5453" s="258"/>
      <c r="Z5453" s="258"/>
    </row>
    <row r="5454" spans="1:26" ht="12.75" customHeight="1" x14ac:dyDescent="0.2">
      <c r="A5454" s="258"/>
      <c r="Z5454" s="258"/>
    </row>
    <row r="5455" spans="1:26" ht="12.75" customHeight="1" x14ac:dyDescent="0.2">
      <c r="A5455" s="258"/>
      <c r="Z5455" s="258"/>
    </row>
    <row r="5456" spans="1:26" ht="12.75" customHeight="1" x14ac:dyDescent="0.2">
      <c r="A5456" s="258"/>
      <c r="Z5456" s="258"/>
    </row>
    <row r="5457" spans="1:26" ht="12.75" customHeight="1" x14ac:dyDescent="0.2">
      <c r="A5457" s="258"/>
      <c r="Z5457" s="258"/>
    </row>
    <row r="5458" spans="1:26" ht="12.75" customHeight="1" x14ac:dyDescent="0.2">
      <c r="A5458" s="258"/>
      <c r="Z5458" s="258"/>
    </row>
    <row r="5459" spans="1:26" ht="12.75" customHeight="1" x14ac:dyDescent="0.2">
      <c r="A5459" s="258"/>
      <c r="Z5459" s="258"/>
    </row>
    <row r="5460" spans="1:26" ht="12.75" customHeight="1" x14ac:dyDescent="0.2">
      <c r="A5460" s="258"/>
      <c r="Z5460" s="258"/>
    </row>
    <row r="5461" spans="1:26" ht="12.75" customHeight="1" x14ac:dyDescent="0.2">
      <c r="A5461" s="258"/>
      <c r="Z5461" s="258"/>
    </row>
    <row r="5462" spans="1:26" ht="12.75" customHeight="1" x14ac:dyDescent="0.2">
      <c r="A5462" s="258"/>
      <c r="Z5462" s="258"/>
    </row>
    <row r="5463" spans="1:26" ht="12.75" customHeight="1" x14ac:dyDescent="0.2">
      <c r="A5463" s="258"/>
      <c r="Z5463" s="258"/>
    </row>
    <row r="5464" spans="1:26" ht="12.75" customHeight="1" x14ac:dyDescent="0.2">
      <c r="A5464" s="258"/>
      <c r="Z5464" s="258"/>
    </row>
    <row r="5465" spans="1:26" ht="12.75" customHeight="1" x14ac:dyDescent="0.2">
      <c r="A5465" s="258"/>
      <c r="Z5465" s="258"/>
    </row>
    <row r="5466" spans="1:26" ht="12.75" customHeight="1" x14ac:dyDescent="0.2">
      <c r="A5466" s="258"/>
      <c r="Z5466" s="258"/>
    </row>
    <row r="5467" spans="1:26" ht="12.75" customHeight="1" x14ac:dyDescent="0.2">
      <c r="A5467" s="258"/>
      <c r="Z5467" s="258"/>
    </row>
    <row r="5468" spans="1:26" ht="12.75" customHeight="1" x14ac:dyDescent="0.2">
      <c r="A5468" s="258"/>
      <c r="Z5468" s="258"/>
    </row>
    <row r="5469" spans="1:26" ht="12.75" customHeight="1" x14ac:dyDescent="0.2">
      <c r="A5469" s="258"/>
      <c r="Z5469" s="258"/>
    </row>
    <row r="5470" spans="1:26" ht="12.75" customHeight="1" x14ac:dyDescent="0.2">
      <c r="A5470" s="258"/>
      <c r="Z5470" s="258"/>
    </row>
    <row r="5471" spans="1:26" ht="12.75" customHeight="1" x14ac:dyDescent="0.2">
      <c r="A5471" s="258"/>
      <c r="Z5471" s="258"/>
    </row>
    <row r="5472" spans="1:26" ht="12.75" customHeight="1" x14ac:dyDescent="0.2">
      <c r="A5472" s="258"/>
      <c r="Z5472" s="258"/>
    </row>
    <row r="5473" spans="1:26" ht="12.75" customHeight="1" x14ac:dyDescent="0.2">
      <c r="A5473" s="258"/>
      <c r="Z5473" s="258"/>
    </row>
    <row r="5474" spans="1:26" ht="12.75" customHeight="1" x14ac:dyDescent="0.2">
      <c r="A5474" s="258"/>
      <c r="Z5474" s="258"/>
    </row>
    <row r="5475" spans="1:26" ht="12.75" customHeight="1" x14ac:dyDescent="0.2">
      <c r="A5475" s="258"/>
      <c r="Z5475" s="258"/>
    </row>
    <row r="5476" spans="1:26" ht="12.75" customHeight="1" x14ac:dyDescent="0.2">
      <c r="A5476" s="258"/>
      <c r="Z5476" s="258"/>
    </row>
    <row r="5477" spans="1:26" ht="12.75" customHeight="1" x14ac:dyDescent="0.2">
      <c r="A5477" s="258"/>
      <c r="Z5477" s="258"/>
    </row>
    <row r="5478" spans="1:26" ht="12.75" customHeight="1" x14ac:dyDescent="0.2">
      <c r="A5478" s="258"/>
      <c r="Z5478" s="258"/>
    </row>
    <row r="5479" spans="1:26" ht="12.75" customHeight="1" x14ac:dyDescent="0.2">
      <c r="A5479" s="258"/>
      <c r="Z5479" s="258"/>
    </row>
    <row r="5480" spans="1:26" ht="12.75" customHeight="1" x14ac:dyDescent="0.2">
      <c r="A5480" s="258"/>
      <c r="Z5480" s="258"/>
    </row>
    <row r="5481" spans="1:26" ht="12.75" customHeight="1" x14ac:dyDescent="0.2">
      <c r="A5481" s="258"/>
      <c r="Z5481" s="258"/>
    </row>
    <row r="5482" spans="1:26" ht="12.75" customHeight="1" x14ac:dyDescent="0.2">
      <c r="A5482" s="258"/>
      <c r="Z5482" s="258"/>
    </row>
    <row r="5483" spans="1:26" ht="12.75" customHeight="1" x14ac:dyDescent="0.2">
      <c r="A5483" s="258"/>
      <c r="Z5483" s="258"/>
    </row>
    <row r="5484" spans="1:26" ht="12.75" customHeight="1" x14ac:dyDescent="0.2">
      <c r="A5484" s="258"/>
      <c r="Z5484" s="258"/>
    </row>
    <row r="5485" spans="1:26" ht="12.75" customHeight="1" x14ac:dyDescent="0.2">
      <c r="A5485" s="258"/>
      <c r="Z5485" s="258"/>
    </row>
    <row r="5486" spans="1:26" ht="12.75" customHeight="1" x14ac:dyDescent="0.2">
      <c r="A5486" s="258"/>
      <c r="Z5486" s="258"/>
    </row>
    <row r="5487" spans="1:26" ht="12.75" customHeight="1" x14ac:dyDescent="0.2">
      <c r="A5487" s="258"/>
      <c r="Z5487" s="258"/>
    </row>
    <row r="5488" spans="1:26" ht="12.75" customHeight="1" x14ac:dyDescent="0.2">
      <c r="A5488" s="258"/>
      <c r="Z5488" s="258"/>
    </row>
    <row r="5489" spans="1:26" ht="12.75" customHeight="1" x14ac:dyDescent="0.2">
      <c r="A5489" s="258"/>
      <c r="Z5489" s="258"/>
    </row>
    <row r="5490" spans="1:26" ht="12.75" customHeight="1" x14ac:dyDescent="0.2">
      <c r="A5490" s="258"/>
      <c r="Z5490" s="258"/>
    </row>
    <row r="5491" spans="1:26" ht="12.75" customHeight="1" x14ac:dyDescent="0.2">
      <c r="A5491" s="258"/>
      <c r="Z5491" s="258"/>
    </row>
    <row r="5492" spans="1:26" ht="12.75" customHeight="1" x14ac:dyDescent="0.2">
      <c r="A5492" s="258"/>
      <c r="Z5492" s="258"/>
    </row>
    <row r="5493" spans="1:26" ht="12.75" customHeight="1" x14ac:dyDescent="0.2">
      <c r="A5493" s="258"/>
      <c r="Z5493" s="258"/>
    </row>
    <row r="5494" spans="1:26" ht="12.75" customHeight="1" x14ac:dyDescent="0.2">
      <c r="A5494" s="258"/>
      <c r="Z5494" s="258"/>
    </row>
    <row r="5495" spans="1:26" ht="12.75" customHeight="1" x14ac:dyDescent="0.2">
      <c r="A5495" s="258"/>
      <c r="Z5495" s="258"/>
    </row>
    <row r="5496" spans="1:26" ht="12.75" customHeight="1" x14ac:dyDescent="0.2">
      <c r="A5496" s="258"/>
      <c r="Z5496" s="258"/>
    </row>
    <row r="5497" spans="1:26" ht="12.75" customHeight="1" x14ac:dyDescent="0.2">
      <c r="A5497" s="258"/>
      <c r="Z5497" s="258"/>
    </row>
    <row r="5498" spans="1:26" ht="12.75" customHeight="1" x14ac:dyDescent="0.2">
      <c r="A5498" s="258"/>
      <c r="Z5498" s="258"/>
    </row>
    <row r="5499" spans="1:26" ht="12.75" customHeight="1" x14ac:dyDescent="0.2">
      <c r="A5499" s="258"/>
      <c r="Z5499" s="258"/>
    </row>
    <row r="5500" spans="1:26" ht="12.75" customHeight="1" x14ac:dyDescent="0.2">
      <c r="A5500" s="258"/>
      <c r="Z5500" s="258"/>
    </row>
    <row r="5501" spans="1:26" ht="12.75" customHeight="1" x14ac:dyDescent="0.2">
      <c r="A5501" s="258"/>
      <c r="Z5501" s="258"/>
    </row>
    <row r="5502" spans="1:26" ht="12.75" customHeight="1" x14ac:dyDescent="0.2">
      <c r="A5502" s="258"/>
      <c r="Z5502" s="258"/>
    </row>
    <row r="5503" spans="1:26" ht="12.75" customHeight="1" x14ac:dyDescent="0.2">
      <c r="A5503" s="258"/>
      <c r="Z5503" s="258"/>
    </row>
    <row r="5504" spans="1:26" ht="12.75" customHeight="1" x14ac:dyDescent="0.2">
      <c r="A5504" s="258"/>
      <c r="Z5504" s="258"/>
    </row>
    <row r="5505" spans="1:26" ht="12.75" customHeight="1" x14ac:dyDescent="0.2">
      <c r="A5505" s="258"/>
      <c r="Z5505" s="258"/>
    </row>
    <row r="5506" spans="1:26" ht="12.75" customHeight="1" x14ac:dyDescent="0.2">
      <c r="A5506" s="258"/>
      <c r="Z5506" s="258"/>
    </row>
    <row r="5507" spans="1:26" ht="12.75" customHeight="1" x14ac:dyDescent="0.2">
      <c r="A5507" s="258"/>
      <c r="Z5507" s="258"/>
    </row>
    <row r="5508" spans="1:26" ht="12.75" customHeight="1" x14ac:dyDescent="0.2">
      <c r="A5508" s="258"/>
      <c r="Z5508" s="258"/>
    </row>
    <row r="5509" spans="1:26" ht="12.75" customHeight="1" x14ac:dyDescent="0.2">
      <c r="A5509" s="258"/>
      <c r="Z5509" s="258"/>
    </row>
    <row r="5510" spans="1:26" ht="12.75" customHeight="1" x14ac:dyDescent="0.2">
      <c r="A5510" s="258"/>
      <c r="Z5510" s="258"/>
    </row>
    <row r="5511" spans="1:26" ht="12.75" customHeight="1" x14ac:dyDescent="0.2">
      <c r="A5511" s="258"/>
      <c r="Z5511" s="258"/>
    </row>
    <row r="5512" spans="1:26" ht="12.75" customHeight="1" x14ac:dyDescent="0.2">
      <c r="A5512" s="258"/>
      <c r="Z5512" s="258"/>
    </row>
    <row r="5513" spans="1:26" ht="12.75" customHeight="1" x14ac:dyDescent="0.2">
      <c r="A5513" s="258"/>
      <c r="Z5513" s="258"/>
    </row>
    <row r="5514" spans="1:26" ht="12.75" customHeight="1" x14ac:dyDescent="0.2">
      <c r="A5514" s="258"/>
      <c r="Z5514" s="258"/>
    </row>
    <row r="5515" spans="1:26" ht="12.75" customHeight="1" x14ac:dyDescent="0.2">
      <c r="A5515" s="258"/>
      <c r="Z5515" s="258"/>
    </row>
    <row r="5516" spans="1:26" ht="12.75" customHeight="1" x14ac:dyDescent="0.2">
      <c r="A5516" s="258"/>
      <c r="Z5516" s="258"/>
    </row>
    <row r="5517" spans="1:26" ht="12.75" customHeight="1" x14ac:dyDescent="0.2">
      <c r="A5517" s="258"/>
      <c r="Z5517" s="258"/>
    </row>
    <row r="5518" spans="1:26" ht="12.75" customHeight="1" x14ac:dyDescent="0.2">
      <c r="A5518" s="258"/>
      <c r="Z5518" s="258"/>
    </row>
    <row r="5519" spans="1:26" ht="12.75" customHeight="1" x14ac:dyDescent="0.2">
      <c r="A5519" s="258"/>
      <c r="Z5519" s="258"/>
    </row>
    <row r="5520" spans="1:26" ht="12.75" customHeight="1" x14ac:dyDescent="0.2">
      <c r="A5520" s="258"/>
      <c r="Z5520" s="258"/>
    </row>
    <row r="5521" spans="1:26" ht="12.75" customHeight="1" x14ac:dyDescent="0.2">
      <c r="A5521" s="258"/>
      <c r="Z5521" s="258"/>
    </row>
    <row r="5522" spans="1:26" ht="12.75" customHeight="1" x14ac:dyDescent="0.2">
      <c r="A5522" s="258"/>
      <c r="Z5522" s="258"/>
    </row>
    <row r="5523" spans="1:26" ht="12.75" customHeight="1" x14ac:dyDescent="0.2">
      <c r="A5523" s="258"/>
      <c r="Z5523" s="258"/>
    </row>
    <row r="5524" spans="1:26" ht="12.75" customHeight="1" x14ac:dyDescent="0.2">
      <c r="A5524" s="258"/>
      <c r="Z5524" s="258"/>
    </row>
    <row r="5525" spans="1:26" ht="12.75" customHeight="1" x14ac:dyDescent="0.2">
      <c r="A5525" s="258"/>
      <c r="Z5525" s="258"/>
    </row>
    <row r="5526" spans="1:26" ht="12.75" customHeight="1" x14ac:dyDescent="0.2">
      <c r="A5526" s="258"/>
      <c r="Z5526" s="258"/>
    </row>
    <row r="5527" spans="1:26" ht="12.75" customHeight="1" x14ac:dyDescent="0.2">
      <c r="A5527" s="258"/>
      <c r="Z5527" s="258"/>
    </row>
    <row r="5528" spans="1:26" ht="12.75" customHeight="1" x14ac:dyDescent="0.2">
      <c r="A5528" s="258"/>
      <c r="Z5528" s="258"/>
    </row>
    <row r="5529" spans="1:26" ht="12.75" customHeight="1" x14ac:dyDescent="0.2">
      <c r="A5529" s="258"/>
      <c r="Z5529" s="258"/>
    </row>
    <row r="5530" spans="1:26" ht="12.75" customHeight="1" x14ac:dyDescent="0.2">
      <c r="A5530" s="258"/>
      <c r="Z5530" s="258"/>
    </row>
    <row r="5531" spans="1:26" ht="12.75" customHeight="1" x14ac:dyDescent="0.2">
      <c r="A5531" s="258"/>
      <c r="Z5531" s="258"/>
    </row>
    <row r="5532" spans="1:26" ht="12.75" customHeight="1" x14ac:dyDescent="0.2">
      <c r="A5532" s="258"/>
      <c r="Z5532" s="258"/>
    </row>
    <row r="5533" spans="1:26" ht="12.75" customHeight="1" x14ac:dyDescent="0.2">
      <c r="A5533" s="258"/>
      <c r="Z5533" s="258"/>
    </row>
    <row r="5534" spans="1:26" ht="12.75" customHeight="1" x14ac:dyDescent="0.2">
      <c r="A5534" s="258"/>
      <c r="Z5534" s="258"/>
    </row>
    <row r="5535" spans="1:26" ht="12.75" customHeight="1" x14ac:dyDescent="0.2">
      <c r="A5535" s="258"/>
      <c r="Z5535" s="258"/>
    </row>
    <row r="5536" spans="1:26" ht="12.75" customHeight="1" x14ac:dyDescent="0.2">
      <c r="A5536" s="258"/>
      <c r="Z5536" s="258"/>
    </row>
    <row r="5537" spans="1:26" ht="12.75" customHeight="1" x14ac:dyDescent="0.2">
      <c r="A5537" s="258"/>
      <c r="Z5537" s="258"/>
    </row>
    <row r="5538" spans="1:26" ht="12.75" customHeight="1" x14ac:dyDescent="0.2">
      <c r="A5538" s="258"/>
      <c r="Z5538" s="258"/>
    </row>
    <row r="5539" spans="1:26" ht="12.75" customHeight="1" x14ac:dyDescent="0.2">
      <c r="A5539" s="258"/>
      <c r="Z5539" s="258"/>
    </row>
    <row r="5540" spans="1:26" ht="12.75" customHeight="1" x14ac:dyDescent="0.2">
      <c r="A5540" s="258"/>
      <c r="Z5540" s="258"/>
    </row>
    <row r="5541" spans="1:26" ht="12.75" customHeight="1" x14ac:dyDescent="0.2">
      <c r="A5541" s="258"/>
      <c r="Z5541" s="258"/>
    </row>
    <row r="5542" spans="1:26" ht="12.75" customHeight="1" x14ac:dyDescent="0.2">
      <c r="A5542" s="258"/>
      <c r="Z5542" s="258"/>
    </row>
    <row r="5543" spans="1:26" ht="12.75" customHeight="1" x14ac:dyDescent="0.2">
      <c r="A5543" s="258"/>
      <c r="Z5543" s="258"/>
    </row>
    <row r="5544" spans="1:26" ht="12.75" customHeight="1" x14ac:dyDescent="0.2">
      <c r="A5544" s="258"/>
      <c r="Z5544" s="258"/>
    </row>
    <row r="5545" spans="1:26" ht="12.75" customHeight="1" x14ac:dyDescent="0.2">
      <c r="A5545" s="258"/>
      <c r="Z5545" s="258"/>
    </row>
    <row r="5546" spans="1:26" ht="12.75" customHeight="1" x14ac:dyDescent="0.2">
      <c r="A5546" s="258"/>
      <c r="Z5546" s="258"/>
    </row>
    <row r="5547" spans="1:26" ht="12.75" customHeight="1" x14ac:dyDescent="0.2">
      <c r="A5547" s="258"/>
      <c r="Z5547" s="258"/>
    </row>
    <row r="5548" spans="1:26" ht="12.75" customHeight="1" x14ac:dyDescent="0.2">
      <c r="A5548" s="258"/>
      <c r="Z5548" s="258"/>
    </row>
    <row r="5549" spans="1:26" ht="12.75" customHeight="1" x14ac:dyDescent="0.2">
      <c r="A5549" s="258"/>
      <c r="Z5549" s="258"/>
    </row>
    <row r="5550" spans="1:26" ht="12.75" customHeight="1" x14ac:dyDescent="0.2">
      <c r="A5550" s="258"/>
      <c r="Z5550" s="258"/>
    </row>
    <row r="5551" spans="1:26" ht="12.75" customHeight="1" x14ac:dyDescent="0.2">
      <c r="A5551" s="258"/>
      <c r="Z5551" s="258"/>
    </row>
    <row r="5552" spans="1:26" ht="12.75" customHeight="1" x14ac:dyDescent="0.2">
      <c r="A5552" s="258"/>
      <c r="Z5552" s="258"/>
    </row>
    <row r="5553" spans="1:26" ht="12.75" customHeight="1" x14ac:dyDescent="0.2">
      <c r="A5553" s="258"/>
      <c r="Z5553" s="258"/>
    </row>
    <row r="5554" spans="1:26" ht="12.75" customHeight="1" x14ac:dyDescent="0.2">
      <c r="A5554" s="258"/>
      <c r="Z5554" s="258"/>
    </row>
    <row r="5555" spans="1:26" ht="12.75" customHeight="1" x14ac:dyDescent="0.2">
      <c r="A5555" s="258"/>
      <c r="Z5555" s="258"/>
    </row>
    <row r="5556" spans="1:26" ht="12.75" customHeight="1" x14ac:dyDescent="0.2">
      <c r="A5556" s="258"/>
      <c r="Z5556" s="258"/>
    </row>
    <row r="5557" spans="1:26" ht="12.75" customHeight="1" x14ac:dyDescent="0.2">
      <c r="A5557" s="258"/>
      <c r="Z5557" s="258"/>
    </row>
    <row r="5558" spans="1:26" ht="12.75" customHeight="1" x14ac:dyDescent="0.2">
      <c r="A5558" s="258"/>
      <c r="Z5558" s="258"/>
    </row>
    <row r="5559" spans="1:26" ht="12.75" customHeight="1" x14ac:dyDescent="0.2">
      <c r="A5559" s="258"/>
      <c r="Z5559" s="258"/>
    </row>
    <row r="5560" spans="1:26" ht="12.75" customHeight="1" x14ac:dyDescent="0.2">
      <c r="A5560" s="258"/>
      <c r="Z5560" s="258"/>
    </row>
    <row r="5561" spans="1:26" ht="12.75" customHeight="1" x14ac:dyDescent="0.2">
      <c r="A5561" s="258"/>
      <c r="Z5561" s="258"/>
    </row>
    <row r="5562" spans="1:26" ht="12.75" customHeight="1" x14ac:dyDescent="0.2">
      <c r="A5562" s="258"/>
      <c r="Z5562" s="258"/>
    </row>
    <row r="5563" spans="1:26" ht="12.75" customHeight="1" x14ac:dyDescent="0.2">
      <c r="A5563" s="258"/>
      <c r="Z5563" s="258"/>
    </row>
    <row r="5564" spans="1:26" ht="12.75" customHeight="1" x14ac:dyDescent="0.2">
      <c r="A5564" s="258"/>
      <c r="Z5564" s="258"/>
    </row>
    <row r="5565" spans="1:26" ht="12.75" customHeight="1" x14ac:dyDescent="0.2">
      <c r="A5565" s="258"/>
      <c r="Z5565" s="258"/>
    </row>
    <row r="5566" spans="1:26" ht="12.75" customHeight="1" x14ac:dyDescent="0.2">
      <c r="A5566" s="258"/>
      <c r="Z5566" s="258"/>
    </row>
    <row r="5567" spans="1:26" ht="12.75" customHeight="1" x14ac:dyDescent="0.2">
      <c r="A5567" s="258"/>
      <c r="Z5567" s="258"/>
    </row>
    <row r="5568" spans="1:26" ht="12.75" customHeight="1" x14ac:dyDescent="0.2">
      <c r="A5568" s="258"/>
      <c r="Z5568" s="258"/>
    </row>
    <row r="5569" spans="1:26" ht="12.75" customHeight="1" x14ac:dyDescent="0.2">
      <c r="A5569" s="258"/>
      <c r="Z5569" s="258"/>
    </row>
    <row r="5570" spans="1:26" ht="12.75" customHeight="1" x14ac:dyDescent="0.2">
      <c r="A5570" s="258"/>
      <c r="Z5570" s="258"/>
    </row>
    <row r="5571" spans="1:26" ht="12.75" customHeight="1" x14ac:dyDescent="0.2">
      <c r="A5571" s="258"/>
      <c r="Z5571" s="258"/>
    </row>
    <row r="5572" spans="1:26" ht="12.75" customHeight="1" x14ac:dyDescent="0.2">
      <c r="A5572" s="258"/>
      <c r="Z5572" s="258"/>
    </row>
    <row r="5573" spans="1:26" ht="12.75" customHeight="1" x14ac:dyDescent="0.2">
      <c r="A5573" s="258"/>
      <c r="Z5573" s="258"/>
    </row>
    <row r="5574" spans="1:26" ht="12.75" customHeight="1" x14ac:dyDescent="0.2">
      <c r="A5574" s="258"/>
      <c r="Z5574" s="258"/>
    </row>
    <row r="5575" spans="1:26" ht="12.75" customHeight="1" x14ac:dyDescent="0.2">
      <c r="A5575" s="258"/>
      <c r="Z5575" s="258"/>
    </row>
    <row r="5576" spans="1:26" ht="12.75" customHeight="1" x14ac:dyDescent="0.2">
      <c r="A5576" s="258"/>
      <c r="Z5576" s="258"/>
    </row>
    <row r="5577" spans="1:26" ht="12.75" customHeight="1" x14ac:dyDescent="0.2">
      <c r="A5577" s="258"/>
      <c r="Z5577" s="258"/>
    </row>
    <row r="5578" spans="1:26" ht="12.75" customHeight="1" x14ac:dyDescent="0.2">
      <c r="A5578" s="258"/>
      <c r="Z5578" s="258"/>
    </row>
    <row r="5579" spans="1:26" ht="12.75" customHeight="1" x14ac:dyDescent="0.2">
      <c r="A5579" s="258"/>
      <c r="Z5579" s="258"/>
    </row>
    <row r="5580" spans="1:26" ht="12.75" customHeight="1" x14ac:dyDescent="0.2">
      <c r="A5580" s="258"/>
      <c r="Z5580" s="258"/>
    </row>
    <row r="5581" spans="1:26" ht="12.75" customHeight="1" x14ac:dyDescent="0.2">
      <c r="A5581" s="258"/>
      <c r="Z5581" s="258"/>
    </row>
    <row r="5582" spans="1:26" ht="12.75" customHeight="1" x14ac:dyDescent="0.2">
      <c r="A5582" s="258"/>
      <c r="Z5582" s="258"/>
    </row>
    <row r="5583" spans="1:26" ht="12.75" customHeight="1" x14ac:dyDescent="0.2">
      <c r="A5583" s="258"/>
      <c r="Z5583" s="258"/>
    </row>
    <row r="5584" spans="1:26" ht="12.75" customHeight="1" x14ac:dyDescent="0.2">
      <c r="A5584" s="258"/>
      <c r="Z5584" s="258"/>
    </row>
    <row r="5585" spans="1:26" ht="12.75" customHeight="1" x14ac:dyDescent="0.2">
      <c r="A5585" s="258"/>
      <c r="Z5585" s="258"/>
    </row>
    <row r="5586" spans="1:26" ht="12.75" customHeight="1" x14ac:dyDescent="0.2">
      <c r="A5586" s="258"/>
      <c r="Z5586" s="258"/>
    </row>
    <row r="5587" spans="1:26" ht="12.75" customHeight="1" x14ac:dyDescent="0.2">
      <c r="A5587" s="258"/>
      <c r="Z5587" s="258"/>
    </row>
    <row r="5588" spans="1:26" ht="12.75" customHeight="1" x14ac:dyDescent="0.2">
      <c r="A5588" s="258"/>
      <c r="Z5588" s="258"/>
    </row>
    <row r="5589" spans="1:26" ht="12.75" customHeight="1" x14ac:dyDescent="0.2">
      <c r="A5589" s="258"/>
      <c r="Z5589" s="258"/>
    </row>
    <row r="5590" spans="1:26" ht="12.75" customHeight="1" x14ac:dyDescent="0.2">
      <c r="A5590" s="258"/>
      <c r="Z5590" s="258"/>
    </row>
    <row r="5591" spans="1:26" ht="12.75" customHeight="1" x14ac:dyDescent="0.2">
      <c r="A5591" s="258"/>
      <c r="Z5591" s="258"/>
    </row>
    <row r="5592" spans="1:26" ht="12.75" customHeight="1" x14ac:dyDescent="0.2">
      <c r="A5592" s="258"/>
      <c r="Z5592" s="258"/>
    </row>
    <row r="5593" spans="1:26" ht="12.75" customHeight="1" x14ac:dyDescent="0.2">
      <c r="A5593" s="258"/>
      <c r="Z5593" s="258"/>
    </row>
    <row r="5594" spans="1:26" ht="12.75" customHeight="1" x14ac:dyDescent="0.2">
      <c r="A5594" s="258"/>
      <c r="Z5594" s="258"/>
    </row>
    <row r="5595" spans="1:26" ht="12.75" customHeight="1" x14ac:dyDescent="0.2">
      <c r="A5595" s="258"/>
      <c r="Z5595" s="258"/>
    </row>
    <row r="5596" spans="1:26" ht="12.75" customHeight="1" x14ac:dyDescent="0.2">
      <c r="A5596" s="258"/>
      <c r="Z5596" s="258"/>
    </row>
    <row r="5597" spans="1:26" ht="12.75" customHeight="1" x14ac:dyDescent="0.2">
      <c r="A5597" s="258"/>
      <c r="Z5597" s="258"/>
    </row>
    <row r="5598" spans="1:26" ht="12.75" customHeight="1" x14ac:dyDescent="0.2">
      <c r="A5598" s="258"/>
      <c r="Z5598" s="258"/>
    </row>
    <row r="5599" spans="1:26" ht="12.75" customHeight="1" x14ac:dyDescent="0.2">
      <c r="A5599" s="258"/>
      <c r="Z5599" s="258"/>
    </row>
    <row r="5600" spans="1:26" ht="12.75" customHeight="1" x14ac:dyDescent="0.2">
      <c r="A5600" s="258"/>
      <c r="Z5600" s="258"/>
    </row>
    <row r="5601" spans="1:26" ht="12.75" customHeight="1" x14ac:dyDescent="0.2">
      <c r="A5601" s="258"/>
      <c r="Z5601" s="258"/>
    </row>
    <row r="5602" spans="1:26" ht="12.75" customHeight="1" x14ac:dyDescent="0.2">
      <c r="A5602" s="258"/>
      <c r="Z5602" s="258"/>
    </row>
    <row r="5603" spans="1:26" ht="12.75" customHeight="1" x14ac:dyDescent="0.2">
      <c r="A5603" s="258"/>
      <c r="Z5603" s="258"/>
    </row>
    <row r="5604" spans="1:26" ht="12.75" customHeight="1" x14ac:dyDescent="0.2">
      <c r="A5604" s="258"/>
      <c r="Z5604" s="258"/>
    </row>
    <row r="5605" spans="1:26" ht="12.75" customHeight="1" x14ac:dyDescent="0.2">
      <c r="A5605" s="258"/>
      <c r="Z5605" s="258"/>
    </row>
    <row r="5606" spans="1:26" ht="12.75" customHeight="1" x14ac:dyDescent="0.2">
      <c r="A5606" s="258"/>
      <c r="Z5606" s="258"/>
    </row>
    <row r="5607" spans="1:26" ht="12.75" customHeight="1" x14ac:dyDescent="0.2">
      <c r="A5607" s="258"/>
      <c r="Z5607" s="258"/>
    </row>
    <row r="5608" spans="1:26" ht="12.75" customHeight="1" x14ac:dyDescent="0.2">
      <c r="A5608" s="258"/>
      <c r="Z5608" s="258"/>
    </row>
    <row r="5609" spans="1:26" ht="12.75" customHeight="1" x14ac:dyDescent="0.2">
      <c r="A5609" s="258"/>
      <c r="Z5609" s="258"/>
    </row>
    <row r="5610" spans="1:26" ht="12.75" customHeight="1" x14ac:dyDescent="0.2">
      <c r="A5610" s="258"/>
      <c r="Z5610" s="258"/>
    </row>
    <row r="5611" spans="1:26" ht="12.75" customHeight="1" x14ac:dyDescent="0.2">
      <c r="A5611" s="258"/>
      <c r="Z5611" s="258"/>
    </row>
    <row r="5612" spans="1:26" ht="12.75" customHeight="1" x14ac:dyDescent="0.2">
      <c r="A5612" s="258"/>
      <c r="Z5612" s="258"/>
    </row>
    <row r="5613" spans="1:26" ht="12.75" customHeight="1" x14ac:dyDescent="0.2">
      <c r="A5613" s="258"/>
      <c r="Z5613" s="258"/>
    </row>
    <row r="5614" spans="1:26" ht="12.75" customHeight="1" x14ac:dyDescent="0.2">
      <c r="A5614" s="258"/>
      <c r="Z5614" s="258"/>
    </row>
    <row r="5615" spans="1:26" ht="12.75" customHeight="1" x14ac:dyDescent="0.2">
      <c r="A5615" s="258"/>
      <c r="Z5615" s="258"/>
    </row>
    <row r="5616" spans="1:26" ht="12.75" customHeight="1" x14ac:dyDescent="0.2">
      <c r="A5616" s="258"/>
      <c r="Z5616" s="258"/>
    </row>
    <row r="5617" spans="1:26" ht="12.75" customHeight="1" x14ac:dyDescent="0.2">
      <c r="A5617" s="258"/>
      <c r="Z5617" s="258"/>
    </row>
    <row r="5618" spans="1:26" ht="12.75" customHeight="1" x14ac:dyDescent="0.2">
      <c r="A5618" s="258"/>
      <c r="Z5618" s="258"/>
    </row>
    <row r="5619" spans="1:26" ht="12.75" customHeight="1" x14ac:dyDescent="0.2">
      <c r="A5619" s="258"/>
      <c r="Z5619" s="258"/>
    </row>
    <row r="5620" spans="1:26" ht="12.75" customHeight="1" x14ac:dyDescent="0.2">
      <c r="A5620" s="258"/>
      <c r="Z5620" s="258"/>
    </row>
    <row r="5621" spans="1:26" ht="12.75" customHeight="1" x14ac:dyDescent="0.2">
      <c r="A5621" s="258"/>
      <c r="Z5621" s="258"/>
    </row>
    <row r="5622" spans="1:26" ht="12.75" customHeight="1" x14ac:dyDescent="0.2">
      <c r="A5622" s="258"/>
      <c r="Z5622" s="258"/>
    </row>
    <row r="5623" spans="1:26" ht="12.75" customHeight="1" x14ac:dyDescent="0.2">
      <c r="A5623" s="258"/>
      <c r="Z5623" s="258"/>
    </row>
    <row r="5624" spans="1:26" ht="12.75" customHeight="1" x14ac:dyDescent="0.2">
      <c r="A5624" s="258"/>
      <c r="Z5624" s="258"/>
    </row>
    <row r="5625" spans="1:26" ht="12.75" customHeight="1" x14ac:dyDescent="0.2">
      <c r="A5625" s="258"/>
      <c r="Z5625" s="258"/>
    </row>
    <row r="5626" spans="1:26" ht="12.75" customHeight="1" x14ac:dyDescent="0.2">
      <c r="A5626" s="258"/>
      <c r="Z5626" s="258"/>
    </row>
    <row r="5627" spans="1:26" ht="12.75" customHeight="1" x14ac:dyDescent="0.2">
      <c r="A5627" s="258"/>
      <c r="Z5627" s="258"/>
    </row>
    <row r="5628" spans="1:26" ht="12.75" customHeight="1" x14ac:dyDescent="0.2">
      <c r="A5628" s="258"/>
      <c r="Z5628" s="258"/>
    </row>
    <row r="5629" spans="1:26" ht="12.75" customHeight="1" x14ac:dyDescent="0.2">
      <c r="A5629" s="258"/>
      <c r="Z5629" s="258"/>
    </row>
    <row r="5630" spans="1:26" ht="12.75" customHeight="1" x14ac:dyDescent="0.2">
      <c r="A5630" s="258"/>
      <c r="Z5630" s="258"/>
    </row>
    <row r="5631" spans="1:26" ht="12.75" customHeight="1" x14ac:dyDescent="0.2">
      <c r="A5631" s="258"/>
      <c r="Z5631" s="258"/>
    </row>
    <row r="5632" spans="1:26" ht="12.75" customHeight="1" x14ac:dyDescent="0.2">
      <c r="A5632" s="258"/>
      <c r="Z5632" s="258"/>
    </row>
    <row r="5633" spans="1:26" ht="12.75" customHeight="1" x14ac:dyDescent="0.2">
      <c r="A5633" s="258"/>
      <c r="Z5633" s="258"/>
    </row>
    <row r="5634" spans="1:26" ht="12.75" customHeight="1" x14ac:dyDescent="0.2">
      <c r="A5634" s="258"/>
      <c r="Z5634" s="258"/>
    </row>
    <row r="5635" spans="1:26" ht="12.75" customHeight="1" x14ac:dyDescent="0.2">
      <c r="A5635" s="258"/>
      <c r="Z5635" s="258"/>
    </row>
    <row r="5636" spans="1:26" ht="12.75" customHeight="1" x14ac:dyDescent="0.2">
      <c r="A5636" s="258"/>
      <c r="Z5636" s="258"/>
    </row>
    <row r="5637" spans="1:26" ht="12.75" customHeight="1" x14ac:dyDescent="0.2">
      <c r="A5637" s="258"/>
      <c r="Z5637" s="258"/>
    </row>
    <row r="5638" spans="1:26" ht="12.75" customHeight="1" x14ac:dyDescent="0.2">
      <c r="A5638" s="258"/>
      <c r="Z5638" s="258"/>
    </row>
    <row r="5639" spans="1:26" ht="12.75" customHeight="1" x14ac:dyDescent="0.2">
      <c r="A5639" s="258"/>
      <c r="Z5639" s="258"/>
    </row>
    <row r="5640" spans="1:26" ht="12.75" customHeight="1" x14ac:dyDescent="0.2">
      <c r="A5640" s="258"/>
      <c r="Z5640" s="258"/>
    </row>
    <row r="5641" spans="1:26" ht="12.75" customHeight="1" x14ac:dyDescent="0.2">
      <c r="A5641" s="258"/>
      <c r="Z5641" s="258"/>
    </row>
    <row r="5642" spans="1:26" ht="12.75" customHeight="1" x14ac:dyDescent="0.2">
      <c r="A5642" s="258"/>
      <c r="Z5642" s="258"/>
    </row>
    <row r="5643" spans="1:26" ht="12.75" customHeight="1" x14ac:dyDescent="0.2">
      <c r="A5643" s="258"/>
      <c r="Z5643" s="258"/>
    </row>
    <row r="5644" spans="1:26" ht="12.75" customHeight="1" x14ac:dyDescent="0.2">
      <c r="A5644" s="258"/>
      <c r="Z5644" s="258"/>
    </row>
    <row r="5645" spans="1:26" ht="12.75" customHeight="1" x14ac:dyDescent="0.2">
      <c r="A5645" s="258"/>
      <c r="Z5645" s="258"/>
    </row>
    <row r="5646" spans="1:26" ht="12.75" customHeight="1" x14ac:dyDescent="0.2">
      <c r="A5646" s="258"/>
      <c r="Z5646" s="258"/>
    </row>
    <row r="5647" spans="1:26" ht="12.75" customHeight="1" x14ac:dyDescent="0.2">
      <c r="A5647" s="258"/>
      <c r="Z5647" s="258"/>
    </row>
    <row r="5648" spans="1:26" ht="12.75" customHeight="1" x14ac:dyDescent="0.2">
      <c r="A5648" s="258"/>
      <c r="Z5648" s="258"/>
    </row>
    <row r="5649" spans="1:26" ht="12.75" customHeight="1" x14ac:dyDescent="0.2">
      <c r="A5649" s="258"/>
      <c r="Z5649" s="258"/>
    </row>
    <row r="5650" spans="1:26" ht="12.75" customHeight="1" x14ac:dyDescent="0.2">
      <c r="A5650" s="258"/>
      <c r="Z5650" s="258"/>
    </row>
    <row r="5651" spans="1:26" ht="12.75" customHeight="1" x14ac:dyDescent="0.2">
      <c r="A5651" s="258"/>
      <c r="Z5651" s="258"/>
    </row>
    <row r="5652" spans="1:26" ht="12.75" customHeight="1" x14ac:dyDescent="0.2">
      <c r="A5652" s="258"/>
      <c r="Z5652" s="258"/>
    </row>
    <row r="5653" spans="1:26" ht="12.75" customHeight="1" x14ac:dyDescent="0.2">
      <c r="A5653" s="258"/>
      <c r="Z5653" s="258"/>
    </row>
    <row r="5654" spans="1:26" ht="12.75" customHeight="1" x14ac:dyDescent="0.2">
      <c r="A5654" s="258"/>
      <c r="Z5654" s="258"/>
    </row>
    <row r="5655" spans="1:26" ht="12.75" customHeight="1" x14ac:dyDescent="0.2">
      <c r="A5655" s="258"/>
      <c r="Z5655" s="258"/>
    </row>
    <row r="5656" spans="1:26" ht="12.75" customHeight="1" x14ac:dyDescent="0.2">
      <c r="A5656" s="258"/>
      <c r="Z5656" s="258"/>
    </row>
    <row r="5657" spans="1:26" ht="12.75" customHeight="1" x14ac:dyDescent="0.2">
      <c r="A5657" s="258"/>
      <c r="Z5657" s="258"/>
    </row>
    <row r="5658" spans="1:26" ht="12.75" customHeight="1" x14ac:dyDescent="0.2">
      <c r="A5658" s="258"/>
      <c r="Z5658" s="258"/>
    </row>
    <row r="5659" spans="1:26" ht="12.75" customHeight="1" x14ac:dyDescent="0.2">
      <c r="A5659" s="258"/>
      <c r="Z5659" s="258"/>
    </row>
    <row r="5660" spans="1:26" ht="12.75" customHeight="1" x14ac:dyDescent="0.2">
      <c r="A5660" s="258"/>
      <c r="Z5660" s="258"/>
    </row>
    <row r="5661" spans="1:26" ht="12.75" customHeight="1" x14ac:dyDescent="0.2">
      <c r="A5661" s="258"/>
      <c r="Z5661" s="258"/>
    </row>
    <row r="5662" spans="1:26" ht="12.75" customHeight="1" x14ac:dyDescent="0.2">
      <c r="A5662" s="258"/>
      <c r="Z5662" s="258"/>
    </row>
    <row r="5663" spans="1:26" ht="12.75" customHeight="1" x14ac:dyDescent="0.2">
      <c r="A5663" s="258"/>
      <c r="Z5663" s="258"/>
    </row>
    <row r="5664" spans="1:26" ht="12.75" customHeight="1" x14ac:dyDescent="0.2">
      <c r="A5664" s="258"/>
      <c r="Z5664" s="258"/>
    </row>
    <row r="5665" spans="1:26" ht="12.75" customHeight="1" x14ac:dyDescent="0.2">
      <c r="A5665" s="258"/>
      <c r="Z5665" s="258"/>
    </row>
    <row r="5666" spans="1:26" ht="12.75" customHeight="1" x14ac:dyDescent="0.2">
      <c r="A5666" s="258"/>
      <c r="Z5666" s="258"/>
    </row>
    <row r="5667" spans="1:26" ht="12.75" customHeight="1" x14ac:dyDescent="0.2">
      <c r="A5667" s="258"/>
      <c r="Z5667" s="258"/>
    </row>
    <row r="5668" spans="1:26" ht="12.75" customHeight="1" x14ac:dyDescent="0.2">
      <c r="A5668" s="258"/>
      <c r="Z5668" s="258"/>
    </row>
    <row r="5669" spans="1:26" ht="12.75" customHeight="1" x14ac:dyDescent="0.2">
      <c r="A5669" s="258"/>
      <c r="Z5669" s="258"/>
    </row>
    <row r="5670" spans="1:26" ht="12.75" customHeight="1" x14ac:dyDescent="0.2">
      <c r="A5670" s="258"/>
      <c r="Z5670" s="258"/>
    </row>
    <row r="5671" spans="1:26" ht="12.75" customHeight="1" x14ac:dyDescent="0.2">
      <c r="A5671" s="258"/>
      <c r="Z5671" s="258"/>
    </row>
    <row r="5672" spans="1:26" ht="12.75" customHeight="1" x14ac:dyDescent="0.2">
      <c r="A5672" s="258"/>
      <c r="Z5672" s="258"/>
    </row>
    <row r="5673" spans="1:26" ht="12.75" customHeight="1" x14ac:dyDescent="0.2">
      <c r="A5673" s="258"/>
      <c r="Z5673" s="258"/>
    </row>
    <row r="5674" spans="1:26" ht="12.75" customHeight="1" x14ac:dyDescent="0.2">
      <c r="A5674" s="258"/>
      <c r="Z5674" s="258"/>
    </row>
    <row r="5675" spans="1:26" ht="12.75" customHeight="1" x14ac:dyDescent="0.2">
      <c r="A5675" s="258"/>
      <c r="Z5675" s="258"/>
    </row>
    <row r="5676" spans="1:26" ht="12.75" customHeight="1" x14ac:dyDescent="0.2">
      <c r="A5676" s="258"/>
      <c r="Z5676" s="258"/>
    </row>
    <row r="5677" spans="1:26" ht="12.75" customHeight="1" x14ac:dyDescent="0.2">
      <c r="A5677" s="258"/>
      <c r="Z5677" s="258"/>
    </row>
    <row r="5678" spans="1:26" ht="12.75" customHeight="1" x14ac:dyDescent="0.2">
      <c r="A5678" s="258"/>
      <c r="Z5678" s="258"/>
    </row>
    <row r="5679" spans="1:26" ht="12.75" customHeight="1" x14ac:dyDescent="0.2">
      <c r="A5679" s="258"/>
      <c r="Z5679" s="258"/>
    </row>
    <row r="5680" spans="1:26" ht="12.75" customHeight="1" x14ac:dyDescent="0.2">
      <c r="A5680" s="258"/>
      <c r="Z5680" s="258"/>
    </row>
    <row r="5681" spans="1:26" ht="12.75" customHeight="1" x14ac:dyDescent="0.2">
      <c r="A5681" s="258"/>
      <c r="Z5681" s="258"/>
    </row>
    <row r="5682" spans="1:26" ht="12.75" customHeight="1" x14ac:dyDescent="0.2">
      <c r="A5682" s="258"/>
      <c r="Z5682" s="258"/>
    </row>
    <row r="5683" spans="1:26" ht="12.75" customHeight="1" x14ac:dyDescent="0.2">
      <c r="A5683" s="258"/>
      <c r="Z5683" s="258"/>
    </row>
    <row r="5684" spans="1:26" ht="12.75" customHeight="1" x14ac:dyDescent="0.2">
      <c r="A5684" s="258"/>
      <c r="Z5684" s="258"/>
    </row>
    <row r="5685" spans="1:26" ht="12.75" customHeight="1" x14ac:dyDescent="0.2">
      <c r="A5685" s="258"/>
      <c r="Z5685" s="258"/>
    </row>
    <row r="5686" spans="1:26" ht="12.75" customHeight="1" x14ac:dyDescent="0.2">
      <c r="A5686" s="258"/>
      <c r="Z5686" s="258"/>
    </row>
    <row r="5687" spans="1:26" ht="12.75" customHeight="1" x14ac:dyDescent="0.2">
      <c r="A5687" s="258"/>
      <c r="Z5687" s="258"/>
    </row>
    <row r="5688" spans="1:26" ht="12.75" customHeight="1" x14ac:dyDescent="0.2">
      <c r="A5688" s="258"/>
      <c r="Z5688" s="258"/>
    </row>
    <row r="5689" spans="1:26" ht="12.75" customHeight="1" x14ac:dyDescent="0.2">
      <c r="A5689" s="258"/>
      <c r="Z5689" s="258"/>
    </row>
    <row r="5690" spans="1:26" ht="12.75" customHeight="1" x14ac:dyDescent="0.2">
      <c r="A5690" s="258"/>
      <c r="Z5690" s="258"/>
    </row>
    <row r="5691" spans="1:26" ht="12.75" customHeight="1" x14ac:dyDescent="0.2">
      <c r="A5691" s="258"/>
      <c r="Z5691" s="258"/>
    </row>
    <row r="5692" spans="1:26" ht="12.75" customHeight="1" x14ac:dyDescent="0.2">
      <c r="A5692" s="258"/>
      <c r="Z5692" s="258"/>
    </row>
    <row r="5693" spans="1:26" ht="12.75" customHeight="1" x14ac:dyDescent="0.2">
      <c r="A5693" s="258"/>
      <c r="Z5693" s="258"/>
    </row>
    <row r="5694" spans="1:26" ht="12.75" customHeight="1" x14ac:dyDescent="0.2">
      <c r="A5694" s="258"/>
      <c r="Z5694" s="258"/>
    </row>
    <row r="5695" spans="1:26" ht="12.75" customHeight="1" x14ac:dyDescent="0.2">
      <c r="A5695" s="258"/>
      <c r="Z5695" s="258"/>
    </row>
    <row r="5696" spans="1:26" ht="12.75" customHeight="1" x14ac:dyDescent="0.2">
      <c r="A5696" s="258"/>
      <c r="Z5696" s="258"/>
    </row>
    <row r="5697" spans="1:26" ht="12.75" customHeight="1" x14ac:dyDescent="0.2">
      <c r="A5697" s="258"/>
      <c r="Z5697" s="258"/>
    </row>
    <row r="5698" spans="1:26" ht="12.75" customHeight="1" x14ac:dyDescent="0.2">
      <c r="A5698" s="258"/>
      <c r="Z5698" s="258"/>
    </row>
    <row r="5699" spans="1:26" ht="12.75" customHeight="1" x14ac:dyDescent="0.2">
      <c r="A5699" s="258"/>
      <c r="Z5699" s="258"/>
    </row>
    <row r="5700" spans="1:26" ht="12.75" customHeight="1" x14ac:dyDescent="0.2">
      <c r="A5700" s="258"/>
      <c r="Z5700" s="258"/>
    </row>
    <row r="5701" spans="1:26" ht="12.75" customHeight="1" x14ac:dyDescent="0.2">
      <c r="A5701" s="258"/>
      <c r="Z5701" s="258"/>
    </row>
    <row r="5702" spans="1:26" ht="12.75" customHeight="1" x14ac:dyDescent="0.2">
      <c r="A5702" s="258"/>
      <c r="Z5702" s="258"/>
    </row>
    <row r="5703" spans="1:26" ht="12.75" customHeight="1" x14ac:dyDescent="0.2">
      <c r="A5703" s="258"/>
      <c r="Z5703" s="258"/>
    </row>
    <row r="5704" spans="1:26" ht="12.75" customHeight="1" x14ac:dyDescent="0.2">
      <c r="A5704" s="258"/>
      <c r="Z5704" s="258"/>
    </row>
    <row r="5705" spans="1:26" ht="12.75" customHeight="1" x14ac:dyDescent="0.2">
      <c r="A5705" s="258"/>
      <c r="Z5705" s="258"/>
    </row>
    <row r="5706" spans="1:26" ht="12.75" customHeight="1" x14ac:dyDescent="0.2">
      <c r="A5706" s="258"/>
      <c r="Z5706" s="258"/>
    </row>
    <row r="5707" spans="1:26" ht="12.75" customHeight="1" x14ac:dyDescent="0.2">
      <c r="A5707" s="258"/>
      <c r="Z5707" s="258"/>
    </row>
    <row r="5708" spans="1:26" ht="12.75" customHeight="1" x14ac:dyDescent="0.2">
      <c r="A5708" s="258"/>
      <c r="Z5708" s="258"/>
    </row>
    <row r="5709" spans="1:26" ht="12.75" customHeight="1" x14ac:dyDescent="0.2">
      <c r="A5709" s="258"/>
      <c r="Z5709" s="258"/>
    </row>
    <row r="5710" spans="1:26" ht="12.75" customHeight="1" x14ac:dyDescent="0.2">
      <c r="A5710" s="258"/>
      <c r="Z5710" s="258"/>
    </row>
    <row r="5711" spans="1:26" ht="12.75" customHeight="1" x14ac:dyDescent="0.2">
      <c r="A5711" s="258"/>
      <c r="Z5711" s="258"/>
    </row>
    <row r="5712" spans="1:26" ht="12.75" customHeight="1" x14ac:dyDescent="0.2">
      <c r="A5712" s="258"/>
      <c r="Z5712" s="258"/>
    </row>
    <row r="5713" spans="1:26" ht="12.75" customHeight="1" x14ac:dyDescent="0.2">
      <c r="A5713" s="258"/>
      <c r="Z5713" s="258"/>
    </row>
    <row r="5714" spans="1:26" ht="12.75" customHeight="1" x14ac:dyDescent="0.2">
      <c r="A5714" s="258"/>
      <c r="Z5714" s="258"/>
    </row>
    <row r="5715" spans="1:26" ht="12.75" customHeight="1" x14ac:dyDescent="0.2">
      <c r="A5715" s="258"/>
      <c r="Z5715" s="258"/>
    </row>
    <row r="5716" spans="1:26" ht="12.75" customHeight="1" x14ac:dyDescent="0.2">
      <c r="A5716" s="258"/>
      <c r="Z5716" s="258"/>
    </row>
    <row r="5717" spans="1:26" ht="12.75" customHeight="1" x14ac:dyDescent="0.2">
      <c r="A5717" s="258"/>
      <c r="Z5717" s="258"/>
    </row>
    <row r="5718" spans="1:26" ht="12.75" customHeight="1" x14ac:dyDescent="0.2">
      <c r="A5718" s="258"/>
      <c r="Z5718" s="258"/>
    </row>
    <row r="5719" spans="1:26" ht="12.75" customHeight="1" x14ac:dyDescent="0.2">
      <c r="A5719" s="258"/>
      <c r="Z5719" s="258"/>
    </row>
    <row r="5720" spans="1:26" ht="12.75" customHeight="1" x14ac:dyDescent="0.2">
      <c r="A5720" s="258"/>
      <c r="Z5720" s="258"/>
    </row>
    <row r="5721" spans="1:26" ht="12.75" customHeight="1" x14ac:dyDescent="0.2">
      <c r="A5721" s="258"/>
      <c r="Z5721" s="258"/>
    </row>
    <row r="5722" spans="1:26" ht="12.75" customHeight="1" x14ac:dyDescent="0.2">
      <c r="A5722" s="258"/>
      <c r="Z5722" s="258"/>
    </row>
    <row r="5723" spans="1:26" ht="12.75" customHeight="1" x14ac:dyDescent="0.2">
      <c r="A5723" s="258"/>
      <c r="Z5723" s="258"/>
    </row>
    <row r="5724" spans="1:26" ht="12.75" customHeight="1" x14ac:dyDescent="0.2">
      <c r="A5724" s="258"/>
      <c r="Z5724" s="258"/>
    </row>
    <row r="5725" spans="1:26" ht="12.75" customHeight="1" x14ac:dyDescent="0.2">
      <c r="A5725" s="258"/>
      <c r="Z5725" s="258"/>
    </row>
    <row r="5726" spans="1:26" ht="12.75" customHeight="1" x14ac:dyDescent="0.2">
      <c r="A5726" s="258"/>
      <c r="Z5726" s="258"/>
    </row>
    <row r="5727" spans="1:26" ht="12.75" customHeight="1" x14ac:dyDescent="0.2">
      <c r="A5727" s="258"/>
      <c r="Z5727" s="258"/>
    </row>
    <row r="5728" spans="1:26" ht="12.75" customHeight="1" x14ac:dyDescent="0.2">
      <c r="A5728" s="258"/>
      <c r="Z5728" s="258"/>
    </row>
    <row r="5729" spans="1:26" ht="12.75" customHeight="1" x14ac:dyDescent="0.2">
      <c r="A5729" s="258"/>
      <c r="Z5729" s="258"/>
    </row>
    <row r="5730" spans="1:26" ht="12.75" customHeight="1" x14ac:dyDescent="0.2">
      <c r="A5730" s="258"/>
      <c r="Z5730" s="258"/>
    </row>
    <row r="5731" spans="1:26" ht="12.75" customHeight="1" x14ac:dyDescent="0.2">
      <c r="A5731" s="258"/>
      <c r="Z5731" s="258"/>
    </row>
    <row r="5732" spans="1:26" ht="12.75" customHeight="1" x14ac:dyDescent="0.2">
      <c r="A5732" s="258"/>
      <c r="Z5732" s="258"/>
    </row>
    <row r="5733" spans="1:26" ht="12.75" customHeight="1" x14ac:dyDescent="0.2">
      <c r="A5733" s="258"/>
      <c r="Z5733" s="258"/>
    </row>
    <row r="5734" spans="1:26" ht="12.75" customHeight="1" x14ac:dyDescent="0.2">
      <c r="A5734" s="258"/>
      <c r="Z5734" s="258"/>
    </row>
    <row r="5735" spans="1:26" ht="12.75" customHeight="1" x14ac:dyDescent="0.2">
      <c r="A5735" s="258"/>
      <c r="Z5735" s="258"/>
    </row>
    <row r="5736" spans="1:26" ht="12.75" customHeight="1" x14ac:dyDescent="0.2">
      <c r="A5736" s="258"/>
      <c r="Z5736" s="258"/>
    </row>
    <row r="5737" spans="1:26" ht="12.75" customHeight="1" x14ac:dyDescent="0.2">
      <c r="A5737" s="258"/>
      <c r="Z5737" s="258"/>
    </row>
    <row r="5738" spans="1:26" ht="12.75" customHeight="1" x14ac:dyDescent="0.2">
      <c r="A5738" s="258"/>
      <c r="Z5738" s="258"/>
    </row>
    <row r="5739" spans="1:26" ht="12.75" customHeight="1" x14ac:dyDescent="0.2">
      <c r="A5739" s="258"/>
      <c r="Z5739" s="258"/>
    </row>
    <row r="5740" spans="1:26" ht="12.75" customHeight="1" x14ac:dyDescent="0.2">
      <c r="A5740" s="258"/>
      <c r="Z5740" s="258"/>
    </row>
    <row r="5741" spans="1:26" ht="12.75" customHeight="1" x14ac:dyDescent="0.2">
      <c r="A5741" s="258"/>
      <c r="Z5741" s="258"/>
    </row>
    <row r="5742" spans="1:26" ht="12.75" customHeight="1" x14ac:dyDescent="0.2">
      <c r="A5742" s="258"/>
      <c r="Z5742" s="258"/>
    </row>
    <row r="5743" spans="1:26" ht="12.75" customHeight="1" x14ac:dyDescent="0.2">
      <c r="A5743" s="258"/>
      <c r="Z5743" s="258"/>
    </row>
    <row r="5744" spans="1:26" ht="12.75" customHeight="1" x14ac:dyDescent="0.2">
      <c r="A5744" s="258"/>
      <c r="Z5744" s="258"/>
    </row>
    <row r="5745" spans="1:26" ht="12.75" customHeight="1" x14ac:dyDescent="0.2">
      <c r="A5745" s="258"/>
      <c r="Z5745" s="258"/>
    </row>
    <row r="5746" spans="1:26" ht="12.75" customHeight="1" x14ac:dyDescent="0.2">
      <c r="A5746" s="258"/>
      <c r="Z5746" s="258"/>
    </row>
    <row r="5747" spans="1:26" ht="12.75" customHeight="1" x14ac:dyDescent="0.2">
      <c r="A5747" s="258"/>
      <c r="Z5747" s="258"/>
    </row>
    <row r="5748" spans="1:26" ht="12.75" customHeight="1" x14ac:dyDescent="0.2">
      <c r="A5748" s="258"/>
      <c r="Z5748" s="258"/>
    </row>
    <row r="5749" spans="1:26" ht="12.75" customHeight="1" x14ac:dyDescent="0.2">
      <c r="A5749" s="258"/>
      <c r="Z5749" s="258"/>
    </row>
    <row r="5750" spans="1:26" ht="12.75" customHeight="1" x14ac:dyDescent="0.2">
      <c r="A5750" s="258"/>
      <c r="Z5750" s="258"/>
    </row>
    <row r="5751" spans="1:26" ht="12.75" customHeight="1" x14ac:dyDescent="0.2">
      <c r="A5751" s="258"/>
      <c r="Z5751" s="258"/>
    </row>
    <row r="5752" spans="1:26" ht="12.75" customHeight="1" x14ac:dyDescent="0.2">
      <c r="A5752" s="258"/>
      <c r="Z5752" s="258"/>
    </row>
    <row r="5753" spans="1:26" ht="12.75" customHeight="1" x14ac:dyDescent="0.2">
      <c r="A5753" s="258"/>
      <c r="Z5753" s="258"/>
    </row>
    <row r="5754" spans="1:26" ht="12.75" customHeight="1" x14ac:dyDescent="0.2">
      <c r="A5754" s="258"/>
      <c r="Z5754" s="258"/>
    </row>
    <row r="5755" spans="1:26" ht="12.75" customHeight="1" x14ac:dyDescent="0.2">
      <c r="A5755" s="258"/>
      <c r="Z5755" s="258"/>
    </row>
    <row r="5756" spans="1:26" ht="12.75" customHeight="1" x14ac:dyDescent="0.2">
      <c r="A5756" s="258"/>
      <c r="Z5756" s="258"/>
    </row>
    <row r="5757" spans="1:26" ht="12.75" customHeight="1" x14ac:dyDescent="0.2">
      <c r="A5757" s="258"/>
      <c r="Z5757" s="258"/>
    </row>
    <row r="5758" spans="1:26" ht="12.75" customHeight="1" x14ac:dyDescent="0.2">
      <c r="A5758" s="258"/>
      <c r="Z5758" s="258"/>
    </row>
    <row r="5759" spans="1:26" ht="12.75" customHeight="1" x14ac:dyDescent="0.2">
      <c r="A5759" s="258"/>
      <c r="Z5759" s="258"/>
    </row>
    <row r="5760" spans="1:26" ht="12.75" customHeight="1" x14ac:dyDescent="0.2">
      <c r="A5760" s="258"/>
      <c r="Z5760" s="258"/>
    </row>
    <row r="5761" spans="1:26" ht="12.75" customHeight="1" x14ac:dyDescent="0.2">
      <c r="A5761" s="258"/>
      <c r="Z5761" s="258"/>
    </row>
    <row r="5762" spans="1:26" ht="12.75" customHeight="1" x14ac:dyDescent="0.2">
      <c r="A5762" s="258"/>
      <c r="Z5762" s="258"/>
    </row>
    <row r="5763" spans="1:26" ht="12.75" customHeight="1" x14ac:dyDescent="0.2">
      <c r="A5763" s="258"/>
      <c r="Z5763" s="258"/>
    </row>
    <row r="5764" spans="1:26" ht="12.75" customHeight="1" x14ac:dyDescent="0.2">
      <c r="A5764" s="258"/>
      <c r="Z5764" s="258"/>
    </row>
    <row r="5765" spans="1:26" ht="12.75" customHeight="1" x14ac:dyDescent="0.2">
      <c r="A5765" s="258"/>
      <c r="Z5765" s="258"/>
    </row>
    <row r="5766" spans="1:26" ht="12.75" customHeight="1" x14ac:dyDescent="0.2">
      <c r="A5766" s="258"/>
      <c r="Z5766" s="258"/>
    </row>
    <row r="5767" spans="1:26" ht="12.75" customHeight="1" x14ac:dyDescent="0.2">
      <c r="A5767" s="258"/>
      <c r="Z5767" s="258"/>
    </row>
    <row r="5768" spans="1:26" ht="12.75" customHeight="1" x14ac:dyDescent="0.2">
      <c r="A5768" s="258"/>
      <c r="Z5768" s="258"/>
    </row>
    <row r="5769" spans="1:26" ht="12.75" customHeight="1" x14ac:dyDescent="0.2">
      <c r="A5769" s="258"/>
      <c r="Z5769" s="258"/>
    </row>
    <row r="5770" spans="1:26" ht="12.75" customHeight="1" x14ac:dyDescent="0.2">
      <c r="A5770" s="258"/>
      <c r="Z5770" s="258"/>
    </row>
    <row r="5771" spans="1:26" ht="12.75" customHeight="1" x14ac:dyDescent="0.2">
      <c r="A5771" s="258"/>
      <c r="Z5771" s="258"/>
    </row>
    <row r="5772" spans="1:26" ht="12.75" customHeight="1" x14ac:dyDescent="0.2">
      <c r="A5772" s="258"/>
      <c r="Z5772" s="258"/>
    </row>
    <row r="5773" spans="1:26" ht="12.75" customHeight="1" x14ac:dyDescent="0.2">
      <c r="A5773" s="258"/>
      <c r="Z5773" s="258"/>
    </row>
    <row r="5774" spans="1:26" ht="12.75" customHeight="1" x14ac:dyDescent="0.2">
      <c r="A5774" s="258"/>
      <c r="Z5774" s="258"/>
    </row>
    <row r="5775" spans="1:26" ht="12.75" customHeight="1" x14ac:dyDescent="0.2">
      <c r="A5775" s="258"/>
      <c r="Z5775" s="258"/>
    </row>
    <row r="5776" spans="1:26" ht="12.75" customHeight="1" x14ac:dyDescent="0.2">
      <c r="A5776" s="258"/>
      <c r="Z5776" s="258"/>
    </row>
    <row r="5777" spans="1:26" ht="12.75" customHeight="1" x14ac:dyDescent="0.2">
      <c r="A5777" s="258"/>
      <c r="Z5777" s="258"/>
    </row>
    <row r="5778" spans="1:26" ht="12.75" customHeight="1" x14ac:dyDescent="0.2">
      <c r="A5778" s="258"/>
      <c r="Z5778" s="258"/>
    </row>
    <row r="5779" spans="1:26" ht="12.75" customHeight="1" x14ac:dyDescent="0.2">
      <c r="A5779" s="258"/>
      <c r="Z5779" s="258"/>
    </row>
    <row r="5780" spans="1:26" ht="12.75" customHeight="1" x14ac:dyDescent="0.2">
      <c r="A5780" s="258"/>
      <c r="Z5780" s="258"/>
    </row>
    <row r="5781" spans="1:26" ht="12.75" customHeight="1" x14ac:dyDescent="0.2">
      <c r="A5781" s="258"/>
      <c r="Z5781" s="258"/>
    </row>
    <row r="5782" spans="1:26" ht="12.75" customHeight="1" x14ac:dyDescent="0.2">
      <c r="A5782" s="258"/>
      <c r="Z5782" s="258"/>
    </row>
    <row r="5783" spans="1:26" ht="12.75" customHeight="1" x14ac:dyDescent="0.2">
      <c r="A5783" s="258"/>
      <c r="Z5783" s="258"/>
    </row>
    <row r="5784" spans="1:26" ht="12.75" customHeight="1" x14ac:dyDescent="0.2">
      <c r="A5784" s="258"/>
      <c r="Z5784" s="258"/>
    </row>
    <row r="5785" spans="1:26" ht="12.75" customHeight="1" x14ac:dyDescent="0.2">
      <c r="A5785" s="258"/>
      <c r="Z5785" s="258"/>
    </row>
    <row r="5786" spans="1:26" ht="12.75" customHeight="1" x14ac:dyDescent="0.2">
      <c r="A5786" s="258"/>
      <c r="Z5786" s="258"/>
    </row>
    <row r="5787" spans="1:26" ht="12.75" customHeight="1" x14ac:dyDescent="0.2">
      <c r="A5787" s="258"/>
      <c r="Z5787" s="258"/>
    </row>
    <row r="5788" spans="1:26" ht="12.75" customHeight="1" x14ac:dyDescent="0.2">
      <c r="A5788" s="258"/>
      <c r="Z5788" s="258"/>
    </row>
    <row r="5789" spans="1:26" ht="12.75" customHeight="1" x14ac:dyDescent="0.2">
      <c r="A5789" s="258"/>
      <c r="Z5789" s="258"/>
    </row>
    <row r="5790" spans="1:26" ht="12.75" customHeight="1" x14ac:dyDescent="0.2">
      <c r="A5790" s="258"/>
      <c r="Z5790" s="258"/>
    </row>
    <row r="5791" spans="1:26" ht="12.75" customHeight="1" x14ac:dyDescent="0.2">
      <c r="A5791" s="258"/>
      <c r="Z5791" s="258"/>
    </row>
    <row r="5792" spans="1:26" ht="12.75" customHeight="1" x14ac:dyDescent="0.2">
      <c r="A5792" s="258"/>
      <c r="Z5792" s="258"/>
    </row>
    <row r="5793" spans="1:26" ht="12.75" customHeight="1" x14ac:dyDescent="0.2">
      <c r="A5793" s="258"/>
      <c r="Z5793" s="258"/>
    </row>
    <row r="5794" spans="1:26" ht="12.75" customHeight="1" x14ac:dyDescent="0.2">
      <c r="A5794" s="258"/>
      <c r="Z5794" s="258"/>
    </row>
    <row r="5795" spans="1:26" ht="12.75" customHeight="1" x14ac:dyDescent="0.2">
      <c r="A5795" s="258"/>
      <c r="Z5795" s="258"/>
    </row>
    <row r="5796" spans="1:26" ht="12.75" customHeight="1" x14ac:dyDescent="0.2">
      <c r="A5796" s="258"/>
      <c r="Z5796" s="258"/>
    </row>
    <row r="5797" spans="1:26" ht="12.75" customHeight="1" x14ac:dyDescent="0.2">
      <c r="A5797" s="258"/>
      <c r="Z5797" s="258"/>
    </row>
    <row r="5798" spans="1:26" ht="12.75" customHeight="1" x14ac:dyDescent="0.2">
      <c r="A5798" s="258"/>
      <c r="Z5798" s="258"/>
    </row>
    <row r="5799" spans="1:26" ht="12.75" customHeight="1" x14ac:dyDescent="0.2">
      <c r="A5799" s="258"/>
      <c r="Z5799" s="258"/>
    </row>
    <row r="5800" spans="1:26" ht="12.75" customHeight="1" x14ac:dyDescent="0.2">
      <c r="A5800" s="258"/>
      <c r="Z5800" s="258"/>
    </row>
    <row r="5801" spans="1:26" ht="12.75" customHeight="1" x14ac:dyDescent="0.2">
      <c r="A5801" s="258"/>
      <c r="Z5801" s="258"/>
    </row>
    <row r="5802" spans="1:26" ht="12.75" customHeight="1" x14ac:dyDescent="0.2">
      <c r="A5802" s="258"/>
      <c r="Z5802" s="258"/>
    </row>
    <row r="5803" spans="1:26" ht="12.75" customHeight="1" x14ac:dyDescent="0.2">
      <c r="A5803" s="258"/>
      <c r="Z5803" s="258"/>
    </row>
    <row r="5804" spans="1:26" ht="12.75" customHeight="1" x14ac:dyDescent="0.2">
      <c r="A5804" s="258"/>
      <c r="Z5804" s="258"/>
    </row>
    <row r="5805" spans="1:26" ht="12.75" customHeight="1" x14ac:dyDescent="0.2">
      <c r="A5805" s="258"/>
      <c r="Z5805" s="258"/>
    </row>
    <row r="5806" spans="1:26" ht="12.75" customHeight="1" x14ac:dyDescent="0.2">
      <c r="A5806" s="258"/>
      <c r="Z5806" s="258"/>
    </row>
    <row r="5807" spans="1:26" ht="12.75" customHeight="1" x14ac:dyDescent="0.2">
      <c r="A5807" s="258"/>
      <c r="Z5807" s="258"/>
    </row>
    <row r="5808" spans="1:26" ht="12.75" customHeight="1" x14ac:dyDescent="0.2">
      <c r="A5808" s="258"/>
      <c r="Z5808" s="258"/>
    </row>
    <row r="5809" spans="1:26" ht="12.75" customHeight="1" x14ac:dyDescent="0.2">
      <c r="A5809" s="258"/>
      <c r="Z5809" s="258"/>
    </row>
    <row r="5810" spans="1:26" ht="12.75" customHeight="1" x14ac:dyDescent="0.2">
      <c r="A5810" s="258"/>
      <c r="Z5810" s="258"/>
    </row>
    <row r="5811" spans="1:26" ht="12.75" customHeight="1" x14ac:dyDescent="0.2">
      <c r="A5811" s="258"/>
      <c r="Z5811" s="258"/>
    </row>
    <row r="5812" spans="1:26" ht="12.75" customHeight="1" x14ac:dyDescent="0.2">
      <c r="A5812" s="258"/>
      <c r="Z5812" s="258"/>
    </row>
    <row r="5813" spans="1:26" ht="12.75" customHeight="1" x14ac:dyDescent="0.2">
      <c r="A5813" s="258"/>
      <c r="Z5813" s="258"/>
    </row>
    <row r="5814" spans="1:26" ht="12.75" customHeight="1" x14ac:dyDescent="0.2">
      <c r="A5814" s="258"/>
      <c r="Z5814" s="258"/>
    </row>
    <row r="5815" spans="1:26" ht="12.75" customHeight="1" x14ac:dyDescent="0.2">
      <c r="A5815" s="258"/>
      <c r="Z5815" s="258"/>
    </row>
    <row r="5816" spans="1:26" ht="12.75" customHeight="1" x14ac:dyDescent="0.2">
      <c r="A5816" s="258"/>
      <c r="Z5816" s="258"/>
    </row>
    <row r="5817" spans="1:26" ht="12.75" customHeight="1" x14ac:dyDescent="0.2">
      <c r="A5817" s="258"/>
      <c r="Z5817" s="258"/>
    </row>
    <row r="5818" spans="1:26" ht="12.75" customHeight="1" x14ac:dyDescent="0.2">
      <c r="A5818" s="258"/>
      <c r="Z5818" s="258"/>
    </row>
    <row r="5819" spans="1:26" ht="12.75" customHeight="1" x14ac:dyDescent="0.2">
      <c r="A5819" s="258"/>
      <c r="Z5819" s="258"/>
    </row>
    <row r="5820" spans="1:26" ht="12.75" customHeight="1" x14ac:dyDescent="0.2">
      <c r="A5820" s="258"/>
      <c r="Z5820" s="258"/>
    </row>
    <row r="5821" spans="1:26" ht="12.75" customHeight="1" x14ac:dyDescent="0.2">
      <c r="A5821" s="258"/>
      <c r="Z5821" s="258"/>
    </row>
    <row r="5822" spans="1:26" ht="12.75" customHeight="1" x14ac:dyDescent="0.2">
      <c r="A5822" s="258"/>
      <c r="Z5822" s="258"/>
    </row>
    <row r="5823" spans="1:26" ht="12.75" customHeight="1" x14ac:dyDescent="0.2">
      <c r="A5823" s="258"/>
      <c r="Z5823" s="258"/>
    </row>
    <row r="5824" spans="1:26" ht="12.75" customHeight="1" x14ac:dyDescent="0.2">
      <c r="A5824" s="258"/>
      <c r="Z5824" s="258"/>
    </row>
    <row r="5825" spans="1:26" ht="12.75" customHeight="1" x14ac:dyDescent="0.2">
      <c r="A5825" s="258"/>
      <c r="Z5825" s="258"/>
    </row>
    <row r="5826" spans="1:26" ht="12.75" customHeight="1" x14ac:dyDescent="0.2">
      <c r="A5826" s="258"/>
      <c r="Z5826" s="258"/>
    </row>
    <row r="5827" spans="1:26" ht="12.75" customHeight="1" x14ac:dyDescent="0.2">
      <c r="A5827" s="258"/>
      <c r="Z5827" s="258"/>
    </row>
    <row r="5828" spans="1:26" ht="12.75" customHeight="1" x14ac:dyDescent="0.2">
      <c r="A5828" s="258"/>
      <c r="Z5828" s="258"/>
    </row>
    <row r="5829" spans="1:26" ht="12.75" customHeight="1" x14ac:dyDescent="0.2">
      <c r="A5829" s="258"/>
      <c r="Z5829" s="258"/>
    </row>
    <row r="5830" spans="1:26" ht="12.75" customHeight="1" x14ac:dyDescent="0.2">
      <c r="A5830" s="258"/>
      <c r="Z5830" s="258"/>
    </row>
    <row r="5831" spans="1:26" ht="12.75" customHeight="1" x14ac:dyDescent="0.2">
      <c r="A5831" s="258"/>
      <c r="Z5831" s="258"/>
    </row>
    <row r="5832" spans="1:26" ht="12.75" customHeight="1" x14ac:dyDescent="0.2">
      <c r="A5832" s="258"/>
      <c r="Z5832" s="258"/>
    </row>
    <row r="5833" spans="1:26" ht="12.75" customHeight="1" x14ac:dyDescent="0.2">
      <c r="A5833" s="258"/>
      <c r="Z5833" s="258"/>
    </row>
    <row r="5834" spans="1:26" ht="12.75" customHeight="1" x14ac:dyDescent="0.2">
      <c r="A5834" s="258"/>
      <c r="Z5834" s="258"/>
    </row>
    <row r="5835" spans="1:26" ht="12.75" customHeight="1" x14ac:dyDescent="0.2">
      <c r="A5835" s="258"/>
      <c r="Z5835" s="258"/>
    </row>
    <row r="5836" spans="1:26" ht="12.75" customHeight="1" x14ac:dyDescent="0.2">
      <c r="A5836" s="258"/>
      <c r="Z5836" s="258"/>
    </row>
    <row r="5837" spans="1:26" ht="12.75" customHeight="1" x14ac:dyDescent="0.2">
      <c r="A5837" s="258"/>
      <c r="Z5837" s="258"/>
    </row>
    <row r="5838" spans="1:26" ht="12.75" customHeight="1" x14ac:dyDescent="0.2">
      <c r="A5838" s="258"/>
      <c r="Z5838" s="258"/>
    </row>
    <row r="5839" spans="1:26" ht="12.75" customHeight="1" x14ac:dyDescent="0.2">
      <c r="A5839" s="258"/>
      <c r="Z5839" s="258"/>
    </row>
    <row r="5840" spans="1:26" ht="12.75" customHeight="1" x14ac:dyDescent="0.2">
      <c r="A5840" s="258"/>
      <c r="Z5840" s="258"/>
    </row>
    <row r="5841" spans="1:26" ht="12.75" customHeight="1" x14ac:dyDescent="0.2">
      <c r="A5841" s="258"/>
      <c r="Z5841" s="258"/>
    </row>
    <row r="5842" spans="1:26" ht="12.75" customHeight="1" x14ac:dyDescent="0.2">
      <c r="A5842" s="258"/>
      <c r="Z5842" s="258"/>
    </row>
    <row r="5843" spans="1:26" ht="12.75" customHeight="1" x14ac:dyDescent="0.2">
      <c r="A5843" s="258"/>
      <c r="Z5843" s="258"/>
    </row>
    <row r="5844" spans="1:26" ht="12.75" customHeight="1" x14ac:dyDescent="0.2">
      <c r="A5844" s="258"/>
      <c r="Z5844" s="258"/>
    </row>
    <row r="5845" spans="1:26" ht="12.75" customHeight="1" x14ac:dyDescent="0.2">
      <c r="A5845" s="258"/>
      <c r="Z5845" s="258"/>
    </row>
    <row r="5846" spans="1:26" ht="12.75" customHeight="1" x14ac:dyDescent="0.2">
      <c r="A5846" s="258"/>
      <c r="Z5846" s="258"/>
    </row>
    <row r="5847" spans="1:26" ht="12.75" customHeight="1" x14ac:dyDescent="0.2">
      <c r="A5847" s="258"/>
      <c r="Z5847" s="258"/>
    </row>
    <row r="5848" spans="1:26" ht="12.75" customHeight="1" x14ac:dyDescent="0.2">
      <c r="A5848" s="258"/>
      <c r="Z5848" s="258"/>
    </row>
    <row r="5849" spans="1:26" ht="12.75" customHeight="1" x14ac:dyDescent="0.2">
      <c r="A5849" s="258"/>
      <c r="Z5849" s="258"/>
    </row>
    <row r="5850" spans="1:26" ht="12.75" customHeight="1" x14ac:dyDescent="0.2">
      <c r="A5850" s="258"/>
      <c r="Z5850" s="258"/>
    </row>
    <row r="5851" spans="1:26" ht="12.75" customHeight="1" x14ac:dyDescent="0.2">
      <c r="A5851" s="258"/>
      <c r="Z5851" s="258"/>
    </row>
    <row r="5852" spans="1:26" ht="12.75" customHeight="1" x14ac:dyDescent="0.2">
      <c r="A5852" s="258"/>
      <c r="Z5852" s="258"/>
    </row>
    <row r="5853" spans="1:26" ht="12.75" customHeight="1" x14ac:dyDescent="0.2">
      <c r="A5853" s="258"/>
      <c r="Z5853" s="258"/>
    </row>
    <row r="5854" spans="1:26" ht="12.75" customHeight="1" x14ac:dyDescent="0.2">
      <c r="A5854" s="258"/>
      <c r="Z5854" s="258"/>
    </row>
    <row r="5855" spans="1:26" ht="12.75" customHeight="1" x14ac:dyDescent="0.2">
      <c r="A5855" s="258"/>
      <c r="Z5855" s="258"/>
    </row>
    <row r="5856" spans="1:26" ht="12.75" customHeight="1" x14ac:dyDescent="0.2">
      <c r="A5856" s="258"/>
      <c r="Z5856" s="258"/>
    </row>
    <row r="5857" spans="1:26" ht="12.75" customHeight="1" x14ac:dyDescent="0.2">
      <c r="A5857" s="258"/>
      <c r="Z5857" s="258"/>
    </row>
    <row r="5858" spans="1:26" ht="12.75" customHeight="1" x14ac:dyDescent="0.2">
      <c r="A5858" s="258"/>
      <c r="Z5858" s="258"/>
    </row>
    <row r="5859" spans="1:26" ht="12.75" customHeight="1" x14ac:dyDescent="0.2">
      <c r="A5859" s="258"/>
      <c r="Z5859" s="258"/>
    </row>
    <row r="5860" spans="1:26" ht="12.75" customHeight="1" x14ac:dyDescent="0.2">
      <c r="A5860" s="258"/>
      <c r="Z5860" s="258"/>
    </row>
    <row r="5861" spans="1:26" ht="12.75" customHeight="1" x14ac:dyDescent="0.2">
      <c r="A5861" s="258"/>
      <c r="Z5861" s="258"/>
    </row>
    <row r="5862" spans="1:26" ht="12.75" customHeight="1" x14ac:dyDescent="0.2">
      <c r="A5862" s="258"/>
      <c r="Z5862" s="258"/>
    </row>
    <row r="5863" spans="1:26" ht="12.75" customHeight="1" x14ac:dyDescent="0.2">
      <c r="A5863" s="258"/>
      <c r="Z5863" s="258"/>
    </row>
    <row r="5864" spans="1:26" ht="12.75" customHeight="1" x14ac:dyDescent="0.2">
      <c r="A5864" s="258"/>
      <c r="Z5864" s="258"/>
    </row>
    <row r="5865" spans="1:26" ht="12.75" customHeight="1" x14ac:dyDescent="0.2">
      <c r="A5865" s="258"/>
      <c r="Z5865" s="258"/>
    </row>
    <row r="5866" spans="1:26" ht="12.75" customHeight="1" x14ac:dyDescent="0.2">
      <c r="A5866" s="258"/>
      <c r="Z5866" s="258"/>
    </row>
    <row r="5867" spans="1:26" ht="12.75" customHeight="1" x14ac:dyDescent="0.2">
      <c r="A5867" s="258"/>
      <c r="Z5867" s="258"/>
    </row>
    <row r="5868" spans="1:26" ht="12.75" customHeight="1" x14ac:dyDescent="0.2">
      <c r="A5868" s="258"/>
      <c r="Z5868" s="258"/>
    </row>
    <row r="5869" spans="1:26" ht="12.75" customHeight="1" x14ac:dyDescent="0.2">
      <c r="A5869" s="258"/>
      <c r="Z5869" s="258"/>
    </row>
    <row r="5870" spans="1:26" ht="12.75" customHeight="1" x14ac:dyDescent="0.2">
      <c r="A5870" s="258"/>
      <c r="Z5870" s="258"/>
    </row>
    <row r="5871" spans="1:26" ht="12.75" customHeight="1" x14ac:dyDescent="0.2">
      <c r="A5871" s="258"/>
      <c r="Z5871" s="258"/>
    </row>
    <row r="5872" spans="1:26" ht="12.75" customHeight="1" x14ac:dyDescent="0.2">
      <c r="A5872" s="258"/>
      <c r="Z5872" s="258"/>
    </row>
    <row r="5873" spans="1:26" ht="12.75" customHeight="1" x14ac:dyDescent="0.2">
      <c r="A5873" s="258"/>
      <c r="Z5873" s="258"/>
    </row>
    <row r="5874" spans="1:26" ht="12.75" customHeight="1" x14ac:dyDescent="0.2">
      <c r="A5874" s="258"/>
      <c r="Z5874" s="258"/>
    </row>
    <row r="5875" spans="1:26" ht="12.75" customHeight="1" x14ac:dyDescent="0.2">
      <c r="A5875" s="258"/>
      <c r="Z5875" s="258"/>
    </row>
    <row r="5876" spans="1:26" ht="12.75" customHeight="1" x14ac:dyDescent="0.2">
      <c r="A5876" s="258"/>
      <c r="Z5876" s="258"/>
    </row>
    <row r="5877" spans="1:26" ht="12.75" customHeight="1" x14ac:dyDescent="0.2">
      <c r="A5877" s="258"/>
      <c r="Z5877" s="258"/>
    </row>
    <row r="5878" spans="1:26" ht="12.75" customHeight="1" x14ac:dyDescent="0.2">
      <c r="A5878" s="258"/>
      <c r="Z5878" s="258"/>
    </row>
    <row r="5879" spans="1:26" ht="12.75" customHeight="1" x14ac:dyDescent="0.2">
      <c r="A5879" s="258"/>
      <c r="Z5879" s="258"/>
    </row>
    <row r="5880" spans="1:26" ht="12.75" customHeight="1" x14ac:dyDescent="0.2">
      <c r="A5880" s="258"/>
      <c r="Z5880" s="258"/>
    </row>
    <row r="5881" spans="1:26" ht="12.75" customHeight="1" x14ac:dyDescent="0.2">
      <c r="A5881" s="258"/>
      <c r="Z5881" s="258"/>
    </row>
    <row r="5882" spans="1:26" ht="12.75" customHeight="1" x14ac:dyDescent="0.2">
      <c r="A5882" s="258"/>
      <c r="Z5882" s="258"/>
    </row>
    <row r="5883" spans="1:26" ht="12.75" customHeight="1" x14ac:dyDescent="0.2">
      <c r="A5883" s="258"/>
      <c r="Z5883" s="258"/>
    </row>
    <row r="5884" spans="1:26" ht="12.75" customHeight="1" x14ac:dyDescent="0.2">
      <c r="A5884" s="258"/>
      <c r="Z5884" s="258"/>
    </row>
    <row r="5885" spans="1:26" ht="12.75" customHeight="1" x14ac:dyDescent="0.2">
      <c r="A5885" s="258"/>
      <c r="Z5885" s="258"/>
    </row>
    <row r="5886" spans="1:26" ht="12.75" customHeight="1" x14ac:dyDescent="0.2">
      <c r="A5886" s="258"/>
      <c r="Z5886" s="258"/>
    </row>
    <row r="5887" spans="1:26" ht="12.75" customHeight="1" x14ac:dyDescent="0.2">
      <c r="A5887" s="258"/>
      <c r="Z5887" s="258"/>
    </row>
    <row r="5888" spans="1:26" ht="12.75" customHeight="1" x14ac:dyDescent="0.2">
      <c r="A5888" s="258"/>
      <c r="Z5888" s="258"/>
    </row>
    <row r="5889" spans="1:26" ht="12.75" customHeight="1" x14ac:dyDescent="0.2">
      <c r="A5889" s="258"/>
      <c r="Z5889" s="258"/>
    </row>
    <row r="5890" spans="1:26" ht="12.75" customHeight="1" x14ac:dyDescent="0.2">
      <c r="A5890" s="258"/>
      <c r="Z5890" s="258"/>
    </row>
    <row r="5891" spans="1:26" ht="12.75" customHeight="1" x14ac:dyDescent="0.2">
      <c r="A5891" s="258"/>
      <c r="Z5891" s="258"/>
    </row>
    <row r="5892" spans="1:26" ht="12.75" customHeight="1" x14ac:dyDescent="0.2">
      <c r="A5892" s="258"/>
      <c r="Z5892" s="258"/>
    </row>
    <row r="5893" spans="1:26" ht="12.75" customHeight="1" x14ac:dyDescent="0.2">
      <c r="A5893" s="258"/>
      <c r="Z5893" s="258"/>
    </row>
    <row r="5894" spans="1:26" ht="12.75" customHeight="1" x14ac:dyDescent="0.2">
      <c r="A5894" s="258"/>
      <c r="Z5894" s="258"/>
    </row>
    <row r="5895" spans="1:26" ht="12.75" customHeight="1" x14ac:dyDescent="0.2">
      <c r="A5895" s="258"/>
      <c r="Z5895" s="258"/>
    </row>
    <row r="5896" spans="1:26" ht="12.75" customHeight="1" x14ac:dyDescent="0.2">
      <c r="A5896" s="258"/>
      <c r="Z5896" s="258"/>
    </row>
    <row r="5897" spans="1:26" ht="12.75" customHeight="1" x14ac:dyDescent="0.2">
      <c r="A5897" s="258"/>
      <c r="Z5897" s="258"/>
    </row>
    <row r="5898" spans="1:26" ht="12.75" customHeight="1" x14ac:dyDescent="0.2">
      <c r="A5898" s="258"/>
      <c r="Z5898" s="258"/>
    </row>
    <row r="5899" spans="1:26" ht="12.75" customHeight="1" x14ac:dyDescent="0.2">
      <c r="A5899" s="258"/>
      <c r="Z5899" s="258"/>
    </row>
    <row r="5900" spans="1:26" ht="12.75" customHeight="1" x14ac:dyDescent="0.2">
      <c r="A5900" s="258"/>
      <c r="Z5900" s="258"/>
    </row>
    <row r="5901" spans="1:26" ht="12.75" customHeight="1" x14ac:dyDescent="0.2">
      <c r="A5901" s="258"/>
      <c r="Z5901" s="258"/>
    </row>
    <row r="5902" spans="1:26" ht="12.75" customHeight="1" x14ac:dyDescent="0.2">
      <c r="A5902" s="258"/>
      <c r="Z5902" s="258"/>
    </row>
    <row r="5903" spans="1:26" ht="12.75" customHeight="1" x14ac:dyDescent="0.2">
      <c r="A5903" s="258"/>
      <c r="Z5903" s="258"/>
    </row>
    <row r="5904" spans="1:26" ht="12.75" customHeight="1" x14ac:dyDescent="0.2">
      <c r="A5904" s="258"/>
      <c r="Z5904" s="258"/>
    </row>
    <row r="5905" spans="1:26" ht="12.75" customHeight="1" x14ac:dyDescent="0.2">
      <c r="A5905" s="258"/>
      <c r="Z5905" s="258"/>
    </row>
    <row r="5906" spans="1:26" ht="12.75" customHeight="1" x14ac:dyDescent="0.2">
      <c r="A5906" s="258"/>
      <c r="Z5906" s="258"/>
    </row>
    <row r="5907" spans="1:26" ht="12.75" customHeight="1" x14ac:dyDescent="0.2">
      <c r="A5907" s="258"/>
      <c r="Z5907" s="258"/>
    </row>
    <row r="5908" spans="1:26" ht="12.75" customHeight="1" x14ac:dyDescent="0.2">
      <c r="A5908" s="258"/>
      <c r="Z5908" s="258"/>
    </row>
    <row r="5909" spans="1:26" ht="12.75" customHeight="1" x14ac:dyDescent="0.2">
      <c r="A5909" s="258"/>
      <c r="Z5909" s="258"/>
    </row>
    <row r="5910" spans="1:26" ht="12.75" customHeight="1" x14ac:dyDescent="0.2">
      <c r="A5910" s="258"/>
      <c r="Z5910" s="258"/>
    </row>
    <row r="5911" spans="1:26" ht="12.75" customHeight="1" x14ac:dyDescent="0.2">
      <c r="A5911" s="258"/>
      <c r="Z5911" s="258"/>
    </row>
    <row r="5912" spans="1:26" ht="12.75" customHeight="1" x14ac:dyDescent="0.2">
      <c r="A5912" s="258"/>
      <c r="Z5912" s="258"/>
    </row>
    <row r="5913" spans="1:26" ht="12.75" customHeight="1" x14ac:dyDescent="0.2">
      <c r="A5913" s="258"/>
      <c r="Z5913" s="258"/>
    </row>
    <row r="5914" spans="1:26" ht="12.75" customHeight="1" x14ac:dyDescent="0.2">
      <c r="A5914" s="258"/>
      <c r="Z5914" s="258"/>
    </row>
    <row r="5915" spans="1:26" ht="12.75" customHeight="1" x14ac:dyDescent="0.2">
      <c r="A5915" s="258"/>
      <c r="Z5915" s="258"/>
    </row>
    <row r="5916" spans="1:26" ht="12.75" customHeight="1" x14ac:dyDescent="0.2">
      <c r="A5916" s="258"/>
      <c r="Z5916" s="258"/>
    </row>
    <row r="5917" spans="1:26" ht="12.75" customHeight="1" x14ac:dyDescent="0.2">
      <c r="A5917" s="258"/>
      <c r="Z5917" s="258"/>
    </row>
    <row r="5918" spans="1:26" ht="12.75" customHeight="1" x14ac:dyDescent="0.2">
      <c r="A5918" s="258"/>
      <c r="Z5918" s="258"/>
    </row>
    <row r="5919" spans="1:26" ht="12.75" customHeight="1" x14ac:dyDescent="0.2">
      <c r="A5919" s="258"/>
      <c r="Z5919" s="258"/>
    </row>
    <row r="5920" spans="1:26" ht="12.75" customHeight="1" x14ac:dyDescent="0.2">
      <c r="A5920" s="258"/>
      <c r="Z5920" s="258"/>
    </row>
    <row r="5921" spans="1:26" ht="12.75" customHeight="1" x14ac:dyDescent="0.2">
      <c r="A5921" s="258"/>
      <c r="Z5921" s="258"/>
    </row>
    <row r="5922" spans="1:26" ht="12.75" customHeight="1" x14ac:dyDescent="0.2">
      <c r="A5922" s="258"/>
      <c r="Z5922" s="258"/>
    </row>
    <row r="5923" spans="1:26" ht="12.75" customHeight="1" x14ac:dyDescent="0.2">
      <c r="A5923" s="258"/>
      <c r="Z5923" s="258"/>
    </row>
    <row r="5924" spans="1:26" ht="12.75" customHeight="1" x14ac:dyDescent="0.2">
      <c r="A5924" s="258"/>
      <c r="Z5924" s="258"/>
    </row>
    <row r="5925" spans="1:26" ht="12.75" customHeight="1" x14ac:dyDescent="0.2">
      <c r="A5925" s="258"/>
      <c r="Z5925" s="258"/>
    </row>
    <row r="5926" spans="1:26" ht="12.75" customHeight="1" x14ac:dyDescent="0.2">
      <c r="A5926" s="258"/>
      <c r="Z5926" s="258"/>
    </row>
    <row r="5927" spans="1:26" ht="12.75" customHeight="1" x14ac:dyDescent="0.2">
      <c r="A5927" s="258"/>
      <c r="Z5927" s="258"/>
    </row>
    <row r="5928" spans="1:26" ht="12.75" customHeight="1" x14ac:dyDescent="0.2">
      <c r="A5928" s="258"/>
      <c r="Z5928" s="258"/>
    </row>
    <row r="5929" spans="1:26" ht="12.75" customHeight="1" x14ac:dyDescent="0.2">
      <c r="A5929" s="258"/>
      <c r="Z5929" s="258"/>
    </row>
    <row r="5930" spans="1:26" ht="12.75" customHeight="1" x14ac:dyDescent="0.2">
      <c r="A5930" s="258"/>
      <c r="Z5930" s="258"/>
    </row>
    <row r="5931" spans="1:26" ht="12.75" customHeight="1" x14ac:dyDescent="0.2">
      <c r="A5931" s="258"/>
      <c r="Z5931" s="258"/>
    </row>
    <row r="5932" spans="1:26" ht="12.75" customHeight="1" x14ac:dyDescent="0.2">
      <c r="A5932" s="258"/>
      <c r="Z5932" s="258"/>
    </row>
    <row r="5933" spans="1:26" ht="12.75" customHeight="1" x14ac:dyDescent="0.2">
      <c r="A5933" s="258"/>
      <c r="Z5933" s="258"/>
    </row>
    <row r="5934" spans="1:26" ht="12.75" customHeight="1" x14ac:dyDescent="0.2">
      <c r="A5934" s="258"/>
      <c r="Z5934" s="258"/>
    </row>
    <row r="5935" spans="1:26" ht="12.75" customHeight="1" x14ac:dyDescent="0.2">
      <c r="A5935" s="258"/>
      <c r="Z5935" s="258"/>
    </row>
    <row r="5936" spans="1:26" ht="12.75" customHeight="1" x14ac:dyDescent="0.2">
      <c r="A5936" s="258"/>
      <c r="Z5936" s="258"/>
    </row>
    <row r="5937" spans="1:26" ht="12.75" customHeight="1" x14ac:dyDescent="0.2">
      <c r="A5937" s="258"/>
      <c r="Z5937" s="258"/>
    </row>
    <row r="5938" spans="1:26" ht="12.75" customHeight="1" x14ac:dyDescent="0.2">
      <c r="A5938" s="258"/>
      <c r="Z5938" s="258"/>
    </row>
    <row r="5939" spans="1:26" ht="12.75" customHeight="1" x14ac:dyDescent="0.2">
      <c r="A5939" s="258"/>
      <c r="Z5939" s="258"/>
    </row>
    <row r="5940" spans="1:26" ht="12.75" customHeight="1" x14ac:dyDescent="0.2">
      <c r="A5940" s="258"/>
      <c r="Z5940" s="258"/>
    </row>
    <row r="5941" spans="1:26" ht="12.75" customHeight="1" x14ac:dyDescent="0.2">
      <c r="A5941" s="258"/>
      <c r="Z5941" s="258"/>
    </row>
    <row r="5942" spans="1:26" ht="12.75" customHeight="1" x14ac:dyDescent="0.2">
      <c r="A5942" s="258"/>
      <c r="Z5942" s="258"/>
    </row>
    <row r="5943" spans="1:26" ht="12.75" customHeight="1" x14ac:dyDescent="0.2">
      <c r="A5943" s="258"/>
      <c r="Z5943" s="258"/>
    </row>
    <row r="5944" spans="1:26" ht="12.75" customHeight="1" x14ac:dyDescent="0.2">
      <c r="A5944" s="258"/>
      <c r="Z5944" s="258"/>
    </row>
    <row r="5945" spans="1:26" ht="12.75" customHeight="1" x14ac:dyDescent="0.2">
      <c r="A5945" s="258"/>
      <c r="Z5945" s="258"/>
    </row>
    <row r="5946" spans="1:26" ht="12.75" customHeight="1" x14ac:dyDescent="0.2">
      <c r="A5946" s="258"/>
      <c r="Z5946" s="258"/>
    </row>
    <row r="5947" spans="1:26" ht="12.75" customHeight="1" x14ac:dyDescent="0.2">
      <c r="A5947" s="258"/>
      <c r="Z5947" s="258"/>
    </row>
    <row r="5948" spans="1:26" ht="12.75" customHeight="1" x14ac:dyDescent="0.2">
      <c r="A5948" s="258"/>
      <c r="Z5948" s="258"/>
    </row>
    <row r="5949" spans="1:26" ht="12.75" customHeight="1" x14ac:dyDescent="0.2">
      <c r="A5949" s="258"/>
      <c r="Z5949" s="258"/>
    </row>
    <row r="5950" spans="1:26" ht="12.75" customHeight="1" x14ac:dyDescent="0.2">
      <c r="A5950" s="258"/>
      <c r="Z5950" s="258"/>
    </row>
    <row r="5951" spans="1:26" ht="12.75" customHeight="1" x14ac:dyDescent="0.2">
      <c r="A5951" s="258"/>
      <c r="Z5951" s="258"/>
    </row>
    <row r="5952" spans="1:26" ht="12.75" customHeight="1" x14ac:dyDescent="0.2">
      <c r="A5952" s="258"/>
      <c r="Z5952" s="258"/>
    </row>
    <row r="5953" spans="1:26" ht="12.75" customHeight="1" x14ac:dyDescent="0.2">
      <c r="A5953" s="258"/>
      <c r="Z5953" s="258"/>
    </row>
    <row r="5954" spans="1:26" ht="12.75" customHeight="1" x14ac:dyDescent="0.2">
      <c r="A5954" s="258"/>
      <c r="Z5954" s="258"/>
    </row>
    <row r="5955" spans="1:26" ht="12.75" customHeight="1" x14ac:dyDescent="0.2">
      <c r="A5955" s="258"/>
      <c r="Z5955" s="258"/>
    </row>
    <row r="5956" spans="1:26" ht="12.75" customHeight="1" x14ac:dyDescent="0.2">
      <c r="A5956" s="258"/>
      <c r="Z5956" s="258"/>
    </row>
    <row r="5957" spans="1:26" ht="12.75" customHeight="1" x14ac:dyDescent="0.2">
      <c r="A5957" s="258"/>
      <c r="Z5957" s="258"/>
    </row>
    <row r="5958" spans="1:26" ht="12.75" customHeight="1" x14ac:dyDescent="0.2">
      <c r="A5958" s="258"/>
      <c r="Z5958" s="258"/>
    </row>
    <row r="5959" spans="1:26" ht="12.75" customHeight="1" x14ac:dyDescent="0.2">
      <c r="A5959" s="258"/>
      <c r="Z5959" s="258"/>
    </row>
    <row r="5960" spans="1:26" ht="12.75" customHeight="1" x14ac:dyDescent="0.2">
      <c r="A5960" s="258"/>
      <c r="Z5960" s="258"/>
    </row>
    <row r="5961" spans="1:26" ht="12.75" customHeight="1" x14ac:dyDescent="0.2">
      <c r="A5961" s="258"/>
      <c r="Z5961" s="258"/>
    </row>
    <row r="5962" spans="1:26" ht="12.75" customHeight="1" x14ac:dyDescent="0.2">
      <c r="A5962" s="258"/>
      <c r="Z5962" s="258"/>
    </row>
    <row r="5963" spans="1:26" ht="12.75" customHeight="1" x14ac:dyDescent="0.2">
      <c r="A5963" s="258"/>
      <c r="Z5963" s="258"/>
    </row>
    <row r="5964" spans="1:26" ht="12.75" customHeight="1" x14ac:dyDescent="0.2">
      <c r="A5964" s="258"/>
      <c r="Z5964" s="258"/>
    </row>
    <row r="5965" spans="1:26" ht="12.75" customHeight="1" x14ac:dyDescent="0.2">
      <c r="A5965" s="258"/>
      <c r="Z5965" s="258"/>
    </row>
    <row r="5966" spans="1:26" ht="12.75" customHeight="1" x14ac:dyDescent="0.2">
      <c r="A5966" s="258"/>
      <c r="Z5966" s="258"/>
    </row>
    <row r="5967" spans="1:26" ht="12.75" customHeight="1" x14ac:dyDescent="0.2">
      <c r="A5967" s="258"/>
      <c r="Z5967" s="258"/>
    </row>
    <row r="5968" spans="1:26" ht="12.75" customHeight="1" x14ac:dyDescent="0.2">
      <c r="A5968" s="258"/>
      <c r="Z5968" s="258"/>
    </row>
    <row r="5969" spans="1:26" ht="12.75" customHeight="1" x14ac:dyDescent="0.2">
      <c r="A5969" s="258"/>
      <c r="Z5969" s="258"/>
    </row>
    <row r="5970" spans="1:26" ht="12.75" customHeight="1" x14ac:dyDescent="0.2">
      <c r="A5970" s="258"/>
      <c r="Z5970" s="258"/>
    </row>
    <row r="5971" spans="1:26" ht="12.75" customHeight="1" x14ac:dyDescent="0.2">
      <c r="A5971" s="258"/>
      <c r="Z5971" s="258"/>
    </row>
    <row r="5972" spans="1:26" ht="12.75" customHeight="1" x14ac:dyDescent="0.2">
      <c r="A5972" s="258"/>
      <c r="Z5972" s="258"/>
    </row>
    <row r="5973" spans="1:26" ht="12.75" customHeight="1" x14ac:dyDescent="0.2">
      <c r="A5973" s="258"/>
      <c r="Z5973" s="258"/>
    </row>
    <row r="5974" spans="1:26" ht="12.75" customHeight="1" x14ac:dyDescent="0.2">
      <c r="A5974" s="258"/>
      <c r="Z5974" s="258"/>
    </row>
    <row r="5975" spans="1:26" ht="12.75" customHeight="1" x14ac:dyDescent="0.2">
      <c r="A5975" s="258"/>
      <c r="Z5975" s="258"/>
    </row>
    <row r="5976" spans="1:26" ht="12.75" customHeight="1" x14ac:dyDescent="0.2">
      <c r="A5976" s="258"/>
      <c r="Z5976" s="258"/>
    </row>
    <row r="5977" spans="1:26" ht="12.75" customHeight="1" x14ac:dyDescent="0.2">
      <c r="A5977" s="258"/>
      <c r="Z5977" s="258"/>
    </row>
    <row r="5978" spans="1:26" ht="12.75" customHeight="1" x14ac:dyDescent="0.2">
      <c r="A5978" s="258"/>
      <c r="Z5978" s="258"/>
    </row>
    <row r="5979" spans="1:26" ht="12.75" customHeight="1" x14ac:dyDescent="0.2">
      <c r="A5979" s="258"/>
      <c r="Z5979" s="258"/>
    </row>
    <row r="5980" spans="1:26" ht="12.75" customHeight="1" x14ac:dyDescent="0.2">
      <c r="A5980" s="258"/>
      <c r="Z5980" s="258"/>
    </row>
    <row r="5981" spans="1:26" ht="12.75" customHeight="1" x14ac:dyDescent="0.2">
      <c r="A5981" s="258"/>
      <c r="Z5981" s="258"/>
    </row>
    <row r="5982" spans="1:26" ht="12.75" customHeight="1" x14ac:dyDescent="0.2">
      <c r="A5982" s="258"/>
      <c r="Z5982" s="258"/>
    </row>
    <row r="5983" spans="1:26" ht="12.75" customHeight="1" x14ac:dyDescent="0.2">
      <c r="A5983" s="258"/>
      <c r="Z5983" s="258"/>
    </row>
    <row r="5984" spans="1:26" ht="12.75" customHeight="1" x14ac:dyDescent="0.2">
      <c r="A5984" s="258"/>
      <c r="Z5984" s="258"/>
    </row>
    <row r="5985" spans="1:26" ht="12.75" customHeight="1" x14ac:dyDescent="0.2">
      <c r="A5985" s="258"/>
      <c r="Z5985" s="258"/>
    </row>
    <row r="5986" spans="1:26" ht="12.75" customHeight="1" x14ac:dyDescent="0.2">
      <c r="A5986" s="258"/>
      <c r="Z5986" s="258"/>
    </row>
    <row r="5987" spans="1:26" ht="12.75" customHeight="1" x14ac:dyDescent="0.2">
      <c r="A5987" s="258"/>
      <c r="Z5987" s="258"/>
    </row>
    <row r="5988" spans="1:26" ht="12.75" customHeight="1" x14ac:dyDescent="0.2">
      <c r="A5988" s="258"/>
      <c r="Z5988" s="258"/>
    </row>
    <row r="5989" spans="1:26" ht="12.75" customHeight="1" x14ac:dyDescent="0.2">
      <c r="A5989" s="258"/>
      <c r="Z5989" s="258"/>
    </row>
    <row r="5990" spans="1:26" ht="12.75" customHeight="1" x14ac:dyDescent="0.2">
      <c r="A5990" s="258"/>
      <c r="Z5990" s="258"/>
    </row>
    <row r="5991" spans="1:26" ht="12.75" customHeight="1" x14ac:dyDescent="0.2">
      <c r="A5991" s="258"/>
      <c r="Z5991" s="258"/>
    </row>
    <row r="5992" spans="1:26" ht="12.75" customHeight="1" x14ac:dyDescent="0.2">
      <c r="A5992" s="258"/>
      <c r="Z5992" s="258"/>
    </row>
    <row r="5993" spans="1:26" ht="12.75" customHeight="1" x14ac:dyDescent="0.2">
      <c r="A5993" s="258"/>
      <c r="Z5993" s="258"/>
    </row>
    <row r="5994" spans="1:26" ht="12.75" customHeight="1" x14ac:dyDescent="0.2">
      <c r="A5994" s="258"/>
      <c r="Z5994" s="258"/>
    </row>
    <row r="5995" spans="1:26" ht="12.75" customHeight="1" x14ac:dyDescent="0.2">
      <c r="A5995" s="258"/>
      <c r="Z5995" s="258"/>
    </row>
    <row r="5996" spans="1:26" ht="12.75" customHeight="1" x14ac:dyDescent="0.2">
      <c r="A5996" s="258"/>
      <c r="Z5996" s="258"/>
    </row>
    <row r="5997" spans="1:26" ht="12.75" customHeight="1" x14ac:dyDescent="0.2">
      <c r="A5997" s="258"/>
      <c r="Z5997" s="258"/>
    </row>
    <row r="5998" spans="1:26" ht="12.75" customHeight="1" x14ac:dyDescent="0.2">
      <c r="A5998" s="258"/>
      <c r="Z5998" s="258"/>
    </row>
    <row r="5999" spans="1:26" ht="12.75" customHeight="1" x14ac:dyDescent="0.2">
      <c r="A5999" s="258"/>
      <c r="Z5999" s="258"/>
    </row>
    <row r="6000" spans="1:26" ht="12.75" customHeight="1" x14ac:dyDescent="0.2">
      <c r="A6000" s="258"/>
      <c r="Z6000" s="258"/>
    </row>
    <row r="6001" spans="1:26" ht="12.75" customHeight="1" x14ac:dyDescent="0.2">
      <c r="A6001" s="258"/>
      <c r="Z6001" s="258"/>
    </row>
    <row r="6002" spans="1:26" ht="12.75" customHeight="1" x14ac:dyDescent="0.2">
      <c r="A6002" s="258"/>
      <c r="Z6002" s="258"/>
    </row>
    <row r="6003" spans="1:26" ht="12.75" customHeight="1" x14ac:dyDescent="0.2">
      <c r="A6003" s="258"/>
      <c r="Z6003" s="258"/>
    </row>
    <row r="6004" spans="1:26" ht="12.75" customHeight="1" x14ac:dyDescent="0.2">
      <c r="A6004" s="258"/>
      <c r="Z6004" s="258"/>
    </row>
    <row r="6005" spans="1:26" ht="12.75" customHeight="1" x14ac:dyDescent="0.2">
      <c r="A6005" s="258"/>
      <c r="Z6005" s="258"/>
    </row>
    <row r="6006" spans="1:26" ht="12.75" customHeight="1" x14ac:dyDescent="0.2">
      <c r="A6006" s="258"/>
      <c r="Z6006" s="258"/>
    </row>
    <row r="6007" spans="1:26" ht="12.75" customHeight="1" x14ac:dyDescent="0.2">
      <c r="A6007" s="258"/>
      <c r="Z6007" s="258"/>
    </row>
    <row r="6008" spans="1:26" ht="12.75" customHeight="1" x14ac:dyDescent="0.2">
      <c r="A6008" s="258"/>
      <c r="Z6008" s="258"/>
    </row>
    <row r="6009" spans="1:26" ht="12.75" customHeight="1" x14ac:dyDescent="0.2">
      <c r="A6009" s="258"/>
      <c r="Z6009" s="258"/>
    </row>
    <row r="6010" spans="1:26" ht="12.75" customHeight="1" x14ac:dyDescent="0.2">
      <c r="A6010" s="258"/>
      <c r="Z6010" s="258"/>
    </row>
    <row r="6011" spans="1:26" ht="12.75" customHeight="1" x14ac:dyDescent="0.2">
      <c r="A6011" s="258"/>
      <c r="Z6011" s="258"/>
    </row>
    <row r="6012" spans="1:26" ht="12.75" customHeight="1" x14ac:dyDescent="0.2">
      <c r="A6012" s="258"/>
      <c r="Z6012" s="258"/>
    </row>
    <row r="6013" spans="1:26" ht="12.75" customHeight="1" x14ac:dyDescent="0.2">
      <c r="A6013" s="258"/>
      <c r="Z6013" s="258"/>
    </row>
    <row r="6014" spans="1:26" ht="12.75" customHeight="1" x14ac:dyDescent="0.2">
      <c r="A6014" s="258"/>
      <c r="Z6014" s="258"/>
    </row>
    <row r="6015" spans="1:26" ht="12.75" customHeight="1" x14ac:dyDescent="0.2">
      <c r="A6015" s="258"/>
      <c r="Z6015" s="258"/>
    </row>
    <row r="6016" spans="1:26" ht="12.75" customHeight="1" x14ac:dyDescent="0.2">
      <c r="A6016" s="258"/>
      <c r="Z6016" s="258"/>
    </row>
    <row r="6017" spans="1:26" ht="12.75" customHeight="1" x14ac:dyDescent="0.2">
      <c r="A6017" s="258"/>
      <c r="Z6017" s="258"/>
    </row>
    <row r="6018" spans="1:26" ht="12.75" customHeight="1" x14ac:dyDescent="0.2">
      <c r="A6018" s="258"/>
      <c r="Z6018" s="258"/>
    </row>
    <row r="6019" spans="1:26" ht="12.75" customHeight="1" x14ac:dyDescent="0.2">
      <c r="A6019" s="258"/>
      <c r="Z6019" s="258"/>
    </row>
    <row r="6020" spans="1:26" ht="12.75" customHeight="1" x14ac:dyDescent="0.2">
      <c r="A6020" s="258"/>
      <c r="Z6020" s="258"/>
    </row>
    <row r="6021" spans="1:26" ht="12.75" customHeight="1" x14ac:dyDescent="0.2">
      <c r="A6021" s="258"/>
      <c r="Z6021" s="258"/>
    </row>
    <row r="6022" spans="1:26" ht="12.75" customHeight="1" x14ac:dyDescent="0.2">
      <c r="A6022" s="258"/>
      <c r="Z6022" s="258"/>
    </row>
    <row r="6023" spans="1:26" ht="12.75" customHeight="1" x14ac:dyDescent="0.2">
      <c r="A6023" s="258"/>
      <c r="Z6023" s="258"/>
    </row>
    <row r="6024" spans="1:26" ht="12.75" customHeight="1" x14ac:dyDescent="0.2">
      <c r="A6024" s="258"/>
      <c r="Z6024" s="258"/>
    </row>
    <row r="6025" spans="1:26" ht="12.75" customHeight="1" x14ac:dyDescent="0.2">
      <c r="A6025" s="258"/>
      <c r="Z6025" s="258"/>
    </row>
    <row r="6026" spans="1:26" ht="12.75" customHeight="1" x14ac:dyDescent="0.2">
      <c r="A6026" s="258"/>
      <c r="Z6026" s="258"/>
    </row>
    <row r="6027" spans="1:26" ht="12.75" customHeight="1" x14ac:dyDescent="0.2">
      <c r="A6027" s="258"/>
      <c r="Z6027" s="258"/>
    </row>
    <row r="6028" spans="1:26" ht="12.75" customHeight="1" x14ac:dyDescent="0.2">
      <c r="A6028" s="258"/>
      <c r="Z6028" s="258"/>
    </row>
    <row r="6029" spans="1:26" ht="12.75" customHeight="1" x14ac:dyDescent="0.2">
      <c r="A6029" s="258"/>
      <c r="Z6029" s="258"/>
    </row>
    <row r="6030" spans="1:26" ht="12.75" customHeight="1" x14ac:dyDescent="0.2">
      <c r="A6030" s="258"/>
      <c r="Z6030" s="258"/>
    </row>
    <row r="6031" spans="1:26" ht="12.75" customHeight="1" x14ac:dyDescent="0.2">
      <c r="A6031" s="258"/>
      <c r="Z6031" s="258"/>
    </row>
    <row r="6032" spans="1:26" ht="12.75" customHeight="1" x14ac:dyDescent="0.2">
      <c r="A6032" s="258"/>
      <c r="Z6032" s="258"/>
    </row>
    <row r="6033" spans="1:26" ht="12.75" customHeight="1" x14ac:dyDescent="0.2">
      <c r="A6033" s="258"/>
      <c r="Z6033" s="258"/>
    </row>
    <row r="6034" spans="1:26" ht="12.75" customHeight="1" x14ac:dyDescent="0.2">
      <c r="A6034" s="258"/>
      <c r="Z6034" s="258"/>
    </row>
    <row r="6035" spans="1:26" ht="12.75" customHeight="1" x14ac:dyDescent="0.2">
      <c r="A6035" s="258"/>
      <c r="Z6035" s="258"/>
    </row>
    <row r="6036" spans="1:26" ht="12.75" customHeight="1" x14ac:dyDescent="0.2">
      <c r="A6036" s="258"/>
      <c r="Z6036" s="258"/>
    </row>
    <row r="6037" spans="1:26" ht="12.75" customHeight="1" x14ac:dyDescent="0.2">
      <c r="A6037" s="258"/>
      <c r="Z6037" s="258"/>
    </row>
    <row r="6038" spans="1:26" ht="12.75" customHeight="1" x14ac:dyDescent="0.2">
      <c r="A6038" s="258"/>
      <c r="Z6038" s="258"/>
    </row>
    <row r="6039" spans="1:26" ht="12.75" customHeight="1" x14ac:dyDescent="0.2">
      <c r="A6039" s="258"/>
      <c r="Z6039" s="258"/>
    </row>
    <row r="6040" spans="1:26" ht="12.75" customHeight="1" x14ac:dyDescent="0.2">
      <c r="A6040" s="258"/>
      <c r="Z6040" s="258"/>
    </row>
    <row r="6041" spans="1:26" ht="12.75" customHeight="1" x14ac:dyDescent="0.2">
      <c r="A6041" s="258"/>
      <c r="Z6041" s="258"/>
    </row>
    <row r="6042" spans="1:26" ht="12.75" customHeight="1" x14ac:dyDescent="0.2">
      <c r="A6042" s="258"/>
      <c r="Z6042" s="258"/>
    </row>
    <row r="6043" spans="1:26" ht="12.75" customHeight="1" x14ac:dyDescent="0.2">
      <c r="A6043" s="258"/>
      <c r="Z6043" s="258"/>
    </row>
    <row r="6044" spans="1:26" ht="12.75" customHeight="1" x14ac:dyDescent="0.2">
      <c r="A6044" s="258"/>
      <c r="Z6044" s="258"/>
    </row>
    <row r="6045" spans="1:26" ht="12.75" customHeight="1" x14ac:dyDescent="0.2">
      <c r="A6045" s="258"/>
      <c r="Z6045" s="258"/>
    </row>
    <row r="6046" spans="1:26" ht="12.75" customHeight="1" x14ac:dyDescent="0.2">
      <c r="A6046" s="258"/>
      <c r="Z6046" s="258"/>
    </row>
    <row r="6047" spans="1:26" ht="12.75" customHeight="1" x14ac:dyDescent="0.2">
      <c r="A6047" s="258"/>
      <c r="Z6047" s="258"/>
    </row>
    <row r="6048" spans="1:26" ht="12.75" customHeight="1" x14ac:dyDescent="0.2">
      <c r="A6048" s="258"/>
      <c r="Z6048" s="258"/>
    </row>
    <row r="6049" spans="1:26" ht="12.75" customHeight="1" x14ac:dyDescent="0.2">
      <c r="A6049" s="258"/>
      <c r="Z6049" s="258"/>
    </row>
    <row r="6050" spans="1:26" ht="12.75" customHeight="1" x14ac:dyDescent="0.2">
      <c r="A6050" s="258"/>
      <c r="Z6050" s="258"/>
    </row>
    <row r="6051" spans="1:26" ht="12.75" customHeight="1" x14ac:dyDescent="0.2">
      <c r="A6051" s="258"/>
      <c r="Z6051" s="258"/>
    </row>
    <row r="6052" spans="1:26" ht="12.75" customHeight="1" x14ac:dyDescent="0.2">
      <c r="A6052" s="258"/>
      <c r="Z6052" s="258"/>
    </row>
    <row r="6053" spans="1:26" ht="12.75" customHeight="1" x14ac:dyDescent="0.2">
      <c r="A6053" s="258"/>
      <c r="Z6053" s="258"/>
    </row>
    <row r="6054" spans="1:26" ht="12.75" customHeight="1" x14ac:dyDescent="0.2">
      <c r="A6054" s="258"/>
      <c r="Z6054" s="258"/>
    </row>
    <row r="6055" spans="1:26" ht="12.75" customHeight="1" x14ac:dyDescent="0.2">
      <c r="A6055" s="258"/>
      <c r="Z6055" s="258"/>
    </row>
    <row r="6056" spans="1:26" ht="12.75" customHeight="1" x14ac:dyDescent="0.2">
      <c r="A6056" s="258"/>
      <c r="Z6056" s="258"/>
    </row>
    <row r="6057" spans="1:26" ht="12.75" customHeight="1" x14ac:dyDescent="0.2">
      <c r="A6057" s="258"/>
      <c r="Z6057" s="258"/>
    </row>
    <row r="6058" spans="1:26" ht="12.75" customHeight="1" x14ac:dyDescent="0.2">
      <c r="A6058" s="258"/>
      <c r="Z6058" s="258"/>
    </row>
    <row r="6059" spans="1:26" ht="12.75" customHeight="1" x14ac:dyDescent="0.2">
      <c r="A6059" s="258"/>
      <c r="Z6059" s="258"/>
    </row>
    <row r="6060" spans="1:26" ht="12.75" customHeight="1" x14ac:dyDescent="0.2">
      <c r="A6060" s="258"/>
      <c r="Z6060" s="258"/>
    </row>
    <row r="6061" spans="1:26" ht="12.75" customHeight="1" x14ac:dyDescent="0.2">
      <c r="A6061" s="258"/>
      <c r="Z6061" s="258"/>
    </row>
    <row r="6062" spans="1:26" ht="12.75" customHeight="1" x14ac:dyDescent="0.2">
      <c r="A6062" s="258"/>
      <c r="Z6062" s="258"/>
    </row>
    <row r="6063" spans="1:26" ht="12.75" customHeight="1" x14ac:dyDescent="0.2">
      <c r="A6063" s="258"/>
      <c r="Z6063" s="258"/>
    </row>
    <row r="6064" spans="1:26" ht="12.75" customHeight="1" x14ac:dyDescent="0.2">
      <c r="A6064" s="258"/>
      <c r="Z6064" s="258"/>
    </row>
    <row r="6065" spans="1:26" ht="12.75" customHeight="1" x14ac:dyDescent="0.2">
      <c r="A6065" s="258"/>
      <c r="Z6065" s="258"/>
    </row>
    <row r="6066" spans="1:26" ht="12.75" customHeight="1" x14ac:dyDescent="0.2">
      <c r="A6066" s="258"/>
      <c r="Z6066" s="258"/>
    </row>
    <row r="6067" spans="1:26" ht="12.75" customHeight="1" x14ac:dyDescent="0.2">
      <c r="A6067" s="258"/>
      <c r="Z6067" s="258"/>
    </row>
    <row r="6068" spans="1:26" ht="12.75" customHeight="1" x14ac:dyDescent="0.2">
      <c r="A6068" s="258"/>
      <c r="Z6068" s="258"/>
    </row>
    <row r="6069" spans="1:26" ht="12.75" customHeight="1" x14ac:dyDescent="0.2">
      <c r="A6069" s="258"/>
      <c r="Z6069" s="258"/>
    </row>
    <row r="6070" spans="1:26" ht="12.75" customHeight="1" x14ac:dyDescent="0.2">
      <c r="A6070" s="258"/>
      <c r="Z6070" s="258"/>
    </row>
    <row r="6071" spans="1:26" ht="12.75" customHeight="1" x14ac:dyDescent="0.2">
      <c r="A6071" s="258"/>
      <c r="Z6071" s="258"/>
    </row>
    <row r="6072" spans="1:26" ht="12.75" customHeight="1" x14ac:dyDescent="0.2">
      <c r="A6072" s="258"/>
      <c r="Z6072" s="258"/>
    </row>
    <row r="6073" spans="1:26" ht="12.75" customHeight="1" x14ac:dyDescent="0.2">
      <c r="A6073" s="258"/>
      <c r="Z6073" s="258"/>
    </row>
    <row r="6074" spans="1:26" ht="12.75" customHeight="1" x14ac:dyDescent="0.2">
      <c r="A6074" s="258"/>
      <c r="Z6074" s="258"/>
    </row>
    <row r="6075" spans="1:26" ht="12.75" customHeight="1" x14ac:dyDescent="0.2">
      <c r="A6075" s="258"/>
      <c r="Z6075" s="258"/>
    </row>
    <row r="6076" spans="1:26" ht="12.75" customHeight="1" x14ac:dyDescent="0.2">
      <c r="A6076" s="258"/>
      <c r="Z6076" s="258"/>
    </row>
    <row r="6077" spans="1:26" ht="12.75" customHeight="1" x14ac:dyDescent="0.2">
      <c r="A6077" s="258"/>
      <c r="Z6077" s="258"/>
    </row>
    <row r="6078" spans="1:26" ht="12.75" customHeight="1" x14ac:dyDescent="0.2">
      <c r="A6078" s="258"/>
      <c r="Z6078" s="258"/>
    </row>
    <row r="6079" spans="1:26" ht="12.75" customHeight="1" x14ac:dyDescent="0.2">
      <c r="A6079" s="258"/>
      <c r="Z6079" s="258"/>
    </row>
    <row r="6080" spans="1:26" ht="12.75" customHeight="1" x14ac:dyDescent="0.2">
      <c r="A6080" s="258"/>
      <c r="Z6080" s="258"/>
    </row>
    <row r="6081" spans="1:26" ht="12.75" customHeight="1" x14ac:dyDescent="0.2">
      <c r="A6081" s="258"/>
      <c r="Z6081" s="258"/>
    </row>
    <row r="6082" spans="1:26" ht="12.75" customHeight="1" x14ac:dyDescent="0.2">
      <c r="A6082" s="258"/>
      <c r="Z6082" s="258"/>
    </row>
    <row r="6083" spans="1:26" ht="12.75" customHeight="1" x14ac:dyDescent="0.2">
      <c r="A6083" s="258"/>
      <c r="Z6083" s="258"/>
    </row>
    <row r="6084" spans="1:26" ht="12.75" customHeight="1" x14ac:dyDescent="0.2">
      <c r="A6084" s="258"/>
      <c r="Z6084" s="258"/>
    </row>
    <row r="6085" spans="1:26" ht="12.75" customHeight="1" x14ac:dyDescent="0.2">
      <c r="A6085" s="258"/>
      <c r="Z6085" s="258"/>
    </row>
    <row r="6086" spans="1:26" ht="12.75" customHeight="1" x14ac:dyDescent="0.2">
      <c r="A6086" s="258"/>
      <c r="Z6086" s="258"/>
    </row>
    <row r="6087" spans="1:26" ht="12.75" customHeight="1" x14ac:dyDescent="0.2">
      <c r="A6087" s="258"/>
      <c r="Z6087" s="258"/>
    </row>
    <row r="6088" spans="1:26" ht="12.75" customHeight="1" x14ac:dyDescent="0.2">
      <c r="A6088" s="258"/>
      <c r="Z6088" s="258"/>
    </row>
    <row r="6089" spans="1:26" ht="12.75" customHeight="1" x14ac:dyDescent="0.2">
      <c r="A6089" s="258"/>
      <c r="Z6089" s="258"/>
    </row>
    <row r="6090" spans="1:26" ht="12.75" customHeight="1" x14ac:dyDescent="0.2">
      <c r="A6090" s="258"/>
      <c r="Z6090" s="258"/>
    </row>
    <row r="6091" spans="1:26" ht="12.75" customHeight="1" x14ac:dyDescent="0.2">
      <c r="A6091" s="258"/>
      <c r="Z6091" s="258"/>
    </row>
    <row r="6092" spans="1:26" ht="12.75" customHeight="1" x14ac:dyDescent="0.2">
      <c r="A6092" s="258"/>
      <c r="Z6092" s="258"/>
    </row>
    <row r="6093" spans="1:26" ht="12.75" customHeight="1" x14ac:dyDescent="0.2">
      <c r="A6093" s="258"/>
      <c r="Z6093" s="258"/>
    </row>
    <row r="6094" spans="1:26" ht="12.75" customHeight="1" x14ac:dyDescent="0.2">
      <c r="A6094" s="258"/>
      <c r="Z6094" s="258"/>
    </row>
    <row r="6095" spans="1:26" ht="12.75" customHeight="1" x14ac:dyDescent="0.2">
      <c r="A6095" s="258"/>
      <c r="Z6095" s="258"/>
    </row>
    <row r="6096" spans="1:26" ht="12.75" customHeight="1" x14ac:dyDescent="0.2">
      <c r="A6096" s="258"/>
      <c r="Z6096" s="258"/>
    </row>
    <row r="6097" spans="1:26" ht="12.75" customHeight="1" x14ac:dyDescent="0.2">
      <c r="A6097" s="258"/>
      <c r="Z6097" s="258"/>
    </row>
    <row r="6098" spans="1:26" ht="12.75" customHeight="1" x14ac:dyDescent="0.2">
      <c r="A6098" s="258"/>
      <c r="Z6098" s="258"/>
    </row>
    <row r="6099" spans="1:26" ht="12.75" customHeight="1" x14ac:dyDescent="0.2">
      <c r="A6099" s="258"/>
      <c r="Z6099" s="258"/>
    </row>
    <row r="6100" spans="1:26" ht="12.75" customHeight="1" x14ac:dyDescent="0.2">
      <c r="A6100" s="258"/>
      <c r="Z6100" s="258"/>
    </row>
    <row r="6101" spans="1:26" ht="12.75" customHeight="1" x14ac:dyDescent="0.2">
      <c r="A6101" s="258"/>
      <c r="Z6101" s="258"/>
    </row>
    <row r="6102" spans="1:26" ht="12.75" customHeight="1" x14ac:dyDescent="0.2">
      <c r="A6102" s="258"/>
      <c r="Z6102" s="258"/>
    </row>
    <row r="6103" spans="1:26" ht="12.75" customHeight="1" x14ac:dyDescent="0.2">
      <c r="A6103" s="258"/>
      <c r="Z6103" s="258"/>
    </row>
    <row r="6104" spans="1:26" ht="12.75" customHeight="1" x14ac:dyDescent="0.2">
      <c r="A6104" s="258"/>
      <c r="Z6104" s="258"/>
    </row>
    <row r="6105" spans="1:26" ht="12.75" customHeight="1" x14ac:dyDescent="0.2">
      <c r="A6105" s="258"/>
      <c r="Z6105" s="258"/>
    </row>
    <row r="6106" spans="1:26" ht="12.75" customHeight="1" x14ac:dyDescent="0.2">
      <c r="A6106" s="258"/>
      <c r="Z6106" s="258"/>
    </row>
    <row r="6107" spans="1:26" ht="12.75" customHeight="1" x14ac:dyDescent="0.2">
      <c r="A6107" s="258"/>
      <c r="Z6107" s="258"/>
    </row>
    <row r="6108" spans="1:26" ht="12.75" customHeight="1" x14ac:dyDescent="0.2">
      <c r="A6108" s="258"/>
      <c r="Z6108" s="258"/>
    </row>
    <row r="6109" spans="1:26" ht="12.75" customHeight="1" x14ac:dyDescent="0.2">
      <c r="A6109" s="258"/>
      <c r="Z6109" s="258"/>
    </row>
    <row r="6110" spans="1:26" ht="12.75" customHeight="1" x14ac:dyDescent="0.2">
      <c r="A6110" s="258"/>
      <c r="Z6110" s="258"/>
    </row>
    <row r="6111" spans="1:26" ht="12.75" customHeight="1" x14ac:dyDescent="0.2">
      <c r="A6111" s="258"/>
      <c r="Z6111" s="258"/>
    </row>
    <row r="6112" spans="1:26" ht="12.75" customHeight="1" x14ac:dyDescent="0.2">
      <c r="A6112" s="258"/>
      <c r="Z6112" s="258"/>
    </row>
    <row r="6113" spans="1:26" ht="12.75" customHeight="1" x14ac:dyDescent="0.2">
      <c r="A6113" s="258"/>
      <c r="Z6113" s="258"/>
    </row>
    <row r="6114" spans="1:26" ht="12.75" customHeight="1" x14ac:dyDescent="0.2">
      <c r="A6114" s="258"/>
      <c r="Z6114" s="258"/>
    </row>
    <row r="6115" spans="1:26" ht="12.75" customHeight="1" x14ac:dyDescent="0.2">
      <c r="A6115" s="258"/>
      <c r="Z6115" s="258"/>
    </row>
    <row r="6116" spans="1:26" ht="12.75" customHeight="1" x14ac:dyDescent="0.2">
      <c r="A6116" s="258"/>
      <c r="Z6116" s="258"/>
    </row>
    <row r="6117" spans="1:26" ht="12.75" customHeight="1" x14ac:dyDescent="0.2">
      <c r="A6117" s="258"/>
      <c r="Z6117" s="258"/>
    </row>
    <row r="6118" spans="1:26" ht="12.75" customHeight="1" x14ac:dyDescent="0.2">
      <c r="A6118" s="258"/>
      <c r="Z6118" s="258"/>
    </row>
    <row r="6119" spans="1:26" ht="12.75" customHeight="1" x14ac:dyDescent="0.2">
      <c r="A6119" s="258"/>
      <c r="Z6119" s="258"/>
    </row>
    <row r="6120" spans="1:26" ht="12.75" customHeight="1" x14ac:dyDescent="0.2">
      <c r="A6120" s="258"/>
      <c r="Z6120" s="258"/>
    </row>
    <row r="6121" spans="1:26" ht="12.75" customHeight="1" x14ac:dyDescent="0.2">
      <c r="A6121" s="258"/>
      <c r="Z6121" s="258"/>
    </row>
    <row r="6122" spans="1:26" ht="12.75" customHeight="1" x14ac:dyDescent="0.2">
      <c r="A6122" s="258"/>
      <c r="Z6122" s="258"/>
    </row>
    <row r="6123" spans="1:26" ht="12.75" customHeight="1" x14ac:dyDescent="0.2">
      <c r="A6123" s="258"/>
      <c r="Z6123" s="258"/>
    </row>
    <row r="6124" spans="1:26" ht="12.75" customHeight="1" x14ac:dyDescent="0.2">
      <c r="A6124" s="258"/>
      <c r="Z6124" s="258"/>
    </row>
    <row r="6125" spans="1:26" ht="12.75" customHeight="1" x14ac:dyDescent="0.2">
      <c r="A6125" s="258"/>
      <c r="Z6125" s="258"/>
    </row>
    <row r="6126" spans="1:26" ht="12.75" customHeight="1" x14ac:dyDescent="0.2">
      <c r="A6126" s="258"/>
      <c r="Z6126" s="258"/>
    </row>
    <row r="6127" spans="1:26" ht="12.75" customHeight="1" x14ac:dyDescent="0.2">
      <c r="A6127" s="258"/>
      <c r="Z6127" s="258"/>
    </row>
    <row r="6128" spans="1:26" ht="12.75" customHeight="1" x14ac:dyDescent="0.2">
      <c r="A6128" s="258"/>
      <c r="Z6128" s="258"/>
    </row>
    <row r="6129" spans="1:26" ht="12.75" customHeight="1" x14ac:dyDescent="0.2">
      <c r="A6129" s="258"/>
      <c r="Z6129" s="258"/>
    </row>
    <row r="6130" spans="1:26" ht="12.75" customHeight="1" x14ac:dyDescent="0.2">
      <c r="A6130" s="258"/>
      <c r="Z6130" s="258"/>
    </row>
    <row r="6131" spans="1:26" ht="12.75" customHeight="1" x14ac:dyDescent="0.2">
      <c r="A6131" s="258"/>
      <c r="Z6131" s="258"/>
    </row>
    <row r="6132" spans="1:26" ht="12.75" customHeight="1" x14ac:dyDescent="0.2">
      <c r="A6132" s="258"/>
      <c r="Z6132" s="258"/>
    </row>
    <row r="6133" spans="1:26" ht="12.75" customHeight="1" x14ac:dyDescent="0.2">
      <c r="A6133" s="258"/>
      <c r="Z6133" s="258"/>
    </row>
    <row r="6134" spans="1:26" ht="12.75" customHeight="1" x14ac:dyDescent="0.2">
      <c r="A6134" s="258"/>
      <c r="Z6134" s="258"/>
    </row>
    <row r="6135" spans="1:26" ht="12.75" customHeight="1" x14ac:dyDescent="0.2">
      <c r="A6135" s="258"/>
      <c r="Z6135" s="258"/>
    </row>
    <row r="6136" spans="1:26" ht="12.75" customHeight="1" x14ac:dyDescent="0.2">
      <c r="A6136" s="258"/>
      <c r="Z6136" s="258"/>
    </row>
    <row r="6137" spans="1:26" ht="12.75" customHeight="1" x14ac:dyDescent="0.2">
      <c r="A6137" s="258"/>
      <c r="Z6137" s="258"/>
    </row>
    <row r="6138" spans="1:26" ht="12.75" customHeight="1" x14ac:dyDescent="0.2">
      <c r="A6138" s="258"/>
      <c r="Z6138" s="258"/>
    </row>
    <row r="6139" spans="1:26" ht="12.75" customHeight="1" x14ac:dyDescent="0.2">
      <c r="A6139" s="258"/>
      <c r="Z6139" s="258"/>
    </row>
    <row r="6140" spans="1:26" ht="12.75" customHeight="1" x14ac:dyDescent="0.2">
      <c r="A6140" s="258"/>
      <c r="Z6140" s="258"/>
    </row>
    <row r="6141" spans="1:26" ht="12.75" customHeight="1" x14ac:dyDescent="0.2">
      <c r="A6141" s="258"/>
      <c r="Z6141" s="258"/>
    </row>
    <row r="6142" spans="1:26" ht="12.75" customHeight="1" x14ac:dyDescent="0.2">
      <c r="A6142" s="258"/>
      <c r="Z6142" s="258"/>
    </row>
    <row r="6143" spans="1:26" ht="12.75" customHeight="1" x14ac:dyDescent="0.2">
      <c r="A6143" s="258"/>
      <c r="Z6143" s="258"/>
    </row>
    <row r="6144" spans="1:26" ht="12.75" customHeight="1" x14ac:dyDescent="0.2">
      <c r="A6144" s="258"/>
      <c r="Z6144" s="258"/>
    </row>
    <row r="6145" spans="1:26" ht="12.75" customHeight="1" x14ac:dyDescent="0.2">
      <c r="A6145" s="258"/>
      <c r="Z6145" s="258"/>
    </row>
    <row r="6146" spans="1:26" ht="12.75" customHeight="1" x14ac:dyDescent="0.2">
      <c r="A6146" s="258"/>
      <c r="Z6146" s="258"/>
    </row>
    <row r="6147" spans="1:26" ht="12.75" customHeight="1" x14ac:dyDescent="0.2">
      <c r="A6147" s="258"/>
      <c r="Z6147" s="258"/>
    </row>
    <row r="6148" spans="1:26" ht="12.75" customHeight="1" x14ac:dyDescent="0.2">
      <c r="A6148" s="258"/>
      <c r="Z6148" s="258"/>
    </row>
    <row r="6149" spans="1:26" ht="12.75" customHeight="1" x14ac:dyDescent="0.2">
      <c r="A6149" s="258"/>
      <c r="Z6149" s="258"/>
    </row>
    <row r="6150" spans="1:26" ht="12.75" customHeight="1" x14ac:dyDescent="0.2">
      <c r="A6150" s="258"/>
      <c r="Z6150" s="258"/>
    </row>
    <row r="6151" spans="1:26" ht="12.75" customHeight="1" x14ac:dyDescent="0.2">
      <c r="A6151" s="258"/>
      <c r="Z6151" s="258"/>
    </row>
    <row r="6152" spans="1:26" ht="12.75" customHeight="1" x14ac:dyDescent="0.2">
      <c r="A6152" s="258"/>
      <c r="Z6152" s="258"/>
    </row>
    <row r="6153" spans="1:26" ht="12.75" customHeight="1" x14ac:dyDescent="0.2">
      <c r="A6153" s="258"/>
      <c r="Z6153" s="258"/>
    </row>
    <row r="6154" spans="1:26" ht="12.75" customHeight="1" x14ac:dyDescent="0.2">
      <c r="A6154" s="258"/>
      <c r="Z6154" s="258"/>
    </row>
    <row r="6155" spans="1:26" ht="12.75" customHeight="1" x14ac:dyDescent="0.2">
      <c r="A6155" s="258"/>
      <c r="Z6155" s="258"/>
    </row>
    <row r="6156" spans="1:26" ht="12.75" customHeight="1" x14ac:dyDescent="0.2">
      <c r="A6156" s="258"/>
      <c r="Z6156" s="258"/>
    </row>
    <row r="6157" spans="1:26" ht="12.75" customHeight="1" x14ac:dyDescent="0.2">
      <c r="A6157" s="258"/>
      <c r="Z6157" s="258"/>
    </row>
    <row r="6158" spans="1:26" ht="12.75" customHeight="1" x14ac:dyDescent="0.2">
      <c r="A6158" s="258"/>
      <c r="Z6158" s="258"/>
    </row>
    <row r="6159" spans="1:26" ht="12.75" customHeight="1" x14ac:dyDescent="0.2">
      <c r="A6159" s="258"/>
      <c r="Z6159" s="258"/>
    </row>
    <row r="6160" spans="1:26" ht="12.75" customHeight="1" x14ac:dyDescent="0.2">
      <c r="A6160" s="258"/>
      <c r="Z6160" s="258"/>
    </row>
    <row r="6161" spans="1:26" ht="12.75" customHeight="1" x14ac:dyDescent="0.2">
      <c r="A6161" s="258"/>
      <c r="Z6161" s="258"/>
    </row>
    <row r="6162" spans="1:26" ht="12.75" customHeight="1" x14ac:dyDescent="0.2">
      <c r="A6162" s="258"/>
      <c r="Z6162" s="258"/>
    </row>
    <row r="6163" spans="1:26" ht="12.75" customHeight="1" x14ac:dyDescent="0.2">
      <c r="A6163" s="258"/>
      <c r="Z6163" s="258"/>
    </row>
    <row r="6164" spans="1:26" ht="12.75" customHeight="1" x14ac:dyDescent="0.2">
      <c r="A6164" s="258"/>
      <c r="Z6164" s="258"/>
    </row>
    <row r="6165" spans="1:26" ht="12.75" customHeight="1" x14ac:dyDescent="0.2">
      <c r="A6165" s="258"/>
      <c r="Z6165" s="258"/>
    </row>
    <row r="6166" spans="1:26" ht="12.75" customHeight="1" x14ac:dyDescent="0.2">
      <c r="A6166" s="258"/>
      <c r="Z6166" s="258"/>
    </row>
    <row r="6167" spans="1:26" ht="12.75" customHeight="1" x14ac:dyDescent="0.2">
      <c r="A6167" s="258"/>
      <c r="Z6167" s="258"/>
    </row>
    <row r="6168" spans="1:26" ht="12.75" customHeight="1" x14ac:dyDescent="0.2">
      <c r="A6168" s="258"/>
      <c r="Z6168" s="258"/>
    </row>
    <row r="6169" spans="1:26" ht="12.75" customHeight="1" x14ac:dyDescent="0.2">
      <c r="A6169" s="258"/>
      <c r="Z6169" s="258"/>
    </row>
    <row r="6170" spans="1:26" ht="12.75" customHeight="1" x14ac:dyDescent="0.2">
      <c r="A6170" s="258"/>
      <c r="Z6170" s="258"/>
    </row>
    <row r="6171" spans="1:26" ht="12.75" customHeight="1" x14ac:dyDescent="0.2">
      <c r="A6171" s="258"/>
      <c r="Z6171" s="258"/>
    </row>
    <row r="6172" spans="1:26" ht="12.75" customHeight="1" x14ac:dyDescent="0.2">
      <c r="A6172" s="258"/>
      <c r="Z6172" s="258"/>
    </row>
    <row r="6173" spans="1:26" ht="12.75" customHeight="1" x14ac:dyDescent="0.2">
      <c r="A6173" s="258"/>
      <c r="Z6173" s="258"/>
    </row>
    <row r="6174" spans="1:26" ht="12.75" customHeight="1" x14ac:dyDescent="0.2">
      <c r="A6174" s="258"/>
      <c r="Z6174" s="258"/>
    </row>
    <row r="6175" spans="1:26" ht="12.75" customHeight="1" x14ac:dyDescent="0.2">
      <c r="A6175" s="258"/>
      <c r="Z6175" s="258"/>
    </row>
    <row r="6176" spans="1:26" ht="12.75" customHeight="1" x14ac:dyDescent="0.2">
      <c r="A6176" s="258"/>
      <c r="Z6176" s="258"/>
    </row>
    <row r="6177" spans="1:26" ht="12.75" customHeight="1" x14ac:dyDescent="0.2">
      <c r="A6177" s="258"/>
      <c r="Z6177" s="258"/>
    </row>
    <row r="6178" spans="1:26" ht="12.75" customHeight="1" x14ac:dyDescent="0.2">
      <c r="A6178" s="258"/>
      <c r="Z6178" s="258"/>
    </row>
    <row r="6179" spans="1:26" ht="12.75" customHeight="1" x14ac:dyDescent="0.2">
      <c r="A6179" s="258"/>
      <c r="Z6179" s="258"/>
    </row>
    <row r="6180" spans="1:26" ht="12.75" customHeight="1" x14ac:dyDescent="0.2">
      <c r="A6180" s="258"/>
      <c r="Z6180" s="258"/>
    </row>
    <row r="6181" spans="1:26" ht="12.75" customHeight="1" x14ac:dyDescent="0.2">
      <c r="A6181" s="258"/>
      <c r="Z6181" s="258"/>
    </row>
    <row r="6182" spans="1:26" ht="12.75" customHeight="1" x14ac:dyDescent="0.2">
      <c r="A6182" s="258"/>
      <c r="Z6182" s="258"/>
    </row>
    <row r="6183" spans="1:26" ht="12.75" customHeight="1" x14ac:dyDescent="0.2">
      <c r="A6183" s="258"/>
      <c r="Z6183" s="258"/>
    </row>
    <row r="6184" spans="1:26" ht="12.75" customHeight="1" x14ac:dyDescent="0.2">
      <c r="A6184" s="258"/>
      <c r="Z6184" s="258"/>
    </row>
    <row r="6185" spans="1:26" ht="12.75" customHeight="1" x14ac:dyDescent="0.2">
      <c r="A6185" s="258"/>
      <c r="Z6185" s="258"/>
    </row>
    <row r="6186" spans="1:26" ht="12.75" customHeight="1" x14ac:dyDescent="0.2">
      <c r="A6186" s="258"/>
      <c r="Z6186" s="258"/>
    </row>
    <row r="6187" spans="1:26" ht="12.75" customHeight="1" x14ac:dyDescent="0.2">
      <c r="A6187" s="258"/>
      <c r="Z6187" s="258"/>
    </row>
    <row r="6188" spans="1:26" ht="12.75" customHeight="1" x14ac:dyDescent="0.2">
      <c r="A6188" s="258"/>
      <c r="Z6188" s="258"/>
    </row>
    <row r="6189" spans="1:26" ht="12.75" customHeight="1" x14ac:dyDescent="0.2">
      <c r="A6189" s="258"/>
      <c r="Z6189" s="258"/>
    </row>
    <row r="6190" spans="1:26" ht="12.75" customHeight="1" x14ac:dyDescent="0.2">
      <c r="A6190" s="258"/>
      <c r="Z6190" s="258"/>
    </row>
    <row r="6191" spans="1:26" ht="12.75" customHeight="1" x14ac:dyDescent="0.2">
      <c r="A6191" s="258"/>
      <c r="Z6191" s="258"/>
    </row>
    <row r="6192" spans="1:26" ht="12.75" customHeight="1" x14ac:dyDescent="0.2">
      <c r="A6192" s="258"/>
      <c r="Z6192" s="258"/>
    </row>
    <row r="6193" spans="1:26" ht="12.75" customHeight="1" x14ac:dyDescent="0.2">
      <c r="A6193" s="258"/>
      <c r="Z6193" s="258"/>
    </row>
    <row r="6194" spans="1:26" ht="12.75" customHeight="1" x14ac:dyDescent="0.2">
      <c r="A6194" s="258"/>
      <c r="Z6194" s="258"/>
    </row>
    <row r="6195" spans="1:26" ht="12.75" customHeight="1" x14ac:dyDescent="0.2">
      <c r="A6195" s="258"/>
      <c r="Z6195" s="258"/>
    </row>
    <row r="6196" spans="1:26" ht="12.75" customHeight="1" x14ac:dyDescent="0.2">
      <c r="A6196" s="258"/>
      <c r="Z6196" s="258"/>
    </row>
    <row r="6197" spans="1:26" ht="12.75" customHeight="1" x14ac:dyDescent="0.2">
      <c r="A6197" s="258"/>
      <c r="Z6197" s="258"/>
    </row>
    <row r="6198" spans="1:26" ht="12.75" customHeight="1" x14ac:dyDescent="0.2">
      <c r="A6198" s="258"/>
      <c r="Z6198" s="258"/>
    </row>
    <row r="6199" spans="1:26" ht="12.75" customHeight="1" x14ac:dyDescent="0.2">
      <c r="A6199" s="258"/>
      <c r="Z6199" s="258"/>
    </row>
    <row r="6200" spans="1:26" ht="12.75" customHeight="1" x14ac:dyDescent="0.2">
      <c r="A6200" s="258"/>
      <c r="Z6200" s="258"/>
    </row>
    <row r="6201" spans="1:26" ht="12.75" customHeight="1" x14ac:dyDescent="0.2">
      <c r="A6201" s="258"/>
      <c r="Z6201" s="258"/>
    </row>
    <row r="6202" spans="1:26" ht="12.75" customHeight="1" x14ac:dyDescent="0.2">
      <c r="A6202" s="258"/>
      <c r="Z6202" s="258"/>
    </row>
    <row r="6203" spans="1:26" ht="12.75" customHeight="1" x14ac:dyDescent="0.2">
      <c r="A6203" s="258"/>
      <c r="Z6203" s="258"/>
    </row>
    <row r="6204" spans="1:26" ht="12.75" customHeight="1" x14ac:dyDescent="0.2">
      <c r="A6204" s="258"/>
      <c r="Z6204" s="258"/>
    </row>
    <row r="6205" spans="1:26" ht="12.75" customHeight="1" x14ac:dyDescent="0.2">
      <c r="A6205" s="258"/>
      <c r="Z6205" s="258"/>
    </row>
    <row r="6206" spans="1:26" ht="12.75" customHeight="1" x14ac:dyDescent="0.2">
      <c r="A6206" s="258"/>
      <c r="Z6206" s="258"/>
    </row>
    <row r="6207" spans="1:26" ht="12.75" customHeight="1" x14ac:dyDescent="0.2">
      <c r="A6207" s="258"/>
      <c r="Z6207" s="258"/>
    </row>
    <row r="6208" spans="1:26" ht="12.75" customHeight="1" x14ac:dyDescent="0.2">
      <c r="A6208" s="258"/>
      <c r="Z6208" s="258"/>
    </row>
    <row r="6209" spans="1:26" ht="12.75" customHeight="1" x14ac:dyDescent="0.2">
      <c r="A6209" s="258"/>
      <c r="Z6209" s="258"/>
    </row>
    <row r="6210" spans="1:26" ht="12.75" customHeight="1" x14ac:dyDescent="0.2">
      <c r="A6210" s="258"/>
      <c r="Z6210" s="258"/>
    </row>
    <row r="6211" spans="1:26" ht="12.75" customHeight="1" x14ac:dyDescent="0.2">
      <c r="A6211" s="258"/>
      <c r="Z6211" s="258"/>
    </row>
    <row r="6212" spans="1:26" ht="12.75" customHeight="1" x14ac:dyDescent="0.2">
      <c r="A6212" s="258"/>
      <c r="Z6212" s="258"/>
    </row>
    <row r="6213" spans="1:26" ht="12.75" customHeight="1" x14ac:dyDescent="0.2">
      <c r="A6213" s="258"/>
      <c r="Z6213" s="258"/>
    </row>
    <row r="6214" spans="1:26" ht="12.75" customHeight="1" x14ac:dyDescent="0.2">
      <c r="A6214" s="258"/>
      <c r="Z6214" s="258"/>
    </row>
    <row r="6215" spans="1:26" ht="12.75" customHeight="1" x14ac:dyDescent="0.2">
      <c r="A6215" s="258"/>
      <c r="Z6215" s="258"/>
    </row>
    <row r="6216" spans="1:26" ht="12.75" customHeight="1" x14ac:dyDescent="0.2">
      <c r="A6216" s="258"/>
      <c r="Z6216" s="258"/>
    </row>
    <row r="6217" spans="1:26" ht="12.75" customHeight="1" x14ac:dyDescent="0.2">
      <c r="A6217" s="258"/>
      <c r="Z6217" s="258"/>
    </row>
    <row r="6218" spans="1:26" ht="12.75" customHeight="1" x14ac:dyDescent="0.2">
      <c r="A6218" s="258"/>
      <c r="Z6218" s="258"/>
    </row>
    <row r="6219" spans="1:26" ht="12.75" customHeight="1" x14ac:dyDescent="0.2">
      <c r="A6219" s="258"/>
      <c r="Z6219" s="258"/>
    </row>
    <row r="6220" spans="1:26" ht="12.75" customHeight="1" x14ac:dyDescent="0.2">
      <c r="A6220" s="258"/>
      <c r="Z6220" s="258"/>
    </row>
    <row r="6221" spans="1:26" ht="12.75" customHeight="1" x14ac:dyDescent="0.2">
      <c r="A6221" s="258"/>
      <c r="Z6221" s="258"/>
    </row>
    <row r="6222" spans="1:26" ht="12.75" customHeight="1" x14ac:dyDescent="0.2">
      <c r="A6222" s="258"/>
      <c r="Z6222" s="258"/>
    </row>
    <row r="6223" spans="1:26" ht="12.75" customHeight="1" x14ac:dyDescent="0.2">
      <c r="A6223" s="258"/>
      <c r="Z6223" s="258"/>
    </row>
    <row r="6224" spans="1:26" ht="12.75" customHeight="1" x14ac:dyDescent="0.2">
      <c r="A6224" s="258"/>
      <c r="Z6224" s="258"/>
    </row>
    <row r="6225" spans="1:26" ht="12.75" customHeight="1" x14ac:dyDescent="0.2">
      <c r="A6225" s="258"/>
      <c r="Z6225" s="258"/>
    </row>
    <row r="6226" spans="1:26" ht="12.75" customHeight="1" x14ac:dyDescent="0.2">
      <c r="A6226" s="258"/>
      <c r="Z6226" s="258"/>
    </row>
    <row r="6227" spans="1:26" ht="12.75" customHeight="1" x14ac:dyDescent="0.2">
      <c r="A6227" s="258"/>
      <c r="Z6227" s="258"/>
    </row>
    <row r="6228" spans="1:26" ht="12.75" customHeight="1" x14ac:dyDescent="0.2">
      <c r="A6228" s="258"/>
      <c r="Z6228" s="258"/>
    </row>
    <row r="6229" spans="1:26" ht="12.75" customHeight="1" x14ac:dyDescent="0.2">
      <c r="A6229" s="258"/>
      <c r="Z6229" s="258"/>
    </row>
    <row r="6230" spans="1:26" ht="12.75" customHeight="1" x14ac:dyDescent="0.2">
      <c r="A6230" s="258"/>
      <c r="Z6230" s="258"/>
    </row>
    <row r="6231" spans="1:26" ht="12.75" customHeight="1" x14ac:dyDescent="0.2">
      <c r="A6231" s="258"/>
      <c r="Z6231" s="258"/>
    </row>
    <row r="6232" spans="1:26" ht="12.75" customHeight="1" x14ac:dyDescent="0.2">
      <c r="A6232" s="258"/>
      <c r="Z6232" s="258"/>
    </row>
    <row r="6233" spans="1:26" ht="12.75" customHeight="1" x14ac:dyDescent="0.2">
      <c r="A6233" s="258"/>
      <c r="Z6233" s="258"/>
    </row>
    <row r="6234" spans="1:26" ht="12.75" customHeight="1" x14ac:dyDescent="0.2">
      <c r="A6234" s="258"/>
      <c r="Z6234" s="258"/>
    </row>
    <row r="6235" spans="1:26" ht="12.75" customHeight="1" x14ac:dyDescent="0.2">
      <c r="A6235" s="258"/>
      <c r="Z6235" s="258"/>
    </row>
    <row r="6236" spans="1:26" ht="12.75" customHeight="1" x14ac:dyDescent="0.2">
      <c r="A6236" s="258"/>
      <c r="Z6236" s="258"/>
    </row>
    <row r="6237" spans="1:26" ht="12.75" customHeight="1" x14ac:dyDescent="0.2">
      <c r="A6237" s="258"/>
      <c r="Z6237" s="258"/>
    </row>
    <row r="6238" spans="1:26" ht="12.75" customHeight="1" x14ac:dyDescent="0.2">
      <c r="A6238" s="258"/>
      <c r="Z6238" s="258"/>
    </row>
    <row r="6239" spans="1:26" ht="12.75" customHeight="1" x14ac:dyDescent="0.2">
      <c r="A6239" s="258"/>
      <c r="Z6239" s="258"/>
    </row>
    <row r="6240" spans="1:26" ht="12.75" customHeight="1" x14ac:dyDescent="0.2">
      <c r="A6240" s="258"/>
      <c r="Z6240" s="258"/>
    </row>
    <row r="6241" spans="1:26" ht="12.75" customHeight="1" x14ac:dyDescent="0.2">
      <c r="A6241" s="258"/>
      <c r="Z6241" s="258"/>
    </row>
    <row r="6242" spans="1:26" ht="12.75" customHeight="1" x14ac:dyDescent="0.2">
      <c r="A6242" s="258"/>
      <c r="Z6242" s="258"/>
    </row>
    <row r="6243" spans="1:26" ht="12.75" customHeight="1" x14ac:dyDescent="0.2">
      <c r="A6243" s="258"/>
      <c r="Z6243" s="258"/>
    </row>
    <row r="6244" spans="1:26" ht="12.75" customHeight="1" x14ac:dyDescent="0.2">
      <c r="A6244" s="258"/>
      <c r="Z6244" s="258"/>
    </row>
    <row r="6245" spans="1:26" ht="12.75" customHeight="1" x14ac:dyDescent="0.2">
      <c r="A6245" s="258"/>
      <c r="Z6245" s="258"/>
    </row>
    <row r="6246" spans="1:26" ht="12.75" customHeight="1" x14ac:dyDescent="0.2">
      <c r="A6246" s="258"/>
      <c r="Z6246" s="258"/>
    </row>
    <row r="6247" spans="1:26" ht="12.75" customHeight="1" x14ac:dyDescent="0.2">
      <c r="A6247" s="258"/>
      <c r="Z6247" s="258"/>
    </row>
    <row r="6248" spans="1:26" ht="12.75" customHeight="1" x14ac:dyDescent="0.2">
      <c r="A6248" s="258"/>
      <c r="Z6248" s="258"/>
    </row>
    <row r="6249" spans="1:26" ht="12.75" customHeight="1" x14ac:dyDescent="0.2">
      <c r="A6249" s="258"/>
      <c r="Z6249" s="258"/>
    </row>
    <row r="6250" spans="1:26" ht="12.75" customHeight="1" x14ac:dyDescent="0.2">
      <c r="A6250" s="258"/>
      <c r="Z6250" s="258"/>
    </row>
    <row r="6251" spans="1:26" ht="12.75" customHeight="1" x14ac:dyDescent="0.2">
      <c r="A6251" s="258"/>
      <c r="Z6251" s="258"/>
    </row>
    <row r="6252" spans="1:26" ht="12.75" customHeight="1" x14ac:dyDescent="0.2">
      <c r="A6252" s="258"/>
      <c r="Z6252" s="258"/>
    </row>
    <row r="6253" spans="1:26" ht="12.75" customHeight="1" x14ac:dyDescent="0.2">
      <c r="A6253" s="258"/>
      <c r="Z6253" s="258"/>
    </row>
    <row r="6254" spans="1:26" ht="12.75" customHeight="1" x14ac:dyDescent="0.2">
      <c r="A6254" s="258"/>
      <c r="Z6254" s="258"/>
    </row>
    <row r="6255" spans="1:26" ht="12.75" customHeight="1" x14ac:dyDescent="0.2">
      <c r="A6255" s="258"/>
      <c r="Z6255" s="258"/>
    </row>
    <row r="6256" spans="1:26" ht="12.75" customHeight="1" x14ac:dyDescent="0.2">
      <c r="A6256" s="258"/>
      <c r="Z6256" s="258"/>
    </row>
    <row r="6257" spans="1:26" ht="12.75" customHeight="1" x14ac:dyDescent="0.2">
      <c r="A6257" s="258"/>
      <c r="Z6257" s="258"/>
    </row>
    <row r="6258" spans="1:26" ht="12.75" customHeight="1" x14ac:dyDescent="0.2">
      <c r="A6258" s="258"/>
      <c r="Z6258" s="258"/>
    </row>
    <row r="6259" spans="1:26" ht="12.75" customHeight="1" x14ac:dyDescent="0.2">
      <c r="A6259" s="258"/>
      <c r="Z6259" s="258"/>
    </row>
    <row r="6260" spans="1:26" ht="12.75" customHeight="1" x14ac:dyDescent="0.2">
      <c r="A6260" s="258"/>
      <c r="Z6260" s="258"/>
    </row>
    <row r="6261" spans="1:26" ht="12.75" customHeight="1" x14ac:dyDescent="0.2">
      <c r="A6261" s="258"/>
      <c r="Z6261" s="258"/>
    </row>
    <row r="6262" spans="1:26" ht="12.75" customHeight="1" x14ac:dyDescent="0.2">
      <c r="A6262" s="258"/>
      <c r="Z6262" s="258"/>
    </row>
    <row r="6263" spans="1:26" ht="12.75" customHeight="1" x14ac:dyDescent="0.2">
      <c r="A6263" s="258"/>
      <c r="Z6263" s="258"/>
    </row>
    <row r="6264" spans="1:26" ht="12.75" customHeight="1" x14ac:dyDescent="0.2">
      <c r="A6264" s="258"/>
      <c r="Z6264" s="258"/>
    </row>
    <row r="6265" spans="1:26" ht="12.75" customHeight="1" x14ac:dyDescent="0.2">
      <c r="A6265" s="258"/>
      <c r="Z6265" s="258"/>
    </row>
    <row r="6266" spans="1:26" ht="12.75" customHeight="1" x14ac:dyDescent="0.2">
      <c r="A6266" s="258"/>
      <c r="Z6266" s="258"/>
    </row>
    <row r="6267" spans="1:26" ht="12.75" customHeight="1" x14ac:dyDescent="0.2">
      <c r="A6267" s="258"/>
      <c r="Z6267" s="258"/>
    </row>
    <row r="6268" spans="1:26" ht="12.75" customHeight="1" x14ac:dyDescent="0.2">
      <c r="A6268" s="258"/>
      <c r="Z6268" s="258"/>
    </row>
    <row r="6269" spans="1:26" ht="12.75" customHeight="1" x14ac:dyDescent="0.2">
      <c r="A6269" s="258"/>
      <c r="Z6269" s="258"/>
    </row>
    <row r="6270" spans="1:26" ht="12.75" customHeight="1" x14ac:dyDescent="0.2">
      <c r="A6270" s="258"/>
      <c r="Z6270" s="258"/>
    </row>
    <row r="6271" spans="1:26" ht="12.75" customHeight="1" x14ac:dyDescent="0.2">
      <c r="A6271" s="258"/>
      <c r="Z6271" s="258"/>
    </row>
    <row r="6272" spans="1:26" ht="12.75" customHeight="1" x14ac:dyDescent="0.2">
      <c r="A6272" s="258"/>
      <c r="Z6272" s="258"/>
    </row>
    <row r="6273" spans="1:26" ht="12.75" customHeight="1" x14ac:dyDescent="0.2">
      <c r="A6273" s="258"/>
      <c r="Z6273" s="258"/>
    </row>
    <row r="6274" spans="1:26" ht="12.75" customHeight="1" x14ac:dyDescent="0.2">
      <c r="A6274" s="258"/>
      <c r="Z6274" s="258"/>
    </row>
    <row r="6275" spans="1:26" ht="12.75" customHeight="1" x14ac:dyDescent="0.2">
      <c r="A6275" s="258"/>
      <c r="Z6275" s="258"/>
    </row>
    <row r="6276" spans="1:26" ht="12.75" customHeight="1" x14ac:dyDescent="0.2">
      <c r="A6276" s="258"/>
      <c r="Z6276" s="258"/>
    </row>
    <row r="6277" spans="1:26" ht="12.75" customHeight="1" x14ac:dyDescent="0.2">
      <c r="A6277" s="258"/>
      <c r="Z6277" s="258"/>
    </row>
    <row r="6278" spans="1:26" ht="12.75" customHeight="1" x14ac:dyDescent="0.2">
      <c r="A6278" s="258"/>
      <c r="Z6278" s="258"/>
    </row>
    <row r="6279" spans="1:26" ht="12.75" customHeight="1" x14ac:dyDescent="0.2">
      <c r="A6279" s="258"/>
      <c r="Z6279" s="258"/>
    </row>
    <row r="6280" spans="1:26" ht="12.75" customHeight="1" x14ac:dyDescent="0.2">
      <c r="A6280" s="258"/>
      <c r="Z6280" s="258"/>
    </row>
    <row r="6281" spans="1:26" ht="12.75" customHeight="1" x14ac:dyDescent="0.2">
      <c r="A6281" s="258"/>
      <c r="Z6281" s="258"/>
    </row>
    <row r="6282" spans="1:26" ht="12.75" customHeight="1" x14ac:dyDescent="0.2">
      <c r="A6282" s="258"/>
      <c r="Z6282" s="258"/>
    </row>
    <row r="6283" spans="1:26" ht="12.75" customHeight="1" x14ac:dyDescent="0.2">
      <c r="A6283" s="258"/>
      <c r="Z6283" s="258"/>
    </row>
    <row r="6284" spans="1:26" ht="12.75" customHeight="1" x14ac:dyDescent="0.2">
      <c r="A6284" s="258"/>
      <c r="Z6284" s="258"/>
    </row>
    <row r="6285" spans="1:26" ht="12.75" customHeight="1" x14ac:dyDescent="0.2">
      <c r="A6285" s="258"/>
      <c r="Z6285" s="258"/>
    </row>
    <row r="6286" spans="1:26" ht="12.75" customHeight="1" x14ac:dyDescent="0.2">
      <c r="A6286" s="258"/>
      <c r="Z6286" s="258"/>
    </row>
    <row r="6287" spans="1:26" ht="12.75" customHeight="1" x14ac:dyDescent="0.2">
      <c r="A6287" s="258"/>
      <c r="Z6287" s="258"/>
    </row>
    <row r="6288" spans="1:26" ht="12.75" customHeight="1" x14ac:dyDescent="0.2">
      <c r="A6288" s="258"/>
      <c r="Z6288" s="258"/>
    </row>
    <row r="6289" spans="1:26" ht="12.75" customHeight="1" x14ac:dyDescent="0.2">
      <c r="A6289" s="258"/>
      <c r="Z6289" s="258"/>
    </row>
    <row r="6290" spans="1:26" ht="12.75" customHeight="1" x14ac:dyDescent="0.2">
      <c r="A6290" s="258"/>
      <c r="Z6290" s="258"/>
    </row>
    <row r="6291" spans="1:26" ht="12.75" customHeight="1" x14ac:dyDescent="0.2">
      <c r="A6291" s="258"/>
      <c r="Z6291" s="258"/>
    </row>
    <row r="6292" spans="1:26" ht="12.75" customHeight="1" x14ac:dyDescent="0.2">
      <c r="A6292" s="258"/>
      <c r="Z6292" s="258"/>
    </row>
    <row r="6293" spans="1:26" ht="12.75" customHeight="1" x14ac:dyDescent="0.2">
      <c r="A6293" s="258"/>
      <c r="Z6293" s="258"/>
    </row>
    <row r="6294" spans="1:26" ht="12.75" customHeight="1" x14ac:dyDescent="0.2">
      <c r="A6294" s="258"/>
      <c r="Z6294" s="258"/>
    </row>
    <row r="6295" spans="1:26" ht="12.75" customHeight="1" x14ac:dyDescent="0.2">
      <c r="A6295" s="258"/>
      <c r="Z6295" s="258"/>
    </row>
    <row r="6296" spans="1:26" ht="12.75" customHeight="1" x14ac:dyDescent="0.2">
      <c r="A6296" s="258"/>
      <c r="Z6296" s="258"/>
    </row>
    <row r="6297" spans="1:26" ht="12.75" customHeight="1" x14ac:dyDescent="0.2">
      <c r="A6297" s="258"/>
      <c r="Z6297" s="258"/>
    </row>
    <row r="6298" spans="1:26" ht="12.75" customHeight="1" x14ac:dyDescent="0.2">
      <c r="A6298" s="258"/>
      <c r="Z6298" s="258"/>
    </row>
    <row r="6299" spans="1:26" ht="12.75" customHeight="1" x14ac:dyDescent="0.2">
      <c r="A6299" s="258"/>
      <c r="Z6299" s="258"/>
    </row>
    <row r="6300" spans="1:26" ht="12.75" customHeight="1" x14ac:dyDescent="0.2">
      <c r="A6300" s="258"/>
      <c r="Z6300" s="258"/>
    </row>
    <row r="6301" spans="1:26" ht="12.75" customHeight="1" x14ac:dyDescent="0.2">
      <c r="A6301" s="258"/>
      <c r="Z6301" s="258"/>
    </row>
    <row r="6302" spans="1:26" ht="12.75" customHeight="1" x14ac:dyDescent="0.2">
      <c r="A6302" s="258"/>
      <c r="Z6302" s="258"/>
    </row>
    <row r="6303" spans="1:26" ht="12.75" customHeight="1" x14ac:dyDescent="0.2">
      <c r="A6303" s="258"/>
      <c r="Z6303" s="258"/>
    </row>
    <row r="6304" spans="1:26" ht="12.75" customHeight="1" x14ac:dyDescent="0.2">
      <c r="A6304" s="258"/>
      <c r="Z6304" s="258"/>
    </row>
    <row r="6305" spans="1:26" ht="12.75" customHeight="1" x14ac:dyDescent="0.2">
      <c r="A6305" s="258"/>
      <c r="Z6305" s="258"/>
    </row>
    <row r="6306" spans="1:26" ht="12.75" customHeight="1" x14ac:dyDescent="0.2">
      <c r="A6306" s="258"/>
      <c r="Z6306" s="258"/>
    </row>
    <row r="6307" spans="1:26" ht="12.75" customHeight="1" x14ac:dyDescent="0.2">
      <c r="A6307" s="258"/>
      <c r="Z6307" s="258"/>
    </row>
    <row r="6308" spans="1:26" ht="12.75" customHeight="1" x14ac:dyDescent="0.2">
      <c r="A6308" s="258"/>
      <c r="Z6308" s="258"/>
    </row>
    <row r="6309" spans="1:26" ht="12.75" customHeight="1" x14ac:dyDescent="0.2">
      <c r="A6309" s="258"/>
      <c r="Z6309" s="258"/>
    </row>
    <row r="6310" spans="1:26" ht="12.75" customHeight="1" x14ac:dyDescent="0.2">
      <c r="A6310" s="258"/>
      <c r="Z6310" s="258"/>
    </row>
    <row r="6311" spans="1:26" ht="12.75" customHeight="1" x14ac:dyDescent="0.2">
      <c r="A6311" s="258"/>
      <c r="Z6311" s="258"/>
    </row>
    <row r="6312" spans="1:26" ht="12.75" customHeight="1" x14ac:dyDescent="0.2">
      <c r="A6312" s="258"/>
      <c r="Z6312" s="258"/>
    </row>
    <row r="6313" spans="1:26" ht="12.75" customHeight="1" x14ac:dyDescent="0.2">
      <c r="A6313" s="258"/>
      <c r="Z6313" s="258"/>
    </row>
    <row r="6314" spans="1:26" ht="12.75" customHeight="1" x14ac:dyDescent="0.2">
      <c r="A6314" s="258"/>
      <c r="Z6314" s="258"/>
    </row>
    <row r="6315" spans="1:26" ht="12.75" customHeight="1" x14ac:dyDescent="0.2">
      <c r="A6315" s="258"/>
      <c r="Z6315" s="258"/>
    </row>
    <row r="6316" spans="1:26" ht="12.75" customHeight="1" x14ac:dyDescent="0.2">
      <c r="A6316" s="258"/>
      <c r="Z6316" s="258"/>
    </row>
    <row r="6317" spans="1:26" ht="12.75" customHeight="1" x14ac:dyDescent="0.2">
      <c r="A6317" s="258"/>
      <c r="Z6317" s="258"/>
    </row>
    <row r="6318" spans="1:26" ht="12.75" customHeight="1" x14ac:dyDescent="0.2">
      <c r="A6318" s="258"/>
      <c r="Z6318" s="258"/>
    </row>
    <row r="6319" spans="1:26" ht="12.75" customHeight="1" x14ac:dyDescent="0.2">
      <c r="A6319" s="258"/>
      <c r="Z6319" s="258"/>
    </row>
    <row r="6320" spans="1:26" ht="12.75" customHeight="1" x14ac:dyDescent="0.2">
      <c r="A6320" s="258"/>
      <c r="Z6320" s="258"/>
    </row>
    <row r="6321" spans="1:26" ht="12.75" customHeight="1" x14ac:dyDescent="0.2">
      <c r="A6321" s="258"/>
      <c r="Z6321" s="258"/>
    </row>
    <row r="6322" spans="1:26" ht="12.75" customHeight="1" x14ac:dyDescent="0.2">
      <c r="A6322" s="258"/>
      <c r="Z6322" s="258"/>
    </row>
    <row r="6323" spans="1:26" ht="12.75" customHeight="1" x14ac:dyDescent="0.2">
      <c r="A6323" s="258"/>
      <c r="Z6323" s="258"/>
    </row>
    <row r="6324" spans="1:26" ht="12.75" customHeight="1" x14ac:dyDescent="0.2">
      <c r="A6324" s="258"/>
      <c r="Z6324" s="258"/>
    </row>
    <row r="6325" spans="1:26" ht="12.75" customHeight="1" x14ac:dyDescent="0.2">
      <c r="A6325" s="258"/>
      <c r="Z6325" s="258"/>
    </row>
    <row r="6326" spans="1:26" ht="12.75" customHeight="1" x14ac:dyDescent="0.2">
      <c r="A6326" s="258"/>
      <c r="Z6326" s="258"/>
    </row>
    <row r="6327" spans="1:26" ht="12.75" customHeight="1" x14ac:dyDescent="0.2">
      <c r="A6327" s="258"/>
      <c r="Z6327" s="258"/>
    </row>
    <row r="6328" spans="1:26" ht="12.75" customHeight="1" x14ac:dyDescent="0.2">
      <c r="A6328" s="258"/>
      <c r="Z6328" s="258"/>
    </row>
    <row r="6329" spans="1:26" ht="12.75" customHeight="1" x14ac:dyDescent="0.2">
      <c r="A6329" s="258"/>
      <c r="Z6329" s="258"/>
    </row>
    <row r="6330" spans="1:26" ht="12.75" customHeight="1" x14ac:dyDescent="0.2">
      <c r="A6330" s="258"/>
      <c r="Z6330" s="258"/>
    </row>
    <row r="6331" spans="1:26" ht="12.75" customHeight="1" x14ac:dyDescent="0.2">
      <c r="A6331" s="258"/>
      <c r="Z6331" s="258"/>
    </row>
    <row r="6332" spans="1:26" ht="12.75" customHeight="1" x14ac:dyDescent="0.2">
      <c r="A6332" s="258"/>
      <c r="Z6332" s="258"/>
    </row>
    <row r="6333" spans="1:26" ht="12.75" customHeight="1" x14ac:dyDescent="0.2">
      <c r="A6333" s="258"/>
      <c r="Z6333" s="258"/>
    </row>
    <row r="6334" spans="1:26" ht="12.75" customHeight="1" x14ac:dyDescent="0.2">
      <c r="A6334" s="258"/>
      <c r="Z6334" s="258"/>
    </row>
    <row r="6335" spans="1:26" ht="12.75" customHeight="1" x14ac:dyDescent="0.2">
      <c r="A6335" s="258"/>
      <c r="Z6335" s="258"/>
    </row>
    <row r="6336" spans="1:26" ht="12.75" customHeight="1" x14ac:dyDescent="0.2">
      <c r="A6336" s="258"/>
      <c r="Z6336" s="258"/>
    </row>
    <row r="6337" spans="1:26" ht="12.75" customHeight="1" x14ac:dyDescent="0.2">
      <c r="A6337" s="258"/>
      <c r="Z6337" s="258"/>
    </row>
    <row r="6338" spans="1:26" ht="12.75" customHeight="1" x14ac:dyDescent="0.2">
      <c r="A6338" s="258"/>
      <c r="Z6338" s="258"/>
    </row>
    <row r="6339" spans="1:26" ht="12.75" customHeight="1" x14ac:dyDescent="0.2">
      <c r="A6339" s="258"/>
      <c r="Z6339" s="258"/>
    </row>
    <row r="6340" spans="1:26" ht="12.75" customHeight="1" x14ac:dyDescent="0.2">
      <c r="A6340" s="258"/>
      <c r="Z6340" s="258"/>
    </row>
    <row r="6341" spans="1:26" ht="12.75" customHeight="1" x14ac:dyDescent="0.2">
      <c r="A6341" s="258"/>
      <c r="Z6341" s="258"/>
    </row>
    <row r="6342" spans="1:26" ht="12.75" customHeight="1" x14ac:dyDescent="0.2">
      <c r="A6342" s="258"/>
      <c r="Z6342" s="258"/>
    </row>
    <row r="6343" spans="1:26" ht="12.75" customHeight="1" x14ac:dyDescent="0.2">
      <c r="A6343" s="258"/>
      <c r="Z6343" s="258"/>
    </row>
    <row r="6344" spans="1:26" ht="12.75" customHeight="1" x14ac:dyDescent="0.2">
      <c r="A6344" s="258"/>
      <c r="Z6344" s="258"/>
    </row>
    <row r="6345" spans="1:26" ht="12.75" customHeight="1" x14ac:dyDescent="0.2">
      <c r="A6345" s="258"/>
      <c r="Z6345" s="258"/>
    </row>
    <row r="6346" spans="1:26" ht="12.75" customHeight="1" x14ac:dyDescent="0.2">
      <c r="A6346" s="258"/>
      <c r="Z6346" s="258"/>
    </row>
    <row r="6347" spans="1:26" ht="12.75" customHeight="1" x14ac:dyDescent="0.2">
      <c r="A6347" s="258"/>
      <c r="Z6347" s="258"/>
    </row>
    <row r="6348" spans="1:26" ht="12.75" customHeight="1" x14ac:dyDescent="0.2">
      <c r="A6348" s="258"/>
      <c r="Z6348" s="258"/>
    </row>
    <row r="6349" spans="1:26" ht="12.75" customHeight="1" x14ac:dyDescent="0.2">
      <c r="A6349" s="258"/>
      <c r="Z6349" s="258"/>
    </row>
    <row r="6350" spans="1:26" ht="12.75" customHeight="1" x14ac:dyDescent="0.2">
      <c r="A6350" s="258"/>
      <c r="Z6350" s="258"/>
    </row>
    <row r="6351" spans="1:26" ht="12.75" customHeight="1" x14ac:dyDescent="0.2">
      <c r="A6351" s="258"/>
      <c r="Z6351" s="258"/>
    </row>
    <row r="6352" spans="1:26" ht="12.75" customHeight="1" x14ac:dyDescent="0.2">
      <c r="A6352" s="258"/>
      <c r="Z6352" s="258"/>
    </row>
    <row r="6353" spans="1:26" ht="12.75" customHeight="1" x14ac:dyDescent="0.2">
      <c r="A6353" s="258"/>
      <c r="Z6353" s="258"/>
    </row>
    <row r="6354" spans="1:26" ht="12.75" customHeight="1" x14ac:dyDescent="0.2">
      <c r="A6354" s="258"/>
      <c r="Z6354" s="258"/>
    </row>
    <row r="6355" spans="1:26" ht="12.75" customHeight="1" x14ac:dyDescent="0.2">
      <c r="A6355" s="258"/>
      <c r="Z6355" s="258"/>
    </row>
    <row r="6356" spans="1:26" ht="12.75" customHeight="1" x14ac:dyDescent="0.2">
      <c r="A6356" s="258"/>
      <c r="Z6356" s="258"/>
    </row>
    <row r="6357" spans="1:26" ht="12.75" customHeight="1" x14ac:dyDescent="0.2">
      <c r="A6357" s="258"/>
      <c r="Z6357" s="258"/>
    </row>
    <row r="6358" spans="1:26" ht="12.75" customHeight="1" x14ac:dyDescent="0.2">
      <c r="A6358" s="258"/>
      <c r="Z6358" s="258"/>
    </row>
    <row r="6359" spans="1:26" ht="12.75" customHeight="1" x14ac:dyDescent="0.2">
      <c r="A6359" s="258"/>
      <c r="Z6359" s="258"/>
    </row>
    <row r="6360" spans="1:26" ht="12.75" customHeight="1" x14ac:dyDescent="0.2">
      <c r="A6360" s="258"/>
      <c r="Z6360" s="258"/>
    </row>
    <row r="6361" spans="1:26" ht="12.75" customHeight="1" x14ac:dyDescent="0.2">
      <c r="A6361" s="258"/>
      <c r="Z6361" s="258"/>
    </row>
    <row r="6362" spans="1:26" ht="12.75" customHeight="1" x14ac:dyDescent="0.2">
      <c r="A6362" s="258"/>
      <c r="Z6362" s="258"/>
    </row>
    <row r="6363" spans="1:26" ht="12.75" customHeight="1" x14ac:dyDescent="0.2">
      <c r="A6363" s="258"/>
      <c r="Z6363" s="258"/>
    </row>
    <row r="6364" spans="1:26" ht="12.75" customHeight="1" x14ac:dyDescent="0.2">
      <c r="A6364" s="258"/>
      <c r="Z6364" s="258"/>
    </row>
    <row r="6365" spans="1:26" ht="12.75" customHeight="1" x14ac:dyDescent="0.2">
      <c r="A6365" s="258"/>
      <c r="Z6365" s="258"/>
    </row>
    <row r="6366" spans="1:26" ht="12.75" customHeight="1" x14ac:dyDescent="0.2">
      <c r="A6366" s="258"/>
      <c r="Z6366" s="258"/>
    </row>
    <row r="6367" spans="1:26" ht="12.75" customHeight="1" x14ac:dyDescent="0.2">
      <c r="A6367" s="258"/>
      <c r="Z6367" s="258"/>
    </row>
    <row r="6368" spans="1:26" ht="12.75" customHeight="1" x14ac:dyDescent="0.2">
      <c r="A6368" s="258"/>
      <c r="Z6368" s="258"/>
    </row>
    <row r="6369" spans="1:26" ht="12.75" customHeight="1" x14ac:dyDescent="0.2">
      <c r="A6369" s="258"/>
      <c r="Z6369" s="258"/>
    </row>
    <row r="6370" spans="1:26" ht="12.75" customHeight="1" x14ac:dyDescent="0.2">
      <c r="A6370" s="258"/>
      <c r="Z6370" s="258"/>
    </row>
    <row r="6371" spans="1:26" ht="12.75" customHeight="1" x14ac:dyDescent="0.2">
      <c r="A6371" s="258"/>
      <c r="Z6371" s="258"/>
    </row>
    <row r="6372" spans="1:26" ht="12.75" customHeight="1" x14ac:dyDescent="0.2">
      <c r="A6372" s="258"/>
      <c r="Z6372" s="258"/>
    </row>
    <row r="6373" spans="1:26" ht="12.75" customHeight="1" x14ac:dyDescent="0.2">
      <c r="A6373" s="258"/>
      <c r="Z6373" s="258"/>
    </row>
    <row r="6374" spans="1:26" ht="12.75" customHeight="1" x14ac:dyDescent="0.2">
      <c r="A6374" s="258"/>
      <c r="Z6374" s="258"/>
    </row>
    <row r="6375" spans="1:26" ht="12.75" customHeight="1" x14ac:dyDescent="0.2">
      <c r="A6375" s="258"/>
      <c r="Z6375" s="258"/>
    </row>
    <row r="6376" spans="1:26" ht="12.75" customHeight="1" x14ac:dyDescent="0.2">
      <c r="A6376" s="258"/>
      <c r="Z6376" s="258"/>
    </row>
    <row r="6377" spans="1:26" ht="12.75" customHeight="1" x14ac:dyDescent="0.2">
      <c r="A6377" s="258"/>
      <c r="Z6377" s="258"/>
    </row>
    <row r="6378" spans="1:26" ht="12.75" customHeight="1" x14ac:dyDescent="0.2">
      <c r="A6378" s="258"/>
      <c r="Z6378" s="258"/>
    </row>
    <row r="6379" spans="1:26" ht="12.75" customHeight="1" x14ac:dyDescent="0.2">
      <c r="A6379" s="258"/>
      <c r="Z6379" s="258"/>
    </row>
    <row r="6380" spans="1:26" ht="12.75" customHeight="1" x14ac:dyDescent="0.2">
      <c r="A6380" s="258"/>
      <c r="Z6380" s="258"/>
    </row>
    <row r="6381" spans="1:26" ht="12.75" customHeight="1" x14ac:dyDescent="0.2">
      <c r="A6381" s="258"/>
      <c r="Z6381" s="258"/>
    </row>
    <row r="6382" spans="1:26" ht="12.75" customHeight="1" x14ac:dyDescent="0.2">
      <c r="A6382" s="258"/>
      <c r="Z6382" s="258"/>
    </row>
    <row r="6383" spans="1:26" ht="12.75" customHeight="1" x14ac:dyDescent="0.2">
      <c r="A6383" s="258"/>
      <c r="Z6383" s="258"/>
    </row>
    <row r="6384" spans="1:26" ht="12.75" customHeight="1" x14ac:dyDescent="0.2">
      <c r="A6384" s="258"/>
      <c r="Z6384" s="258"/>
    </row>
    <row r="6385" spans="1:26" ht="12.75" customHeight="1" x14ac:dyDescent="0.2">
      <c r="A6385" s="258"/>
      <c r="Z6385" s="258"/>
    </row>
    <row r="6386" spans="1:26" ht="12.75" customHeight="1" x14ac:dyDescent="0.2">
      <c r="A6386" s="258"/>
      <c r="Z6386" s="258"/>
    </row>
    <row r="6387" spans="1:26" ht="12.75" customHeight="1" x14ac:dyDescent="0.2">
      <c r="A6387" s="258"/>
      <c r="Z6387" s="258"/>
    </row>
    <row r="6388" spans="1:26" ht="12.75" customHeight="1" x14ac:dyDescent="0.2">
      <c r="A6388" s="258"/>
      <c r="Z6388" s="258"/>
    </row>
    <row r="6389" spans="1:26" ht="12.75" customHeight="1" x14ac:dyDescent="0.2">
      <c r="A6389" s="258"/>
      <c r="Z6389" s="258"/>
    </row>
    <row r="6390" spans="1:26" ht="12.75" customHeight="1" x14ac:dyDescent="0.2">
      <c r="A6390" s="258"/>
      <c r="Z6390" s="258"/>
    </row>
    <row r="6391" spans="1:26" ht="12.75" customHeight="1" x14ac:dyDescent="0.2">
      <c r="A6391" s="258"/>
      <c r="Z6391" s="258"/>
    </row>
    <row r="6392" spans="1:26" ht="12.75" customHeight="1" x14ac:dyDescent="0.2">
      <c r="A6392" s="258"/>
      <c r="Z6392" s="258"/>
    </row>
    <row r="6393" spans="1:26" ht="12.75" customHeight="1" x14ac:dyDescent="0.2">
      <c r="A6393" s="258"/>
      <c r="Z6393" s="258"/>
    </row>
    <row r="6394" spans="1:26" ht="12.75" customHeight="1" x14ac:dyDescent="0.2">
      <c r="A6394" s="258"/>
      <c r="Z6394" s="258"/>
    </row>
    <row r="6395" spans="1:26" ht="12.75" customHeight="1" x14ac:dyDescent="0.2">
      <c r="A6395" s="258"/>
      <c r="Z6395" s="258"/>
    </row>
    <row r="6396" spans="1:26" ht="12.75" customHeight="1" x14ac:dyDescent="0.2">
      <c r="A6396" s="258"/>
      <c r="Z6396" s="258"/>
    </row>
    <row r="6397" spans="1:26" ht="12.75" customHeight="1" x14ac:dyDescent="0.2">
      <c r="A6397" s="258"/>
      <c r="Z6397" s="258"/>
    </row>
    <row r="6398" spans="1:26" ht="12.75" customHeight="1" x14ac:dyDescent="0.2">
      <c r="A6398" s="258"/>
      <c r="Z6398" s="258"/>
    </row>
    <row r="6399" spans="1:26" ht="12.75" customHeight="1" x14ac:dyDescent="0.2">
      <c r="A6399" s="258"/>
      <c r="Z6399" s="258"/>
    </row>
    <row r="6400" spans="1:26" ht="12.75" customHeight="1" x14ac:dyDescent="0.2">
      <c r="A6400" s="258"/>
      <c r="Z6400" s="258"/>
    </row>
    <row r="6401" spans="1:26" ht="12.75" customHeight="1" x14ac:dyDescent="0.2">
      <c r="A6401" s="258"/>
      <c r="Z6401" s="258"/>
    </row>
    <row r="6402" spans="1:26" ht="12.75" customHeight="1" x14ac:dyDescent="0.2">
      <c r="A6402" s="258"/>
      <c r="Z6402" s="258"/>
    </row>
    <row r="6403" spans="1:26" ht="12.75" customHeight="1" x14ac:dyDescent="0.2">
      <c r="A6403" s="258"/>
      <c r="Z6403" s="258"/>
    </row>
    <row r="6404" spans="1:26" ht="12.75" customHeight="1" x14ac:dyDescent="0.2">
      <c r="A6404" s="258"/>
      <c r="Z6404" s="258"/>
    </row>
    <row r="6405" spans="1:26" ht="12.75" customHeight="1" x14ac:dyDescent="0.2">
      <c r="A6405" s="258"/>
      <c r="Z6405" s="258"/>
    </row>
    <row r="6406" spans="1:26" ht="12.75" customHeight="1" x14ac:dyDescent="0.2">
      <c r="A6406" s="258"/>
      <c r="Z6406" s="258"/>
    </row>
    <row r="6407" spans="1:26" ht="12.75" customHeight="1" x14ac:dyDescent="0.2">
      <c r="A6407" s="258"/>
      <c r="Z6407" s="258"/>
    </row>
    <row r="6408" spans="1:26" ht="12.75" customHeight="1" x14ac:dyDescent="0.2">
      <c r="A6408" s="258"/>
      <c r="Z6408" s="258"/>
    </row>
    <row r="6409" spans="1:26" ht="12.75" customHeight="1" x14ac:dyDescent="0.2">
      <c r="A6409" s="258"/>
      <c r="Z6409" s="258"/>
    </row>
    <row r="6410" spans="1:26" ht="12.75" customHeight="1" x14ac:dyDescent="0.2">
      <c r="A6410" s="258"/>
      <c r="Z6410" s="258"/>
    </row>
    <row r="6411" spans="1:26" ht="12.75" customHeight="1" x14ac:dyDescent="0.2">
      <c r="A6411" s="258"/>
      <c r="Z6411" s="258"/>
    </row>
    <row r="6412" spans="1:26" ht="12.75" customHeight="1" x14ac:dyDescent="0.2">
      <c r="A6412" s="258"/>
      <c r="Z6412" s="258"/>
    </row>
    <row r="6413" spans="1:26" ht="12.75" customHeight="1" x14ac:dyDescent="0.2">
      <c r="A6413" s="258"/>
      <c r="Z6413" s="258"/>
    </row>
    <row r="6414" spans="1:26" ht="12.75" customHeight="1" x14ac:dyDescent="0.2">
      <c r="A6414" s="258"/>
      <c r="Z6414" s="258"/>
    </row>
    <row r="6415" spans="1:26" ht="12.75" customHeight="1" x14ac:dyDescent="0.2">
      <c r="A6415" s="258"/>
      <c r="Z6415" s="258"/>
    </row>
    <row r="6416" spans="1:26" ht="12.75" customHeight="1" x14ac:dyDescent="0.2">
      <c r="A6416" s="258"/>
      <c r="Z6416" s="258"/>
    </row>
    <row r="6417" spans="1:26" ht="12.75" customHeight="1" x14ac:dyDescent="0.2">
      <c r="A6417" s="258"/>
      <c r="Z6417" s="258"/>
    </row>
    <row r="6418" spans="1:26" ht="12.75" customHeight="1" x14ac:dyDescent="0.2">
      <c r="A6418" s="258"/>
      <c r="Z6418" s="258"/>
    </row>
    <row r="6419" spans="1:26" ht="12.75" customHeight="1" x14ac:dyDescent="0.2">
      <c r="A6419" s="258"/>
      <c r="Z6419" s="258"/>
    </row>
    <row r="6420" spans="1:26" ht="12.75" customHeight="1" x14ac:dyDescent="0.2">
      <c r="A6420" s="258"/>
      <c r="Z6420" s="258"/>
    </row>
    <row r="6421" spans="1:26" ht="12.75" customHeight="1" x14ac:dyDescent="0.2">
      <c r="A6421" s="258"/>
      <c r="Z6421" s="258"/>
    </row>
    <row r="6422" spans="1:26" ht="12.75" customHeight="1" x14ac:dyDescent="0.2">
      <c r="A6422" s="258"/>
      <c r="Z6422" s="258"/>
    </row>
    <row r="6423" spans="1:26" ht="12.75" customHeight="1" x14ac:dyDescent="0.2">
      <c r="A6423" s="258"/>
      <c r="Z6423" s="258"/>
    </row>
    <row r="6424" spans="1:26" ht="12.75" customHeight="1" x14ac:dyDescent="0.2">
      <c r="A6424" s="258"/>
      <c r="Z6424" s="258"/>
    </row>
    <row r="6425" spans="1:26" ht="12.75" customHeight="1" x14ac:dyDescent="0.2">
      <c r="A6425" s="258"/>
      <c r="Z6425" s="258"/>
    </row>
    <row r="6426" spans="1:26" ht="12.75" customHeight="1" x14ac:dyDescent="0.2">
      <c r="A6426" s="258"/>
      <c r="Z6426" s="258"/>
    </row>
    <row r="6427" spans="1:26" ht="12.75" customHeight="1" x14ac:dyDescent="0.2">
      <c r="A6427" s="258"/>
      <c r="Z6427" s="258"/>
    </row>
    <row r="6428" spans="1:26" ht="12.75" customHeight="1" x14ac:dyDescent="0.2">
      <c r="A6428" s="258"/>
      <c r="Z6428" s="258"/>
    </row>
    <row r="6429" spans="1:26" ht="12.75" customHeight="1" x14ac:dyDescent="0.2">
      <c r="A6429" s="258"/>
      <c r="Z6429" s="258"/>
    </row>
    <row r="6430" spans="1:26" ht="12.75" customHeight="1" x14ac:dyDescent="0.2">
      <c r="A6430" s="258"/>
      <c r="Z6430" s="258"/>
    </row>
    <row r="6431" spans="1:26" ht="12.75" customHeight="1" x14ac:dyDescent="0.2">
      <c r="A6431" s="258"/>
      <c r="Z6431" s="258"/>
    </row>
    <row r="6432" spans="1:26" ht="12.75" customHeight="1" x14ac:dyDescent="0.2">
      <c r="A6432" s="258"/>
      <c r="Z6432" s="258"/>
    </row>
    <row r="6433" spans="1:26" ht="12.75" customHeight="1" x14ac:dyDescent="0.2">
      <c r="A6433" s="258"/>
      <c r="Z6433" s="258"/>
    </row>
    <row r="6434" spans="1:26" ht="12.75" customHeight="1" x14ac:dyDescent="0.2">
      <c r="A6434" s="258"/>
      <c r="Z6434" s="258"/>
    </row>
    <row r="6435" spans="1:26" ht="12.75" customHeight="1" x14ac:dyDescent="0.2">
      <c r="A6435" s="258"/>
      <c r="Z6435" s="258"/>
    </row>
    <row r="6436" spans="1:26" ht="12.75" customHeight="1" x14ac:dyDescent="0.2">
      <c r="A6436" s="258"/>
      <c r="Z6436" s="258"/>
    </row>
    <row r="6437" spans="1:26" ht="12.75" customHeight="1" x14ac:dyDescent="0.2">
      <c r="A6437" s="258"/>
      <c r="Z6437" s="258"/>
    </row>
    <row r="6438" spans="1:26" ht="12.75" customHeight="1" x14ac:dyDescent="0.2">
      <c r="A6438" s="258"/>
      <c r="Z6438" s="258"/>
    </row>
    <row r="6439" spans="1:26" ht="12.75" customHeight="1" x14ac:dyDescent="0.2">
      <c r="A6439" s="258"/>
      <c r="Z6439" s="258"/>
    </row>
    <row r="6440" spans="1:26" ht="12.75" customHeight="1" x14ac:dyDescent="0.2">
      <c r="A6440" s="258"/>
      <c r="Z6440" s="258"/>
    </row>
    <row r="6441" spans="1:26" ht="12.75" customHeight="1" x14ac:dyDescent="0.2">
      <c r="A6441" s="258"/>
      <c r="Z6441" s="258"/>
    </row>
    <row r="6442" spans="1:26" ht="12.75" customHeight="1" x14ac:dyDescent="0.2">
      <c r="A6442" s="258"/>
      <c r="Z6442" s="258"/>
    </row>
    <row r="6443" spans="1:26" ht="12.75" customHeight="1" x14ac:dyDescent="0.2">
      <c r="A6443" s="258"/>
      <c r="Z6443" s="258"/>
    </row>
    <row r="6444" spans="1:26" ht="12.75" customHeight="1" x14ac:dyDescent="0.2">
      <c r="A6444" s="258"/>
      <c r="Z6444" s="258"/>
    </row>
    <row r="6445" spans="1:26" ht="12.75" customHeight="1" x14ac:dyDescent="0.2">
      <c r="A6445" s="258"/>
      <c r="Z6445" s="258"/>
    </row>
    <row r="6446" spans="1:26" ht="12.75" customHeight="1" x14ac:dyDescent="0.2">
      <c r="A6446" s="258"/>
      <c r="Z6446" s="258"/>
    </row>
    <row r="6447" spans="1:26" ht="12.75" customHeight="1" x14ac:dyDescent="0.2">
      <c r="A6447" s="258"/>
      <c r="Z6447" s="258"/>
    </row>
    <row r="6448" spans="1:26" ht="12.75" customHeight="1" x14ac:dyDescent="0.2">
      <c r="A6448" s="258"/>
      <c r="Z6448" s="258"/>
    </row>
    <row r="6449" spans="1:26" ht="12.75" customHeight="1" x14ac:dyDescent="0.2">
      <c r="A6449" s="258"/>
      <c r="Z6449" s="258"/>
    </row>
    <row r="6450" spans="1:26" ht="12.75" customHeight="1" x14ac:dyDescent="0.2">
      <c r="A6450" s="258"/>
      <c r="Z6450" s="258"/>
    </row>
    <row r="6451" spans="1:26" ht="12.75" customHeight="1" x14ac:dyDescent="0.2">
      <c r="A6451" s="258"/>
      <c r="Z6451" s="258"/>
    </row>
    <row r="6452" spans="1:26" ht="12.75" customHeight="1" x14ac:dyDescent="0.2">
      <c r="A6452" s="258"/>
      <c r="Z6452" s="258"/>
    </row>
    <row r="6453" spans="1:26" ht="12.75" customHeight="1" x14ac:dyDescent="0.2">
      <c r="A6453" s="258"/>
      <c r="Z6453" s="258"/>
    </row>
    <row r="6454" spans="1:26" ht="12.75" customHeight="1" x14ac:dyDescent="0.2">
      <c r="A6454" s="258"/>
      <c r="Z6454" s="258"/>
    </row>
    <row r="6455" spans="1:26" ht="12.75" customHeight="1" x14ac:dyDescent="0.2">
      <c r="A6455" s="258"/>
      <c r="Z6455" s="258"/>
    </row>
    <row r="6456" spans="1:26" ht="12.75" customHeight="1" x14ac:dyDescent="0.2">
      <c r="A6456" s="258"/>
      <c r="Z6456" s="258"/>
    </row>
    <row r="6457" spans="1:26" ht="12.75" customHeight="1" x14ac:dyDescent="0.2">
      <c r="A6457" s="258"/>
      <c r="Z6457" s="258"/>
    </row>
    <row r="6458" spans="1:26" ht="12.75" customHeight="1" x14ac:dyDescent="0.2">
      <c r="A6458" s="258"/>
      <c r="Z6458" s="258"/>
    </row>
    <row r="6459" spans="1:26" ht="12.75" customHeight="1" x14ac:dyDescent="0.2">
      <c r="A6459" s="258"/>
      <c r="Z6459" s="258"/>
    </row>
    <row r="6460" spans="1:26" ht="12.75" customHeight="1" x14ac:dyDescent="0.2">
      <c r="A6460" s="258"/>
      <c r="Z6460" s="258"/>
    </row>
    <row r="6461" spans="1:26" ht="12.75" customHeight="1" x14ac:dyDescent="0.2">
      <c r="A6461" s="258"/>
      <c r="Z6461" s="258"/>
    </row>
    <row r="6462" spans="1:26" ht="12.75" customHeight="1" x14ac:dyDescent="0.2">
      <c r="A6462" s="258"/>
      <c r="Z6462" s="258"/>
    </row>
    <row r="6463" spans="1:26" ht="12.75" customHeight="1" x14ac:dyDescent="0.2">
      <c r="A6463" s="258"/>
      <c r="Z6463" s="258"/>
    </row>
    <row r="6464" spans="1:26" ht="12.75" customHeight="1" x14ac:dyDescent="0.2">
      <c r="A6464" s="258"/>
      <c r="Z6464" s="258"/>
    </row>
    <row r="6465" spans="1:26" ht="12.75" customHeight="1" x14ac:dyDescent="0.2">
      <c r="A6465" s="258"/>
      <c r="Z6465" s="258"/>
    </row>
    <row r="6466" spans="1:26" ht="12.75" customHeight="1" x14ac:dyDescent="0.2">
      <c r="A6466" s="258"/>
      <c r="Z6466" s="258"/>
    </row>
    <row r="6467" spans="1:26" ht="12.75" customHeight="1" x14ac:dyDescent="0.2">
      <c r="A6467" s="258"/>
      <c r="Z6467" s="258"/>
    </row>
    <row r="6468" spans="1:26" ht="12.75" customHeight="1" x14ac:dyDescent="0.2">
      <c r="A6468" s="258"/>
      <c r="Z6468" s="258"/>
    </row>
    <row r="6469" spans="1:26" ht="12.75" customHeight="1" x14ac:dyDescent="0.2">
      <c r="A6469" s="258"/>
      <c r="Z6469" s="258"/>
    </row>
    <row r="6470" spans="1:26" ht="12.75" customHeight="1" x14ac:dyDescent="0.2">
      <c r="A6470" s="258"/>
      <c r="Z6470" s="258"/>
    </row>
    <row r="6471" spans="1:26" ht="12.75" customHeight="1" x14ac:dyDescent="0.2">
      <c r="A6471" s="258"/>
      <c r="Z6471" s="258"/>
    </row>
    <row r="6472" spans="1:26" ht="12.75" customHeight="1" x14ac:dyDescent="0.2">
      <c r="A6472" s="258"/>
      <c r="Z6472" s="258"/>
    </row>
    <row r="6473" spans="1:26" ht="12.75" customHeight="1" x14ac:dyDescent="0.2">
      <c r="A6473" s="258"/>
      <c r="Z6473" s="258"/>
    </row>
    <row r="6474" spans="1:26" ht="12.75" customHeight="1" x14ac:dyDescent="0.2">
      <c r="A6474" s="258"/>
      <c r="Z6474" s="258"/>
    </row>
    <row r="6475" spans="1:26" ht="12.75" customHeight="1" x14ac:dyDescent="0.2">
      <c r="A6475" s="258"/>
      <c r="Z6475" s="258"/>
    </row>
    <row r="6476" spans="1:26" ht="12.75" customHeight="1" x14ac:dyDescent="0.2">
      <c r="A6476" s="258"/>
      <c r="Z6476" s="258"/>
    </row>
    <row r="6477" spans="1:26" ht="12.75" customHeight="1" x14ac:dyDescent="0.2">
      <c r="A6477" s="258"/>
      <c r="Z6477" s="258"/>
    </row>
    <row r="6478" spans="1:26" ht="12.75" customHeight="1" x14ac:dyDescent="0.2">
      <c r="A6478" s="258"/>
      <c r="Z6478" s="258"/>
    </row>
    <row r="6479" spans="1:26" ht="12.75" customHeight="1" x14ac:dyDescent="0.2">
      <c r="A6479" s="258"/>
      <c r="Z6479" s="258"/>
    </row>
    <row r="6480" spans="1:26" ht="12.75" customHeight="1" x14ac:dyDescent="0.2">
      <c r="A6480" s="258"/>
      <c r="Z6480" s="258"/>
    </row>
    <row r="6481" spans="1:26" ht="12.75" customHeight="1" x14ac:dyDescent="0.2">
      <c r="A6481" s="258"/>
      <c r="Z6481" s="258"/>
    </row>
    <row r="6482" spans="1:26" ht="12.75" customHeight="1" x14ac:dyDescent="0.2">
      <c r="A6482" s="258"/>
      <c r="Z6482" s="258"/>
    </row>
    <row r="6483" spans="1:26" ht="12.75" customHeight="1" x14ac:dyDescent="0.2">
      <c r="A6483" s="258"/>
      <c r="Z6483" s="258"/>
    </row>
    <row r="6484" spans="1:26" ht="12.75" customHeight="1" x14ac:dyDescent="0.2">
      <c r="A6484" s="258"/>
      <c r="Z6484" s="258"/>
    </row>
    <row r="6485" spans="1:26" ht="12.75" customHeight="1" x14ac:dyDescent="0.2">
      <c r="A6485" s="258"/>
      <c r="Z6485" s="258"/>
    </row>
    <row r="6486" spans="1:26" ht="12.75" customHeight="1" x14ac:dyDescent="0.2">
      <c r="A6486" s="258"/>
      <c r="Z6486" s="258"/>
    </row>
    <row r="6487" spans="1:26" ht="12.75" customHeight="1" x14ac:dyDescent="0.2">
      <c r="A6487" s="258"/>
      <c r="Z6487" s="258"/>
    </row>
    <row r="6488" spans="1:26" ht="12.75" customHeight="1" x14ac:dyDescent="0.2">
      <c r="A6488" s="258"/>
      <c r="Z6488" s="258"/>
    </row>
    <row r="6489" spans="1:26" ht="12.75" customHeight="1" x14ac:dyDescent="0.2">
      <c r="A6489" s="258"/>
      <c r="Z6489" s="258"/>
    </row>
    <row r="6490" spans="1:26" ht="12.75" customHeight="1" x14ac:dyDescent="0.2">
      <c r="A6490" s="258"/>
      <c r="Z6490" s="258"/>
    </row>
    <row r="6491" spans="1:26" ht="12.75" customHeight="1" x14ac:dyDescent="0.2">
      <c r="A6491" s="258"/>
      <c r="Z6491" s="258"/>
    </row>
    <row r="6492" spans="1:26" ht="12.75" customHeight="1" x14ac:dyDescent="0.2">
      <c r="A6492" s="258"/>
      <c r="Z6492" s="258"/>
    </row>
    <row r="6493" spans="1:26" ht="12.75" customHeight="1" x14ac:dyDescent="0.2">
      <c r="A6493" s="258"/>
      <c r="Z6493" s="258"/>
    </row>
    <row r="6494" spans="1:26" ht="12.75" customHeight="1" x14ac:dyDescent="0.2">
      <c r="A6494" s="258"/>
      <c r="Z6494" s="258"/>
    </row>
    <row r="6495" spans="1:26" ht="12.75" customHeight="1" x14ac:dyDescent="0.2">
      <c r="A6495" s="258"/>
      <c r="Z6495" s="258"/>
    </row>
    <row r="6496" spans="1:26" ht="12.75" customHeight="1" x14ac:dyDescent="0.2">
      <c r="A6496" s="258"/>
      <c r="Z6496" s="258"/>
    </row>
    <row r="6497" spans="1:26" ht="12.75" customHeight="1" x14ac:dyDescent="0.2">
      <c r="A6497" s="258"/>
      <c r="Z6497" s="258"/>
    </row>
    <row r="6498" spans="1:26" ht="12.75" customHeight="1" x14ac:dyDescent="0.2">
      <c r="A6498" s="258"/>
      <c r="Z6498" s="258"/>
    </row>
    <row r="6499" spans="1:26" ht="12.75" customHeight="1" x14ac:dyDescent="0.2">
      <c r="A6499" s="258"/>
      <c r="Z6499" s="258"/>
    </row>
    <row r="6500" spans="1:26" ht="12.75" customHeight="1" x14ac:dyDescent="0.2">
      <c r="A6500" s="258"/>
      <c r="Z6500" s="258"/>
    </row>
    <row r="6501" spans="1:26" ht="12.75" customHeight="1" x14ac:dyDescent="0.2">
      <c r="A6501" s="258"/>
      <c r="Z6501" s="258"/>
    </row>
    <row r="6502" spans="1:26" ht="12.75" customHeight="1" x14ac:dyDescent="0.2">
      <c r="A6502" s="258"/>
      <c r="Z6502" s="258"/>
    </row>
    <row r="6503" spans="1:26" ht="12.75" customHeight="1" x14ac:dyDescent="0.2">
      <c r="A6503" s="258"/>
      <c r="Z6503" s="258"/>
    </row>
    <row r="6504" spans="1:26" ht="12.75" customHeight="1" x14ac:dyDescent="0.2">
      <c r="A6504" s="258"/>
      <c r="Z6504" s="258"/>
    </row>
    <row r="6505" spans="1:26" ht="12.75" customHeight="1" x14ac:dyDescent="0.2">
      <c r="A6505" s="258"/>
      <c r="Z6505" s="258"/>
    </row>
    <row r="6506" spans="1:26" ht="12.75" customHeight="1" x14ac:dyDescent="0.2">
      <c r="A6506" s="258"/>
      <c r="Z6506" s="258"/>
    </row>
    <row r="6507" spans="1:26" ht="12.75" customHeight="1" x14ac:dyDescent="0.2">
      <c r="A6507" s="258"/>
      <c r="Z6507" s="258"/>
    </row>
    <row r="6508" spans="1:26" ht="12.75" customHeight="1" x14ac:dyDescent="0.2">
      <c r="A6508" s="258"/>
      <c r="Z6508" s="258"/>
    </row>
    <row r="6509" spans="1:26" ht="12.75" customHeight="1" x14ac:dyDescent="0.2">
      <c r="A6509" s="258"/>
      <c r="Z6509" s="258"/>
    </row>
    <row r="6510" spans="1:26" ht="12.75" customHeight="1" x14ac:dyDescent="0.2">
      <c r="A6510" s="258"/>
      <c r="Z6510" s="258"/>
    </row>
    <row r="6511" spans="1:26" ht="12.75" customHeight="1" x14ac:dyDescent="0.2">
      <c r="A6511" s="258"/>
      <c r="Z6511" s="258"/>
    </row>
    <row r="6512" spans="1:26" ht="12.75" customHeight="1" x14ac:dyDescent="0.2">
      <c r="A6512" s="258"/>
      <c r="Z6512" s="258"/>
    </row>
    <row r="6513" spans="1:26" ht="12.75" customHeight="1" x14ac:dyDescent="0.2">
      <c r="A6513" s="258"/>
      <c r="Z6513" s="258"/>
    </row>
    <row r="6514" spans="1:26" ht="12.75" customHeight="1" x14ac:dyDescent="0.2">
      <c r="A6514" s="258"/>
      <c r="Z6514" s="258"/>
    </row>
    <row r="6515" spans="1:26" ht="12.75" customHeight="1" x14ac:dyDescent="0.2">
      <c r="A6515" s="258"/>
      <c r="Z6515" s="258"/>
    </row>
    <row r="6516" spans="1:26" ht="12.75" customHeight="1" x14ac:dyDescent="0.2">
      <c r="A6516" s="258"/>
      <c r="Z6516" s="258"/>
    </row>
    <row r="6517" spans="1:26" ht="12.75" customHeight="1" x14ac:dyDescent="0.2">
      <c r="A6517" s="258"/>
      <c r="Z6517" s="258"/>
    </row>
    <row r="6518" spans="1:26" ht="12.75" customHeight="1" x14ac:dyDescent="0.2">
      <c r="A6518" s="258"/>
      <c r="Z6518" s="258"/>
    </row>
    <row r="6519" spans="1:26" ht="12.75" customHeight="1" x14ac:dyDescent="0.2">
      <c r="A6519" s="258"/>
      <c r="Z6519" s="258"/>
    </row>
    <row r="6520" spans="1:26" ht="12.75" customHeight="1" x14ac:dyDescent="0.2">
      <c r="A6520" s="258"/>
      <c r="Z6520" s="258"/>
    </row>
    <row r="6521" spans="1:26" ht="12.75" customHeight="1" x14ac:dyDescent="0.2">
      <c r="A6521" s="258"/>
      <c r="Z6521" s="258"/>
    </row>
    <row r="6522" spans="1:26" ht="12.75" customHeight="1" x14ac:dyDescent="0.2">
      <c r="A6522" s="258"/>
      <c r="Z6522" s="258"/>
    </row>
    <row r="6523" spans="1:26" ht="12.75" customHeight="1" x14ac:dyDescent="0.2">
      <c r="A6523" s="258"/>
      <c r="Z6523" s="258"/>
    </row>
    <row r="6524" spans="1:26" ht="12.75" customHeight="1" x14ac:dyDescent="0.2">
      <c r="A6524" s="258"/>
      <c r="Z6524" s="258"/>
    </row>
    <row r="6525" spans="1:26" ht="12.75" customHeight="1" x14ac:dyDescent="0.2">
      <c r="A6525" s="258"/>
      <c r="Z6525" s="258"/>
    </row>
    <row r="6526" spans="1:26" ht="12.75" customHeight="1" x14ac:dyDescent="0.2">
      <c r="A6526" s="258"/>
      <c r="Z6526" s="258"/>
    </row>
    <row r="6527" spans="1:26" ht="12.75" customHeight="1" x14ac:dyDescent="0.2">
      <c r="A6527" s="258"/>
      <c r="Z6527" s="258"/>
    </row>
    <row r="6528" spans="1:26" ht="12.75" customHeight="1" x14ac:dyDescent="0.2">
      <c r="A6528" s="258"/>
      <c r="Z6528" s="258"/>
    </row>
    <row r="6529" spans="1:26" ht="12.75" customHeight="1" x14ac:dyDescent="0.2">
      <c r="A6529" s="258"/>
      <c r="Z6529" s="258"/>
    </row>
    <row r="6530" spans="1:26" ht="12.75" customHeight="1" x14ac:dyDescent="0.2">
      <c r="A6530" s="258"/>
      <c r="Z6530" s="258"/>
    </row>
    <row r="6531" spans="1:26" ht="12.75" customHeight="1" x14ac:dyDescent="0.2">
      <c r="A6531" s="258"/>
      <c r="Z6531" s="258"/>
    </row>
    <row r="6532" spans="1:26" ht="12.75" customHeight="1" x14ac:dyDescent="0.2">
      <c r="A6532" s="258"/>
      <c r="Z6532" s="258"/>
    </row>
    <row r="6533" spans="1:26" ht="12.75" customHeight="1" x14ac:dyDescent="0.2">
      <c r="A6533" s="258"/>
      <c r="Z6533" s="258"/>
    </row>
    <row r="6534" spans="1:26" ht="12.75" customHeight="1" x14ac:dyDescent="0.2">
      <c r="A6534" s="258"/>
      <c r="Z6534" s="258"/>
    </row>
    <row r="6535" spans="1:26" ht="12.75" customHeight="1" x14ac:dyDescent="0.2">
      <c r="A6535" s="258"/>
      <c r="Z6535" s="258"/>
    </row>
    <row r="6536" spans="1:26" ht="12.75" customHeight="1" x14ac:dyDescent="0.2">
      <c r="A6536" s="258"/>
      <c r="Z6536" s="258"/>
    </row>
    <row r="6537" spans="1:26" ht="12.75" customHeight="1" x14ac:dyDescent="0.2">
      <c r="A6537" s="258"/>
      <c r="Z6537" s="258"/>
    </row>
    <row r="6538" spans="1:26" ht="12.75" customHeight="1" x14ac:dyDescent="0.2">
      <c r="A6538" s="258"/>
      <c r="Z6538" s="258"/>
    </row>
    <row r="6539" spans="1:26" ht="12.75" customHeight="1" x14ac:dyDescent="0.2">
      <c r="A6539" s="258"/>
      <c r="Z6539" s="258"/>
    </row>
    <row r="6540" spans="1:26" ht="12.75" customHeight="1" x14ac:dyDescent="0.2">
      <c r="A6540" s="258"/>
      <c r="Z6540" s="258"/>
    </row>
    <row r="6541" spans="1:26" ht="12.75" customHeight="1" x14ac:dyDescent="0.2">
      <c r="A6541" s="258"/>
      <c r="Z6541" s="258"/>
    </row>
    <row r="6542" spans="1:26" ht="12.75" customHeight="1" x14ac:dyDescent="0.2">
      <c r="A6542" s="258"/>
      <c r="Z6542" s="258"/>
    </row>
    <row r="6543" spans="1:26" ht="12.75" customHeight="1" x14ac:dyDescent="0.2">
      <c r="A6543" s="258"/>
      <c r="Z6543" s="258"/>
    </row>
    <row r="6544" spans="1:26" ht="12.75" customHeight="1" x14ac:dyDescent="0.2">
      <c r="A6544" s="258"/>
      <c r="Z6544" s="258"/>
    </row>
    <row r="6545" spans="1:26" ht="12.75" customHeight="1" x14ac:dyDescent="0.2">
      <c r="A6545" s="258"/>
      <c r="Z6545" s="258"/>
    </row>
    <row r="6546" spans="1:26" ht="12.75" customHeight="1" x14ac:dyDescent="0.2">
      <c r="A6546" s="258"/>
      <c r="Z6546" s="258"/>
    </row>
    <row r="6547" spans="1:26" ht="12.75" customHeight="1" x14ac:dyDescent="0.2">
      <c r="A6547" s="258"/>
      <c r="Z6547" s="258"/>
    </row>
    <row r="6548" spans="1:26" ht="12.75" customHeight="1" x14ac:dyDescent="0.2">
      <c r="A6548" s="258"/>
      <c r="Z6548" s="258"/>
    </row>
    <row r="6549" spans="1:26" ht="12.75" customHeight="1" x14ac:dyDescent="0.2">
      <c r="A6549" s="258"/>
      <c r="Z6549" s="258"/>
    </row>
    <row r="6550" spans="1:26" ht="12.75" customHeight="1" x14ac:dyDescent="0.2">
      <c r="A6550" s="258"/>
      <c r="Z6550" s="258"/>
    </row>
    <row r="6551" spans="1:26" ht="12.75" customHeight="1" x14ac:dyDescent="0.2">
      <c r="A6551" s="258"/>
      <c r="Z6551" s="258"/>
    </row>
    <row r="6552" spans="1:26" ht="12.75" customHeight="1" x14ac:dyDescent="0.2">
      <c r="A6552" s="258"/>
      <c r="Z6552" s="258"/>
    </row>
    <row r="6553" spans="1:26" ht="12.75" customHeight="1" x14ac:dyDescent="0.2">
      <c r="A6553" s="258"/>
      <c r="Z6553" s="258"/>
    </row>
    <row r="6554" spans="1:26" ht="12.75" customHeight="1" x14ac:dyDescent="0.2">
      <c r="A6554" s="258"/>
      <c r="Z6554" s="258"/>
    </row>
    <row r="6555" spans="1:26" ht="12.75" customHeight="1" x14ac:dyDescent="0.2">
      <c r="A6555" s="258"/>
      <c r="Z6555" s="258"/>
    </row>
    <row r="6556" spans="1:26" ht="12.75" customHeight="1" x14ac:dyDescent="0.2">
      <c r="A6556" s="258"/>
      <c r="Z6556" s="258"/>
    </row>
    <row r="6557" spans="1:26" ht="12.75" customHeight="1" x14ac:dyDescent="0.2">
      <c r="A6557" s="258"/>
      <c r="Z6557" s="258"/>
    </row>
    <row r="6558" spans="1:26" ht="12.75" customHeight="1" x14ac:dyDescent="0.2">
      <c r="A6558" s="258"/>
      <c r="Z6558" s="258"/>
    </row>
    <row r="6559" spans="1:26" ht="12.75" customHeight="1" x14ac:dyDescent="0.2">
      <c r="A6559" s="258"/>
      <c r="Z6559" s="258"/>
    </row>
    <row r="6560" spans="1:26" ht="12.75" customHeight="1" x14ac:dyDescent="0.2">
      <c r="A6560" s="258"/>
      <c r="Z6560" s="258"/>
    </row>
    <row r="6561" spans="1:26" ht="12.75" customHeight="1" x14ac:dyDescent="0.2">
      <c r="A6561" s="258"/>
      <c r="Z6561" s="258"/>
    </row>
    <row r="6562" spans="1:26" ht="12.75" customHeight="1" x14ac:dyDescent="0.2">
      <c r="A6562" s="258"/>
      <c r="Z6562" s="258"/>
    </row>
    <row r="6563" spans="1:26" ht="12.75" customHeight="1" x14ac:dyDescent="0.2">
      <c r="A6563" s="258"/>
      <c r="Z6563" s="258"/>
    </row>
    <row r="6564" spans="1:26" ht="12.75" customHeight="1" x14ac:dyDescent="0.2">
      <c r="A6564" s="258"/>
      <c r="Z6564" s="258"/>
    </row>
    <row r="6565" spans="1:26" ht="12.75" customHeight="1" x14ac:dyDescent="0.2">
      <c r="A6565" s="258"/>
      <c r="Z6565" s="258"/>
    </row>
    <row r="6566" spans="1:26" ht="12.75" customHeight="1" x14ac:dyDescent="0.2">
      <c r="A6566" s="258"/>
      <c r="Z6566" s="258"/>
    </row>
    <row r="6567" spans="1:26" ht="12.75" customHeight="1" x14ac:dyDescent="0.2">
      <c r="A6567" s="258"/>
      <c r="Z6567" s="258"/>
    </row>
    <row r="6568" spans="1:26" ht="12.75" customHeight="1" x14ac:dyDescent="0.2">
      <c r="A6568" s="258"/>
      <c r="Z6568" s="258"/>
    </row>
    <row r="6569" spans="1:26" ht="12.75" customHeight="1" x14ac:dyDescent="0.2">
      <c r="A6569" s="258"/>
      <c r="Z6569" s="258"/>
    </row>
    <row r="6570" spans="1:26" ht="12.75" customHeight="1" x14ac:dyDescent="0.2">
      <c r="A6570" s="258"/>
      <c r="Z6570" s="258"/>
    </row>
    <row r="6571" spans="1:26" ht="12.75" customHeight="1" x14ac:dyDescent="0.2">
      <c r="A6571" s="258"/>
      <c r="Z6571" s="258"/>
    </row>
    <row r="6572" spans="1:26" ht="12.75" customHeight="1" x14ac:dyDescent="0.2">
      <c r="A6572" s="258"/>
      <c r="Z6572" s="258"/>
    </row>
    <row r="6573" spans="1:26" ht="12.75" customHeight="1" x14ac:dyDescent="0.2">
      <c r="A6573" s="258"/>
      <c r="Z6573" s="258"/>
    </row>
    <row r="6574" spans="1:26" ht="12.75" customHeight="1" x14ac:dyDescent="0.2">
      <c r="A6574" s="258"/>
      <c r="Z6574" s="258"/>
    </row>
    <row r="6575" spans="1:26" ht="12.75" customHeight="1" x14ac:dyDescent="0.2">
      <c r="A6575" s="258"/>
      <c r="Z6575" s="258"/>
    </row>
    <row r="6576" spans="1:26" ht="12.75" customHeight="1" x14ac:dyDescent="0.2">
      <c r="A6576" s="258"/>
      <c r="Z6576" s="258"/>
    </row>
    <row r="6577" spans="1:26" ht="12.75" customHeight="1" x14ac:dyDescent="0.2">
      <c r="A6577" s="258"/>
      <c r="Z6577" s="258"/>
    </row>
    <row r="6578" spans="1:26" ht="12.75" customHeight="1" x14ac:dyDescent="0.2">
      <c r="A6578" s="258"/>
      <c r="Z6578" s="258"/>
    </row>
    <row r="6579" spans="1:26" ht="12.75" customHeight="1" x14ac:dyDescent="0.2">
      <c r="A6579" s="258"/>
      <c r="Z6579" s="258"/>
    </row>
    <row r="6580" spans="1:26" ht="12.75" customHeight="1" x14ac:dyDescent="0.2">
      <c r="A6580" s="258"/>
      <c r="Z6580" s="258"/>
    </row>
    <row r="6581" spans="1:26" ht="12.75" customHeight="1" x14ac:dyDescent="0.2">
      <c r="A6581" s="258"/>
      <c r="Z6581" s="258"/>
    </row>
    <row r="6582" spans="1:26" ht="12.75" customHeight="1" x14ac:dyDescent="0.2">
      <c r="A6582" s="258"/>
      <c r="Z6582" s="258"/>
    </row>
    <row r="6583" spans="1:26" ht="12.75" customHeight="1" x14ac:dyDescent="0.2">
      <c r="A6583" s="258"/>
      <c r="Z6583" s="258"/>
    </row>
    <row r="6584" spans="1:26" ht="12.75" customHeight="1" x14ac:dyDescent="0.2">
      <c r="A6584" s="258"/>
      <c r="Z6584" s="258"/>
    </row>
    <row r="6585" spans="1:26" ht="12.75" customHeight="1" x14ac:dyDescent="0.2">
      <c r="A6585" s="258"/>
      <c r="Z6585" s="258"/>
    </row>
    <row r="6586" spans="1:26" ht="12.75" customHeight="1" x14ac:dyDescent="0.2">
      <c r="A6586" s="258"/>
      <c r="Z6586" s="258"/>
    </row>
    <row r="6587" spans="1:26" ht="12.75" customHeight="1" x14ac:dyDescent="0.2">
      <c r="A6587" s="258"/>
      <c r="Z6587" s="258"/>
    </row>
    <row r="6588" spans="1:26" ht="12.75" customHeight="1" x14ac:dyDescent="0.2">
      <c r="A6588" s="258"/>
      <c r="Z6588" s="258"/>
    </row>
    <row r="6589" spans="1:26" ht="12.75" customHeight="1" x14ac:dyDescent="0.2">
      <c r="A6589" s="258"/>
      <c r="Z6589" s="258"/>
    </row>
    <row r="6590" spans="1:26" ht="12.75" customHeight="1" x14ac:dyDescent="0.2">
      <c r="A6590" s="258"/>
      <c r="Z6590" s="258"/>
    </row>
    <row r="6591" spans="1:26" ht="12.75" customHeight="1" x14ac:dyDescent="0.2">
      <c r="A6591" s="258"/>
      <c r="Z6591" s="258"/>
    </row>
    <row r="6592" spans="1:26" ht="12.75" customHeight="1" x14ac:dyDescent="0.2">
      <c r="A6592" s="258"/>
      <c r="Z6592" s="258"/>
    </row>
    <row r="6593" spans="1:26" ht="12.75" customHeight="1" x14ac:dyDescent="0.2">
      <c r="A6593" s="258"/>
      <c r="Z6593" s="258"/>
    </row>
    <row r="6594" spans="1:26" ht="12.75" customHeight="1" x14ac:dyDescent="0.2">
      <c r="A6594" s="258"/>
      <c r="Z6594" s="258"/>
    </row>
    <row r="6595" spans="1:26" ht="12.75" customHeight="1" x14ac:dyDescent="0.2">
      <c r="A6595" s="258"/>
      <c r="Z6595" s="258"/>
    </row>
    <row r="6596" spans="1:26" ht="12.75" customHeight="1" x14ac:dyDescent="0.2">
      <c r="A6596" s="258"/>
      <c r="Z6596" s="258"/>
    </row>
    <row r="6597" spans="1:26" ht="12.75" customHeight="1" x14ac:dyDescent="0.2">
      <c r="A6597" s="258"/>
      <c r="Z6597" s="258"/>
    </row>
    <row r="6598" spans="1:26" ht="12.75" customHeight="1" x14ac:dyDescent="0.2">
      <c r="A6598" s="258"/>
      <c r="Z6598" s="258"/>
    </row>
    <row r="6599" spans="1:26" ht="12.75" customHeight="1" x14ac:dyDescent="0.2">
      <c r="A6599" s="258"/>
      <c r="Z6599" s="258"/>
    </row>
    <row r="6600" spans="1:26" ht="12.75" customHeight="1" x14ac:dyDescent="0.2">
      <c r="A6600" s="258"/>
      <c r="Z6600" s="258"/>
    </row>
    <row r="6601" spans="1:26" ht="12.75" customHeight="1" x14ac:dyDescent="0.2">
      <c r="A6601" s="258"/>
      <c r="Z6601" s="258"/>
    </row>
    <row r="6602" spans="1:26" ht="12.75" customHeight="1" x14ac:dyDescent="0.2">
      <c r="A6602" s="258"/>
      <c r="Z6602" s="258"/>
    </row>
    <row r="6603" spans="1:26" ht="12.75" customHeight="1" x14ac:dyDescent="0.2">
      <c r="A6603" s="258"/>
      <c r="Z6603" s="258"/>
    </row>
    <row r="6604" spans="1:26" ht="12.75" customHeight="1" x14ac:dyDescent="0.2">
      <c r="A6604" s="258"/>
      <c r="Z6604" s="258"/>
    </row>
    <row r="6605" spans="1:26" ht="12.75" customHeight="1" x14ac:dyDescent="0.2">
      <c r="A6605" s="258"/>
      <c r="Z6605" s="258"/>
    </row>
    <row r="6606" spans="1:26" ht="12.75" customHeight="1" x14ac:dyDescent="0.2">
      <c r="A6606" s="258"/>
      <c r="Z6606" s="258"/>
    </row>
    <row r="6607" spans="1:26" ht="12.75" customHeight="1" x14ac:dyDescent="0.2">
      <c r="A6607" s="258"/>
      <c r="Z6607" s="258"/>
    </row>
    <row r="6608" spans="1:26" ht="12.75" customHeight="1" x14ac:dyDescent="0.2">
      <c r="A6608" s="258"/>
      <c r="Z6608" s="258"/>
    </row>
    <row r="6609" spans="1:26" ht="12.75" customHeight="1" x14ac:dyDescent="0.2">
      <c r="A6609" s="258"/>
      <c r="Z6609" s="258"/>
    </row>
    <row r="6610" spans="1:26" ht="12.75" customHeight="1" x14ac:dyDescent="0.2">
      <c r="A6610" s="258"/>
      <c r="Z6610" s="258"/>
    </row>
    <row r="6611" spans="1:26" ht="12.75" customHeight="1" x14ac:dyDescent="0.2">
      <c r="A6611" s="258"/>
      <c r="Z6611" s="258"/>
    </row>
    <row r="6612" spans="1:26" ht="12.75" customHeight="1" x14ac:dyDescent="0.2">
      <c r="A6612" s="258"/>
      <c r="Z6612" s="258"/>
    </row>
    <row r="6613" spans="1:26" ht="12.75" customHeight="1" x14ac:dyDescent="0.2">
      <c r="A6613" s="258"/>
      <c r="Z6613" s="258"/>
    </row>
    <row r="6614" spans="1:26" ht="12.75" customHeight="1" x14ac:dyDescent="0.2">
      <c r="A6614" s="258"/>
      <c r="Z6614" s="258"/>
    </row>
    <row r="6615" spans="1:26" ht="12.75" customHeight="1" x14ac:dyDescent="0.2">
      <c r="A6615" s="258"/>
      <c r="Z6615" s="258"/>
    </row>
    <row r="6616" spans="1:26" ht="12.75" customHeight="1" x14ac:dyDescent="0.2">
      <c r="A6616" s="258"/>
      <c r="Z6616" s="258"/>
    </row>
    <row r="6617" spans="1:26" ht="12.75" customHeight="1" x14ac:dyDescent="0.2">
      <c r="A6617" s="258"/>
      <c r="Z6617" s="258"/>
    </row>
    <row r="6618" spans="1:26" ht="12.75" customHeight="1" x14ac:dyDescent="0.2">
      <c r="A6618" s="258"/>
      <c r="Z6618" s="258"/>
    </row>
    <row r="6619" spans="1:26" ht="12.75" customHeight="1" x14ac:dyDescent="0.2">
      <c r="A6619" s="258"/>
      <c r="Z6619" s="258"/>
    </row>
    <row r="6620" spans="1:26" ht="12.75" customHeight="1" x14ac:dyDescent="0.2">
      <c r="A6620" s="258"/>
      <c r="Z6620" s="258"/>
    </row>
    <row r="6621" spans="1:26" ht="12.75" customHeight="1" x14ac:dyDescent="0.2">
      <c r="A6621" s="258"/>
      <c r="Z6621" s="258"/>
    </row>
    <row r="6622" spans="1:26" ht="12.75" customHeight="1" x14ac:dyDescent="0.2">
      <c r="A6622" s="258"/>
      <c r="Z6622" s="258"/>
    </row>
    <row r="6623" spans="1:26" ht="12.75" customHeight="1" x14ac:dyDescent="0.2">
      <c r="A6623" s="258"/>
      <c r="Z6623" s="258"/>
    </row>
    <row r="6624" spans="1:26" ht="12.75" customHeight="1" x14ac:dyDescent="0.2">
      <c r="A6624" s="258"/>
      <c r="Z6624" s="258"/>
    </row>
    <row r="6625" spans="1:26" ht="12.75" customHeight="1" x14ac:dyDescent="0.2">
      <c r="A6625" s="258"/>
      <c r="Z6625" s="258"/>
    </row>
    <row r="6626" spans="1:26" ht="12.75" customHeight="1" x14ac:dyDescent="0.2">
      <c r="A6626" s="258"/>
      <c r="Z6626" s="258"/>
    </row>
    <row r="6627" spans="1:26" ht="12.75" customHeight="1" x14ac:dyDescent="0.2">
      <c r="A6627" s="258"/>
      <c r="Z6627" s="258"/>
    </row>
    <row r="6628" spans="1:26" ht="12.75" customHeight="1" x14ac:dyDescent="0.2">
      <c r="A6628" s="258"/>
      <c r="Z6628" s="258"/>
    </row>
    <row r="6629" spans="1:26" ht="12.75" customHeight="1" x14ac:dyDescent="0.2">
      <c r="A6629" s="258"/>
      <c r="Z6629" s="258"/>
    </row>
    <row r="6630" spans="1:26" ht="12.75" customHeight="1" x14ac:dyDescent="0.2">
      <c r="A6630" s="258"/>
      <c r="Z6630" s="258"/>
    </row>
    <row r="6631" spans="1:26" ht="12.75" customHeight="1" x14ac:dyDescent="0.2">
      <c r="A6631" s="258"/>
      <c r="Z6631" s="258"/>
    </row>
    <row r="6632" spans="1:26" ht="12.75" customHeight="1" x14ac:dyDescent="0.2">
      <c r="A6632" s="258"/>
      <c r="Z6632" s="258"/>
    </row>
    <row r="6633" spans="1:26" ht="12.75" customHeight="1" x14ac:dyDescent="0.2">
      <c r="A6633" s="258"/>
      <c r="Z6633" s="258"/>
    </row>
    <row r="6634" spans="1:26" ht="12.75" customHeight="1" x14ac:dyDescent="0.2">
      <c r="A6634" s="258"/>
      <c r="Z6634" s="258"/>
    </row>
    <row r="6635" spans="1:26" ht="12.75" customHeight="1" x14ac:dyDescent="0.2">
      <c r="A6635" s="258"/>
      <c r="Z6635" s="258"/>
    </row>
    <row r="6636" spans="1:26" ht="12.75" customHeight="1" x14ac:dyDescent="0.2">
      <c r="A6636" s="258"/>
      <c r="Z6636" s="258"/>
    </row>
    <row r="6637" spans="1:26" ht="12.75" customHeight="1" x14ac:dyDescent="0.2">
      <c r="A6637" s="258"/>
      <c r="Z6637" s="258"/>
    </row>
    <row r="6638" spans="1:26" ht="12.75" customHeight="1" x14ac:dyDescent="0.2">
      <c r="A6638" s="258"/>
      <c r="Z6638" s="258"/>
    </row>
    <row r="6639" spans="1:26" ht="12.75" customHeight="1" x14ac:dyDescent="0.2">
      <c r="A6639" s="258"/>
      <c r="Z6639" s="258"/>
    </row>
    <row r="6640" spans="1:26" ht="12.75" customHeight="1" x14ac:dyDescent="0.2">
      <c r="A6640" s="258"/>
      <c r="Z6640" s="258"/>
    </row>
    <row r="6641" spans="1:26" ht="12.75" customHeight="1" x14ac:dyDescent="0.2">
      <c r="A6641" s="258"/>
      <c r="Z6641" s="258"/>
    </row>
    <row r="6642" spans="1:26" ht="12.75" customHeight="1" x14ac:dyDescent="0.2">
      <c r="A6642" s="258"/>
      <c r="Z6642" s="258"/>
    </row>
    <row r="6643" spans="1:26" ht="12.75" customHeight="1" x14ac:dyDescent="0.2">
      <c r="A6643" s="258"/>
      <c r="Z6643" s="258"/>
    </row>
    <row r="6644" spans="1:26" ht="12.75" customHeight="1" x14ac:dyDescent="0.2">
      <c r="A6644" s="258"/>
      <c r="Z6644" s="258"/>
    </row>
    <row r="6645" spans="1:26" ht="12.75" customHeight="1" x14ac:dyDescent="0.2">
      <c r="A6645" s="258"/>
      <c r="Z6645" s="258"/>
    </row>
    <row r="6646" spans="1:26" ht="12.75" customHeight="1" x14ac:dyDescent="0.2">
      <c r="A6646" s="258"/>
      <c r="Z6646" s="258"/>
    </row>
    <row r="6647" spans="1:26" ht="12.75" customHeight="1" x14ac:dyDescent="0.2">
      <c r="A6647" s="258"/>
      <c r="Z6647" s="258"/>
    </row>
    <row r="6648" spans="1:26" ht="12.75" customHeight="1" x14ac:dyDescent="0.2">
      <c r="A6648" s="258"/>
      <c r="Z6648" s="258"/>
    </row>
    <row r="6649" spans="1:26" ht="12.75" customHeight="1" x14ac:dyDescent="0.2">
      <c r="A6649" s="258"/>
      <c r="Z6649" s="258"/>
    </row>
    <row r="6650" spans="1:26" ht="12.75" customHeight="1" x14ac:dyDescent="0.2">
      <c r="A6650" s="258"/>
      <c r="Z6650" s="258"/>
    </row>
    <row r="6651" spans="1:26" ht="12.75" customHeight="1" x14ac:dyDescent="0.2">
      <c r="A6651" s="258"/>
      <c r="Z6651" s="258"/>
    </row>
    <row r="6652" spans="1:26" ht="12.75" customHeight="1" x14ac:dyDescent="0.2">
      <c r="A6652" s="258"/>
      <c r="Z6652" s="258"/>
    </row>
    <row r="6653" spans="1:26" ht="12.75" customHeight="1" x14ac:dyDescent="0.2">
      <c r="A6653" s="258"/>
      <c r="Z6653" s="258"/>
    </row>
    <row r="6654" spans="1:26" ht="12.75" customHeight="1" x14ac:dyDescent="0.2">
      <c r="A6654" s="258"/>
      <c r="Z6654" s="258"/>
    </row>
    <row r="6655" spans="1:26" ht="12.75" customHeight="1" x14ac:dyDescent="0.2">
      <c r="A6655" s="258"/>
      <c r="Z6655" s="258"/>
    </row>
    <row r="6656" spans="1:26" ht="12.75" customHeight="1" x14ac:dyDescent="0.2">
      <c r="A6656" s="258"/>
      <c r="Z6656" s="258"/>
    </row>
    <row r="6657" spans="1:26" ht="12.75" customHeight="1" x14ac:dyDescent="0.2">
      <c r="A6657" s="258"/>
      <c r="Z6657" s="258"/>
    </row>
    <row r="6658" spans="1:26" ht="12.75" customHeight="1" x14ac:dyDescent="0.2">
      <c r="A6658" s="258"/>
      <c r="Z6658" s="258"/>
    </row>
    <row r="6659" spans="1:26" ht="12.75" customHeight="1" x14ac:dyDescent="0.2">
      <c r="A6659" s="258"/>
      <c r="Z6659" s="258"/>
    </row>
    <row r="6660" spans="1:26" ht="12.75" customHeight="1" x14ac:dyDescent="0.2">
      <c r="A6660" s="258"/>
      <c r="Z6660" s="258"/>
    </row>
    <row r="6661" spans="1:26" ht="12.75" customHeight="1" x14ac:dyDescent="0.2">
      <c r="A6661" s="258"/>
      <c r="Z6661" s="258"/>
    </row>
    <row r="6662" spans="1:26" ht="12.75" customHeight="1" x14ac:dyDescent="0.2">
      <c r="A6662" s="258"/>
      <c r="Z6662" s="258"/>
    </row>
    <row r="6663" spans="1:26" ht="12.75" customHeight="1" x14ac:dyDescent="0.2">
      <c r="A6663" s="258"/>
      <c r="Z6663" s="258"/>
    </row>
    <row r="6664" spans="1:26" ht="12.75" customHeight="1" x14ac:dyDescent="0.2">
      <c r="A6664" s="258"/>
      <c r="Z6664" s="258"/>
    </row>
    <row r="6665" spans="1:26" ht="12.75" customHeight="1" x14ac:dyDescent="0.2">
      <c r="A6665" s="258"/>
      <c r="Z6665" s="258"/>
    </row>
    <row r="6666" spans="1:26" ht="12.75" customHeight="1" x14ac:dyDescent="0.2">
      <c r="A6666" s="258"/>
      <c r="Z6666" s="258"/>
    </row>
    <row r="6667" spans="1:26" ht="12.75" customHeight="1" x14ac:dyDescent="0.2">
      <c r="A6667" s="258"/>
      <c r="Z6667" s="258"/>
    </row>
    <row r="6668" spans="1:26" ht="12.75" customHeight="1" x14ac:dyDescent="0.2">
      <c r="A6668" s="258"/>
      <c r="Z6668" s="258"/>
    </row>
    <row r="6669" spans="1:26" ht="12.75" customHeight="1" x14ac:dyDescent="0.2">
      <c r="A6669" s="258"/>
      <c r="Z6669" s="258"/>
    </row>
    <row r="6670" spans="1:26" ht="12.75" customHeight="1" x14ac:dyDescent="0.2">
      <c r="A6670" s="258"/>
      <c r="Z6670" s="258"/>
    </row>
    <row r="6671" spans="1:26" ht="12.75" customHeight="1" x14ac:dyDescent="0.2">
      <c r="A6671" s="258"/>
      <c r="Z6671" s="258"/>
    </row>
    <row r="6672" spans="1:26" ht="12.75" customHeight="1" x14ac:dyDescent="0.2">
      <c r="A6672" s="258"/>
      <c r="Z6672" s="258"/>
    </row>
    <row r="6673" spans="1:26" ht="12.75" customHeight="1" x14ac:dyDescent="0.2">
      <c r="A6673" s="258"/>
      <c r="Z6673" s="258"/>
    </row>
    <row r="6674" spans="1:26" ht="12.75" customHeight="1" x14ac:dyDescent="0.2">
      <c r="A6674" s="258"/>
      <c r="Z6674" s="258"/>
    </row>
    <row r="6675" spans="1:26" ht="12.75" customHeight="1" x14ac:dyDescent="0.2">
      <c r="A6675" s="258"/>
      <c r="Z6675" s="258"/>
    </row>
    <row r="6676" spans="1:26" ht="12.75" customHeight="1" x14ac:dyDescent="0.2">
      <c r="A6676" s="258"/>
      <c r="Z6676" s="258"/>
    </row>
    <row r="6677" spans="1:26" ht="12.75" customHeight="1" x14ac:dyDescent="0.2">
      <c r="A6677" s="258"/>
      <c r="Z6677" s="258"/>
    </row>
    <row r="6678" spans="1:26" ht="12.75" customHeight="1" x14ac:dyDescent="0.2">
      <c r="A6678" s="258"/>
      <c r="Z6678" s="258"/>
    </row>
    <row r="6679" spans="1:26" ht="12.75" customHeight="1" x14ac:dyDescent="0.2">
      <c r="A6679" s="258"/>
      <c r="Z6679" s="258"/>
    </row>
    <row r="6680" spans="1:26" ht="12.75" customHeight="1" x14ac:dyDescent="0.2">
      <c r="A6680" s="258"/>
      <c r="Z6680" s="258"/>
    </row>
    <row r="6681" spans="1:26" ht="12.75" customHeight="1" x14ac:dyDescent="0.2">
      <c r="A6681" s="258"/>
      <c r="Z6681" s="258"/>
    </row>
    <row r="6682" spans="1:26" ht="12.75" customHeight="1" x14ac:dyDescent="0.2">
      <c r="A6682" s="258"/>
      <c r="Z6682" s="258"/>
    </row>
    <row r="6683" spans="1:26" ht="12.75" customHeight="1" x14ac:dyDescent="0.2">
      <c r="A6683" s="258"/>
      <c r="Z6683" s="258"/>
    </row>
    <row r="6684" spans="1:26" ht="12.75" customHeight="1" x14ac:dyDescent="0.2">
      <c r="A6684" s="258"/>
      <c r="Z6684" s="258"/>
    </row>
    <row r="6685" spans="1:26" ht="12.75" customHeight="1" x14ac:dyDescent="0.2">
      <c r="A6685" s="258"/>
      <c r="Z6685" s="258"/>
    </row>
    <row r="6686" spans="1:26" ht="12.75" customHeight="1" x14ac:dyDescent="0.2">
      <c r="A6686" s="258"/>
      <c r="Z6686" s="258"/>
    </row>
    <row r="6687" spans="1:26" ht="12.75" customHeight="1" x14ac:dyDescent="0.2">
      <c r="A6687" s="258"/>
      <c r="Z6687" s="258"/>
    </row>
    <row r="6688" spans="1:26" ht="12.75" customHeight="1" x14ac:dyDescent="0.2">
      <c r="A6688" s="258"/>
      <c r="Z6688" s="258"/>
    </row>
    <row r="6689" spans="1:26" ht="12.75" customHeight="1" x14ac:dyDescent="0.2">
      <c r="A6689" s="258"/>
      <c r="Z6689" s="258"/>
    </row>
    <row r="6690" spans="1:26" ht="12.75" customHeight="1" x14ac:dyDescent="0.2">
      <c r="A6690" s="258"/>
      <c r="Z6690" s="258"/>
    </row>
    <row r="6691" spans="1:26" ht="12.75" customHeight="1" x14ac:dyDescent="0.2">
      <c r="A6691" s="258"/>
      <c r="Z6691" s="258"/>
    </row>
    <row r="6692" spans="1:26" ht="12.75" customHeight="1" x14ac:dyDescent="0.2">
      <c r="A6692" s="258"/>
      <c r="Z6692" s="258"/>
    </row>
    <row r="6693" spans="1:26" ht="12.75" customHeight="1" x14ac:dyDescent="0.2">
      <c r="A6693" s="258"/>
      <c r="Z6693" s="258"/>
    </row>
    <row r="6694" spans="1:26" ht="12.75" customHeight="1" x14ac:dyDescent="0.2">
      <c r="A6694" s="258"/>
      <c r="Z6694" s="258"/>
    </row>
    <row r="6695" spans="1:26" ht="12.75" customHeight="1" x14ac:dyDescent="0.2">
      <c r="A6695" s="258"/>
      <c r="Z6695" s="258"/>
    </row>
    <row r="6696" spans="1:26" ht="12.75" customHeight="1" x14ac:dyDescent="0.2">
      <c r="A6696" s="258"/>
      <c r="Z6696" s="258"/>
    </row>
    <row r="6697" spans="1:26" ht="12.75" customHeight="1" x14ac:dyDescent="0.2">
      <c r="A6697" s="258"/>
      <c r="Z6697" s="258"/>
    </row>
    <row r="6698" spans="1:26" ht="12.75" customHeight="1" x14ac:dyDescent="0.2">
      <c r="A6698" s="258"/>
      <c r="Z6698" s="258"/>
    </row>
    <row r="6699" spans="1:26" ht="12.75" customHeight="1" x14ac:dyDescent="0.2">
      <c r="A6699" s="258"/>
      <c r="Z6699" s="258"/>
    </row>
    <row r="6700" spans="1:26" ht="12.75" customHeight="1" x14ac:dyDescent="0.2">
      <c r="A6700" s="258"/>
      <c r="Z6700" s="258"/>
    </row>
    <row r="6701" spans="1:26" ht="12.75" customHeight="1" x14ac:dyDescent="0.2">
      <c r="A6701" s="258"/>
      <c r="Z6701" s="258"/>
    </row>
    <row r="6702" spans="1:26" ht="12.75" customHeight="1" x14ac:dyDescent="0.2">
      <c r="A6702" s="258"/>
      <c r="Z6702" s="258"/>
    </row>
    <row r="6703" spans="1:26" ht="12.75" customHeight="1" x14ac:dyDescent="0.2">
      <c r="A6703" s="258"/>
      <c r="Z6703" s="258"/>
    </row>
    <row r="6704" spans="1:26" ht="12.75" customHeight="1" x14ac:dyDescent="0.2">
      <c r="A6704" s="258"/>
      <c r="Z6704" s="258"/>
    </row>
    <row r="6705" spans="1:26" ht="12.75" customHeight="1" x14ac:dyDescent="0.2">
      <c r="A6705" s="258"/>
      <c r="Z6705" s="258"/>
    </row>
    <row r="6706" spans="1:26" ht="12.75" customHeight="1" x14ac:dyDescent="0.2">
      <c r="A6706" s="258"/>
      <c r="Z6706" s="258"/>
    </row>
    <row r="6707" spans="1:26" ht="12.75" customHeight="1" x14ac:dyDescent="0.2">
      <c r="A6707" s="258"/>
      <c r="Z6707" s="258"/>
    </row>
    <row r="6708" spans="1:26" ht="12.75" customHeight="1" x14ac:dyDescent="0.2">
      <c r="A6708" s="258"/>
      <c r="Z6708" s="258"/>
    </row>
    <row r="6709" spans="1:26" ht="12.75" customHeight="1" x14ac:dyDescent="0.2">
      <c r="A6709" s="258"/>
      <c r="Z6709" s="258"/>
    </row>
    <row r="6710" spans="1:26" ht="12.75" customHeight="1" x14ac:dyDescent="0.2">
      <c r="A6710" s="258"/>
      <c r="Z6710" s="258"/>
    </row>
    <row r="6711" spans="1:26" ht="12.75" customHeight="1" x14ac:dyDescent="0.2">
      <c r="A6711" s="258"/>
      <c r="Z6711" s="258"/>
    </row>
    <row r="6712" spans="1:26" ht="12.75" customHeight="1" x14ac:dyDescent="0.2">
      <c r="A6712" s="258"/>
      <c r="Z6712" s="258"/>
    </row>
    <row r="6713" spans="1:26" ht="12.75" customHeight="1" x14ac:dyDescent="0.2">
      <c r="A6713" s="258"/>
      <c r="Z6713" s="258"/>
    </row>
    <row r="6714" spans="1:26" ht="12.75" customHeight="1" x14ac:dyDescent="0.2">
      <c r="A6714" s="258"/>
      <c r="Z6714" s="258"/>
    </row>
    <row r="6715" spans="1:26" ht="12.75" customHeight="1" x14ac:dyDescent="0.2">
      <c r="A6715" s="258"/>
      <c r="Z6715" s="258"/>
    </row>
    <row r="6716" spans="1:26" ht="12.75" customHeight="1" x14ac:dyDescent="0.2">
      <c r="A6716" s="258"/>
      <c r="Z6716" s="258"/>
    </row>
    <row r="6717" spans="1:26" ht="12.75" customHeight="1" x14ac:dyDescent="0.2">
      <c r="A6717" s="258"/>
      <c r="Z6717" s="258"/>
    </row>
    <row r="6718" spans="1:26" ht="12.75" customHeight="1" x14ac:dyDescent="0.2">
      <c r="A6718" s="258"/>
      <c r="Z6718" s="258"/>
    </row>
    <row r="6719" spans="1:26" ht="12.75" customHeight="1" x14ac:dyDescent="0.2">
      <c r="A6719" s="258"/>
      <c r="Z6719" s="258"/>
    </row>
    <row r="6720" spans="1:26" ht="12.75" customHeight="1" x14ac:dyDescent="0.2">
      <c r="A6720" s="258"/>
      <c r="Z6720" s="258"/>
    </row>
    <row r="6721" spans="1:26" ht="12.75" customHeight="1" x14ac:dyDescent="0.2">
      <c r="A6721" s="258"/>
      <c r="Z6721" s="258"/>
    </row>
    <row r="6722" spans="1:26" ht="12.75" customHeight="1" x14ac:dyDescent="0.2">
      <c r="A6722" s="258"/>
      <c r="Z6722" s="258"/>
    </row>
    <row r="6723" spans="1:26" ht="12.75" customHeight="1" x14ac:dyDescent="0.2">
      <c r="A6723" s="258"/>
      <c r="Z6723" s="258"/>
    </row>
    <row r="6724" spans="1:26" ht="12.75" customHeight="1" x14ac:dyDescent="0.2">
      <c r="A6724" s="258"/>
      <c r="Z6724" s="258"/>
    </row>
    <row r="6725" spans="1:26" ht="12.75" customHeight="1" x14ac:dyDescent="0.2">
      <c r="A6725" s="258"/>
      <c r="Z6725" s="258"/>
    </row>
    <row r="6726" spans="1:26" ht="12.75" customHeight="1" x14ac:dyDescent="0.2">
      <c r="A6726" s="258"/>
      <c r="Z6726" s="258"/>
    </row>
    <row r="6727" spans="1:26" ht="12.75" customHeight="1" x14ac:dyDescent="0.2">
      <c r="A6727" s="258"/>
      <c r="Z6727" s="258"/>
    </row>
    <row r="6728" spans="1:26" ht="12.75" customHeight="1" x14ac:dyDescent="0.2">
      <c r="A6728" s="258"/>
      <c r="Z6728" s="258"/>
    </row>
    <row r="6729" spans="1:26" ht="12.75" customHeight="1" x14ac:dyDescent="0.2">
      <c r="A6729" s="258"/>
      <c r="Z6729" s="258"/>
    </row>
    <row r="6730" spans="1:26" ht="12.75" customHeight="1" x14ac:dyDescent="0.2">
      <c r="A6730" s="258"/>
      <c r="Z6730" s="258"/>
    </row>
    <row r="6731" spans="1:26" ht="12.75" customHeight="1" x14ac:dyDescent="0.2">
      <c r="A6731" s="258"/>
      <c r="Z6731" s="258"/>
    </row>
    <row r="6732" spans="1:26" ht="12.75" customHeight="1" x14ac:dyDescent="0.2">
      <c r="A6732" s="258"/>
      <c r="Z6732" s="258"/>
    </row>
    <row r="6733" spans="1:26" ht="12.75" customHeight="1" x14ac:dyDescent="0.2">
      <c r="A6733" s="258"/>
      <c r="Z6733" s="258"/>
    </row>
    <row r="6734" spans="1:26" ht="12.75" customHeight="1" x14ac:dyDescent="0.2">
      <c r="A6734" s="258"/>
      <c r="Z6734" s="258"/>
    </row>
    <row r="6735" spans="1:26" ht="12.75" customHeight="1" x14ac:dyDescent="0.2">
      <c r="A6735" s="258"/>
      <c r="Z6735" s="258"/>
    </row>
    <row r="6736" spans="1:26" ht="12.75" customHeight="1" x14ac:dyDescent="0.2">
      <c r="A6736" s="258"/>
      <c r="Z6736" s="258"/>
    </row>
    <row r="6737" spans="1:26" ht="12.75" customHeight="1" x14ac:dyDescent="0.2">
      <c r="A6737" s="258"/>
      <c r="Z6737" s="258"/>
    </row>
    <row r="6738" spans="1:26" ht="12.75" customHeight="1" x14ac:dyDescent="0.2">
      <c r="A6738" s="258"/>
      <c r="Z6738" s="258"/>
    </row>
    <row r="6739" spans="1:26" ht="12.75" customHeight="1" x14ac:dyDescent="0.2">
      <c r="A6739" s="258"/>
      <c r="Z6739" s="258"/>
    </row>
    <row r="6740" spans="1:26" ht="12.75" customHeight="1" x14ac:dyDescent="0.2">
      <c r="A6740" s="258"/>
      <c r="Z6740" s="258"/>
    </row>
    <row r="6741" spans="1:26" ht="12.75" customHeight="1" x14ac:dyDescent="0.2">
      <c r="A6741" s="258"/>
      <c r="Z6741" s="258"/>
    </row>
    <row r="6742" spans="1:26" ht="12.75" customHeight="1" x14ac:dyDescent="0.2">
      <c r="A6742" s="258"/>
      <c r="Z6742" s="258"/>
    </row>
    <row r="6743" spans="1:26" ht="12.75" customHeight="1" x14ac:dyDescent="0.2">
      <c r="A6743" s="258"/>
      <c r="Z6743" s="258"/>
    </row>
    <row r="6744" spans="1:26" ht="12.75" customHeight="1" x14ac:dyDescent="0.2">
      <c r="A6744" s="258"/>
      <c r="Z6744" s="258"/>
    </row>
    <row r="6745" spans="1:26" ht="12.75" customHeight="1" x14ac:dyDescent="0.2">
      <c r="A6745" s="258"/>
      <c r="Z6745" s="258"/>
    </row>
    <row r="6746" spans="1:26" ht="12.75" customHeight="1" x14ac:dyDescent="0.2">
      <c r="A6746" s="258"/>
      <c r="Z6746" s="258"/>
    </row>
    <row r="6747" spans="1:26" ht="12.75" customHeight="1" x14ac:dyDescent="0.2">
      <c r="A6747" s="258"/>
      <c r="Z6747" s="258"/>
    </row>
    <row r="6748" spans="1:26" ht="12.75" customHeight="1" x14ac:dyDescent="0.2">
      <c r="A6748" s="258"/>
      <c r="Z6748" s="258"/>
    </row>
    <row r="6749" spans="1:26" ht="12.75" customHeight="1" x14ac:dyDescent="0.2">
      <c r="A6749" s="258"/>
      <c r="Z6749" s="258"/>
    </row>
    <row r="6750" spans="1:26" ht="12.75" customHeight="1" x14ac:dyDescent="0.2">
      <c r="A6750" s="258"/>
      <c r="Z6750" s="258"/>
    </row>
    <row r="6751" spans="1:26" ht="12.75" customHeight="1" x14ac:dyDescent="0.2">
      <c r="A6751" s="258"/>
      <c r="Z6751" s="258"/>
    </row>
    <row r="6752" spans="1:26" ht="12.75" customHeight="1" x14ac:dyDescent="0.2">
      <c r="A6752" s="258"/>
      <c r="Z6752" s="258"/>
    </row>
    <row r="6753" spans="1:26" ht="12.75" customHeight="1" x14ac:dyDescent="0.2">
      <c r="A6753" s="258"/>
      <c r="Z6753" s="258"/>
    </row>
    <row r="6754" spans="1:26" ht="12.75" customHeight="1" x14ac:dyDescent="0.2">
      <c r="A6754" s="258"/>
      <c r="Z6754" s="258"/>
    </row>
    <row r="6755" spans="1:26" ht="12.75" customHeight="1" x14ac:dyDescent="0.2">
      <c r="A6755" s="258"/>
      <c r="Z6755" s="258"/>
    </row>
    <row r="6756" spans="1:26" ht="12.75" customHeight="1" x14ac:dyDescent="0.2">
      <c r="A6756" s="258"/>
      <c r="Z6756" s="258"/>
    </row>
    <row r="6757" spans="1:26" ht="12.75" customHeight="1" x14ac:dyDescent="0.2">
      <c r="A6757" s="258"/>
      <c r="Z6757" s="258"/>
    </row>
    <row r="6758" spans="1:26" ht="12.75" customHeight="1" x14ac:dyDescent="0.2">
      <c r="A6758" s="258"/>
      <c r="Z6758" s="258"/>
    </row>
    <row r="6759" spans="1:26" ht="12.75" customHeight="1" x14ac:dyDescent="0.2">
      <c r="A6759" s="258"/>
      <c r="Z6759" s="258"/>
    </row>
    <row r="6760" spans="1:26" ht="12.75" customHeight="1" x14ac:dyDescent="0.2">
      <c r="A6760" s="258"/>
      <c r="Z6760" s="258"/>
    </row>
    <row r="6761" spans="1:26" ht="12.75" customHeight="1" x14ac:dyDescent="0.2">
      <c r="A6761" s="258"/>
      <c r="Z6761" s="258"/>
    </row>
    <row r="6762" spans="1:26" ht="12.75" customHeight="1" x14ac:dyDescent="0.2">
      <c r="A6762" s="258"/>
      <c r="Z6762" s="258"/>
    </row>
    <row r="6763" spans="1:26" ht="12.75" customHeight="1" x14ac:dyDescent="0.2">
      <c r="A6763" s="258"/>
      <c r="Z6763" s="258"/>
    </row>
    <row r="6764" spans="1:26" ht="12.75" customHeight="1" x14ac:dyDescent="0.2">
      <c r="A6764" s="258"/>
      <c r="Z6764" s="258"/>
    </row>
    <row r="6765" spans="1:26" ht="12.75" customHeight="1" x14ac:dyDescent="0.2">
      <c r="A6765" s="258"/>
      <c r="Z6765" s="258"/>
    </row>
    <row r="6766" spans="1:26" ht="12.75" customHeight="1" x14ac:dyDescent="0.2">
      <c r="A6766" s="258"/>
      <c r="Z6766" s="258"/>
    </row>
    <row r="6767" spans="1:26" ht="12.75" customHeight="1" x14ac:dyDescent="0.2">
      <c r="A6767" s="258"/>
      <c r="Z6767" s="258"/>
    </row>
    <row r="6768" spans="1:26" ht="12.75" customHeight="1" x14ac:dyDescent="0.2">
      <c r="A6768" s="258"/>
      <c r="Z6768" s="258"/>
    </row>
    <row r="6769" spans="1:26" ht="12.75" customHeight="1" x14ac:dyDescent="0.2">
      <c r="A6769" s="258"/>
      <c r="Z6769" s="258"/>
    </row>
    <row r="6770" spans="1:26" ht="12.75" customHeight="1" x14ac:dyDescent="0.2">
      <c r="A6770" s="258"/>
      <c r="Z6770" s="258"/>
    </row>
    <row r="6771" spans="1:26" ht="12.75" customHeight="1" x14ac:dyDescent="0.2">
      <c r="A6771" s="258"/>
      <c r="Z6771" s="258"/>
    </row>
    <row r="6772" spans="1:26" ht="12.75" customHeight="1" x14ac:dyDescent="0.2">
      <c r="A6772" s="258"/>
      <c r="Z6772" s="258"/>
    </row>
    <row r="6773" spans="1:26" ht="12.75" customHeight="1" x14ac:dyDescent="0.2">
      <c r="A6773" s="258"/>
      <c r="Z6773" s="258"/>
    </row>
    <row r="6774" spans="1:26" ht="12.75" customHeight="1" x14ac:dyDescent="0.2">
      <c r="A6774" s="258"/>
      <c r="Z6774" s="258"/>
    </row>
    <row r="6775" spans="1:26" ht="12.75" customHeight="1" x14ac:dyDescent="0.2">
      <c r="A6775" s="258"/>
      <c r="Z6775" s="258"/>
    </row>
    <row r="6776" spans="1:26" ht="12.75" customHeight="1" x14ac:dyDescent="0.2">
      <c r="A6776" s="258"/>
      <c r="Z6776" s="258"/>
    </row>
    <row r="6777" spans="1:26" ht="12.75" customHeight="1" x14ac:dyDescent="0.2">
      <c r="A6777" s="258"/>
      <c r="Z6777" s="258"/>
    </row>
    <row r="6778" spans="1:26" ht="12.75" customHeight="1" x14ac:dyDescent="0.2">
      <c r="A6778" s="258"/>
      <c r="Z6778" s="258"/>
    </row>
    <row r="6779" spans="1:26" ht="12.75" customHeight="1" x14ac:dyDescent="0.2">
      <c r="A6779" s="258"/>
      <c r="Z6779" s="258"/>
    </row>
    <row r="6780" spans="1:26" ht="12.75" customHeight="1" x14ac:dyDescent="0.2">
      <c r="A6780" s="258"/>
      <c r="Z6780" s="258"/>
    </row>
    <row r="6781" spans="1:26" ht="12.75" customHeight="1" x14ac:dyDescent="0.2">
      <c r="A6781" s="258"/>
      <c r="Z6781" s="258"/>
    </row>
    <row r="6782" spans="1:26" ht="12.75" customHeight="1" x14ac:dyDescent="0.2">
      <c r="A6782" s="258"/>
      <c r="Z6782" s="258"/>
    </row>
    <row r="6783" spans="1:26" ht="12.75" customHeight="1" x14ac:dyDescent="0.2">
      <c r="A6783" s="258"/>
      <c r="Z6783" s="258"/>
    </row>
    <row r="6784" spans="1:26" ht="12.75" customHeight="1" x14ac:dyDescent="0.2">
      <c r="A6784" s="258"/>
      <c r="Z6784" s="258"/>
    </row>
    <row r="6785" spans="1:26" ht="12.75" customHeight="1" x14ac:dyDescent="0.2">
      <c r="A6785" s="258"/>
      <c r="Z6785" s="258"/>
    </row>
    <row r="6786" spans="1:26" ht="12.75" customHeight="1" x14ac:dyDescent="0.2">
      <c r="A6786" s="258"/>
      <c r="Z6786" s="258"/>
    </row>
    <row r="6787" spans="1:26" ht="12.75" customHeight="1" x14ac:dyDescent="0.2">
      <c r="A6787" s="258"/>
      <c r="Z6787" s="258"/>
    </row>
    <row r="6788" spans="1:26" ht="12.75" customHeight="1" x14ac:dyDescent="0.2">
      <c r="A6788" s="258"/>
      <c r="Z6788" s="258"/>
    </row>
    <row r="6789" spans="1:26" ht="12.75" customHeight="1" x14ac:dyDescent="0.2">
      <c r="A6789" s="258"/>
      <c r="Z6789" s="258"/>
    </row>
    <row r="6790" spans="1:26" ht="12.75" customHeight="1" x14ac:dyDescent="0.2">
      <c r="A6790" s="258"/>
      <c r="Z6790" s="258"/>
    </row>
    <row r="6791" spans="1:26" ht="12.75" customHeight="1" x14ac:dyDescent="0.2">
      <c r="A6791" s="258"/>
      <c r="Z6791" s="258"/>
    </row>
    <row r="6792" spans="1:26" ht="12.75" customHeight="1" x14ac:dyDescent="0.2">
      <c r="A6792" s="258"/>
      <c r="Z6792" s="258"/>
    </row>
    <row r="6793" spans="1:26" ht="12.75" customHeight="1" x14ac:dyDescent="0.2">
      <c r="A6793" s="258"/>
      <c r="Z6793" s="258"/>
    </row>
    <row r="6794" spans="1:26" ht="12.75" customHeight="1" x14ac:dyDescent="0.2">
      <c r="A6794" s="258"/>
      <c r="Z6794" s="258"/>
    </row>
    <row r="6795" spans="1:26" ht="12.75" customHeight="1" x14ac:dyDescent="0.2">
      <c r="A6795" s="258"/>
      <c r="Z6795" s="258"/>
    </row>
    <row r="6796" spans="1:26" ht="12.75" customHeight="1" x14ac:dyDescent="0.2">
      <c r="A6796" s="258"/>
      <c r="Z6796" s="258"/>
    </row>
    <row r="6797" spans="1:26" ht="12.75" customHeight="1" x14ac:dyDescent="0.2">
      <c r="A6797" s="258"/>
      <c r="Z6797" s="258"/>
    </row>
    <row r="6798" spans="1:26" ht="12.75" customHeight="1" x14ac:dyDescent="0.2">
      <c r="A6798" s="258"/>
      <c r="Z6798" s="258"/>
    </row>
    <row r="6799" spans="1:26" ht="12.75" customHeight="1" x14ac:dyDescent="0.2">
      <c r="A6799" s="258"/>
      <c r="Z6799" s="258"/>
    </row>
    <row r="6800" spans="1:26" ht="12.75" customHeight="1" x14ac:dyDescent="0.2">
      <c r="A6800" s="258"/>
      <c r="Z6800" s="258"/>
    </row>
    <row r="6801" spans="1:26" ht="12.75" customHeight="1" x14ac:dyDescent="0.2">
      <c r="A6801" s="258"/>
      <c r="Z6801" s="258"/>
    </row>
    <row r="6802" spans="1:26" ht="12.75" customHeight="1" x14ac:dyDescent="0.2">
      <c r="A6802" s="258"/>
      <c r="Z6802" s="258"/>
    </row>
    <row r="6803" spans="1:26" ht="12.75" customHeight="1" x14ac:dyDescent="0.2">
      <c r="A6803" s="258"/>
      <c r="Z6803" s="258"/>
    </row>
    <row r="6804" spans="1:26" ht="12.75" customHeight="1" x14ac:dyDescent="0.2">
      <c r="A6804" s="258"/>
      <c r="Z6804" s="258"/>
    </row>
    <row r="6805" spans="1:26" ht="12.75" customHeight="1" x14ac:dyDescent="0.2">
      <c r="A6805" s="258"/>
      <c r="Z6805" s="258"/>
    </row>
    <row r="6806" spans="1:26" ht="12.75" customHeight="1" x14ac:dyDescent="0.2">
      <c r="A6806" s="258"/>
      <c r="Z6806" s="258"/>
    </row>
    <row r="6807" spans="1:26" ht="12.75" customHeight="1" x14ac:dyDescent="0.2">
      <c r="A6807" s="258"/>
      <c r="Z6807" s="258"/>
    </row>
    <row r="6808" spans="1:26" ht="12.75" customHeight="1" x14ac:dyDescent="0.2">
      <c r="A6808" s="258"/>
      <c r="Z6808" s="258"/>
    </row>
    <row r="6809" spans="1:26" ht="12.75" customHeight="1" x14ac:dyDescent="0.2">
      <c r="A6809" s="258"/>
      <c r="Z6809" s="258"/>
    </row>
    <row r="6810" spans="1:26" ht="12.75" customHeight="1" x14ac:dyDescent="0.2">
      <c r="A6810" s="258"/>
      <c r="Z6810" s="258"/>
    </row>
    <row r="6811" spans="1:26" ht="12.75" customHeight="1" x14ac:dyDescent="0.2">
      <c r="A6811" s="258"/>
      <c r="Z6811" s="258"/>
    </row>
    <row r="6812" spans="1:26" ht="12.75" customHeight="1" x14ac:dyDescent="0.2">
      <c r="A6812" s="258"/>
      <c r="Z6812" s="258"/>
    </row>
    <row r="6813" spans="1:26" ht="12.75" customHeight="1" x14ac:dyDescent="0.2">
      <c r="A6813" s="258"/>
      <c r="Z6813" s="258"/>
    </row>
    <row r="6814" spans="1:26" ht="12.75" customHeight="1" x14ac:dyDescent="0.2">
      <c r="A6814" s="258"/>
      <c r="Z6814" s="258"/>
    </row>
    <row r="6815" spans="1:26" ht="12.75" customHeight="1" x14ac:dyDescent="0.2">
      <c r="A6815" s="258"/>
      <c r="Z6815" s="258"/>
    </row>
    <row r="6816" spans="1:26" ht="12.75" customHeight="1" x14ac:dyDescent="0.2">
      <c r="A6816" s="258"/>
      <c r="Z6816" s="258"/>
    </row>
    <row r="6817" spans="1:26" ht="12.75" customHeight="1" x14ac:dyDescent="0.2">
      <c r="A6817" s="258"/>
      <c r="Z6817" s="258"/>
    </row>
    <row r="6818" spans="1:26" ht="12.75" customHeight="1" x14ac:dyDescent="0.2">
      <c r="A6818" s="258"/>
      <c r="Z6818" s="258"/>
    </row>
    <row r="6819" spans="1:26" ht="12.75" customHeight="1" x14ac:dyDescent="0.2">
      <c r="A6819" s="258"/>
      <c r="Z6819" s="258"/>
    </row>
    <row r="6820" spans="1:26" ht="12.75" customHeight="1" x14ac:dyDescent="0.2">
      <c r="A6820" s="258"/>
      <c r="Z6820" s="258"/>
    </row>
    <row r="6821" spans="1:26" ht="12.75" customHeight="1" x14ac:dyDescent="0.2">
      <c r="A6821" s="258"/>
      <c r="Z6821" s="258"/>
    </row>
    <row r="6822" spans="1:26" ht="12.75" customHeight="1" x14ac:dyDescent="0.2">
      <c r="A6822" s="258"/>
      <c r="Z6822" s="258"/>
    </row>
    <row r="6823" spans="1:26" ht="12.75" customHeight="1" x14ac:dyDescent="0.2">
      <c r="A6823" s="258"/>
      <c r="Z6823" s="258"/>
    </row>
    <row r="6824" spans="1:26" ht="12.75" customHeight="1" x14ac:dyDescent="0.2">
      <c r="A6824" s="258"/>
      <c r="Z6824" s="258"/>
    </row>
    <row r="6825" spans="1:26" ht="12.75" customHeight="1" x14ac:dyDescent="0.2">
      <c r="A6825" s="258"/>
      <c r="Z6825" s="258"/>
    </row>
    <row r="6826" spans="1:26" ht="12.75" customHeight="1" x14ac:dyDescent="0.2">
      <c r="A6826" s="258"/>
      <c r="Z6826" s="258"/>
    </row>
    <row r="6827" spans="1:26" ht="12.75" customHeight="1" x14ac:dyDescent="0.2">
      <c r="A6827" s="258"/>
      <c r="Z6827" s="258"/>
    </row>
    <row r="6828" spans="1:26" ht="12.75" customHeight="1" x14ac:dyDescent="0.2">
      <c r="A6828" s="258"/>
      <c r="Z6828" s="258"/>
    </row>
    <row r="6829" spans="1:26" ht="12.75" customHeight="1" x14ac:dyDescent="0.2">
      <c r="A6829" s="258"/>
      <c r="Z6829" s="258"/>
    </row>
    <row r="6830" spans="1:26" ht="12.75" customHeight="1" x14ac:dyDescent="0.2">
      <c r="A6830" s="258"/>
      <c r="Z6830" s="258"/>
    </row>
    <row r="6831" spans="1:26" ht="12.75" customHeight="1" x14ac:dyDescent="0.2">
      <c r="A6831" s="258"/>
      <c r="Z6831" s="258"/>
    </row>
    <row r="6832" spans="1:26" ht="12.75" customHeight="1" x14ac:dyDescent="0.2">
      <c r="A6832" s="258"/>
      <c r="Z6832" s="258"/>
    </row>
    <row r="6833" spans="1:26" ht="12.75" customHeight="1" x14ac:dyDescent="0.2">
      <c r="A6833" s="258"/>
      <c r="Z6833" s="258"/>
    </row>
    <row r="6834" spans="1:26" ht="12.75" customHeight="1" x14ac:dyDescent="0.2">
      <c r="A6834" s="258"/>
      <c r="Z6834" s="258"/>
    </row>
    <row r="6835" spans="1:26" ht="12.75" customHeight="1" x14ac:dyDescent="0.2">
      <c r="A6835" s="258"/>
      <c r="Z6835" s="258"/>
    </row>
    <row r="6836" spans="1:26" ht="12.75" customHeight="1" x14ac:dyDescent="0.2">
      <c r="A6836" s="258"/>
      <c r="Z6836" s="258"/>
    </row>
    <row r="6837" spans="1:26" ht="12.75" customHeight="1" x14ac:dyDescent="0.2">
      <c r="A6837" s="258"/>
      <c r="Z6837" s="258"/>
    </row>
    <row r="6838" spans="1:26" ht="12.75" customHeight="1" x14ac:dyDescent="0.2">
      <c r="A6838" s="258"/>
      <c r="Z6838" s="258"/>
    </row>
    <row r="6839" spans="1:26" ht="12.75" customHeight="1" x14ac:dyDescent="0.2">
      <c r="A6839" s="258"/>
      <c r="Z6839" s="258"/>
    </row>
    <row r="6840" spans="1:26" ht="12.75" customHeight="1" x14ac:dyDescent="0.2">
      <c r="A6840" s="258"/>
      <c r="Z6840" s="258"/>
    </row>
    <row r="6841" spans="1:26" ht="12.75" customHeight="1" x14ac:dyDescent="0.2">
      <c r="A6841" s="258"/>
      <c r="Z6841" s="258"/>
    </row>
    <row r="6842" spans="1:26" ht="12.75" customHeight="1" x14ac:dyDescent="0.2">
      <c r="A6842" s="258"/>
      <c r="Z6842" s="258"/>
    </row>
    <row r="6843" spans="1:26" ht="12.75" customHeight="1" x14ac:dyDescent="0.2">
      <c r="A6843" s="258"/>
      <c r="Z6843" s="258"/>
    </row>
    <row r="6844" spans="1:26" ht="12.75" customHeight="1" x14ac:dyDescent="0.2">
      <c r="A6844" s="258"/>
      <c r="Z6844" s="258"/>
    </row>
    <row r="6845" spans="1:26" ht="12.75" customHeight="1" x14ac:dyDescent="0.2">
      <c r="A6845" s="258"/>
      <c r="Z6845" s="258"/>
    </row>
    <row r="6846" spans="1:26" ht="12.75" customHeight="1" x14ac:dyDescent="0.2">
      <c r="A6846" s="258"/>
      <c r="Z6846" s="258"/>
    </row>
    <row r="6847" spans="1:26" ht="12.75" customHeight="1" x14ac:dyDescent="0.2">
      <c r="A6847" s="258"/>
      <c r="Z6847" s="258"/>
    </row>
    <row r="6848" spans="1:26" ht="12.75" customHeight="1" x14ac:dyDescent="0.2">
      <c r="A6848" s="258"/>
      <c r="Z6848" s="258"/>
    </row>
    <row r="6849" spans="1:26" ht="12.75" customHeight="1" x14ac:dyDescent="0.2">
      <c r="A6849" s="258"/>
      <c r="Z6849" s="258"/>
    </row>
    <row r="6850" spans="1:26" ht="12.75" customHeight="1" x14ac:dyDescent="0.2">
      <c r="A6850" s="258"/>
      <c r="Z6850" s="258"/>
    </row>
    <row r="6851" spans="1:26" ht="12.75" customHeight="1" x14ac:dyDescent="0.2">
      <c r="A6851" s="258"/>
      <c r="Z6851" s="258"/>
    </row>
    <row r="6852" spans="1:26" ht="12.75" customHeight="1" x14ac:dyDescent="0.2">
      <c r="A6852" s="258"/>
      <c r="Z6852" s="258"/>
    </row>
    <row r="6853" spans="1:26" ht="12.75" customHeight="1" x14ac:dyDescent="0.2">
      <c r="A6853" s="258"/>
      <c r="Z6853" s="258"/>
    </row>
    <row r="6854" spans="1:26" ht="12.75" customHeight="1" x14ac:dyDescent="0.2">
      <c r="A6854" s="258"/>
      <c r="Z6854" s="258"/>
    </row>
    <row r="6855" spans="1:26" ht="12.75" customHeight="1" x14ac:dyDescent="0.2">
      <c r="A6855" s="258"/>
      <c r="Z6855" s="258"/>
    </row>
    <row r="6856" spans="1:26" ht="12.75" customHeight="1" x14ac:dyDescent="0.2">
      <c r="A6856" s="258"/>
      <c r="Z6856" s="258"/>
    </row>
    <row r="6857" spans="1:26" ht="12.75" customHeight="1" x14ac:dyDescent="0.2">
      <c r="A6857" s="258"/>
      <c r="Z6857" s="258"/>
    </row>
    <row r="6858" spans="1:26" ht="12.75" customHeight="1" x14ac:dyDescent="0.2">
      <c r="A6858" s="258"/>
      <c r="Z6858" s="258"/>
    </row>
    <row r="6859" spans="1:26" ht="12.75" customHeight="1" x14ac:dyDescent="0.2">
      <c r="A6859" s="258"/>
      <c r="Z6859" s="258"/>
    </row>
    <row r="6860" spans="1:26" ht="12.75" customHeight="1" x14ac:dyDescent="0.2">
      <c r="A6860" s="258"/>
      <c r="Z6860" s="258"/>
    </row>
    <row r="6861" spans="1:26" ht="12.75" customHeight="1" x14ac:dyDescent="0.2">
      <c r="A6861" s="258"/>
      <c r="Z6861" s="258"/>
    </row>
    <row r="6862" spans="1:26" ht="12.75" customHeight="1" x14ac:dyDescent="0.2">
      <c r="A6862" s="258"/>
      <c r="Z6862" s="258"/>
    </row>
    <row r="6863" spans="1:26" ht="12.75" customHeight="1" x14ac:dyDescent="0.2">
      <c r="A6863" s="258"/>
      <c r="Z6863" s="258"/>
    </row>
    <row r="6864" spans="1:26" ht="12.75" customHeight="1" x14ac:dyDescent="0.2">
      <c r="A6864" s="258"/>
      <c r="Z6864" s="258"/>
    </row>
    <row r="6865" spans="1:26" ht="12.75" customHeight="1" x14ac:dyDescent="0.2">
      <c r="A6865" s="258"/>
      <c r="Z6865" s="258"/>
    </row>
    <row r="6866" spans="1:26" ht="12.75" customHeight="1" x14ac:dyDescent="0.2">
      <c r="A6866" s="258"/>
      <c r="Z6866" s="258"/>
    </row>
    <row r="6867" spans="1:26" ht="12.75" customHeight="1" x14ac:dyDescent="0.2">
      <c r="A6867" s="258"/>
      <c r="Z6867" s="258"/>
    </row>
    <row r="6868" spans="1:26" ht="12.75" customHeight="1" x14ac:dyDescent="0.2">
      <c r="A6868" s="258"/>
      <c r="Z6868" s="258"/>
    </row>
    <row r="6869" spans="1:26" ht="12.75" customHeight="1" x14ac:dyDescent="0.2">
      <c r="A6869" s="258"/>
      <c r="Z6869" s="258"/>
    </row>
    <row r="6870" spans="1:26" ht="12.75" customHeight="1" x14ac:dyDescent="0.2">
      <c r="A6870" s="258"/>
      <c r="Z6870" s="258"/>
    </row>
    <row r="6871" spans="1:26" ht="12.75" customHeight="1" x14ac:dyDescent="0.2">
      <c r="A6871" s="258"/>
      <c r="Z6871" s="258"/>
    </row>
    <row r="6872" spans="1:26" ht="12.75" customHeight="1" x14ac:dyDescent="0.2">
      <c r="A6872" s="258"/>
      <c r="Z6872" s="258"/>
    </row>
    <row r="6873" spans="1:26" ht="12.75" customHeight="1" x14ac:dyDescent="0.2">
      <c r="A6873" s="258"/>
      <c r="Z6873" s="258"/>
    </row>
    <row r="6874" spans="1:26" ht="12.75" customHeight="1" x14ac:dyDescent="0.2">
      <c r="A6874" s="258"/>
      <c r="Z6874" s="258"/>
    </row>
    <row r="6875" spans="1:26" ht="12.75" customHeight="1" x14ac:dyDescent="0.2">
      <c r="A6875" s="258"/>
      <c r="Z6875" s="258"/>
    </row>
    <row r="6876" spans="1:26" ht="12.75" customHeight="1" x14ac:dyDescent="0.2">
      <c r="A6876" s="258"/>
      <c r="Z6876" s="258"/>
    </row>
    <row r="6877" spans="1:26" ht="12.75" customHeight="1" x14ac:dyDescent="0.2">
      <c r="A6877" s="258"/>
      <c r="Z6877" s="258"/>
    </row>
    <row r="6878" spans="1:26" ht="12.75" customHeight="1" x14ac:dyDescent="0.2">
      <c r="A6878" s="258"/>
      <c r="Z6878" s="258"/>
    </row>
    <row r="6879" spans="1:26" ht="12.75" customHeight="1" x14ac:dyDescent="0.2">
      <c r="A6879" s="258"/>
      <c r="Z6879" s="258"/>
    </row>
    <row r="6880" spans="1:26" ht="12.75" customHeight="1" x14ac:dyDescent="0.2">
      <c r="A6880" s="258"/>
      <c r="Z6880" s="258"/>
    </row>
    <row r="6881" spans="1:26" ht="12.75" customHeight="1" x14ac:dyDescent="0.2">
      <c r="A6881" s="258"/>
      <c r="Z6881" s="258"/>
    </row>
    <row r="6882" spans="1:26" ht="12.75" customHeight="1" x14ac:dyDescent="0.2">
      <c r="A6882" s="258"/>
      <c r="Z6882" s="258"/>
    </row>
    <row r="6883" spans="1:26" ht="12.75" customHeight="1" x14ac:dyDescent="0.2">
      <c r="A6883" s="258"/>
      <c r="Z6883" s="258"/>
    </row>
    <row r="6884" spans="1:26" ht="12.75" customHeight="1" x14ac:dyDescent="0.2">
      <c r="A6884" s="258"/>
      <c r="Z6884" s="258"/>
    </row>
    <row r="6885" spans="1:26" ht="12.75" customHeight="1" x14ac:dyDescent="0.2">
      <c r="A6885" s="258"/>
      <c r="Z6885" s="258"/>
    </row>
    <row r="6886" spans="1:26" ht="12.75" customHeight="1" x14ac:dyDescent="0.2">
      <c r="A6886" s="258"/>
      <c r="Z6886" s="258"/>
    </row>
    <row r="6887" spans="1:26" ht="12.75" customHeight="1" x14ac:dyDescent="0.2">
      <c r="A6887" s="258"/>
      <c r="Z6887" s="258"/>
    </row>
    <row r="6888" spans="1:26" ht="12.75" customHeight="1" x14ac:dyDescent="0.2">
      <c r="A6888" s="258"/>
      <c r="Z6888" s="258"/>
    </row>
    <row r="6889" spans="1:26" ht="12.75" customHeight="1" x14ac:dyDescent="0.2">
      <c r="A6889" s="258"/>
      <c r="Z6889" s="258"/>
    </row>
    <row r="6890" spans="1:26" ht="12.75" customHeight="1" x14ac:dyDescent="0.2">
      <c r="A6890" s="258"/>
      <c r="Z6890" s="258"/>
    </row>
    <row r="6891" spans="1:26" ht="12.75" customHeight="1" x14ac:dyDescent="0.2">
      <c r="A6891" s="258"/>
      <c r="Z6891" s="258"/>
    </row>
    <row r="6892" spans="1:26" ht="12.75" customHeight="1" x14ac:dyDescent="0.2">
      <c r="A6892" s="258"/>
      <c r="Z6892" s="258"/>
    </row>
    <row r="6893" spans="1:26" ht="12.75" customHeight="1" x14ac:dyDescent="0.2">
      <c r="A6893" s="258"/>
      <c r="Z6893" s="258"/>
    </row>
    <row r="6894" spans="1:26" ht="12.75" customHeight="1" x14ac:dyDescent="0.2">
      <c r="A6894" s="258"/>
      <c r="Z6894" s="258"/>
    </row>
    <row r="6895" spans="1:26" ht="12.75" customHeight="1" x14ac:dyDescent="0.2">
      <c r="A6895" s="258"/>
      <c r="Z6895" s="258"/>
    </row>
    <row r="6896" spans="1:26" ht="12.75" customHeight="1" x14ac:dyDescent="0.2">
      <c r="A6896" s="258"/>
      <c r="Z6896" s="258"/>
    </row>
    <row r="6897" spans="1:26" ht="12.75" customHeight="1" x14ac:dyDescent="0.2">
      <c r="A6897" s="258"/>
      <c r="Z6897" s="258"/>
    </row>
    <row r="6898" spans="1:26" ht="12.75" customHeight="1" x14ac:dyDescent="0.2">
      <c r="A6898" s="258"/>
      <c r="Z6898" s="258"/>
    </row>
    <row r="6899" spans="1:26" ht="12.75" customHeight="1" x14ac:dyDescent="0.2">
      <c r="A6899" s="258"/>
      <c r="Z6899" s="258"/>
    </row>
    <row r="6900" spans="1:26" ht="12.75" customHeight="1" x14ac:dyDescent="0.2">
      <c r="A6900" s="258"/>
      <c r="Z6900" s="258"/>
    </row>
    <row r="6901" spans="1:26" ht="12.75" customHeight="1" x14ac:dyDescent="0.2">
      <c r="A6901" s="258"/>
      <c r="Z6901" s="258"/>
    </row>
    <row r="6902" spans="1:26" ht="12.75" customHeight="1" x14ac:dyDescent="0.2">
      <c r="A6902" s="258"/>
      <c r="Z6902" s="258"/>
    </row>
    <row r="6903" spans="1:26" ht="12.75" customHeight="1" x14ac:dyDescent="0.2">
      <c r="A6903" s="258"/>
      <c r="Z6903" s="258"/>
    </row>
    <row r="6904" spans="1:26" ht="12.75" customHeight="1" x14ac:dyDescent="0.2">
      <c r="A6904" s="258"/>
      <c r="Z6904" s="258"/>
    </row>
    <row r="6905" spans="1:26" ht="12.75" customHeight="1" x14ac:dyDescent="0.2">
      <c r="A6905" s="258"/>
      <c r="Z6905" s="258"/>
    </row>
    <row r="6906" spans="1:26" ht="12.75" customHeight="1" x14ac:dyDescent="0.2">
      <c r="A6906" s="258"/>
      <c r="Z6906" s="258"/>
    </row>
    <row r="6907" spans="1:26" ht="12.75" customHeight="1" x14ac:dyDescent="0.2">
      <c r="A6907" s="258"/>
      <c r="Z6907" s="258"/>
    </row>
    <row r="6908" spans="1:26" ht="12.75" customHeight="1" x14ac:dyDescent="0.2">
      <c r="A6908" s="258"/>
      <c r="Z6908" s="258"/>
    </row>
    <row r="6909" spans="1:26" ht="12.75" customHeight="1" x14ac:dyDescent="0.2">
      <c r="A6909" s="258"/>
      <c r="Z6909" s="258"/>
    </row>
    <row r="6910" spans="1:26" ht="12.75" customHeight="1" x14ac:dyDescent="0.2">
      <c r="A6910" s="258"/>
      <c r="Z6910" s="258"/>
    </row>
    <row r="6911" spans="1:26" ht="12.75" customHeight="1" x14ac:dyDescent="0.2">
      <c r="A6911" s="258"/>
      <c r="Z6911" s="258"/>
    </row>
    <row r="6912" spans="1:26" ht="12.75" customHeight="1" x14ac:dyDescent="0.2">
      <c r="A6912" s="258"/>
      <c r="Z6912" s="258"/>
    </row>
    <row r="6913" spans="1:26" ht="12.75" customHeight="1" x14ac:dyDescent="0.2">
      <c r="A6913" s="258"/>
      <c r="Z6913" s="258"/>
    </row>
    <row r="6914" spans="1:26" ht="12.75" customHeight="1" x14ac:dyDescent="0.2">
      <c r="A6914" s="258"/>
      <c r="Z6914" s="258"/>
    </row>
    <row r="6915" spans="1:26" ht="12.75" customHeight="1" x14ac:dyDescent="0.2">
      <c r="A6915" s="258"/>
      <c r="Z6915" s="258"/>
    </row>
    <row r="6916" spans="1:26" ht="12.75" customHeight="1" x14ac:dyDescent="0.2">
      <c r="A6916" s="258"/>
      <c r="Z6916" s="258"/>
    </row>
    <row r="6917" spans="1:26" ht="12.75" customHeight="1" x14ac:dyDescent="0.2">
      <c r="A6917" s="258"/>
      <c r="Z6917" s="258"/>
    </row>
    <row r="6918" spans="1:26" ht="12.75" customHeight="1" x14ac:dyDescent="0.2">
      <c r="A6918" s="258"/>
      <c r="Z6918" s="258"/>
    </row>
    <row r="6919" spans="1:26" ht="12.75" customHeight="1" x14ac:dyDescent="0.2">
      <c r="A6919" s="258"/>
      <c r="Z6919" s="258"/>
    </row>
    <row r="6920" spans="1:26" ht="12.75" customHeight="1" x14ac:dyDescent="0.2">
      <c r="A6920" s="258"/>
      <c r="Z6920" s="258"/>
    </row>
    <row r="6921" spans="1:26" ht="12.75" customHeight="1" x14ac:dyDescent="0.2">
      <c r="A6921" s="258"/>
      <c r="Z6921" s="258"/>
    </row>
    <row r="6922" spans="1:26" ht="12.75" customHeight="1" x14ac:dyDescent="0.2">
      <c r="A6922" s="258"/>
      <c r="Z6922" s="258"/>
    </row>
    <row r="6923" spans="1:26" ht="12.75" customHeight="1" x14ac:dyDescent="0.2">
      <c r="A6923" s="258"/>
      <c r="Z6923" s="258"/>
    </row>
    <row r="6924" spans="1:26" ht="12.75" customHeight="1" x14ac:dyDescent="0.2">
      <c r="A6924" s="258"/>
      <c r="Z6924" s="258"/>
    </row>
    <row r="6925" spans="1:26" ht="12.75" customHeight="1" x14ac:dyDescent="0.2">
      <c r="A6925" s="258"/>
      <c r="Z6925" s="258"/>
    </row>
    <row r="6926" spans="1:26" ht="12.75" customHeight="1" x14ac:dyDescent="0.2">
      <c r="A6926" s="258"/>
      <c r="Z6926" s="258"/>
    </row>
    <row r="6927" spans="1:26" ht="12.75" customHeight="1" x14ac:dyDescent="0.2">
      <c r="A6927" s="258"/>
      <c r="Z6927" s="258"/>
    </row>
    <row r="6928" spans="1:26" ht="12.75" customHeight="1" x14ac:dyDescent="0.2">
      <c r="A6928" s="258"/>
      <c r="Z6928" s="258"/>
    </row>
    <row r="6929" spans="1:26" ht="12.75" customHeight="1" x14ac:dyDescent="0.2">
      <c r="A6929" s="258"/>
      <c r="Z6929" s="258"/>
    </row>
    <row r="6930" spans="1:26" ht="12.75" customHeight="1" x14ac:dyDescent="0.2">
      <c r="A6930" s="258"/>
      <c r="Z6930" s="258"/>
    </row>
    <row r="6931" spans="1:26" ht="12.75" customHeight="1" x14ac:dyDescent="0.2">
      <c r="A6931" s="258"/>
      <c r="Z6931" s="258"/>
    </row>
    <row r="6932" spans="1:26" ht="12.75" customHeight="1" x14ac:dyDescent="0.2">
      <c r="A6932" s="258"/>
      <c r="Z6932" s="258"/>
    </row>
    <row r="6933" spans="1:26" ht="12.75" customHeight="1" x14ac:dyDescent="0.2">
      <c r="A6933" s="258"/>
      <c r="Z6933" s="258"/>
    </row>
    <row r="6934" spans="1:26" ht="12.75" customHeight="1" x14ac:dyDescent="0.2">
      <c r="A6934" s="258"/>
      <c r="Z6934" s="258"/>
    </row>
    <row r="6935" spans="1:26" ht="12.75" customHeight="1" x14ac:dyDescent="0.2">
      <c r="A6935" s="258"/>
      <c r="Z6935" s="258"/>
    </row>
    <row r="6936" spans="1:26" ht="12.75" customHeight="1" x14ac:dyDescent="0.2">
      <c r="A6936" s="258"/>
      <c r="Z6936" s="258"/>
    </row>
    <row r="6937" spans="1:26" ht="12.75" customHeight="1" x14ac:dyDescent="0.2">
      <c r="A6937" s="258"/>
      <c r="Z6937" s="258"/>
    </row>
    <row r="6938" spans="1:26" ht="12.75" customHeight="1" x14ac:dyDescent="0.2">
      <c r="A6938" s="258"/>
      <c r="Z6938" s="258"/>
    </row>
    <row r="6939" spans="1:26" ht="12.75" customHeight="1" x14ac:dyDescent="0.2">
      <c r="A6939" s="258"/>
      <c r="Z6939" s="258"/>
    </row>
    <row r="6940" spans="1:26" ht="12.75" customHeight="1" x14ac:dyDescent="0.2">
      <c r="A6940" s="258"/>
      <c r="Z6940" s="258"/>
    </row>
    <row r="6941" spans="1:26" ht="12.75" customHeight="1" x14ac:dyDescent="0.2">
      <c r="A6941" s="258"/>
      <c r="Z6941" s="258"/>
    </row>
    <row r="6942" spans="1:26" ht="12.75" customHeight="1" x14ac:dyDescent="0.2">
      <c r="A6942" s="258"/>
      <c r="Z6942" s="258"/>
    </row>
    <row r="6943" spans="1:26" ht="12.75" customHeight="1" x14ac:dyDescent="0.2">
      <c r="A6943" s="258"/>
      <c r="Z6943" s="258"/>
    </row>
    <row r="6944" spans="1:26" ht="12.75" customHeight="1" x14ac:dyDescent="0.2">
      <c r="A6944" s="258"/>
      <c r="Z6944" s="258"/>
    </row>
    <row r="6945" spans="1:26" ht="12.75" customHeight="1" x14ac:dyDescent="0.2">
      <c r="A6945" s="258"/>
      <c r="Z6945" s="258"/>
    </row>
    <row r="6946" spans="1:26" ht="12.75" customHeight="1" x14ac:dyDescent="0.2">
      <c r="A6946" s="258"/>
      <c r="Z6946" s="258"/>
    </row>
    <row r="6947" spans="1:26" ht="12.75" customHeight="1" x14ac:dyDescent="0.2">
      <c r="A6947" s="258"/>
      <c r="Z6947" s="258"/>
    </row>
    <row r="6948" spans="1:26" ht="12.75" customHeight="1" x14ac:dyDescent="0.2">
      <c r="A6948" s="258"/>
      <c r="Z6948" s="258"/>
    </row>
    <row r="6949" spans="1:26" ht="12.75" customHeight="1" x14ac:dyDescent="0.2">
      <c r="A6949" s="258"/>
      <c r="Z6949" s="258"/>
    </row>
    <row r="6950" spans="1:26" ht="12.75" customHeight="1" x14ac:dyDescent="0.2">
      <c r="A6950" s="258"/>
      <c r="Z6950" s="258"/>
    </row>
    <row r="6951" spans="1:26" ht="12.75" customHeight="1" x14ac:dyDescent="0.2">
      <c r="A6951" s="258"/>
      <c r="Z6951" s="258"/>
    </row>
    <row r="6952" spans="1:26" ht="12.75" customHeight="1" x14ac:dyDescent="0.2">
      <c r="A6952" s="258"/>
      <c r="Z6952" s="258"/>
    </row>
    <row r="6953" spans="1:26" ht="12.75" customHeight="1" x14ac:dyDescent="0.2">
      <c r="A6953" s="258"/>
      <c r="Z6953" s="258"/>
    </row>
    <row r="6954" spans="1:26" ht="12.75" customHeight="1" x14ac:dyDescent="0.2">
      <c r="A6954" s="258"/>
      <c r="Z6954" s="258"/>
    </row>
    <row r="6955" spans="1:26" ht="12.75" customHeight="1" x14ac:dyDescent="0.2">
      <c r="A6955" s="258"/>
      <c r="Z6955" s="258"/>
    </row>
    <row r="6956" spans="1:26" ht="12.75" customHeight="1" x14ac:dyDescent="0.2">
      <c r="A6956" s="258"/>
      <c r="Z6956" s="258"/>
    </row>
    <row r="6957" spans="1:26" ht="12.75" customHeight="1" x14ac:dyDescent="0.2">
      <c r="A6957" s="258"/>
      <c r="Z6957" s="258"/>
    </row>
    <row r="6958" spans="1:26" ht="12.75" customHeight="1" x14ac:dyDescent="0.2">
      <c r="A6958" s="258"/>
      <c r="Z6958" s="258"/>
    </row>
    <row r="6959" spans="1:26" ht="12.75" customHeight="1" x14ac:dyDescent="0.2">
      <c r="A6959" s="258"/>
      <c r="Z6959" s="258"/>
    </row>
    <row r="6960" spans="1:26" ht="12.75" customHeight="1" x14ac:dyDescent="0.2">
      <c r="A6960" s="258"/>
      <c r="Z6960" s="258"/>
    </row>
    <row r="6961" spans="1:26" ht="12.75" customHeight="1" x14ac:dyDescent="0.2">
      <c r="A6961" s="258"/>
      <c r="Z6961" s="258"/>
    </row>
    <row r="6962" spans="1:26" ht="12.75" customHeight="1" x14ac:dyDescent="0.2">
      <c r="A6962" s="258"/>
      <c r="Z6962" s="258"/>
    </row>
    <row r="6963" spans="1:26" ht="12.75" customHeight="1" x14ac:dyDescent="0.2">
      <c r="A6963" s="258"/>
      <c r="Z6963" s="258"/>
    </row>
    <row r="6964" spans="1:26" ht="12.75" customHeight="1" x14ac:dyDescent="0.2">
      <c r="A6964" s="258"/>
      <c r="Z6964" s="258"/>
    </row>
    <row r="6965" spans="1:26" ht="12.75" customHeight="1" x14ac:dyDescent="0.2">
      <c r="A6965" s="258"/>
      <c r="Z6965" s="258"/>
    </row>
    <row r="6966" spans="1:26" ht="12.75" customHeight="1" x14ac:dyDescent="0.2">
      <c r="A6966" s="258"/>
      <c r="Z6966" s="258"/>
    </row>
    <row r="6967" spans="1:26" ht="12.75" customHeight="1" x14ac:dyDescent="0.2">
      <c r="A6967" s="258"/>
      <c r="Z6967" s="258"/>
    </row>
    <row r="6968" spans="1:26" ht="12.75" customHeight="1" x14ac:dyDescent="0.2">
      <c r="A6968" s="258"/>
      <c r="Z6968" s="258"/>
    </row>
    <row r="6969" spans="1:26" ht="12.75" customHeight="1" x14ac:dyDescent="0.2">
      <c r="A6969" s="258"/>
      <c r="Z6969" s="258"/>
    </row>
    <row r="6970" spans="1:26" ht="12.75" customHeight="1" x14ac:dyDescent="0.2">
      <c r="A6970" s="258"/>
      <c r="Z6970" s="258"/>
    </row>
    <row r="6971" spans="1:26" ht="12.75" customHeight="1" x14ac:dyDescent="0.2">
      <c r="A6971" s="258"/>
      <c r="Z6971" s="258"/>
    </row>
    <row r="6972" spans="1:26" ht="12.75" customHeight="1" x14ac:dyDescent="0.2">
      <c r="A6972" s="258"/>
      <c r="Z6972" s="258"/>
    </row>
    <row r="6973" spans="1:26" ht="12.75" customHeight="1" x14ac:dyDescent="0.2">
      <c r="A6973" s="258"/>
      <c r="Z6973" s="258"/>
    </row>
    <row r="6974" spans="1:26" ht="12.75" customHeight="1" x14ac:dyDescent="0.2">
      <c r="A6974" s="258"/>
      <c r="Z6974" s="258"/>
    </row>
    <row r="6975" spans="1:26" ht="12.75" customHeight="1" x14ac:dyDescent="0.2">
      <c r="A6975" s="258"/>
      <c r="Z6975" s="258"/>
    </row>
    <row r="6976" spans="1:26" ht="12.75" customHeight="1" x14ac:dyDescent="0.2">
      <c r="A6976" s="258"/>
      <c r="Z6976" s="258"/>
    </row>
    <row r="6977" spans="1:26" ht="12.75" customHeight="1" x14ac:dyDescent="0.2">
      <c r="A6977" s="258"/>
      <c r="Z6977" s="258"/>
    </row>
    <row r="6978" spans="1:26" ht="12.75" customHeight="1" x14ac:dyDescent="0.2">
      <c r="A6978" s="258"/>
      <c r="Z6978" s="258"/>
    </row>
    <row r="6979" spans="1:26" ht="12.75" customHeight="1" x14ac:dyDescent="0.2">
      <c r="A6979" s="258"/>
      <c r="Z6979" s="258"/>
    </row>
    <row r="6980" spans="1:26" ht="12.75" customHeight="1" x14ac:dyDescent="0.2">
      <c r="A6980" s="258"/>
      <c r="Z6980" s="258"/>
    </row>
    <row r="6981" spans="1:26" ht="12.75" customHeight="1" x14ac:dyDescent="0.2">
      <c r="A6981" s="258"/>
      <c r="Z6981" s="258"/>
    </row>
    <row r="6982" spans="1:26" ht="12.75" customHeight="1" x14ac:dyDescent="0.2">
      <c r="A6982" s="258"/>
      <c r="Z6982" s="258"/>
    </row>
    <row r="6983" spans="1:26" ht="12.75" customHeight="1" x14ac:dyDescent="0.2">
      <c r="A6983" s="258"/>
      <c r="Z6983" s="258"/>
    </row>
    <row r="6984" spans="1:26" ht="12.75" customHeight="1" x14ac:dyDescent="0.2">
      <c r="A6984" s="258"/>
      <c r="Z6984" s="258"/>
    </row>
    <row r="6985" spans="1:26" ht="12.75" customHeight="1" x14ac:dyDescent="0.2">
      <c r="A6985" s="258"/>
      <c r="Z6985" s="258"/>
    </row>
    <row r="6986" spans="1:26" ht="12.75" customHeight="1" x14ac:dyDescent="0.2">
      <c r="A6986" s="258"/>
      <c r="Z6986" s="258"/>
    </row>
    <row r="6987" spans="1:26" ht="12.75" customHeight="1" x14ac:dyDescent="0.2">
      <c r="A6987" s="258"/>
      <c r="Z6987" s="258"/>
    </row>
    <row r="6988" spans="1:26" ht="12.75" customHeight="1" x14ac:dyDescent="0.2">
      <c r="A6988" s="258"/>
      <c r="Z6988" s="258"/>
    </row>
    <row r="6989" spans="1:26" ht="12.75" customHeight="1" x14ac:dyDescent="0.2">
      <c r="A6989" s="258"/>
      <c r="Z6989" s="258"/>
    </row>
    <row r="6990" spans="1:26" ht="12.75" customHeight="1" x14ac:dyDescent="0.2">
      <c r="A6990" s="258"/>
      <c r="Z6990" s="258"/>
    </row>
    <row r="6991" spans="1:26" ht="12.75" customHeight="1" x14ac:dyDescent="0.2">
      <c r="A6991" s="258"/>
      <c r="Z6991" s="258"/>
    </row>
    <row r="6992" spans="1:26" ht="12.75" customHeight="1" x14ac:dyDescent="0.2">
      <c r="A6992" s="258"/>
      <c r="Z6992" s="258"/>
    </row>
    <row r="6993" spans="1:26" ht="12.75" customHeight="1" x14ac:dyDescent="0.2">
      <c r="A6993" s="258"/>
      <c r="Z6993" s="258"/>
    </row>
    <row r="6994" spans="1:26" ht="12.75" customHeight="1" x14ac:dyDescent="0.2">
      <c r="A6994" s="258"/>
      <c r="Z6994" s="258"/>
    </row>
    <row r="6995" spans="1:26" ht="12.75" customHeight="1" x14ac:dyDescent="0.2">
      <c r="A6995" s="258"/>
      <c r="Z6995" s="258"/>
    </row>
    <row r="6996" spans="1:26" ht="12.75" customHeight="1" x14ac:dyDescent="0.2">
      <c r="A6996" s="258"/>
      <c r="Z6996" s="258"/>
    </row>
    <row r="6997" spans="1:26" ht="12.75" customHeight="1" x14ac:dyDescent="0.2">
      <c r="A6997" s="258"/>
      <c r="Z6997" s="258"/>
    </row>
    <row r="6998" spans="1:26" ht="12.75" customHeight="1" x14ac:dyDescent="0.2">
      <c r="A6998" s="258"/>
      <c r="Z6998" s="258"/>
    </row>
    <row r="6999" spans="1:26" ht="12.75" customHeight="1" x14ac:dyDescent="0.2">
      <c r="A6999" s="258"/>
      <c r="Z6999" s="258"/>
    </row>
    <row r="7000" spans="1:26" ht="12.75" customHeight="1" x14ac:dyDescent="0.2">
      <c r="A7000" s="258"/>
      <c r="Z7000" s="258"/>
    </row>
    <row r="7001" spans="1:26" ht="12.75" customHeight="1" x14ac:dyDescent="0.2">
      <c r="A7001" s="258"/>
      <c r="Z7001" s="258"/>
    </row>
    <row r="7002" spans="1:26" ht="12.75" customHeight="1" x14ac:dyDescent="0.2">
      <c r="A7002" s="258"/>
      <c r="Z7002" s="258"/>
    </row>
    <row r="7003" spans="1:26" ht="12.75" customHeight="1" x14ac:dyDescent="0.2">
      <c r="A7003" s="258"/>
      <c r="Z7003" s="258"/>
    </row>
    <row r="7004" spans="1:26" ht="12.75" customHeight="1" x14ac:dyDescent="0.2">
      <c r="A7004" s="258"/>
      <c r="Z7004" s="258"/>
    </row>
    <row r="7005" spans="1:26" ht="12.75" customHeight="1" x14ac:dyDescent="0.2">
      <c r="A7005" s="258"/>
      <c r="Z7005" s="258"/>
    </row>
    <row r="7006" spans="1:26" ht="12.75" customHeight="1" x14ac:dyDescent="0.2">
      <c r="A7006" s="258"/>
      <c r="Z7006" s="258"/>
    </row>
    <row r="7007" spans="1:26" ht="12.75" customHeight="1" x14ac:dyDescent="0.2">
      <c r="A7007" s="258"/>
      <c r="Z7007" s="258"/>
    </row>
    <row r="7008" spans="1:26" ht="12.75" customHeight="1" x14ac:dyDescent="0.2">
      <c r="A7008" s="258"/>
      <c r="Z7008" s="258"/>
    </row>
    <row r="7009" spans="1:26" ht="12.75" customHeight="1" x14ac:dyDescent="0.2">
      <c r="A7009" s="258"/>
      <c r="Z7009" s="258"/>
    </row>
    <row r="7010" spans="1:26" ht="12.75" customHeight="1" x14ac:dyDescent="0.2">
      <c r="A7010" s="258"/>
      <c r="Z7010" s="258"/>
    </row>
    <row r="7011" spans="1:26" ht="12.75" customHeight="1" x14ac:dyDescent="0.2">
      <c r="A7011" s="258"/>
      <c r="Z7011" s="258"/>
    </row>
    <row r="7012" spans="1:26" ht="12.75" customHeight="1" x14ac:dyDescent="0.2">
      <c r="A7012" s="258"/>
      <c r="Z7012" s="258"/>
    </row>
    <row r="7013" spans="1:26" ht="12.75" customHeight="1" x14ac:dyDescent="0.2">
      <c r="A7013" s="258"/>
      <c r="Z7013" s="258"/>
    </row>
    <row r="7014" spans="1:26" ht="12.75" customHeight="1" x14ac:dyDescent="0.2">
      <c r="A7014" s="258"/>
      <c r="Z7014" s="258"/>
    </row>
    <row r="7015" spans="1:26" ht="12.75" customHeight="1" x14ac:dyDescent="0.2">
      <c r="A7015" s="258"/>
      <c r="Z7015" s="258"/>
    </row>
    <row r="7016" spans="1:26" ht="12.75" customHeight="1" x14ac:dyDescent="0.2">
      <c r="A7016" s="258"/>
      <c r="Z7016" s="258"/>
    </row>
    <row r="7017" spans="1:26" ht="12.75" customHeight="1" x14ac:dyDescent="0.2">
      <c r="A7017" s="258"/>
      <c r="Z7017" s="258"/>
    </row>
    <row r="7018" spans="1:26" ht="12.75" customHeight="1" x14ac:dyDescent="0.2">
      <c r="A7018" s="258"/>
      <c r="Z7018" s="258"/>
    </row>
    <row r="7019" spans="1:26" ht="12.75" customHeight="1" x14ac:dyDescent="0.2">
      <c r="A7019" s="258"/>
      <c r="Z7019" s="258"/>
    </row>
    <row r="7020" spans="1:26" ht="12.75" customHeight="1" x14ac:dyDescent="0.2">
      <c r="A7020" s="258"/>
      <c r="Z7020" s="258"/>
    </row>
    <row r="7021" spans="1:26" ht="12.75" customHeight="1" x14ac:dyDescent="0.2">
      <c r="A7021" s="258"/>
      <c r="Z7021" s="258"/>
    </row>
    <row r="7022" spans="1:26" ht="12.75" customHeight="1" x14ac:dyDescent="0.2">
      <c r="A7022" s="258"/>
      <c r="Z7022" s="258"/>
    </row>
    <row r="7023" spans="1:26" ht="12.75" customHeight="1" x14ac:dyDescent="0.2">
      <c r="A7023" s="258"/>
      <c r="Z7023" s="258"/>
    </row>
    <row r="7024" spans="1:26" ht="12.75" customHeight="1" x14ac:dyDescent="0.2">
      <c r="A7024" s="258"/>
      <c r="Z7024" s="258"/>
    </row>
    <row r="7025" spans="1:26" ht="12.75" customHeight="1" x14ac:dyDescent="0.2">
      <c r="A7025" s="258"/>
      <c r="Z7025" s="258"/>
    </row>
    <row r="7026" spans="1:26" ht="12.75" customHeight="1" x14ac:dyDescent="0.2">
      <c r="A7026" s="258"/>
      <c r="Z7026" s="258"/>
    </row>
    <row r="7027" spans="1:26" ht="12.75" customHeight="1" x14ac:dyDescent="0.2">
      <c r="A7027" s="258"/>
      <c r="Z7027" s="258"/>
    </row>
    <row r="7028" spans="1:26" ht="12.75" customHeight="1" x14ac:dyDescent="0.2">
      <c r="A7028" s="258"/>
      <c r="Z7028" s="258"/>
    </row>
    <row r="7029" spans="1:26" ht="12.75" customHeight="1" x14ac:dyDescent="0.2">
      <c r="A7029" s="258"/>
      <c r="Z7029" s="258"/>
    </row>
    <row r="7030" spans="1:26" ht="12.75" customHeight="1" x14ac:dyDescent="0.2">
      <c r="A7030" s="258"/>
      <c r="Z7030" s="258"/>
    </row>
    <row r="7031" spans="1:26" ht="12.75" customHeight="1" x14ac:dyDescent="0.2">
      <c r="A7031" s="258"/>
      <c r="Z7031" s="258"/>
    </row>
    <row r="7032" spans="1:26" ht="12.75" customHeight="1" x14ac:dyDescent="0.2">
      <c r="A7032" s="258"/>
      <c r="Z7032" s="258"/>
    </row>
    <row r="7033" spans="1:26" ht="12.75" customHeight="1" x14ac:dyDescent="0.2">
      <c r="A7033" s="258"/>
      <c r="Z7033" s="258"/>
    </row>
    <row r="7034" spans="1:26" ht="12.75" customHeight="1" x14ac:dyDescent="0.2">
      <c r="A7034" s="258"/>
      <c r="Z7034" s="258"/>
    </row>
    <row r="7035" spans="1:26" ht="12.75" customHeight="1" x14ac:dyDescent="0.2">
      <c r="A7035" s="258"/>
      <c r="Z7035" s="258"/>
    </row>
    <row r="7036" spans="1:26" ht="12.75" customHeight="1" x14ac:dyDescent="0.2">
      <c r="A7036" s="258"/>
      <c r="Z7036" s="258"/>
    </row>
    <row r="7037" spans="1:26" ht="12.75" customHeight="1" x14ac:dyDescent="0.2">
      <c r="A7037" s="258"/>
      <c r="Z7037" s="258"/>
    </row>
    <row r="7038" spans="1:26" ht="12.75" customHeight="1" x14ac:dyDescent="0.2">
      <c r="A7038" s="258"/>
      <c r="Z7038" s="258"/>
    </row>
    <row r="7039" spans="1:26" ht="12.75" customHeight="1" x14ac:dyDescent="0.2">
      <c r="A7039" s="258"/>
      <c r="Z7039" s="258"/>
    </row>
    <row r="7040" spans="1:26" ht="12.75" customHeight="1" x14ac:dyDescent="0.2">
      <c r="A7040" s="258"/>
      <c r="Z7040" s="258"/>
    </row>
    <row r="7041" spans="1:26" ht="12.75" customHeight="1" x14ac:dyDescent="0.2">
      <c r="A7041" s="258"/>
      <c r="Z7041" s="258"/>
    </row>
    <row r="7042" spans="1:26" ht="12.75" customHeight="1" x14ac:dyDescent="0.2">
      <c r="A7042" s="258"/>
      <c r="Z7042" s="258"/>
    </row>
    <row r="7043" spans="1:26" ht="12.75" customHeight="1" x14ac:dyDescent="0.2">
      <c r="A7043" s="258"/>
      <c r="Z7043" s="258"/>
    </row>
    <row r="7044" spans="1:26" ht="12.75" customHeight="1" x14ac:dyDescent="0.2">
      <c r="A7044" s="258"/>
      <c r="Z7044" s="258"/>
    </row>
    <row r="7045" spans="1:26" ht="12.75" customHeight="1" x14ac:dyDescent="0.2">
      <c r="A7045" s="258"/>
      <c r="Z7045" s="258"/>
    </row>
    <row r="7046" spans="1:26" ht="12.75" customHeight="1" x14ac:dyDescent="0.2">
      <c r="A7046" s="258"/>
      <c r="Z7046" s="258"/>
    </row>
    <row r="7047" spans="1:26" ht="12.75" customHeight="1" x14ac:dyDescent="0.2">
      <c r="A7047" s="258"/>
      <c r="Z7047" s="258"/>
    </row>
    <row r="7048" spans="1:26" ht="12.75" customHeight="1" x14ac:dyDescent="0.2">
      <c r="A7048" s="258"/>
      <c r="Z7048" s="258"/>
    </row>
    <row r="7049" spans="1:26" ht="12.75" customHeight="1" x14ac:dyDescent="0.2">
      <c r="A7049" s="258"/>
      <c r="Z7049" s="258"/>
    </row>
    <row r="7050" spans="1:26" ht="12.75" customHeight="1" x14ac:dyDescent="0.2">
      <c r="A7050" s="258"/>
      <c r="Z7050" s="258"/>
    </row>
    <row r="7051" spans="1:26" ht="12.75" customHeight="1" x14ac:dyDescent="0.2">
      <c r="A7051" s="258"/>
      <c r="Z7051" s="258"/>
    </row>
    <row r="7052" spans="1:26" ht="12.75" customHeight="1" x14ac:dyDescent="0.2">
      <c r="A7052" s="258"/>
      <c r="Z7052" s="258"/>
    </row>
    <row r="7053" spans="1:26" ht="12.75" customHeight="1" x14ac:dyDescent="0.2">
      <c r="A7053" s="258"/>
      <c r="Z7053" s="258"/>
    </row>
    <row r="7054" spans="1:26" ht="12.75" customHeight="1" x14ac:dyDescent="0.2">
      <c r="A7054" s="258"/>
      <c r="Z7054" s="258"/>
    </row>
    <row r="7055" spans="1:26" ht="12.75" customHeight="1" x14ac:dyDescent="0.2">
      <c r="A7055" s="258"/>
      <c r="Z7055" s="258"/>
    </row>
    <row r="7056" spans="1:26" ht="12.75" customHeight="1" x14ac:dyDescent="0.2">
      <c r="A7056" s="258"/>
      <c r="Z7056" s="258"/>
    </row>
    <row r="7057" spans="1:26" ht="12.75" customHeight="1" x14ac:dyDescent="0.2">
      <c r="A7057" s="258"/>
      <c r="Z7057" s="258"/>
    </row>
    <row r="7058" spans="1:26" ht="12.75" customHeight="1" x14ac:dyDescent="0.2">
      <c r="A7058" s="258"/>
      <c r="Z7058" s="258"/>
    </row>
    <row r="7059" spans="1:26" ht="12.75" customHeight="1" x14ac:dyDescent="0.2">
      <c r="A7059" s="258"/>
      <c r="Z7059" s="258"/>
    </row>
    <row r="7060" spans="1:26" ht="12.75" customHeight="1" x14ac:dyDescent="0.2">
      <c r="A7060" s="258"/>
      <c r="Z7060" s="258"/>
    </row>
    <row r="7061" spans="1:26" ht="12.75" customHeight="1" x14ac:dyDescent="0.2">
      <c r="A7061" s="258"/>
      <c r="Z7061" s="258"/>
    </row>
    <row r="7062" spans="1:26" ht="12.75" customHeight="1" x14ac:dyDescent="0.2">
      <c r="A7062" s="258"/>
      <c r="Z7062" s="258"/>
    </row>
    <row r="7063" spans="1:26" ht="12.75" customHeight="1" x14ac:dyDescent="0.2">
      <c r="A7063" s="258"/>
      <c r="Z7063" s="258"/>
    </row>
    <row r="7064" spans="1:26" ht="12.75" customHeight="1" x14ac:dyDescent="0.2">
      <c r="A7064" s="258"/>
      <c r="Z7064" s="258"/>
    </row>
    <row r="7065" spans="1:26" ht="12.75" customHeight="1" x14ac:dyDescent="0.2">
      <c r="A7065" s="258"/>
      <c r="Z7065" s="258"/>
    </row>
    <row r="7066" spans="1:26" ht="12.75" customHeight="1" x14ac:dyDescent="0.2">
      <c r="A7066" s="258"/>
      <c r="Z7066" s="258"/>
    </row>
    <row r="7067" spans="1:26" ht="12.75" customHeight="1" x14ac:dyDescent="0.2">
      <c r="A7067" s="258"/>
      <c r="Z7067" s="258"/>
    </row>
    <row r="7068" spans="1:26" ht="12.75" customHeight="1" x14ac:dyDescent="0.2">
      <c r="A7068" s="258"/>
      <c r="Z7068" s="258"/>
    </row>
    <row r="7069" spans="1:26" ht="12.75" customHeight="1" x14ac:dyDescent="0.2">
      <c r="A7069" s="258"/>
      <c r="Z7069" s="258"/>
    </row>
    <row r="7070" spans="1:26" ht="12.75" customHeight="1" x14ac:dyDescent="0.2">
      <c r="A7070" s="258"/>
      <c r="Z7070" s="258"/>
    </row>
    <row r="7071" spans="1:26" ht="12.75" customHeight="1" x14ac:dyDescent="0.2">
      <c r="A7071" s="258"/>
      <c r="Z7071" s="258"/>
    </row>
    <row r="7072" spans="1:26" ht="12.75" customHeight="1" x14ac:dyDescent="0.2">
      <c r="A7072" s="258"/>
      <c r="Z7072" s="258"/>
    </row>
    <row r="7073" spans="1:26" ht="12.75" customHeight="1" x14ac:dyDescent="0.2">
      <c r="A7073" s="258"/>
      <c r="Z7073" s="258"/>
    </row>
    <row r="7074" spans="1:26" ht="12.75" customHeight="1" x14ac:dyDescent="0.2">
      <c r="A7074" s="258"/>
      <c r="Z7074" s="258"/>
    </row>
    <row r="7075" spans="1:26" ht="12.75" customHeight="1" x14ac:dyDescent="0.2">
      <c r="A7075" s="258"/>
      <c r="Z7075" s="258"/>
    </row>
    <row r="7076" spans="1:26" ht="12.75" customHeight="1" x14ac:dyDescent="0.2">
      <c r="A7076" s="258"/>
      <c r="Z7076" s="258"/>
    </row>
    <row r="7077" spans="1:26" ht="12.75" customHeight="1" x14ac:dyDescent="0.2">
      <c r="A7077" s="258"/>
      <c r="Z7077" s="258"/>
    </row>
    <row r="7078" spans="1:26" ht="12.75" customHeight="1" x14ac:dyDescent="0.2">
      <c r="A7078" s="258"/>
      <c r="Z7078" s="258"/>
    </row>
    <row r="7079" spans="1:26" ht="12.75" customHeight="1" x14ac:dyDescent="0.2">
      <c r="A7079" s="258"/>
      <c r="Z7079" s="258"/>
    </row>
    <row r="7080" spans="1:26" ht="12.75" customHeight="1" x14ac:dyDescent="0.2">
      <c r="A7080" s="258"/>
      <c r="Z7080" s="258"/>
    </row>
    <row r="7081" spans="1:26" ht="12.75" customHeight="1" x14ac:dyDescent="0.2">
      <c r="A7081" s="258"/>
      <c r="Z7081" s="258"/>
    </row>
    <row r="7082" spans="1:26" ht="12.75" customHeight="1" x14ac:dyDescent="0.2">
      <c r="A7082" s="258"/>
      <c r="Z7082" s="258"/>
    </row>
    <row r="7083" spans="1:26" ht="12.75" customHeight="1" x14ac:dyDescent="0.2">
      <c r="A7083" s="258"/>
      <c r="Z7083" s="258"/>
    </row>
    <row r="7084" spans="1:26" ht="12.75" customHeight="1" x14ac:dyDescent="0.2">
      <c r="A7084" s="258"/>
      <c r="Z7084" s="258"/>
    </row>
    <row r="7085" spans="1:26" ht="12.75" customHeight="1" x14ac:dyDescent="0.2">
      <c r="A7085" s="258"/>
      <c r="Z7085" s="258"/>
    </row>
    <row r="7086" spans="1:26" ht="12.75" customHeight="1" x14ac:dyDescent="0.2">
      <c r="A7086" s="258"/>
      <c r="Z7086" s="258"/>
    </row>
    <row r="7087" spans="1:26" ht="12.75" customHeight="1" x14ac:dyDescent="0.2">
      <c r="A7087" s="258"/>
      <c r="Z7087" s="258"/>
    </row>
    <row r="7088" spans="1:26" ht="12.75" customHeight="1" x14ac:dyDescent="0.2">
      <c r="A7088" s="258"/>
      <c r="Z7088" s="258"/>
    </row>
    <row r="7089" spans="1:26" ht="12.75" customHeight="1" x14ac:dyDescent="0.2">
      <c r="A7089" s="258"/>
      <c r="Z7089" s="258"/>
    </row>
    <row r="7090" spans="1:26" ht="12.75" customHeight="1" x14ac:dyDescent="0.2">
      <c r="A7090" s="258"/>
      <c r="Z7090" s="258"/>
    </row>
    <row r="7091" spans="1:26" ht="12.75" customHeight="1" x14ac:dyDescent="0.2">
      <c r="A7091" s="258"/>
      <c r="Z7091" s="258"/>
    </row>
    <row r="7092" spans="1:26" ht="12.75" customHeight="1" x14ac:dyDescent="0.2">
      <c r="A7092" s="258"/>
      <c r="Z7092" s="258"/>
    </row>
    <row r="7093" spans="1:26" ht="12.75" customHeight="1" x14ac:dyDescent="0.2">
      <c r="A7093" s="258"/>
      <c r="Z7093" s="258"/>
    </row>
    <row r="7094" spans="1:26" ht="12.75" customHeight="1" x14ac:dyDescent="0.2">
      <c r="A7094" s="258"/>
      <c r="Z7094" s="258"/>
    </row>
    <row r="7095" spans="1:26" ht="12.75" customHeight="1" x14ac:dyDescent="0.2">
      <c r="A7095" s="258"/>
      <c r="Z7095" s="258"/>
    </row>
    <row r="7096" spans="1:26" ht="12.75" customHeight="1" x14ac:dyDescent="0.2">
      <c r="A7096" s="258"/>
      <c r="Z7096" s="258"/>
    </row>
    <row r="7097" spans="1:26" ht="12.75" customHeight="1" x14ac:dyDescent="0.2">
      <c r="A7097" s="258"/>
      <c r="Z7097" s="258"/>
    </row>
    <row r="7098" spans="1:26" ht="12.75" customHeight="1" x14ac:dyDescent="0.2">
      <c r="A7098" s="258"/>
      <c r="Z7098" s="258"/>
    </row>
    <row r="7099" spans="1:26" ht="12.75" customHeight="1" x14ac:dyDescent="0.2">
      <c r="A7099" s="258"/>
      <c r="Z7099" s="258"/>
    </row>
    <row r="7100" spans="1:26" ht="12.75" customHeight="1" x14ac:dyDescent="0.2">
      <c r="A7100" s="258"/>
      <c r="Z7100" s="258"/>
    </row>
    <row r="7101" spans="1:26" ht="12.75" customHeight="1" x14ac:dyDescent="0.2">
      <c r="A7101" s="258"/>
      <c r="Z7101" s="258"/>
    </row>
    <row r="7102" spans="1:26" ht="12.75" customHeight="1" x14ac:dyDescent="0.2">
      <c r="A7102" s="258"/>
      <c r="Z7102" s="258"/>
    </row>
    <row r="7103" spans="1:26" ht="12.75" customHeight="1" x14ac:dyDescent="0.2">
      <c r="A7103" s="258"/>
      <c r="Z7103" s="258"/>
    </row>
    <row r="7104" spans="1:26" ht="12.75" customHeight="1" x14ac:dyDescent="0.2">
      <c r="A7104" s="258"/>
      <c r="Z7104" s="258"/>
    </row>
    <row r="7105" spans="1:26" ht="12.75" customHeight="1" x14ac:dyDescent="0.2">
      <c r="A7105" s="258"/>
      <c r="Z7105" s="258"/>
    </row>
    <row r="7106" spans="1:26" ht="12.75" customHeight="1" x14ac:dyDescent="0.2">
      <c r="A7106" s="258"/>
      <c r="Z7106" s="258"/>
    </row>
    <row r="7107" spans="1:26" ht="12.75" customHeight="1" x14ac:dyDescent="0.2">
      <c r="A7107" s="258"/>
      <c r="Z7107" s="258"/>
    </row>
    <row r="7108" spans="1:26" ht="12.75" customHeight="1" x14ac:dyDescent="0.2">
      <c r="A7108" s="258"/>
      <c r="Z7108" s="258"/>
    </row>
    <row r="7109" spans="1:26" ht="12.75" customHeight="1" x14ac:dyDescent="0.2">
      <c r="A7109" s="258"/>
      <c r="Z7109" s="258"/>
    </row>
    <row r="7110" spans="1:26" ht="12.75" customHeight="1" x14ac:dyDescent="0.2">
      <c r="A7110" s="258"/>
      <c r="Z7110" s="258"/>
    </row>
    <row r="7111" spans="1:26" ht="12.75" customHeight="1" x14ac:dyDescent="0.2">
      <c r="A7111" s="258"/>
      <c r="Z7111" s="258"/>
    </row>
    <row r="7112" spans="1:26" ht="12.75" customHeight="1" x14ac:dyDescent="0.2">
      <c r="A7112" s="258"/>
      <c r="Z7112" s="258"/>
    </row>
    <row r="7113" spans="1:26" ht="12.75" customHeight="1" x14ac:dyDescent="0.2">
      <c r="A7113" s="258"/>
      <c r="Z7113" s="258"/>
    </row>
    <row r="7114" spans="1:26" ht="12.75" customHeight="1" x14ac:dyDescent="0.2">
      <c r="A7114" s="258"/>
      <c r="Z7114" s="258"/>
    </row>
    <row r="7115" spans="1:26" ht="12.75" customHeight="1" x14ac:dyDescent="0.2">
      <c r="A7115" s="258"/>
      <c r="Z7115" s="258"/>
    </row>
    <row r="7116" spans="1:26" ht="12.75" customHeight="1" x14ac:dyDescent="0.2">
      <c r="A7116" s="258"/>
      <c r="Z7116" s="258"/>
    </row>
    <row r="7117" spans="1:26" ht="12.75" customHeight="1" x14ac:dyDescent="0.2">
      <c r="A7117" s="258"/>
      <c r="Z7117" s="258"/>
    </row>
    <row r="7118" spans="1:26" ht="12.75" customHeight="1" x14ac:dyDescent="0.2">
      <c r="A7118" s="258"/>
      <c r="Z7118" s="258"/>
    </row>
    <row r="7119" spans="1:26" ht="12.75" customHeight="1" x14ac:dyDescent="0.2">
      <c r="A7119" s="258"/>
      <c r="Z7119" s="258"/>
    </row>
    <row r="7120" spans="1:26" ht="12.75" customHeight="1" x14ac:dyDescent="0.2">
      <c r="A7120" s="258"/>
      <c r="Z7120" s="258"/>
    </row>
    <row r="7121" spans="1:26" ht="12.75" customHeight="1" x14ac:dyDescent="0.2">
      <c r="A7121" s="258"/>
      <c r="Z7121" s="258"/>
    </row>
    <row r="7122" spans="1:26" ht="12.75" customHeight="1" x14ac:dyDescent="0.2">
      <c r="A7122" s="258"/>
      <c r="Z7122" s="258"/>
    </row>
    <row r="7123" spans="1:26" ht="12.75" customHeight="1" x14ac:dyDescent="0.2">
      <c r="A7123" s="258"/>
      <c r="Z7123" s="258"/>
    </row>
    <row r="7124" spans="1:26" ht="12.75" customHeight="1" x14ac:dyDescent="0.2">
      <c r="A7124" s="258"/>
      <c r="Z7124" s="258"/>
    </row>
    <row r="7125" spans="1:26" ht="12.75" customHeight="1" x14ac:dyDescent="0.2">
      <c r="A7125" s="258"/>
      <c r="Z7125" s="258"/>
    </row>
    <row r="7126" spans="1:26" ht="12.75" customHeight="1" x14ac:dyDescent="0.2">
      <c r="A7126" s="258"/>
      <c r="Z7126" s="258"/>
    </row>
    <row r="7127" spans="1:26" ht="12.75" customHeight="1" x14ac:dyDescent="0.2">
      <c r="A7127" s="258"/>
      <c r="Z7127" s="258"/>
    </row>
    <row r="7128" spans="1:26" ht="12.75" customHeight="1" x14ac:dyDescent="0.2">
      <c r="A7128" s="258"/>
      <c r="Z7128" s="258"/>
    </row>
    <row r="7129" spans="1:26" ht="12.75" customHeight="1" x14ac:dyDescent="0.2">
      <c r="A7129" s="258"/>
      <c r="Z7129" s="258"/>
    </row>
    <row r="7130" spans="1:26" ht="12.75" customHeight="1" x14ac:dyDescent="0.2">
      <c r="A7130" s="258"/>
      <c r="Z7130" s="258"/>
    </row>
    <row r="7131" spans="1:26" ht="12.75" customHeight="1" x14ac:dyDescent="0.2">
      <c r="A7131" s="258"/>
      <c r="Z7131" s="258"/>
    </row>
    <row r="7132" spans="1:26" ht="12.75" customHeight="1" x14ac:dyDescent="0.2">
      <c r="A7132" s="258"/>
      <c r="Z7132" s="258"/>
    </row>
    <row r="7133" spans="1:26" ht="12.75" customHeight="1" x14ac:dyDescent="0.2">
      <c r="A7133" s="258"/>
      <c r="Z7133" s="258"/>
    </row>
    <row r="7134" spans="1:26" ht="12.75" customHeight="1" x14ac:dyDescent="0.2">
      <c r="A7134" s="258"/>
      <c r="Z7134" s="258"/>
    </row>
    <row r="7135" spans="1:26" ht="12.75" customHeight="1" x14ac:dyDescent="0.2">
      <c r="A7135" s="258"/>
      <c r="Z7135" s="258"/>
    </row>
    <row r="7136" spans="1:26" ht="12.75" customHeight="1" x14ac:dyDescent="0.2">
      <c r="A7136" s="258"/>
      <c r="Z7136" s="258"/>
    </row>
    <row r="7137" spans="1:26" ht="12.75" customHeight="1" x14ac:dyDescent="0.2">
      <c r="A7137" s="258"/>
      <c r="Z7137" s="258"/>
    </row>
    <row r="7138" spans="1:26" ht="12.75" customHeight="1" x14ac:dyDescent="0.2">
      <c r="A7138" s="258"/>
      <c r="Z7138" s="258"/>
    </row>
    <row r="7139" spans="1:26" ht="12.75" customHeight="1" x14ac:dyDescent="0.2">
      <c r="A7139" s="258"/>
      <c r="Z7139" s="258"/>
    </row>
    <row r="7140" spans="1:26" ht="12.75" customHeight="1" x14ac:dyDescent="0.2">
      <c r="A7140" s="258"/>
      <c r="Z7140" s="258"/>
    </row>
    <row r="7141" spans="1:26" ht="12.75" customHeight="1" x14ac:dyDescent="0.2">
      <c r="A7141" s="258"/>
      <c r="Z7141" s="258"/>
    </row>
    <row r="7142" spans="1:26" ht="12.75" customHeight="1" x14ac:dyDescent="0.2">
      <c r="A7142" s="258"/>
      <c r="Z7142" s="258"/>
    </row>
    <row r="7143" spans="1:26" ht="12.75" customHeight="1" x14ac:dyDescent="0.2">
      <c r="A7143" s="258"/>
      <c r="Z7143" s="258"/>
    </row>
    <row r="7144" spans="1:26" ht="12.75" customHeight="1" x14ac:dyDescent="0.2">
      <c r="A7144" s="258"/>
      <c r="Z7144" s="258"/>
    </row>
    <row r="7145" spans="1:26" ht="12.75" customHeight="1" x14ac:dyDescent="0.2">
      <c r="A7145" s="258"/>
      <c r="Z7145" s="258"/>
    </row>
    <row r="7146" spans="1:26" ht="12.75" customHeight="1" x14ac:dyDescent="0.2">
      <c r="A7146" s="258"/>
      <c r="Z7146" s="258"/>
    </row>
    <row r="7147" spans="1:26" ht="12.75" customHeight="1" x14ac:dyDescent="0.2">
      <c r="A7147" s="258"/>
      <c r="Z7147" s="258"/>
    </row>
    <row r="7148" spans="1:26" ht="12.75" customHeight="1" x14ac:dyDescent="0.2">
      <c r="A7148" s="258"/>
      <c r="Z7148" s="258"/>
    </row>
    <row r="7149" spans="1:26" ht="12.75" customHeight="1" x14ac:dyDescent="0.2">
      <c r="A7149" s="258"/>
      <c r="Z7149" s="258"/>
    </row>
    <row r="7150" spans="1:26" ht="12.75" customHeight="1" x14ac:dyDescent="0.2">
      <c r="A7150" s="258"/>
      <c r="Z7150" s="258"/>
    </row>
    <row r="7151" spans="1:26" ht="12.75" customHeight="1" x14ac:dyDescent="0.2">
      <c r="A7151" s="258"/>
      <c r="Z7151" s="258"/>
    </row>
    <row r="7152" spans="1:26" ht="12.75" customHeight="1" x14ac:dyDescent="0.2">
      <c r="A7152" s="258"/>
      <c r="Z7152" s="258"/>
    </row>
    <row r="7153" spans="1:26" ht="12.75" customHeight="1" x14ac:dyDescent="0.2">
      <c r="A7153" s="258"/>
      <c r="Z7153" s="258"/>
    </row>
    <row r="7154" spans="1:26" ht="12.75" customHeight="1" x14ac:dyDescent="0.2">
      <c r="A7154" s="258"/>
      <c r="Z7154" s="258"/>
    </row>
    <row r="7155" spans="1:26" ht="12.75" customHeight="1" x14ac:dyDescent="0.2">
      <c r="A7155" s="258"/>
      <c r="Z7155" s="258"/>
    </row>
    <row r="7156" spans="1:26" ht="12.75" customHeight="1" x14ac:dyDescent="0.2">
      <c r="A7156" s="258"/>
      <c r="Z7156" s="258"/>
    </row>
    <row r="7157" spans="1:26" ht="12.75" customHeight="1" x14ac:dyDescent="0.2">
      <c r="A7157" s="258"/>
      <c r="Z7157" s="258"/>
    </row>
    <row r="7158" spans="1:26" ht="12.75" customHeight="1" x14ac:dyDescent="0.2">
      <c r="A7158" s="258"/>
      <c r="Z7158" s="258"/>
    </row>
    <row r="7159" spans="1:26" ht="12.75" customHeight="1" x14ac:dyDescent="0.2">
      <c r="A7159" s="258"/>
      <c r="Z7159" s="258"/>
    </row>
    <row r="7160" spans="1:26" ht="12.75" customHeight="1" x14ac:dyDescent="0.2">
      <c r="A7160" s="258"/>
      <c r="Z7160" s="258"/>
    </row>
    <row r="7161" spans="1:26" ht="12.75" customHeight="1" x14ac:dyDescent="0.2">
      <c r="A7161" s="258"/>
      <c r="Z7161" s="258"/>
    </row>
    <row r="7162" spans="1:26" ht="12.75" customHeight="1" x14ac:dyDescent="0.2">
      <c r="A7162" s="258"/>
      <c r="Z7162" s="258"/>
    </row>
    <row r="7163" spans="1:26" ht="12.75" customHeight="1" x14ac:dyDescent="0.2">
      <c r="A7163" s="258"/>
      <c r="Z7163" s="258"/>
    </row>
    <row r="7164" spans="1:26" ht="12.75" customHeight="1" x14ac:dyDescent="0.2">
      <c r="A7164" s="258"/>
      <c r="Z7164" s="258"/>
    </row>
    <row r="7165" spans="1:26" ht="12.75" customHeight="1" x14ac:dyDescent="0.2">
      <c r="A7165" s="258"/>
      <c r="Z7165" s="258"/>
    </row>
    <row r="7166" spans="1:26" ht="12.75" customHeight="1" x14ac:dyDescent="0.2">
      <c r="A7166" s="258"/>
      <c r="Z7166" s="258"/>
    </row>
    <row r="7167" spans="1:26" ht="12.75" customHeight="1" x14ac:dyDescent="0.2">
      <c r="A7167" s="258"/>
      <c r="Z7167" s="258"/>
    </row>
    <row r="7168" spans="1:26" ht="12.75" customHeight="1" x14ac:dyDescent="0.2">
      <c r="A7168" s="258"/>
      <c r="Z7168" s="258"/>
    </row>
    <row r="7169" spans="1:26" ht="12.75" customHeight="1" x14ac:dyDescent="0.2">
      <c r="A7169" s="258"/>
      <c r="Z7169" s="258"/>
    </row>
    <row r="7170" spans="1:26" ht="12.75" customHeight="1" x14ac:dyDescent="0.2">
      <c r="A7170" s="258"/>
      <c r="Z7170" s="258"/>
    </row>
    <row r="7171" spans="1:26" ht="12.75" customHeight="1" x14ac:dyDescent="0.2">
      <c r="A7171" s="258"/>
      <c r="Z7171" s="258"/>
    </row>
    <row r="7172" spans="1:26" ht="12.75" customHeight="1" x14ac:dyDescent="0.2">
      <c r="A7172" s="258"/>
      <c r="Z7172" s="258"/>
    </row>
    <row r="7173" spans="1:26" ht="12.75" customHeight="1" x14ac:dyDescent="0.2">
      <c r="A7173" s="258"/>
      <c r="Z7173" s="258"/>
    </row>
    <row r="7174" spans="1:26" ht="12.75" customHeight="1" x14ac:dyDescent="0.2">
      <c r="A7174" s="258"/>
      <c r="Z7174" s="258"/>
    </row>
    <row r="7175" spans="1:26" ht="12.75" customHeight="1" x14ac:dyDescent="0.2">
      <c r="A7175" s="258"/>
      <c r="Z7175" s="258"/>
    </row>
    <row r="7176" spans="1:26" ht="12.75" customHeight="1" x14ac:dyDescent="0.2">
      <c r="A7176" s="258"/>
      <c r="Z7176" s="258"/>
    </row>
    <row r="7177" spans="1:26" ht="12.75" customHeight="1" x14ac:dyDescent="0.2">
      <c r="A7177" s="258"/>
      <c r="Z7177" s="258"/>
    </row>
    <row r="7178" spans="1:26" ht="12.75" customHeight="1" x14ac:dyDescent="0.2">
      <c r="A7178" s="258"/>
      <c r="Z7178" s="258"/>
    </row>
    <row r="7179" spans="1:26" ht="12.75" customHeight="1" x14ac:dyDescent="0.2">
      <c r="A7179" s="258"/>
      <c r="Z7179" s="258"/>
    </row>
    <row r="7180" spans="1:26" ht="12.75" customHeight="1" x14ac:dyDescent="0.2">
      <c r="A7180" s="258"/>
      <c r="Z7180" s="258"/>
    </row>
    <row r="7181" spans="1:26" ht="12.75" customHeight="1" x14ac:dyDescent="0.2">
      <c r="A7181" s="258"/>
      <c r="Z7181" s="258"/>
    </row>
    <row r="7182" spans="1:26" ht="12.75" customHeight="1" x14ac:dyDescent="0.2">
      <c r="A7182" s="258"/>
      <c r="Z7182" s="258"/>
    </row>
    <row r="7183" spans="1:26" ht="12.75" customHeight="1" x14ac:dyDescent="0.2">
      <c r="A7183" s="258"/>
      <c r="Z7183" s="258"/>
    </row>
    <row r="7184" spans="1:26" ht="12.75" customHeight="1" x14ac:dyDescent="0.2">
      <c r="A7184" s="258"/>
      <c r="Z7184" s="258"/>
    </row>
    <row r="7185" spans="1:26" ht="12.75" customHeight="1" x14ac:dyDescent="0.2">
      <c r="A7185" s="258"/>
      <c r="Z7185" s="258"/>
    </row>
    <row r="7186" spans="1:26" ht="12.75" customHeight="1" x14ac:dyDescent="0.2">
      <c r="A7186" s="258"/>
      <c r="Z7186" s="258"/>
    </row>
    <row r="7187" spans="1:26" ht="12.75" customHeight="1" x14ac:dyDescent="0.2">
      <c r="A7187" s="258"/>
      <c r="Z7187" s="258"/>
    </row>
    <row r="7188" spans="1:26" ht="12.75" customHeight="1" x14ac:dyDescent="0.2">
      <c r="A7188" s="258"/>
      <c r="Z7188" s="258"/>
    </row>
    <row r="7189" spans="1:26" ht="12.75" customHeight="1" x14ac:dyDescent="0.2">
      <c r="A7189" s="258"/>
      <c r="Z7189" s="258"/>
    </row>
    <row r="7190" spans="1:26" ht="12.75" customHeight="1" x14ac:dyDescent="0.2">
      <c r="A7190" s="258"/>
      <c r="Z7190" s="258"/>
    </row>
    <row r="7191" spans="1:26" ht="12.75" customHeight="1" x14ac:dyDescent="0.2">
      <c r="A7191" s="258"/>
      <c r="Z7191" s="258"/>
    </row>
    <row r="7192" spans="1:26" ht="12.75" customHeight="1" x14ac:dyDescent="0.2">
      <c r="A7192" s="258"/>
      <c r="Z7192" s="258"/>
    </row>
    <row r="7193" spans="1:26" ht="12.75" customHeight="1" x14ac:dyDescent="0.2">
      <c r="A7193" s="258"/>
      <c r="Z7193" s="258"/>
    </row>
    <row r="7194" spans="1:26" ht="12.75" customHeight="1" x14ac:dyDescent="0.2">
      <c r="A7194" s="258"/>
      <c r="Z7194" s="258"/>
    </row>
    <row r="7195" spans="1:26" ht="12.75" customHeight="1" x14ac:dyDescent="0.2">
      <c r="A7195" s="258"/>
      <c r="Z7195" s="258"/>
    </row>
    <row r="7196" spans="1:26" ht="12.75" customHeight="1" x14ac:dyDescent="0.2">
      <c r="A7196" s="258"/>
      <c r="Z7196" s="258"/>
    </row>
    <row r="7197" spans="1:26" ht="12.75" customHeight="1" x14ac:dyDescent="0.2">
      <c r="A7197" s="258"/>
      <c r="Z7197" s="258"/>
    </row>
    <row r="7198" spans="1:26" ht="12.75" customHeight="1" x14ac:dyDescent="0.2">
      <c r="A7198" s="258"/>
      <c r="Z7198" s="258"/>
    </row>
    <row r="7199" spans="1:26" ht="12.75" customHeight="1" x14ac:dyDescent="0.2">
      <c r="A7199" s="258"/>
      <c r="Z7199" s="258"/>
    </row>
    <row r="7200" spans="1:26" ht="12.75" customHeight="1" x14ac:dyDescent="0.2">
      <c r="A7200" s="258"/>
      <c r="Z7200" s="258"/>
    </row>
    <row r="7201" spans="1:26" ht="12.75" customHeight="1" x14ac:dyDescent="0.2">
      <c r="A7201" s="258"/>
      <c r="Z7201" s="258"/>
    </row>
    <row r="7202" spans="1:26" ht="12.75" customHeight="1" x14ac:dyDescent="0.2">
      <c r="A7202" s="258"/>
      <c r="Z7202" s="258"/>
    </row>
    <row r="7203" spans="1:26" ht="12.75" customHeight="1" x14ac:dyDescent="0.2">
      <c r="A7203" s="258"/>
      <c r="Z7203" s="258"/>
    </row>
    <row r="7204" spans="1:26" ht="12.75" customHeight="1" x14ac:dyDescent="0.2">
      <c r="A7204" s="258"/>
      <c r="Z7204" s="258"/>
    </row>
    <row r="7205" spans="1:26" ht="12.75" customHeight="1" x14ac:dyDescent="0.2">
      <c r="A7205" s="258"/>
      <c r="Z7205" s="258"/>
    </row>
    <row r="7206" spans="1:26" ht="12.75" customHeight="1" x14ac:dyDescent="0.2">
      <c r="A7206" s="258"/>
      <c r="Z7206" s="258"/>
    </row>
    <row r="7207" spans="1:26" ht="12.75" customHeight="1" x14ac:dyDescent="0.2">
      <c r="A7207" s="258"/>
      <c r="Z7207" s="258"/>
    </row>
    <row r="7208" spans="1:26" ht="12.75" customHeight="1" x14ac:dyDescent="0.2">
      <c r="A7208" s="258"/>
      <c r="Z7208" s="258"/>
    </row>
    <row r="7209" spans="1:26" ht="12.75" customHeight="1" x14ac:dyDescent="0.2">
      <c r="A7209" s="258"/>
      <c r="Z7209" s="258"/>
    </row>
    <row r="7210" spans="1:26" ht="12.75" customHeight="1" x14ac:dyDescent="0.2">
      <c r="A7210" s="258"/>
      <c r="Z7210" s="258"/>
    </row>
    <row r="7211" spans="1:26" ht="12.75" customHeight="1" x14ac:dyDescent="0.2">
      <c r="A7211" s="258"/>
      <c r="Z7211" s="258"/>
    </row>
    <row r="7212" spans="1:26" ht="12.75" customHeight="1" x14ac:dyDescent="0.2">
      <c r="A7212" s="258"/>
      <c r="Z7212" s="258"/>
    </row>
    <row r="7213" spans="1:26" ht="12.75" customHeight="1" x14ac:dyDescent="0.2">
      <c r="A7213" s="258"/>
      <c r="Z7213" s="258"/>
    </row>
    <row r="7214" spans="1:26" ht="12.75" customHeight="1" x14ac:dyDescent="0.2">
      <c r="A7214" s="258"/>
      <c r="Z7214" s="258"/>
    </row>
    <row r="7215" spans="1:26" ht="12.75" customHeight="1" x14ac:dyDescent="0.2">
      <c r="A7215" s="258"/>
      <c r="Z7215" s="258"/>
    </row>
    <row r="7216" spans="1:26" ht="12.75" customHeight="1" x14ac:dyDescent="0.2">
      <c r="A7216" s="258"/>
      <c r="Z7216" s="258"/>
    </row>
    <row r="7217" spans="1:26" ht="12.75" customHeight="1" x14ac:dyDescent="0.2">
      <c r="A7217" s="258"/>
      <c r="Z7217" s="258"/>
    </row>
    <row r="7218" spans="1:26" ht="12.75" customHeight="1" x14ac:dyDescent="0.2">
      <c r="A7218" s="258"/>
      <c r="Z7218" s="258"/>
    </row>
    <row r="7219" spans="1:26" ht="12.75" customHeight="1" x14ac:dyDescent="0.2">
      <c r="A7219" s="258"/>
      <c r="Z7219" s="258"/>
    </row>
    <row r="7220" spans="1:26" ht="12.75" customHeight="1" x14ac:dyDescent="0.2">
      <c r="A7220" s="258"/>
      <c r="Z7220" s="258"/>
    </row>
    <row r="7221" spans="1:26" ht="12.75" customHeight="1" x14ac:dyDescent="0.2">
      <c r="A7221" s="258"/>
      <c r="Z7221" s="258"/>
    </row>
    <row r="7222" spans="1:26" ht="12.75" customHeight="1" x14ac:dyDescent="0.2">
      <c r="A7222" s="258"/>
      <c r="Z7222" s="258"/>
    </row>
    <row r="7223" spans="1:26" ht="12.75" customHeight="1" x14ac:dyDescent="0.2">
      <c r="A7223" s="258"/>
      <c r="Z7223" s="258"/>
    </row>
    <row r="7224" spans="1:26" ht="12.75" customHeight="1" x14ac:dyDescent="0.2">
      <c r="A7224" s="258"/>
      <c r="Z7224" s="258"/>
    </row>
    <row r="7225" spans="1:26" ht="12.75" customHeight="1" x14ac:dyDescent="0.2">
      <c r="A7225" s="258"/>
      <c r="Z7225" s="258"/>
    </row>
    <row r="7226" spans="1:26" ht="12.75" customHeight="1" x14ac:dyDescent="0.2">
      <c r="A7226" s="258"/>
      <c r="Z7226" s="258"/>
    </row>
    <row r="7227" spans="1:26" ht="12.75" customHeight="1" x14ac:dyDescent="0.2">
      <c r="A7227" s="258"/>
      <c r="Z7227" s="258"/>
    </row>
    <row r="7228" spans="1:26" ht="12.75" customHeight="1" x14ac:dyDescent="0.2">
      <c r="A7228" s="258"/>
      <c r="Z7228" s="258"/>
    </row>
    <row r="7229" spans="1:26" ht="12.75" customHeight="1" x14ac:dyDescent="0.2">
      <c r="A7229" s="258"/>
      <c r="Z7229" s="258"/>
    </row>
    <row r="7230" spans="1:26" ht="12.75" customHeight="1" x14ac:dyDescent="0.2">
      <c r="A7230" s="258"/>
      <c r="Z7230" s="258"/>
    </row>
    <row r="7231" spans="1:26" ht="12.75" customHeight="1" x14ac:dyDescent="0.2">
      <c r="A7231" s="258"/>
      <c r="Z7231" s="258"/>
    </row>
    <row r="7232" spans="1:26" ht="12.75" customHeight="1" x14ac:dyDescent="0.2">
      <c r="A7232" s="258"/>
      <c r="Z7232" s="258"/>
    </row>
    <row r="7233" spans="1:26" ht="12.75" customHeight="1" x14ac:dyDescent="0.2">
      <c r="A7233" s="258"/>
      <c r="Z7233" s="258"/>
    </row>
    <row r="7234" spans="1:26" ht="12.75" customHeight="1" x14ac:dyDescent="0.2">
      <c r="A7234" s="258"/>
      <c r="Z7234" s="258"/>
    </row>
    <row r="7235" spans="1:26" ht="12.75" customHeight="1" x14ac:dyDescent="0.2">
      <c r="A7235" s="258"/>
      <c r="Z7235" s="258"/>
    </row>
    <row r="7236" spans="1:26" ht="12.75" customHeight="1" x14ac:dyDescent="0.2">
      <c r="A7236" s="258"/>
      <c r="Z7236" s="258"/>
    </row>
    <row r="7237" spans="1:26" ht="12.75" customHeight="1" x14ac:dyDescent="0.2">
      <c r="A7237" s="258"/>
      <c r="Z7237" s="258"/>
    </row>
    <row r="7238" spans="1:26" ht="12.75" customHeight="1" x14ac:dyDescent="0.2">
      <c r="A7238" s="258"/>
      <c r="Z7238" s="258"/>
    </row>
    <row r="7239" spans="1:26" ht="12.75" customHeight="1" x14ac:dyDescent="0.2">
      <c r="A7239" s="258"/>
      <c r="Z7239" s="258"/>
    </row>
    <row r="7240" spans="1:26" ht="12.75" customHeight="1" x14ac:dyDescent="0.2">
      <c r="A7240" s="258"/>
      <c r="Z7240" s="258"/>
    </row>
    <row r="7241" spans="1:26" ht="12.75" customHeight="1" x14ac:dyDescent="0.2">
      <c r="A7241" s="258"/>
      <c r="Z7241" s="258"/>
    </row>
    <row r="7242" spans="1:26" ht="12.75" customHeight="1" x14ac:dyDescent="0.2">
      <c r="A7242" s="258"/>
      <c r="Z7242" s="258"/>
    </row>
    <row r="7243" spans="1:26" ht="12.75" customHeight="1" x14ac:dyDescent="0.2">
      <c r="A7243" s="258"/>
      <c r="Z7243" s="258"/>
    </row>
    <row r="7244" spans="1:26" ht="12.75" customHeight="1" x14ac:dyDescent="0.2">
      <c r="A7244" s="258"/>
      <c r="Z7244" s="258"/>
    </row>
    <row r="7245" spans="1:26" ht="12.75" customHeight="1" x14ac:dyDescent="0.2">
      <c r="A7245" s="258"/>
      <c r="Z7245" s="258"/>
    </row>
    <row r="7246" spans="1:26" ht="12.75" customHeight="1" x14ac:dyDescent="0.2">
      <c r="A7246" s="258"/>
      <c r="Z7246" s="258"/>
    </row>
    <row r="7247" spans="1:26" ht="12.75" customHeight="1" x14ac:dyDescent="0.2">
      <c r="A7247" s="258"/>
      <c r="Z7247" s="258"/>
    </row>
    <row r="7248" spans="1:26" ht="12.75" customHeight="1" x14ac:dyDescent="0.2">
      <c r="A7248" s="258"/>
      <c r="Z7248" s="258"/>
    </row>
    <row r="7249" spans="1:26" ht="12.75" customHeight="1" x14ac:dyDescent="0.2">
      <c r="A7249" s="258"/>
      <c r="Z7249" s="258"/>
    </row>
    <row r="7250" spans="1:26" ht="12.75" customHeight="1" x14ac:dyDescent="0.2">
      <c r="A7250" s="258"/>
      <c r="Z7250" s="258"/>
    </row>
    <row r="7251" spans="1:26" ht="12.75" customHeight="1" x14ac:dyDescent="0.2">
      <c r="A7251" s="258"/>
      <c r="Z7251" s="258"/>
    </row>
    <row r="7252" spans="1:26" ht="12.75" customHeight="1" x14ac:dyDescent="0.2">
      <c r="A7252" s="258"/>
      <c r="Z7252" s="258"/>
    </row>
    <row r="7253" spans="1:26" ht="12.75" customHeight="1" x14ac:dyDescent="0.2">
      <c r="A7253" s="258"/>
      <c r="Z7253" s="258"/>
    </row>
    <row r="7254" spans="1:26" ht="12.75" customHeight="1" x14ac:dyDescent="0.2">
      <c r="A7254" s="258"/>
      <c r="Z7254" s="258"/>
    </row>
    <row r="7255" spans="1:26" ht="12.75" customHeight="1" x14ac:dyDescent="0.2">
      <c r="A7255" s="258"/>
      <c r="Z7255" s="258"/>
    </row>
    <row r="7256" spans="1:26" ht="12.75" customHeight="1" x14ac:dyDescent="0.2">
      <c r="A7256" s="258"/>
      <c r="Z7256" s="258"/>
    </row>
    <row r="7257" spans="1:26" ht="12.75" customHeight="1" x14ac:dyDescent="0.2">
      <c r="A7257" s="258"/>
      <c r="Z7257" s="258"/>
    </row>
    <row r="7258" spans="1:26" ht="12.75" customHeight="1" x14ac:dyDescent="0.2">
      <c r="A7258" s="258"/>
      <c r="Z7258" s="258"/>
    </row>
    <row r="7259" spans="1:26" ht="12.75" customHeight="1" x14ac:dyDescent="0.2">
      <c r="A7259" s="258"/>
      <c r="Z7259" s="258"/>
    </row>
    <row r="7260" spans="1:26" ht="12.75" customHeight="1" x14ac:dyDescent="0.2">
      <c r="A7260" s="258"/>
      <c r="Z7260" s="258"/>
    </row>
    <row r="7261" spans="1:26" ht="12.75" customHeight="1" x14ac:dyDescent="0.2">
      <c r="A7261" s="258"/>
      <c r="Z7261" s="258"/>
    </row>
    <row r="7262" spans="1:26" ht="12.75" customHeight="1" x14ac:dyDescent="0.2">
      <c r="A7262" s="258"/>
      <c r="Z7262" s="258"/>
    </row>
    <row r="7263" spans="1:26" ht="12.75" customHeight="1" x14ac:dyDescent="0.2">
      <c r="A7263" s="258"/>
      <c r="Z7263" s="258"/>
    </row>
    <row r="7264" spans="1:26" ht="12.75" customHeight="1" x14ac:dyDescent="0.2">
      <c r="A7264" s="258"/>
      <c r="Z7264" s="258"/>
    </row>
    <row r="7265" spans="1:26" ht="12.75" customHeight="1" x14ac:dyDescent="0.2">
      <c r="A7265" s="258"/>
      <c r="Z7265" s="258"/>
    </row>
    <row r="7266" spans="1:26" ht="12.75" customHeight="1" x14ac:dyDescent="0.2">
      <c r="A7266" s="258"/>
      <c r="Z7266" s="258"/>
    </row>
    <row r="7267" spans="1:26" ht="12.75" customHeight="1" x14ac:dyDescent="0.2">
      <c r="A7267" s="258"/>
      <c r="Z7267" s="258"/>
    </row>
    <row r="7268" spans="1:26" ht="12.75" customHeight="1" x14ac:dyDescent="0.2">
      <c r="A7268" s="258"/>
      <c r="Z7268" s="258"/>
    </row>
    <row r="7269" spans="1:26" ht="12.75" customHeight="1" x14ac:dyDescent="0.2">
      <c r="A7269" s="258"/>
      <c r="Z7269" s="258"/>
    </row>
    <row r="7270" spans="1:26" ht="12.75" customHeight="1" x14ac:dyDescent="0.2">
      <c r="A7270" s="258"/>
      <c r="Z7270" s="258"/>
    </row>
    <row r="7271" spans="1:26" ht="12.75" customHeight="1" x14ac:dyDescent="0.2">
      <c r="A7271" s="258"/>
      <c r="Z7271" s="258"/>
    </row>
    <row r="7272" spans="1:26" ht="12.75" customHeight="1" x14ac:dyDescent="0.2">
      <c r="A7272" s="258"/>
      <c r="Z7272" s="258"/>
    </row>
    <row r="7273" spans="1:26" ht="12.75" customHeight="1" x14ac:dyDescent="0.2">
      <c r="A7273" s="258"/>
      <c r="Z7273" s="258"/>
    </row>
    <row r="7274" spans="1:26" ht="12.75" customHeight="1" x14ac:dyDescent="0.2">
      <c r="A7274" s="258"/>
      <c r="Z7274" s="258"/>
    </row>
    <row r="7275" spans="1:26" ht="12.75" customHeight="1" x14ac:dyDescent="0.2">
      <c r="A7275" s="258"/>
      <c r="Z7275" s="258"/>
    </row>
    <row r="7276" spans="1:26" ht="12.75" customHeight="1" x14ac:dyDescent="0.2">
      <c r="A7276" s="258"/>
      <c r="Z7276" s="258"/>
    </row>
    <row r="7277" spans="1:26" ht="12.75" customHeight="1" x14ac:dyDescent="0.2">
      <c r="A7277" s="258"/>
      <c r="Z7277" s="258"/>
    </row>
    <row r="7278" spans="1:26" ht="12.75" customHeight="1" x14ac:dyDescent="0.2">
      <c r="A7278" s="258"/>
      <c r="Z7278" s="258"/>
    </row>
    <row r="7279" spans="1:26" ht="12.75" customHeight="1" x14ac:dyDescent="0.2">
      <c r="A7279" s="258"/>
      <c r="Z7279" s="258"/>
    </row>
    <row r="7280" spans="1:26" ht="12.75" customHeight="1" x14ac:dyDescent="0.2">
      <c r="A7280" s="258"/>
      <c r="Z7280" s="258"/>
    </row>
    <row r="7281" spans="1:26" ht="12.75" customHeight="1" x14ac:dyDescent="0.2">
      <c r="A7281" s="258"/>
      <c r="Z7281" s="258"/>
    </row>
    <row r="7282" spans="1:26" ht="12.75" customHeight="1" x14ac:dyDescent="0.2">
      <c r="A7282" s="258"/>
      <c r="Z7282" s="258"/>
    </row>
    <row r="7283" spans="1:26" ht="12.75" customHeight="1" x14ac:dyDescent="0.2">
      <c r="A7283" s="258"/>
      <c r="Z7283" s="258"/>
    </row>
    <row r="7284" spans="1:26" ht="12.75" customHeight="1" x14ac:dyDescent="0.2">
      <c r="A7284" s="258"/>
      <c r="Z7284" s="258"/>
    </row>
    <row r="7285" spans="1:26" ht="12.75" customHeight="1" x14ac:dyDescent="0.2">
      <c r="A7285" s="258"/>
      <c r="Z7285" s="258"/>
    </row>
    <row r="7286" spans="1:26" ht="12.75" customHeight="1" x14ac:dyDescent="0.2">
      <c r="A7286" s="258"/>
      <c r="Z7286" s="258"/>
    </row>
    <row r="7287" spans="1:26" ht="12.75" customHeight="1" x14ac:dyDescent="0.2">
      <c r="A7287" s="258"/>
      <c r="Z7287" s="258"/>
    </row>
    <row r="7288" spans="1:26" ht="12.75" customHeight="1" x14ac:dyDescent="0.2">
      <c r="A7288" s="258"/>
      <c r="Z7288" s="258"/>
    </row>
    <row r="7289" spans="1:26" ht="12.75" customHeight="1" x14ac:dyDescent="0.2">
      <c r="A7289" s="258"/>
      <c r="Z7289" s="258"/>
    </row>
    <row r="7290" spans="1:26" ht="12.75" customHeight="1" x14ac:dyDescent="0.2">
      <c r="A7290" s="258"/>
      <c r="Z7290" s="258"/>
    </row>
    <row r="7291" spans="1:26" ht="12.75" customHeight="1" x14ac:dyDescent="0.2">
      <c r="A7291" s="258"/>
      <c r="Z7291" s="258"/>
    </row>
    <row r="7292" spans="1:26" ht="12.75" customHeight="1" x14ac:dyDescent="0.2">
      <c r="A7292" s="258"/>
      <c r="Z7292" s="258"/>
    </row>
    <row r="7293" spans="1:26" ht="12.75" customHeight="1" x14ac:dyDescent="0.2">
      <c r="A7293" s="258"/>
      <c r="Z7293" s="258"/>
    </row>
    <row r="7294" spans="1:26" ht="12.75" customHeight="1" x14ac:dyDescent="0.2">
      <c r="A7294" s="258"/>
      <c r="Z7294" s="258"/>
    </row>
    <row r="7295" spans="1:26" ht="12.75" customHeight="1" x14ac:dyDescent="0.2">
      <c r="A7295" s="258"/>
      <c r="Z7295" s="258"/>
    </row>
    <row r="7296" spans="1:26" ht="12.75" customHeight="1" x14ac:dyDescent="0.2">
      <c r="A7296" s="258"/>
      <c r="Z7296" s="258"/>
    </row>
    <row r="7297" spans="1:26" ht="12.75" customHeight="1" x14ac:dyDescent="0.2">
      <c r="A7297" s="258"/>
      <c r="Z7297" s="258"/>
    </row>
    <row r="7298" spans="1:26" ht="12.75" customHeight="1" x14ac:dyDescent="0.2">
      <c r="A7298" s="258"/>
      <c r="Z7298" s="258"/>
    </row>
    <row r="7299" spans="1:26" ht="12.75" customHeight="1" x14ac:dyDescent="0.2">
      <c r="A7299" s="258"/>
      <c r="Z7299" s="258"/>
    </row>
    <row r="7300" spans="1:26" ht="12.75" customHeight="1" x14ac:dyDescent="0.2">
      <c r="A7300" s="258"/>
      <c r="Z7300" s="258"/>
    </row>
    <row r="7301" spans="1:26" ht="12.75" customHeight="1" x14ac:dyDescent="0.2">
      <c r="A7301" s="258"/>
      <c r="Z7301" s="258"/>
    </row>
    <row r="7302" spans="1:26" ht="12.75" customHeight="1" x14ac:dyDescent="0.2">
      <c r="A7302" s="258"/>
      <c r="Z7302" s="258"/>
    </row>
    <row r="7303" spans="1:26" ht="12.75" customHeight="1" x14ac:dyDescent="0.2">
      <c r="A7303" s="258"/>
      <c r="Z7303" s="258"/>
    </row>
    <row r="7304" spans="1:26" ht="12.75" customHeight="1" x14ac:dyDescent="0.2">
      <c r="A7304" s="258"/>
      <c r="Z7304" s="258"/>
    </row>
    <row r="7305" spans="1:26" ht="12.75" customHeight="1" x14ac:dyDescent="0.2">
      <c r="A7305" s="258"/>
      <c r="Z7305" s="258"/>
    </row>
    <row r="7306" spans="1:26" ht="12.75" customHeight="1" x14ac:dyDescent="0.2">
      <c r="A7306" s="258"/>
      <c r="Z7306" s="258"/>
    </row>
    <row r="7307" spans="1:26" ht="12.75" customHeight="1" x14ac:dyDescent="0.2">
      <c r="A7307" s="258"/>
      <c r="Z7307" s="258"/>
    </row>
    <row r="7308" spans="1:26" ht="12.75" customHeight="1" x14ac:dyDescent="0.2">
      <c r="A7308" s="258"/>
      <c r="Z7308" s="258"/>
    </row>
    <row r="7309" spans="1:26" ht="12.75" customHeight="1" x14ac:dyDescent="0.2">
      <c r="A7309" s="258"/>
      <c r="Z7309" s="258"/>
    </row>
    <row r="7310" spans="1:26" ht="12.75" customHeight="1" x14ac:dyDescent="0.2">
      <c r="A7310" s="258"/>
      <c r="Z7310" s="258"/>
    </row>
    <row r="7311" spans="1:26" ht="12.75" customHeight="1" x14ac:dyDescent="0.2">
      <c r="A7311" s="258"/>
      <c r="Z7311" s="258"/>
    </row>
    <row r="7312" spans="1:26" ht="12.75" customHeight="1" x14ac:dyDescent="0.2">
      <c r="A7312" s="258"/>
      <c r="Z7312" s="258"/>
    </row>
    <row r="7313" spans="1:26" ht="12.75" customHeight="1" x14ac:dyDescent="0.2">
      <c r="A7313" s="258"/>
      <c r="Z7313" s="258"/>
    </row>
    <row r="7314" spans="1:26" ht="12.75" customHeight="1" x14ac:dyDescent="0.2">
      <c r="A7314" s="258"/>
      <c r="Z7314" s="258"/>
    </row>
    <row r="7315" spans="1:26" ht="12.75" customHeight="1" x14ac:dyDescent="0.2">
      <c r="A7315" s="258"/>
      <c r="Z7315" s="258"/>
    </row>
    <row r="7316" spans="1:26" ht="12.75" customHeight="1" x14ac:dyDescent="0.2">
      <c r="A7316" s="258"/>
      <c r="Z7316" s="258"/>
    </row>
    <row r="7317" spans="1:26" ht="12.75" customHeight="1" x14ac:dyDescent="0.2">
      <c r="A7317" s="258"/>
      <c r="Z7317" s="258"/>
    </row>
    <row r="7318" spans="1:26" ht="12.75" customHeight="1" x14ac:dyDescent="0.2">
      <c r="A7318" s="258"/>
      <c r="Z7318" s="258"/>
    </row>
    <row r="7319" spans="1:26" ht="12.75" customHeight="1" x14ac:dyDescent="0.2">
      <c r="A7319" s="258"/>
      <c r="Z7319" s="258"/>
    </row>
    <row r="7320" spans="1:26" ht="12.75" customHeight="1" x14ac:dyDescent="0.2">
      <c r="A7320" s="258"/>
      <c r="Z7320" s="258"/>
    </row>
    <row r="7321" spans="1:26" ht="12.75" customHeight="1" x14ac:dyDescent="0.2">
      <c r="A7321" s="258"/>
      <c r="Z7321" s="258"/>
    </row>
    <row r="7322" spans="1:26" ht="12.75" customHeight="1" x14ac:dyDescent="0.2">
      <c r="A7322" s="258"/>
      <c r="Z7322" s="258"/>
    </row>
    <row r="7323" spans="1:26" ht="12.75" customHeight="1" x14ac:dyDescent="0.2">
      <c r="A7323" s="258"/>
      <c r="Z7323" s="258"/>
    </row>
    <row r="7324" spans="1:26" ht="12.75" customHeight="1" x14ac:dyDescent="0.2">
      <c r="A7324" s="258"/>
      <c r="Z7324" s="258"/>
    </row>
    <row r="7325" spans="1:26" ht="12.75" customHeight="1" x14ac:dyDescent="0.2">
      <c r="A7325" s="258"/>
      <c r="Z7325" s="258"/>
    </row>
    <row r="7326" spans="1:26" ht="12.75" customHeight="1" x14ac:dyDescent="0.2">
      <c r="A7326" s="258"/>
      <c r="Z7326" s="258"/>
    </row>
    <row r="7327" spans="1:26" ht="12.75" customHeight="1" x14ac:dyDescent="0.2">
      <c r="A7327" s="258"/>
      <c r="Z7327" s="258"/>
    </row>
    <row r="7328" spans="1:26" ht="12.75" customHeight="1" x14ac:dyDescent="0.2">
      <c r="A7328" s="258"/>
      <c r="Z7328" s="258"/>
    </row>
    <row r="7329" spans="1:26" ht="12.75" customHeight="1" x14ac:dyDescent="0.2">
      <c r="A7329" s="258"/>
      <c r="Z7329" s="258"/>
    </row>
    <row r="7330" spans="1:26" ht="12.75" customHeight="1" x14ac:dyDescent="0.2">
      <c r="A7330" s="258"/>
      <c r="Z7330" s="258"/>
    </row>
    <row r="7331" spans="1:26" ht="12.75" customHeight="1" x14ac:dyDescent="0.2">
      <c r="A7331" s="258"/>
      <c r="Z7331" s="258"/>
    </row>
    <row r="7332" spans="1:26" ht="12.75" customHeight="1" x14ac:dyDescent="0.2">
      <c r="A7332" s="258"/>
      <c r="Z7332" s="258"/>
    </row>
    <row r="7333" spans="1:26" ht="12.75" customHeight="1" x14ac:dyDescent="0.2">
      <c r="A7333" s="258"/>
      <c r="Z7333" s="258"/>
    </row>
    <row r="7334" spans="1:26" ht="12.75" customHeight="1" x14ac:dyDescent="0.2">
      <c r="A7334" s="258"/>
      <c r="Z7334" s="258"/>
    </row>
    <row r="7335" spans="1:26" ht="12.75" customHeight="1" x14ac:dyDescent="0.2">
      <c r="A7335" s="258"/>
      <c r="Z7335" s="258"/>
    </row>
    <row r="7336" spans="1:26" ht="12.75" customHeight="1" x14ac:dyDescent="0.2">
      <c r="A7336" s="258"/>
      <c r="Z7336" s="258"/>
    </row>
    <row r="7337" spans="1:26" ht="12.75" customHeight="1" x14ac:dyDescent="0.2">
      <c r="A7337" s="258"/>
      <c r="Z7337" s="258"/>
    </row>
    <row r="7338" spans="1:26" ht="12.75" customHeight="1" x14ac:dyDescent="0.2">
      <c r="A7338" s="258"/>
      <c r="Z7338" s="258"/>
    </row>
    <row r="7339" spans="1:26" ht="12.75" customHeight="1" x14ac:dyDescent="0.2">
      <c r="A7339" s="258"/>
      <c r="Z7339" s="258"/>
    </row>
    <row r="7340" spans="1:26" ht="12.75" customHeight="1" x14ac:dyDescent="0.2">
      <c r="A7340" s="258"/>
      <c r="Z7340" s="258"/>
    </row>
    <row r="7341" spans="1:26" ht="12.75" customHeight="1" x14ac:dyDescent="0.2">
      <c r="A7341" s="258"/>
      <c r="Z7341" s="258"/>
    </row>
    <row r="7342" spans="1:26" ht="12.75" customHeight="1" x14ac:dyDescent="0.2">
      <c r="A7342" s="258"/>
      <c r="Z7342" s="258"/>
    </row>
    <row r="7343" spans="1:26" ht="12.75" customHeight="1" x14ac:dyDescent="0.2">
      <c r="A7343" s="258"/>
      <c r="Z7343" s="258"/>
    </row>
    <row r="7344" spans="1:26" ht="12.75" customHeight="1" x14ac:dyDescent="0.2">
      <c r="A7344" s="258"/>
      <c r="Z7344" s="258"/>
    </row>
    <row r="7345" spans="1:26" ht="12.75" customHeight="1" x14ac:dyDescent="0.2">
      <c r="A7345" s="258"/>
      <c r="Z7345" s="258"/>
    </row>
    <row r="7346" spans="1:26" ht="12.75" customHeight="1" x14ac:dyDescent="0.2">
      <c r="A7346" s="258"/>
      <c r="Z7346" s="258"/>
    </row>
    <row r="7347" spans="1:26" ht="12.75" customHeight="1" x14ac:dyDescent="0.2">
      <c r="A7347" s="258"/>
      <c r="Z7347" s="258"/>
    </row>
    <row r="7348" spans="1:26" ht="12.75" customHeight="1" x14ac:dyDescent="0.2">
      <c r="A7348" s="258"/>
      <c r="Z7348" s="258"/>
    </row>
    <row r="7349" spans="1:26" ht="12.75" customHeight="1" x14ac:dyDescent="0.2">
      <c r="A7349" s="258"/>
      <c r="Z7349" s="258"/>
    </row>
    <row r="7350" spans="1:26" ht="12.75" customHeight="1" x14ac:dyDescent="0.2">
      <c r="A7350" s="258"/>
      <c r="Z7350" s="258"/>
    </row>
    <row r="7351" spans="1:26" ht="12.75" customHeight="1" x14ac:dyDescent="0.2">
      <c r="A7351" s="258"/>
      <c r="Z7351" s="258"/>
    </row>
    <row r="7352" spans="1:26" ht="12.75" customHeight="1" x14ac:dyDescent="0.2">
      <c r="A7352" s="258"/>
      <c r="Z7352" s="258"/>
    </row>
    <row r="7353" spans="1:26" ht="12.75" customHeight="1" x14ac:dyDescent="0.2">
      <c r="A7353" s="258"/>
      <c r="Z7353" s="258"/>
    </row>
    <row r="7354" spans="1:26" ht="12.75" customHeight="1" x14ac:dyDescent="0.2">
      <c r="A7354" s="258"/>
      <c r="Z7354" s="258"/>
    </row>
    <row r="7355" spans="1:26" ht="12.75" customHeight="1" x14ac:dyDescent="0.2">
      <c r="A7355" s="258"/>
      <c r="Z7355" s="258"/>
    </row>
    <row r="7356" spans="1:26" ht="12.75" customHeight="1" x14ac:dyDescent="0.2">
      <c r="A7356" s="258"/>
      <c r="Z7356" s="258"/>
    </row>
    <row r="7357" spans="1:26" ht="12.75" customHeight="1" x14ac:dyDescent="0.2">
      <c r="A7357" s="258"/>
      <c r="Z7357" s="258"/>
    </row>
    <row r="7358" spans="1:26" ht="12.75" customHeight="1" x14ac:dyDescent="0.2">
      <c r="A7358" s="258"/>
      <c r="Z7358" s="258"/>
    </row>
    <row r="7359" spans="1:26" ht="12.75" customHeight="1" x14ac:dyDescent="0.2">
      <c r="A7359" s="258"/>
      <c r="Z7359" s="258"/>
    </row>
    <row r="7360" spans="1:26" ht="12.75" customHeight="1" x14ac:dyDescent="0.2">
      <c r="A7360" s="258"/>
      <c r="Z7360" s="258"/>
    </row>
    <row r="7361" spans="1:26" ht="12.75" customHeight="1" x14ac:dyDescent="0.2">
      <c r="A7361" s="258"/>
      <c r="Z7361" s="258"/>
    </row>
    <row r="7362" spans="1:26" ht="12.75" customHeight="1" x14ac:dyDescent="0.2">
      <c r="A7362" s="258"/>
      <c r="Z7362" s="258"/>
    </row>
    <row r="7363" spans="1:26" ht="12.75" customHeight="1" x14ac:dyDescent="0.2">
      <c r="A7363" s="258"/>
      <c r="Z7363" s="258"/>
    </row>
    <row r="7364" spans="1:26" ht="12.75" customHeight="1" x14ac:dyDescent="0.2">
      <c r="A7364" s="258"/>
      <c r="Z7364" s="258"/>
    </row>
    <row r="7365" spans="1:26" ht="12.75" customHeight="1" x14ac:dyDescent="0.2">
      <c r="A7365" s="258"/>
      <c r="Z7365" s="258"/>
    </row>
    <row r="7366" spans="1:26" ht="12.75" customHeight="1" x14ac:dyDescent="0.2">
      <c r="A7366" s="258"/>
      <c r="Z7366" s="258"/>
    </row>
    <row r="7367" spans="1:26" ht="12.75" customHeight="1" x14ac:dyDescent="0.2">
      <c r="A7367" s="258"/>
      <c r="Z7367" s="258"/>
    </row>
    <row r="7368" spans="1:26" ht="12.75" customHeight="1" x14ac:dyDescent="0.2">
      <c r="A7368" s="258"/>
      <c r="Z7368" s="258"/>
    </row>
    <row r="7369" spans="1:26" ht="12.75" customHeight="1" x14ac:dyDescent="0.2">
      <c r="A7369" s="258"/>
      <c r="Z7369" s="258"/>
    </row>
    <row r="7370" spans="1:26" ht="12.75" customHeight="1" x14ac:dyDescent="0.2">
      <c r="A7370" s="258"/>
      <c r="Z7370" s="258"/>
    </row>
    <row r="7371" spans="1:26" ht="12.75" customHeight="1" x14ac:dyDescent="0.2">
      <c r="A7371" s="258"/>
      <c r="Z7371" s="258"/>
    </row>
    <row r="7372" spans="1:26" ht="12.75" customHeight="1" x14ac:dyDescent="0.2">
      <c r="A7372" s="258"/>
      <c r="Z7372" s="258"/>
    </row>
    <row r="7373" spans="1:26" ht="12.75" customHeight="1" x14ac:dyDescent="0.2">
      <c r="A7373" s="258"/>
      <c r="Z7373" s="258"/>
    </row>
    <row r="7374" spans="1:26" ht="12.75" customHeight="1" x14ac:dyDescent="0.2">
      <c r="A7374" s="258"/>
      <c r="Z7374" s="258"/>
    </row>
    <row r="7375" spans="1:26" ht="12.75" customHeight="1" x14ac:dyDescent="0.2">
      <c r="A7375" s="258"/>
      <c r="Z7375" s="258"/>
    </row>
    <row r="7376" spans="1:26" ht="12.75" customHeight="1" x14ac:dyDescent="0.2">
      <c r="A7376" s="258"/>
      <c r="Z7376" s="258"/>
    </row>
    <row r="7377" spans="1:26" ht="12.75" customHeight="1" x14ac:dyDescent="0.2">
      <c r="A7377" s="258"/>
      <c r="Z7377" s="258"/>
    </row>
    <row r="7378" spans="1:26" ht="12.75" customHeight="1" x14ac:dyDescent="0.2">
      <c r="A7378" s="258"/>
      <c r="Z7378" s="258"/>
    </row>
    <row r="7379" spans="1:26" ht="12.75" customHeight="1" x14ac:dyDescent="0.2">
      <c r="A7379" s="258"/>
      <c r="Z7379" s="258"/>
    </row>
    <row r="7380" spans="1:26" ht="12.75" customHeight="1" x14ac:dyDescent="0.2">
      <c r="A7380" s="258"/>
      <c r="Z7380" s="258"/>
    </row>
    <row r="7381" spans="1:26" ht="12.75" customHeight="1" x14ac:dyDescent="0.2">
      <c r="A7381" s="258"/>
      <c r="Z7381" s="258"/>
    </row>
    <row r="7382" spans="1:26" ht="12.75" customHeight="1" x14ac:dyDescent="0.2">
      <c r="A7382" s="258"/>
      <c r="Z7382" s="258"/>
    </row>
    <row r="7383" spans="1:26" ht="12.75" customHeight="1" x14ac:dyDescent="0.2">
      <c r="A7383" s="258"/>
      <c r="Z7383" s="258"/>
    </row>
    <row r="7384" spans="1:26" ht="12.75" customHeight="1" x14ac:dyDescent="0.2">
      <c r="A7384" s="258"/>
      <c r="Z7384" s="258"/>
    </row>
    <row r="7385" spans="1:26" ht="12.75" customHeight="1" x14ac:dyDescent="0.2">
      <c r="A7385" s="258"/>
      <c r="Z7385" s="258"/>
    </row>
    <row r="7386" spans="1:26" ht="12.75" customHeight="1" x14ac:dyDescent="0.2">
      <c r="A7386" s="258"/>
      <c r="Z7386" s="258"/>
    </row>
    <row r="7387" spans="1:26" ht="12.75" customHeight="1" x14ac:dyDescent="0.2">
      <c r="A7387" s="258"/>
      <c r="Z7387" s="258"/>
    </row>
    <row r="7388" spans="1:26" ht="12.75" customHeight="1" x14ac:dyDescent="0.2">
      <c r="A7388" s="258"/>
      <c r="Z7388" s="258"/>
    </row>
    <row r="7389" spans="1:26" ht="12.75" customHeight="1" x14ac:dyDescent="0.2">
      <c r="A7389" s="258"/>
      <c r="Z7389" s="258"/>
    </row>
    <row r="7390" spans="1:26" ht="12.75" customHeight="1" x14ac:dyDescent="0.2">
      <c r="A7390" s="258"/>
      <c r="Z7390" s="258"/>
    </row>
    <row r="7391" spans="1:26" ht="12.75" customHeight="1" x14ac:dyDescent="0.2">
      <c r="A7391" s="258"/>
      <c r="Z7391" s="258"/>
    </row>
    <row r="7392" spans="1:26" ht="12.75" customHeight="1" x14ac:dyDescent="0.2">
      <c r="A7392" s="258"/>
      <c r="Z7392" s="258"/>
    </row>
    <row r="7393" spans="1:26" ht="12.75" customHeight="1" x14ac:dyDescent="0.2">
      <c r="A7393" s="258"/>
      <c r="Z7393" s="258"/>
    </row>
    <row r="7394" spans="1:26" ht="12.75" customHeight="1" x14ac:dyDescent="0.2">
      <c r="A7394" s="258"/>
      <c r="Z7394" s="258"/>
    </row>
    <row r="7395" spans="1:26" ht="12.75" customHeight="1" x14ac:dyDescent="0.2">
      <c r="A7395" s="258"/>
      <c r="Z7395" s="258"/>
    </row>
    <row r="7396" spans="1:26" ht="12.75" customHeight="1" x14ac:dyDescent="0.2">
      <c r="A7396" s="258"/>
      <c r="Z7396" s="258"/>
    </row>
    <row r="7397" spans="1:26" ht="12.75" customHeight="1" x14ac:dyDescent="0.2">
      <c r="A7397" s="258"/>
      <c r="Z7397" s="258"/>
    </row>
    <row r="7398" spans="1:26" ht="12.75" customHeight="1" x14ac:dyDescent="0.2">
      <c r="A7398" s="258"/>
      <c r="Z7398" s="258"/>
    </row>
    <row r="7399" spans="1:26" ht="12.75" customHeight="1" x14ac:dyDescent="0.2">
      <c r="A7399" s="258"/>
      <c r="Z7399" s="258"/>
    </row>
    <row r="7400" spans="1:26" ht="12.75" customHeight="1" x14ac:dyDescent="0.2">
      <c r="A7400" s="258"/>
      <c r="Z7400" s="258"/>
    </row>
    <row r="7401" spans="1:26" ht="12.75" customHeight="1" x14ac:dyDescent="0.2">
      <c r="A7401" s="258"/>
      <c r="Z7401" s="258"/>
    </row>
    <row r="7402" spans="1:26" ht="12.75" customHeight="1" x14ac:dyDescent="0.2">
      <c r="A7402" s="258"/>
      <c r="Z7402" s="258"/>
    </row>
    <row r="7403" spans="1:26" ht="12.75" customHeight="1" x14ac:dyDescent="0.2">
      <c r="A7403" s="258"/>
      <c r="Z7403" s="258"/>
    </row>
    <row r="7404" spans="1:26" ht="12.75" customHeight="1" x14ac:dyDescent="0.2">
      <c r="A7404" s="258"/>
      <c r="Z7404" s="258"/>
    </row>
    <row r="7405" spans="1:26" ht="12.75" customHeight="1" x14ac:dyDescent="0.2">
      <c r="A7405" s="258"/>
      <c r="Z7405" s="258"/>
    </row>
    <row r="7406" spans="1:26" ht="12.75" customHeight="1" x14ac:dyDescent="0.2">
      <c r="A7406" s="258"/>
      <c r="Z7406" s="258"/>
    </row>
    <row r="7407" spans="1:26" ht="12.75" customHeight="1" x14ac:dyDescent="0.2">
      <c r="A7407" s="258"/>
      <c r="Z7407" s="258"/>
    </row>
    <row r="7408" spans="1:26" ht="12.75" customHeight="1" x14ac:dyDescent="0.2">
      <c r="A7408" s="258"/>
      <c r="Z7408" s="258"/>
    </row>
    <row r="7409" spans="1:26" ht="12.75" customHeight="1" x14ac:dyDescent="0.2">
      <c r="A7409" s="258"/>
      <c r="Z7409" s="258"/>
    </row>
    <row r="7410" spans="1:26" ht="12.75" customHeight="1" x14ac:dyDescent="0.2">
      <c r="A7410" s="258"/>
      <c r="Z7410" s="258"/>
    </row>
    <row r="7411" spans="1:26" ht="12.75" customHeight="1" x14ac:dyDescent="0.2">
      <c r="A7411" s="258"/>
      <c r="Z7411" s="258"/>
    </row>
    <row r="7412" spans="1:26" ht="12.75" customHeight="1" x14ac:dyDescent="0.2">
      <c r="A7412" s="258"/>
      <c r="Z7412" s="258"/>
    </row>
    <row r="7413" spans="1:26" ht="12.75" customHeight="1" x14ac:dyDescent="0.2">
      <c r="A7413" s="258"/>
      <c r="Z7413" s="258"/>
    </row>
    <row r="7414" spans="1:26" ht="12.75" customHeight="1" x14ac:dyDescent="0.2">
      <c r="A7414" s="258"/>
      <c r="Z7414" s="258"/>
    </row>
    <row r="7415" spans="1:26" ht="12.75" customHeight="1" x14ac:dyDescent="0.2">
      <c r="A7415" s="258"/>
      <c r="Z7415" s="258"/>
    </row>
    <row r="7416" spans="1:26" ht="12.75" customHeight="1" x14ac:dyDescent="0.2">
      <c r="A7416" s="258"/>
      <c r="Z7416" s="258"/>
    </row>
    <row r="7417" spans="1:26" ht="12.75" customHeight="1" x14ac:dyDescent="0.2">
      <c r="A7417" s="258"/>
      <c r="Z7417" s="258"/>
    </row>
    <row r="7418" spans="1:26" ht="12.75" customHeight="1" x14ac:dyDescent="0.2">
      <c r="A7418" s="258"/>
      <c r="Z7418" s="258"/>
    </row>
    <row r="7419" spans="1:26" ht="12.75" customHeight="1" x14ac:dyDescent="0.2">
      <c r="A7419" s="258"/>
      <c r="Z7419" s="258"/>
    </row>
    <row r="7420" spans="1:26" ht="12.75" customHeight="1" x14ac:dyDescent="0.2">
      <c r="A7420" s="258"/>
      <c r="Z7420" s="258"/>
    </row>
    <row r="7421" spans="1:26" ht="12.75" customHeight="1" x14ac:dyDescent="0.2">
      <c r="A7421" s="258"/>
      <c r="Z7421" s="258"/>
    </row>
    <row r="7422" spans="1:26" ht="12.75" customHeight="1" x14ac:dyDescent="0.2">
      <c r="A7422" s="258"/>
      <c r="Z7422" s="258"/>
    </row>
    <row r="7423" spans="1:26" ht="12.75" customHeight="1" x14ac:dyDescent="0.2">
      <c r="A7423" s="258"/>
      <c r="Z7423" s="258"/>
    </row>
    <row r="7424" spans="1:26" ht="12.75" customHeight="1" x14ac:dyDescent="0.2">
      <c r="A7424" s="258"/>
      <c r="Z7424" s="258"/>
    </row>
    <row r="7425" spans="1:26" ht="12.75" customHeight="1" x14ac:dyDescent="0.2">
      <c r="A7425" s="258"/>
      <c r="Z7425" s="258"/>
    </row>
    <row r="7426" spans="1:26" ht="12.75" customHeight="1" x14ac:dyDescent="0.2">
      <c r="A7426" s="258"/>
      <c r="Z7426" s="258"/>
    </row>
    <row r="7427" spans="1:26" ht="12.75" customHeight="1" x14ac:dyDescent="0.2">
      <c r="A7427" s="258"/>
      <c r="Z7427" s="258"/>
    </row>
    <row r="7428" spans="1:26" ht="12.75" customHeight="1" x14ac:dyDescent="0.2">
      <c r="A7428" s="258"/>
      <c r="Z7428" s="258"/>
    </row>
    <row r="7429" spans="1:26" ht="12.75" customHeight="1" x14ac:dyDescent="0.2">
      <c r="A7429" s="258"/>
      <c r="Z7429" s="258"/>
    </row>
    <row r="7430" spans="1:26" ht="12.75" customHeight="1" x14ac:dyDescent="0.2">
      <c r="A7430" s="258"/>
      <c r="Z7430" s="258"/>
    </row>
    <row r="7431" spans="1:26" ht="12.75" customHeight="1" x14ac:dyDescent="0.2">
      <c r="A7431" s="258"/>
      <c r="Z7431" s="258"/>
    </row>
    <row r="7432" spans="1:26" ht="12.75" customHeight="1" x14ac:dyDescent="0.2">
      <c r="A7432" s="258"/>
      <c r="Z7432" s="258"/>
    </row>
    <row r="7433" spans="1:26" ht="12.75" customHeight="1" x14ac:dyDescent="0.2">
      <c r="A7433" s="258"/>
      <c r="Z7433" s="258"/>
    </row>
    <row r="7434" spans="1:26" ht="12.75" customHeight="1" x14ac:dyDescent="0.2">
      <c r="A7434" s="258"/>
      <c r="Z7434" s="258"/>
    </row>
    <row r="7435" spans="1:26" ht="12.75" customHeight="1" x14ac:dyDescent="0.2">
      <c r="A7435" s="258"/>
      <c r="Z7435" s="258"/>
    </row>
    <row r="7436" spans="1:26" ht="12.75" customHeight="1" x14ac:dyDescent="0.2">
      <c r="A7436" s="258"/>
      <c r="Z7436" s="258"/>
    </row>
    <row r="7437" spans="1:26" ht="12.75" customHeight="1" x14ac:dyDescent="0.2">
      <c r="A7437" s="258"/>
      <c r="Z7437" s="258"/>
    </row>
    <row r="7438" spans="1:26" ht="12.75" customHeight="1" x14ac:dyDescent="0.2">
      <c r="A7438" s="258"/>
      <c r="Z7438" s="258"/>
    </row>
    <row r="7439" spans="1:26" ht="12.75" customHeight="1" x14ac:dyDescent="0.2">
      <c r="A7439" s="258"/>
      <c r="Z7439" s="258"/>
    </row>
    <row r="7440" spans="1:26" ht="12.75" customHeight="1" x14ac:dyDescent="0.2">
      <c r="A7440" s="258"/>
      <c r="Z7440" s="258"/>
    </row>
    <row r="7441" spans="1:26" ht="12.75" customHeight="1" x14ac:dyDescent="0.2">
      <c r="A7441" s="258"/>
      <c r="Z7441" s="258"/>
    </row>
    <row r="7442" spans="1:26" ht="12.75" customHeight="1" x14ac:dyDescent="0.2">
      <c r="A7442" s="258"/>
      <c r="Z7442" s="258"/>
    </row>
    <row r="7443" spans="1:26" ht="12.75" customHeight="1" x14ac:dyDescent="0.2">
      <c r="A7443" s="258"/>
      <c r="Z7443" s="258"/>
    </row>
    <row r="7444" spans="1:26" ht="12.75" customHeight="1" x14ac:dyDescent="0.2">
      <c r="A7444" s="258"/>
      <c r="Z7444" s="258"/>
    </row>
    <row r="7445" spans="1:26" ht="12.75" customHeight="1" x14ac:dyDescent="0.2">
      <c r="A7445" s="258"/>
      <c r="Z7445" s="258"/>
    </row>
    <row r="7446" spans="1:26" ht="12.75" customHeight="1" x14ac:dyDescent="0.2">
      <c r="A7446" s="258"/>
      <c r="Z7446" s="258"/>
    </row>
    <row r="7447" spans="1:26" ht="12.75" customHeight="1" x14ac:dyDescent="0.2">
      <c r="A7447" s="258"/>
      <c r="Z7447" s="258"/>
    </row>
    <row r="7448" spans="1:26" ht="12.75" customHeight="1" x14ac:dyDescent="0.2">
      <c r="A7448" s="258"/>
      <c r="Z7448" s="258"/>
    </row>
    <row r="7449" spans="1:26" ht="12.75" customHeight="1" x14ac:dyDescent="0.2">
      <c r="A7449" s="258"/>
      <c r="Z7449" s="258"/>
    </row>
    <row r="7450" spans="1:26" ht="12.75" customHeight="1" x14ac:dyDescent="0.2">
      <c r="A7450" s="258"/>
      <c r="Z7450" s="258"/>
    </row>
    <row r="7451" spans="1:26" ht="12.75" customHeight="1" x14ac:dyDescent="0.2">
      <c r="A7451" s="258"/>
      <c r="Z7451" s="258"/>
    </row>
    <row r="7452" spans="1:26" ht="12.75" customHeight="1" x14ac:dyDescent="0.2">
      <c r="A7452" s="258"/>
      <c r="Z7452" s="258"/>
    </row>
    <row r="7453" spans="1:26" ht="12.75" customHeight="1" x14ac:dyDescent="0.2">
      <c r="A7453" s="258"/>
      <c r="Z7453" s="258"/>
    </row>
    <row r="7454" spans="1:26" ht="12.75" customHeight="1" x14ac:dyDescent="0.2">
      <c r="A7454" s="258"/>
      <c r="Z7454" s="258"/>
    </row>
    <row r="7455" spans="1:26" ht="12.75" customHeight="1" x14ac:dyDescent="0.2">
      <c r="A7455" s="258"/>
      <c r="Z7455" s="258"/>
    </row>
    <row r="7456" spans="1:26" ht="12.75" customHeight="1" x14ac:dyDescent="0.2">
      <c r="A7456" s="258"/>
      <c r="Z7456" s="258"/>
    </row>
    <row r="7457" spans="1:26" ht="12.75" customHeight="1" x14ac:dyDescent="0.2">
      <c r="A7457" s="258"/>
      <c r="Z7457" s="258"/>
    </row>
    <row r="7458" spans="1:26" ht="12.75" customHeight="1" x14ac:dyDescent="0.2">
      <c r="A7458" s="258"/>
      <c r="Z7458" s="258"/>
    </row>
    <row r="7459" spans="1:26" ht="12.75" customHeight="1" x14ac:dyDescent="0.2">
      <c r="A7459" s="258"/>
      <c r="Z7459" s="258"/>
    </row>
    <row r="7460" spans="1:26" ht="12.75" customHeight="1" x14ac:dyDescent="0.2">
      <c r="A7460" s="258"/>
      <c r="Z7460" s="258"/>
    </row>
    <row r="7461" spans="1:26" ht="12.75" customHeight="1" x14ac:dyDescent="0.2">
      <c r="A7461" s="258"/>
      <c r="Z7461" s="258"/>
    </row>
    <row r="7462" spans="1:26" ht="12.75" customHeight="1" x14ac:dyDescent="0.2">
      <c r="A7462" s="258"/>
      <c r="Z7462" s="258"/>
    </row>
    <row r="7463" spans="1:26" ht="12.75" customHeight="1" x14ac:dyDescent="0.2">
      <c r="A7463" s="258"/>
      <c r="Z7463" s="258"/>
    </row>
    <row r="7464" spans="1:26" ht="12.75" customHeight="1" x14ac:dyDescent="0.2">
      <c r="A7464" s="258"/>
      <c r="Z7464" s="258"/>
    </row>
    <row r="7465" spans="1:26" ht="12.75" customHeight="1" x14ac:dyDescent="0.2">
      <c r="A7465" s="258"/>
      <c r="Z7465" s="258"/>
    </row>
    <row r="7466" spans="1:26" ht="12.75" customHeight="1" x14ac:dyDescent="0.2">
      <c r="A7466" s="258"/>
      <c r="Z7466" s="258"/>
    </row>
    <row r="7467" spans="1:26" ht="12.75" customHeight="1" x14ac:dyDescent="0.2">
      <c r="A7467" s="258"/>
      <c r="Z7467" s="258"/>
    </row>
    <row r="7468" spans="1:26" ht="12.75" customHeight="1" x14ac:dyDescent="0.2">
      <c r="A7468" s="258"/>
      <c r="Z7468" s="258"/>
    </row>
    <row r="7469" spans="1:26" ht="12.75" customHeight="1" x14ac:dyDescent="0.2">
      <c r="A7469" s="258"/>
      <c r="Z7469" s="258"/>
    </row>
    <row r="7470" spans="1:26" ht="12.75" customHeight="1" x14ac:dyDescent="0.2">
      <c r="A7470" s="258"/>
      <c r="Z7470" s="258"/>
    </row>
    <row r="7471" spans="1:26" ht="12.75" customHeight="1" x14ac:dyDescent="0.2">
      <c r="A7471" s="258"/>
      <c r="Z7471" s="258"/>
    </row>
    <row r="7472" spans="1:26" ht="12.75" customHeight="1" x14ac:dyDescent="0.2">
      <c r="A7472" s="258"/>
      <c r="Z7472" s="258"/>
    </row>
    <row r="7473" spans="1:26" ht="12.75" customHeight="1" x14ac:dyDescent="0.2">
      <c r="A7473" s="258"/>
      <c r="Z7473" s="258"/>
    </row>
    <row r="7474" spans="1:26" ht="12.75" customHeight="1" x14ac:dyDescent="0.2">
      <c r="A7474" s="258"/>
      <c r="Z7474" s="258"/>
    </row>
    <row r="7475" spans="1:26" ht="12.75" customHeight="1" x14ac:dyDescent="0.2">
      <c r="A7475" s="258"/>
      <c r="Z7475" s="258"/>
    </row>
    <row r="7476" spans="1:26" ht="12.75" customHeight="1" x14ac:dyDescent="0.2">
      <c r="A7476" s="258"/>
      <c r="Z7476" s="258"/>
    </row>
    <row r="7477" spans="1:26" ht="12.75" customHeight="1" x14ac:dyDescent="0.2">
      <c r="A7477" s="258"/>
      <c r="Z7477" s="258"/>
    </row>
    <row r="7478" spans="1:26" ht="12.75" customHeight="1" x14ac:dyDescent="0.2">
      <c r="A7478" s="258"/>
      <c r="Z7478" s="258"/>
    </row>
    <row r="7479" spans="1:26" ht="12.75" customHeight="1" x14ac:dyDescent="0.2">
      <c r="A7479" s="258"/>
      <c r="Z7479" s="258"/>
    </row>
    <row r="7480" spans="1:26" ht="12.75" customHeight="1" x14ac:dyDescent="0.2">
      <c r="A7480" s="258"/>
      <c r="Z7480" s="258"/>
    </row>
    <row r="7481" spans="1:26" ht="12.75" customHeight="1" x14ac:dyDescent="0.2">
      <c r="A7481" s="258"/>
      <c r="Z7481" s="258"/>
    </row>
    <row r="7482" spans="1:26" ht="12.75" customHeight="1" x14ac:dyDescent="0.2">
      <c r="A7482" s="258"/>
      <c r="Z7482" s="258"/>
    </row>
    <row r="7483" spans="1:26" ht="12.75" customHeight="1" x14ac:dyDescent="0.2">
      <c r="A7483" s="258"/>
      <c r="Z7483" s="258"/>
    </row>
    <row r="7484" spans="1:26" ht="12.75" customHeight="1" x14ac:dyDescent="0.2">
      <c r="A7484" s="258"/>
      <c r="Z7484" s="258"/>
    </row>
    <row r="7485" spans="1:26" ht="12.75" customHeight="1" x14ac:dyDescent="0.2">
      <c r="A7485" s="258"/>
      <c r="Z7485" s="258"/>
    </row>
    <row r="7486" spans="1:26" ht="12.75" customHeight="1" x14ac:dyDescent="0.2">
      <c r="A7486" s="258"/>
      <c r="Z7486" s="258"/>
    </row>
    <row r="7487" spans="1:26" ht="12.75" customHeight="1" x14ac:dyDescent="0.2">
      <c r="A7487" s="258"/>
      <c r="Z7487" s="258"/>
    </row>
    <row r="7488" spans="1:26" ht="12.75" customHeight="1" x14ac:dyDescent="0.2">
      <c r="A7488" s="258"/>
      <c r="Z7488" s="258"/>
    </row>
    <row r="7489" spans="1:26" ht="12.75" customHeight="1" x14ac:dyDescent="0.2">
      <c r="A7489" s="258"/>
      <c r="Z7489" s="258"/>
    </row>
    <row r="7490" spans="1:26" ht="12.75" customHeight="1" x14ac:dyDescent="0.2">
      <c r="A7490" s="258"/>
      <c r="Z7490" s="258"/>
    </row>
    <row r="7491" spans="1:26" ht="12.75" customHeight="1" x14ac:dyDescent="0.2">
      <c r="A7491" s="258"/>
      <c r="Z7491" s="258"/>
    </row>
    <row r="7492" spans="1:26" ht="12.75" customHeight="1" x14ac:dyDescent="0.2">
      <c r="A7492" s="258"/>
      <c r="Z7492" s="258"/>
    </row>
    <row r="7493" spans="1:26" ht="12.75" customHeight="1" x14ac:dyDescent="0.2">
      <c r="A7493" s="258"/>
      <c r="Z7493" s="258"/>
    </row>
    <row r="7494" spans="1:26" ht="12.75" customHeight="1" x14ac:dyDescent="0.2">
      <c r="A7494" s="258"/>
      <c r="Z7494" s="258"/>
    </row>
    <row r="7495" spans="1:26" ht="12.75" customHeight="1" x14ac:dyDescent="0.2">
      <c r="A7495" s="258"/>
      <c r="Z7495" s="258"/>
    </row>
    <row r="7496" spans="1:26" ht="12.75" customHeight="1" x14ac:dyDescent="0.2">
      <c r="A7496" s="258"/>
      <c r="Z7496" s="258"/>
    </row>
    <row r="7497" spans="1:26" ht="12.75" customHeight="1" x14ac:dyDescent="0.2">
      <c r="A7497" s="258"/>
      <c r="Z7497" s="258"/>
    </row>
    <row r="7498" spans="1:26" ht="12.75" customHeight="1" x14ac:dyDescent="0.2">
      <c r="A7498" s="258"/>
      <c r="Z7498" s="258"/>
    </row>
    <row r="7499" spans="1:26" ht="12.75" customHeight="1" x14ac:dyDescent="0.2">
      <c r="A7499" s="258"/>
      <c r="Z7499" s="258"/>
    </row>
    <row r="7500" spans="1:26" ht="12.75" customHeight="1" x14ac:dyDescent="0.2">
      <c r="A7500" s="258"/>
      <c r="Z7500" s="258"/>
    </row>
    <row r="7501" spans="1:26" ht="12.75" customHeight="1" x14ac:dyDescent="0.2">
      <c r="A7501" s="258"/>
      <c r="Z7501" s="258"/>
    </row>
    <row r="7502" spans="1:26" ht="12.75" customHeight="1" x14ac:dyDescent="0.2">
      <c r="A7502" s="258"/>
      <c r="Z7502" s="258"/>
    </row>
    <row r="7503" spans="1:26" ht="12.75" customHeight="1" x14ac:dyDescent="0.2">
      <c r="A7503" s="258"/>
      <c r="Z7503" s="258"/>
    </row>
    <row r="7504" spans="1:26" ht="12.75" customHeight="1" x14ac:dyDescent="0.2">
      <c r="A7504" s="258"/>
      <c r="Z7504" s="258"/>
    </row>
    <row r="7505" spans="1:26" ht="12.75" customHeight="1" x14ac:dyDescent="0.2">
      <c r="A7505" s="258"/>
      <c r="Z7505" s="258"/>
    </row>
    <row r="7506" spans="1:26" ht="12.75" customHeight="1" x14ac:dyDescent="0.2">
      <c r="A7506" s="258"/>
      <c r="Z7506" s="258"/>
    </row>
    <row r="7507" spans="1:26" ht="12.75" customHeight="1" x14ac:dyDescent="0.2">
      <c r="A7507" s="258"/>
      <c r="Z7507" s="258"/>
    </row>
    <row r="7508" spans="1:26" ht="12.75" customHeight="1" x14ac:dyDescent="0.2">
      <c r="A7508" s="258"/>
      <c r="Z7508" s="258"/>
    </row>
    <row r="7509" spans="1:26" ht="12.75" customHeight="1" x14ac:dyDescent="0.2">
      <c r="A7509" s="258"/>
      <c r="Z7509" s="258"/>
    </row>
    <row r="7510" spans="1:26" ht="12.75" customHeight="1" x14ac:dyDescent="0.2">
      <c r="A7510" s="258"/>
      <c r="Z7510" s="258"/>
    </row>
    <row r="7511" spans="1:26" ht="12.75" customHeight="1" x14ac:dyDescent="0.2">
      <c r="A7511" s="258"/>
      <c r="Z7511" s="258"/>
    </row>
    <row r="7512" spans="1:26" ht="12.75" customHeight="1" x14ac:dyDescent="0.2">
      <c r="A7512" s="258"/>
      <c r="Z7512" s="258"/>
    </row>
    <row r="7513" spans="1:26" ht="12.75" customHeight="1" x14ac:dyDescent="0.2">
      <c r="A7513" s="258"/>
      <c r="Z7513" s="258"/>
    </row>
    <row r="7514" spans="1:26" ht="12.75" customHeight="1" x14ac:dyDescent="0.2">
      <c r="A7514" s="258"/>
      <c r="Z7514" s="258"/>
    </row>
    <row r="7515" spans="1:26" ht="12.75" customHeight="1" x14ac:dyDescent="0.2">
      <c r="A7515" s="258"/>
      <c r="Z7515" s="258"/>
    </row>
    <row r="7516" spans="1:26" ht="12.75" customHeight="1" x14ac:dyDescent="0.2">
      <c r="A7516" s="258"/>
      <c r="Z7516" s="258"/>
    </row>
    <row r="7517" spans="1:26" ht="12.75" customHeight="1" x14ac:dyDescent="0.2">
      <c r="A7517" s="258"/>
      <c r="Z7517" s="258"/>
    </row>
    <row r="7518" spans="1:26" ht="12.75" customHeight="1" x14ac:dyDescent="0.2">
      <c r="A7518" s="258"/>
      <c r="Z7518" s="258"/>
    </row>
    <row r="7519" spans="1:26" ht="12.75" customHeight="1" x14ac:dyDescent="0.2">
      <c r="A7519" s="258"/>
      <c r="Z7519" s="258"/>
    </row>
    <row r="7520" spans="1:26" ht="12.75" customHeight="1" x14ac:dyDescent="0.2">
      <c r="A7520" s="258"/>
      <c r="Z7520" s="258"/>
    </row>
    <row r="7521" spans="1:26" ht="12.75" customHeight="1" x14ac:dyDescent="0.2">
      <c r="A7521" s="258"/>
      <c r="Z7521" s="258"/>
    </row>
    <row r="7522" spans="1:26" ht="12.75" customHeight="1" x14ac:dyDescent="0.2">
      <c r="A7522" s="258"/>
      <c r="Z7522" s="258"/>
    </row>
    <row r="7523" spans="1:26" ht="12.75" customHeight="1" x14ac:dyDescent="0.2">
      <c r="A7523" s="258"/>
      <c r="Z7523" s="258"/>
    </row>
    <row r="7524" spans="1:26" ht="12.75" customHeight="1" x14ac:dyDescent="0.2">
      <c r="A7524" s="258"/>
      <c r="Z7524" s="258"/>
    </row>
    <row r="7525" spans="1:26" ht="12.75" customHeight="1" x14ac:dyDescent="0.2">
      <c r="A7525" s="258"/>
      <c r="Z7525" s="258"/>
    </row>
    <row r="7526" spans="1:26" ht="12.75" customHeight="1" x14ac:dyDescent="0.2">
      <c r="A7526" s="258"/>
      <c r="Z7526" s="258"/>
    </row>
    <row r="7527" spans="1:26" ht="12.75" customHeight="1" x14ac:dyDescent="0.2">
      <c r="A7527" s="258"/>
      <c r="Z7527" s="258"/>
    </row>
    <row r="7528" spans="1:26" ht="12.75" customHeight="1" x14ac:dyDescent="0.2">
      <c r="A7528" s="258"/>
      <c r="Z7528" s="258"/>
    </row>
    <row r="7529" spans="1:26" ht="12.75" customHeight="1" x14ac:dyDescent="0.2">
      <c r="A7529" s="258"/>
      <c r="Z7529" s="258"/>
    </row>
    <row r="7530" spans="1:26" ht="12.75" customHeight="1" x14ac:dyDescent="0.2">
      <c r="A7530" s="258"/>
      <c r="Z7530" s="258"/>
    </row>
    <row r="7531" spans="1:26" ht="12.75" customHeight="1" x14ac:dyDescent="0.2">
      <c r="A7531" s="258"/>
      <c r="Z7531" s="258"/>
    </row>
    <row r="7532" spans="1:26" ht="12.75" customHeight="1" x14ac:dyDescent="0.2">
      <c r="A7532" s="258"/>
      <c r="Z7532" s="258"/>
    </row>
    <row r="7533" spans="1:26" ht="12.75" customHeight="1" x14ac:dyDescent="0.2">
      <c r="A7533" s="258"/>
      <c r="Z7533" s="258"/>
    </row>
    <row r="7534" spans="1:26" ht="12.75" customHeight="1" x14ac:dyDescent="0.2">
      <c r="A7534" s="258"/>
      <c r="Z7534" s="258"/>
    </row>
    <row r="7535" spans="1:26" ht="12.75" customHeight="1" x14ac:dyDescent="0.2">
      <c r="A7535" s="258"/>
      <c r="Z7535" s="258"/>
    </row>
    <row r="7536" spans="1:26" ht="12.75" customHeight="1" x14ac:dyDescent="0.2">
      <c r="A7536" s="258"/>
      <c r="Z7536" s="258"/>
    </row>
    <row r="7537" spans="1:26" ht="12.75" customHeight="1" x14ac:dyDescent="0.2">
      <c r="A7537" s="258"/>
      <c r="Z7537" s="258"/>
    </row>
    <row r="7538" spans="1:26" ht="12.75" customHeight="1" x14ac:dyDescent="0.2">
      <c r="A7538" s="258"/>
      <c r="Z7538" s="258"/>
    </row>
    <row r="7539" spans="1:26" ht="12.75" customHeight="1" x14ac:dyDescent="0.2">
      <c r="A7539" s="258"/>
      <c r="Z7539" s="258"/>
    </row>
    <row r="7540" spans="1:26" ht="12.75" customHeight="1" x14ac:dyDescent="0.2">
      <c r="A7540" s="258"/>
      <c r="Z7540" s="258"/>
    </row>
    <row r="7541" spans="1:26" ht="12.75" customHeight="1" x14ac:dyDescent="0.2">
      <c r="A7541" s="258"/>
      <c r="Z7541" s="258"/>
    </row>
    <row r="7542" spans="1:26" ht="12.75" customHeight="1" x14ac:dyDescent="0.2">
      <c r="A7542" s="258"/>
      <c r="Z7542" s="258"/>
    </row>
    <row r="7543" spans="1:26" ht="12.75" customHeight="1" x14ac:dyDescent="0.2">
      <c r="A7543" s="258"/>
      <c r="Z7543" s="258"/>
    </row>
    <row r="7544" spans="1:26" ht="12.75" customHeight="1" x14ac:dyDescent="0.2">
      <c r="A7544" s="258"/>
      <c r="Z7544" s="258"/>
    </row>
    <row r="7545" spans="1:26" ht="12.75" customHeight="1" x14ac:dyDescent="0.2">
      <c r="A7545" s="258"/>
      <c r="Z7545" s="258"/>
    </row>
    <row r="7546" spans="1:26" ht="12.75" customHeight="1" x14ac:dyDescent="0.2">
      <c r="A7546" s="258"/>
      <c r="Z7546" s="258"/>
    </row>
    <row r="7547" spans="1:26" ht="12.75" customHeight="1" x14ac:dyDescent="0.2">
      <c r="A7547" s="258"/>
      <c r="Z7547" s="258"/>
    </row>
    <row r="7548" spans="1:26" ht="12.75" customHeight="1" x14ac:dyDescent="0.2">
      <c r="A7548" s="258"/>
      <c r="Z7548" s="258"/>
    </row>
    <row r="7549" spans="1:26" ht="12.75" customHeight="1" x14ac:dyDescent="0.2">
      <c r="A7549" s="258"/>
      <c r="Z7549" s="258"/>
    </row>
    <row r="7550" spans="1:26" ht="12.75" customHeight="1" x14ac:dyDescent="0.2">
      <c r="A7550" s="258"/>
      <c r="Z7550" s="258"/>
    </row>
    <row r="7551" spans="1:26" ht="12.75" customHeight="1" x14ac:dyDescent="0.2">
      <c r="A7551" s="258"/>
      <c r="Z7551" s="258"/>
    </row>
    <row r="7552" spans="1:26" ht="12.75" customHeight="1" x14ac:dyDescent="0.2">
      <c r="A7552" s="258"/>
      <c r="Z7552" s="258"/>
    </row>
    <row r="7553" spans="1:26" ht="12.75" customHeight="1" x14ac:dyDescent="0.2">
      <c r="A7553" s="258"/>
      <c r="Z7553" s="258"/>
    </row>
    <row r="7554" spans="1:26" ht="12.75" customHeight="1" x14ac:dyDescent="0.2">
      <c r="A7554" s="258"/>
      <c r="Z7554" s="258"/>
    </row>
    <row r="7555" spans="1:26" ht="12.75" customHeight="1" x14ac:dyDescent="0.2">
      <c r="A7555" s="258"/>
      <c r="Z7555" s="258"/>
    </row>
    <row r="7556" spans="1:26" ht="12.75" customHeight="1" x14ac:dyDescent="0.2">
      <c r="A7556" s="258"/>
      <c r="Z7556" s="258"/>
    </row>
    <row r="7557" spans="1:26" ht="12.75" customHeight="1" x14ac:dyDescent="0.2">
      <c r="A7557" s="258"/>
      <c r="Z7557" s="258"/>
    </row>
    <row r="7558" spans="1:26" ht="12.75" customHeight="1" x14ac:dyDescent="0.2">
      <c r="A7558" s="258"/>
      <c r="Z7558" s="258"/>
    </row>
    <row r="7559" spans="1:26" ht="12.75" customHeight="1" x14ac:dyDescent="0.2">
      <c r="A7559" s="258"/>
      <c r="Z7559" s="258"/>
    </row>
    <row r="7560" spans="1:26" ht="12.75" customHeight="1" x14ac:dyDescent="0.2">
      <c r="A7560" s="258"/>
      <c r="Z7560" s="258"/>
    </row>
    <row r="7561" spans="1:26" ht="12.75" customHeight="1" x14ac:dyDescent="0.2">
      <c r="A7561" s="258"/>
      <c r="Z7561" s="258"/>
    </row>
    <row r="7562" spans="1:26" ht="12.75" customHeight="1" x14ac:dyDescent="0.2">
      <c r="A7562" s="258"/>
      <c r="Z7562" s="258"/>
    </row>
    <row r="7563" spans="1:26" ht="12.75" customHeight="1" x14ac:dyDescent="0.2">
      <c r="A7563" s="258"/>
      <c r="Z7563" s="258"/>
    </row>
    <row r="7564" spans="1:26" ht="12.75" customHeight="1" x14ac:dyDescent="0.2">
      <c r="A7564" s="258"/>
      <c r="Z7564" s="258"/>
    </row>
    <row r="7565" spans="1:26" ht="12.75" customHeight="1" x14ac:dyDescent="0.2">
      <c r="A7565" s="258"/>
      <c r="Z7565" s="258"/>
    </row>
    <row r="7566" spans="1:26" ht="12.75" customHeight="1" x14ac:dyDescent="0.2">
      <c r="A7566" s="258"/>
      <c r="Z7566" s="258"/>
    </row>
    <row r="7567" spans="1:26" ht="12.75" customHeight="1" x14ac:dyDescent="0.2">
      <c r="A7567" s="258"/>
      <c r="Z7567" s="258"/>
    </row>
    <row r="7568" spans="1:26" ht="12.75" customHeight="1" x14ac:dyDescent="0.2">
      <c r="A7568" s="258"/>
      <c r="Z7568" s="258"/>
    </row>
    <row r="7569" spans="1:26" ht="12.75" customHeight="1" x14ac:dyDescent="0.2">
      <c r="A7569" s="258"/>
      <c r="Z7569" s="258"/>
    </row>
    <row r="7570" spans="1:26" ht="12.75" customHeight="1" x14ac:dyDescent="0.2">
      <c r="A7570" s="258"/>
      <c r="Z7570" s="258"/>
    </row>
    <row r="7571" spans="1:26" ht="12.75" customHeight="1" x14ac:dyDescent="0.2">
      <c r="A7571" s="258"/>
      <c r="Z7571" s="258"/>
    </row>
    <row r="7572" spans="1:26" ht="12.75" customHeight="1" x14ac:dyDescent="0.2">
      <c r="A7572" s="258"/>
      <c r="Z7572" s="258"/>
    </row>
    <row r="7573" spans="1:26" ht="12.75" customHeight="1" x14ac:dyDescent="0.2">
      <c r="A7573" s="258"/>
      <c r="Z7573" s="258"/>
    </row>
    <row r="7574" spans="1:26" ht="12.75" customHeight="1" x14ac:dyDescent="0.2">
      <c r="A7574" s="258"/>
      <c r="Z7574" s="258"/>
    </row>
    <row r="7575" spans="1:26" ht="12.75" customHeight="1" x14ac:dyDescent="0.2">
      <c r="A7575" s="258"/>
      <c r="Z7575" s="258"/>
    </row>
    <row r="7576" spans="1:26" ht="12.75" customHeight="1" x14ac:dyDescent="0.2">
      <c r="A7576" s="258"/>
      <c r="Z7576" s="258"/>
    </row>
    <row r="7577" spans="1:26" ht="12.75" customHeight="1" x14ac:dyDescent="0.2">
      <c r="A7577" s="258"/>
      <c r="Z7577" s="258"/>
    </row>
    <row r="7578" spans="1:26" ht="12.75" customHeight="1" x14ac:dyDescent="0.2">
      <c r="A7578" s="258"/>
      <c r="Z7578" s="258"/>
    </row>
    <row r="7579" spans="1:26" ht="12.75" customHeight="1" x14ac:dyDescent="0.2">
      <c r="A7579" s="258"/>
      <c r="Z7579" s="258"/>
    </row>
    <row r="7580" spans="1:26" ht="12.75" customHeight="1" x14ac:dyDescent="0.2">
      <c r="A7580" s="258"/>
      <c r="Z7580" s="258"/>
    </row>
    <row r="7581" spans="1:26" ht="12.75" customHeight="1" x14ac:dyDescent="0.2">
      <c r="A7581" s="258"/>
      <c r="Z7581" s="258"/>
    </row>
    <row r="7582" spans="1:26" ht="12.75" customHeight="1" x14ac:dyDescent="0.2">
      <c r="A7582" s="258"/>
      <c r="Z7582" s="258"/>
    </row>
    <row r="7583" spans="1:26" ht="12.75" customHeight="1" x14ac:dyDescent="0.2">
      <c r="A7583" s="258"/>
      <c r="Z7583" s="258"/>
    </row>
    <row r="7584" spans="1:26" ht="12.75" customHeight="1" x14ac:dyDescent="0.2">
      <c r="A7584" s="258"/>
      <c r="Z7584" s="258"/>
    </row>
    <row r="7585" spans="1:26" ht="12.75" customHeight="1" x14ac:dyDescent="0.2">
      <c r="A7585" s="258"/>
      <c r="Z7585" s="258"/>
    </row>
    <row r="7586" spans="1:26" ht="12.75" customHeight="1" x14ac:dyDescent="0.2">
      <c r="A7586" s="258"/>
      <c r="Z7586" s="258"/>
    </row>
    <row r="7587" spans="1:26" ht="12.75" customHeight="1" x14ac:dyDescent="0.2">
      <c r="A7587" s="258"/>
      <c r="Z7587" s="258"/>
    </row>
    <row r="7588" spans="1:26" ht="12.75" customHeight="1" x14ac:dyDescent="0.2">
      <c r="A7588" s="258"/>
      <c r="Z7588" s="258"/>
    </row>
    <row r="7589" spans="1:26" ht="12.75" customHeight="1" x14ac:dyDescent="0.2">
      <c r="A7589" s="258"/>
      <c r="Z7589" s="258"/>
    </row>
    <row r="7590" spans="1:26" ht="12.75" customHeight="1" x14ac:dyDescent="0.2">
      <c r="A7590" s="258"/>
      <c r="Z7590" s="258"/>
    </row>
    <row r="7591" spans="1:26" ht="12.75" customHeight="1" x14ac:dyDescent="0.2">
      <c r="A7591" s="258"/>
      <c r="Z7591" s="258"/>
    </row>
    <row r="7592" spans="1:26" ht="12.75" customHeight="1" x14ac:dyDescent="0.2">
      <c r="A7592" s="258"/>
      <c r="Z7592" s="258"/>
    </row>
    <row r="7593" spans="1:26" ht="12.75" customHeight="1" x14ac:dyDescent="0.2">
      <c r="A7593" s="258"/>
      <c r="Z7593" s="258"/>
    </row>
    <row r="7594" spans="1:26" ht="12.75" customHeight="1" x14ac:dyDescent="0.2">
      <c r="A7594" s="258"/>
      <c r="Z7594" s="258"/>
    </row>
    <row r="7595" spans="1:26" ht="12.75" customHeight="1" x14ac:dyDescent="0.2">
      <c r="A7595" s="258"/>
      <c r="Z7595" s="258"/>
    </row>
    <row r="7596" spans="1:26" ht="12.75" customHeight="1" x14ac:dyDescent="0.2">
      <c r="A7596" s="258"/>
      <c r="Z7596" s="258"/>
    </row>
    <row r="7597" spans="1:26" ht="12.75" customHeight="1" x14ac:dyDescent="0.2">
      <c r="A7597" s="258"/>
      <c r="Z7597" s="258"/>
    </row>
    <row r="7598" spans="1:26" ht="12.75" customHeight="1" x14ac:dyDescent="0.2">
      <c r="A7598" s="258"/>
      <c r="Z7598" s="258"/>
    </row>
    <row r="7599" spans="1:26" ht="12.75" customHeight="1" x14ac:dyDescent="0.2">
      <c r="A7599" s="258"/>
      <c r="Z7599" s="258"/>
    </row>
    <row r="7600" spans="1:26" ht="12.75" customHeight="1" x14ac:dyDescent="0.2">
      <c r="A7600" s="258"/>
      <c r="Z7600" s="258"/>
    </row>
    <row r="7601" spans="1:26" ht="12.75" customHeight="1" x14ac:dyDescent="0.2">
      <c r="A7601" s="258"/>
      <c r="Z7601" s="258"/>
    </row>
    <row r="7602" spans="1:26" ht="12.75" customHeight="1" x14ac:dyDescent="0.2">
      <c r="A7602" s="258"/>
      <c r="Z7602" s="258"/>
    </row>
    <row r="7603" spans="1:26" ht="12.75" customHeight="1" x14ac:dyDescent="0.2">
      <c r="A7603" s="258"/>
      <c r="Z7603" s="258"/>
    </row>
    <row r="7604" spans="1:26" ht="12.75" customHeight="1" x14ac:dyDescent="0.2">
      <c r="A7604" s="258"/>
      <c r="Z7604" s="258"/>
    </row>
    <row r="7605" spans="1:26" ht="12.75" customHeight="1" x14ac:dyDescent="0.2">
      <c r="A7605" s="258"/>
      <c r="Z7605" s="258"/>
    </row>
    <row r="7606" spans="1:26" ht="12.75" customHeight="1" x14ac:dyDescent="0.2">
      <c r="A7606" s="258"/>
      <c r="Z7606" s="258"/>
    </row>
    <row r="7607" spans="1:26" ht="12.75" customHeight="1" x14ac:dyDescent="0.2">
      <c r="A7607" s="258"/>
      <c r="Z7607" s="258"/>
    </row>
    <row r="7608" spans="1:26" ht="12.75" customHeight="1" x14ac:dyDescent="0.2">
      <c r="A7608" s="258"/>
      <c r="Z7608" s="258"/>
    </row>
    <row r="7609" spans="1:26" ht="12.75" customHeight="1" x14ac:dyDescent="0.2">
      <c r="A7609" s="258"/>
      <c r="Z7609" s="258"/>
    </row>
    <row r="7610" spans="1:26" ht="12.75" customHeight="1" x14ac:dyDescent="0.2">
      <c r="A7610" s="258"/>
      <c r="Z7610" s="258"/>
    </row>
    <row r="7611" spans="1:26" ht="12.75" customHeight="1" x14ac:dyDescent="0.2">
      <c r="A7611" s="258"/>
      <c r="Z7611" s="258"/>
    </row>
    <row r="7612" spans="1:26" ht="12.75" customHeight="1" x14ac:dyDescent="0.2">
      <c r="A7612" s="258"/>
      <c r="Z7612" s="258"/>
    </row>
    <row r="7613" spans="1:26" ht="12.75" customHeight="1" x14ac:dyDescent="0.2">
      <c r="A7613" s="258"/>
      <c r="Z7613" s="258"/>
    </row>
    <row r="7614" spans="1:26" ht="12.75" customHeight="1" x14ac:dyDescent="0.2">
      <c r="A7614" s="258"/>
      <c r="Z7614" s="258"/>
    </row>
    <row r="7615" spans="1:26" ht="12.75" customHeight="1" x14ac:dyDescent="0.2">
      <c r="A7615" s="258"/>
      <c r="Z7615" s="258"/>
    </row>
    <row r="7616" spans="1:26" ht="12.75" customHeight="1" x14ac:dyDescent="0.2">
      <c r="A7616" s="258"/>
      <c r="Z7616" s="258"/>
    </row>
    <row r="7617" spans="1:26" ht="12.75" customHeight="1" x14ac:dyDescent="0.2">
      <c r="A7617" s="258"/>
      <c r="Z7617" s="258"/>
    </row>
    <row r="7618" spans="1:26" ht="12.75" customHeight="1" x14ac:dyDescent="0.2">
      <c r="A7618" s="258"/>
      <c r="Z7618" s="258"/>
    </row>
    <row r="7619" spans="1:26" ht="12.75" customHeight="1" x14ac:dyDescent="0.2">
      <c r="A7619" s="258"/>
      <c r="Z7619" s="258"/>
    </row>
    <row r="7620" spans="1:26" ht="12.75" customHeight="1" x14ac:dyDescent="0.2">
      <c r="A7620" s="258"/>
      <c r="Z7620" s="258"/>
    </row>
    <row r="7621" spans="1:26" ht="12.75" customHeight="1" x14ac:dyDescent="0.2">
      <c r="A7621" s="258"/>
      <c r="Z7621" s="258"/>
    </row>
    <row r="7622" spans="1:26" ht="12.75" customHeight="1" x14ac:dyDescent="0.2">
      <c r="A7622" s="258"/>
      <c r="Z7622" s="258"/>
    </row>
    <row r="7623" spans="1:26" ht="12.75" customHeight="1" x14ac:dyDescent="0.2">
      <c r="A7623" s="258"/>
      <c r="Z7623" s="258"/>
    </row>
    <row r="7624" spans="1:26" ht="12.75" customHeight="1" x14ac:dyDescent="0.2">
      <c r="A7624" s="258"/>
      <c r="Z7624" s="258"/>
    </row>
    <row r="7625" spans="1:26" ht="12.75" customHeight="1" x14ac:dyDescent="0.2">
      <c r="A7625" s="258"/>
      <c r="Z7625" s="258"/>
    </row>
    <row r="7626" spans="1:26" ht="12.75" customHeight="1" x14ac:dyDescent="0.2">
      <c r="A7626" s="258"/>
      <c r="Z7626" s="258"/>
    </row>
    <row r="7627" spans="1:26" ht="12.75" customHeight="1" x14ac:dyDescent="0.2">
      <c r="A7627" s="258"/>
      <c r="Z7627" s="258"/>
    </row>
    <row r="7628" spans="1:26" ht="12.75" customHeight="1" x14ac:dyDescent="0.2">
      <c r="A7628" s="258"/>
      <c r="Z7628" s="258"/>
    </row>
    <row r="7629" spans="1:26" ht="12.75" customHeight="1" x14ac:dyDescent="0.2">
      <c r="A7629" s="258"/>
      <c r="Z7629" s="258"/>
    </row>
    <row r="7630" spans="1:26" ht="12.75" customHeight="1" x14ac:dyDescent="0.2">
      <c r="A7630" s="258"/>
      <c r="Z7630" s="258"/>
    </row>
    <row r="7631" spans="1:26" ht="12.75" customHeight="1" x14ac:dyDescent="0.2">
      <c r="A7631" s="258"/>
      <c r="Z7631" s="258"/>
    </row>
    <row r="7632" spans="1:26" ht="12.75" customHeight="1" x14ac:dyDescent="0.2">
      <c r="A7632" s="258"/>
      <c r="Z7632" s="258"/>
    </row>
    <row r="7633" spans="1:26" ht="12.75" customHeight="1" x14ac:dyDescent="0.2">
      <c r="A7633" s="258"/>
      <c r="Z7633" s="258"/>
    </row>
    <row r="7634" spans="1:26" ht="12.75" customHeight="1" x14ac:dyDescent="0.2">
      <c r="A7634" s="258"/>
      <c r="Z7634" s="258"/>
    </row>
    <row r="7635" spans="1:26" ht="12.75" customHeight="1" x14ac:dyDescent="0.2">
      <c r="A7635" s="258"/>
      <c r="Z7635" s="258"/>
    </row>
    <row r="7636" spans="1:26" ht="12.75" customHeight="1" x14ac:dyDescent="0.2">
      <c r="A7636" s="258"/>
      <c r="Z7636" s="258"/>
    </row>
    <row r="7637" spans="1:26" ht="12.75" customHeight="1" x14ac:dyDescent="0.2">
      <c r="A7637" s="258"/>
      <c r="Z7637" s="258"/>
    </row>
    <row r="7638" spans="1:26" ht="12.75" customHeight="1" x14ac:dyDescent="0.2">
      <c r="A7638" s="258"/>
      <c r="Z7638" s="258"/>
    </row>
    <row r="7639" spans="1:26" ht="12.75" customHeight="1" x14ac:dyDescent="0.2">
      <c r="A7639" s="258"/>
      <c r="Z7639" s="258"/>
    </row>
    <row r="7640" spans="1:26" ht="12.75" customHeight="1" x14ac:dyDescent="0.2">
      <c r="A7640" s="258"/>
      <c r="Z7640" s="258"/>
    </row>
    <row r="7641" spans="1:26" ht="12.75" customHeight="1" x14ac:dyDescent="0.2">
      <c r="A7641" s="258"/>
      <c r="Z7641" s="258"/>
    </row>
    <row r="7642" spans="1:26" ht="12.75" customHeight="1" x14ac:dyDescent="0.2">
      <c r="A7642" s="258"/>
      <c r="Z7642" s="258"/>
    </row>
    <row r="7643" spans="1:26" ht="12.75" customHeight="1" x14ac:dyDescent="0.2">
      <c r="A7643" s="258"/>
      <c r="Z7643" s="258"/>
    </row>
    <row r="7644" spans="1:26" ht="12.75" customHeight="1" x14ac:dyDescent="0.2">
      <c r="A7644" s="258"/>
      <c r="Z7644" s="258"/>
    </row>
    <row r="7645" spans="1:26" ht="12.75" customHeight="1" x14ac:dyDescent="0.2">
      <c r="A7645" s="258"/>
      <c r="Z7645" s="258"/>
    </row>
    <row r="7646" spans="1:26" ht="12.75" customHeight="1" x14ac:dyDescent="0.2">
      <c r="A7646" s="258"/>
      <c r="Z7646" s="258"/>
    </row>
    <row r="7647" spans="1:26" ht="12.75" customHeight="1" x14ac:dyDescent="0.2">
      <c r="A7647" s="258"/>
      <c r="Z7647" s="258"/>
    </row>
    <row r="7648" spans="1:26" ht="12.75" customHeight="1" x14ac:dyDescent="0.2">
      <c r="A7648" s="258"/>
      <c r="Z7648" s="258"/>
    </row>
    <row r="7649" spans="1:26" ht="12.75" customHeight="1" x14ac:dyDescent="0.2">
      <c r="A7649" s="258"/>
      <c r="Z7649" s="258"/>
    </row>
    <row r="7650" spans="1:26" ht="12.75" customHeight="1" x14ac:dyDescent="0.2">
      <c r="A7650" s="258"/>
      <c r="Z7650" s="258"/>
    </row>
    <row r="7651" spans="1:26" ht="12.75" customHeight="1" x14ac:dyDescent="0.2">
      <c r="A7651" s="258"/>
      <c r="Z7651" s="258"/>
    </row>
    <row r="7652" spans="1:26" ht="12.75" customHeight="1" x14ac:dyDescent="0.2">
      <c r="A7652" s="258"/>
      <c r="Z7652" s="258"/>
    </row>
    <row r="7653" spans="1:26" ht="12.75" customHeight="1" x14ac:dyDescent="0.2">
      <c r="A7653" s="258"/>
      <c r="Z7653" s="258"/>
    </row>
    <row r="7654" spans="1:26" ht="12.75" customHeight="1" x14ac:dyDescent="0.2">
      <c r="A7654" s="258"/>
      <c r="Z7654" s="258"/>
    </row>
    <row r="7655" spans="1:26" ht="12.75" customHeight="1" x14ac:dyDescent="0.2">
      <c r="A7655" s="258"/>
      <c r="Z7655" s="258"/>
    </row>
    <row r="7656" spans="1:26" ht="12.75" customHeight="1" x14ac:dyDescent="0.2">
      <c r="A7656" s="258"/>
      <c r="Z7656" s="258"/>
    </row>
    <row r="7657" spans="1:26" ht="12.75" customHeight="1" x14ac:dyDescent="0.2">
      <c r="A7657" s="258"/>
      <c r="Z7657" s="258"/>
    </row>
    <row r="7658" spans="1:26" ht="12.75" customHeight="1" x14ac:dyDescent="0.2">
      <c r="A7658" s="258"/>
      <c r="Z7658" s="258"/>
    </row>
    <row r="7659" spans="1:26" ht="12.75" customHeight="1" x14ac:dyDescent="0.2">
      <c r="A7659" s="258"/>
      <c r="Z7659" s="258"/>
    </row>
    <row r="7660" spans="1:26" ht="12.75" customHeight="1" x14ac:dyDescent="0.2">
      <c r="A7660" s="258"/>
      <c r="Z7660" s="258"/>
    </row>
    <row r="7661" spans="1:26" ht="12.75" customHeight="1" x14ac:dyDescent="0.2">
      <c r="A7661" s="258"/>
      <c r="Z7661" s="258"/>
    </row>
    <row r="7662" spans="1:26" ht="12.75" customHeight="1" x14ac:dyDescent="0.2">
      <c r="A7662" s="258"/>
      <c r="Z7662" s="258"/>
    </row>
    <row r="7663" spans="1:26" ht="12.75" customHeight="1" x14ac:dyDescent="0.2">
      <c r="A7663" s="258"/>
      <c r="Z7663" s="258"/>
    </row>
    <row r="7664" spans="1:26" ht="12.75" customHeight="1" x14ac:dyDescent="0.2">
      <c r="A7664" s="258"/>
      <c r="Z7664" s="258"/>
    </row>
    <row r="7665" spans="1:26" ht="12.75" customHeight="1" x14ac:dyDescent="0.2">
      <c r="A7665" s="258"/>
      <c r="Z7665" s="258"/>
    </row>
    <row r="7666" spans="1:26" ht="12.75" customHeight="1" x14ac:dyDescent="0.2">
      <c r="A7666" s="258"/>
      <c r="Z7666" s="258"/>
    </row>
    <row r="7667" spans="1:26" ht="12.75" customHeight="1" x14ac:dyDescent="0.2">
      <c r="A7667" s="258"/>
      <c r="Z7667" s="258"/>
    </row>
    <row r="7668" spans="1:26" ht="12.75" customHeight="1" x14ac:dyDescent="0.2">
      <c r="A7668" s="258"/>
      <c r="Z7668" s="258"/>
    </row>
    <row r="7669" spans="1:26" ht="12.75" customHeight="1" x14ac:dyDescent="0.2">
      <c r="A7669" s="258"/>
      <c r="Z7669" s="258"/>
    </row>
    <row r="7670" spans="1:26" ht="12.75" customHeight="1" x14ac:dyDescent="0.2">
      <c r="A7670" s="258"/>
      <c r="Z7670" s="258"/>
    </row>
    <row r="7671" spans="1:26" ht="12.75" customHeight="1" x14ac:dyDescent="0.2">
      <c r="A7671" s="258"/>
      <c r="Z7671" s="258"/>
    </row>
    <row r="7672" spans="1:26" ht="12.75" customHeight="1" x14ac:dyDescent="0.2">
      <c r="A7672" s="258"/>
      <c r="Z7672" s="258"/>
    </row>
    <row r="7673" spans="1:26" ht="12.75" customHeight="1" x14ac:dyDescent="0.2">
      <c r="A7673" s="258"/>
      <c r="Z7673" s="258"/>
    </row>
    <row r="7674" spans="1:26" ht="12.75" customHeight="1" x14ac:dyDescent="0.2">
      <c r="A7674" s="258"/>
      <c r="Z7674" s="258"/>
    </row>
    <row r="7675" spans="1:26" ht="12.75" customHeight="1" x14ac:dyDescent="0.2">
      <c r="A7675" s="258"/>
      <c r="Z7675" s="258"/>
    </row>
    <row r="7676" spans="1:26" ht="12.75" customHeight="1" x14ac:dyDescent="0.2">
      <c r="A7676" s="258"/>
      <c r="Z7676" s="258"/>
    </row>
    <row r="7677" spans="1:26" ht="12.75" customHeight="1" x14ac:dyDescent="0.2">
      <c r="A7677" s="258"/>
      <c r="Z7677" s="258"/>
    </row>
    <row r="7678" spans="1:26" ht="12.75" customHeight="1" x14ac:dyDescent="0.2">
      <c r="A7678" s="258"/>
      <c r="Z7678" s="258"/>
    </row>
    <row r="7679" spans="1:26" ht="12.75" customHeight="1" x14ac:dyDescent="0.2">
      <c r="A7679" s="258"/>
      <c r="Z7679" s="258"/>
    </row>
    <row r="7680" spans="1:26" ht="12.75" customHeight="1" x14ac:dyDescent="0.2">
      <c r="A7680" s="258"/>
      <c r="Z7680" s="258"/>
    </row>
    <row r="7681" spans="1:26" ht="12.75" customHeight="1" x14ac:dyDescent="0.2">
      <c r="A7681" s="258"/>
      <c r="Z7681" s="258"/>
    </row>
    <row r="7682" spans="1:26" ht="12.75" customHeight="1" x14ac:dyDescent="0.2">
      <c r="A7682" s="258"/>
      <c r="Z7682" s="258"/>
    </row>
    <row r="7683" spans="1:26" ht="12.75" customHeight="1" x14ac:dyDescent="0.2">
      <c r="A7683" s="258"/>
      <c r="Z7683" s="258"/>
    </row>
    <row r="7684" spans="1:26" ht="12.75" customHeight="1" x14ac:dyDescent="0.2">
      <c r="A7684" s="258"/>
      <c r="Z7684" s="258"/>
    </row>
    <row r="7685" spans="1:26" ht="12.75" customHeight="1" x14ac:dyDescent="0.2">
      <c r="A7685" s="258"/>
      <c r="Z7685" s="258"/>
    </row>
    <row r="7686" spans="1:26" ht="12.75" customHeight="1" x14ac:dyDescent="0.2">
      <c r="A7686" s="258"/>
      <c r="Z7686" s="258"/>
    </row>
    <row r="7687" spans="1:26" ht="12.75" customHeight="1" x14ac:dyDescent="0.2">
      <c r="A7687" s="258"/>
      <c r="Z7687" s="258"/>
    </row>
    <row r="7688" spans="1:26" ht="12.75" customHeight="1" x14ac:dyDescent="0.2">
      <c r="A7688" s="258"/>
      <c r="Z7688" s="258"/>
    </row>
    <row r="7689" spans="1:26" ht="12.75" customHeight="1" x14ac:dyDescent="0.2">
      <c r="A7689" s="258"/>
      <c r="Z7689" s="258"/>
    </row>
    <row r="7690" spans="1:26" ht="12.75" customHeight="1" x14ac:dyDescent="0.2">
      <c r="A7690" s="258"/>
      <c r="Z7690" s="258"/>
    </row>
    <row r="7691" spans="1:26" ht="12.75" customHeight="1" x14ac:dyDescent="0.2">
      <c r="A7691" s="258"/>
      <c r="Z7691" s="258"/>
    </row>
    <row r="7692" spans="1:26" ht="12.75" customHeight="1" x14ac:dyDescent="0.2">
      <c r="A7692" s="258"/>
      <c r="Z7692" s="258"/>
    </row>
    <row r="7693" spans="1:26" ht="12.75" customHeight="1" x14ac:dyDescent="0.2">
      <c r="A7693" s="258"/>
      <c r="Z7693" s="258"/>
    </row>
    <row r="7694" spans="1:26" ht="12.75" customHeight="1" x14ac:dyDescent="0.2">
      <c r="A7694" s="258"/>
      <c r="Z7694" s="258"/>
    </row>
    <row r="7695" spans="1:26" ht="12.75" customHeight="1" x14ac:dyDescent="0.2">
      <c r="A7695" s="258"/>
      <c r="Z7695" s="258"/>
    </row>
    <row r="7696" spans="1:26" ht="12.75" customHeight="1" x14ac:dyDescent="0.2">
      <c r="A7696" s="258"/>
      <c r="Z7696" s="258"/>
    </row>
    <row r="7697" spans="1:26" ht="12.75" customHeight="1" x14ac:dyDescent="0.2">
      <c r="A7697" s="258"/>
      <c r="Z7697" s="258"/>
    </row>
    <row r="7698" spans="1:26" ht="12.75" customHeight="1" x14ac:dyDescent="0.2">
      <c r="A7698" s="258"/>
      <c r="Z7698" s="258"/>
    </row>
    <row r="7699" spans="1:26" ht="12.75" customHeight="1" x14ac:dyDescent="0.2">
      <c r="A7699" s="258"/>
      <c r="Z7699" s="258"/>
    </row>
    <row r="7700" spans="1:26" ht="12.75" customHeight="1" x14ac:dyDescent="0.2">
      <c r="A7700" s="258"/>
      <c r="Z7700" s="258"/>
    </row>
    <row r="7701" spans="1:26" ht="12.75" customHeight="1" x14ac:dyDescent="0.2">
      <c r="A7701" s="258"/>
      <c r="Z7701" s="258"/>
    </row>
    <row r="7702" spans="1:26" ht="12.75" customHeight="1" x14ac:dyDescent="0.2">
      <c r="A7702" s="258"/>
      <c r="Z7702" s="258"/>
    </row>
    <row r="7703" spans="1:26" ht="12.75" customHeight="1" x14ac:dyDescent="0.2">
      <c r="A7703" s="258"/>
      <c r="Z7703" s="258"/>
    </row>
    <row r="7704" spans="1:26" ht="12.75" customHeight="1" x14ac:dyDescent="0.2">
      <c r="A7704" s="258"/>
      <c r="Z7704" s="258"/>
    </row>
    <row r="7705" spans="1:26" ht="12.75" customHeight="1" x14ac:dyDescent="0.2">
      <c r="A7705" s="258"/>
      <c r="Z7705" s="258"/>
    </row>
    <row r="7706" spans="1:26" ht="12.75" customHeight="1" x14ac:dyDescent="0.2">
      <c r="A7706" s="258"/>
      <c r="Z7706" s="258"/>
    </row>
    <row r="7707" spans="1:26" ht="12.75" customHeight="1" x14ac:dyDescent="0.2">
      <c r="A7707" s="258"/>
      <c r="Z7707" s="258"/>
    </row>
    <row r="7708" spans="1:26" ht="12.75" customHeight="1" x14ac:dyDescent="0.2">
      <c r="A7708" s="258"/>
      <c r="Z7708" s="258"/>
    </row>
    <row r="7709" spans="1:26" ht="12.75" customHeight="1" x14ac:dyDescent="0.2">
      <c r="A7709" s="258"/>
      <c r="Z7709" s="258"/>
    </row>
    <row r="7710" spans="1:26" ht="12.75" customHeight="1" x14ac:dyDescent="0.2">
      <c r="A7710" s="258"/>
      <c r="Z7710" s="258"/>
    </row>
    <row r="7711" spans="1:26" ht="12.75" customHeight="1" x14ac:dyDescent="0.2">
      <c r="A7711" s="258"/>
      <c r="Z7711" s="258"/>
    </row>
    <row r="7712" spans="1:26" ht="12.75" customHeight="1" x14ac:dyDescent="0.2">
      <c r="A7712" s="258"/>
      <c r="Z7712" s="258"/>
    </row>
    <row r="7713" spans="1:26" ht="12.75" customHeight="1" x14ac:dyDescent="0.2">
      <c r="A7713" s="258"/>
      <c r="Z7713" s="258"/>
    </row>
    <row r="7714" spans="1:26" ht="12.75" customHeight="1" x14ac:dyDescent="0.2">
      <c r="A7714" s="258"/>
      <c r="Z7714" s="258"/>
    </row>
    <row r="7715" spans="1:26" ht="12.75" customHeight="1" x14ac:dyDescent="0.2">
      <c r="A7715" s="258"/>
      <c r="Z7715" s="258"/>
    </row>
    <row r="7716" spans="1:26" ht="12.75" customHeight="1" x14ac:dyDescent="0.2">
      <c r="A7716" s="258"/>
      <c r="Z7716" s="258"/>
    </row>
    <row r="7717" spans="1:26" ht="12.75" customHeight="1" x14ac:dyDescent="0.2">
      <c r="A7717" s="258"/>
      <c r="Z7717" s="258"/>
    </row>
    <row r="7718" spans="1:26" ht="12.75" customHeight="1" x14ac:dyDescent="0.2">
      <c r="A7718" s="258"/>
      <c r="Z7718" s="258"/>
    </row>
    <row r="7719" spans="1:26" ht="12.75" customHeight="1" x14ac:dyDescent="0.2">
      <c r="A7719" s="258"/>
      <c r="Z7719" s="258"/>
    </row>
    <row r="7720" spans="1:26" ht="12.75" customHeight="1" x14ac:dyDescent="0.2">
      <c r="A7720" s="258"/>
      <c r="Z7720" s="258"/>
    </row>
    <row r="7721" spans="1:26" ht="12.75" customHeight="1" x14ac:dyDescent="0.2">
      <c r="A7721" s="258"/>
      <c r="Z7721" s="258"/>
    </row>
    <row r="7722" spans="1:26" ht="12.75" customHeight="1" x14ac:dyDescent="0.2">
      <c r="A7722" s="258"/>
      <c r="Z7722" s="258"/>
    </row>
    <row r="7723" spans="1:26" ht="12.75" customHeight="1" x14ac:dyDescent="0.2">
      <c r="A7723" s="258"/>
      <c r="Z7723" s="258"/>
    </row>
    <row r="7724" spans="1:26" ht="12.75" customHeight="1" x14ac:dyDescent="0.2">
      <c r="A7724" s="258"/>
      <c r="Z7724" s="258"/>
    </row>
    <row r="7725" spans="1:26" ht="12.75" customHeight="1" x14ac:dyDescent="0.2">
      <c r="A7725" s="258"/>
      <c r="Z7725" s="258"/>
    </row>
    <row r="7726" spans="1:26" ht="12.75" customHeight="1" x14ac:dyDescent="0.2">
      <c r="A7726" s="258"/>
      <c r="Z7726" s="258"/>
    </row>
    <row r="7727" spans="1:26" ht="12.75" customHeight="1" x14ac:dyDescent="0.2">
      <c r="A7727" s="258"/>
      <c r="Z7727" s="258"/>
    </row>
    <row r="7728" spans="1:26" ht="12.75" customHeight="1" x14ac:dyDescent="0.2">
      <c r="A7728" s="258"/>
      <c r="Z7728" s="258"/>
    </row>
    <row r="7729" spans="1:26" ht="12.75" customHeight="1" x14ac:dyDescent="0.2">
      <c r="A7729" s="258"/>
      <c r="Z7729" s="258"/>
    </row>
    <row r="7730" spans="1:26" ht="12.75" customHeight="1" x14ac:dyDescent="0.2">
      <c r="A7730" s="258"/>
      <c r="Z7730" s="258"/>
    </row>
    <row r="7731" spans="1:26" ht="12.75" customHeight="1" x14ac:dyDescent="0.2">
      <c r="A7731" s="258"/>
      <c r="Z7731" s="258"/>
    </row>
    <row r="7732" spans="1:26" ht="12.75" customHeight="1" x14ac:dyDescent="0.2">
      <c r="A7732" s="258"/>
      <c r="Z7732" s="258"/>
    </row>
    <row r="7733" spans="1:26" ht="12.75" customHeight="1" x14ac:dyDescent="0.2">
      <c r="A7733" s="258"/>
      <c r="Z7733" s="258"/>
    </row>
    <row r="7734" spans="1:26" ht="12.75" customHeight="1" x14ac:dyDescent="0.2">
      <c r="A7734" s="258"/>
      <c r="Z7734" s="258"/>
    </row>
    <row r="7735" spans="1:26" ht="12.75" customHeight="1" x14ac:dyDescent="0.2">
      <c r="A7735" s="258"/>
      <c r="Z7735" s="258"/>
    </row>
    <row r="7736" spans="1:26" ht="12.75" customHeight="1" x14ac:dyDescent="0.2">
      <c r="A7736" s="258"/>
      <c r="Z7736" s="258"/>
    </row>
    <row r="7737" spans="1:26" ht="12.75" customHeight="1" x14ac:dyDescent="0.2">
      <c r="A7737" s="258"/>
      <c r="Z7737" s="258"/>
    </row>
    <row r="7738" spans="1:26" ht="12.75" customHeight="1" x14ac:dyDescent="0.2">
      <c r="A7738" s="258"/>
      <c r="Z7738" s="258"/>
    </row>
    <row r="7739" spans="1:26" ht="12.75" customHeight="1" x14ac:dyDescent="0.2">
      <c r="A7739" s="258"/>
      <c r="Z7739" s="258"/>
    </row>
    <row r="7740" spans="1:26" ht="12.75" customHeight="1" x14ac:dyDescent="0.2">
      <c r="A7740" s="258"/>
      <c r="Z7740" s="258"/>
    </row>
    <row r="7741" spans="1:26" ht="12.75" customHeight="1" x14ac:dyDescent="0.2">
      <c r="A7741" s="258"/>
      <c r="Z7741" s="258"/>
    </row>
    <row r="7742" spans="1:26" ht="12.75" customHeight="1" x14ac:dyDescent="0.2">
      <c r="A7742" s="258"/>
      <c r="Z7742" s="258"/>
    </row>
    <row r="7743" spans="1:26" ht="12.75" customHeight="1" x14ac:dyDescent="0.2">
      <c r="A7743" s="258"/>
      <c r="Z7743" s="258"/>
    </row>
    <row r="7744" spans="1:26" ht="12.75" customHeight="1" x14ac:dyDescent="0.2">
      <c r="A7744" s="258"/>
      <c r="Z7744" s="258"/>
    </row>
    <row r="7745" spans="1:26" ht="12.75" customHeight="1" x14ac:dyDescent="0.2">
      <c r="A7745" s="258"/>
      <c r="Z7745" s="258"/>
    </row>
    <row r="7746" spans="1:26" ht="12.75" customHeight="1" x14ac:dyDescent="0.2">
      <c r="A7746" s="258"/>
      <c r="Z7746" s="258"/>
    </row>
    <row r="7747" spans="1:26" ht="12.75" customHeight="1" x14ac:dyDescent="0.2">
      <c r="A7747" s="258"/>
      <c r="Z7747" s="258"/>
    </row>
    <row r="7748" spans="1:26" ht="12.75" customHeight="1" x14ac:dyDescent="0.2">
      <c r="A7748" s="258"/>
      <c r="Z7748" s="258"/>
    </row>
    <row r="7749" spans="1:26" ht="12.75" customHeight="1" x14ac:dyDescent="0.2">
      <c r="A7749" s="258"/>
      <c r="Z7749" s="258"/>
    </row>
    <row r="7750" spans="1:26" ht="12.75" customHeight="1" x14ac:dyDescent="0.2">
      <c r="A7750" s="258"/>
      <c r="Z7750" s="258"/>
    </row>
    <row r="7751" spans="1:26" ht="12.75" customHeight="1" x14ac:dyDescent="0.2">
      <c r="A7751" s="258"/>
      <c r="Z7751" s="258"/>
    </row>
    <row r="7752" spans="1:26" ht="12.75" customHeight="1" x14ac:dyDescent="0.2">
      <c r="A7752" s="258"/>
      <c r="Z7752" s="258"/>
    </row>
    <row r="7753" spans="1:26" ht="12.75" customHeight="1" x14ac:dyDescent="0.2">
      <c r="A7753" s="258"/>
      <c r="Z7753" s="258"/>
    </row>
    <row r="7754" spans="1:26" ht="12.75" customHeight="1" x14ac:dyDescent="0.2">
      <c r="A7754" s="258"/>
      <c r="Z7754" s="258"/>
    </row>
    <row r="7755" spans="1:26" ht="12.75" customHeight="1" x14ac:dyDescent="0.2">
      <c r="A7755" s="258"/>
      <c r="Z7755" s="258"/>
    </row>
    <row r="7756" spans="1:26" ht="12.75" customHeight="1" x14ac:dyDescent="0.2">
      <c r="A7756" s="258"/>
      <c r="Z7756" s="258"/>
    </row>
    <row r="7757" spans="1:26" ht="12.75" customHeight="1" x14ac:dyDescent="0.2">
      <c r="A7757" s="258"/>
      <c r="Z7757" s="258"/>
    </row>
    <row r="7758" spans="1:26" ht="12.75" customHeight="1" x14ac:dyDescent="0.2">
      <c r="A7758" s="258"/>
      <c r="Z7758" s="258"/>
    </row>
    <row r="7759" spans="1:26" ht="12.75" customHeight="1" x14ac:dyDescent="0.2">
      <c r="A7759" s="258"/>
      <c r="Z7759" s="258"/>
    </row>
    <row r="7760" spans="1:26" ht="12.75" customHeight="1" x14ac:dyDescent="0.2">
      <c r="A7760" s="258"/>
      <c r="Z7760" s="258"/>
    </row>
    <row r="7761" spans="1:26" ht="12.75" customHeight="1" x14ac:dyDescent="0.2">
      <c r="A7761" s="258"/>
      <c r="Z7761" s="258"/>
    </row>
    <row r="7762" spans="1:26" ht="12.75" customHeight="1" x14ac:dyDescent="0.2">
      <c r="A7762" s="258"/>
      <c r="Z7762" s="258"/>
    </row>
    <row r="7763" spans="1:26" ht="12.75" customHeight="1" x14ac:dyDescent="0.2">
      <c r="A7763" s="258"/>
      <c r="Z7763" s="258"/>
    </row>
    <row r="7764" spans="1:26" ht="12.75" customHeight="1" x14ac:dyDescent="0.2">
      <c r="A7764" s="258"/>
      <c r="Z7764" s="258"/>
    </row>
    <row r="7765" spans="1:26" ht="12.75" customHeight="1" x14ac:dyDescent="0.2">
      <c r="A7765" s="258"/>
      <c r="Z7765" s="258"/>
    </row>
    <row r="7766" spans="1:26" ht="12.75" customHeight="1" x14ac:dyDescent="0.2">
      <c r="A7766" s="258"/>
      <c r="Z7766" s="258"/>
    </row>
    <row r="7767" spans="1:26" ht="12.75" customHeight="1" x14ac:dyDescent="0.2">
      <c r="A7767" s="258"/>
      <c r="Z7767" s="258"/>
    </row>
    <row r="7768" spans="1:26" ht="12.75" customHeight="1" x14ac:dyDescent="0.2">
      <c r="A7768" s="258"/>
      <c r="Z7768" s="258"/>
    </row>
    <row r="7769" spans="1:26" ht="12.75" customHeight="1" x14ac:dyDescent="0.2">
      <c r="A7769" s="258"/>
      <c r="Z7769" s="258"/>
    </row>
    <row r="7770" spans="1:26" ht="12.75" customHeight="1" x14ac:dyDescent="0.2">
      <c r="A7770" s="258"/>
      <c r="Z7770" s="258"/>
    </row>
    <row r="7771" spans="1:26" ht="12.75" customHeight="1" x14ac:dyDescent="0.2">
      <c r="A7771" s="258"/>
      <c r="Z7771" s="258"/>
    </row>
    <row r="7772" spans="1:26" ht="12.75" customHeight="1" x14ac:dyDescent="0.2">
      <c r="A7772" s="258"/>
      <c r="Z7772" s="258"/>
    </row>
    <row r="7773" spans="1:26" ht="12.75" customHeight="1" x14ac:dyDescent="0.2">
      <c r="A7773" s="258"/>
      <c r="Z7773" s="258"/>
    </row>
    <row r="7774" spans="1:26" ht="12.75" customHeight="1" x14ac:dyDescent="0.2">
      <c r="A7774" s="258"/>
      <c r="Z7774" s="258"/>
    </row>
    <row r="7775" spans="1:26" ht="12.75" customHeight="1" x14ac:dyDescent="0.2">
      <c r="A7775" s="258"/>
      <c r="Z7775" s="258"/>
    </row>
    <row r="7776" spans="1:26" ht="12.75" customHeight="1" x14ac:dyDescent="0.2">
      <c r="A7776" s="258"/>
      <c r="Z7776" s="258"/>
    </row>
    <row r="7777" spans="1:26" ht="12.75" customHeight="1" x14ac:dyDescent="0.2">
      <c r="A7777" s="258"/>
      <c r="Z7777" s="258"/>
    </row>
    <row r="7778" spans="1:26" ht="12.75" customHeight="1" x14ac:dyDescent="0.2">
      <c r="A7778" s="258"/>
      <c r="Z7778" s="258"/>
    </row>
    <row r="7779" spans="1:26" ht="12.75" customHeight="1" x14ac:dyDescent="0.2">
      <c r="A7779" s="258"/>
      <c r="Z7779" s="258"/>
    </row>
    <row r="7780" spans="1:26" ht="12.75" customHeight="1" x14ac:dyDescent="0.2">
      <c r="A7780" s="258"/>
      <c r="Z7780" s="258"/>
    </row>
    <row r="7781" spans="1:26" ht="12.75" customHeight="1" x14ac:dyDescent="0.2">
      <c r="A7781" s="258"/>
      <c r="Z7781" s="258"/>
    </row>
    <row r="7782" spans="1:26" ht="12.75" customHeight="1" x14ac:dyDescent="0.2">
      <c r="A7782" s="258"/>
      <c r="Z7782" s="258"/>
    </row>
    <row r="7783" spans="1:26" ht="12.75" customHeight="1" x14ac:dyDescent="0.2">
      <c r="A7783" s="258"/>
      <c r="Z7783" s="258"/>
    </row>
    <row r="7784" spans="1:26" ht="12.75" customHeight="1" x14ac:dyDescent="0.2">
      <c r="A7784" s="258"/>
      <c r="Z7784" s="258"/>
    </row>
    <row r="7785" spans="1:26" ht="12.75" customHeight="1" x14ac:dyDescent="0.2">
      <c r="A7785" s="258"/>
      <c r="Z7785" s="258"/>
    </row>
    <row r="7786" spans="1:26" ht="12.75" customHeight="1" x14ac:dyDescent="0.2">
      <c r="A7786" s="258"/>
      <c r="Z7786" s="258"/>
    </row>
    <row r="7787" spans="1:26" ht="12.75" customHeight="1" x14ac:dyDescent="0.2">
      <c r="A7787" s="258"/>
      <c r="Z7787" s="258"/>
    </row>
    <row r="7788" spans="1:26" ht="12.75" customHeight="1" x14ac:dyDescent="0.2">
      <c r="A7788" s="258"/>
      <c r="Z7788" s="258"/>
    </row>
    <row r="7789" spans="1:26" ht="12.75" customHeight="1" x14ac:dyDescent="0.2">
      <c r="A7789" s="258"/>
      <c r="Z7789" s="258"/>
    </row>
    <row r="7790" spans="1:26" ht="12.75" customHeight="1" x14ac:dyDescent="0.2">
      <c r="A7790" s="258"/>
      <c r="Z7790" s="258"/>
    </row>
    <row r="7791" spans="1:26" ht="12.75" customHeight="1" x14ac:dyDescent="0.2">
      <c r="A7791" s="258"/>
      <c r="Z7791" s="258"/>
    </row>
    <row r="7792" spans="1:26" ht="12.75" customHeight="1" x14ac:dyDescent="0.2">
      <c r="A7792" s="258"/>
      <c r="Z7792" s="258"/>
    </row>
    <row r="7793" spans="1:26" ht="12.75" customHeight="1" x14ac:dyDescent="0.2">
      <c r="A7793" s="258"/>
      <c r="Z7793" s="258"/>
    </row>
    <row r="7794" spans="1:26" ht="12.75" customHeight="1" x14ac:dyDescent="0.2">
      <c r="A7794" s="258"/>
      <c r="Z7794" s="258"/>
    </row>
    <row r="7795" spans="1:26" ht="12.75" customHeight="1" x14ac:dyDescent="0.2">
      <c r="A7795" s="258"/>
      <c r="Z7795" s="258"/>
    </row>
    <row r="7796" spans="1:26" ht="12.75" customHeight="1" x14ac:dyDescent="0.2">
      <c r="A7796" s="258"/>
      <c r="Z7796" s="258"/>
    </row>
    <row r="7797" spans="1:26" ht="12.75" customHeight="1" x14ac:dyDescent="0.2">
      <c r="A7797" s="258"/>
      <c r="Z7797" s="258"/>
    </row>
    <row r="7798" spans="1:26" ht="12.75" customHeight="1" x14ac:dyDescent="0.2">
      <c r="A7798" s="258"/>
      <c r="Z7798" s="258"/>
    </row>
    <row r="7799" spans="1:26" ht="12.75" customHeight="1" x14ac:dyDescent="0.2">
      <c r="A7799" s="258"/>
      <c r="Z7799" s="258"/>
    </row>
    <row r="7800" spans="1:26" ht="12.75" customHeight="1" x14ac:dyDescent="0.2">
      <c r="A7800" s="258"/>
      <c r="Z7800" s="258"/>
    </row>
    <row r="7801" spans="1:26" ht="12.75" customHeight="1" x14ac:dyDescent="0.2">
      <c r="A7801" s="258"/>
      <c r="Z7801" s="258"/>
    </row>
    <row r="7802" spans="1:26" ht="12.75" customHeight="1" x14ac:dyDescent="0.2">
      <c r="A7802" s="258"/>
      <c r="Z7802" s="258"/>
    </row>
    <row r="7803" spans="1:26" ht="12.75" customHeight="1" x14ac:dyDescent="0.2">
      <c r="A7803" s="258"/>
      <c r="Z7803" s="258"/>
    </row>
    <row r="7804" spans="1:26" ht="12.75" customHeight="1" x14ac:dyDescent="0.2">
      <c r="A7804" s="258"/>
      <c r="Z7804" s="258"/>
    </row>
    <row r="7805" spans="1:26" ht="12.75" customHeight="1" x14ac:dyDescent="0.2">
      <c r="A7805" s="258"/>
      <c r="Z7805" s="258"/>
    </row>
    <row r="7806" spans="1:26" ht="12.75" customHeight="1" x14ac:dyDescent="0.2">
      <c r="A7806" s="258"/>
      <c r="Z7806" s="258"/>
    </row>
    <row r="7807" spans="1:26" ht="12.75" customHeight="1" x14ac:dyDescent="0.2">
      <c r="A7807" s="258"/>
      <c r="Z7807" s="258"/>
    </row>
    <row r="7808" spans="1:26" ht="12.75" customHeight="1" x14ac:dyDescent="0.2">
      <c r="A7808" s="258"/>
      <c r="Z7808" s="258"/>
    </row>
    <row r="7809" spans="1:26" ht="12.75" customHeight="1" x14ac:dyDescent="0.2">
      <c r="A7809" s="258"/>
      <c r="Z7809" s="258"/>
    </row>
    <row r="7810" spans="1:26" ht="12.75" customHeight="1" x14ac:dyDescent="0.2">
      <c r="A7810" s="258"/>
      <c r="Z7810" s="258"/>
    </row>
    <row r="7811" spans="1:26" ht="12.75" customHeight="1" x14ac:dyDescent="0.2">
      <c r="A7811" s="258"/>
      <c r="Z7811" s="258"/>
    </row>
    <row r="7812" spans="1:26" ht="12.75" customHeight="1" x14ac:dyDescent="0.2">
      <c r="A7812" s="258"/>
      <c r="Z7812" s="258"/>
    </row>
    <row r="7813" spans="1:26" ht="12.75" customHeight="1" x14ac:dyDescent="0.2">
      <c r="A7813" s="258"/>
      <c r="Z7813" s="258"/>
    </row>
    <row r="7814" spans="1:26" ht="12.75" customHeight="1" x14ac:dyDescent="0.2">
      <c r="A7814" s="258"/>
      <c r="Z7814" s="258"/>
    </row>
    <row r="7815" spans="1:26" ht="12.75" customHeight="1" x14ac:dyDescent="0.2">
      <c r="A7815" s="258"/>
      <c r="Z7815" s="258"/>
    </row>
    <row r="7816" spans="1:26" ht="12.75" customHeight="1" x14ac:dyDescent="0.2">
      <c r="A7816" s="258"/>
      <c r="Z7816" s="258"/>
    </row>
    <row r="7817" spans="1:26" ht="12.75" customHeight="1" x14ac:dyDescent="0.2">
      <c r="A7817" s="258"/>
      <c r="Z7817" s="258"/>
    </row>
    <row r="7818" spans="1:26" ht="12.75" customHeight="1" x14ac:dyDescent="0.2">
      <c r="A7818" s="258"/>
      <c r="Z7818" s="258"/>
    </row>
    <row r="7819" spans="1:26" ht="12.75" customHeight="1" x14ac:dyDescent="0.2">
      <c r="A7819" s="258"/>
      <c r="Z7819" s="258"/>
    </row>
    <row r="7820" spans="1:26" ht="12.75" customHeight="1" x14ac:dyDescent="0.2">
      <c r="A7820" s="258"/>
      <c r="Z7820" s="258"/>
    </row>
    <row r="7821" spans="1:26" ht="12.75" customHeight="1" x14ac:dyDescent="0.2">
      <c r="A7821" s="258"/>
      <c r="Z7821" s="258"/>
    </row>
    <row r="7822" spans="1:26" ht="12.75" customHeight="1" x14ac:dyDescent="0.2">
      <c r="A7822" s="258"/>
      <c r="Z7822" s="258"/>
    </row>
    <row r="7823" spans="1:26" ht="12.75" customHeight="1" x14ac:dyDescent="0.2">
      <c r="A7823" s="258"/>
      <c r="Z7823" s="258"/>
    </row>
    <row r="7824" spans="1:26" ht="12.75" customHeight="1" x14ac:dyDescent="0.2">
      <c r="A7824" s="258"/>
      <c r="Z7824" s="258"/>
    </row>
    <row r="7825" spans="1:26" ht="12.75" customHeight="1" x14ac:dyDescent="0.2">
      <c r="A7825" s="258"/>
      <c r="Z7825" s="258"/>
    </row>
    <row r="7826" spans="1:26" ht="12.75" customHeight="1" x14ac:dyDescent="0.2">
      <c r="A7826" s="258"/>
      <c r="Z7826" s="258"/>
    </row>
    <row r="7827" spans="1:26" ht="12.75" customHeight="1" x14ac:dyDescent="0.2">
      <c r="A7827" s="258"/>
      <c r="Z7827" s="258"/>
    </row>
    <row r="7828" spans="1:26" ht="12.75" customHeight="1" x14ac:dyDescent="0.2">
      <c r="A7828" s="258"/>
      <c r="Z7828" s="258"/>
    </row>
    <row r="7829" spans="1:26" ht="12.75" customHeight="1" x14ac:dyDescent="0.2">
      <c r="A7829" s="258"/>
      <c r="Z7829" s="258"/>
    </row>
    <row r="7830" spans="1:26" ht="12.75" customHeight="1" x14ac:dyDescent="0.2">
      <c r="A7830" s="258"/>
      <c r="Z7830" s="258"/>
    </row>
    <row r="7831" spans="1:26" ht="12.75" customHeight="1" x14ac:dyDescent="0.2">
      <c r="A7831" s="258"/>
      <c r="Z7831" s="258"/>
    </row>
    <row r="7832" spans="1:26" ht="12.75" customHeight="1" x14ac:dyDescent="0.2">
      <c r="A7832" s="258"/>
      <c r="Z7832" s="258"/>
    </row>
    <row r="7833" spans="1:26" ht="12.75" customHeight="1" x14ac:dyDescent="0.2">
      <c r="A7833" s="258"/>
      <c r="Z7833" s="258"/>
    </row>
    <row r="7834" spans="1:26" ht="12.75" customHeight="1" x14ac:dyDescent="0.2">
      <c r="A7834" s="258"/>
      <c r="Z7834" s="258"/>
    </row>
    <row r="7835" spans="1:26" ht="12.75" customHeight="1" x14ac:dyDescent="0.2">
      <c r="A7835" s="258"/>
      <c r="Z7835" s="258"/>
    </row>
    <row r="7836" spans="1:26" ht="12.75" customHeight="1" x14ac:dyDescent="0.2">
      <c r="A7836" s="258"/>
      <c r="Z7836" s="258"/>
    </row>
    <row r="7837" spans="1:26" ht="12.75" customHeight="1" x14ac:dyDescent="0.2">
      <c r="A7837" s="258"/>
      <c r="Z7837" s="258"/>
    </row>
    <row r="7838" spans="1:26" ht="12.75" customHeight="1" x14ac:dyDescent="0.2">
      <c r="A7838" s="258"/>
      <c r="Z7838" s="258"/>
    </row>
    <row r="7839" spans="1:26" ht="12.75" customHeight="1" x14ac:dyDescent="0.2">
      <c r="A7839" s="258"/>
      <c r="Z7839" s="258"/>
    </row>
    <row r="7840" spans="1:26" ht="12.75" customHeight="1" x14ac:dyDescent="0.2">
      <c r="A7840" s="258"/>
      <c r="Z7840" s="258"/>
    </row>
    <row r="7841" spans="1:26" ht="12.75" customHeight="1" x14ac:dyDescent="0.2">
      <c r="A7841" s="258"/>
      <c r="Z7841" s="258"/>
    </row>
    <row r="7842" spans="1:26" ht="12.75" customHeight="1" x14ac:dyDescent="0.2">
      <c r="A7842" s="258"/>
      <c r="Z7842" s="258"/>
    </row>
    <row r="7843" spans="1:26" ht="12.75" customHeight="1" x14ac:dyDescent="0.2">
      <c r="A7843" s="258"/>
      <c r="Z7843" s="258"/>
    </row>
    <row r="7844" spans="1:26" ht="12.75" customHeight="1" x14ac:dyDescent="0.2">
      <c r="A7844" s="258"/>
      <c r="Z7844" s="258"/>
    </row>
    <row r="7845" spans="1:26" ht="12.75" customHeight="1" x14ac:dyDescent="0.2">
      <c r="A7845" s="258"/>
      <c r="Z7845" s="258"/>
    </row>
    <row r="7846" spans="1:26" ht="12.75" customHeight="1" x14ac:dyDescent="0.2">
      <c r="A7846" s="258"/>
      <c r="Z7846" s="258"/>
    </row>
    <row r="7847" spans="1:26" ht="12.75" customHeight="1" x14ac:dyDescent="0.2">
      <c r="A7847" s="258"/>
      <c r="Z7847" s="258"/>
    </row>
    <row r="7848" spans="1:26" ht="12.75" customHeight="1" x14ac:dyDescent="0.2">
      <c r="A7848" s="258"/>
      <c r="Z7848" s="258"/>
    </row>
    <row r="7849" spans="1:26" ht="12.75" customHeight="1" x14ac:dyDescent="0.2">
      <c r="A7849" s="258"/>
      <c r="Z7849" s="258"/>
    </row>
    <row r="7850" spans="1:26" ht="12.75" customHeight="1" x14ac:dyDescent="0.2">
      <c r="A7850" s="258"/>
      <c r="Z7850" s="258"/>
    </row>
    <row r="7851" spans="1:26" ht="12.75" customHeight="1" x14ac:dyDescent="0.2">
      <c r="A7851" s="258"/>
      <c r="Z7851" s="258"/>
    </row>
    <row r="7852" spans="1:26" ht="12.75" customHeight="1" x14ac:dyDescent="0.2">
      <c r="A7852" s="258"/>
      <c r="Z7852" s="258"/>
    </row>
    <row r="7853" spans="1:26" ht="12.75" customHeight="1" x14ac:dyDescent="0.2">
      <c r="A7853" s="258"/>
      <c r="Z7853" s="258"/>
    </row>
    <row r="7854" spans="1:26" ht="12.75" customHeight="1" x14ac:dyDescent="0.2">
      <c r="A7854" s="258"/>
      <c r="Z7854" s="258"/>
    </row>
    <row r="7855" spans="1:26" ht="12.75" customHeight="1" x14ac:dyDescent="0.2">
      <c r="A7855" s="258"/>
      <c r="Z7855" s="258"/>
    </row>
    <row r="7856" spans="1:26" ht="12.75" customHeight="1" x14ac:dyDescent="0.2">
      <c r="A7856" s="258"/>
      <c r="Z7856" s="258"/>
    </row>
    <row r="7857" spans="1:26" ht="12.75" customHeight="1" x14ac:dyDescent="0.2">
      <c r="A7857" s="258"/>
      <c r="Z7857" s="258"/>
    </row>
    <row r="7858" spans="1:26" ht="12.75" customHeight="1" x14ac:dyDescent="0.2">
      <c r="A7858" s="258"/>
      <c r="Z7858" s="258"/>
    </row>
    <row r="7859" spans="1:26" ht="12.75" customHeight="1" x14ac:dyDescent="0.2">
      <c r="A7859" s="258"/>
      <c r="Z7859" s="258"/>
    </row>
    <row r="7860" spans="1:26" ht="12.75" customHeight="1" x14ac:dyDescent="0.2">
      <c r="A7860" s="258"/>
      <c r="Z7860" s="258"/>
    </row>
    <row r="7861" spans="1:26" ht="12.75" customHeight="1" x14ac:dyDescent="0.2">
      <c r="A7861" s="258"/>
      <c r="Z7861" s="258"/>
    </row>
    <row r="7862" spans="1:26" ht="12.75" customHeight="1" x14ac:dyDescent="0.2">
      <c r="A7862" s="258"/>
      <c r="Z7862" s="258"/>
    </row>
    <row r="7863" spans="1:26" ht="12.75" customHeight="1" x14ac:dyDescent="0.2">
      <c r="A7863" s="258"/>
      <c r="Z7863" s="258"/>
    </row>
    <row r="7864" spans="1:26" ht="12.75" customHeight="1" x14ac:dyDescent="0.2">
      <c r="A7864" s="258"/>
      <c r="Z7864" s="258"/>
    </row>
    <row r="7865" spans="1:26" ht="12.75" customHeight="1" x14ac:dyDescent="0.2">
      <c r="A7865" s="258"/>
      <c r="Z7865" s="258"/>
    </row>
    <row r="7866" spans="1:26" ht="12.75" customHeight="1" x14ac:dyDescent="0.2">
      <c r="A7866" s="258"/>
      <c r="Z7866" s="258"/>
    </row>
    <row r="7867" spans="1:26" ht="12.75" customHeight="1" x14ac:dyDescent="0.2">
      <c r="A7867" s="258"/>
      <c r="Z7867" s="258"/>
    </row>
    <row r="7868" spans="1:26" ht="12.75" customHeight="1" x14ac:dyDescent="0.2">
      <c r="A7868" s="258"/>
      <c r="Z7868" s="258"/>
    </row>
    <row r="7869" spans="1:26" ht="12.75" customHeight="1" x14ac:dyDescent="0.2">
      <c r="A7869" s="258"/>
      <c r="Z7869" s="258"/>
    </row>
    <row r="7870" spans="1:26" ht="12.75" customHeight="1" x14ac:dyDescent="0.2">
      <c r="A7870" s="258"/>
      <c r="Z7870" s="258"/>
    </row>
    <row r="7871" spans="1:26" ht="12.75" customHeight="1" x14ac:dyDescent="0.2">
      <c r="A7871" s="258"/>
      <c r="Z7871" s="258"/>
    </row>
    <row r="7872" spans="1:26" ht="12.75" customHeight="1" x14ac:dyDescent="0.2">
      <c r="A7872" s="258"/>
      <c r="Z7872" s="258"/>
    </row>
    <row r="7873" spans="1:26" ht="12.75" customHeight="1" x14ac:dyDescent="0.2">
      <c r="A7873" s="258"/>
      <c r="Z7873" s="258"/>
    </row>
    <row r="7874" spans="1:26" ht="12.75" customHeight="1" x14ac:dyDescent="0.2">
      <c r="A7874" s="258"/>
      <c r="Z7874" s="258"/>
    </row>
    <row r="7875" spans="1:26" ht="12.75" customHeight="1" x14ac:dyDescent="0.2">
      <c r="A7875" s="258"/>
      <c r="Z7875" s="258"/>
    </row>
    <row r="7876" spans="1:26" ht="12.75" customHeight="1" x14ac:dyDescent="0.2">
      <c r="A7876" s="258"/>
      <c r="Z7876" s="258"/>
    </row>
    <row r="7877" spans="1:26" ht="12.75" customHeight="1" x14ac:dyDescent="0.2">
      <c r="A7877" s="258"/>
      <c r="Z7877" s="258"/>
    </row>
    <row r="7878" spans="1:26" ht="12.75" customHeight="1" x14ac:dyDescent="0.2">
      <c r="A7878" s="258"/>
      <c r="Z7878" s="258"/>
    </row>
    <row r="7879" spans="1:26" ht="12.75" customHeight="1" x14ac:dyDescent="0.2">
      <c r="A7879" s="258"/>
      <c r="Z7879" s="258"/>
    </row>
    <row r="7880" spans="1:26" ht="12.75" customHeight="1" x14ac:dyDescent="0.2">
      <c r="A7880" s="258"/>
      <c r="Z7880" s="258"/>
    </row>
    <row r="7881" spans="1:26" ht="12.75" customHeight="1" x14ac:dyDescent="0.2">
      <c r="A7881" s="258"/>
      <c r="Z7881" s="258"/>
    </row>
    <row r="7882" spans="1:26" ht="12.75" customHeight="1" x14ac:dyDescent="0.2">
      <c r="A7882" s="258"/>
      <c r="Z7882" s="258"/>
    </row>
    <row r="7883" spans="1:26" ht="12.75" customHeight="1" x14ac:dyDescent="0.2">
      <c r="A7883" s="258"/>
      <c r="Z7883" s="258"/>
    </row>
    <row r="7884" spans="1:26" ht="12.75" customHeight="1" x14ac:dyDescent="0.2">
      <c r="A7884" s="258"/>
      <c r="Z7884" s="258"/>
    </row>
    <row r="7885" spans="1:26" ht="12.75" customHeight="1" x14ac:dyDescent="0.2">
      <c r="A7885" s="258"/>
      <c r="Z7885" s="258"/>
    </row>
    <row r="7886" spans="1:26" ht="12.75" customHeight="1" x14ac:dyDescent="0.2">
      <c r="A7886" s="258"/>
      <c r="Z7886" s="258"/>
    </row>
    <row r="7887" spans="1:26" ht="12.75" customHeight="1" x14ac:dyDescent="0.2">
      <c r="A7887" s="258"/>
      <c r="Z7887" s="258"/>
    </row>
    <row r="7888" spans="1:26" ht="12.75" customHeight="1" x14ac:dyDescent="0.2">
      <c r="A7888" s="258"/>
      <c r="Z7888" s="258"/>
    </row>
    <row r="7889" spans="1:26" ht="12.75" customHeight="1" x14ac:dyDescent="0.2">
      <c r="A7889" s="258"/>
      <c r="Z7889" s="258"/>
    </row>
    <row r="7890" spans="1:26" ht="12.75" customHeight="1" x14ac:dyDescent="0.2">
      <c r="A7890" s="258"/>
      <c r="Z7890" s="258"/>
    </row>
    <row r="7891" spans="1:26" ht="12.75" customHeight="1" x14ac:dyDescent="0.2">
      <c r="A7891" s="258"/>
      <c r="Z7891" s="258"/>
    </row>
    <row r="7892" spans="1:26" ht="12.75" customHeight="1" x14ac:dyDescent="0.2">
      <c r="A7892" s="258"/>
      <c r="Z7892" s="258"/>
    </row>
    <row r="7893" spans="1:26" ht="12.75" customHeight="1" x14ac:dyDescent="0.2">
      <c r="A7893" s="258"/>
      <c r="Z7893" s="258"/>
    </row>
    <row r="7894" spans="1:26" ht="12.75" customHeight="1" x14ac:dyDescent="0.2">
      <c r="A7894" s="258"/>
      <c r="Z7894" s="258"/>
    </row>
    <row r="7895" spans="1:26" ht="12.75" customHeight="1" x14ac:dyDescent="0.2">
      <c r="A7895" s="258"/>
      <c r="Z7895" s="258"/>
    </row>
    <row r="7896" spans="1:26" ht="12.75" customHeight="1" x14ac:dyDescent="0.2">
      <c r="A7896" s="258"/>
      <c r="Z7896" s="258"/>
    </row>
    <row r="7897" spans="1:26" ht="12.75" customHeight="1" x14ac:dyDescent="0.2">
      <c r="A7897" s="258"/>
      <c r="Z7897" s="258"/>
    </row>
    <row r="7898" spans="1:26" ht="12.75" customHeight="1" x14ac:dyDescent="0.2">
      <c r="A7898" s="258"/>
      <c r="Z7898" s="258"/>
    </row>
    <row r="7899" spans="1:26" ht="12.75" customHeight="1" x14ac:dyDescent="0.2">
      <c r="A7899" s="258"/>
      <c r="Z7899" s="258"/>
    </row>
    <row r="7900" spans="1:26" ht="12.75" customHeight="1" x14ac:dyDescent="0.2">
      <c r="A7900" s="258"/>
      <c r="Z7900" s="258"/>
    </row>
    <row r="7901" spans="1:26" ht="12.75" customHeight="1" x14ac:dyDescent="0.2">
      <c r="A7901" s="258"/>
      <c r="Z7901" s="258"/>
    </row>
    <row r="7902" spans="1:26" ht="12.75" customHeight="1" x14ac:dyDescent="0.2">
      <c r="A7902" s="258"/>
      <c r="Z7902" s="258"/>
    </row>
    <row r="7903" spans="1:26" ht="12.75" customHeight="1" x14ac:dyDescent="0.2">
      <c r="A7903" s="258"/>
      <c r="Z7903" s="258"/>
    </row>
    <row r="7904" spans="1:26" ht="12.75" customHeight="1" x14ac:dyDescent="0.2">
      <c r="A7904" s="258"/>
      <c r="Z7904" s="258"/>
    </row>
    <row r="7905" spans="1:26" ht="12.75" customHeight="1" x14ac:dyDescent="0.2">
      <c r="A7905" s="258"/>
      <c r="Z7905" s="258"/>
    </row>
    <row r="7906" spans="1:26" ht="12.75" customHeight="1" x14ac:dyDescent="0.2">
      <c r="A7906" s="258"/>
      <c r="Z7906" s="258"/>
    </row>
    <row r="7907" spans="1:26" ht="12.75" customHeight="1" x14ac:dyDescent="0.2">
      <c r="A7907" s="258"/>
      <c r="Z7907" s="258"/>
    </row>
    <row r="7908" spans="1:26" ht="12.75" customHeight="1" x14ac:dyDescent="0.2">
      <c r="A7908" s="258"/>
      <c r="Z7908" s="258"/>
    </row>
    <row r="7909" spans="1:26" ht="12.75" customHeight="1" x14ac:dyDescent="0.2">
      <c r="A7909" s="258"/>
      <c r="Z7909" s="258"/>
    </row>
    <row r="7910" spans="1:26" ht="12.75" customHeight="1" x14ac:dyDescent="0.2">
      <c r="A7910" s="258"/>
      <c r="Z7910" s="258"/>
    </row>
    <row r="7911" spans="1:26" ht="12.75" customHeight="1" x14ac:dyDescent="0.2">
      <c r="A7911" s="258"/>
      <c r="Z7911" s="258"/>
    </row>
    <row r="7912" spans="1:26" ht="12.75" customHeight="1" x14ac:dyDescent="0.2">
      <c r="A7912" s="258"/>
      <c r="Z7912" s="258"/>
    </row>
    <row r="7913" spans="1:26" ht="12.75" customHeight="1" x14ac:dyDescent="0.2">
      <c r="A7913" s="258"/>
      <c r="Z7913" s="258"/>
    </row>
    <row r="7914" spans="1:26" ht="12.75" customHeight="1" x14ac:dyDescent="0.2">
      <c r="A7914" s="258"/>
      <c r="Z7914" s="258"/>
    </row>
    <row r="7915" spans="1:26" ht="12.75" customHeight="1" x14ac:dyDescent="0.2">
      <c r="A7915" s="258"/>
      <c r="Z7915" s="258"/>
    </row>
    <row r="7916" spans="1:26" ht="12.75" customHeight="1" x14ac:dyDescent="0.2">
      <c r="A7916" s="258"/>
      <c r="Z7916" s="258"/>
    </row>
    <row r="7917" spans="1:26" ht="12.75" customHeight="1" x14ac:dyDescent="0.2">
      <c r="A7917" s="258"/>
      <c r="Z7917" s="258"/>
    </row>
    <row r="7918" spans="1:26" ht="12.75" customHeight="1" x14ac:dyDescent="0.2">
      <c r="A7918" s="258"/>
      <c r="Z7918" s="258"/>
    </row>
    <row r="7919" spans="1:26" ht="12.75" customHeight="1" x14ac:dyDescent="0.2">
      <c r="A7919" s="258"/>
      <c r="Z7919" s="258"/>
    </row>
    <row r="7920" spans="1:26" ht="12.75" customHeight="1" x14ac:dyDescent="0.2">
      <c r="A7920" s="258"/>
      <c r="Z7920" s="258"/>
    </row>
    <row r="7921" spans="1:26" ht="12.75" customHeight="1" x14ac:dyDescent="0.2">
      <c r="A7921" s="258"/>
      <c r="Z7921" s="258"/>
    </row>
    <row r="7922" spans="1:26" ht="12.75" customHeight="1" x14ac:dyDescent="0.2">
      <c r="A7922" s="258"/>
      <c r="Z7922" s="258"/>
    </row>
    <row r="7923" spans="1:26" ht="12.75" customHeight="1" x14ac:dyDescent="0.2">
      <c r="A7923" s="258"/>
      <c r="Z7923" s="258"/>
    </row>
    <row r="7924" spans="1:26" ht="12.75" customHeight="1" x14ac:dyDescent="0.2">
      <c r="A7924" s="258"/>
      <c r="Z7924" s="258"/>
    </row>
    <row r="7925" spans="1:26" ht="12.75" customHeight="1" x14ac:dyDescent="0.2">
      <c r="A7925" s="258"/>
      <c r="Z7925" s="258"/>
    </row>
    <row r="7926" spans="1:26" ht="12.75" customHeight="1" x14ac:dyDescent="0.2">
      <c r="A7926" s="258"/>
      <c r="Z7926" s="258"/>
    </row>
    <row r="7927" spans="1:26" ht="12.75" customHeight="1" x14ac:dyDescent="0.2">
      <c r="A7927" s="258"/>
      <c r="Z7927" s="258"/>
    </row>
    <row r="7928" spans="1:26" ht="12.75" customHeight="1" x14ac:dyDescent="0.2">
      <c r="A7928" s="258"/>
      <c r="Z7928" s="258"/>
    </row>
    <row r="7929" spans="1:26" ht="12.75" customHeight="1" x14ac:dyDescent="0.2">
      <c r="A7929" s="258"/>
      <c r="Z7929" s="258"/>
    </row>
    <row r="7930" spans="1:26" ht="12.75" customHeight="1" x14ac:dyDescent="0.2">
      <c r="A7930" s="258"/>
      <c r="Z7930" s="258"/>
    </row>
    <row r="7931" spans="1:26" ht="12.75" customHeight="1" x14ac:dyDescent="0.2">
      <c r="A7931" s="258"/>
      <c r="Z7931" s="258"/>
    </row>
    <row r="7932" spans="1:26" ht="12.75" customHeight="1" x14ac:dyDescent="0.2">
      <c r="A7932" s="258"/>
      <c r="Z7932" s="258"/>
    </row>
    <row r="7933" spans="1:26" ht="12.75" customHeight="1" x14ac:dyDescent="0.2">
      <c r="A7933" s="258"/>
      <c r="Z7933" s="258"/>
    </row>
    <row r="7934" spans="1:26" ht="12.75" customHeight="1" x14ac:dyDescent="0.2">
      <c r="A7934" s="258"/>
      <c r="Z7934" s="258"/>
    </row>
    <row r="7935" spans="1:26" ht="12.75" customHeight="1" x14ac:dyDescent="0.2">
      <c r="A7935" s="258"/>
      <c r="Z7935" s="258"/>
    </row>
    <row r="7936" spans="1:26" ht="12.75" customHeight="1" x14ac:dyDescent="0.2">
      <c r="A7936" s="258"/>
      <c r="Z7936" s="258"/>
    </row>
    <row r="7937" spans="1:26" ht="12.75" customHeight="1" x14ac:dyDescent="0.2">
      <c r="A7937" s="258"/>
      <c r="Z7937" s="258"/>
    </row>
    <row r="7938" spans="1:26" ht="12.75" customHeight="1" x14ac:dyDescent="0.2">
      <c r="A7938" s="258"/>
      <c r="Z7938" s="258"/>
    </row>
    <row r="7939" spans="1:26" ht="12.75" customHeight="1" x14ac:dyDescent="0.2">
      <c r="A7939" s="258"/>
      <c r="Z7939" s="258"/>
    </row>
    <row r="7940" spans="1:26" ht="12.75" customHeight="1" x14ac:dyDescent="0.2">
      <c r="A7940" s="258"/>
      <c r="Z7940" s="258"/>
    </row>
    <row r="7941" spans="1:26" ht="12.75" customHeight="1" x14ac:dyDescent="0.2">
      <c r="A7941" s="258"/>
      <c r="Z7941" s="258"/>
    </row>
    <row r="7942" spans="1:26" ht="12.75" customHeight="1" x14ac:dyDescent="0.2">
      <c r="A7942" s="258"/>
      <c r="Z7942" s="258"/>
    </row>
    <row r="7943" spans="1:26" ht="12.75" customHeight="1" x14ac:dyDescent="0.2">
      <c r="A7943" s="258"/>
      <c r="Z7943" s="258"/>
    </row>
    <row r="7944" spans="1:26" ht="12.75" customHeight="1" x14ac:dyDescent="0.2">
      <c r="A7944" s="258"/>
      <c r="Z7944" s="258"/>
    </row>
    <row r="7945" spans="1:26" ht="12.75" customHeight="1" x14ac:dyDescent="0.2">
      <c r="A7945" s="258"/>
      <c r="Z7945" s="258"/>
    </row>
    <row r="7946" spans="1:26" ht="12.75" customHeight="1" x14ac:dyDescent="0.2">
      <c r="A7946" s="258"/>
      <c r="Z7946" s="258"/>
    </row>
    <row r="7947" spans="1:26" ht="12.75" customHeight="1" x14ac:dyDescent="0.2">
      <c r="A7947" s="258"/>
      <c r="Z7947" s="258"/>
    </row>
    <row r="7948" spans="1:26" ht="12.75" customHeight="1" x14ac:dyDescent="0.2">
      <c r="A7948" s="258"/>
      <c r="Z7948" s="258"/>
    </row>
    <row r="7949" spans="1:26" ht="12.75" customHeight="1" x14ac:dyDescent="0.2">
      <c r="A7949" s="258"/>
      <c r="Z7949" s="258"/>
    </row>
    <row r="7950" spans="1:26" ht="12.75" customHeight="1" x14ac:dyDescent="0.2">
      <c r="A7950" s="258"/>
      <c r="Z7950" s="258"/>
    </row>
    <row r="7951" spans="1:26" ht="12.75" customHeight="1" x14ac:dyDescent="0.2">
      <c r="A7951" s="258"/>
      <c r="Z7951" s="258"/>
    </row>
    <row r="7952" spans="1:26" ht="12.75" customHeight="1" x14ac:dyDescent="0.2">
      <c r="A7952" s="258"/>
      <c r="Z7952" s="258"/>
    </row>
    <row r="7953" spans="1:26" ht="12.75" customHeight="1" x14ac:dyDescent="0.2">
      <c r="A7953" s="258"/>
      <c r="Z7953" s="258"/>
    </row>
    <row r="7954" spans="1:26" ht="12.75" customHeight="1" x14ac:dyDescent="0.2">
      <c r="A7954" s="258"/>
      <c r="Z7954" s="258"/>
    </row>
    <row r="7955" spans="1:26" ht="12.75" customHeight="1" x14ac:dyDescent="0.2">
      <c r="A7955" s="258"/>
      <c r="Z7955" s="258"/>
    </row>
    <row r="7956" spans="1:26" ht="12.75" customHeight="1" x14ac:dyDescent="0.2">
      <c r="A7956" s="258"/>
      <c r="Z7956" s="258"/>
    </row>
    <row r="7957" spans="1:26" ht="12.75" customHeight="1" x14ac:dyDescent="0.2">
      <c r="A7957" s="258"/>
      <c r="Z7957" s="258"/>
    </row>
    <row r="7958" spans="1:26" ht="12.75" customHeight="1" x14ac:dyDescent="0.2">
      <c r="A7958" s="258"/>
      <c r="Z7958" s="258"/>
    </row>
    <row r="7959" spans="1:26" ht="12.75" customHeight="1" x14ac:dyDescent="0.2">
      <c r="A7959" s="258"/>
      <c r="Z7959" s="258"/>
    </row>
    <row r="7960" spans="1:26" ht="12.75" customHeight="1" x14ac:dyDescent="0.2">
      <c r="A7960" s="258"/>
      <c r="Z7960" s="258"/>
    </row>
    <row r="7961" spans="1:26" ht="12.75" customHeight="1" x14ac:dyDescent="0.2">
      <c r="A7961" s="258"/>
      <c r="Z7961" s="258"/>
    </row>
    <row r="7962" spans="1:26" ht="12.75" customHeight="1" x14ac:dyDescent="0.2">
      <c r="A7962" s="258"/>
      <c r="Z7962" s="258"/>
    </row>
    <row r="7963" spans="1:26" ht="12.75" customHeight="1" x14ac:dyDescent="0.2">
      <c r="A7963" s="258"/>
      <c r="Z7963" s="258"/>
    </row>
    <row r="7964" spans="1:26" ht="12.75" customHeight="1" x14ac:dyDescent="0.2">
      <c r="A7964" s="258"/>
      <c r="Z7964" s="258"/>
    </row>
    <row r="7965" spans="1:26" ht="12.75" customHeight="1" x14ac:dyDescent="0.2">
      <c r="A7965" s="258"/>
      <c r="Z7965" s="258"/>
    </row>
    <row r="7966" spans="1:26" ht="12.75" customHeight="1" x14ac:dyDescent="0.2">
      <c r="A7966" s="258"/>
      <c r="Z7966" s="258"/>
    </row>
    <row r="7967" spans="1:26" ht="12.75" customHeight="1" x14ac:dyDescent="0.2">
      <c r="A7967" s="258"/>
      <c r="Z7967" s="258"/>
    </row>
    <row r="7968" spans="1:26" ht="12.75" customHeight="1" x14ac:dyDescent="0.2">
      <c r="A7968" s="258"/>
      <c r="Z7968" s="258"/>
    </row>
    <row r="7969" spans="1:26" ht="12.75" customHeight="1" x14ac:dyDescent="0.2">
      <c r="A7969" s="258"/>
      <c r="Z7969" s="258"/>
    </row>
    <row r="7970" spans="1:26" ht="12.75" customHeight="1" x14ac:dyDescent="0.2">
      <c r="A7970" s="258"/>
      <c r="Z7970" s="258"/>
    </row>
    <row r="7971" spans="1:26" ht="12.75" customHeight="1" x14ac:dyDescent="0.2">
      <c r="A7971" s="258"/>
      <c r="Z7971" s="258"/>
    </row>
    <row r="7972" spans="1:26" ht="12.75" customHeight="1" x14ac:dyDescent="0.2">
      <c r="A7972" s="258"/>
      <c r="Z7972" s="258"/>
    </row>
    <row r="7973" spans="1:26" ht="12.75" customHeight="1" x14ac:dyDescent="0.2">
      <c r="A7973" s="258"/>
      <c r="Z7973" s="258"/>
    </row>
    <row r="7974" spans="1:26" ht="12.75" customHeight="1" x14ac:dyDescent="0.2">
      <c r="A7974" s="258"/>
      <c r="Z7974" s="258"/>
    </row>
    <row r="7975" spans="1:26" ht="12.75" customHeight="1" x14ac:dyDescent="0.2">
      <c r="A7975" s="258"/>
      <c r="Z7975" s="258"/>
    </row>
    <row r="7976" spans="1:26" ht="12.75" customHeight="1" x14ac:dyDescent="0.2">
      <c r="A7976" s="258"/>
      <c r="Z7976" s="258"/>
    </row>
    <row r="7977" spans="1:26" ht="12.75" customHeight="1" x14ac:dyDescent="0.2">
      <c r="A7977" s="258"/>
      <c r="Z7977" s="258"/>
    </row>
    <row r="7978" spans="1:26" ht="12.75" customHeight="1" x14ac:dyDescent="0.2">
      <c r="A7978" s="258"/>
      <c r="Z7978" s="258"/>
    </row>
    <row r="7979" spans="1:26" ht="12.75" customHeight="1" x14ac:dyDescent="0.2">
      <c r="A7979" s="258"/>
      <c r="Z7979" s="258"/>
    </row>
    <row r="7980" spans="1:26" ht="12.75" customHeight="1" x14ac:dyDescent="0.2">
      <c r="A7980" s="258"/>
      <c r="Z7980" s="258"/>
    </row>
    <row r="7981" spans="1:26" ht="12.75" customHeight="1" x14ac:dyDescent="0.2">
      <c r="A7981" s="258"/>
      <c r="Z7981" s="258"/>
    </row>
    <row r="7982" spans="1:26" ht="12.75" customHeight="1" x14ac:dyDescent="0.2">
      <c r="A7982" s="258"/>
      <c r="Z7982" s="258"/>
    </row>
    <row r="7983" spans="1:26" ht="12.75" customHeight="1" x14ac:dyDescent="0.2">
      <c r="A7983" s="258"/>
      <c r="Z7983" s="258"/>
    </row>
    <row r="7984" spans="1:26" ht="12.75" customHeight="1" x14ac:dyDescent="0.2">
      <c r="A7984" s="258"/>
      <c r="Z7984" s="258"/>
    </row>
    <row r="7985" spans="1:26" ht="12.75" customHeight="1" x14ac:dyDescent="0.2">
      <c r="A7985" s="258"/>
      <c r="Z7985" s="258"/>
    </row>
    <row r="7986" spans="1:26" ht="12.75" customHeight="1" x14ac:dyDescent="0.2">
      <c r="A7986" s="258"/>
      <c r="Z7986" s="258"/>
    </row>
    <row r="7987" spans="1:26" ht="12.75" customHeight="1" x14ac:dyDescent="0.2">
      <c r="A7987" s="258"/>
      <c r="Z7987" s="258"/>
    </row>
    <row r="7988" spans="1:26" ht="12.75" customHeight="1" x14ac:dyDescent="0.2">
      <c r="A7988" s="258"/>
      <c r="Z7988" s="258"/>
    </row>
    <row r="7989" spans="1:26" ht="12.75" customHeight="1" x14ac:dyDescent="0.2">
      <c r="A7989" s="258"/>
      <c r="Z7989" s="258"/>
    </row>
    <row r="7990" spans="1:26" ht="12.75" customHeight="1" x14ac:dyDescent="0.2">
      <c r="A7990" s="258"/>
      <c r="Z7990" s="258"/>
    </row>
    <row r="7991" spans="1:26" ht="12.75" customHeight="1" x14ac:dyDescent="0.2">
      <c r="A7991" s="258"/>
      <c r="Z7991" s="258"/>
    </row>
    <row r="7992" spans="1:26" ht="12.75" customHeight="1" x14ac:dyDescent="0.2">
      <c r="A7992" s="258"/>
      <c r="Z7992" s="258"/>
    </row>
    <row r="7993" spans="1:26" ht="12.75" customHeight="1" x14ac:dyDescent="0.2">
      <c r="A7993" s="258"/>
      <c r="Z7993" s="258"/>
    </row>
    <row r="7994" spans="1:26" ht="12.75" customHeight="1" x14ac:dyDescent="0.2">
      <c r="A7994" s="258"/>
      <c r="Z7994" s="258"/>
    </row>
    <row r="7995" spans="1:26" ht="12.75" customHeight="1" x14ac:dyDescent="0.2">
      <c r="A7995" s="258"/>
      <c r="Z7995" s="258"/>
    </row>
    <row r="7996" spans="1:26" ht="12.75" customHeight="1" x14ac:dyDescent="0.2">
      <c r="A7996" s="258"/>
      <c r="Z7996" s="258"/>
    </row>
    <row r="7997" spans="1:26" ht="12.75" customHeight="1" x14ac:dyDescent="0.2">
      <c r="A7997" s="258"/>
      <c r="Z7997" s="258"/>
    </row>
    <row r="7998" spans="1:26" ht="12.75" customHeight="1" x14ac:dyDescent="0.2">
      <c r="A7998" s="258"/>
      <c r="Z7998" s="258"/>
    </row>
    <row r="7999" spans="1:26" ht="12.75" customHeight="1" x14ac:dyDescent="0.2">
      <c r="A7999" s="258"/>
      <c r="Z7999" s="258"/>
    </row>
    <row r="8000" spans="1:26" ht="12.75" customHeight="1" x14ac:dyDescent="0.2">
      <c r="A8000" s="258"/>
      <c r="Z8000" s="258"/>
    </row>
    <row r="8001" spans="1:26" ht="12.75" customHeight="1" x14ac:dyDescent="0.2">
      <c r="A8001" s="258"/>
      <c r="Z8001" s="258"/>
    </row>
    <row r="8002" spans="1:26" ht="12.75" customHeight="1" x14ac:dyDescent="0.2">
      <c r="A8002" s="258"/>
      <c r="Z8002" s="258"/>
    </row>
    <row r="8003" spans="1:26" ht="12.75" customHeight="1" x14ac:dyDescent="0.2">
      <c r="A8003" s="258"/>
      <c r="Z8003" s="258"/>
    </row>
    <row r="8004" spans="1:26" ht="12.75" customHeight="1" x14ac:dyDescent="0.2">
      <c r="A8004" s="258"/>
      <c r="Z8004" s="258"/>
    </row>
    <row r="8005" spans="1:26" ht="12.75" customHeight="1" x14ac:dyDescent="0.2">
      <c r="A8005" s="258"/>
      <c r="Z8005" s="258"/>
    </row>
    <row r="8006" spans="1:26" ht="12.75" customHeight="1" x14ac:dyDescent="0.2">
      <c r="A8006" s="258"/>
      <c r="Z8006" s="258"/>
    </row>
    <row r="8007" spans="1:26" ht="12.75" customHeight="1" x14ac:dyDescent="0.2">
      <c r="A8007" s="258"/>
      <c r="Z8007" s="258"/>
    </row>
    <row r="8008" spans="1:26" ht="12.75" customHeight="1" x14ac:dyDescent="0.2">
      <c r="A8008" s="258"/>
      <c r="Z8008" s="258"/>
    </row>
    <row r="8009" spans="1:26" ht="12.75" customHeight="1" x14ac:dyDescent="0.2">
      <c r="A8009" s="258"/>
      <c r="Z8009" s="258"/>
    </row>
    <row r="8010" spans="1:26" ht="12.75" customHeight="1" x14ac:dyDescent="0.2">
      <c r="A8010" s="258"/>
      <c r="Z8010" s="258"/>
    </row>
    <row r="8011" spans="1:26" ht="12.75" customHeight="1" x14ac:dyDescent="0.2">
      <c r="A8011" s="258"/>
      <c r="Z8011" s="258"/>
    </row>
    <row r="8012" spans="1:26" ht="12.75" customHeight="1" x14ac:dyDescent="0.2">
      <c r="A8012" s="258"/>
      <c r="Z8012" s="258"/>
    </row>
    <row r="8013" spans="1:26" ht="12.75" customHeight="1" x14ac:dyDescent="0.2">
      <c r="A8013" s="258"/>
      <c r="Z8013" s="258"/>
    </row>
    <row r="8014" spans="1:26" ht="12.75" customHeight="1" x14ac:dyDescent="0.2">
      <c r="A8014" s="258"/>
      <c r="Z8014" s="258"/>
    </row>
    <row r="8015" spans="1:26" ht="12.75" customHeight="1" x14ac:dyDescent="0.2">
      <c r="A8015" s="258"/>
      <c r="Z8015" s="258"/>
    </row>
    <row r="8016" spans="1:26" ht="12.75" customHeight="1" x14ac:dyDescent="0.2">
      <c r="A8016" s="258"/>
      <c r="Z8016" s="258"/>
    </row>
    <row r="8017" spans="1:26" ht="12.75" customHeight="1" x14ac:dyDescent="0.2">
      <c r="A8017" s="258"/>
      <c r="Z8017" s="258"/>
    </row>
    <row r="8018" spans="1:26" ht="12.75" customHeight="1" x14ac:dyDescent="0.2">
      <c r="A8018" s="258"/>
      <c r="Z8018" s="258"/>
    </row>
    <row r="8019" spans="1:26" ht="12.75" customHeight="1" x14ac:dyDescent="0.2">
      <c r="A8019" s="258"/>
      <c r="Z8019" s="258"/>
    </row>
    <row r="8020" spans="1:26" ht="12.75" customHeight="1" x14ac:dyDescent="0.2">
      <c r="A8020" s="258"/>
      <c r="Z8020" s="258"/>
    </row>
    <row r="8021" spans="1:26" ht="12.75" customHeight="1" x14ac:dyDescent="0.2">
      <c r="A8021" s="258"/>
      <c r="Z8021" s="258"/>
    </row>
    <row r="8022" spans="1:26" ht="12.75" customHeight="1" x14ac:dyDescent="0.2">
      <c r="A8022" s="258"/>
      <c r="Z8022" s="258"/>
    </row>
    <row r="8023" spans="1:26" ht="12.75" customHeight="1" x14ac:dyDescent="0.2">
      <c r="A8023" s="258"/>
      <c r="Z8023" s="258"/>
    </row>
    <row r="8024" spans="1:26" ht="12.75" customHeight="1" x14ac:dyDescent="0.2">
      <c r="A8024" s="258"/>
      <c r="Z8024" s="258"/>
    </row>
    <row r="8025" spans="1:26" ht="12.75" customHeight="1" x14ac:dyDescent="0.2">
      <c r="A8025" s="258"/>
      <c r="Z8025" s="258"/>
    </row>
    <row r="8026" spans="1:26" ht="12.75" customHeight="1" x14ac:dyDescent="0.2">
      <c r="A8026" s="258"/>
      <c r="Z8026" s="258"/>
    </row>
    <row r="8027" spans="1:26" ht="12.75" customHeight="1" x14ac:dyDescent="0.2">
      <c r="A8027" s="258"/>
      <c r="Z8027" s="258"/>
    </row>
    <row r="8028" spans="1:26" ht="12.75" customHeight="1" x14ac:dyDescent="0.2">
      <c r="A8028" s="258"/>
      <c r="Z8028" s="258"/>
    </row>
    <row r="8029" spans="1:26" ht="12.75" customHeight="1" x14ac:dyDescent="0.2">
      <c r="A8029" s="258"/>
      <c r="Z8029" s="258"/>
    </row>
    <row r="8030" spans="1:26" ht="12.75" customHeight="1" x14ac:dyDescent="0.2">
      <c r="A8030" s="258"/>
      <c r="Z8030" s="258"/>
    </row>
    <row r="8031" spans="1:26" ht="12.75" customHeight="1" x14ac:dyDescent="0.2">
      <c r="A8031" s="258"/>
      <c r="Z8031" s="258"/>
    </row>
    <row r="8032" spans="1:26" ht="12.75" customHeight="1" x14ac:dyDescent="0.2">
      <c r="A8032" s="258"/>
      <c r="Z8032" s="258"/>
    </row>
    <row r="8033" spans="1:26" ht="12.75" customHeight="1" x14ac:dyDescent="0.2">
      <c r="A8033" s="258"/>
      <c r="Z8033" s="258"/>
    </row>
    <row r="8034" spans="1:26" ht="12.75" customHeight="1" x14ac:dyDescent="0.2">
      <c r="A8034" s="258"/>
      <c r="Z8034" s="258"/>
    </row>
    <row r="8035" spans="1:26" ht="12.75" customHeight="1" x14ac:dyDescent="0.2">
      <c r="A8035" s="258"/>
      <c r="Z8035" s="258"/>
    </row>
    <row r="8036" spans="1:26" ht="12.75" customHeight="1" x14ac:dyDescent="0.2">
      <c r="A8036" s="258"/>
      <c r="Z8036" s="258"/>
    </row>
    <row r="8037" spans="1:26" ht="12.75" customHeight="1" x14ac:dyDescent="0.2">
      <c r="A8037" s="258"/>
      <c r="Z8037" s="258"/>
    </row>
    <row r="8038" spans="1:26" ht="12.75" customHeight="1" x14ac:dyDescent="0.2">
      <c r="A8038" s="258"/>
      <c r="Z8038" s="258"/>
    </row>
    <row r="8039" spans="1:26" ht="12.75" customHeight="1" x14ac:dyDescent="0.2">
      <c r="A8039" s="258"/>
      <c r="Z8039" s="258"/>
    </row>
    <row r="8040" spans="1:26" ht="12.75" customHeight="1" x14ac:dyDescent="0.2">
      <c r="A8040" s="258"/>
      <c r="Z8040" s="258"/>
    </row>
    <row r="8041" spans="1:26" ht="12.75" customHeight="1" x14ac:dyDescent="0.2">
      <c r="A8041" s="258"/>
      <c r="Z8041" s="258"/>
    </row>
    <row r="8042" spans="1:26" ht="12.75" customHeight="1" x14ac:dyDescent="0.2">
      <c r="A8042" s="258"/>
      <c r="Z8042" s="258"/>
    </row>
    <row r="8043" spans="1:26" ht="12.75" customHeight="1" x14ac:dyDescent="0.2">
      <c r="A8043" s="258"/>
      <c r="Z8043" s="258"/>
    </row>
    <row r="8044" spans="1:26" ht="12.75" customHeight="1" x14ac:dyDescent="0.2">
      <c r="A8044" s="258"/>
      <c r="Z8044" s="258"/>
    </row>
    <row r="8045" spans="1:26" ht="12.75" customHeight="1" x14ac:dyDescent="0.2">
      <c r="A8045" s="258"/>
      <c r="Z8045" s="258"/>
    </row>
    <row r="8046" spans="1:26" ht="12.75" customHeight="1" x14ac:dyDescent="0.2">
      <c r="A8046" s="258"/>
      <c r="Z8046" s="258"/>
    </row>
    <row r="8047" spans="1:26" ht="12.75" customHeight="1" x14ac:dyDescent="0.2">
      <c r="A8047" s="258"/>
      <c r="Z8047" s="258"/>
    </row>
    <row r="8048" spans="1:26" ht="12.75" customHeight="1" x14ac:dyDescent="0.2">
      <c r="A8048" s="258"/>
      <c r="Z8048" s="258"/>
    </row>
    <row r="8049" spans="1:26" ht="12.75" customHeight="1" x14ac:dyDescent="0.2">
      <c r="A8049" s="258"/>
      <c r="Z8049" s="258"/>
    </row>
    <row r="8050" spans="1:26" ht="12.75" customHeight="1" x14ac:dyDescent="0.2">
      <c r="A8050" s="258"/>
      <c r="Z8050" s="258"/>
    </row>
    <row r="8051" spans="1:26" ht="12.75" customHeight="1" x14ac:dyDescent="0.2">
      <c r="A8051" s="258"/>
      <c r="Z8051" s="258"/>
    </row>
    <row r="8052" spans="1:26" ht="12.75" customHeight="1" x14ac:dyDescent="0.2">
      <c r="A8052" s="258"/>
      <c r="Z8052" s="258"/>
    </row>
    <row r="8053" spans="1:26" ht="12.75" customHeight="1" x14ac:dyDescent="0.2">
      <c r="A8053" s="258"/>
      <c r="Z8053" s="258"/>
    </row>
    <row r="8054" spans="1:26" ht="12.75" customHeight="1" x14ac:dyDescent="0.2">
      <c r="A8054" s="258"/>
      <c r="Z8054" s="258"/>
    </row>
    <row r="8055" spans="1:26" ht="12.75" customHeight="1" x14ac:dyDescent="0.2">
      <c r="A8055" s="258"/>
      <c r="Z8055" s="258"/>
    </row>
    <row r="8056" spans="1:26" ht="12.75" customHeight="1" x14ac:dyDescent="0.2">
      <c r="A8056" s="258"/>
      <c r="Z8056" s="258"/>
    </row>
    <row r="8057" spans="1:26" ht="12.75" customHeight="1" x14ac:dyDescent="0.2">
      <c r="A8057" s="258"/>
      <c r="Z8057" s="258"/>
    </row>
    <row r="8058" spans="1:26" ht="12.75" customHeight="1" x14ac:dyDescent="0.2">
      <c r="A8058" s="258"/>
      <c r="Z8058" s="258"/>
    </row>
    <row r="8059" spans="1:26" ht="12.75" customHeight="1" x14ac:dyDescent="0.2">
      <c r="A8059" s="258"/>
      <c r="Z8059" s="258"/>
    </row>
    <row r="8060" spans="1:26" ht="12.75" customHeight="1" x14ac:dyDescent="0.2">
      <c r="A8060" s="258"/>
      <c r="Z8060" s="258"/>
    </row>
    <row r="8061" spans="1:26" ht="12.75" customHeight="1" x14ac:dyDescent="0.2">
      <c r="A8061" s="258"/>
      <c r="Z8061" s="258"/>
    </row>
    <row r="8062" spans="1:26" ht="12.75" customHeight="1" x14ac:dyDescent="0.2">
      <c r="A8062" s="258"/>
      <c r="Z8062" s="258"/>
    </row>
    <row r="8063" spans="1:26" ht="12.75" customHeight="1" x14ac:dyDescent="0.2">
      <c r="A8063" s="258"/>
      <c r="Z8063" s="258"/>
    </row>
    <row r="8064" spans="1:26" ht="12.75" customHeight="1" x14ac:dyDescent="0.2">
      <c r="A8064" s="258"/>
      <c r="Z8064" s="258"/>
    </row>
    <row r="8065" spans="1:26" ht="12.75" customHeight="1" x14ac:dyDescent="0.2">
      <c r="A8065" s="258"/>
      <c r="Z8065" s="258"/>
    </row>
    <row r="8066" spans="1:26" ht="12.75" customHeight="1" x14ac:dyDescent="0.2">
      <c r="A8066" s="258"/>
      <c r="Z8066" s="258"/>
    </row>
    <row r="8067" spans="1:26" ht="12.75" customHeight="1" x14ac:dyDescent="0.2">
      <c r="A8067" s="258"/>
      <c r="Z8067" s="258"/>
    </row>
    <row r="8068" spans="1:26" ht="12.75" customHeight="1" x14ac:dyDescent="0.2">
      <c r="A8068" s="258"/>
      <c r="Z8068" s="258"/>
    </row>
    <row r="8069" spans="1:26" ht="12.75" customHeight="1" x14ac:dyDescent="0.2">
      <c r="A8069" s="258"/>
      <c r="Z8069" s="258"/>
    </row>
    <row r="8070" spans="1:26" ht="12.75" customHeight="1" x14ac:dyDescent="0.2">
      <c r="A8070" s="258"/>
      <c r="Z8070" s="258"/>
    </row>
    <row r="8071" spans="1:26" ht="12.75" customHeight="1" x14ac:dyDescent="0.2">
      <c r="A8071" s="258"/>
      <c r="Z8071" s="258"/>
    </row>
    <row r="8072" spans="1:26" ht="12.75" customHeight="1" x14ac:dyDescent="0.2">
      <c r="A8072" s="258"/>
      <c r="Z8072" s="258"/>
    </row>
    <row r="8073" spans="1:26" ht="12.75" customHeight="1" x14ac:dyDescent="0.2">
      <c r="A8073" s="258"/>
      <c r="Z8073" s="258"/>
    </row>
    <row r="8074" spans="1:26" ht="12.75" customHeight="1" x14ac:dyDescent="0.2">
      <c r="A8074" s="258"/>
      <c r="Z8074" s="258"/>
    </row>
    <row r="8075" spans="1:26" ht="12.75" customHeight="1" x14ac:dyDescent="0.2">
      <c r="A8075" s="258"/>
      <c r="Z8075" s="258"/>
    </row>
    <row r="8076" spans="1:26" ht="12.75" customHeight="1" x14ac:dyDescent="0.2">
      <c r="A8076" s="258"/>
      <c r="Z8076" s="258"/>
    </row>
    <row r="8077" spans="1:26" ht="12.75" customHeight="1" x14ac:dyDescent="0.2">
      <c r="A8077" s="258"/>
      <c r="Z8077" s="258"/>
    </row>
    <row r="8078" spans="1:26" ht="12.75" customHeight="1" x14ac:dyDescent="0.2">
      <c r="A8078" s="258"/>
      <c r="Z8078" s="258"/>
    </row>
    <row r="8079" spans="1:26" ht="12.75" customHeight="1" x14ac:dyDescent="0.2">
      <c r="A8079" s="258"/>
      <c r="Z8079" s="258"/>
    </row>
    <row r="8080" spans="1:26" ht="12.75" customHeight="1" x14ac:dyDescent="0.2">
      <c r="A8080" s="258"/>
      <c r="Z8080" s="258"/>
    </row>
    <row r="8081" spans="1:26" ht="12.75" customHeight="1" x14ac:dyDescent="0.2">
      <c r="A8081" s="258"/>
      <c r="Z8081" s="258"/>
    </row>
    <row r="8082" spans="1:26" ht="12.75" customHeight="1" x14ac:dyDescent="0.2">
      <c r="A8082" s="258"/>
      <c r="Z8082" s="258"/>
    </row>
    <row r="8083" spans="1:26" ht="12.75" customHeight="1" x14ac:dyDescent="0.2">
      <c r="A8083" s="258"/>
      <c r="Z8083" s="258"/>
    </row>
    <row r="8084" spans="1:26" ht="12.75" customHeight="1" x14ac:dyDescent="0.2">
      <c r="A8084" s="258"/>
      <c r="Z8084" s="258"/>
    </row>
    <row r="8085" spans="1:26" ht="12.75" customHeight="1" x14ac:dyDescent="0.2">
      <c r="A8085" s="258"/>
      <c r="Z8085" s="258"/>
    </row>
    <row r="8086" spans="1:26" ht="12.75" customHeight="1" x14ac:dyDescent="0.2">
      <c r="A8086" s="258"/>
      <c r="Z8086" s="258"/>
    </row>
    <row r="8087" spans="1:26" ht="12.75" customHeight="1" x14ac:dyDescent="0.2">
      <c r="A8087" s="258"/>
      <c r="Z8087" s="258"/>
    </row>
    <row r="8088" spans="1:26" ht="12.75" customHeight="1" x14ac:dyDescent="0.2">
      <c r="A8088" s="258"/>
      <c r="Z8088" s="258"/>
    </row>
    <row r="8089" spans="1:26" ht="12.75" customHeight="1" x14ac:dyDescent="0.2">
      <c r="A8089" s="258"/>
      <c r="Z8089" s="258"/>
    </row>
    <row r="8090" spans="1:26" ht="12.75" customHeight="1" x14ac:dyDescent="0.2">
      <c r="A8090" s="258"/>
      <c r="Z8090" s="258"/>
    </row>
    <row r="8091" spans="1:26" ht="12.75" customHeight="1" x14ac:dyDescent="0.2">
      <c r="A8091" s="258"/>
      <c r="Z8091" s="258"/>
    </row>
    <row r="8092" spans="1:26" ht="12.75" customHeight="1" x14ac:dyDescent="0.2">
      <c r="A8092" s="258"/>
      <c r="Z8092" s="258"/>
    </row>
    <row r="8093" spans="1:26" ht="12.75" customHeight="1" x14ac:dyDescent="0.2">
      <c r="A8093" s="258"/>
      <c r="Z8093" s="258"/>
    </row>
    <row r="8094" spans="1:26" ht="12.75" customHeight="1" x14ac:dyDescent="0.2">
      <c r="A8094" s="258"/>
      <c r="Z8094" s="258"/>
    </row>
    <row r="8095" spans="1:26" ht="12.75" customHeight="1" x14ac:dyDescent="0.2">
      <c r="A8095" s="258"/>
      <c r="Z8095" s="258"/>
    </row>
    <row r="8096" spans="1:26" ht="12.75" customHeight="1" x14ac:dyDescent="0.2">
      <c r="A8096" s="258"/>
      <c r="Z8096" s="258"/>
    </row>
    <row r="8097" spans="1:26" ht="12.75" customHeight="1" x14ac:dyDescent="0.2">
      <c r="A8097" s="258"/>
      <c r="Z8097" s="258"/>
    </row>
    <row r="8098" spans="1:26" ht="12.75" customHeight="1" x14ac:dyDescent="0.2">
      <c r="A8098" s="258"/>
      <c r="Z8098" s="258"/>
    </row>
    <row r="8099" spans="1:26" ht="12.75" customHeight="1" x14ac:dyDescent="0.2">
      <c r="A8099" s="258"/>
      <c r="Z8099" s="258"/>
    </row>
    <row r="8100" spans="1:26" ht="12.75" customHeight="1" x14ac:dyDescent="0.2">
      <c r="A8100" s="258"/>
      <c r="Z8100" s="258"/>
    </row>
    <row r="8101" spans="1:26" ht="12.75" customHeight="1" x14ac:dyDescent="0.2">
      <c r="A8101" s="258"/>
      <c r="Z8101" s="258"/>
    </row>
    <row r="8102" spans="1:26" ht="12.75" customHeight="1" x14ac:dyDescent="0.2">
      <c r="A8102" s="258"/>
      <c r="Z8102" s="258"/>
    </row>
    <row r="8103" spans="1:26" ht="12.75" customHeight="1" x14ac:dyDescent="0.2">
      <c r="A8103" s="258"/>
      <c r="Z8103" s="258"/>
    </row>
    <row r="8104" spans="1:26" ht="12.75" customHeight="1" x14ac:dyDescent="0.2">
      <c r="A8104" s="258"/>
      <c r="Z8104" s="258"/>
    </row>
    <row r="8105" spans="1:26" ht="12.75" customHeight="1" x14ac:dyDescent="0.2">
      <c r="A8105" s="258"/>
      <c r="Z8105" s="258"/>
    </row>
    <row r="8106" spans="1:26" ht="12.75" customHeight="1" x14ac:dyDescent="0.2">
      <c r="A8106" s="258"/>
      <c r="Z8106" s="258"/>
    </row>
    <row r="8107" spans="1:26" ht="12.75" customHeight="1" x14ac:dyDescent="0.2">
      <c r="A8107" s="258"/>
      <c r="Z8107" s="258"/>
    </row>
    <row r="8108" spans="1:26" ht="12.75" customHeight="1" x14ac:dyDescent="0.2">
      <c r="A8108" s="258"/>
      <c r="Z8108" s="258"/>
    </row>
    <row r="8109" spans="1:26" ht="12.75" customHeight="1" x14ac:dyDescent="0.2">
      <c r="A8109" s="258"/>
      <c r="Z8109" s="258"/>
    </row>
    <row r="8110" spans="1:26" ht="12.75" customHeight="1" x14ac:dyDescent="0.2">
      <c r="A8110" s="258"/>
      <c r="Z8110" s="258"/>
    </row>
    <row r="8111" spans="1:26" ht="12.75" customHeight="1" x14ac:dyDescent="0.2">
      <c r="A8111" s="258"/>
      <c r="Z8111" s="258"/>
    </row>
    <row r="8112" spans="1:26" ht="12.75" customHeight="1" x14ac:dyDescent="0.2">
      <c r="A8112" s="258"/>
      <c r="Z8112" s="258"/>
    </row>
    <row r="8113" spans="1:26" ht="12.75" customHeight="1" x14ac:dyDescent="0.2">
      <c r="A8113" s="258"/>
      <c r="Z8113" s="258"/>
    </row>
    <row r="8114" spans="1:26" ht="12.75" customHeight="1" x14ac:dyDescent="0.2">
      <c r="A8114" s="258"/>
      <c r="Z8114" s="258"/>
    </row>
    <row r="8115" spans="1:26" ht="12.75" customHeight="1" x14ac:dyDescent="0.2">
      <c r="A8115" s="258"/>
      <c r="Z8115" s="258"/>
    </row>
    <row r="8116" spans="1:26" ht="12.75" customHeight="1" x14ac:dyDescent="0.2">
      <c r="A8116" s="258"/>
      <c r="Z8116" s="258"/>
    </row>
    <row r="8117" spans="1:26" ht="12.75" customHeight="1" x14ac:dyDescent="0.2">
      <c r="A8117" s="258"/>
      <c r="Z8117" s="258"/>
    </row>
    <row r="8118" spans="1:26" ht="12.75" customHeight="1" x14ac:dyDescent="0.2">
      <c r="A8118" s="258"/>
      <c r="Z8118" s="258"/>
    </row>
    <row r="8119" spans="1:26" ht="12.75" customHeight="1" x14ac:dyDescent="0.2">
      <c r="A8119" s="258"/>
      <c r="Z8119" s="258"/>
    </row>
    <row r="8120" spans="1:26" ht="12.75" customHeight="1" x14ac:dyDescent="0.2">
      <c r="A8120" s="258"/>
      <c r="Z8120" s="258"/>
    </row>
    <row r="8121" spans="1:26" ht="12.75" customHeight="1" x14ac:dyDescent="0.2">
      <c r="A8121" s="258"/>
      <c r="Z8121" s="258"/>
    </row>
    <row r="8122" spans="1:26" ht="12.75" customHeight="1" x14ac:dyDescent="0.2">
      <c r="A8122" s="258"/>
      <c r="Z8122" s="258"/>
    </row>
    <row r="8123" spans="1:26" ht="12.75" customHeight="1" x14ac:dyDescent="0.2">
      <c r="A8123" s="258"/>
      <c r="Z8123" s="258"/>
    </row>
    <row r="8124" spans="1:26" ht="12.75" customHeight="1" x14ac:dyDescent="0.2">
      <c r="A8124" s="258"/>
      <c r="Z8124" s="258"/>
    </row>
    <row r="8125" spans="1:26" ht="12.75" customHeight="1" x14ac:dyDescent="0.2">
      <c r="A8125" s="258"/>
      <c r="Z8125" s="258"/>
    </row>
    <row r="8126" spans="1:26" ht="12.75" customHeight="1" x14ac:dyDescent="0.2">
      <c r="A8126" s="258"/>
      <c r="Z8126" s="258"/>
    </row>
    <row r="8127" spans="1:26" ht="12.75" customHeight="1" x14ac:dyDescent="0.2">
      <c r="A8127" s="258"/>
      <c r="Z8127" s="258"/>
    </row>
    <row r="8128" spans="1:26" ht="12.75" customHeight="1" x14ac:dyDescent="0.2">
      <c r="A8128" s="258"/>
      <c r="Z8128" s="258"/>
    </row>
    <row r="8129" spans="1:26" ht="12.75" customHeight="1" x14ac:dyDescent="0.2">
      <c r="A8129" s="258"/>
      <c r="Z8129" s="258"/>
    </row>
    <row r="8130" spans="1:26" ht="12.75" customHeight="1" x14ac:dyDescent="0.2">
      <c r="A8130" s="258"/>
      <c r="Z8130" s="258"/>
    </row>
    <row r="8131" spans="1:26" ht="12.75" customHeight="1" x14ac:dyDescent="0.2">
      <c r="A8131" s="258"/>
      <c r="Z8131" s="258"/>
    </row>
    <row r="8132" spans="1:26" ht="12.75" customHeight="1" x14ac:dyDescent="0.2">
      <c r="A8132" s="258"/>
      <c r="Z8132" s="258"/>
    </row>
    <row r="8133" spans="1:26" ht="12.75" customHeight="1" x14ac:dyDescent="0.2">
      <c r="A8133" s="258"/>
      <c r="Z8133" s="258"/>
    </row>
    <row r="8134" spans="1:26" ht="12.75" customHeight="1" x14ac:dyDescent="0.2">
      <c r="A8134" s="258"/>
      <c r="Z8134" s="258"/>
    </row>
    <row r="8135" spans="1:26" ht="12.75" customHeight="1" x14ac:dyDescent="0.2">
      <c r="A8135" s="258"/>
      <c r="Z8135" s="258"/>
    </row>
    <row r="8136" spans="1:26" ht="12.75" customHeight="1" x14ac:dyDescent="0.2">
      <c r="A8136" s="258"/>
      <c r="Z8136" s="258"/>
    </row>
    <row r="8137" spans="1:26" ht="12.75" customHeight="1" x14ac:dyDescent="0.2">
      <c r="A8137" s="258"/>
      <c r="Z8137" s="258"/>
    </row>
    <row r="8138" spans="1:26" ht="12.75" customHeight="1" x14ac:dyDescent="0.2">
      <c r="A8138" s="258"/>
      <c r="Z8138" s="258"/>
    </row>
    <row r="8139" spans="1:26" ht="12.75" customHeight="1" x14ac:dyDescent="0.2">
      <c r="A8139" s="258"/>
      <c r="Z8139" s="258"/>
    </row>
    <row r="8140" spans="1:26" ht="12.75" customHeight="1" x14ac:dyDescent="0.2">
      <c r="A8140" s="258"/>
      <c r="Z8140" s="258"/>
    </row>
    <row r="8141" spans="1:26" ht="12.75" customHeight="1" x14ac:dyDescent="0.2">
      <c r="A8141" s="258"/>
      <c r="Z8141" s="258"/>
    </row>
    <row r="8142" spans="1:26" ht="12.75" customHeight="1" x14ac:dyDescent="0.2">
      <c r="A8142" s="258"/>
      <c r="Z8142" s="258"/>
    </row>
    <row r="8143" spans="1:26" ht="12.75" customHeight="1" x14ac:dyDescent="0.2">
      <c r="A8143" s="258"/>
      <c r="Z8143" s="258"/>
    </row>
    <row r="8144" spans="1:26" ht="12.75" customHeight="1" x14ac:dyDescent="0.2">
      <c r="A8144" s="258"/>
      <c r="Z8144" s="258"/>
    </row>
    <row r="8145" spans="1:26" ht="12.75" customHeight="1" x14ac:dyDescent="0.2">
      <c r="A8145" s="258"/>
      <c r="Z8145" s="258"/>
    </row>
    <row r="8146" spans="1:26" ht="12.75" customHeight="1" x14ac:dyDescent="0.2">
      <c r="A8146" s="258"/>
      <c r="Z8146" s="258"/>
    </row>
    <row r="8147" spans="1:26" ht="12.75" customHeight="1" x14ac:dyDescent="0.2">
      <c r="A8147" s="258"/>
      <c r="Z8147" s="258"/>
    </row>
    <row r="8148" spans="1:26" ht="12.75" customHeight="1" x14ac:dyDescent="0.2">
      <c r="A8148" s="258"/>
      <c r="Z8148" s="258"/>
    </row>
    <row r="8149" spans="1:26" ht="12.75" customHeight="1" x14ac:dyDescent="0.2">
      <c r="A8149" s="258"/>
      <c r="Z8149" s="258"/>
    </row>
    <row r="8150" spans="1:26" ht="12.75" customHeight="1" x14ac:dyDescent="0.2">
      <c r="A8150" s="258"/>
      <c r="Z8150" s="258"/>
    </row>
    <row r="8151" spans="1:26" ht="12.75" customHeight="1" x14ac:dyDescent="0.2">
      <c r="A8151" s="258"/>
      <c r="Z8151" s="258"/>
    </row>
    <row r="8152" spans="1:26" ht="12.75" customHeight="1" x14ac:dyDescent="0.2">
      <c r="A8152" s="258"/>
      <c r="Z8152" s="258"/>
    </row>
    <row r="8153" spans="1:26" ht="12.75" customHeight="1" x14ac:dyDescent="0.2">
      <c r="A8153" s="258"/>
      <c r="Z8153" s="258"/>
    </row>
    <row r="8154" spans="1:26" ht="12.75" customHeight="1" x14ac:dyDescent="0.2">
      <c r="A8154" s="258"/>
      <c r="Z8154" s="258"/>
    </row>
    <row r="8155" spans="1:26" ht="12.75" customHeight="1" x14ac:dyDescent="0.2">
      <c r="A8155" s="258"/>
      <c r="Z8155" s="258"/>
    </row>
    <row r="8156" spans="1:26" ht="12.75" customHeight="1" x14ac:dyDescent="0.2">
      <c r="A8156" s="258"/>
      <c r="Z8156" s="258"/>
    </row>
    <row r="8157" spans="1:26" ht="12.75" customHeight="1" x14ac:dyDescent="0.2">
      <c r="A8157" s="258"/>
      <c r="Z8157" s="258"/>
    </row>
    <row r="8158" spans="1:26" ht="12.75" customHeight="1" x14ac:dyDescent="0.2">
      <c r="A8158" s="258"/>
      <c r="Z8158" s="258"/>
    </row>
    <row r="8159" spans="1:26" ht="12.75" customHeight="1" x14ac:dyDescent="0.2">
      <c r="A8159" s="258"/>
      <c r="Z8159" s="258"/>
    </row>
    <row r="8160" spans="1:26" ht="12.75" customHeight="1" x14ac:dyDescent="0.2">
      <c r="A8160" s="258"/>
      <c r="Z8160" s="258"/>
    </row>
    <row r="8161" spans="1:26" ht="12.75" customHeight="1" x14ac:dyDescent="0.2">
      <c r="A8161" s="258"/>
      <c r="Z8161" s="258"/>
    </row>
    <row r="8162" spans="1:26" ht="12.75" customHeight="1" x14ac:dyDescent="0.2">
      <c r="A8162" s="258"/>
      <c r="Z8162" s="258"/>
    </row>
    <row r="8163" spans="1:26" ht="12.75" customHeight="1" x14ac:dyDescent="0.2">
      <c r="A8163" s="258"/>
      <c r="Z8163" s="258"/>
    </row>
    <row r="8164" spans="1:26" ht="12.75" customHeight="1" x14ac:dyDescent="0.2">
      <c r="A8164" s="258"/>
      <c r="Z8164" s="258"/>
    </row>
    <row r="8165" spans="1:26" ht="12.75" customHeight="1" x14ac:dyDescent="0.2">
      <c r="A8165" s="258"/>
      <c r="Z8165" s="258"/>
    </row>
    <row r="8166" spans="1:26" ht="12.75" customHeight="1" x14ac:dyDescent="0.2">
      <c r="A8166" s="258"/>
      <c r="Z8166" s="258"/>
    </row>
    <row r="8167" spans="1:26" ht="12.75" customHeight="1" x14ac:dyDescent="0.2">
      <c r="A8167" s="258"/>
      <c r="Z8167" s="258"/>
    </row>
    <row r="8168" spans="1:26" ht="12.75" customHeight="1" x14ac:dyDescent="0.2">
      <c r="A8168" s="258"/>
      <c r="Z8168" s="258"/>
    </row>
    <row r="8169" spans="1:26" ht="12.75" customHeight="1" x14ac:dyDescent="0.2">
      <c r="A8169" s="258"/>
      <c r="Z8169" s="258"/>
    </row>
    <row r="8170" spans="1:26" ht="12.75" customHeight="1" x14ac:dyDescent="0.2">
      <c r="A8170" s="258"/>
      <c r="Z8170" s="258"/>
    </row>
    <row r="8171" spans="1:26" ht="12.75" customHeight="1" x14ac:dyDescent="0.2">
      <c r="A8171" s="258"/>
      <c r="Z8171" s="258"/>
    </row>
    <row r="8172" spans="1:26" ht="12.75" customHeight="1" x14ac:dyDescent="0.2">
      <c r="A8172" s="258"/>
      <c r="Z8172" s="258"/>
    </row>
    <row r="8173" spans="1:26" ht="12.75" customHeight="1" x14ac:dyDescent="0.2">
      <c r="A8173" s="258"/>
      <c r="Z8173" s="258"/>
    </row>
    <row r="8174" spans="1:26" ht="12.75" customHeight="1" x14ac:dyDescent="0.2">
      <c r="A8174" s="258"/>
      <c r="Z8174" s="258"/>
    </row>
    <row r="8175" spans="1:26" ht="12.75" customHeight="1" x14ac:dyDescent="0.2">
      <c r="A8175" s="258"/>
      <c r="Z8175" s="258"/>
    </row>
    <row r="8176" spans="1:26" ht="12.75" customHeight="1" x14ac:dyDescent="0.2">
      <c r="A8176" s="258"/>
      <c r="Z8176" s="258"/>
    </row>
    <row r="8177" spans="1:26" ht="12.75" customHeight="1" x14ac:dyDescent="0.2">
      <c r="A8177" s="258"/>
      <c r="Z8177" s="258"/>
    </row>
    <row r="8178" spans="1:26" ht="12.75" customHeight="1" x14ac:dyDescent="0.2">
      <c r="A8178" s="258"/>
      <c r="Z8178" s="258"/>
    </row>
    <row r="8179" spans="1:26" ht="12.75" customHeight="1" x14ac:dyDescent="0.2">
      <c r="A8179" s="258"/>
      <c r="Z8179" s="258"/>
    </row>
    <row r="8180" spans="1:26" ht="12.75" customHeight="1" x14ac:dyDescent="0.2">
      <c r="A8180" s="258"/>
      <c r="Z8180" s="258"/>
    </row>
    <row r="8181" spans="1:26" ht="12.75" customHeight="1" x14ac:dyDescent="0.2">
      <c r="A8181" s="258"/>
      <c r="Z8181" s="258"/>
    </row>
    <row r="8182" spans="1:26" ht="12.75" customHeight="1" x14ac:dyDescent="0.2">
      <c r="A8182" s="258"/>
      <c r="Z8182" s="258"/>
    </row>
    <row r="8183" spans="1:26" ht="12.75" customHeight="1" x14ac:dyDescent="0.2">
      <c r="A8183" s="258"/>
      <c r="Z8183" s="258"/>
    </row>
    <row r="8184" spans="1:26" ht="12.75" customHeight="1" x14ac:dyDescent="0.2">
      <c r="A8184" s="258"/>
      <c r="Z8184" s="258"/>
    </row>
    <row r="8185" spans="1:26" ht="12.75" customHeight="1" x14ac:dyDescent="0.2">
      <c r="A8185" s="258"/>
      <c r="Z8185" s="258"/>
    </row>
    <row r="8186" spans="1:26" ht="12.75" customHeight="1" x14ac:dyDescent="0.2">
      <c r="A8186" s="258"/>
      <c r="Z8186" s="258"/>
    </row>
    <row r="8187" spans="1:26" ht="12.75" customHeight="1" x14ac:dyDescent="0.2">
      <c r="A8187" s="258"/>
      <c r="Z8187" s="258"/>
    </row>
    <row r="8188" spans="1:26" ht="12.75" customHeight="1" x14ac:dyDescent="0.2">
      <c r="A8188" s="258"/>
      <c r="Z8188" s="258"/>
    </row>
    <row r="8189" spans="1:26" ht="12.75" customHeight="1" x14ac:dyDescent="0.2">
      <c r="A8189" s="258"/>
      <c r="Z8189" s="258"/>
    </row>
    <row r="8190" spans="1:26" ht="12.75" customHeight="1" x14ac:dyDescent="0.2">
      <c r="A8190" s="258"/>
      <c r="Z8190" s="258"/>
    </row>
    <row r="8191" spans="1:26" ht="12.75" customHeight="1" x14ac:dyDescent="0.2">
      <c r="A8191" s="258"/>
      <c r="Z8191" s="258"/>
    </row>
    <row r="8192" spans="1:26" ht="12.75" customHeight="1" x14ac:dyDescent="0.2">
      <c r="A8192" s="258"/>
      <c r="Z8192" s="258"/>
    </row>
    <row r="8193" spans="1:26" ht="12.75" customHeight="1" x14ac:dyDescent="0.2">
      <c r="A8193" s="258"/>
      <c r="Z8193" s="258"/>
    </row>
    <row r="8194" spans="1:26" ht="12.75" customHeight="1" x14ac:dyDescent="0.2">
      <c r="A8194" s="258"/>
      <c r="Z8194" s="258"/>
    </row>
    <row r="8195" spans="1:26" ht="12.75" customHeight="1" x14ac:dyDescent="0.2">
      <c r="A8195" s="258"/>
      <c r="Z8195" s="258"/>
    </row>
    <row r="8196" spans="1:26" ht="12.75" customHeight="1" x14ac:dyDescent="0.2">
      <c r="A8196" s="258"/>
      <c r="Z8196" s="258"/>
    </row>
    <row r="8197" spans="1:26" ht="12.75" customHeight="1" x14ac:dyDescent="0.2">
      <c r="A8197" s="258"/>
      <c r="Z8197" s="258"/>
    </row>
    <row r="8198" spans="1:26" ht="12.75" customHeight="1" x14ac:dyDescent="0.2">
      <c r="A8198" s="258"/>
      <c r="Z8198" s="258"/>
    </row>
    <row r="8199" spans="1:26" ht="12.75" customHeight="1" x14ac:dyDescent="0.2">
      <c r="A8199" s="258"/>
      <c r="Z8199" s="258"/>
    </row>
    <row r="8200" spans="1:26" ht="12.75" customHeight="1" x14ac:dyDescent="0.2">
      <c r="A8200" s="258"/>
      <c r="Z8200" s="258"/>
    </row>
    <row r="8201" spans="1:26" ht="12.75" customHeight="1" x14ac:dyDescent="0.2">
      <c r="A8201" s="258"/>
      <c r="Z8201" s="258"/>
    </row>
    <row r="8202" spans="1:26" ht="12.75" customHeight="1" x14ac:dyDescent="0.2">
      <c r="A8202" s="258"/>
      <c r="Z8202" s="258"/>
    </row>
    <row r="8203" spans="1:26" ht="12.75" customHeight="1" x14ac:dyDescent="0.2">
      <c r="A8203" s="258"/>
      <c r="Z8203" s="258"/>
    </row>
    <row r="8204" spans="1:26" ht="12.75" customHeight="1" x14ac:dyDescent="0.2">
      <c r="A8204" s="258"/>
      <c r="Z8204" s="258"/>
    </row>
    <row r="8205" spans="1:26" ht="12.75" customHeight="1" x14ac:dyDescent="0.2">
      <c r="A8205" s="258"/>
      <c r="Z8205" s="258"/>
    </row>
    <row r="8206" spans="1:26" ht="12.75" customHeight="1" x14ac:dyDescent="0.2">
      <c r="A8206" s="258"/>
      <c r="Z8206" s="258"/>
    </row>
    <row r="8207" spans="1:26" ht="12.75" customHeight="1" x14ac:dyDescent="0.2">
      <c r="A8207" s="258"/>
      <c r="Z8207" s="258"/>
    </row>
    <row r="8208" spans="1:26" ht="12.75" customHeight="1" x14ac:dyDescent="0.2">
      <c r="A8208" s="258"/>
      <c r="Z8208" s="258"/>
    </row>
    <row r="8209" spans="1:26" ht="12.75" customHeight="1" x14ac:dyDescent="0.2">
      <c r="A8209" s="258"/>
      <c r="Z8209" s="258"/>
    </row>
    <row r="8210" spans="1:26" ht="12.75" customHeight="1" x14ac:dyDescent="0.2">
      <c r="A8210" s="258"/>
      <c r="Z8210" s="258"/>
    </row>
    <row r="8211" spans="1:26" ht="12.75" customHeight="1" x14ac:dyDescent="0.2">
      <c r="A8211" s="258"/>
      <c r="Z8211" s="258"/>
    </row>
    <row r="8212" spans="1:26" ht="12.75" customHeight="1" x14ac:dyDescent="0.2">
      <c r="A8212" s="258"/>
      <c r="Z8212" s="258"/>
    </row>
    <row r="8213" spans="1:26" ht="12.75" customHeight="1" x14ac:dyDescent="0.2">
      <c r="A8213" s="258"/>
      <c r="Z8213" s="258"/>
    </row>
    <row r="8214" spans="1:26" ht="12.75" customHeight="1" x14ac:dyDescent="0.2">
      <c r="A8214" s="258"/>
      <c r="Z8214" s="258"/>
    </row>
    <row r="8215" spans="1:26" ht="12.75" customHeight="1" x14ac:dyDescent="0.2">
      <c r="A8215" s="258"/>
      <c r="Z8215" s="258"/>
    </row>
    <row r="8216" spans="1:26" ht="12.75" customHeight="1" x14ac:dyDescent="0.2">
      <c r="A8216" s="258"/>
      <c r="Z8216" s="258"/>
    </row>
    <row r="8217" spans="1:26" ht="12.75" customHeight="1" x14ac:dyDescent="0.2">
      <c r="A8217" s="258"/>
      <c r="Z8217" s="258"/>
    </row>
    <row r="8218" spans="1:26" ht="12.75" customHeight="1" x14ac:dyDescent="0.2">
      <c r="A8218" s="258"/>
      <c r="Z8218" s="258"/>
    </row>
    <row r="8219" spans="1:26" ht="12.75" customHeight="1" x14ac:dyDescent="0.2">
      <c r="A8219" s="258"/>
      <c r="Z8219" s="258"/>
    </row>
    <row r="8220" spans="1:26" ht="12.75" customHeight="1" x14ac:dyDescent="0.2">
      <c r="A8220" s="258"/>
      <c r="Z8220" s="258"/>
    </row>
    <row r="8221" spans="1:26" ht="12.75" customHeight="1" x14ac:dyDescent="0.2">
      <c r="A8221" s="258"/>
      <c r="Z8221" s="258"/>
    </row>
    <row r="8222" spans="1:26" ht="12.75" customHeight="1" x14ac:dyDescent="0.2">
      <c r="A8222" s="258"/>
      <c r="Z8222" s="258"/>
    </row>
    <row r="8223" spans="1:26" ht="12.75" customHeight="1" x14ac:dyDescent="0.2">
      <c r="A8223" s="258"/>
      <c r="Z8223" s="258"/>
    </row>
    <row r="8224" spans="1:26" ht="12.75" customHeight="1" x14ac:dyDescent="0.2">
      <c r="A8224" s="258"/>
      <c r="Z8224" s="258"/>
    </row>
    <row r="8225" spans="1:26" ht="12.75" customHeight="1" x14ac:dyDescent="0.2">
      <c r="A8225" s="258"/>
      <c r="Z8225" s="258"/>
    </row>
    <row r="8226" spans="1:26" ht="12.75" customHeight="1" x14ac:dyDescent="0.2">
      <c r="A8226" s="258"/>
      <c r="Z8226" s="258"/>
    </row>
    <row r="8227" spans="1:26" ht="12.75" customHeight="1" x14ac:dyDescent="0.2">
      <c r="A8227" s="258"/>
      <c r="Z8227" s="258"/>
    </row>
    <row r="8228" spans="1:26" ht="12.75" customHeight="1" x14ac:dyDescent="0.2">
      <c r="A8228" s="258"/>
      <c r="Z8228" s="258"/>
    </row>
    <row r="8229" spans="1:26" ht="12.75" customHeight="1" x14ac:dyDescent="0.2">
      <c r="A8229" s="258"/>
      <c r="Z8229" s="258"/>
    </row>
    <row r="8230" spans="1:26" ht="12.75" customHeight="1" x14ac:dyDescent="0.2">
      <c r="A8230" s="258"/>
      <c r="Z8230" s="258"/>
    </row>
    <row r="8231" spans="1:26" ht="12.75" customHeight="1" x14ac:dyDescent="0.2">
      <c r="A8231" s="258"/>
      <c r="Z8231" s="258"/>
    </row>
    <row r="8232" spans="1:26" ht="12.75" customHeight="1" x14ac:dyDescent="0.2">
      <c r="A8232" s="258"/>
      <c r="Z8232" s="258"/>
    </row>
    <row r="8233" spans="1:26" ht="12.75" customHeight="1" x14ac:dyDescent="0.2">
      <c r="A8233" s="258"/>
      <c r="Z8233" s="258"/>
    </row>
    <row r="8234" spans="1:26" ht="12.75" customHeight="1" x14ac:dyDescent="0.2">
      <c r="A8234" s="258"/>
      <c r="Z8234" s="258"/>
    </row>
    <row r="8235" spans="1:26" ht="12.75" customHeight="1" x14ac:dyDescent="0.2">
      <c r="A8235" s="258"/>
      <c r="Z8235" s="258"/>
    </row>
    <row r="8236" spans="1:26" ht="12.75" customHeight="1" x14ac:dyDescent="0.2">
      <c r="A8236" s="258"/>
      <c r="Z8236" s="258"/>
    </row>
    <row r="8237" spans="1:26" ht="12.75" customHeight="1" x14ac:dyDescent="0.2">
      <c r="A8237" s="258"/>
      <c r="Z8237" s="258"/>
    </row>
    <row r="8238" spans="1:26" ht="12.75" customHeight="1" x14ac:dyDescent="0.2">
      <c r="A8238" s="258"/>
      <c r="Z8238" s="258"/>
    </row>
    <row r="8239" spans="1:26" ht="12.75" customHeight="1" x14ac:dyDescent="0.2">
      <c r="A8239" s="258"/>
      <c r="Z8239" s="258"/>
    </row>
    <row r="8240" spans="1:26" ht="12.75" customHeight="1" x14ac:dyDescent="0.2">
      <c r="A8240" s="258"/>
      <c r="Z8240" s="258"/>
    </row>
    <row r="8241" spans="1:26" ht="12.75" customHeight="1" x14ac:dyDescent="0.2">
      <c r="A8241" s="258"/>
      <c r="Z8241" s="258"/>
    </row>
    <row r="8242" spans="1:26" ht="12.75" customHeight="1" x14ac:dyDescent="0.2">
      <c r="A8242" s="258"/>
      <c r="Z8242" s="258"/>
    </row>
    <row r="8243" spans="1:26" ht="12.75" customHeight="1" x14ac:dyDescent="0.2">
      <c r="A8243" s="258"/>
      <c r="Z8243" s="258"/>
    </row>
    <row r="8244" spans="1:26" ht="12.75" customHeight="1" x14ac:dyDescent="0.2">
      <c r="A8244" s="258"/>
      <c r="Z8244" s="258"/>
    </row>
    <row r="8245" spans="1:26" ht="12.75" customHeight="1" x14ac:dyDescent="0.2">
      <c r="A8245" s="258"/>
      <c r="Z8245" s="258"/>
    </row>
    <row r="8246" spans="1:26" ht="12.75" customHeight="1" x14ac:dyDescent="0.2">
      <c r="A8246" s="258"/>
      <c r="Z8246" s="258"/>
    </row>
    <row r="8247" spans="1:26" ht="12.75" customHeight="1" x14ac:dyDescent="0.2">
      <c r="A8247" s="258"/>
      <c r="Z8247" s="258"/>
    </row>
    <row r="8248" spans="1:26" ht="12.75" customHeight="1" x14ac:dyDescent="0.2">
      <c r="A8248" s="258"/>
      <c r="Z8248" s="258"/>
    </row>
    <row r="8249" spans="1:26" ht="12.75" customHeight="1" x14ac:dyDescent="0.2">
      <c r="A8249" s="258"/>
      <c r="Z8249" s="258"/>
    </row>
    <row r="8250" spans="1:26" ht="12.75" customHeight="1" x14ac:dyDescent="0.2">
      <c r="A8250" s="258"/>
      <c r="Z8250" s="258"/>
    </row>
    <row r="8251" spans="1:26" ht="12.75" customHeight="1" x14ac:dyDescent="0.2">
      <c r="A8251" s="258"/>
      <c r="Z8251" s="258"/>
    </row>
    <row r="8252" spans="1:26" ht="12.75" customHeight="1" x14ac:dyDescent="0.2">
      <c r="A8252" s="258"/>
      <c r="Z8252" s="258"/>
    </row>
    <row r="8253" spans="1:26" ht="12.75" customHeight="1" x14ac:dyDescent="0.2">
      <c r="A8253" s="258"/>
      <c r="Z8253" s="258"/>
    </row>
    <row r="8254" spans="1:26" ht="12.75" customHeight="1" x14ac:dyDescent="0.2">
      <c r="A8254" s="258"/>
      <c r="Z8254" s="258"/>
    </row>
    <row r="8255" spans="1:26" ht="12.75" customHeight="1" x14ac:dyDescent="0.2">
      <c r="A8255" s="258"/>
      <c r="Z8255" s="258"/>
    </row>
    <row r="8256" spans="1:26" ht="12.75" customHeight="1" x14ac:dyDescent="0.2">
      <c r="A8256" s="258"/>
      <c r="Z8256" s="258"/>
    </row>
    <row r="8257" spans="1:26" ht="12.75" customHeight="1" x14ac:dyDescent="0.2">
      <c r="A8257" s="258"/>
      <c r="Z8257" s="258"/>
    </row>
    <row r="8258" spans="1:26" ht="12.75" customHeight="1" x14ac:dyDescent="0.2">
      <c r="A8258" s="258"/>
      <c r="Z8258" s="258"/>
    </row>
    <row r="8259" spans="1:26" ht="12.75" customHeight="1" x14ac:dyDescent="0.2">
      <c r="A8259" s="258"/>
      <c r="Z8259" s="258"/>
    </row>
    <row r="8260" spans="1:26" ht="12.75" customHeight="1" x14ac:dyDescent="0.2">
      <c r="A8260" s="258"/>
      <c r="Z8260" s="258"/>
    </row>
    <row r="8261" spans="1:26" ht="12.75" customHeight="1" x14ac:dyDescent="0.2">
      <c r="A8261" s="258"/>
      <c r="Z8261" s="258"/>
    </row>
    <row r="8262" spans="1:26" ht="12.75" customHeight="1" x14ac:dyDescent="0.2">
      <c r="A8262" s="258"/>
      <c r="Z8262" s="258"/>
    </row>
    <row r="8263" spans="1:26" ht="12.75" customHeight="1" x14ac:dyDescent="0.2">
      <c r="A8263" s="258"/>
      <c r="Z8263" s="258"/>
    </row>
    <row r="8264" spans="1:26" ht="12.75" customHeight="1" x14ac:dyDescent="0.2">
      <c r="A8264" s="258"/>
      <c r="Z8264" s="258"/>
    </row>
    <row r="8265" spans="1:26" ht="12.75" customHeight="1" x14ac:dyDescent="0.2">
      <c r="A8265" s="258"/>
      <c r="Z8265" s="258"/>
    </row>
    <row r="8266" spans="1:26" ht="12.75" customHeight="1" x14ac:dyDescent="0.2">
      <c r="A8266" s="258"/>
      <c r="Z8266" s="258"/>
    </row>
    <row r="8267" spans="1:26" ht="12.75" customHeight="1" x14ac:dyDescent="0.2">
      <c r="A8267" s="258"/>
      <c r="Z8267" s="258"/>
    </row>
    <row r="8268" spans="1:26" ht="12.75" customHeight="1" x14ac:dyDescent="0.2">
      <c r="A8268" s="258"/>
      <c r="Z8268" s="258"/>
    </row>
    <row r="8269" spans="1:26" ht="12.75" customHeight="1" x14ac:dyDescent="0.2">
      <c r="A8269" s="258"/>
      <c r="Z8269" s="258"/>
    </row>
    <row r="8270" spans="1:26" ht="12.75" customHeight="1" x14ac:dyDescent="0.2">
      <c r="A8270" s="258"/>
      <c r="Z8270" s="258"/>
    </row>
    <row r="8271" spans="1:26" ht="12.75" customHeight="1" x14ac:dyDescent="0.2">
      <c r="A8271" s="258"/>
      <c r="Z8271" s="258"/>
    </row>
    <row r="8272" spans="1:26" ht="12.75" customHeight="1" x14ac:dyDescent="0.2">
      <c r="A8272" s="258"/>
      <c r="Z8272" s="258"/>
    </row>
    <row r="8273" spans="1:26" ht="12.75" customHeight="1" x14ac:dyDescent="0.2">
      <c r="A8273" s="258"/>
      <c r="Z8273" s="258"/>
    </row>
    <row r="8274" spans="1:26" ht="12.75" customHeight="1" x14ac:dyDescent="0.2">
      <c r="A8274" s="258"/>
      <c r="Z8274" s="258"/>
    </row>
    <row r="8275" spans="1:26" ht="12.75" customHeight="1" x14ac:dyDescent="0.2">
      <c r="A8275" s="258"/>
      <c r="Z8275" s="258"/>
    </row>
    <row r="8276" spans="1:26" ht="12.75" customHeight="1" x14ac:dyDescent="0.2">
      <c r="A8276" s="258"/>
      <c r="Z8276" s="258"/>
    </row>
    <row r="8277" spans="1:26" ht="12.75" customHeight="1" x14ac:dyDescent="0.2">
      <c r="A8277" s="258"/>
      <c r="Z8277" s="258"/>
    </row>
    <row r="8278" spans="1:26" ht="12.75" customHeight="1" x14ac:dyDescent="0.2">
      <c r="A8278" s="258"/>
      <c r="Z8278" s="258"/>
    </row>
    <row r="8279" spans="1:26" ht="12.75" customHeight="1" x14ac:dyDescent="0.2">
      <c r="A8279" s="258"/>
      <c r="Z8279" s="258"/>
    </row>
    <row r="8280" spans="1:26" ht="12.75" customHeight="1" x14ac:dyDescent="0.2">
      <c r="A8280" s="258"/>
      <c r="Z8280" s="258"/>
    </row>
    <row r="8281" spans="1:26" ht="12.75" customHeight="1" x14ac:dyDescent="0.2">
      <c r="A8281" s="258"/>
      <c r="Z8281" s="258"/>
    </row>
    <row r="8282" spans="1:26" ht="12.75" customHeight="1" x14ac:dyDescent="0.2">
      <c r="A8282" s="258"/>
      <c r="Z8282" s="258"/>
    </row>
    <row r="8283" spans="1:26" ht="12.75" customHeight="1" x14ac:dyDescent="0.2">
      <c r="A8283" s="258"/>
      <c r="Z8283" s="258"/>
    </row>
    <row r="8284" spans="1:26" ht="12.75" customHeight="1" x14ac:dyDescent="0.2">
      <c r="A8284" s="258"/>
      <c r="Z8284" s="258"/>
    </row>
    <row r="8285" spans="1:26" ht="12.75" customHeight="1" x14ac:dyDescent="0.2">
      <c r="A8285" s="258"/>
      <c r="Z8285" s="258"/>
    </row>
    <row r="8286" spans="1:26" ht="12.75" customHeight="1" x14ac:dyDescent="0.2">
      <c r="A8286" s="258"/>
      <c r="Z8286" s="258"/>
    </row>
    <row r="8287" spans="1:26" ht="12.75" customHeight="1" x14ac:dyDescent="0.2">
      <c r="A8287" s="258"/>
      <c r="Z8287" s="258"/>
    </row>
    <row r="8288" spans="1:26" ht="12.75" customHeight="1" x14ac:dyDescent="0.2">
      <c r="A8288" s="258"/>
      <c r="Z8288" s="258"/>
    </row>
    <row r="8289" spans="1:26" ht="12.75" customHeight="1" x14ac:dyDescent="0.2">
      <c r="A8289" s="258"/>
      <c r="Z8289" s="258"/>
    </row>
    <row r="8290" spans="1:26" ht="12.75" customHeight="1" x14ac:dyDescent="0.2">
      <c r="A8290" s="258"/>
      <c r="Z8290" s="258"/>
    </row>
    <row r="8291" spans="1:26" ht="12.75" customHeight="1" x14ac:dyDescent="0.2">
      <c r="A8291" s="258"/>
      <c r="Z8291" s="258"/>
    </row>
    <row r="8292" spans="1:26" ht="12.75" customHeight="1" x14ac:dyDescent="0.2">
      <c r="A8292" s="258"/>
      <c r="Z8292" s="258"/>
    </row>
    <row r="8293" spans="1:26" ht="12.75" customHeight="1" x14ac:dyDescent="0.2">
      <c r="A8293" s="258"/>
      <c r="Z8293" s="258"/>
    </row>
    <row r="8294" spans="1:26" ht="12.75" customHeight="1" x14ac:dyDescent="0.2">
      <c r="A8294" s="258"/>
      <c r="Z8294" s="258"/>
    </row>
    <row r="8295" spans="1:26" ht="12.75" customHeight="1" x14ac:dyDescent="0.2">
      <c r="A8295" s="258"/>
      <c r="Z8295" s="258"/>
    </row>
    <row r="8296" spans="1:26" ht="12.75" customHeight="1" x14ac:dyDescent="0.2">
      <c r="A8296" s="258"/>
      <c r="Z8296" s="258"/>
    </row>
    <row r="8297" spans="1:26" ht="12.75" customHeight="1" x14ac:dyDescent="0.2">
      <c r="A8297" s="258"/>
      <c r="Z8297" s="258"/>
    </row>
    <row r="8298" spans="1:26" ht="12.75" customHeight="1" x14ac:dyDescent="0.2">
      <c r="A8298" s="258"/>
      <c r="Z8298" s="258"/>
    </row>
    <row r="8299" spans="1:26" ht="12.75" customHeight="1" x14ac:dyDescent="0.2">
      <c r="A8299" s="258"/>
      <c r="Z8299" s="258"/>
    </row>
    <row r="8300" spans="1:26" ht="12.75" customHeight="1" x14ac:dyDescent="0.2">
      <c r="A8300" s="258"/>
      <c r="Z8300" s="258"/>
    </row>
    <row r="8301" spans="1:26" ht="12.75" customHeight="1" x14ac:dyDescent="0.2">
      <c r="A8301" s="258"/>
      <c r="Z8301" s="258"/>
    </row>
    <row r="8302" spans="1:26" ht="12.75" customHeight="1" x14ac:dyDescent="0.2">
      <c r="A8302" s="258"/>
      <c r="Z8302" s="258"/>
    </row>
    <row r="8303" spans="1:26" ht="12.75" customHeight="1" x14ac:dyDescent="0.2">
      <c r="A8303" s="258"/>
      <c r="Z8303" s="258"/>
    </row>
    <row r="8304" spans="1:26" ht="12.75" customHeight="1" x14ac:dyDescent="0.2">
      <c r="A8304" s="258"/>
      <c r="Z8304" s="258"/>
    </row>
    <row r="8305" spans="1:26" ht="12.75" customHeight="1" x14ac:dyDescent="0.2">
      <c r="A8305" s="258"/>
      <c r="Z8305" s="258"/>
    </row>
    <row r="8306" spans="1:26" ht="12.75" customHeight="1" x14ac:dyDescent="0.2">
      <c r="A8306" s="258"/>
      <c r="Z8306" s="258"/>
    </row>
    <row r="8307" spans="1:26" ht="12.75" customHeight="1" x14ac:dyDescent="0.2">
      <c r="A8307" s="258"/>
      <c r="Z8307" s="258"/>
    </row>
    <row r="8308" spans="1:26" ht="12.75" customHeight="1" x14ac:dyDescent="0.2">
      <c r="A8308" s="258"/>
      <c r="Z8308" s="258"/>
    </row>
    <row r="8309" spans="1:26" ht="12.75" customHeight="1" x14ac:dyDescent="0.2">
      <c r="A8309" s="258"/>
      <c r="Z8309" s="258"/>
    </row>
    <row r="8310" spans="1:26" ht="12.75" customHeight="1" x14ac:dyDescent="0.2">
      <c r="A8310" s="258"/>
      <c r="Z8310" s="258"/>
    </row>
    <row r="8311" spans="1:26" ht="12.75" customHeight="1" x14ac:dyDescent="0.2">
      <c r="A8311" s="258"/>
      <c r="Z8311" s="258"/>
    </row>
    <row r="8312" spans="1:26" ht="12.75" customHeight="1" x14ac:dyDescent="0.2">
      <c r="A8312" s="258"/>
      <c r="Z8312" s="258"/>
    </row>
    <row r="8313" spans="1:26" ht="12.75" customHeight="1" x14ac:dyDescent="0.2">
      <c r="A8313" s="258"/>
      <c r="Z8313" s="258"/>
    </row>
    <row r="8314" spans="1:26" ht="12.75" customHeight="1" x14ac:dyDescent="0.2">
      <c r="A8314" s="258"/>
      <c r="Z8314" s="258"/>
    </row>
    <row r="8315" spans="1:26" ht="12.75" customHeight="1" x14ac:dyDescent="0.2">
      <c r="A8315" s="258"/>
      <c r="Z8315" s="258"/>
    </row>
    <row r="8316" spans="1:26" ht="12.75" customHeight="1" x14ac:dyDescent="0.2">
      <c r="A8316" s="258"/>
      <c r="Z8316" s="258"/>
    </row>
    <row r="8317" spans="1:26" ht="12.75" customHeight="1" x14ac:dyDescent="0.2">
      <c r="A8317" s="258"/>
      <c r="Z8317" s="258"/>
    </row>
    <row r="8318" spans="1:26" ht="12.75" customHeight="1" x14ac:dyDescent="0.2">
      <c r="A8318" s="258"/>
      <c r="Z8318" s="258"/>
    </row>
    <row r="8319" spans="1:26" ht="12.75" customHeight="1" x14ac:dyDescent="0.2">
      <c r="A8319" s="258"/>
      <c r="Z8319" s="258"/>
    </row>
    <row r="8320" spans="1:26" ht="12.75" customHeight="1" x14ac:dyDescent="0.2">
      <c r="A8320" s="258"/>
      <c r="Z8320" s="258"/>
    </row>
    <row r="8321" spans="1:26" ht="12.75" customHeight="1" x14ac:dyDescent="0.2">
      <c r="A8321" s="258"/>
      <c r="Z8321" s="258"/>
    </row>
    <row r="8322" spans="1:26" ht="12.75" customHeight="1" x14ac:dyDescent="0.2">
      <c r="A8322" s="258"/>
      <c r="Z8322" s="258"/>
    </row>
    <row r="8323" spans="1:26" ht="12.75" customHeight="1" x14ac:dyDescent="0.2">
      <c r="A8323" s="258"/>
      <c r="Z8323" s="258"/>
    </row>
    <row r="8324" spans="1:26" ht="12.75" customHeight="1" x14ac:dyDescent="0.2">
      <c r="A8324" s="258"/>
      <c r="Z8324" s="258"/>
    </row>
    <row r="8325" spans="1:26" ht="12.75" customHeight="1" x14ac:dyDescent="0.2">
      <c r="A8325" s="258"/>
      <c r="Z8325" s="258"/>
    </row>
    <row r="8326" spans="1:26" ht="12.75" customHeight="1" x14ac:dyDescent="0.2">
      <c r="A8326" s="258"/>
      <c r="Z8326" s="258"/>
    </row>
    <row r="8327" spans="1:26" ht="12.75" customHeight="1" x14ac:dyDescent="0.2">
      <c r="A8327" s="258"/>
      <c r="Z8327" s="258"/>
    </row>
    <row r="8328" spans="1:26" ht="12.75" customHeight="1" x14ac:dyDescent="0.2">
      <c r="A8328" s="258"/>
      <c r="Z8328" s="258"/>
    </row>
    <row r="8329" spans="1:26" ht="12.75" customHeight="1" x14ac:dyDescent="0.2">
      <c r="A8329" s="258"/>
      <c r="Z8329" s="258"/>
    </row>
    <row r="8330" spans="1:26" ht="12.75" customHeight="1" x14ac:dyDescent="0.2">
      <c r="A8330" s="258"/>
      <c r="Z8330" s="258"/>
    </row>
    <row r="8331" spans="1:26" ht="12.75" customHeight="1" x14ac:dyDescent="0.2">
      <c r="A8331" s="258"/>
      <c r="Z8331" s="258"/>
    </row>
    <row r="8332" spans="1:26" ht="12.75" customHeight="1" x14ac:dyDescent="0.2">
      <c r="A8332" s="258"/>
      <c r="Z8332" s="258"/>
    </row>
    <row r="8333" spans="1:26" ht="12.75" customHeight="1" x14ac:dyDescent="0.2">
      <c r="A8333" s="258"/>
      <c r="Z8333" s="258"/>
    </row>
    <row r="8334" spans="1:26" ht="12.75" customHeight="1" x14ac:dyDescent="0.2">
      <c r="A8334" s="258"/>
      <c r="Z8334" s="258"/>
    </row>
    <row r="8335" spans="1:26" ht="12.75" customHeight="1" x14ac:dyDescent="0.2">
      <c r="A8335" s="258"/>
      <c r="Z8335" s="258"/>
    </row>
    <row r="8336" spans="1:26" ht="12.75" customHeight="1" x14ac:dyDescent="0.2">
      <c r="A8336" s="258"/>
      <c r="Z8336" s="258"/>
    </row>
    <row r="8337" spans="1:26" ht="12.75" customHeight="1" x14ac:dyDescent="0.2">
      <c r="A8337" s="258"/>
      <c r="Z8337" s="258"/>
    </row>
    <row r="8338" spans="1:26" ht="12.75" customHeight="1" x14ac:dyDescent="0.2">
      <c r="A8338" s="258"/>
      <c r="Z8338" s="258"/>
    </row>
    <row r="8339" spans="1:26" ht="12.75" customHeight="1" x14ac:dyDescent="0.2">
      <c r="A8339" s="258"/>
      <c r="Z8339" s="258"/>
    </row>
    <row r="8340" spans="1:26" ht="12.75" customHeight="1" x14ac:dyDescent="0.2">
      <c r="A8340" s="258"/>
      <c r="Z8340" s="258"/>
    </row>
    <row r="8341" spans="1:26" ht="12.75" customHeight="1" x14ac:dyDescent="0.2">
      <c r="A8341" s="258"/>
      <c r="Z8341" s="258"/>
    </row>
    <row r="8342" spans="1:26" ht="12.75" customHeight="1" x14ac:dyDescent="0.2">
      <c r="A8342" s="258"/>
      <c r="Z8342" s="258"/>
    </row>
    <row r="8343" spans="1:26" ht="12.75" customHeight="1" x14ac:dyDescent="0.2">
      <c r="A8343" s="258"/>
      <c r="Z8343" s="258"/>
    </row>
    <row r="8344" spans="1:26" ht="12.75" customHeight="1" x14ac:dyDescent="0.2">
      <c r="A8344" s="258"/>
      <c r="Z8344" s="258"/>
    </row>
    <row r="8345" spans="1:26" ht="12.75" customHeight="1" x14ac:dyDescent="0.2">
      <c r="A8345" s="258"/>
      <c r="Z8345" s="258"/>
    </row>
    <row r="8346" spans="1:26" ht="12.75" customHeight="1" x14ac:dyDescent="0.2">
      <c r="A8346" s="258"/>
      <c r="Z8346" s="258"/>
    </row>
    <row r="8347" spans="1:26" ht="12.75" customHeight="1" x14ac:dyDescent="0.2">
      <c r="A8347" s="258"/>
      <c r="Z8347" s="258"/>
    </row>
    <row r="8348" spans="1:26" ht="12.75" customHeight="1" x14ac:dyDescent="0.2">
      <c r="A8348" s="258"/>
      <c r="Z8348" s="258"/>
    </row>
    <row r="8349" spans="1:26" ht="12.75" customHeight="1" x14ac:dyDescent="0.2">
      <c r="A8349" s="258"/>
      <c r="Z8349" s="258"/>
    </row>
    <row r="8350" spans="1:26" ht="12.75" customHeight="1" x14ac:dyDescent="0.2">
      <c r="A8350" s="258"/>
      <c r="Z8350" s="258"/>
    </row>
    <row r="8351" spans="1:26" ht="12.75" customHeight="1" x14ac:dyDescent="0.2">
      <c r="A8351" s="258"/>
      <c r="Z8351" s="258"/>
    </row>
    <row r="8352" spans="1:26" ht="12.75" customHeight="1" x14ac:dyDescent="0.2">
      <c r="A8352" s="258"/>
      <c r="Z8352" s="258"/>
    </row>
    <row r="8353" spans="1:26" ht="12.75" customHeight="1" x14ac:dyDescent="0.2">
      <c r="A8353" s="258"/>
      <c r="Z8353" s="258"/>
    </row>
    <row r="8354" spans="1:26" ht="12.75" customHeight="1" x14ac:dyDescent="0.2">
      <c r="A8354" s="258"/>
      <c r="Z8354" s="258"/>
    </row>
    <row r="8355" spans="1:26" ht="12.75" customHeight="1" x14ac:dyDescent="0.2">
      <c r="A8355" s="258"/>
      <c r="Z8355" s="258"/>
    </row>
    <row r="8356" spans="1:26" ht="12.75" customHeight="1" x14ac:dyDescent="0.2">
      <c r="A8356" s="258"/>
      <c r="Z8356" s="258"/>
    </row>
    <row r="8357" spans="1:26" ht="12.75" customHeight="1" x14ac:dyDescent="0.2">
      <c r="A8357" s="258"/>
      <c r="Z8357" s="258"/>
    </row>
    <row r="8358" spans="1:26" ht="12.75" customHeight="1" x14ac:dyDescent="0.2">
      <c r="A8358" s="258"/>
      <c r="Z8358" s="258"/>
    </row>
    <row r="8359" spans="1:26" ht="12.75" customHeight="1" x14ac:dyDescent="0.2">
      <c r="A8359" s="258"/>
      <c r="Z8359" s="258"/>
    </row>
    <row r="8360" spans="1:26" ht="12.75" customHeight="1" x14ac:dyDescent="0.2">
      <c r="A8360" s="258"/>
      <c r="Z8360" s="258"/>
    </row>
    <row r="8361" spans="1:26" ht="12.75" customHeight="1" x14ac:dyDescent="0.2">
      <c r="A8361" s="258"/>
      <c r="Z8361" s="258"/>
    </row>
    <row r="8362" spans="1:26" ht="12.75" customHeight="1" x14ac:dyDescent="0.2">
      <c r="A8362" s="258"/>
      <c r="Z8362" s="258"/>
    </row>
    <row r="8363" spans="1:26" ht="12.75" customHeight="1" x14ac:dyDescent="0.2">
      <c r="A8363" s="258"/>
      <c r="Z8363" s="258"/>
    </row>
    <row r="8364" spans="1:26" ht="12.75" customHeight="1" x14ac:dyDescent="0.2">
      <c r="A8364" s="258"/>
      <c r="Z8364" s="258"/>
    </row>
    <row r="8365" spans="1:26" ht="12.75" customHeight="1" x14ac:dyDescent="0.2">
      <c r="A8365" s="258"/>
      <c r="Z8365" s="258"/>
    </row>
    <row r="8366" spans="1:26" ht="12.75" customHeight="1" x14ac:dyDescent="0.2">
      <c r="A8366" s="258"/>
      <c r="Z8366" s="258"/>
    </row>
    <row r="8367" spans="1:26" ht="12.75" customHeight="1" x14ac:dyDescent="0.2">
      <c r="A8367" s="258"/>
      <c r="Z8367" s="258"/>
    </row>
    <row r="8368" spans="1:26" ht="12.75" customHeight="1" x14ac:dyDescent="0.2">
      <c r="A8368" s="258"/>
      <c r="Z8368" s="258"/>
    </row>
    <row r="8369" spans="1:26" ht="12.75" customHeight="1" x14ac:dyDescent="0.2">
      <c r="A8369" s="258"/>
      <c r="Z8369" s="258"/>
    </row>
    <row r="8370" spans="1:26" ht="12.75" customHeight="1" x14ac:dyDescent="0.2">
      <c r="A8370" s="258"/>
      <c r="Z8370" s="258"/>
    </row>
    <row r="8371" spans="1:26" ht="12.75" customHeight="1" x14ac:dyDescent="0.2">
      <c r="A8371" s="258"/>
      <c r="Z8371" s="258"/>
    </row>
    <row r="8372" spans="1:26" ht="12.75" customHeight="1" x14ac:dyDescent="0.2">
      <c r="A8372" s="258"/>
      <c r="Z8372" s="258"/>
    </row>
    <row r="8373" spans="1:26" ht="12.75" customHeight="1" x14ac:dyDescent="0.2">
      <c r="A8373" s="258"/>
      <c r="Z8373" s="258"/>
    </row>
    <row r="8374" spans="1:26" ht="12.75" customHeight="1" x14ac:dyDescent="0.2">
      <c r="A8374" s="258"/>
      <c r="Z8374" s="258"/>
    </row>
    <row r="8375" spans="1:26" ht="12.75" customHeight="1" x14ac:dyDescent="0.2">
      <c r="A8375" s="258"/>
      <c r="Z8375" s="258"/>
    </row>
    <row r="8376" spans="1:26" ht="12.75" customHeight="1" x14ac:dyDescent="0.2">
      <c r="A8376" s="258"/>
      <c r="Z8376" s="258"/>
    </row>
    <row r="8377" spans="1:26" ht="12.75" customHeight="1" x14ac:dyDescent="0.2">
      <c r="A8377" s="258"/>
      <c r="Z8377" s="258"/>
    </row>
    <row r="8378" spans="1:26" ht="12.75" customHeight="1" x14ac:dyDescent="0.2">
      <c r="A8378" s="258"/>
      <c r="Z8378" s="258"/>
    </row>
    <row r="8379" spans="1:26" ht="12.75" customHeight="1" x14ac:dyDescent="0.2">
      <c r="A8379" s="258"/>
      <c r="Z8379" s="258"/>
    </row>
    <row r="8380" spans="1:26" ht="12.75" customHeight="1" x14ac:dyDescent="0.2">
      <c r="A8380" s="258"/>
      <c r="Z8380" s="258"/>
    </row>
    <row r="8381" spans="1:26" ht="12.75" customHeight="1" x14ac:dyDescent="0.2">
      <c r="A8381" s="258"/>
      <c r="Z8381" s="258"/>
    </row>
    <row r="8382" spans="1:26" ht="12.75" customHeight="1" x14ac:dyDescent="0.2">
      <c r="A8382" s="258"/>
      <c r="Z8382" s="258"/>
    </row>
    <row r="8383" spans="1:26" ht="12.75" customHeight="1" x14ac:dyDescent="0.2">
      <c r="A8383" s="258"/>
      <c r="Z8383" s="258"/>
    </row>
    <row r="8384" spans="1:26" ht="12.75" customHeight="1" x14ac:dyDescent="0.2">
      <c r="A8384" s="258"/>
      <c r="Z8384" s="258"/>
    </row>
    <row r="8385" spans="1:26" ht="12.75" customHeight="1" x14ac:dyDescent="0.2">
      <c r="A8385" s="258"/>
      <c r="Z8385" s="258"/>
    </row>
    <row r="8386" spans="1:26" ht="12.75" customHeight="1" x14ac:dyDescent="0.2">
      <c r="A8386" s="258"/>
      <c r="Z8386" s="258"/>
    </row>
    <row r="8387" spans="1:26" ht="12.75" customHeight="1" x14ac:dyDescent="0.2">
      <c r="A8387" s="258"/>
      <c r="Z8387" s="258"/>
    </row>
    <row r="8388" spans="1:26" ht="12.75" customHeight="1" x14ac:dyDescent="0.2">
      <c r="A8388" s="258"/>
      <c r="Z8388" s="258"/>
    </row>
    <row r="8389" spans="1:26" ht="12.75" customHeight="1" x14ac:dyDescent="0.2">
      <c r="A8389" s="258"/>
      <c r="Z8389" s="258"/>
    </row>
    <row r="8390" spans="1:26" ht="12.75" customHeight="1" x14ac:dyDescent="0.2">
      <c r="A8390" s="258"/>
      <c r="Z8390" s="258"/>
    </row>
    <row r="8391" spans="1:26" ht="12.75" customHeight="1" x14ac:dyDescent="0.2">
      <c r="A8391" s="258"/>
      <c r="Z8391" s="258"/>
    </row>
    <row r="8392" spans="1:26" ht="12.75" customHeight="1" x14ac:dyDescent="0.2">
      <c r="A8392" s="258"/>
      <c r="Z8392" s="258"/>
    </row>
    <row r="8393" spans="1:26" ht="12.75" customHeight="1" x14ac:dyDescent="0.2">
      <c r="A8393" s="258"/>
      <c r="Z8393" s="258"/>
    </row>
    <row r="8394" spans="1:26" ht="12.75" customHeight="1" x14ac:dyDescent="0.2">
      <c r="A8394" s="258"/>
      <c r="Z8394" s="258"/>
    </row>
    <row r="8395" spans="1:26" ht="12.75" customHeight="1" x14ac:dyDescent="0.2">
      <c r="A8395" s="258"/>
      <c r="Z8395" s="258"/>
    </row>
    <row r="8396" spans="1:26" ht="12.75" customHeight="1" x14ac:dyDescent="0.2">
      <c r="A8396" s="258"/>
      <c r="Z8396" s="258"/>
    </row>
    <row r="8397" spans="1:26" ht="12.75" customHeight="1" x14ac:dyDescent="0.2">
      <c r="A8397" s="258"/>
      <c r="Z8397" s="258"/>
    </row>
    <row r="8398" spans="1:26" ht="12.75" customHeight="1" x14ac:dyDescent="0.2">
      <c r="A8398" s="258"/>
      <c r="Z8398" s="258"/>
    </row>
    <row r="8399" spans="1:26" ht="12.75" customHeight="1" x14ac:dyDescent="0.2">
      <c r="A8399" s="258"/>
      <c r="Z8399" s="258"/>
    </row>
    <row r="8400" spans="1:26" ht="12.75" customHeight="1" x14ac:dyDescent="0.2">
      <c r="A8400" s="258"/>
      <c r="Z8400" s="258"/>
    </row>
    <row r="8401" spans="1:26" ht="12.75" customHeight="1" x14ac:dyDescent="0.2">
      <c r="A8401" s="258"/>
      <c r="Z8401" s="258"/>
    </row>
    <row r="8402" spans="1:26" ht="12.75" customHeight="1" x14ac:dyDescent="0.2">
      <c r="A8402" s="258"/>
      <c r="Z8402" s="258"/>
    </row>
    <row r="8403" spans="1:26" ht="12.75" customHeight="1" x14ac:dyDescent="0.2">
      <c r="A8403" s="258"/>
      <c r="Z8403" s="258"/>
    </row>
    <row r="8404" spans="1:26" ht="12.75" customHeight="1" x14ac:dyDescent="0.2">
      <c r="A8404" s="258"/>
      <c r="Z8404" s="258"/>
    </row>
    <row r="8405" spans="1:26" ht="12.75" customHeight="1" x14ac:dyDescent="0.2">
      <c r="A8405" s="258"/>
      <c r="Z8405" s="258"/>
    </row>
    <row r="8406" spans="1:26" ht="12.75" customHeight="1" x14ac:dyDescent="0.2">
      <c r="A8406" s="258"/>
      <c r="Z8406" s="258"/>
    </row>
    <row r="8407" spans="1:26" ht="12.75" customHeight="1" x14ac:dyDescent="0.2">
      <c r="A8407" s="258"/>
      <c r="Z8407" s="258"/>
    </row>
    <row r="8408" spans="1:26" ht="12.75" customHeight="1" x14ac:dyDescent="0.2">
      <c r="A8408" s="258"/>
      <c r="Z8408" s="258"/>
    </row>
    <row r="8409" spans="1:26" ht="12.75" customHeight="1" x14ac:dyDescent="0.2">
      <c r="A8409" s="258"/>
      <c r="Z8409" s="258"/>
    </row>
    <row r="8410" spans="1:26" ht="12.75" customHeight="1" x14ac:dyDescent="0.2">
      <c r="A8410" s="258"/>
      <c r="Z8410" s="258"/>
    </row>
    <row r="8411" spans="1:26" ht="12.75" customHeight="1" x14ac:dyDescent="0.2">
      <c r="A8411" s="258"/>
      <c r="Z8411" s="258"/>
    </row>
    <row r="8412" spans="1:26" ht="12.75" customHeight="1" x14ac:dyDescent="0.2">
      <c r="A8412" s="258"/>
      <c r="Z8412" s="258"/>
    </row>
    <row r="8413" spans="1:26" ht="12.75" customHeight="1" x14ac:dyDescent="0.2">
      <c r="A8413" s="258"/>
      <c r="Z8413" s="258"/>
    </row>
    <row r="8414" spans="1:26" ht="12.75" customHeight="1" x14ac:dyDescent="0.2">
      <c r="A8414" s="258"/>
      <c r="Z8414" s="258"/>
    </row>
    <row r="8415" spans="1:26" ht="12.75" customHeight="1" x14ac:dyDescent="0.2">
      <c r="A8415" s="258"/>
      <c r="Z8415" s="258"/>
    </row>
    <row r="8416" spans="1:26" ht="12.75" customHeight="1" x14ac:dyDescent="0.2">
      <c r="A8416" s="258"/>
      <c r="Z8416" s="258"/>
    </row>
    <row r="8417" spans="1:26" ht="12.75" customHeight="1" x14ac:dyDescent="0.2">
      <c r="A8417" s="258"/>
      <c r="Z8417" s="258"/>
    </row>
    <row r="8418" spans="1:26" ht="12.75" customHeight="1" x14ac:dyDescent="0.2">
      <c r="A8418" s="258"/>
      <c r="Z8418" s="258"/>
    </row>
    <row r="8419" spans="1:26" ht="12.75" customHeight="1" x14ac:dyDescent="0.2">
      <c r="A8419" s="258"/>
      <c r="Z8419" s="258"/>
    </row>
    <row r="8420" spans="1:26" ht="12.75" customHeight="1" x14ac:dyDescent="0.2">
      <c r="A8420" s="258"/>
      <c r="Z8420" s="258"/>
    </row>
    <row r="8421" spans="1:26" ht="12.75" customHeight="1" x14ac:dyDescent="0.2">
      <c r="A8421" s="258"/>
      <c r="Z8421" s="258"/>
    </row>
    <row r="8422" spans="1:26" ht="12.75" customHeight="1" x14ac:dyDescent="0.2">
      <c r="A8422" s="258"/>
      <c r="Z8422" s="258"/>
    </row>
    <row r="8423" spans="1:26" ht="12.75" customHeight="1" x14ac:dyDescent="0.2">
      <c r="A8423" s="258"/>
      <c r="Z8423" s="258"/>
    </row>
    <row r="8424" spans="1:26" ht="12.75" customHeight="1" x14ac:dyDescent="0.2">
      <c r="A8424" s="258"/>
      <c r="Z8424" s="258"/>
    </row>
    <row r="8425" spans="1:26" ht="12.75" customHeight="1" x14ac:dyDescent="0.2">
      <c r="A8425" s="258"/>
      <c r="Z8425" s="258"/>
    </row>
    <row r="8426" spans="1:26" ht="12.75" customHeight="1" x14ac:dyDescent="0.2">
      <c r="A8426" s="258"/>
      <c r="Z8426" s="258"/>
    </row>
    <row r="8427" spans="1:26" ht="12.75" customHeight="1" x14ac:dyDescent="0.2">
      <c r="A8427" s="258"/>
      <c r="Z8427" s="258"/>
    </row>
    <row r="8428" spans="1:26" ht="12.75" customHeight="1" x14ac:dyDescent="0.2">
      <c r="A8428" s="258"/>
      <c r="Z8428" s="258"/>
    </row>
    <row r="8429" spans="1:26" ht="12.75" customHeight="1" x14ac:dyDescent="0.2">
      <c r="A8429" s="258"/>
      <c r="Z8429" s="258"/>
    </row>
    <row r="8430" spans="1:26" ht="12.75" customHeight="1" x14ac:dyDescent="0.2">
      <c r="A8430" s="258"/>
      <c r="Z8430" s="258"/>
    </row>
    <row r="8431" spans="1:26" ht="12.75" customHeight="1" x14ac:dyDescent="0.2">
      <c r="A8431" s="258"/>
      <c r="Z8431" s="258"/>
    </row>
    <row r="8432" spans="1:26" ht="12.75" customHeight="1" x14ac:dyDescent="0.2">
      <c r="A8432" s="258"/>
      <c r="Z8432" s="258"/>
    </row>
    <row r="8433" spans="1:26" ht="12.75" customHeight="1" x14ac:dyDescent="0.2">
      <c r="A8433" s="258"/>
      <c r="Z8433" s="258"/>
    </row>
    <row r="8434" spans="1:26" ht="12.75" customHeight="1" x14ac:dyDescent="0.2">
      <c r="A8434" s="258"/>
      <c r="Z8434" s="258"/>
    </row>
    <row r="8435" spans="1:26" ht="12.75" customHeight="1" x14ac:dyDescent="0.2">
      <c r="A8435" s="258"/>
      <c r="Z8435" s="258"/>
    </row>
    <row r="8436" spans="1:26" ht="12.75" customHeight="1" x14ac:dyDescent="0.2">
      <c r="A8436" s="258"/>
      <c r="Z8436" s="258"/>
    </row>
    <row r="8437" spans="1:26" ht="12.75" customHeight="1" x14ac:dyDescent="0.2">
      <c r="A8437" s="258"/>
      <c r="Z8437" s="258"/>
    </row>
    <row r="8438" spans="1:26" ht="12.75" customHeight="1" x14ac:dyDescent="0.2">
      <c r="A8438" s="258"/>
      <c r="Z8438" s="258"/>
    </row>
    <row r="8439" spans="1:26" ht="12.75" customHeight="1" x14ac:dyDescent="0.2">
      <c r="A8439" s="258"/>
      <c r="Z8439" s="258"/>
    </row>
    <row r="8440" spans="1:26" ht="12.75" customHeight="1" x14ac:dyDescent="0.2">
      <c r="A8440" s="258"/>
      <c r="Z8440" s="258"/>
    </row>
    <row r="8441" spans="1:26" ht="12.75" customHeight="1" x14ac:dyDescent="0.2">
      <c r="A8441" s="258"/>
      <c r="Z8441" s="258"/>
    </row>
    <row r="8442" spans="1:26" ht="12.75" customHeight="1" x14ac:dyDescent="0.2">
      <c r="A8442" s="258"/>
      <c r="Z8442" s="258"/>
    </row>
    <row r="8443" spans="1:26" ht="12.75" customHeight="1" x14ac:dyDescent="0.2">
      <c r="A8443" s="258"/>
      <c r="Z8443" s="258"/>
    </row>
    <row r="8444" spans="1:26" ht="12.75" customHeight="1" x14ac:dyDescent="0.2">
      <c r="A8444" s="258"/>
      <c r="Z8444" s="258"/>
    </row>
    <row r="8445" spans="1:26" ht="12.75" customHeight="1" x14ac:dyDescent="0.2">
      <c r="A8445" s="258"/>
      <c r="Z8445" s="258"/>
    </row>
    <row r="8446" spans="1:26" ht="12.75" customHeight="1" x14ac:dyDescent="0.2">
      <c r="A8446" s="258"/>
      <c r="Z8446" s="258"/>
    </row>
    <row r="8447" spans="1:26" ht="12.75" customHeight="1" x14ac:dyDescent="0.2">
      <c r="A8447" s="258"/>
      <c r="Z8447" s="258"/>
    </row>
    <row r="8448" spans="1:26" ht="12.75" customHeight="1" x14ac:dyDescent="0.2">
      <c r="A8448" s="258"/>
      <c r="Z8448" s="258"/>
    </row>
    <row r="8449" spans="1:26" ht="12.75" customHeight="1" x14ac:dyDescent="0.2">
      <c r="A8449" s="258"/>
      <c r="Z8449" s="258"/>
    </row>
    <row r="8450" spans="1:26" ht="12.75" customHeight="1" x14ac:dyDescent="0.2">
      <c r="A8450" s="258"/>
      <c r="Z8450" s="258"/>
    </row>
    <row r="8451" spans="1:26" ht="12.75" customHeight="1" x14ac:dyDescent="0.2">
      <c r="A8451" s="258"/>
      <c r="Z8451" s="258"/>
    </row>
    <row r="8452" spans="1:26" ht="12.75" customHeight="1" x14ac:dyDescent="0.2">
      <c r="A8452" s="258"/>
      <c r="Z8452" s="258"/>
    </row>
    <row r="8453" spans="1:26" ht="12.75" customHeight="1" x14ac:dyDescent="0.2">
      <c r="A8453" s="258"/>
      <c r="Z8453" s="258"/>
    </row>
    <row r="8454" spans="1:26" ht="12.75" customHeight="1" x14ac:dyDescent="0.2">
      <c r="A8454" s="258"/>
      <c r="Z8454" s="258"/>
    </row>
    <row r="8455" spans="1:26" ht="12.75" customHeight="1" x14ac:dyDescent="0.2">
      <c r="A8455" s="258"/>
      <c r="Z8455" s="258"/>
    </row>
    <row r="8456" spans="1:26" ht="12.75" customHeight="1" x14ac:dyDescent="0.2">
      <c r="A8456" s="258"/>
      <c r="Z8456" s="258"/>
    </row>
    <row r="8457" spans="1:26" ht="12.75" customHeight="1" x14ac:dyDescent="0.2">
      <c r="A8457" s="258"/>
      <c r="Z8457" s="258"/>
    </row>
    <row r="8458" spans="1:26" ht="12.75" customHeight="1" x14ac:dyDescent="0.2">
      <c r="A8458" s="258"/>
      <c r="Z8458" s="258"/>
    </row>
    <row r="8459" spans="1:26" ht="12.75" customHeight="1" x14ac:dyDescent="0.2">
      <c r="A8459" s="258"/>
      <c r="Z8459" s="258"/>
    </row>
    <row r="8460" spans="1:26" ht="12.75" customHeight="1" x14ac:dyDescent="0.2">
      <c r="A8460" s="258"/>
      <c r="Z8460" s="258"/>
    </row>
    <row r="8461" spans="1:26" ht="12.75" customHeight="1" x14ac:dyDescent="0.2">
      <c r="A8461" s="258"/>
      <c r="Z8461" s="258"/>
    </row>
    <row r="8462" spans="1:26" ht="12.75" customHeight="1" x14ac:dyDescent="0.2">
      <c r="A8462" s="258"/>
      <c r="Z8462" s="258"/>
    </row>
    <row r="8463" spans="1:26" ht="12.75" customHeight="1" x14ac:dyDescent="0.2">
      <c r="A8463" s="258"/>
      <c r="Z8463" s="258"/>
    </row>
    <row r="8464" spans="1:26" ht="12.75" customHeight="1" x14ac:dyDescent="0.2">
      <c r="A8464" s="258"/>
      <c r="Z8464" s="258"/>
    </row>
    <row r="8465" spans="1:26" ht="12.75" customHeight="1" x14ac:dyDescent="0.2">
      <c r="A8465" s="258"/>
      <c r="Z8465" s="258"/>
    </row>
    <row r="8466" spans="1:26" ht="12.75" customHeight="1" x14ac:dyDescent="0.2">
      <c r="A8466" s="258"/>
      <c r="Z8466" s="258"/>
    </row>
    <row r="8467" spans="1:26" ht="12.75" customHeight="1" x14ac:dyDescent="0.2">
      <c r="A8467" s="258"/>
      <c r="Z8467" s="258"/>
    </row>
    <row r="8468" spans="1:26" ht="12.75" customHeight="1" x14ac:dyDescent="0.2">
      <c r="A8468" s="258"/>
      <c r="Z8468" s="258"/>
    </row>
    <row r="8469" spans="1:26" ht="12.75" customHeight="1" x14ac:dyDescent="0.2">
      <c r="A8469" s="258"/>
      <c r="Z8469" s="258"/>
    </row>
    <row r="8470" spans="1:26" ht="12.75" customHeight="1" x14ac:dyDescent="0.2">
      <c r="A8470" s="258"/>
      <c r="Z8470" s="258"/>
    </row>
    <row r="8471" spans="1:26" ht="12.75" customHeight="1" x14ac:dyDescent="0.2">
      <c r="A8471" s="258"/>
      <c r="Z8471" s="258"/>
    </row>
    <row r="8472" spans="1:26" ht="12.75" customHeight="1" x14ac:dyDescent="0.2">
      <c r="A8472" s="258"/>
      <c r="Z8472" s="258"/>
    </row>
    <row r="8473" spans="1:26" ht="12.75" customHeight="1" x14ac:dyDescent="0.2">
      <c r="A8473" s="258"/>
      <c r="Z8473" s="258"/>
    </row>
    <row r="8474" spans="1:26" ht="12.75" customHeight="1" x14ac:dyDescent="0.2">
      <c r="A8474" s="258"/>
      <c r="Z8474" s="258"/>
    </row>
    <row r="8475" spans="1:26" ht="12.75" customHeight="1" x14ac:dyDescent="0.2">
      <c r="A8475" s="258"/>
      <c r="Z8475" s="258"/>
    </row>
    <row r="8476" spans="1:26" ht="12.75" customHeight="1" x14ac:dyDescent="0.2">
      <c r="A8476" s="258"/>
      <c r="Z8476" s="258"/>
    </row>
    <row r="8477" spans="1:26" ht="12.75" customHeight="1" x14ac:dyDescent="0.2">
      <c r="A8477" s="258"/>
      <c r="Z8477" s="258"/>
    </row>
    <row r="8478" spans="1:26" ht="12.75" customHeight="1" x14ac:dyDescent="0.2">
      <c r="A8478" s="258"/>
      <c r="Z8478" s="258"/>
    </row>
    <row r="8479" spans="1:26" ht="12.75" customHeight="1" x14ac:dyDescent="0.2">
      <c r="A8479" s="258"/>
      <c r="Z8479" s="258"/>
    </row>
    <row r="8480" spans="1:26" ht="12.75" customHeight="1" x14ac:dyDescent="0.2">
      <c r="A8480" s="258"/>
      <c r="Z8480" s="258"/>
    </row>
    <row r="8481" spans="1:26" ht="12.75" customHeight="1" x14ac:dyDescent="0.2">
      <c r="A8481" s="258"/>
      <c r="Z8481" s="258"/>
    </row>
    <row r="8482" spans="1:26" ht="12.75" customHeight="1" x14ac:dyDescent="0.2">
      <c r="A8482" s="258"/>
      <c r="Z8482" s="258"/>
    </row>
    <row r="8483" spans="1:26" ht="12.75" customHeight="1" x14ac:dyDescent="0.2">
      <c r="A8483" s="258"/>
      <c r="Z8483" s="258"/>
    </row>
    <row r="8484" spans="1:26" ht="12.75" customHeight="1" x14ac:dyDescent="0.2">
      <c r="A8484" s="258"/>
      <c r="Z8484" s="258"/>
    </row>
    <row r="8485" spans="1:26" ht="12.75" customHeight="1" x14ac:dyDescent="0.2">
      <c r="A8485" s="258"/>
      <c r="Z8485" s="258"/>
    </row>
    <row r="8486" spans="1:26" ht="12.75" customHeight="1" x14ac:dyDescent="0.2">
      <c r="A8486" s="258"/>
      <c r="Z8486" s="258"/>
    </row>
    <row r="8487" spans="1:26" ht="12.75" customHeight="1" x14ac:dyDescent="0.2">
      <c r="A8487" s="258"/>
      <c r="Z8487" s="258"/>
    </row>
    <row r="8488" spans="1:26" ht="12.75" customHeight="1" x14ac:dyDescent="0.2">
      <c r="A8488" s="258"/>
      <c r="Z8488" s="258"/>
    </row>
    <row r="8489" spans="1:26" ht="12.75" customHeight="1" x14ac:dyDescent="0.2">
      <c r="A8489" s="258"/>
      <c r="Z8489" s="258"/>
    </row>
    <row r="8490" spans="1:26" ht="12.75" customHeight="1" x14ac:dyDescent="0.2">
      <c r="A8490" s="258"/>
      <c r="Z8490" s="258"/>
    </row>
    <row r="8491" spans="1:26" ht="12.75" customHeight="1" x14ac:dyDescent="0.2">
      <c r="A8491" s="258"/>
      <c r="Z8491" s="258"/>
    </row>
    <row r="8492" spans="1:26" ht="12.75" customHeight="1" x14ac:dyDescent="0.2">
      <c r="A8492" s="258"/>
      <c r="Z8492" s="258"/>
    </row>
    <row r="8493" spans="1:26" ht="12.75" customHeight="1" x14ac:dyDescent="0.2">
      <c r="A8493" s="258"/>
      <c r="Z8493" s="258"/>
    </row>
    <row r="8494" spans="1:26" ht="12.75" customHeight="1" x14ac:dyDescent="0.2">
      <c r="A8494" s="258"/>
      <c r="Z8494" s="258"/>
    </row>
    <row r="8495" spans="1:26" ht="12.75" customHeight="1" x14ac:dyDescent="0.2">
      <c r="A8495" s="258"/>
      <c r="Z8495" s="258"/>
    </row>
    <row r="8496" spans="1:26" ht="12.75" customHeight="1" x14ac:dyDescent="0.2">
      <c r="A8496" s="258"/>
      <c r="Z8496" s="258"/>
    </row>
    <row r="8497" spans="1:26" ht="12.75" customHeight="1" x14ac:dyDescent="0.2">
      <c r="A8497" s="258"/>
      <c r="Z8497" s="258"/>
    </row>
    <row r="8498" spans="1:26" ht="12.75" customHeight="1" x14ac:dyDescent="0.2">
      <c r="A8498" s="258"/>
      <c r="Z8498" s="258"/>
    </row>
    <row r="8499" spans="1:26" ht="12.75" customHeight="1" x14ac:dyDescent="0.2">
      <c r="A8499" s="258"/>
      <c r="Z8499" s="258"/>
    </row>
    <row r="8500" spans="1:26" ht="12.75" customHeight="1" x14ac:dyDescent="0.2">
      <c r="A8500" s="258"/>
      <c r="Z8500" s="258"/>
    </row>
    <row r="8501" spans="1:26" ht="12.75" customHeight="1" x14ac:dyDescent="0.2">
      <c r="A8501" s="258"/>
      <c r="Z8501" s="258"/>
    </row>
    <row r="8502" spans="1:26" ht="12.75" customHeight="1" x14ac:dyDescent="0.2">
      <c r="A8502" s="258"/>
      <c r="Z8502" s="258"/>
    </row>
    <row r="8503" spans="1:26" ht="12.75" customHeight="1" x14ac:dyDescent="0.2">
      <c r="A8503" s="258"/>
      <c r="Z8503" s="258"/>
    </row>
    <row r="8504" spans="1:26" ht="12.75" customHeight="1" x14ac:dyDescent="0.2">
      <c r="A8504" s="258"/>
      <c r="Z8504" s="258"/>
    </row>
    <row r="8505" spans="1:26" ht="12.75" customHeight="1" x14ac:dyDescent="0.2">
      <c r="A8505" s="258"/>
      <c r="Z8505" s="258"/>
    </row>
    <row r="8506" spans="1:26" ht="12.75" customHeight="1" x14ac:dyDescent="0.2">
      <c r="A8506" s="258"/>
      <c r="Z8506" s="258"/>
    </row>
    <row r="8507" spans="1:26" ht="12.75" customHeight="1" x14ac:dyDescent="0.2">
      <c r="A8507" s="258"/>
      <c r="Z8507" s="258"/>
    </row>
    <row r="8508" spans="1:26" ht="12.75" customHeight="1" x14ac:dyDescent="0.2">
      <c r="A8508" s="258"/>
      <c r="Z8508" s="258"/>
    </row>
    <row r="8509" spans="1:26" ht="12.75" customHeight="1" x14ac:dyDescent="0.2">
      <c r="A8509" s="258"/>
      <c r="Z8509" s="258"/>
    </row>
    <row r="8510" spans="1:26" ht="12.75" customHeight="1" x14ac:dyDescent="0.2">
      <c r="A8510" s="258"/>
      <c r="Z8510" s="258"/>
    </row>
    <row r="8511" spans="1:26" ht="12.75" customHeight="1" x14ac:dyDescent="0.2">
      <c r="A8511" s="258"/>
      <c r="Z8511" s="258"/>
    </row>
    <row r="8512" spans="1:26" ht="12.75" customHeight="1" x14ac:dyDescent="0.2">
      <c r="A8512" s="258"/>
      <c r="Z8512" s="258"/>
    </row>
    <row r="8513" spans="1:26" ht="12.75" customHeight="1" x14ac:dyDescent="0.2">
      <c r="A8513" s="258"/>
      <c r="Z8513" s="258"/>
    </row>
    <row r="8514" spans="1:26" ht="12.75" customHeight="1" x14ac:dyDescent="0.2">
      <c r="A8514" s="258"/>
      <c r="Z8514" s="258"/>
    </row>
    <row r="8515" spans="1:26" ht="12.75" customHeight="1" x14ac:dyDescent="0.2">
      <c r="A8515" s="258"/>
      <c r="Z8515" s="258"/>
    </row>
    <row r="8516" spans="1:26" ht="12.75" customHeight="1" x14ac:dyDescent="0.2">
      <c r="A8516" s="258"/>
      <c r="Z8516" s="258"/>
    </row>
    <row r="8517" spans="1:26" ht="12.75" customHeight="1" x14ac:dyDescent="0.2">
      <c r="A8517" s="258"/>
      <c r="Z8517" s="258"/>
    </row>
    <row r="8518" spans="1:26" ht="12.75" customHeight="1" x14ac:dyDescent="0.2">
      <c r="A8518" s="258"/>
      <c r="Z8518" s="258"/>
    </row>
    <row r="8519" spans="1:26" ht="12.75" customHeight="1" x14ac:dyDescent="0.2">
      <c r="A8519" s="258"/>
      <c r="Z8519" s="258"/>
    </row>
    <row r="8520" spans="1:26" ht="12.75" customHeight="1" x14ac:dyDescent="0.2">
      <c r="A8520" s="258"/>
      <c r="Z8520" s="258"/>
    </row>
    <row r="8521" spans="1:26" ht="12.75" customHeight="1" x14ac:dyDescent="0.2">
      <c r="A8521" s="258"/>
      <c r="Z8521" s="258"/>
    </row>
    <row r="8522" spans="1:26" ht="12.75" customHeight="1" x14ac:dyDescent="0.2">
      <c r="A8522" s="258"/>
      <c r="Z8522" s="258"/>
    </row>
    <row r="8523" spans="1:26" ht="12.75" customHeight="1" x14ac:dyDescent="0.2">
      <c r="A8523" s="258"/>
      <c r="Z8523" s="258"/>
    </row>
    <row r="8524" spans="1:26" ht="12.75" customHeight="1" x14ac:dyDescent="0.2">
      <c r="A8524" s="258"/>
      <c r="Z8524" s="258"/>
    </row>
    <row r="8525" spans="1:26" ht="12.75" customHeight="1" x14ac:dyDescent="0.2">
      <c r="A8525" s="258"/>
      <c r="Z8525" s="258"/>
    </row>
    <row r="8526" spans="1:26" ht="12.75" customHeight="1" x14ac:dyDescent="0.2">
      <c r="A8526" s="258"/>
      <c r="Z8526" s="258"/>
    </row>
    <row r="8527" spans="1:26" ht="12.75" customHeight="1" x14ac:dyDescent="0.2">
      <c r="A8527" s="258"/>
      <c r="Z8527" s="258"/>
    </row>
    <row r="8528" spans="1:26" ht="12.75" customHeight="1" x14ac:dyDescent="0.2">
      <c r="A8528" s="258"/>
      <c r="Z8528" s="258"/>
    </row>
    <row r="8529" spans="1:26" ht="12.75" customHeight="1" x14ac:dyDescent="0.2">
      <c r="A8529" s="258"/>
      <c r="Z8529" s="258"/>
    </row>
    <row r="8530" spans="1:26" ht="12.75" customHeight="1" x14ac:dyDescent="0.2">
      <c r="A8530" s="258"/>
      <c r="Z8530" s="258"/>
    </row>
    <row r="8531" spans="1:26" ht="12.75" customHeight="1" x14ac:dyDescent="0.2">
      <c r="A8531" s="258"/>
      <c r="Z8531" s="258"/>
    </row>
    <row r="8532" spans="1:26" ht="12.75" customHeight="1" x14ac:dyDescent="0.2">
      <c r="A8532" s="258"/>
      <c r="Z8532" s="258"/>
    </row>
    <row r="8533" spans="1:26" ht="12.75" customHeight="1" x14ac:dyDescent="0.2">
      <c r="A8533" s="258"/>
      <c r="Z8533" s="258"/>
    </row>
    <row r="8534" spans="1:26" ht="12.75" customHeight="1" x14ac:dyDescent="0.2">
      <c r="A8534" s="258"/>
      <c r="Z8534" s="258"/>
    </row>
    <row r="8535" spans="1:26" ht="12.75" customHeight="1" x14ac:dyDescent="0.2">
      <c r="A8535" s="258"/>
      <c r="Z8535" s="258"/>
    </row>
    <row r="8536" spans="1:26" ht="12.75" customHeight="1" x14ac:dyDescent="0.2">
      <c r="A8536" s="258"/>
      <c r="Z8536" s="258"/>
    </row>
    <row r="8537" spans="1:26" ht="12.75" customHeight="1" x14ac:dyDescent="0.2">
      <c r="A8537" s="258"/>
      <c r="Z8537" s="258"/>
    </row>
    <row r="8538" spans="1:26" ht="12.75" customHeight="1" x14ac:dyDescent="0.2">
      <c r="A8538" s="258"/>
      <c r="Z8538" s="258"/>
    </row>
    <row r="8539" spans="1:26" ht="12.75" customHeight="1" x14ac:dyDescent="0.2">
      <c r="A8539" s="258"/>
      <c r="Z8539" s="258"/>
    </row>
    <row r="8540" spans="1:26" ht="12.75" customHeight="1" x14ac:dyDescent="0.2">
      <c r="A8540" s="258"/>
      <c r="Z8540" s="258"/>
    </row>
    <row r="8541" spans="1:26" ht="12.75" customHeight="1" x14ac:dyDescent="0.2">
      <c r="A8541" s="258"/>
      <c r="Z8541" s="258"/>
    </row>
    <row r="8542" spans="1:26" ht="12.75" customHeight="1" x14ac:dyDescent="0.2">
      <c r="A8542" s="258"/>
      <c r="Z8542" s="258"/>
    </row>
    <row r="8543" spans="1:26" ht="12.75" customHeight="1" x14ac:dyDescent="0.2">
      <c r="A8543" s="258"/>
      <c r="Z8543" s="258"/>
    </row>
    <row r="8544" spans="1:26" ht="12.75" customHeight="1" x14ac:dyDescent="0.2">
      <c r="A8544" s="258"/>
      <c r="Z8544" s="258"/>
    </row>
    <row r="8545" spans="1:26" ht="12.75" customHeight="1" x14ac:dyDescent="0.2">
      <c r="A8545" s="258"/>
      <c r="Z8545" s="258"/>
    </row>
    <row r="8546" spans="1:26" ht="12.75" customHeight="1" x14ac:dyDescent="0.2">
      <c r="A8546" s="258"/>
      <c r="Z8546" s="258"/>
    </row>
    <row r="8547" spans="1:26" ht="12.75" customHeight="1" x14ac:dyDescent="0.2">
      <c r="A8547" s="258"/>
      <c r="Z8547" s="258"/>
    </row>
    <row r="8548" spans="1:26" ht="12.75" customHeight="1" x14ac:dyDescent="0.2">
      <c r="A8548" s="258"/>
      <c r="Z8548" s="258"/>
    </row>
    <row r="8549" spans="1:26" ht="12.75" customHeight="1" x14ac:dyDescent="0.2">
      <c r="A8549" s="258"/>
      <c r="Z8549" s="258"/>
    </row>
    <row r="8550" spans="1:26" ht="12.75" customHeight="1" x14ac:dyDescent="0.2">
      <c r="A8550" s="258"/>
      <c r="Z8550" s="258"/>
    </row>
    <row r="8551" spans="1:26" ht="12.75" customHeight="1" x14ac:dyDescent="0.2">
      <c r="A8551" s="258"/>
      <c r="Z8551" s="258"/>
    </row>
    <row r="8552" spans="1:26" ht="12.75" customHeight="1" x14ac:dyDescent="0.2">
      <c r="A8552" s="258"/>
      <c r="Z8552" s="258"/>
    </row>
    <row r="8553" spans="1:26" ht="12.75" customHeight="1" x14ac:dyDescent="0.2">
      <c r="A8553" s="258"/>
      <c r="Z8553" s="258"/>
    </row>
    <row r="8554" spans="1:26" ht="12.75" customHeight="1" x14ac:dyDescent="0.2">
      <c r="A8554" s="258"/>
      <c r="Z8554" s="258"/>
    </row>
    <row r="8555" spans="1:26" ht="12.75" customHeight="1" x14ac:dyDescent="0.2">
      <c r="A8555" s="258"/>
      <c r="Z8555" s="258"/>
    </row>
    <row r="8556" spans="1:26" ht="12.75" customHeight="1" x14ac:dyDescent="0.2">
      <c r="A8556" s="258"/>
      <c r="Z8556" s="258"/>
    </row>
    <row r="8557" spans="1:26" ht="12.75" customHeight="1" x14ac:dyDescent="0.2">
      <c r="A8557" s="258"/>
      <c r="Z8557" s="258"/>
    </row>
    <row r="8558" spans="1:26" ht="12.75" customHeight="1" x14ac:dyDescent="0.2">
      <c r="A8558" s="258"/>
      <c r="Z8558" s="258"/>
    </row>
    <row r="8559" spans="1:26" ht="12.75" customHeight="1" x14ac:dyDescent="0.2">
      <c r="A8559" s="258"/>
      <c r="Z8559" s="258"/>
    </row>
    <row r="8560" spans="1:26" ht="12.75" customHeight="1" x14ac:dyDescent="0.2">
      <c r="A8560" s="258"/>
      <c r="Z8560" s="258"/>
    </row>
    <row r="8561" spans="1:26" ht="12.75" customHeight="1" x14ac:dyDescent="0.2">
      <c r="A8561" s="258"/>
      <c r="Z8561" s="258"/>
    </row>
    <row r="8562" spans="1:26" ht="12.75" customHeight="1" x14ac:dyDescent="0.2">
      <c r="A8562" s="258"/>
      <c r="Z8562" s="258"/>
    </row>
    <row r="8563" spans="1:26" ht="12.75" customHeight="1" x14ac:dyDescent="0.2">
      <c r="A8563" s="258"/>
      <c r="Z8563" s="258"/>
    </row>
    <row r="8564" spans="1:26" ht="12.75" customHeight="1" x14ac:dyDescent="0.2">
      <c r="A8564" s="258"/>
      <c r="Z8564" s="258"/>
    </row>
    <row r="8565" spans="1:26" ht="12.75" customHeight="1" x14ac:dyDescent="0.2">
      <c r="A8565" s="258"/>
      <c r="Z8565" s="258"/>
    </row>
    <row r="8566" spans="1:26" ht="12.75" customHeight="1" x14ac:dyDescent="0.2">
      <c r="A8566" s="258"/>
      <c r="Z8566" s="258"/>
    </row>
    <row r="8567" spans="1:26" ht="12.75" customHeight="1" x14ac:dyDescent="0.2">
      <c r="A8567" s="258"/>
      <c r="Z8567" s="258"/>
    </row>
    <row r="8568" spans="1:26" ht="12.75" customHeight="1" x14ac:dyDescent="0.2">
      <c r="A8568" s="258"/>
      <c r="Z8568" s="258"/>
    </row>
    <row r="8569" spans="1:26" ht="12.75" customHeight="1" x14ac:dyDescent="0.2">
      <c r="A8569" s="258"/>
      <c r="Z8569" s="258"/>
    </row>
    <row r="8570" spans="1:26" ht="12.75" customHeight="1" x14ac:dyDescent="0.2">
      <c r="A8570" s="258"/>
      <c r="Z8570" s="258"/>
    </row>
    <row r="8571" spans="1:26" ht="12.75" customHeight="1" x14ac:dyDescent="0.2">
      <c r="A8571" s="258"/>
      <c r="Z8571" s="258"/>
    </row>
    <row r="8572" spans="1:26" ht="12.75" customHeight="1" x14ac:dyDescent="0.2">
      <c r="A8572" s="258"/>
      <c r="Z8572" s="258"/>
    </row>
    <row r="8573" spans="1:26" ht="12.75" customHeight="1" x14ac:dyDescent="0.2">
      <c r="A8573" s="258"/>
      <c r="Z8573" s="258"/>
    </row>
    <row r="8574" spans="1:26" ht="12.75" customHeight="1" x14ac:dyDescent="0.2">
      <c r="A8574" s="258"/>
      <c r="Z8574" s="258"/>
    </row>
    <row r="8575" spans="1:26" ht="12.75" customHeight="1" x14ac:dyDescent="0.2">
      <c r="A8575" s="258"/>
      <c r="Z8575" s="258"/>
    </row>
    <row r="8576" spans="1:26" ht="12.75" customHeight="1" x14ac:dyDescent="0.2">
      <c r="A8576" s="258"/>
      <c r="Z8576" s="258"/>
    </row>
    <row r="8577" spans="1:26" ht="12.75" customHeight="1" x14ac:dyDescent="0.2">
      <c r="A8577" s="258"/>
      <c r="Z8577" s="258"/>
    </row>
    <row r="8578" spans="1:26" ht="12.75" customHeight="1" x14ac:dyDescent="0.2">
      <c r="A8578" s="258"/>
      <c r="Z8578" s="258"/>
    </row>
    <row r="8579" spans="1:26" ht="12.75" customHeight="1" x14ac:dyDescent="0.2">
      <c r="A8579" s="258"/>
      <c r="Z8579" s="258"/>
    </row>
    <row r="8580" spans="1:26" ht="12.75" customHeight="1" x14ac:dyDescent="0.2">
      <c r="A8580" s="258"/>
      <c r="Z8580" s="258"/>
    </row>
    <row r="8581" spans="1:26" ht="12.75" customHeight="1" x14ac:dyDescent="0.2">
      <c r="A8581" s="258"/>
      <c r="Z8581" s="258"/>
    </row>
    <row r="8582" spans="1:26" ht="12.75" customHeight="1" x14ac:dyDescent="0.2">
      <c r="A8582" s="258"/>
      <c r="Z8582" s="258"/>
    </row>
    <row r="8583" spans="1:26" ht="12.75" customHeight="1" x14ac:dyDescent="0.2">
      <c r="A8583" s="258"/>
      <c r="Z8583" s="258"/>
    </row>
    <row r="8584" spans="1:26" ht="12.75" customHeight="1" x14ac:dyDescent="0.2">
      <c r="A8584" s="258"/>
      <c r="Z8584" s="258"/>
    </row>
    <row r="8585" spans="1:26" ht="12.75" customHeight="1" x14ac:dyDescent="0.2">
      <c r="A8585" s="258"/>
      <c r="Z8585" s="258"/>
    </row>
    <row r="8586" spans="1:26" ht="12.75" customHeight="1" x14ac:dyDescent="0.2">
      <c r="A8586" s="258"/>
      <c r="Z8586" s="258"/>
    </row>
    <row r="8587" spans="1:26" ht="12.75" customHeight="1" x14ac:dyDescent="0.2">
      <c r="A8587" s="258"/>
      <c r="Z8587" s="258"/>
    </row>
    <row r="8588" spans="1:26" ht="12.75" customHeight="1" x14ac:dyDescent="0.2">
      <c r="A8588" s="258"/>
      <c r="Z8588" s="258"/>
    </row>
    <row r="8589" spans="1:26" ht="12.75" customHeight="1" x14ac:dyDescent="0.2">
      <c r="A8589" s="258"/>
      <c r="Z8589" s="258"/>
    </row>
    <row r="8590" spans="1:26" ht="12.75" customHeight="1" x14ac:dyDescent="0.2">
      <c r="A8590" s="258"/>
      <c r="Z8590" s="258"/>
    </row>
    <row r="8591" spans="1:26" ht="12.75" customHeight="1" x14ac:dyDescent="0.2">
      <c r="A8591" s="258"/>
      <c r="Z8591" s="258"/>
    </row>
    <row r="8592" spans="1:26" ht="12.75" customHeight="1" x14ac:dyDescent="0.2">
      <c r="A8592" s="258"/>
      <c r="Z8592" s="258"/>
    </row>
    <row r="8593" spans="1:26" ht="12.75" customHeight="1" x14ac:dyDescent="0.2">
      <c r="A8593" s="258"/>
      <c r="Z8593" s="258"/>
    </row>
    <row r="8594" spans="1:26" ht="12.75" customHeight="1" x14ac:dyDescent="0.2">
      <c r="A8594" s="258"/>
      <c r="Z8594" s="258"/>
    </row>
    <row r="8595" spans="1:26" ht="12.75" customHeight="1" x14ac:dyDescent="0.2">
      <c r="A8595" s="258"/>
      <c r="Z8595" s="258"/>
    </row>
    <row r="8596" spans="1:26" ht="12.75" customHeight="1" x14ac:dyDescent="0.2">
      <c r="A8596" s="258"/>
      <c r="Z8596" s="258"/>
    </row>
    <row r="8597" spans="1:26" ht="12.75" customHeight="1" x14ac:dyDescent="0.2">
      <c r="A8597" s="258"/>
      <c r="Z8597" s="258"/>
    </row>
    <row r="8598" spans="1:26" ht="12.75" customHeight="1" x14ac:dyDescent="0.2">
      <c r="A8598" s="258"/>
      <c r="Z8598" s="258"/>
    </row>
    <row r="8599" spans="1:26" ht="12.75" customHeight="1" x14ac:dyDescent="0.2">
      <c r="A8599" s="258"/>
      <c r="Z8599" s="258"/>
    </row>
    <row r="8600" spans="1:26" ht="12.75" customHeight="1" x14ac:dyDescent="0.2">
      <c r="A8600" s="258"/>
      <c r="Z8600" s="258"/>
    </row>
    <row r="8601" spans="1:26" ht="12.75" customHeight="1" x14ac:dyDescent="0.2">
      <c r="A8601" s="258"/>
      <c r="Z8601" s="258"/>
    </row>
    <row r="8602" spans="1:26" ht="12.75" customHeight="1" x14ac:dyDescent="0.2">
      <c r="A8602" s="258"/>
      <c r="Z8602" s="258"/>
    </row>
    <row r="8603" spans="1:26" ht="12.75" customHeight="1" x14ac:dyDescent="0.2">
      <c r="A8603" s="258"/>
      <c r="Z8603" s="258"/>
    </row>
    <row r="8604" spans="1:26" ht="12.75" customHeight="1" x14ac:dyDescent="0.2">
      <c r="A8604" s="258"/>
      <c r="Z8604" s="258"/>
    </row>
    <row r="8605" spans="1:26" ht="12.75" customHeight="1" x14ac:dyDescent="0.2">
      <c r="A8605" s="258"/>
      <c r="Z8605" s="258"/>
    </row>
    <row r="8606" spans="1:26" ht="12.75" customHeight="1" x14ac:dyDescent="0.2">
      <c r="A8606" s="258"/>
      <c r="Z8606" s="258"/>
    </row>
    <row r="8607" spans="1:26" ht="12.75" customHeight="1" x14ac:dyDescent="0.2">
      <c r="A8607" s="258"/>
      <c r="Z8607" s="258"/>
    </row>
    <row r="8608" spans="1:26" ht="12.75" customHeight="1" x14ac:dyDescent="0.2">
      <c r="A8608" s="258"/>
      <c r="Z8608" s="258"/>
    </row>
    <row r="8609" spans="1:26" ht="12.75" customHeight="1" x14ac:dyDescent="0.2">
      <c r="A8609" s="258"/>
      <c r="Z8609" s="258"/>
    </row>
    <row r="8610" spans="1:26" ht="12.75" customHeight="1" x14ac:dyDescent="0.2">
      <c r="A8610" s="258"/>
      <c r="Z8610" s="258"/>
    </row>
    <row r="8611" spans="1:26" ht="12.75" customHeight="1" x14ac:dyDescent="0.2">
      <c r="A8611" s="258"/>
      <c r="Z8611" s="258"/>
    </row>
    <row r="8612" spans="1:26" ht="12.75" customHeight="1" x14ac:dyDescent="0.2">
      <c r="A8612" s="258"/>
      <c r="Z8612" s="258"/>
    </row>
    <row r="8613" spans="1:26" ht="12.75" customHeight="1" x14ac:dyDescent="0.2">
      <c r="A8613" s="258"/>
      <c r="Z8613" s="258"/>
    </row>
    <row r="8614" spans="1:26" ht="12.75" customHeight="1" x14ac:dyDescent="0.2">
      <c r="A8614" s="258"/>
      <c r="Z8614" s="258"/>
    </row>
    <row r="8615" spans="1:26" ht="12.75" customHeight="1" x14ac:dyDescent="0.2">
      <c r="A8615" s="258"/>
      <c r="Z8615" s="258"/>
    </row>
    <row r="8616" spans="1:26" ht="12.75" customHeight="1" x14ac:dyDescent="0.2">
      <c r="A8616" s="258"/>
      <c r="Z8616" s="258"/>
    </row>
    <row r="8617" spans="1:26" ht="12.75" customHeight="1" x14ac:dyDescent="0.2">
      <c r="A8617" s="258"/>
      <c r="Z8617" s="258"/>
    </row>
    <row r="8618" spans="1:26" ht="12.75" customHeight="1" x14ac:dyDescent="0.2">
      <c r="A8618" s="258"/>
      <c r="Z8618" s="258"/>
    </row>
    <row r="8619" spans="1:26" ht="12.75" customHeight="1" x14ac:dyDescent="0.2">
      <c r="A8619" s="258"/>
      <c r="Z8619" s="258"/>
    </row>
    <row r="8620" spans="1:26" ht="12.75" customHeight="1" x14ac:dyDescent="0.2">
      <c r="A8620" s="258"/>
      <c r="Z8620" s="258"/>
    </row>
    <row r="8621" spans="1:26" ht="12.75" customHeight="1" x14ac:dyDescent="0.2">
      <c r="A8621" s="258"/>
      <c r="Z8621" s="258"/>
    </row>
    <row r="8622" spans="1:26" ht="12.75" customHeight="1" x14ac:dyDescent="0.2">
      <c r="A8622" s="258"/>
      <c r="Z8622" s="258"/>
    </row>
    <row r="8623" spans="1:26" ht="12.75" customHeight="1" x14ac:dyDescent="0.2">
      <c r="A8623" s="258"/>
      <c r="Z8623" s="258"/>
    </row>
    <row r="8624" spans="1:26" ht="12.75" customHeight="1" x14ac:dyDescent="0.2">
      <c r="A8624" s="258"/>
      <c r="Z8624" s="258"/>
    </row>
    <row r="8625" spans="1:26" ht="12.75" customHeight="1" x14ac:dyDescent="0.2">
      <c r="A8625" s="258"/>
      <c r="Z8625" s="258"/>
    </row>
    <row r="8626" spans="1:26" ht="12.75" customHeight="1" x14ac:dyDescent="0.2">
      <c r="A8626" s="258"/>
      <c r="Z8626" s="258"/>
    </row>
    <row r="8627" spans="1:26" ht="12.75" customHeight="1" x14ac:dyDescent="0.2">
      <c r="A8627" s="258"/>
      <c r="Z8627" s="258"/>
    </row>
    <row r="8628" spans="1:26" ht="12.75" customHeight="1" x14ac:dyDescent="0.2">
      <c r="A8628" s="258"/>
      <c r="Z8628" s="258"/>
    </row>
    <row r="8629" spans="1:26" ht="12.75" customHeight="1" x14ac:dyDescent="0.2">
      <c r="A8629" s="258"/>
      <c r="Z8629" s="258"/>
    </row>
    <row r="8630" spans="1:26" ht="12.75" customHeight="1" x14ac:dyDescent="0.2">
      <c r="A8630" s="258"/>
      <c r="Z8630" s="258"/>
    </row>
    <row r="8631" spans="1:26" ht="12.75" customHeight="1" x14ac:dyDescent="0.2">
      <c r="A8631" s="258"/>
      <c r="Z8631" s="258"/>
    </row>
    <row r="8632" spans="1:26" ht="12.75" customHeight="1" x14ac:dyDescent="0.2">
      <c r="A8632" s="258"/>
      <c r="Z8632" s="258"/>
    </row>
    <row r="8633" spans="1:26" ht="12.75" customHeight="1" x14ac:dyDescent="0.2">
      <c r="A8633" s="258"/>
      <c r="Z8633" s="258"/>
    </row>
    <row r="8634" spans="1:26" ht="12.75" customHeight="1" x14ac:dyDescent="0.2">
      <c r="A8634" s="258"/>
      <c r="Z8634" s="258"/>
    </row>
    <row r="8635" spans="1:26" ht="12.75" customHeight="1" x14ac:dyDescent="0.2">
      <c r="A8635" s="258"/>
      <c r="Z8635" s="258"/>
    </row>
    <row r="8636" spans="1:26" ht="12.75" customHeight="1" x14ac:dyDescent="0.2">
      <c r="A8636" s="258"/>
      <c r="Z8636" s="258"/>
    </row>
    <row r="8637" spans="1:26" ht="12.75" customHeight="1" x14ac:dyDescent="0.2">
      <c r="A8637" s="258"/>
      <c r="Z8637" s="258"/>
    </row>
    <row r="8638" spans="1:26" ht="12.75" customHeight="1" x14ac:dyDescent="0.2">
      <c r="A8638" s="258"/>
      <c r="Z8638" s="258"/>
    </row>
    <row r="8639" spans="1:26" ht="12.75" customHeight="1" x14ac:dyDescent="0.2">
      <c r="A8639" s="258"/>
      <c r="Z8639" s="258"/>
    </row>
    <row r="8640" spans="1:26" ht="12.75" customHeight="1" x14ac:dyDescent="0.2">
      <c r="A8640" s="258"/>
      <c r="Z8640" s="258"/>
    </row>
    <row r="8641" spans="1:26" ht="12.75" customHeight="1" x14ac:dyDescent="0.2">
      <c r="A8641" s="258"/>
      <c r="Z8641" s="258"/>
    </row>
    <row r="8642" spans="1:26" ht="12.75" customHeight="1" x14ac:dyDescent="0.2">
      <c r="A8642" s="258"/>
      <c r="Z8642" s="258"/>
    </row>
    <row r="8643" spans="1:26" ht="12.75" customHeight="1" x14ac:dyDescent="0.2">
      <c r="A8643" s="258"/>
      <c r="Z8643" s="258"/>
    </row>
    <row r="8644" spans="1:26" ht="12.75" customHeight="1" x14ac:dyDescent="0.2">
      <c r="A8644" s="258"/>
      <c r="Z8644" s="258"/>
    </row>
    <row r="8645" spans="1:26" ht="12.75" customHeight="1" x14ac:dyDescent="0.2">
      <c r="A8645" s="258"/>
      <c r="Z8645" s="258"/>
    </row>
    <row r="8646" spans="1:26" ht="12.75" customHeight="1" x14ac:dyDescent="0.2">
      <c r="A8646" s="258"/>
      <c r="Z8646" s="258"/>
    </row>
    <row r="8647" spans="1:26" ht="12.75" customHeight="1" x14ac:dyDescent="0.2">
      <c r="A8647" s="258"/>
      <c r="Z8647" s="258"/>
    </row>
    <row r="8648" spans="1:26" ht="12.75" customHeight="1" x14ac:dyDescent="0.2">
      <c r="A8648" s="258"/>
      <c r="Z8648" s="258"/>
    </row>
    <row r="8649" spans="1:26" ht="12.75" customHeight="1" x14ac:dyDescent="0.2">
      <c r="A8649" s="258"/>
      <c r="Z8649" s="258"/>
    </row>
    <row r="8650" spans="1:26" ht="12.75" customHeight="1" x14ac:dyDescent="0.2">
      <c r="A8650" s="258"/>
      <c r="Z8650" s="258"/>
    </row>
    <row r="8651" spans="1:26" ht="12.75" customHeight="1" x14ac:dyDescent="0.2">
      <c r="A8651" s="258"/>
      <c r="Z8651" s="258"/>
    </row>
    <row r="8652" spans="1:26" ht="12.75" customHeight="1" x14ac:dyDescent="0.2">
      <c r="A8652" s="258"/>
      <c r="Z8652" s="258"/>
    </row>
    <row r="8653" spans="1:26" ht="12.75" customHeight="1" x14ac:dyDescent="0.2">
      <c r="A8653" s="258"/>
      <c r="Z8653" s="258"/>
    </row>
    <row r="8654" spans="1:26" ht="12.75" customHeight="1" x14ac:dyDescent="0.2">
      <c r="A8654" s="258"/>
      <c r="Z8654" s="258"/>
    </row>
    <row r="8655" spans="1:26" ht="12.75" customHeight="1" x14ac:dyDescent="0.2">
      <c r="A8655" s="258"/>
      <c r="Z8655" s="258"/>
    </row>
    <row r="8656" spans="1:26" ht="12.75" customHeight="1" x14ac:dyDescent="0.2">
      <c r="A8656" s="258"/>
      <c r="Z8656" s="258"/>
    </row>
    <row r="8657" spans="1:26" ht="12.75" customHeight="1" x14ac:dyDescent="0.2">
      <c r="A8657" s="258"/>
      <c r="Z8657" s="258"/>
    </row>
    <row r="8658" spans="1:26" ht="12.75" customHeight="1" x14ac:dyDescent="0.2">
      <c r="A8658" s="258"/>
      <c r="Z8658" s="258"/>
    </row>
    <row r="8659" spans="1:26" ht="12.75" customHeight="1" x14ac:dyDescent="0.2">
      <c r="A8659" s="258"/>
      <c r="Z8659" s="258"/>
    </row>
    <row r="8660" spans="1:26" ht="12.75" customHeight="1" x14ac:dyDescent="0.2">
      <c r="A8660" s="258"/>
      <c r="Z8660" s="258"/>
    </row>
    <row r="8661" spans="1:26" ht="12.75" customHeight="1" x14ac:dyDescent="0.2">
      <c r="A8661" s="258"/>
      <c r="Z8661" s="258"/>
    </row>
    <row r="8662" spans="1:26" ht="12.75" customHeight="1" x14ac:dyDescent="0.2">
      <c r="A8662" s="258"/>
      <c r="Z8662" s="258"/>
    </row>
    <row r="8663" spans="1:26" ht="12.75" customHeight="1" x14ac:dyDescent="0.2">
      <c r="A8663" s="258"/>
      <c r="Z8663" s="258"/>
    </row>
    <row r="8664" spans="1:26" ht="12.75" customHeight="1" x14ac:dyDescent="0.2">
      <c r="A8664" s="258"/>
      <c r="Z8664" s="258"/>
    </row>
    <row r="8665" spans="1:26" ht="12.75" customHeight="1" x14ac:dyDescent="0.2">
      <c r="A8665" s="258"/>
      <c r="Z8665" s="258"/>
    </row>
    <row r="8666" spans="1:26" ht="12.75" customHeight="1" x14ac:dyDescent="0.2">
      <c r="A8666" s="258"/>
      <c r="Z8666" s="258"/>
    </row>
    <row r="8667" spans="1:26" ht="12.75" customHeight="1" x14ac:dyDescent="0.2">
      <c r="A8667" s="258"/>
      <c r="Z8667" s="258"/>
    </row>
    <row r="8668" spans="1:26" ht="12.75" customHeight="1" x14ac:dyDescent="0.2">
      <c r="A8668" s="258"/>
      <c r="Z8668" s="258"/>
    </row>
    <row r="8669" spans="1:26" ht="12.75" customHeight="1" x14ac:dyDescent="0.2">
      <c r="A8669" s="258"/>
      <c r="Z8669" s="258"/>
    </row>
    <row r="8670" spans="1:26" ht="12.75" customHeight="1" x14ac:dyDescent="0.2">
      <c r="A8670" s="258"/>
      <c r="Z8670" s="258"/>
    </row>
    <row r="8671" spans="1:26" ht="12.75" customHeight="1" x14ac:dyDescent="0.2">
      <c r="A8671" s="258"/>
      <c r="Z8671" s="258"/>
    </row>
    <row r="8672" spans="1:26" ht="12.75" customHeight="1" x14ac:dyDescent="0.2">
      <c r="A8672" s="258"/>
      <c r="Z8672" s="258"/>
    </row>
    <row r="8673" spans="1:26" ht="12.75" customHeight="1" x14ac:dyDescent="0.2">
      <c r="A8673" s="258"/>
      <c r="Z8673" s="258"/>
    </row>
    <row r="8674" spans="1:26" ht="12.75" customHeight="1" x14ac:dyDescent="0.2">
      <c r="A8674" s="258"/>
      <c r="Z8674" s="258"/>
    </row>
    <row r="8675" spans="1:26" ht="12.75" customHeight="1" x14ac:dyDescent="0.2">
      <c r="A8675" s="258"/>
      <c r="Z8675" s="258"/>
    </row>
    <row r="8676" spans="1:26" ht="12.75" customHeight="1" x14ac:dyDescent="0.2">
      <c r="A8676" s="258"/>
      <c r="Z8676" s="258"/>
    </row>
    <row r="8677" spans="1:26" ht="12.75" customHeight="1" x14ac:dyDescent="0.2">
      <c r="A8677" s="258"/>
      <c r="Z8677" s="258"/>
    </row>
    <row r="8678" spans="1:26" ht="12.75" customHeight="1" x14ac:dyDescent="0.2">
      <c r="A8678" s="258"/>
      <c r="Z8678" s="258"/>
    </row>
    <row r="8679" spans="1:26" ht="12.75" customHeight="1" x14ac:dyDescent="0.2">
      <c r="A8679" s="258"/>
      <c r="Z8679" s="258"/>
    </row>
    <row r="8680" spans="1:26" ht="12.75" customHeight="1" x14ac:dyDescent="0.2">
      <c r="A8680" s="258"/>
      <c r="Z8680" s="258"/>
    </row>
    <row r="8681" spans="1:26" ht="12.75" customHeight="1" x14ac:dyDescent="0.2">
      <c r="A8681" s="258"/>
      <c r="Z8681" s="258"/>
    </row>
    <row r="8682" spans="1:26" ht="12.75" customHeight="1" x14ac:dyDescent="0.2">
      <c r="A8682" s="258"/>
      <c r="Z8682" s="258"/>
    </row>
    <row r="8683" spans="1:26" ht="12.75" customHeight="1" x14ac:dyDescent="0.2">
      <c r="A8683" s="258"/>
      <c r="Z8683" s="258"/>
    </row>
    <row r="8684" spans="1:26" ht="12.75" customHeight="1" x14ac:dyDescent="0.2">
      <c r="A8684" s="258"/>
      <c r="Z8684" s="258"/>
    </row>
    <row r="8685" spans="1:26" ht="12.75" customHeight="1" x14ac:dyDescent="0.2">
      <c r="A8685" s="258"/>
      <c r="Z8685" s="258"/>
    </row>
    <row r="8686" spans="1:26" ht="12.75" customHeight="1" x14ac:dyDescent="0.2">
      <c r="A8686" s="258"/>
      <c r="Z8686" s="258"/>
    </row>
    <row r="8687" spans="1:26" ht="12.75" customHeight="1" x14ac:dyDescent="0.2">
      <c r="A8687" s="258"/>
      <c r="Z8687" s="258"/>
    </row>
    <row r="8688" spans="1:26" ht="12.75" customHeight="1" x14ac:dyDescent="0.2">
      <c r="A8688" s="258"/>
      <c r="Z8688" s="258"/>
    </row>
    <row r="8689" spans="1:26" ht="12.75" customHeight="1" x14ac:dyDescent="0.2">
      <c r="A8689" s="258"/>
      <c r="Z8689" s="258"/>
    </row>
    <row r="8690" spans="1:26" ht="12.75" customHeight="1" x14ac:dyDescent="0.2">
      <c r="A8690" s="258"/>
      <c r="Z8690" s="258"/>
    </row>
    <row r="8691" spans="1:26" ht="12.75" customHeight="1" x14ac:dyDescent="0.2">
      <c r="A8691" s="258"/>
      <c r="Z8691" s="258"/>
    </row>
    <row r="8692" spans="1:26" ht="12.75" customHeight="1" x14ac:dyDescent="0.2">
      <c r="A8692" s="258"/>
      <c r="Z8692" s="258"/>
    </row>
    <row r="8693" spans="1:26" ht="12.75" customHeight="1" x14ac:dyDescent="0.2">
      <c r="A8693" s="258"/>
      <c r="Z8693" s="258"/>
    </row>
    <row r="8694" spans="1:26" ht="12.75" customHeight="1" x14ac:dyDescent="0.2">
      <c r="A8694" s="258"/>
      <c r="Z8694" s="258"/>
    </row>
    <row r="8695" spans="1:26" ht="12.75" customHeight="1" x14ac:dyDescent="0.2">
      <c r="A8695" s="258"/>
      <c r="Z8695" s="258"/>
    </row>
    <row r="8696" spans="1:26" ht="12.75" customHeight="1" x14ac:dyDescent="0.2">
      <c r="A8696" s="258"/>
      <c r="Z8696" s="258"/>
    </row>
    <row r="8697" spans="1:26" ht="12.75" customHeight="1" x14ac:dyDescent="0.2">
      <c r="A8697" s="258"/>
      <c r="Z8697" s="258"/>
    </row>
    <row r="8698" spans="1:26" ht="12.75" customHeight="1" x14ac:dyDescent="0.2">
      <c r="A8698" s="258"/>
      <c r="Z8698" s="258"/>
    </row>
    <row r="8699" spans="1:26" ht="12.75" customHeight="1" x14ac:dyDescent="0.2">
      <c r="A8699" s="258"/>
      <c r="Z8699" s="258"/>
    </row>
    <row r="8700" spans="1:26" ht="12.75" customHeight="1" x14ac:dyDescent="0.2">
      <c r="A8700" s="258"/>
      <c r="Z8700" s="258"/>
    </row>
    <row r="8701" spans="1:26" ht="12.75" customHeight="1" x14ac:dyDescent="0.2">
      <c r="A8701" s="258"/>
      <c r="Z8701" s="258"/>
    </row>
    <row r="8702" spans="1:26" ht="12.75" customHeight="1" x14ac:dyDescent="0.2">
      <c r="A8702" s="258"/>
      <c r="Z8702" s="258"/>
    </row>
    <row r="8703" spans="1:26" ht="12.75" customHeight="1" x14ac:dyDescent="0.2">
      <c r="A8703" s="258"/>
      <c r="Z8703" s="258"/>
    </row>
    <row r="8704" spans="1:26" ht="12.75" customHeight="1" x14ac:dyDescent="0.2">
      <c r="A8704" s="258"/>
      <c r="Z8704" s="258"/>
    </row>
    <row r="8705" spans="1:26" ht="12.75" customHeight="1" x14ac:dyDescent="0.2">
      <c r="A8705" s="258"/>
      <c r="Z8705" s="258"/>
    </row>
    <row r="8706" spans="1:26" ht="12.75" customHeight="1" x14ac:dyDescent="0.2">
      <c r="A8706" s="258"/>
      <c r="Z8706" s="258"/>
    </row>
    <row r="8707" spans="1:26" ht="12.75" customHeight="1" x14ac:dyDescent="0.2">
      <c r="A8707" s="258"/>
      <c r="Z8707" s="258"/>
    </row>
    <row r="8708" spans="1:26" ht="12.75" customHeight="1" x14ac:dyDescent="0.2">
      <c r="A8708" s="258"/>
      <c r="Z8708" s="258"/>
    </row>
    <row r="8709" spans="1:26" ht="12.75" customHeight="1" x14ac:dyDescent="0.2">
      <c r="A8709" s="258"/>
      <c r="Z8709" s="258"/>
    </row>
    <row r="8710" spans="1:26" ht="12.75" customHeight="1" x14ac:dyDescent="0.2">
      <c r="A8710" s="258"/>
      <c r="Z8710" s="258"/>
    </row>
    <row r="8711" spans="1:26" ht="12.75" customHeight="1" x14ac:dyDescent="0.2">
      <c r="A8711" s="258"/>
      <c r="Z8711" s="258"/>
    </row>
    <row r="8712" spans="1:26" ht="12.75" customHeight="1" x14ac:dyDescent="0.2">
      <c r="A8712" s="258"/>
      <c r="Z8712" s="258"/>
    </row>
    <row r="8713" spans="1:26" ht="12.75" customHeight="1" x14ac:dyDescent="0.2">
      <c r="A8713" s="258"/>
      <c r="Z8713" s="258"/>
    </row>
    <row r="8714" spans="1:26" ht="12.75" customHeight="1" x14ac:dyDescent="0.2">
      <c r="A8714" s="258"/>
      <c r="Z8714" s="258"/>
    </row>
    <row r="8715" spans="1:26" ht="12.75" customHeight="1" x14ac:dyDescent="0.2">
      <c r="A8715" s="258"/>
      <c r="Z8715" s="258"/>
    </row>
    <row r="8716" spans="1:26" ht="12.75" customHeight="1" x14ac:dyDescent="0.2">
      <c r="A8716" s="258"/>
      <c r="Z8716" s="258"/>
    </row>
    <row r="8717" spans="1:26" ht="12.75" customHeight="1" x14ac:dyDescent="0.2">
      <c r="A8717" s="258"/>
      <c r="Z8717" s="258"/>
    </row>
    <row r="8718" spans="1:26" ht="12.75" customHeight="1" x14ac:dyDescent="0.2">
      <c r="A8718" s="258"/>
      <c r="Z8718" s="258"/>
    </row>
    <row r="8719" spans="1:26" ht="12.75" customHeight="1" x14ac:dyDescent="0.2">
      <c r="A8719" s="258"/>
      <c r="Z8719" s="258"/>
    </row>
    <row r="8720" spans="1:26" ht="12.75" customHeight="1" x14ac:dyDescent="0.2">
      <c r="A8720" s="258"/>
      <c r="Z8720" s="258"/>
    </row>
    <row r="8721" spans="1:26" ht="12.75" customHeight="1" x14ac:dyDescent="0.2">
      <c r="A8721" s="258"/>
      <c r="Z8721" s="258"/>
    </row>
    <row r="8722" spans="1:26" ht="12.75" customHeight="1" x14ac:dyDescent="0.2">
      <c r="A8722" s="258"/>
      <c r="Z8722" s="258"/>
    </row>
    <row r="8723" spans="1:26" ht="12.75" customHeight="1" x14ac:dyDescent="0.2">
      <c r="A8723" s="258"/>
      <c r="Z8723" s="258"/>
    </row>
    <row r="8724" spans="1:26" ht="12.75" customHeight="1" x14ac:dyDescent="0.2">
      <c r="A8724" s="258"/>
      <c r="Z8724" s="258"/>
    </row>
    <row r="8725" spans="1:26" ht="12.75" customHeight="1" x14ac:dyDescent="0.2">
      <c r="A8725" s="258"/>
      <c r="Z8725" s="258"/>
    </row>
    <row r="8726" spans="1:26" ht="12.75" customHeight="1" x14ac:dyDescent="0.2">
      <c r="A8726" s="258"/>
      <c r="Z8726" s="258"/>
    </row>
    <row r="8727" spans="1:26" ht="12.75" customHeight="1" x14ac:dyDescent="0.2">
      <c r="A8727" s="258"/>
      <c r="Z8727" s="258"/>
    </row>
    <row r="8728" spans="1:26" ht="12.75" customHeight="1" x14ac:dyDescent="0.2">
      <c r="A8728" s="258"/>
      <c r="Z8728" s="258"/>
    </row>
    <row r="8729" spans="1:26" ht="12.75" customHeight="1" x14ac:dyDescent="0.2">
      <c r="A8729" s="258"/>
      <c r="Z8729" s="258"/>
    </row>
    <row r="8730" spans="1:26" ht="12.75" customHeight="1" x14ac:dyDescent="0.2">
      <c r="A8730" s="258"/>
      <c r="Z8730" s="258"/>
    </row>
    <row r="8731" spans="1:26" ht="12.75" customHeight="1" x14ac:dyDescent="0.2">
      <c r="A8731" s="258"/>
      <c r="Z8731" s="258"/>
    </row>
    <row r="8732" spans="1:26" ht="12.75" customHeight="1" x14ac:dyDescent="0.2">
      <c r="A8732" s="258"/>
      <c r="Z8732" s="258"/>
    </row>
    <row r="8733" spans="1:26" ht="12.75" customHeight="1" x14ac:dyDescent="0.2">
      <c r="A8733" s="258"/>
      <c r="Z8733" s="258"/>
    </row>
    <row r="8734" spans="1:26" ht="12.75" customHeight="1" x14ac:dyDescent="0.2">
      <c r="A8734" s="258"/>
      <c r="Z8734" s="258"/>
    </row>
    <row r="8735" spans="1:26" ht="12.75" customHeight="1" x14ac:dyDescent="0.2">
      <c r="A8735" s="258"/>
      <c r="Z8735" s="258"/>
    </row>
    <row r="8736" spans="1:26" ht="12.75" customHeight="1" x14ac:dyDescent="0.2">
      <c r="A8736" s="258"/>
      <c r="Z8736" s="258"/>
    </row>
    <row r="8737" spans="1:26" ht="12.75" customHeight="1" x14ac:dyDescent="0.2">
      <c r="A8737" s="258"/>
      <c r="Z8737" s="258"/>
    </row>
    <row r="8738" spans="1:26" ht="12.75" customHeight="1" x14ac:dyDescent="0.2">
      <c r="A8738" s="258"/>
      <c r="Z8738" s="258"/>
    </row>
    <row r="8739" spans="1:26" ht="12.75" customHeight="1" x14ac:dyDescent="0.2">
      <c r="A8739" s="258"/>
      <c r="Z8739" s="258"/>
    </row>
    <row r="8740" spans="1:26" ht="12.75" customHeight="1" x14ac:dyDescent="0.2">
      <c r="A8740" s="258"/>
      <c r="Z8740" s="258"/>
    </row>
    <row r="8741" spans="1:26" ht="12.75" customHeight="1" x14ac:dyDescent="0.2">
      <c r="A8741" s="258"/>
      <c r="Z8741" s="258"/>
    </row>
    <row r="8742" spans="1:26" ht="12.75" customHeight="1" x14ac:dyDescent="0.2">
      <c r="A8742" s="258"/>
      <c r="Z8742" s="258"/>
    </row>
    <row r="8743" spans="1:26" ht="12.75" customHeight="1" x14ac:dyDescent="0.2">
      <c r="A8743" s="258"/>
      <c r="Z8743" s="258"/>
    </row>
    <row r="8744" spans="1:26" ht="12.75" customHeight="1" x14ac:dyDescent="0.2">
      <c r="A8744" s="258"/>
      <c r="Z8744" s="258"/>
    </row>
    <row r="8745" spans="1:26" ht="12.75" customHeight="1" x14ac:dyDescent="0.2">
      <c r="A8745" s="258"/>
      <c r="Z8745" s="258"/>
    </row>
    <row r="8746" spans="1:26" ht="12.75" customHeight="1" x14ac:dyDescent="0.2">
      <c r="A8746" s="258"/>
      <c r="Z8746" s="258"/>
    </row>
    <row r="8747" spans="1:26" ht="12.75" customHeight="1" x14ac:dyDescent="0.2">
      <c r="A8747" s="258"/>
      <c r="Z8747" s="258"/>
    </row>
    <row r="8748" spans="1:26" ht="12.75" customHeight="1" x14ac:dyDescent="0.2">
      <c r="A8748" s="258"/>
      <c r="Z8748" s="258"/>
    </row>
    <row r="8749" spans="1:26" ht="12.75" customHeight="1" x14ac:dyDescent="0.2">
      <c r="A8749" s="258"/>
      <c r="Z8749" s="258"/>
    </row>
    <row r="8750" spans="1:26" ht="12.75" customHeight="1" x14ac:dyDescent="0.2">
      <c r="A8750" s="258"/>
      <c r="Z8750" s="258"/>
    </row>
    <row r="8751" spans="1:26" ht="12.75" customHeight="1" x14ac:dyDescent="0.2">
      <c r="A8751" s="258"/>
      <c r="Z8751" s="258"/>
    </row>
    <row r="8752" spans="1:26" ht="12.75" customHeight="1" x14ac:dyDescent="0.2">
      <c r="A8752" s="258"/>
      <c r="Z8752" s="258"/>
    </row>
    <row r="8753" spans="1:26" ht="12.75" customHeight="1" x14ac:dyDescent="0.2">
      <c r="A8753" s="258"/>
      <c r="Z8753" s="258"/>
    </row>
    <row r="8754" spans="1:26" ht="12.75" customHeight="1" x14ac:dyDescent="0.2">
      <c r="A8754" s="258"/>
      <c r="Z8754" s="258"/>
    </row>
    <row r="8755" spans="1:26" ht="12.75" customHeight="1" x14ac:dyDescent="0.2">
      <c r="A8755" s="258"/>
      <c r="Z8755" s="258"/>
    </row>
    <row r="8756" spans="1:26" ht="12.75" customHeight="1" x14ac:dyDescent="0.2">
      <c r="A8756" s="258"/>
      <c r="Z8756" s="258"/>
    </row>
    <row r="8757" spans="1:26" ht="12.75" customHeight="1" x14ac:dyDescent="0.2">
      <c r="A8757" s="258"/>
      <c r="Z8757" s="258"/>
    </row>
    <row r="8758" spans="1:26" ht="12.75" customHeight="1" x14ac:dyDescent="0.2">
      <c r="A8758" s="258"/>
      <c r="Z8758" s="258"/>
    </row>
    <row r="8759" spans="1:26" ht="12.75" customHeight="1" x14ac:dyDescent="0.2">
      <c r="A8759" s="258"/>
      <c r="Z8759" s="258"/>
    </row>
    <row r="8760" spans="1:26" ht="12.75" customHeight="1" x14ac:dyDescent="0.2">
      <c r="A8760" s="258"/>
      <c r="Z8760" s="258"/>
    </row>
    <row r="8761" spans="1:26" ht="12.75" customHeight="1" x14ac:dyDescent="0.2">
      <c r="A8761" s="258"/>
      <c r="Z8761" s="258"/>
    </row>
    <row r="8762" spans="1:26" ht="12.75" customHeight="1" x14ac:dyDescent="0.2">
      <c r="A8762" s="258"/>
      <c r="Z8762" s="258"/>
    </row>
    <row r="8763" spans="1:26" ht="12.75" customHeight="1" x14ac:dyDescent="0.2">
      <c r="A8763" s="258"/>
      <c r="Z8763" s="258"/>
    </row>
    <row r="8764" spans="1:26" ht="12.75" customHeight="1" x14ac:dyDescent="0.2">
      <c r="A8764" s="258"/>
      <c r="Z8764" s="258"/>
    </row>
    <row r="8765" spans="1:26" ht="12.75" customHeight="1" x14ac:dyDescent="0.2">
      <c r="A8765" s="258"/>
      <c r="Z8765" s="258"/>
    </row>
    <row r="8766" spans="1:26" ht="12.75" customHeight="1" x14ac:dyDescent="0.2">
      <c r="A8766" s="258"/>
      <c r="Z8766" s="258"/>
    </row>
    <row r="8767" spans="1:26" ht="12.75" customHeight="1" x14ac:dyDescent="0.2">
      <c r="A8767" s="258"/>
      <c r="Z8767" s="258"/>
    </row>
    <row r="8768" spans="1:26" ht="12.75" customHeight="1" x14ac:dyDescent="0.2">
      <c r="A8768" s="258"/>
      <c r="Z8768" s="258"/>
    </row>
    <row r="8769" spans="1:26" ht="12.75" customHeight="1" x14ac:dyDescent="0.2">
      <c r="A8769" s="258"/>
      <c r="Z8769" s="258"/>
    </row>
    <row r="8770" spans="1:26" ht="12.75" customHeight="1" x14ac:dyDescent="0.2">
      <c r="A8770" s="258"/>
      <c r="Z8770" s="258"/>
    </row>
    <row r="8771" spans="1:26" ht="12.75" customHeight="1" x14ac:dyDescent="0.2">
      <c r="A8771" s="258"/>
      <c r="Z8771" s="258"/>
    </row>
    <row r="8772" spans="1:26" ht="12.75" customHeight="1" x14ac:dyDescent="0.2">
      <c r="A8772" s="258"/>
      <c r="Z8772" s="258"/>
    </row>
    <row r="8773" spans="1:26" ht="12.75" customHeight="1" x14ac:dyDescent="0.2">
      <c r="A8773" s="258"/>
      <c r="Z8773" s="258"/>
    </row>
    <row r="8774" spans="1:26" ht="12.75" customHeight="1" x14ac:dyDescent="0.2">
      <c r="A8774" s="258"/>
      <c r="Z8774" s="258"/>
    </row>
    <row r="8775" spans="1:26" ht="12.75" customHeight="1" x14ac:dyDescent="0.2">
      <c r="A8775" s="258"/>
      <c r="Z8775" s="258"/>
    </row>
    <row r="8776" spans="1:26" ht="12.75" customHeight="1" x14ac:dyDescent="0.2">
      <c r="A8776" s="258"/>
      <c r="Z8776" s="258"/>
    </row>
    <row r="8777" spans="1:26" ht="12.75" customHeight="1" x14ac:dyDescent="0.2">
      <c r="A8777" s="258"/>
      <c r="Z8777" s="258"/>
    </row>
    <row r="8778" spans="1:26" ht="12.75" customHeight="1" x14ac:dyDescent="0.2">
      <c r="A8778" s="258"/>
      <c r="Z8778" s="258"/>
    </row>
    <row r="8779" spans="1:26" ht="12.75" customHeight="1" x14ac:dyDescent="0.2">
      <c r="A8779" s="258"/>
      <c r="Z8779" s="258"/>
    </row>
    <row r="8780" spans="1:26" ht="12.75" customHeight="1" x14ac:dyDescent="0.2">
      <c r="A8780" s="258"/>
      <c r="Z8780" s="258"/>
    </row>
    <row r="8781" spans="1:26" ht="12.75" customHeight="1" x14ac:dyDescent="0.2">
      <c r="A8781" s="258"/>
      <c r="Z8781" s="258"/>
    </row>
    <row r="8782" spans="1:26" ht="12.75" customHeight="1" x14ac:dyDescent="0.2">
      <c r="A8782" s="258"/>
      <c r="Z8782" s="258"/>
    </row>
    <row r="8783" spans="1:26" ht="12.75" customHeight="1" x14ac:dyDescent="0.2">
      <c r="A8783" s="258"/>
      <c r="Z8783" s="258"/>
    </row>
    <row r="8784" spans="1:26" ht="12.75" customHeight="1" x14ac:dyDescent="0.2">
      <c r="A8784" s="258"/>
      <c r="Z8784" s="258"/>
    </row>
    <row r="8785" spans="1:26" ht="12.75" customHeight="1" x14ac:dyDescent="0.2">
      <c r="A8785" s="258"/>
      <c r="Z8785" s="258"/>
    </row>
    <row r="8786" spans="1:26" ht="12.75" customHeight="1" x14ac:dyDescent="0.2">
      <c r="A8786" s="258"/>
      <c r="Z8786" s="258"/>
    </row>
    <row r="8787" spans="1:26" ht="12.75" customHeight="1" x14ac:dyDescent="0.2">
      <c r="A8787" s="258"/>
      <c r="Z8787" s="258"/>
    </row>
    <row r="8788" spans="1:26" ht="12.75" customHeight="1" x14ac:dyDescent="0.2">
      <c r="A8788" s="258"/>
      <c r="Z8788" s="258"/>
    </row>
    <row r="8789" spans="1:26" ht="12.75" customHeight="1" x14ac:dyDescent="0.2">
      <c r="A8789" s="258"/>
      <c r="Z8789" s="258"/>
    </row>
    <row r="8790" spans="1:26" ht="12.75" customHeight="1" x14ac:dyDescent="0.2">
      <c r="A8790" s="258"/>
      <c r="Z8790" s="258"/>
    </row>
    <row r="8791" spans="1:26" ht="12.75" customHeight="1" x14ac:dyDescent="0.2">
      <c r="A8791" s="258"/>
      <c r="Z8791" s="258"/>
    </row>
    <row r="8792" spans="1:26" ht="12.75" customHeight="1" x14ac:dyDescent="0.2">
      <c r="A8792" s="258"/>
      <c r="Z8792" s="258"/>
    </row>
    <row r="8793" spans="1:26" ht="12.75" customHeight="1" x14ac:dyDescent="0.2">
      <c r="A8793" s="258"/>
      <c r="Z8793" s="258"/>
    </row>
    <row r="8794" spans="1:26" ht="12.75" customHeight="1" x14ac:dyDescent="0.2">
      <c r="A8794" s="258"/>
      <c r="Z8794" s="258"/>
    </row>
    <row r="8795" spans="1:26" ht="12.75" customHeight="1" x14ac:dyDescent="0.2">
      <c r="A8795" s="258"/>
      <c r="Z8795" s="258"/>
    </row>
    <row r="8796" spans="1:26" ht="12.75" customHeight="1" x14ac:dyDescent="0.2">
      <c r="A8796" s="258"/>
      <c r="Z8796" s="258"/>
    </row>
    <row r="8797" spans="1:26" ht="12.75" customHeight="1" x14ac:dyDescent="0.2">
      <c r="A8797" s="258"/>
      <c r="Z8797" s="258"/>
    </row>
    <row r="8798" spans="1:26" ht="12.75" customHeight="1" x14ac:dyDescent="0.2">
      <c r="A8798" s="258"/>
      <c r="Z8798" s="258"/>
    </row>
    <row r="8799" spans="1:26" ht="12.75" customHeight="1" x14ac:dyDescent="0.2">
      <c r="A8799" s="258"/>
      <c r="Z8799" s="258"/>
    </row>
    <row r="8800" spans="1:26" ht="12.75" customHeight="1" x14ac:dyDescent="0.2">
      <c r="A8800" s="258"/>
      <c r="Z8800" s="258"/>
    </row>
    <row r="8801" spans="1:26" ht="12.75" customHeight="1" x14ac:dyDescent="0.2">
      <c r="A8801" s="258"/>
      <c r="Z8801" s="258"/>
    </row>
    <row r="8802" spans="1:26" ht="12.75" customHeight="1" x14ac:dyDescent="0.2">
      <c r="A8802" s="258"/>
      <c r="Z8802" s="258"/>
    </row>
    <row r="8803" spans="1:26" ht="12.75" customHeight="1" x14ac:dyDescent="0.2">
      <c r="A8803" s="258"/>
      <c r="Z8803" s="258"/>
    </row>
    <row r="8804" spans="1:26" ht="12.75" customHeight="1" x14ac:dyDescent="0.2">
      <c r="A8804" s="258"/>
      <c r="Z8804" s="258"/>
    </row>
    <row r="8805" spans="1:26" ht="12.75" customHeight="1" x14ac:dyDescent="0.2">
      <c r="A8805" s="258"/>
      <c r="Z8805" s="258"/>
    </row>
    <row r="8806" spans="1:26" ht="12.75" customHeight="1" x14ac:dyDescent="0.2">
      <c r="A8806" s="258"/>
      <c r="Z8806" s="258"/>
    </row>
    <row r="8807" spans="1:26" ht="12.75" customHeight="1" x14ac:dyDescent="0.2">
      <c r="A8807" s="258"/>
      <c r="Z8807" s="258"/>
    </row>
    <row r="8808" spans="1:26" ht="12.75" customHeight="1" x14ac:dyDescent="0.2">
      <c r="A8808" s="258"/>
      <c r="Z8808" s="258"/>
    </row>
    <row r="8809" spans="1:26" ht="12.75" customHeight="1" x14ac:dyDescent="0.2">
      <c r="A8809" s="258"/>
      <c r="Z8809" s="258"/>
    </row>
    <row r="8810" spans="1:26" ht="12.75" customHeight="1" x14ac:dyDescent="0.2">
      <c r="A8810" s="258"/>
      <c r="Z8810" s="258"/>
    </row>
    <row r="8811" spans="1:26" ht="12.75" customHeight="1" x14ac:dyDescent="0.2">
      <c r="A8811" s="258"/>
      <c r="Z8811" s="258"/>
    </row>
    <row r="8812" spans="1:26" ht="12.75" customHeight="1" x14ac:dyDescent="0.2">
      <c r="A8812" s="258"/>
      <c r="Z8812" s="258"/>
    </row>
    <row r="8813" spans="1:26" ht="12.75" customHeight="1" x14ac:dyDescent="0.2">
      <c r="A8813" s="258"/>
      <c r="Z8813" s="258"/>
    </row>
    <row r="8814" spans="1:26" ht="12.75" customHeight="1" x14ac:dyDescent="0.2">
      <c r="A8814" s="258"/>
      <c r="Z8814" s="258"/>
    </row>
    <row r="8815" spans="1:26" ht="12.75" customHeight="1" x14ac:dyDescent="0.2">
      <c r="A8815" s="258"/>
      <c r="Z8815" s="258"/>
    </row>
    <row r="8816" spans="1:26" ht="12.75" customHeight="1" x14ac:dyDescent="0.2">
      <c r="A8816" s="258"/>
      <c r="Z8816" s="258"/>
    </row>
    <row r="8817" spans="1:26" ht="12.75" customHeight="1" x14ac:dyDescent="0.2">
      <c r="A8817" s="258"/>
      <c r="Z8817" s="258"/>
    </row>
    <row r="8818" spans="1:26" ht="12.75" customHeight="1" x14ac:dyDescent="0.2">
      <c r="A8818" s="258"/>
      <c r="Z8818" s="258"/>
    </row>
    <row r="8819" spans="1:26" ht="12.75" customHeight="1" x14ac:dyDescent="0.2">
      <c r="A8819" s="258"/>
      <c r="Z8819" s="258"/>
    </row>
    <row r="8820" spans="1:26" ht="12.75" customHeight="1" x14ac:dyDescent="0.2">
      <c r="A8820" s="258"/>
      <c r="Z8820" s="258"/>
    </row>
    <row r="8821" spans="1:26" ht="12.75" customHeight="1" x14ac:dyDescent="0.2">
      <c r="A8821" s="258"/>
      <c r="Z8821" s="258"/>
    </row>
    <row r="8822" spans="1:26" ht="12.75" customHeight="1" x14ac:dyDescent="0.2">
      <c r="A8822" s="258"/>
      <c r="Z8822" s="258"/>
    </row>
    <row r="8823" spans="1:26" ht="12.75" customHeight="1" x14ac:dyDescent="0.2">
      <c r="A8823" s="258"/>
      <c r="Z8823" s="258"/>
    </row>
    <row r="8824" spans="1:26" ht="12.75" customHeight="1" x14ac:dyDescent="0.2">
      <c r="A8824" s="258"/>
      <c r="Z8824" s="258"/>
    </row>
    <row r="8825" spans="1:26" ht="12.75" customHeight="1" x14ac:dyDescent="0.2">
      <c r="A8825" s="258"/>
      <c r="Z8825" s="258"/>
    </row>
    <row r="8826" spans="1:26" ht="12.75" customHeight="1" x14ac:dyDescent="0.2">
      <c r="A8826" s="258"/>
      <c r="Z8826" s="258"/>
    </row>
    <row r="8827" spans="1:26" ht="12.75" customHeight="1" x14ac:dyDescent="0.2">
      <c r="A8827" s="258"/>
      <c r="Z8827" s="258"/>
    </row>
    <row r="8828" spans="1:26" ht="12.75" customHeight="1" x14ac:dyDescent="0.2">
      <c r="A8828" s="258"/>
      <c r="Z8828" s="258"/>
    </row>
    <row r="8829" spans="1:26" ht="12.75" customHeight="1" x14ac:dyDescent="0.2">
      <c r="A8829" s="258"/>
      <c r="Z8829" s="258"/>
    </row>
    <row r="8830" spans="1:26" ht="12.75" customHeight="1" x14ac:dyDescent="0.2">
      <c r="A8830" s="258"/>
      <c r="Z8830" s="258"/>
    </row>
    <row r="8831" spans="1:26" ht="12.75" customHeight="1" x14ac:dyDescent="0.2">
      <c r="A8831" s="258"/>
      <c r="Z8831" s="258"/>
    </row>
    <row r="8832" spans="1:26" ht="12.75" customHeight="1" x14ac:dyDescent="0.2">
      <c r="A8832" s="258"/>
      <c r="Z8832" s="258"/>
    </row>
    <row r="8833" spans="1:26" ht="12.75" customHeight="1" x14ac:dyDescent="0.2">
      <c r="A8833" s="258"/>
      <c r="Z8833" s="258"/>
    </row>
    <row r="8834" spans="1:26" ht="12.75" customHeight="1" x14ac:dyDescent="0.2">
      <c r="A8834" s="258"/>
      <c r="Z8834" s="258"/>
    </row>
    <row r="8835" spans="1:26" ht="12.75" customHeight="1" x14ac:dyDescent="0.2">
      <c r="A8835" s="258"/>
      <c r="Z8835" s="258"/>
    </row>
    <row r="8836" spans="1:26" ht="12.75" customHeight="1" x14ac:dyDescent="0.2">
      <c r="A8836" s="258"/>
      <c r="Z8836" s="258"/>
    </row>
    <row r="8837" spans="1:26" ht="12.75" customHeight="1" x14ac:dyDescent="0.2">
      <c r="A8837" s="258"/>
      <c r="Z8837" s="258"/>
    </row>
    <row r="8838" spans="1:26" ht="12.75" customHeight="1" x14ac:dyDescent="0.2">
      <c r="A8838" s="258"/>
      <c r="Z8838" s="258"/>
    </row>
    <row r="8839" spans="1:26" ht="12.75" customHeight="1" x14ac:dyDescent="0.2">
      <c r="A8839" s="258"/>
      <c r="Z8839" s="258"/>
    </row>
    <row r="8840" spans="1:26" ht="12.75" customHeight="1" x14ac:dyDescent="0.2">
      <c r="A8840" s="258"/>
      <c r="Z8840" s="258"/>
    </row>
    <row r="8841" spans="1:26" ht="12.75" customHeight="1" x14ac:dyDescent="0.2">
      <c r="A8841" s="258"/>
      <c r="Z8841" s="258"/>
    </row>
    <row r="8842" spans="1:26" ht="12.75" customHeight="1" x14ac:dyDescent="0.2">
      <c r="A8842" s="258"/>
      <c r="Z8842" s="258"/>
    </row>
    <row r="8843" spans="1:26" ht="12.75" customHeight="1" x14ac:dyDescent="0.2">
      <c r="A8843" s="258"/>
      <c r="Z8843" s="258"/>
    </row>
    <row r="8844" spans="1:26" ht="12.75" customHeight="1" x14ac:dyDescent="0.2">
      <c r="A8844" s="258"/>
      <c r="Z8844" s="258"/>
    </row>
    <row r="8845" spans="1:26" ht="12.75" customHeight="1" x14ac:dyDescent="0.2">
      <c r="A8845" s="258"/>
      <c r="Z8845" s="258"/>
    </row>
    <row r="8846" spans="1:26" ht="12.75" customHeight="1" x14ac:dyDescent="0.2">
      <c r="A8846" s="258"/>
      <c r="Z8846" s="258"/>
    </row>
    <row r="8847" spans="1:26" ht="12.75" customHeight="1" x14ac:dyDescent="0.2">
      <c r="A8847" s="258"/>
      <c r="Z8847" s="258"/>
    </row>
    <row r="8848" spans="1:26" ht="12.75" customHeight="1" x14ac:dyDescent="0.2">
      <c r="A8848" s="258"/>
      <c r="Z8848" s="258"/>
    </row>
    <row r="8849" spans="1:26" ht="12.75" customHeight="1" x14ac:dyDescent="0.2">
      <c r="A8849" s="258"/>
      <c r="Z8849" s="258"/>
    </row>
    <row r="8850" spans="1:26" ht="12.75" customHeight="1" x14ac:dyDescent="0.2">
      <c r="A8850" s="258"/>
      <c r="Z8850" s="258"/>
    </row>
    <row r="8851" spans="1:26" ht="12.75" customHeight="1" x14ac:dyDescent="0.2">
      <c r="A8851" s="258"/>
      <c r="Z8851" s="258"/>
    </row>
    <row r="8852" spans="1:26" ht="12.75" customHeight="1" x14ac:dyDescent="0.2">
      <c r="A8852" s="258"/>
      <c r="Z8852" s="258"/>
    </row>
    <row r="8853" spans="1:26" ht="12.75" customHeight="1" x14ac:dyDescent="0.2">
      <c r="A8853" s="258"/>
      <c r="Z8853" s="258"/>
    </row>
    <row r="8854" spans="1:26" ht="12.75" customHeight="1" x14ac:dyDescent="0.2">
      <c r="A8854" s="258"/>
      <c r="Z8854" s="258"/>
    </row>
    <row r="8855" spans="1:26" ht="12.75" customHeight="1" x14ac:dyDescent="0.2">
      <c r="A8855" s="258"/>
      <c r="Z8855" s="258"/>
    </row>
    <row r="8856" spans="1:26" ht="12.75" customHeight="1" x14ac:dyDescent="0.2">
      <c r="A8856" s="258"/>
      <c r="Z8856" s="258"/>
    </row>
    <row r="8857" spans="1:26" ht="12.75" customHeight="1" x14ac:dyDescent="0.2">
      <c r="A8857" s="258"/>
      <c r="Z8857" s="258"/>
    </row>
    <row r="8858" spans="1:26" ht="12.75" customHeight="1" x14ac:dyDescent="0.2">
      <c r="A8858" s="258"/>
      <c r="Z8858" s="258"/>
    </row>
    <row r="8859" spans="1:26" ht="12.75" customHeight="1" x14ac:dyDescent="0.2">
      <c r="A8859" s="258"/>
      <c r="Z8859" s="258"/>
    </row>
    <row r="8860" spans="1:26" ht="12.75" customHeight="1" x14ac:dyDescent="0.2">
      <c r="A8860" s="258"/>
      <c r="Z8860" s="258"/>
    </row>
    <row r="8861" spans="1:26" ht="12.75" customHeight="1" x14ac:dyDescent="0.2">
      <c r="A8861" s="258"/>
      <c r="Z8861" s="258"/>
    </row>
    <row r="8862" spans="1:26" ht="12.75" customHeight="1" x14ac:dyDescent="0.2">
      <c r="A8862" s="258"/>
      <c r="Z8862" s="258"/>
    </row>
    <row r="8863" spans="1:26" ht="12.75" customHeight="1" x14ac:dyDescent="0.2">
      <c r="A8863" s="258"/>
      <c r="Z8863" s="258"/>
    </row>
    <row r="8864" spans="1:26" ht="12.75" customHeight="1" x14ac:dyDescent="0.2">
      <c r="A8864" s="258"/>
      <c r="Z8864" s="258"/>
    </row>
    <row r="8865" spans="1:26" ht="12.75" customHeight="1" x14ac:dyDescent="0.2">
      <c r="A8865" s="258"/>
      <c r="Z8865" s="258"/>
    </row>
    <row r="8866" spans="1:26" ht="12.75" customHeight="1" x14ac:dyDescent="0.2">
      <c r="A8866" s="258"/>
      <c r="Z8866" s="258"/>
    </row>
    <row r="8867" spans="1:26" ht="12.75" customHeight="1" x14ac:dyDescent="0.2">
      <c r="A8867" s="258"/>
      <c r="Z8867" s="258"/>
    </row>
    <row r="8868" spans="1:26" ht="12.75" customHeight="1" x14ac:dyDescent="0.2">
      <c r="A8868" s="258"/>
      <c r="Z8868" s="258"/>
    </row>
    <row r="8869" spans="1:26" ht="12.75" customHeight="1" x14ac:dyDescent="0.2">
      <c r="A8869" s="258"/>
      <c r="Z8869" s="258"/>
    </row>
    <row r="8870" spans="1:26" ht="12.75" customHeight="1" x14ac:dyDescent="0.2">
      <c r="A8870" s="258"/>
      <c r="Z8870" s="258"/>
    </row>
    <row r="8871" spans="1:26" ht="12.75" customHeight="1" x14ac:dyDescent="0.2">
      <c r="A8871" s="258"/>
      <c r="Z8871" s="258"/>
    </row>
    <row r="8872" spans="1:26" ht="12.75" customHeight="1" x14ac:dyDescent="0.2">
      <c r="A8872" s="258"/>
      <c r="Z8872" s="258"/>
    </row>
    <row r="8873" spans="1:26" ht="12.75" customHeight="1" x14ac:dyDescent="0.2">
      <c r="A8873" s="258"/>
      <c r="Z8873" s="258"/>
    </row>
    <row r="8874" spans="1:26" ht="12.75" customHeight="1" x14ac:dyDescent="0.2">
      <c r="A8874" s="258"/>
      <c r="Z8874" s="258"/>
    </row>
    <row r="8875" spans="1:26" ht="12.75" customHeight="1" x14ac:dyDescent="0.2">
      <c r="A8875" s="258"/>
      <c r="Z8875" s="258"/>
    </row>
    <row r="8876" spans="1:26" ht="12.75" customHeight="1" x14ac:dyDescent="0.2">
      <c r="A8876" s="258"/>
      <c r="Z8876" s="258"/>
    </row>
    <row r="8877" spans="1:26" ht="12.75" customHeight="1" x14ac:dyDescent="0.2">
      <c r="A8877" s="258"/>
      <c r="Z8877" s="258"/>
    </row>
    <row r="8878" spans="1:26" ht="12.75" customHeight="1" x14ac:dyDescent="0.2">
      <c r="A8878" s="258"/>
      <c r="Z8878" s="258"/>
    </row>
    <row r="8879" spans="1:26" ht="12.75" customHeight="1" x14ac:dyDescent="0.2">
      <c r="A8879" s="258"/>
      <c r="Z8879" s="258"/>
    </row>
    <row r="8880" spans="1:26" ht="12.75" customHeight="1" x14ac:dyDescent="0.2">
      <c r="A8880" s="258"/>
      <c r="Z8880" s="258"/>
    </row>
    <row r="8881" spans="1:26" ht="12.75" customHeight="1" x14ac:dyDescent="0.2">
      <c r="A8881" s="258"/>
      <c r="Z8881" s="258"/>
    </row>
    <row r="8882" spans="1:26" ht="12.75" customHeight="1" x14ac:dyDescent="0.2">
      <c r="A8882" s="258"/>
      <c r="Z8882" s="258"/>
    </row>
    <row r="8883" spans="1:26" ht="12.75" customHeight="1" x14ac:dyDescent="0.2">
      <c r="A8883" s="258"/>
      <c r="Z8883" s="258"/>
    </row>
    <row r="8884" spans="1:26" ht="12.75" customHeight="1" x14ac:dyDescent="0.2">
      <c r="A8884" s="258"/>
      <c r="Z8884" s="258"/>
    </row>
    <row r="8885" spans="1:26" ht="12.75" customHeight="1" x14ac:dyDescent="0.2">
      <c r="A8885" s="258"/>
      <c r="Z8885" s="258"/>
    </row>
    <row r="8886" spans="1:26" ht="12.75" customHeight="1" x14ac:dyDescent="0.2">
      <c r="A8886" s="258"/>
      <c r="Z8886" s="258"/>
    </row>
    <row r="8887" spans="1:26" ht="12.75" customHeight="1" x14ac:dyDescent="0.2">
      <c r="A8887" s="258"/>
      <c r="Z8887" s="258"/>
    </row>
    <row r="8888" spans="1:26" ht="12.75" customHeight="1" x14ac:dyDescent="0.2">
      <c r="A8888" s="258"/>
      <c r="Z8888" s="258"/>
    </row>
    <row r="8889" spans="1:26" ht="12.75" customHeight="1" x14ac:dyDescent="0.2">
      <c r="A8889" s="258"/>
      <c r="Z8889" s="258"/>
    </row>
    <row r="8890" spans="1:26" ht="12.75" customHeight="1" x14ac:dyDescent="0.2">
      <c r="A8890" s="258"/>
      <c r="Z8890" s="258"/>
    </row>
    <row r="8891" spans="1:26" ht="12.75" customHeight="1" x14ac:dyDescent="0.2">
      <c r="A8891" s="258"/>
      <c r="Z8891" s="258"/>
    </row>
    <row r="8892" spans="1:26" ht="12.75" customHeight="1" x14ac:dyDescent="0.2">
      <c r="A8892" s="258"/>
      <c r="Z8892" s="258"/>
    </row>
    <row r="8893" spans="1:26" ht="12.75" customHeight="1" x14ac:dyDescent="0.2">
      <c r="A8893" s="258"/>
      <c r="Z8893" s="258"/>
    </row>
    <row r="8894" spans="1:26" ht="12.75" customHeight="1" x14ac:dyDescent="0.2">
      <c r="A8894" s="258"/>
      <c r="Z8894" s="258"/>
    </row>
    <row r="8895" spans="1:26" ht="12.75" customHeight="1" x14ac:dyDescent="0.2">
      <c r="A8895" s="258"/>
      <c r="Z8895" s="258"/>
    </row>
    <row r="8896" spans="1:26" ht="12.75" customHeight="1" x14ac:dyDescent="0.2">
      <c r="A8896" s="258"/>
      <c r="Z8896" s="258"/>
    </row>
    <row r="8897" spans="1:26" ht="12.75" customHeight="1" x14ac:dyDescent="0.2">
      <c r="A8897" s="258"/>
      <c r="Z8897" s="258"/>
    </row>
    <row r="8898" spans="1:26" ht="12.75" customHeight="1" x14ac:dyDescent="0.2">
      <c r="A8898" s="258"/>
      <c r="Z8898" s="258"/>
    </row>
    <row r="8899" spans="1:26" ht="12.75" customHeight="1" x14ac:dyDescent="0.2">
      <c r="A8899" s="258"/>
      <c r="Z8899" s="258"/>
    </row>
    <row r="8900" spans="1:26" ht="12.75" customHeight="1" x14ac:dyDescent="0.2">
      <c r="A8900" s="258"/>
      <c r="Z8900" s="258"/>
    </row>
    <row r="8901" spans="1:26" ht="12.75" customHeight="1" x14ac:dyDescent="0.2">
      <c r="A8901" s="258"/>
      <c r="Z8901" s="258"/>
    </row>
    <row r="8902" spans="1:26" ht="12.75" customHeight="1" x14ac:dyDescent="0.2">
      <c r="A8902" s="258"/>
      <c r="Z8902" s="258"/>
    </row>
    <row r="8903" spans="1:26" ht="12.75" customHeight="1" x14ac:dyDescent="0.2">
      <c r="A8903" s="258"/>
      <c r="Z8903" s="258"/>
    </row>
    <row r="8904" spans="1:26" ht="12.75" customHeight="1" x14ac:dyDescent="0.2">
      <c r="A8904" s="258"/>
      <c r="Z8904" s="258"/>
    </row>
    <row r="8905" spans="1:26" ht="12.75" customHeight="1" x14ac:dyDescent="0.2">
      <c r="A8905" s="258"/>
      <c r="Z8905" s="258"/>
    </row>
    <row r="8906" spans="1:26" ht="12.75" customHeight="1" x14ac:dyDescent="0.2">
      <c r="A8906" s="258"/>
      <c r="Z8906" s="258"/>
    </row>
    <row r="8907" spans="1:26" ht="12.75" customHeight="1" x14ac:dyDescent="0.2">
      <c r="A8907" s="258"/>
      <c r="Z8907" s="258"/>
    </row>
    <row r="8908" spans="1:26" ht="12.75" customHeight="1" x14ac:dyDescent="0.2">
      <c r="A8908" s="258"/>
      <c r="Z8908" s="258"/>
    </row>
    <row r="8909" spans="1:26" ht="12.75" customHeight="1" x14ac:dyDescent="0.2">
      <c r="A8909" s="258"/>
      <c r="Z8909" s="258"/>
    </row>
    <row r="8910" spans="1:26" ht="12.75" customHeight="1" x14ac:dyDescent="0.2">
      <c r="A8910" s="258"/>
      <c r="Z8910" s="258"/>
    </row>
    <row r="8911" spans="1:26" ht="12.75" customHeight="1" x14ac:dyDescent="0.2">
      <c r="A8911" s="258"/>
      <c r="Z8911" s="258"/>
    </row>
    <row r="8912" spans="1:26" ht="12.75" customHeight="1" x14ac:dyDescent="0.2">
      <c r="A8912" s="258"/>
      <c r="Z8912" s="258"/>
    </row>
    <row r="8913" spans="1:26" ht="12.75" customHeight="1" x14ac:dyDescent="0.2">
      <c r="A8913" s="258"/>
      <c r="Z8913" s="258"/>
    </row>
    <row r="8914" spans="1:26" ht="12.75" customHeight="1" x14ac:dyDescent="0.2">
      <c r="A8914" s="258"/>
      <c r="Z8914" s="258"/>
    </row>
    <row r="8915" spans="1:26" ht="12.75" customHeight="1" x14ac:dyDescent="0.2">
      <c r="A8915" s="258"/>
      <c r="Z8915" s="258"/>
    </row>
    <row r="8916" spans="1:26" ht="12.75" customHeight="1" x14ac:dyDescent="0.2">
      <c r="A8916" s="258"/>
      <c r="Z8916" s="258"/>
    </row>
    <row r="8917" spans="1:26" ht="12.75" customHeight="1" x14ac:dyDescent="0.2">
      <c r="A8917" s="258"/>
      <c r="Z8917" s="258"/>
    </row>
    <row r="8918" spans="1:26" ht="12.75" customHeight="1" x14ac:dyDescent="0.2">
      <c r="A8918" s="258"/>
      <c r="Z8918" s="258"/>
    </row>
    <row r="8919" spans="1:26" ht="12.75" customHeight="1" x14ac:dyDescent="0.2">
      <c r="A8919" s="258"/>
      <c r="Z8919" s="258"/>
    </row>
    <row r="8920" spans="1:26" ht="12.75" customHeight="1" x14ac:dyDescent="0.2">
      <c r="A8920" s="258"/>
      <c r="Z8920" s="258"/>
    </row>
    <row r="8921" spans="1:26" ht="12.75" customHeight="1" x14ac:dyDescent="0.2">
      <c r="A8921" s="258"/>
      <c r="Z8921" s="258"/>
    </row>
    <row r="8922" spans="1:26" ht="12.75" customHeight="1" x14ac:dyDescent="0.2">
      <c r="A8922" s="258"/>
      <c r="Z8922" s="258"/>
    </row>
    <row r="8923" spans="1:26" ht="12.75" customHeight="1" x14ac:dyDescent="0.2">
      <c r="A8923" s="258"/>
      <c r="Z8923" s="258"/>
    </row>
    <row r="8924" spans="1:26" ht="12.75" customHeight="1" x14ac:dyDescent="0.2">
      <c r="A8924" s="258"/>
      <c r="Z8924" s="258"/>
    </row>
    <row r="8925" spans="1:26" ht="12.75" customHeight="1" x14ac:dyDescent="0.2">
      <c r="A8925" s="258"/>
      <c r="Z8925" s="258"/>
    </row>
    <row r="8926" spans="1:26" ht="12.75" customHeight="1" x14ac:dyDescent="0.2">
      <c r="A8926" s="258"/>
      <c r="Z8926" s="258"/>
    </row>
    <row r="8927" spans="1:26" ht="12.75" customHeight="1" x14ac:dyDescent="0.2">
      <c r="A8927" s="258"/>
      <c r="Z8927" s="258"/>
    </row>
    <row r="8928" spans="1:26" ht="12.75" customHeight="1" x14ac:dyDescent="0.2">
      <c r="A8928" s="258"/>
      <c r="Z8928" s="258"/>
    </row>
    <row r="8929" spans="1:26" ht="12.75" customHeight="1" x14ac:dyDescent="0.2">
      <c r="A8929" s="258"/>
      <c r="Z8929" s="258"/>
    </row>
    <row r="8930" spans="1:26" ht="12.75" customHeight="1" x14ac:dyDescent="0.2">
      <c r="A8930" s="258"/>
      <c r="Z8930" s="258"/>
    </row>
    <row r="8931" spans="1:26" ht="12.75" customHeight="1" x14ac:dyDescent="0.2">
      <c r="A8931" s="258"/>
      <c r="Z8931" s="258"/>
    </row>
    <row r="8932" spans="1:26" ht="12.75" customHeight="1" x14ac:dyDescent="0.2">
      <c r="A8932" s="258"/>
      <c r="Z8932" s="258"/>
    </row>
    <row r="8933" spans="1:26" ht="12.75" customHeight="1" x14ac:dyDescent="0.2">
      <c r="A8933" s="258"/>
      <c r="Z8933" s="258"/>
    </row>
    <row r="8934" spans="1:26" ht="12.75" customHeight="1" x14ac:dyDescent="0.2">
      <c r="A8934" s="258"/>
      <c r="Z8934" s="258"/>
    </row>
    <row r="8935" spans="1:26" ht="12.75" customHeight="1" x14ac:dyDescent="0.2">
      <c r="A8935" s="258"/>
      <c r="Z8935" s="258"/>
    </row>
    <row r="8936" spans="1:26" ht="12.75" customHeight="1" x14ac:dyDescent="0.2">
      <c r="A8936" s="258"/>
      <c r="Z8936" s="258"/>
    </row>
    <row r="8937" spans="1:26" ht="12.75" customHeight="1" x14ac:dyDescent="0.2">
      <c r="A8937" s="258"/>
      <c r="Z8937" s="258"/>
    </row>
    <row r="8938" spans="1:26" ht="12.75" customHeight="1" x14ac:dyDescent="0.2">
      <c r="A8938" s="258"/>
      <c r="Z8938" s="258"/>
    </row>
    <row r="8939" spans="1:26" ht="12.75" customHeight="1" x14ac:dyDescent="0.2">
      <c r="A8939" s="258"/>
      <c r="Z8939" s="258"/>
    </row>
    <row r="8940" spans="1:26" ht="12.75" customHeight="1" x14ac:dyDescent="0.2">
      <c r="A8940" s="258"/>
      <c r="Z8940" s="258"/>
    </row>
    <row r="8941" spans="1:26" ht="12.75" customHeight="1" x14ac:dyDescent="0.2">
      <c r="A8941" s="258"/>
      <c r="Z8941" s="258"/>
    </row>
    <row r="8942" spans="1:26" ht="12.75" customHeight="1" x14ac:dyDescent="0.2">
      <c r="A8942" s="258"/>
      <c r="Z8942" s="258"/>
    </row>
    <row r="8943" spans="1:26" ht="12.75" customHeight="1" x14ac:dyDescent="0.2">
      <c r="A8943" s="258"/>
      <c r="Z8943" s="258"/>
    </row>
    <row r="8944" spans="1:26" ht="12.75" customHeight="1" x14ac:dyDescent="0.2">
      <c r="A8944" s="258"/>
      <c r="Z8944" s="258"/>
    </row>
    <row r="8945" spans="1:26" ht="12.75" customHeight="1" x14ac:dyDescent="0.2">
      <c r="A8945" s="258"/>
      <c r="Z8945" s="258"/>
    </row>
    <row r="8946" spans="1:26" ht="12.75" customHeight="1" x14ac:dyDescent="0.2">
      <c r="A8946" s="258"/>
      <c r="Z8946" s="258"/>
    </row>
    <row r="8947" spans="1:26" ht="12.75" customHeight="1" x14ac:dyDescent="0.2">
      <c r="A8947" s="258"/>
      <c r="Z8947" s="258"/>
    </row>
    <row r="8948" spans="1:26" ht="12.75" customHeight="1" x14ac:dyDescent="0.2">
      <c r="A8948" s="258"/>
      <c r="Z8948" s="258"/>
    </row>
    <row r="8949" spans="1:26" ht="12.75" customHeight="1" x14ac:dyDescent="0.2">
      <c r="A8949" s="258"/>
      <c r="Z8949" s="258"/>
    </row>
    <row r="8950" spans="1:26" ht="12.75" customHeight="1" x14ac:dyDescent="0.2">
      <c r="A8950" s="258"/>
      <c r="Z8950" s="258"/>
    </row>
    <row r="8951" spans="1:26" ht="12.75" customHeight="1" x14ac:dyDescent="0.2">
      <c r="A8951" s="258"/>
      <c r="Z8951" s="258"/>
    </row>
    <row r="8952" spans="1:26" ht="12.75" customHeight="1" x14ac:dyDescent="0.2">
      <c r="A8952" s="258"/>
      <c r="Z8952" s="258"/>
    </row>
    <row r="8953" spans="1:26" ht="12.75" customHeight="1" x14ac:dyDescent="0.2">
      <c r="A8953" s="258"/>
      <c r="Z8953" s="258"/>
    </row>
    <row r="8954" spans="1:26" ht="12.75" customHeight="1" x14ac:dyDescent="0.2">
      <c r="A8954" s="258"/>
      <c r="Z8954" s="258"/>
    </row>
    <row r="8955" spans="1:26" ht="12.75" customHeight="1" x14ac:dyDescent="0.2">
      <c r="A8955" s="258"/>
      <c r="Z8955" s="258"/>
    </row>
    <row r="8956" spans="1:26" ht="12.75" customHeight="1" x14ac:dyDescent="0.2">
      <c r="A8956" s="258"/>
      <c r="Z8956" s="258"/>
    </row>
    <row r="8957" spans="1:26" ht="12.75" customHeight="1" x14ac:dyDescent="0.2">
      <c r="A8957" s="258"/>
      <c r="Z8957" s="258"/>
    </row>
    <row r="8958" spans="1:26" ht="12.75" customHeight="1" x14ac:dyDescent="0.2">
      <c r="A8958" s="258"/>
      <c r="Z8958" s="258"/>
    </row>
    <row r="8959" spans="1:26" ht="12.75" customHeight="1" x14ac:dyDescent="0.2">
      <c r="A8959" s="258"/>
      <c r="Z8959" s="258"/>
    </row>
    <row r="8960" spans="1:26" ht="12.75" customHeight="1" x14ac:dyDescent="0.2">
      <c r="A8960" s="258"/>
      <c r="Z8960" s="258"/>
    </row>
    <row r="8961" spans="1:26" ht="12.75" customHeight="1" x14ac:dyDescent="0.2">
      <c r="A8961" s="258"/>
      <c r="Z8961" s="258"/>
    </row>
    <row r="8962" spans="1:26" ht="12.75" customHeight="1" x14ac:dyDescent="0.2">
      <c r="A8962" s="258"/>
      <c r="Z8962" s="258"/>
    </row>
    <row r="8963" spans="1:26" ht="12.75" customHeight="1" x14ac:dyDescent="0.2">
      <c r="A8963" s="258"/>
      <c r="Z8963" s="258"/>
    </row>
    <row r="8964" spans="1:26" ht="12.75" customHeight="1" x14ac:dyDescent="0.2">
      <c r="A8964" s="258"/>
      <c r="Z8964" s="258"/>
    </row>
    <row r="8965" spans="1:26" ht="12.75" customHeight="1" x14ac:dyDescent="0.2">
      <c r="A8965" s="258"/>
      <c r="Z8965" s="258"/>
    </row>
    <row r="8966" spans="1:26" ht="12.75" customHeight="1" x14ac:dyDescent="0.2">
      <c r="A8966" s="258"/>
      <c r="Z8966" s="258"/>
    </row>
    <row r="8967" spans="1:26" ht="12.75" customHeight="1" x14ac:dyDescent="0.2">
      <c r="A8967" s="258"/>
      <c r="Z8967" s="258"/>
    </row>
    <row r="8968" spans="1:26" ht="12.75" customHeight="1" x14ac:dyDescent="0.2">
      <c r="A8968" s="258"/>
      <c r="Z8968" s="258"/>
    </row>
    <row r="8969" spans="1:26" ht="12.75" customHeight="1" x14ac:dyDescent="0.2">
      <c r="A8969" s="258"/>
      <c r="Z8969" s="258"/>
    </row>
    <row r="8970" spans="1:26" ht="12.75" customHeight="1" x14ac:dyDescent="0.2">
      <c r="A8970" s="258"/>
      <c r="Z8970" s="258"/>
    </row>
    <row r="8971" spans="1:26" ht="12.75" customHeight="1" x14ac:dyDescent="0.2">
      <c r="A8971" s="258"/>
      <c r="Z8971" s="258"/>
    </row>
    <row r="8972" spans="1:26" ht="12.75" customHeight="1" x14ac:dyDescent="0.2">
      <c r="A8972" s="258"/>
      <c r="Z8972" s="258"/>
    </row>
    <row r="8973" spans="1:26" ht="12.75" customHeight="1" x14ac:dyDescent="0.2">
      <c r="A8973" s="258"/>
      <c r="Z8973" s="258"/>
    </row>
    <row r="8974" spans="1:26" ht="12.75" customHeight="1" x14ac:dyDescent="0.2">
      <c r="A8974" s="258"/>
      <c r="Z8974" s="258"/>
    </row>
    <row r="8975" spans="1:26" ht="12.75" customHeight="1" x14ac:dyDescent="0.2">
      <c r="A8975" s="258"/>
      <c r="Z8975" s="258"/>
    </row>
    <row r="8976" spans="1:26" ht="12.75" customHeight="1" x14ac:dyDescent="0.2">
      <c r="A8976" s="258"/>
      <c r="Z8976" s="258"/>
    </row>
    <row r="8977" spans="1:26" ht="12.75" customHeight="1" x14ac:dyDescent="0.2">
      <c r="A8977" s="258"/>
      <c r="Z8977" s="258"/>
    </row>
    <row r="8978" spans="1:26" ht="12.75" customHeight="1" x14ac:dyDescent="0.2">
      <c r="A8978" s="258"/>
      <c r="Z8978" s="258"/>
    </row>
    <row r="8979" spans="1:26" ht="12.75" customHeight="1" x14ac:dyDescent="0.2">
      <c r="A8979" s="258"/>
      <c r="Z8979" s="258"/>
    </row>
    <row r="8980" spans="1:26" ht="12.75" customHeight="1" x14ac:dyDescent="0.2">
      <c r="A8980" s="258"/>
      <c r="Z8980" s="258"/>
    </row>
    <row r="8981" spans="1:26" ht="12.75" customHeight="1" x14ac:dyDescent="0.2">
      <c r="A8981" s="258"/>
      <c r="Z8981" s="258"/>
    </row>
    <row r="8982" spans="1:26" ht="12.75" customHeight="1" x14ac:dyDescent="0.2">
      <c r="A8982" s="258"/>
      <c r="Z8982" s="258"/>
    </row>
    <row r="8983" spans="1:26" ht="12.75" customHeight="1" x14ac:dyDescent="0.2">
      <c r="A8983" s="258"/>
      <c r="Z8983" s="258"/>
    </row>
    <row r="8984" spans="1:26" ht="12.75" customHeight="1" x14ac:dyDescent="0.2">
      <c r="A8984" s="258"/>
      <c r="Z8984" s="258"/>
    </row>
    <row r="8985" spans="1:26" ht="12.75" customHeight="1" x14ac:dyDescent="0.2">
      <c r="A8985" s="258"/>
      <c r="Z8985" s="258"/>
    </row>
    <row r="8986" spans="1:26" ht="12.75" customHeight="1" x14ac:dyDescent="0.2">
      <c r="A8986" s="258"/>
      <c r="Z8986" s="258"/>
    </row>
    <row r="8987" spans="1:26" ht="12.75" customHeight="1" x14ac:dyDescent="0.2">
      <c r="A8987" s="258"/>
      <c r="Z8987" s="258"/>
    </row>
    <row r="8988" spans="1:26" ht="12.75" customHeight="1" x14ac:dyDescent="0.2">
      <c r="A8988" s="258"/>
      <c r="Z8988" s="258"/>
    </row>
    <row r="8989" spans="1:26" ht="12.75" customHeight="1" x14ac:dyDescent="0.2">
      <c r="A8989" s="258"/>
      <c r="Z8989" s="258"/>
    </row>
    <row r="8990" spans="1:26" ht="12.75" customHeight="1" x14ac:dyDescent="0.2">
      <c r="A8990" s="258"/>
      <c r="Z8990" s="258"/>
    </row>
    <row r="8991" spans="1:26" ht="12.75" customHeight="1" x14ac:dyDescent="0.2">
      <c r="A8991" s="258"/>
      <c r="Z8991" s="258"/>
    </row>
    <row r="8992" spans="1:26" ht="12.75" customHeight="1" x14ac:dyDescent="0.2">
      <c r="A8992" s="258"/>
      <c r="Z8992" s="258"/>
    </row>
    <row r="8993" spans="1:26" ht="12.75" customHeight="1" x14ac:dyDescent="0.2">
      <c r="A8993" s="258"/>
      <c r="Z8993" s="258"/>
    </row>
    <row r="8994" spans="1:26" ht="12.75" customHeight="1" x14ac:dyDescent="0.2">
      <c r="A8994" s="258"/>
      <c r="Z8994" s="258"/>
    </row>
    <row r="8995" spans="1:26" ht="12.75" customHeight="1" x14ac:dyDescent="0.2">
      <c r="A8995" s="258"/>
      <c r="Z8995" s="258"/>
    </row>
    <row r="8996" spans="1:26" ht="12.75" customHeight="1" x14ac:dyDescent="0.2">
      <c r="A8996" s="258"/>
      <c r="Z8996" s="258"/>
    </row>
    <row r="8997" spans="1:26" ht="12.75" customHeight="1" x14ac:dyDescent="0.2">
      <c r="A8997" s="258"/>
      <c r="Z8997" s="258"/>
    </row>
    <row r="8998" spans="1:26" ht="12.75" customHeight="1" x14ac:dyDescent="0.2">
      <c r="A8998" s="258"/>
      <c r="Z8998" s="258"/>
    </row>
    <row r="8999" spans="1:26" ht="12.75" customHeight="1" x14ac:dyDescent="0.2">
      <c r="A8999" s="258"/>
      <c r="Z8999" s="258"/>
    </row>
    <row r="9000" spans="1:26" ht="12.75" customHeight="1" x14ac:dyDescent="0.2">
      <c r="A9000" s="258"/>
      <c r="Z9000" s="258"/>
    </row>
    <row r="9001" spans="1:26" ht="12.75" customHeight="1" x14ac:dyDescent="0.2">
      <c r="A9001" s="258"/>
      <c r="Z9001" s="258"/>
    </row>
    <row r="9002" spans="1:26" ht="12.75" customHeight="1" x14ac:dyDescent="0.2">
      <c r="A9002" s="258"/>
      <c r="Z9002" s="258"/>
    </row>
    <row r="9003" spans="1:26" ht="12.75" customHeight="1" x14ac:dyDescent="0.2">
      <c r="A9003" s="258"/>
      <c r="Z9003" s="258"/>
    </row>
    <row r="9004" spans="1:26" ht="12.75" customHeight="1" x14ac:dyDescent="0.2">
      <c r="A9004" s="258"/>
      <c r="Z9004" s="258"/>
    </row>
    <row r="9005" spans="1:26" ht="12.75" customHeight="1" x14ac:dyDescent="0.2">
      <c r="A9005" s="258"/>
      <c r="Z9005" s="258"/>
    </row>
    <row r="9006" spans="1:26" ht="12.75" customHeight="1" x14ac:dyDescent="0.2">
      <c r="A9006" s="258"/>
      <c r="Z9006" s="258"/>
    </row>
    <row r="9007" spans="1:26" ht="12.75" customHeight="1" x14ac:dyDescent="0.2">
      <c r="A9007" s="258"/>
      <c r="Z9007" s="258"/>
    </row>
    <row r="9008" spans="1:26" ht="12.75" customHeight="1" x14ac:dyDescent="0.2">
      <c r="A9008" s="258"/>
      <c r="Z9008" s="258"/>
    </row>
    <row r="9009" spans="1:26" ht="12.75" customHeight="1" x14ac:dyDescent="0.2">
      <c r="A9009" s="258"/>
      <c r="Z9009" s="258"/>
    </row>
    <row r="9010" spans="1:26" ht="12.75" customHeight="1" x14ac:dyDescent="0.2">
      <c r="A9010" s="258"/>
      <c r="Z9010" s="258"/>
    </row>
    <row r="9011" spans="1:26" ht="12.75" customHeight="1" x14ac:dyDescent="0.2">
      <c r="A9011" s="258"/>
      <c r="Z9011" s="258"/>
    </row>
    <row r="9012" spans="1:26" ht="12.75" customHeight="1" x14ac:dyDescent="0.2">
      <c r="A9012" s="258"/>
      <c r="Z9012" s="258"/>
    </row>
    <row r="9013" spans="1:26" ht="12.75" customHeight="1" x14ac:dyDescent="0.2">
      <c r="A9013" s="258"/>
      <c r="Z9013" s="258"/>
    </row>
    <row r="9014" spans="1:26" ht="12.75" customHeight="1" x14ac:dyDescent="0.2">
      <c r="A9014" s="258"/>
      <c r="Z9014" s="258"/>
    </row>
    <row r="9015" spans="1:26" ht="12.75" customHeight="1" x14ac:dyDescent="0.2">
      <c r="A9015" s="258"/>
      <c r="Z9015" s="258"/>
    </row>
    <row r="9016" spans="1:26" ht="12.75" customHeight="1" x14ac:dyDescent="0.2">
      <c r="A9016" s="258"/>
      <c r="Z9016" s="258"/>
    </row>
    <row r="9017" spans="1:26" ht="12.75" customHeight="1" x14ac:dyDescent="0.2">
      <c r="A9017" s="258"/>
      <c r="Z9017" s="258"/>
    </row>
    <row r="9018" spans="1:26" ht="12.75" customHeight="1" x14ac:dyDescent="0.2">
      <c r="A9018" s="258"/>
      <c r="Z9018" s="258"/>
    </row>
    <row r="9019" spans="1:26" ht="12.75" customHeight="1" x14ac:dyDescent="0.2">
      <c r="A9019" s="258"/>
      <c r="Z9019" s="258"/>
    </row>
    <row r="9020" spans="1:26" ht="12.75" customHeight="1" x14ac:dyDescent="0.2">
      <c r="A9020" s="258"/>
      <c r="Z9020" s="258"/>
    </row>
    <row r="9021" spans="1:26" ht="12.75" customHeight="1" x14ac:dyDescent="0.2">
      <c r="A9021" s="258"/>
      <c r="Z9021" s="258"/>
    </row>
    <row r="9022" spans="1:26" ht="12.75" customHeight="1" x14ac:dyDescent="0.2">
      <c r="A9022" s="258"/>
      <c r="Z9022" s="258"/>
    </row>
    <row r="9023" spans="1:26" ht="12.75" customHeight="1" x14ac:dyDescent="0.2">
      <c r="A9023" s="258"/>
      <c r="Z9023" s="258"/>
    </row>
    <row r="9024" spans="1:26" ht="12.75" customHeight="1" x14ac:dyDescent="0.2">
      <c r="A9024" s="258"/>
      <c r="Z9024" s="258"/>
    </row>
    <row r="9025" spans="1:26" ht="12.75" customHeight="1" x14ac:dyDescent="0.2">
      <c r="A9025" s="258"/>
      <c r="Z9025" s="258"/>
    </row>
    <row r="9026" spans="1:26" ht="12.75" customHeight="1" x14ac:dyDescent="0.2">
      <c r="A9026" s="258"/>
      <c r="Z9026" s="258"/>
    </row>
    <row r="9027" spans="1:26" ht="12.75" customHeight="1" x14ac:dyDescent="0.2">
      <c r="A9027" s="258"/>
      <c r="Z9027" s="258"/>
    </row>
    <row r="9028" spans="1:26" ht="12.75" customHeight="1" x14ac:dyDescent="0.2">
      <c r="A9028" s="258"/>
      <c r="Z9028" s="258"/>
    </row>
    <row r="9029" spans="1:26" ht="12.75" customHeight="1" x14ac:dyDescent="0.2">
      <c r="A9029" s="258"/>
      <c r="Z9029" s="258"/>
    </row>
    <row r="9030" spans="1:26" ht="12.75" customHeight="1" x14ac:dyDescent="0.2">
      <c r="A9030" s="258"/>
      <c r="Z9030" s="258"/>
    </row>
    <row r="9031" spans="1:26" ht="12.75" customHeight="1" x14ac:dyDescent="0.2">
      <c r="A9031" s="258"/>
      <c r="Z9031" s="258"/>
    </row>
    <row r="9032" spans="1:26" ht="12.75" customHeight="1" x14ac:dyDescent="0.2">
      <c r="A9032" s="258"/>
      <c r="Z9032" s="258"/>
    </row>
    <row r="9033" spans="1:26" ht="12.75" customHeight="1" x14ac:dyDescent="0.2">
      <c r="A9033" s="258"/>
      <c r="Z9033" s="258"/>
    </row>
    <row r="9034" spans="1:26" ht="12.75" customHeight="1" x14ac:dyDescent="0.2">
      <c r="A9034" s="258"/>
      <c r="Z9034" s="258"/>
    </row>
    <row r="9035" spans="1:26" ht="12.75" customHeight="1" x14ac:dyDescent="0.2">
      <c r="A9035" s="258"/>
      <c r="Z9035" s="258"/>
    </row>
    <row r="9036" spans="1:26" ht="12.75" customHeight="1" x14ac:dyDescent="0.2">
      <c r="A9036" s="258"/>
      <c r="Z9036" s="258"/>
    </row>
    <row r="9037" spans="1:26" ht="12.75" customHeight="1" x14ac:dyDescent="0.2">
      <c r="A9037" s="258"/>
      <c r="Z9037" s="258"/>
    </row>
    <row r="9038" spans="1:26" ht="12.75" customHeight="1" x14ac:dyDescent="0.2">
      <c r="A9038" s="258"/>
      <c r="Z9038" s="258"/>
    </row>
    <row r="9039" spans="1:26" ht="12.75" customHeight="1" x14ac:dyDescent="0.2">
      <c r="A9039" s="258"/>
      <c r="Z9039" s="258"/>
    </row>
    <row r="9040" spans="1:26" ht="12.75" customHeight="1" x14ac:dyDescent="0.2">
      <c r="A9040" s="258"/>
      <c r="Z9040" s="258"/>
    </row>
    <row r="9041" spans="1:26" ht="12.75" customHeight="1" x14ac:dyDescent="0.2">
      <c r="A9041" s="258"/>
      <c r="Z9041" s="258"/>
    </row>
    <row r="9042" spans="1:26" ht="12.75" customHeight="1" x14ac:dyDescent="0.2">
      <c r="A9042" s="258"/>
      <c r="Z9042" s="258"/>
    </row>
    <row r="9043" spans="1:26" ht="12.75" customHeight="1" x14ac:dyDescent="0.2">
      <c r="A9043" s="258"/>
      <c r="Z9043" s="258"/>
    </row>
    <row r="9044" spans="1:26" ht="12.75" customHeight="1" x14ac:dyDescent="0.2">
      <c r="A9044" s="258"/>
      <c r="Z9044" s="258"/>
    </row>
    <row r="9045" spans="1:26" ht="12.75" customHeight="1" x14ac:dyDescent="0.2">
      <c r="A9045" s="258"/>
      <c r="Z9045" s="258"/>
    </row>
    <row r="9046" spans="1:26" ht="12.75" customHeight="1" x14ac:dyDescent="0.2">
      <c r="A9046" s="258"/>
      <c r="Z9046" s="258"/>
    </row>
    <row r="9047" spans="1:26" ht="12.75" customHeight="1" x14ac:dyDescent="0.2">
      <c r="A9047" s="258"/>
      <c r="Z9047" s="258"/>
    </row>
    <row r="9048" spans="1:26" ht="12.75" customHeight="1" x14ac:dyDescent="0.2">
      <c r="A9048" s="258"/>
      <c r="Z9048" s="258"/>
    </row>
    <row r="9049" spans="1:26" ht="12.75" customHeight="1" x14ac:dyDescent="0.2">
      <c r="A9049" s="258"/>
      <c r="Z9049" s="258"/>
    </row>
    <row r="9050" spans="1:26" ht="12.75" customHeight="1" x14ac:dyDescent="0.2">
      <c r="A9050" s="258"/>
      <c r="Z9050" s="258"/>
    </row>
    <row r="9051" spans="1:26" ht="12.75" customHeight="1" x14ac:dyDescent="0.2">
      <c r="A9051" s="258"/>
      <c r="Z9051" s="258"/>
    </row>
    <row r="9052" spans="1:26" ht="12.75" customHeight="1" x14ac:dyDescent="0.2">
      <c r="A9052" s="258"/>
      <c r="Z9052" s="258"/>
    </row>
    <row r="9053" spans="1:26" ht="12.75" customHeight="1" x14ac:dyDescent="0.2">
      <c r="A9053" s="258"/>
      <c r="Z9053" s="258"/>
    </row>
    <row r="9054" spans="1:26" ht="12.75" customHeight="1" x14ac:dyDescent="0.2">
      <c r="A9054" s="258"/>
      <c r="Z9054" s="258"/>
    </row>
    <row r="9055" spans="1:26" ht="12.75" customHeight="1" x14ac:dyDescent="0.2">
      <c r="A9055" s="258"/>
      <c r="Z9055" s="258"/>
    </row>
    <row r="9056" spans="1:26" ht="12.75" customHeight="1" x14ac:dyDescent="0.2">
      <c r="A9056" s="258"/>
      <c r="Z9056" s="258"/>
    </row>
    <row r="9057" spans="1:26" ht="12.75" customHeight="1" x14ac:dyDescent="0.2">
      <c r="A9057" s="258"/>
      <c r="Z9057" s="258"/>
    </row>
    <row r="9058" spans="1:26" ht="12.75" customHeight="1" x14ac:dyDescent="0.2">
      <c r="A9058" s="258"/>
      <c r="Z9058" s="258"/>
    </row>
    <row r="9059" spans="1:26" ht="12.75" customHeight="1" x14ac:dyDescent="0.2">
      <c r="A9059" s="258"/>
      <c r="Z9059" s="258"/>
    </row>
    <row r="9060" spans="1:26" ht="12.75" customHeight="1" x14ac:dyDescent="0.2">
      <c r="A9060" s="258"/>
      <c r="Z9060" s="258"/>
    </row>
    <row r="9061" spans="1:26" ht="12.75" customHeight="1" x14ac:dyDescent="0.2">
      <c r="A9061" s="258"/>
      <c r="Z9061" s="258"/>
    </row>
    <row r="9062" spans="1:26" ht="12.75" customHeight="1" x14ac:dyDescent="0.2">
      <c r="A9062" s="258"/>
      <c r="Z9062" s="258"/>
    </row>
    <row r="9063" spans="1:26" ht="12.75" customHeight="1" x14ac:dyDescent="0.2">
      <c r="A9063" s="258"/>
      <c r="Z9063" s="258"/>
    </row>
    <row r="9064" spans="1:26" ht="12.75" customHeight="1" x14ac:dyDescent="0.2">
      <c r="A9064" s="258"/>
      <c r="Z9064" s="258"/>
    </row>
    <row r="9065" spans="1:26" ht="12.75" customHeight="1" x14ac:dyDescent="0.2">
      <c r="A9065" s="258"/>
      <c r="Z9065" s="258"/>
    </row>
    <row r="9066" spans="1:26" ht="12.75" customHeight="1" x14ac:dyDescent="0.2">
      <c r="A9066" s="258"/>
      <c r="Z9066" s="258"/>
    </row>
    <row r="9067" spans="1:26" ht="12.75" customHeight="1" x14ac:dyDescent="0.2">
      <c r="A9067" s="258"/>
      <c r="Z9067" s="258"/>
    </row>
    <row r="9068" spans="1:26" ht="12.75" customHeight="1" x14ac:dyDescent="0.2">
      <c r="A9068" s="258"/>
      <c r="Z9068" s="258"/>
    </row>
    <row r="9069" spans="1:26" ht="12.75" customHeight="1" x14ac:dyDescent="0.2">
      <c r="A9069" s="258"/>
      <c r="Z9069" s="258"/>
    </row>
    <row r="9070" spans="1:26" ht="12.75" customHeight="1" x14ac:dyDescent="0.2">
      <c r="A9070" s="258"/>
      <c r="Z9070" s="258"/>
    </row>
    <row r="9071" spans="1:26" ht="12.75" customHeight="1" x14ac:dyDescent="0.2">
      <c r="A9071" s="258"/>
      <c r="Z9071" s="258"/>
    </row>
    <row r="9072" spans="1:26" ht="12.75" customHeight="1" x14ac:dyDescent="0.2">
      <c r="A9072" s="258"/>
      <c r="Z9072" s="258"/>
    </row>
    <row r="9073" spans="1:26" ht="12.75" customHeight="1" x14ac:dyDescent="0.2">
      <c r="A9073" s="258"/>
      <c r="Z9073" s="258"/>
    </row>
    <row r="9074" spans="1:26" ht="12.75" customHeight="1" x14ac:dyDescent="0.2">
      <c r="A9074" s="258"/>
      <c r="Z9074" s="258"/>
    </row>
    <row r="9075" spans="1:26" ht="12.75" customHeight="1" x14ac:dyDescent="0.2">
      <c r="A9075" s="258"/>
      <c r="Z9075" s="258"/>
    </row>
    <row r="9076" spans="1:26" ht="12.75" customHeight="1" x14ac:dyDescent="0.2">
      <c r="A9076" s="258"/>
      <c r="Z9076" s="258"/>
    </row>
    <row r="9077" spans="1:26" ht="12.75" customHeight="1" x14ac:dyDescent="0.2">
      <c r="A9077" s="258"/>
      <c r="Z9077" s="258"/>
    </row>
    <row r="9078" spans="1:26" ht="12.75" customHeight="1" x14ac:dyDescent="0.2">
      <c r="A9078" s="258"/>
      <c r="Z9078" s="258"/>
    </row>
    <row r="9079" spans="1:26" ht="12.75" customHeight="1" x14ac:dyDescent="0.2">
      <c r="A9079" s="258"/>
      <c r="Z9079" s="258"/>
    </row>
    <row r="9080" spans="1:26" ht="12.75" customHeight="1" x14ac:dyDescent="0.2">
      <c r="A9080" s="258"/>
      <c r="Z9080" s="258"/>
    </row>
    <row r="9081" spans="1:26" ht="12.75" customHeight="1" x14ac:dyDescent="0.2">
      <c r="A9081" s="258"/>
      <c r="Z9081" s="258"/>
    </row>
    <row r="9082" spans="1:26" ht="12.75" customHeight="1" x14ac:dyDescent="0.2">
      <c r="A9082" s="258"/>
      <c r="Z9082" s="258"/>
    </row>
    <row r="9083" spans="1:26" ht="12.75" customHeight="1" x14ac:dyDescent="0.2">
      <c r="A9083" s="258"/>
      <c r="Z9083" s="258"/>
    </row>
    <row r="9084" spans="1:26" ht="12.75" customHeight="1" x14ac:dyDescent="0.2">
      <c r="A9084" s="258"/>
      <c r="Z9084" s="258"/>
    </row>
    <row r="9085" spans="1:26" ht="12.75" customHeight="1" x14ac:dyDescent="0.2">
      <c r="A9085" s="258"/>
      <c r="Z9085" s="258"/>
    </row>
    <row r="9086" spans="1:26" ht="12.75" customHeight="1" x14ac:dyDescent="0.2">
      <c r="A9086" s="258"/>
      <c r="Z9086" s="258"/>
    </row>
    <row r="9087" spans="1:26" ht="12.75" customHeight="1" x14ac:dyDescent="0.2">
      <c r="A9087" s="258"/>
      <c r="Z9087" s="258"/>
    </row>
    <row r="9088" spans="1:26" ht="12.75" customHeight="1" x14ac:dyDescent="0.2">
      <c r="A9088" s="258"/>
      <c r="Z9088" s="258"/>
    </row>
    <row r="9089" spans="1:26" ht="12.75" customHeight="1" x14ac:dyDescent="0.2">
      <c r="A9089" s="258"/>
      <c r="Z9089" s="258"/>
    </row>
    <row r="9090" spans="1:26" ht="12.75" customHeight="1" x14ac:dyDescent="0.2">
      <c r="A9090" s="258"/>
      <c r="Z9090" s="258"/>
    </row>
    <row r="9091" spans="1:26" ht="12.75" customHeight="1" x14ac:dyDescent="0.2">
      <c r="A9091" s="258"/>
      <c r="Z9091" s="258"/>
    </row>
    <row r="9092" spans="1:26" ht="12.75" customHeight="1" x14ac:dyDescent="0.2">
      <c r="A9092" s="258"/>
      <c r="Z9092" s="258"/>
    </row>
    <row r="9093" spans="1:26" ht="12.75" customHeight="1" x14ac:dyDescent="0.2">
      <c r="A9093" s="258"/>
      <c r="Z9093" s="258"/>
    </row>
    <row r="9094" spans="1:26" ht="12.75" customHeight="1" x14ac:dyDescent="0.2">
      <c r="A9094" s="258"/>
      <c r="Z9094" s="258"/>
    </row>
    <row r="9095" spans="1:26" ht="12.75" customHeight="1" x14ac:dyDescent="0.2">
      <c r="A9095" s="258"/>
      <c r="Z9095" s="258"/>
    </row>
    <row r="9096" spans="1:26" ht="12.75" customHeight="1" x14ac:dyDescent="0.2">
      <c r="A9096" s="258"/>
      <c r="Z9096" s="258"/>
    </row>
    <row r="9097" spans="1:26" ht="12.75" customHeight="1" x14ac:dyDescent="0.2">
      <c r="A9097" s="258"/>
      <c r="Z9097" s="258"/>
    </row>
    <row r="9098" spans="1:26" ht="12.75" customHeight="1" x14ac:dyDescent="0.2">
      <c r="A9098" s="258"/>
      <c r="Z9098" s="258"/>
    </row>
    <row r="9099" spans="1:26" ht="12.75" customHeight="1" x14ac:dyDescent="0.2">
      <c r="A9099" s="258"/>
      <c r="Z9099" s="258"/>
    </row>
    <row r="9100" spans="1:26" ht="12.75" customHeight="1" x14ac:dyDescent="0.2">
      <c r="A9100" s="258"/>
      <c r="Z9100" s="258"/>
    </row>
    <row r="9101" spans="1:26" ht="12.75" customHeight="1" x14ac:dyDescent="0.2">
      <c r="A9101" s="258"/>
      <c r="Z9101" s="258"/>
    </row>
    <row r="9102" spans="1:26" ht="12.75" customHeight="1" x14ac:dyDescent="0.2">
      <c r="A9102" s="258"/>
      <c r="Z9102" s="258"/>
    </row>
    <row r="9103" spans="1:26" ht="12.75" customHeight="1" x14ac:dyDescent="0.2">
      <c r="A9103" s="258"/>
      <c r="Z9103" s="258"/>
    </row>
    <row r="9104" spans="1:26" ht="12.75" customHeight="1" x14ac:dyDescent="0.2">
      <c r="A9104" s="258"/>
      <c r="Z9104" s="258"/>
    </row>
    <row r="9105" spans="1:26" ht="12.75" customHeight="1" x14ac:dyDescent="0.2">
      <c r="A9105" s="258"/>
      <c r="Z9105" s="258"/>
    </row>
    <row r="9106" spans="1:26" ht="12.75" customHeight="1" x14ac:dyDescent="0.2">
      <c r="A9106" s="258"/>
      <c r="Z9106" s="258"/>
    </row>
    <row r="9107" spans="1:26" ht="12.75" customHeight="1" x14ac:dyDescent="0.2">
      <c r="A9107" s="258"/>
      <c r="Z9107" s="258"/>
    </row>
    <row r="9108" spans="1:26" ht="12.75" customHeight="1" x14ac:dyDescent="0.2">
      <c r="A9108" s="258"/>
      <c r="Z9108" s="258"/>
    </row>
    <row r="9109" spans="1:26" ht="12.75" customHeight="1" x14ac:dyDescent="0.2">
      <c r="A9109" s="258"/>
      <c r="Z9109" s="258"/>
    </row>
    <row r="9110" spans="1:26" ht="12.75" customHeight="1" x14ac:dyDescent="0.2">
      <c r="A9110" s="258"/>
      <c r="Z9110" s="258"/>
    </row>
    <row r="9111" spans="1:26" ht="12.75" customHeight="1" x14ac:dyDescent="0.2">
      <c r="A9111" s="258"/>
      <c r="Z9111" s="258"/>
    </row>
    <row r="9112" spans="1:26" ht="12.75" customHeight="1" x14ac:dyDescent="0.2">
      <c r="A9112" s="258"/>
      <c r="Z9112" s="258"/>
    </row>
    <row r="9113" spans="1:26" ht="12.75" customHeight="1" x14ac:dyDescent="0.2">
      <c r="A9113" s="258"/>
      <c r="Z9113" s="258"/>
    </row>
    <row r="9114" spans="1:26" ht="12.75" customHeight="1" x14ac:dyDescent="0.2">
      <c r="A9114" s="258"/>
      <c r="Z9114" s="258"/>
    </row>
    <row r="9115" spans="1:26" ht="12.75" customHeight="1" x14ac:dyDescent="0.2">
      <c r="A9115" s="258"/>
      <c r="Z9115" s="258"/>
    </row>
    <row r="9116" spans="1:26" ht="12.75" customHeight="1" x14ac:dyDescent="0.2">
      <c r="A9116" s="258"/>
      <c r="Z9116" s="258"/>
    </row>
    <row r="9117" spans="1:26" ht="12.75" customHeight="1" x14ac:dyDescent="0.2">
      <c r="A9117" s="258"/>
      <c r="Z9117" s="258"/>
    </row>
    <row r="9118" spans="1:26" ht="12.75" customHeight="1" x14ac:dyDescent="0.2">
      <c r="A9118" s="258"/>
      <c r="Z9118" s="258"/>
    </row>
    <row r="9119" spans="1:26" ht="12.75" customHeight="1" x14ac:dyDescent="0.2">
      <c r="A9119" s="258"/>
      <c r="Z9119" s="258"/>
    </row>
    <row r="9120" spans="1:26" ht="12.75" customHeight="1" x14ac:dyDescent="0.2">
      <c r="A9120" s="258"/>
      <c r="Z9120" s="258"/>
    </row>
    <row r="9121" spans="1:26" ht="12.75" customHeight="1" x14ac:dyDescent="0.2">
      <c r="A9121" s="258"/>
      <c r="Z9121" s="258"/>
    </row>
    <row r="9122" spans="1:26" ht="12.75" customHeight="1" x14ac:dyDescent="0.2">
      <c r="A9122" s="258"/>
      <c r="Z9122" s="258"/>
    </row>
    <row r="9123" spans="1:26" ht="12.75" customHeight="1" x14ac:dyDescent="0.2">
      <c r="A9123" s="258"/>
      <c r="Z9123" s="258"/>
    </row>
    <row r="9124" spans="1:26" ht="12.75" customHeight="1" x14ac:dyDescent="0.2">
      <c r="A9124" s="258"/>
      <c r="Z9124" s="258"/>
    </row>
    <row r="9125" spans="1:26" ht="12.75" customHeight="1" x14ac:dyDescent="0.2">
      <c r="A9125" s="258"/>
      <c r="Z9125" s="258"/>
    </row>
    <row r="9126" spans="1:26" ht="12.75" customHeight="1" x14ac:dyDescent="0.2">
      <c r="A9126" s="258"/>
      <c r="Z9126" s="258"/>
    </row>
    <row r="9127" spans="1:26" ht="12.75" customHeight="1" x14ac:dyDescent="0.2">
      <c r="A9127" s="258"/>
      <c r="Z9127" s="258"/>
    </row>
    <row r="9128" spans="1:26" ht="12.75" customHeight="1" x14ac:dyDescent="0.2">
      <c r="A9128" s="258"/>
      <c r="Z9128" s="258"/>
    </row>
    <row r="9129" spans="1:26" ht="12.75" customHeight="1" x14ac:dyDescent="0.2">
      <c r="A9129" s="258"/>
      <c r="Z9129" s="258"/>
    </row>
    <row r="9130" spans="1:26" ht="12.75" customHeight="1" x14ac:dyDescent="0.2">
      <c r="A9130" s="258"/>
      <c r="Z9130" s="258"/>
    </row>
    <row r="9131" spans="1:26" ht="12.75" customHeight="1" x14ac:dyDescent="0.2">
      <c r="A9131" s="258"/>
      <c r="Z9131" s="258"/>
    </row>
    <row r="9132" spans="1:26" ht="12.75" customHeight="1" x14ac:dyDescent="0.2">
      <c r="A9132" s="258"/>
      <c r="Z9132" s="258"/>
    </row>
    <row r="9133" spans="1:26" ht="12.75" customHeight="1" x14ac:dyDescent="0.2">
      <c r="A9133" s="258"/>
      <c r="Z9133" s="258"/>
    </row>
    <row r="9134" spans="1:26" ht="12.75" customHeight="1" x14ac:dyDescent="0.2">
      <c r="A9134" s="258"/>
      <c r="Z9134" s="258"/>
    </row>
    <row r="9135" spans="1:26" ht="12.75" customHeight="1" x14ac:dyDescent="0.2">
      <c r="A9135" s="258"/>
      <c r="Z9135" s="258"/>
    </row>
    <row r="9136" spans="1:26" ht="12.75" customHeight="1" x14ac:dyDescent="0.2">
      <c r="A9136" s="258"/>
      <c r="Z9136" s="258"/>
    </row>
    <row r="9137" spans="1:26" ht="12.75" customHeight="1" x14ac:dyDescent="0.2">
      <c r="A9137" s="258"/>
      <c r="Z9137" s="258"/>
    </row>
    <row r="9138" spans="1:26" ht="12.75" customHeight="1" x14ac:dyDescent="0.2">
      <c r="A9138" s="258"/>
      <c r="Z9138" s="258"/>
    </row>
    <row r="9139" spans="1:26" ht="12.75" customHeight="1" x14ac:dyDescent="0.2">
      <c r="A9139" s="258"/>
      <c r="Z9139" s="258"/>
    </row>
    <row r="9140" spans="1:26" ht="12.75" customHeight="1" x14ac:dyDescent="0.2">
      <c r="A9140" s="258"/>
      <c r="Z9140" s="258"/>
    </row>
    <row r="9141" spans="1:26" ht="12.75" customHeight="1" x14ac:dyDescent="0.2">
      <c r="A9141" s="258"/>
      <c r="Z9141" s="258"/>
    </row>
    <row r="9142" spans="1:26" ht="12.75" customHeight="1" x14ac:dyDescent="0.2">
      <c r="A9142" s="258"/>
      <c r="Z9142" s="258"/>
    </row>
    <row r="9143" spans="1:26" ht="12.75" customHeight="1" x14ac:dyDescent="0.2">
      <c r="A9143" s="258"/>
      <c r="Z9143" s="258"/>
    </row>
    <row r="9144" spans="1:26" ht="12.75" customHeight="1" x14ac:dyDescent="0.2">
      <c r="A9144" s="258"/>
      <c r="Z9144" s="258"/>
    </row>
    <row r="9145" spans="1:26" ht="12.75" customHeight="1" x14ac:dyDescent="0.2">
      <c r="A9145" s="258"/>
      <c r="Z9145" s="258"/>
    </row>
    <row r="9146" spans="1:26" ht="12.75" customHeight="1" x14ac:dyDescent="0.2">
      <c r="A9146" s="258"/>
      <c r="Z9146" s="258"/>
    </row>
    <row r="9147" spans="1:26" ht="12.75" customHeight="1" x14ac:dyDescent="0.2">
      <c r="A9147" s="258"/>
      <c r="Z9147" s="258"/>
    </row>
    <row r="9148" spans="1:26" ht="12.75" customHeight="1" x14ac:dyDescent="0.2">
      <c r="A9148" s="258"/>
      <c r="Z9148" s="258"/>
    </row>
    <row r="9149" spans="1:26" ht="12.75" customHeight="1" x14ac:dyDescent="0.2">
      <c r="A9149" s="258"/>
      <c r="Z9149" s="258"/>
    </row>
    <row r="9150" spans="1:26" ht="12.75" customHeight="1" x14ac:dyDescent="0.2">
      <c r="A9150" s="258"/>
      <c r="Z9150" s="258"/>
    </row>
    <row r="9151" spans="1:26" ht="12.75" customHeight="1" x14ac:dyDescent="0.2">
      <c r="A9151" s="258"/>
      <c r="Z9151" s="258"/>
    </row>
    <row r="9152" spans="1:26" ht="12.75" customHeight="1" x14ac:dyDescent="0.2">
      <c r="A9152" s="258"/>
      <c r="Z9152" s="258"/>
    </row>
    <row r="9153" spans="1:26" ht="12.75" customHeight="1" x14ac:dyDescent="0.2">
      <c r="A9153" s="258"/>
      <c r="Z9153" s="258"/>
    </row>
    <row r="9154" spans="1:26" ht="12.75" customHeight="1" x14ac:dyDescent="0.2">
      <c r="A9154" s="258"/>
      <c r="Z9154" s="258"/>
    </row>
    <row r="9155" spans="1:26" ht="12.75" customHeight="1" x14ac:dyDescent="0.2">
      <c r="A9155" s="258"/>
      <c r="Z9155" s="258"/>
    </row>
    <row r="9156" spans="1:26" ht="12.75" customHeight="1" x14ac:dyDescent="0.2">
      <c r="A9156" s="258"/>
      <c r="Z9156" s="258"/>
    </row>
    <row r="9157" spans="1:26" ht="12.75" customHeight="1" x14ac:dyDescent="0.2">
      <c r="A9157" s="258"/>
      <c r="Z9157" s="258"/>
    </row>
    <row r="9158" spans="1:26" ht="12.75" customHeight="1" x14ac:dyDescent="0.2">
      <c r="A9158" s="258"/>
      <c r="Z9158" s="258"/>
    </row>
    <row r="9159" spans="1:26" ht="12.75" customHeight="1" x14ac:dyDescent="0.2">
      <c r="A9159" s="258"/>
      <c r="Z9159" s="258"/>
    </row>
    <row r="9160" spans="1:26" ht="12.75" customHeight="1" x14ac:dyDescent="0.2">
      <c r="A9160" s="258"/>
      <c r="Z9160" s="258"/>
    </row>
    <row r="9161" spans="1:26" ht="12.75" customHeight="1" x14ac:dyDescent="0.2">
      <c r="A9161" s="258"/>
      <c r="Z9161" s="258"/>
    </row>
    <row r="9162" spans="1:26" ht="12.75" customHeight="1" x14ac:dyDescent="0.2">
      <c r="A9162" s="258"/>
      <c r="Z9162" s="258"/>
    </row>
    <row r="9163" spans="1:26" ht="12.75" customHeight="1" x14ac:dyDescent="0.2">
      <c r="A9163" s="258"/>
      <c r="Z9163" s="258"/>
    </row>
    <row r="9164" spans="1:26" ht="12.75" customHeight="1" x14ac:dyDescent="0.2">
      <c r="A9164" s="258"/>
      <c r="Z9164" s="258"/>
    </row>
    <row r="9165" spans="1:26" ht="12.75" customHeight="1" x14ac:dyDescent="0.2">
      <c r="A9165" s="258"/>
      <c r="Z9165" s="258"/>
    </row>
    <row r="9166" spans="1:26" ht="12.75" customHeight="1" x14ac:dyDescent="0.2">
      <c r="A9166" s="258"/>
      <c r="Z9166" s="258"/>
    </row>
    <row r="9167" spans="1:26" ht="12.75" customHeight="1" x14ac:dyDescent="0.2">
      <c r="A9167" s="258"/>
      <c r="Z9167" s="258"/>
    </row>
    <row r="9168" spans="1:26" ht="12.75" customHeight="1" x14ac:dyDescent="0.2">
      <c r="A9168" s="258"/>
      <c r="Z9168" s="258"/>
    </row>
    <row r="9169" spans="1:26" ht="12.75" customHeight="1" x14ac:dyDescent="0.2">
      <c r="A9169" s="258"/>
      <c r="Z9169" s="258"/>
    </row>
    <row r="9170" spans="1:26" ht="12.75" customHeight="1" x14ac:dyDescent="0.2">
      <c r="A9170" s="258"/>
      <c r="Z9170" s="258"/>
    </row>
    <row r="9171" spans="1:26" ht="12.75" customHeight="1" x14ac:dyDescent="0.2">
      <c r="A9171" s="258"/>
      <c r="Z9171" s="258"/>
    </row>
    <row r="9172" spans="1:26" ht="12.75" customHeight="1" x14ac:dyDescent="0.2">
      <c r="A9172" s="258"/>
      <c r="Z9172" s="258"/>
    </row>
    <row r="9173" spans="1:26" ht="12.75" customHeight="1" x14ac:dyDescent="0.2">
      <c r="A9173" s="258"/>
      <c r="Z9173" s="258"/>
    </row>
    <row r="9174" spans="1:26" ht="12.75" customHeight="1" x14ac:dyDescent="0.2">
      <c r="A9174" s="258"/>
      <c r="Z9174" s="258"/>
    </row>
    <row r="9175" spans="1:26" ht="12.75" customHeight="1" x14ac:dyDescent="0.2">
      <c r="A9175" s="258"/>
      <c r="Z9175" s="258"/>
    </row>
    <row r="9176" spans="1:26" ht="12.75" customHeight="1" x14ac:dyDescent="0.2">
      <c r="A9176" s="258"/>
      <c r="Z9176" s="258"/>
    </row>
    <row r="9177" spans="1:26" ht="12.75" customHeight="1" x14ac:dyDescent="0.2">
      <c r="A9177" s="258"/>
      <c r="Z9177" s="258"/>
    </row>
    <row r="9178" spans="1:26" ht="12.75" customHeight="1" x14ac:dyDescent="0.2">
      <c r="A9178" s="258"/>
      <c r="Z9178" s="258"/>
    </row>
    <row r="9179" spans="1:26" ht="12.75" customHeight="1" x14ac:dyDescent="0.2">
      <c r="A9179" s="258"/>
      <c r="Z9179" s="258"/>
    </row>
    <row r="9180" spans="1:26" ht="12.75" customHeight="1" x14ac:dyDescent="0.2">
      <c r="A9180" s="258"/>
      <c r="Z9180" s="258"/>
    </row>
    <row r="9181" spans="1:26" ht="12.75" customHeight="1" x14ac:dyDescent="0.2">
      <c r="A9181" s="258"/>
      <c r="Z9181" s="258"/>
    </row>
    <row r="9182" spans="1:26" ht="12.75" customHeight="1" x14ac:dyDescent="0.2">
      <c r="A9182" s="258"/>
      <c r="Z9182" s="258"/>
    </row>
    <row r="9183" spans="1:26" ht="12.75" customHeight="1" x14ac:dyDescent="0.2">
      <c r="A9183" s="258"/>
      <c r="Z9183" s="258"/>
    </row>
    <row r="9184" spans="1:26" ht="12.75" customHeight="1" x14ac:dyDescent="0.2">
      <c r="A9184" s="258"/>
      <c r="Z9184" s="258"/>
    </row>
    <row r="9185" spans="1:26" ht="12.75" customHeight="1" x14ac:dyDescent="0.2">
      <c r="A9185" s="258"/>
      <c r="Z9185" s="258"/>
    </row>
    <row r="9186" spans="1:26" ht="12.75" customHeight="1" x14ac:dyDescent="0.2">
      <c r="A9186" s="258"/>
      <c r="Z9186" s="258"/>
    </row>
    <row r="9187" spans="1:26" ht="12.75" customHeight="1" x14ac:dyDescent="0.2">
      <c r="A9187" s="258"/>
      <c r="Z9187" s="258"/>
    </row>
    <row r="9188" spans="1:26" ht="12.75" customHeight="1" x14ac:dyDescent="0.2">
      <c r="A9188" s="258"/>
      <c r="Z9188" s="258"/>
    </row>
    <row r="9189" spans="1:26" ht="12.75" customHeight="1" x14ac:dyDescent="0.2">
      <c r="A9189" s="258"/>
      <c r="Z9189" s="258"/>
    </row>
    <row r="9190" spans="1:26" ht="12.75" customHeight="1" x14ac:dyDescent="0.2">
      <c r="A9190" s="258"/>
      <c r="Z9190" s="258"/>
    </row>
    <row r="9191" spans="1:26" ht="12.75" customHeight="1" x14ac:dyDescent="0.2">
      <c r="A9191" s="258"/>
      <c r="Z9191" s="258"/>
    </row>
    <row r="9192" spans="1:26" ht="12.75" customHeight="1" x14ac:dyDescent="0.2">
      <c r="A9192" s="258"/>
      <c r="Z9192" s="258"/>
    </row>
    <row r="9193" spans="1:26" ht="12.75" customHeight="1" x14ac:dyDescent="0.2">
      <c r="A9193" s="258"/>
      <c r="Z9193" s="258"/>
    </row>
    <row r="9194" spans="1:26" ht="12.75" customHeight="1" x14ac:dyDescent="0.2">
      <c r="A9194" s="258"/>
      <c r="Z9194" s="258"/>
    </row>
    <row r="9195" spans="1:26" ht="12.75" customHeight="1" x14ac:dyDescent="0.2">
      <c r="A9195" s="258"/>
      <c r="Z9195" s="258"/>
    </row>
    <row r="9196" spans="1:26" ht="12.75" customHeight="1" x14ac:dyDescent="0.2">
      <c r="A9196" s="258"/>
      <c r="Z9196" s="258"/>
    </row>
    <row r="9197" spans="1:26" ht="12.75" customHeight="1" x14ac:dyDescent="0.2">
      <c r="A9197" s="258"/>
      <c r="Z9197" s="258"/>
    </row>
    <row r="9198" spans="1:26" ht="12.75" customHeight="1" x14ac:dyDescent="0.2">
      <c r="A9198" s="258"/>
      <c r="Z9198" s="258"/>
    </row>
    <row r="9199" spans="1:26" ht="12.75" customHeight="1" x14ac:dyDescent="0.2">
      <c r="A9199" s="258"/>
      <c r="Z9199" s="258"/>
    </row>
    <row r="9200" spans="1:26" ht="12.75" customHeight="1" x14ac:dyDescent="0.2">
      <c r="A9200" s="258"/>
      <c r="Z9200" s="258"/>
    </row>
    <row r="9201" spans="1:26" ht="12.75" customHeight="1" x14ac:dyDescent="0.2">
      <c r="A9201" s="258"/>
      <c r="Z9201" s="258"/>
    </row>
    <row r="9202" spans="1:26" ht="12.75" customHeight="1" x14ac:dyDescent="0.2">
      <c r="A9202" s="258"/>
      <c r="Z9202" s="258"/>
    </row>
    <row r="9203" spans="1:26" ht="12.75" customHeight="1" x14ac:dyDescent="0.2">
      <c r="A9203" s="258"/>
      <c r="Z9203" s="258"/>
    </row>
    <row r="9204" spans="1:26" ht="12.75" customHeight="1" x14ac:dyDescent="0.2">
      <c r="A9204" s="258"/>
      <c r="Z9204" s="258"/>
    </row>
    <row r="9205" spans="1:26" ht="12.75" customHeight="1" x14ac:dyDescent="0.2">
      <c r="A9205" s="258"/>
      <c r="Z9205" s="258"/>
    </row>
    <row r="9206" spans="1:26" ht="12.75" customHeight="1" x14ac:dyDescent="0.2">
      <c r="A9206" s="258"/>
      <c r="Z9206" s="258"/>
    </row>
    <row r="9207" spans="1:26" ht="12.75" customHeight="1" x14ac:dyDescent="0.2">
      <c r="A9207" s="258"/>
      <c r="Z9207" s="258"/>
    </row>
    <row r="9208" spans="1:26" ht="12.75" customHeight="1" x14ac:dyDescent="0.2">
      <c r="A9208" s="258"/>
      <c r="Z9208" s="258"/>
    </row>
    <row r="9209" spans="1:26" ht="12.75" customHeight="1" x14ac:dyDescent="0.2">
      <c r="A9209" s="258"/>
      <c r="Z9209" s="258"/>
    </row>
    <row r="9210" spans="1:26" ht="12.75" customHeight="1" x14ac:dyDescent="0.2">
      <c r="A9210" s="258"/>
      <c r="Z9210" s="258"/>
    </row>
    <row r="9211" spans="1:26" ht="12.75" customHeight="1" x14ac:dyDescent="0.2">
      <c r="A9211" s="258"/>
      <c r="Z9211" s="258"/>
    </row>
    <row r="9212" spans="1:26" ht="12.75" customHeight="1" x14ac:dyDescent="0.2">
      <c r="A9212" s="258"/>
      <c r="Z9212" s="258"/>
    </row>
    <row r="9213" spans="1:26" ht="12.75" customHeight="1" x14ac:dyDescent="0.2">
      <c r="A9213" s="258"/>
      <c r="Z9213" s="258"/>
    </row>
    <row r="9214" spans="1:26" ht="12.75" customHeight="1" x14ac:dyDescent="0.2">
      <c r="A9214" s="258"/>
      <c r="Z9214" s="258"/>
    </row>
    <row r="9215" spans="1:26" ht="12.75" customHeight="1" x14ac:dyDescent="0.2">
      <c r="A9215" s="258"/>
      <c r="Z9215" s="258"/>
    </row>
    <row r="9216" spans="1:26" ht="12.75" customHeight="1" x14ac:dyDescent="0.2">
      <c r="A9216" s="258"/>
      <c r="Z9216" s="258"/>
    </row>
    <row r="9217" spans="1:26" ht="12.75" customHeight="1" x14ac:dyDescent="0.2">
      <c r="A9217" s="258"/>
      <c r="Z9217" s="258"/>
    </row>
    <row r="9218" spans="1:26" ht="12.75" customHeight="1" x14ac:dyDescent="0.2">
      <c r="A9218" s="258"/>
      <c r="Z9218" s="258"/>
    </row>
    <row r="9219" spans="1:26" ht="12.75" customHeight="1" x14ac:dyDescent="0.2">
      <c r="A9219" s="258"/>
      <c r="Z9219" s="258"/>
    </row>
    <row r="9220" spans="1:26" ht="12.75" customHeight="1" x14ac:dyDescent="0.2">
      <c r="A9220" s="258"/>
      <c r="Z9220" s="258"/>
    </row>
    <row r="9221" spans="1:26" ht="12.75" customHeight="1" x14ac:dyDescent="0.2">
      <c r="A9221" s="258"/>
      <c r="Z9221" s="258"/>
    </row>
    <row r="9222" spans="1:26" ht="12.75" customHeight="1" x14ac:dyDescent="0.2">
      <c r="A9222" s="258"/>
      <c r="Z9222" s="258"/>
    </row>
    <row r="9223" spans="1:26" ht="12.75" customHeight="1" x14ac:dyDescent="0.2">
      <c r="A9223" s="258"/>
      <c r="Z9223" s="258"/>
    </row>
    <row r="9224" spans="1:26" ht="12.75" customHeight="1" x14ac:dyDescent="0.2">
      <c r="A9224" s="258"/>
      <c r="Z9224" s="258"/>
    </row>
    <row r="9225" spans="1:26" ht="12.75" customHeight="1" x14ac:dyDescent="0.2">
      <c r="A9225" s="258"/>
      <c r="Z9225" s="258"/>
    </row>
    <row r="9226" spans="1:26" ht="12.75" customHeight="1" x14ac:dyDescent="0.2">
      <c r="A9226" s="258"/>
      <c r="Z9226" s="258"/>
    </row>
    <row r="9227" spans="1:26" ht="12.75" customHeight="1" x14ac:dyDescent="0.2">
      <c r="A9227" s="258"/>
      <c r="Z9227" s="258"/>
    </row>
    <row r="9228" spans="1:26" ht="12.75" customHeight="1" x14ac:dyDescent="0.2">
      <c r="A9228" s="258"/>
      <c r="Z9228" s="258"/>
    </row>
    <row r="9229" spans="1:26" ht="12.75" customHeight="1" x14ac:dyDescent="0.2">
      <c r="A9229" s="258"/>
      <c r="Z9229" s="258"/>
    </row>
    <row r="9230" spans="1:26" ht="12.75" customHeight="1" x14ac:dyDescent="0.2">
      <c r="A9230" s="258"/>
      <c r="Z9230" s="258"/>
    </row>
    <row r="9231" spans="1:26" ht="12.75" customHeight="1" x14ac:dyDescent="0.2">
      <c r="A9231" s="258"/>
      <c r="Z9231" s="258"/>
    </row>
    <row r="9232" spans="1:26" ht="12.75" customHeight="1" x14ac:dyDescent="0.2">
      <c r="A9232" s="258"/>
      <c r="Z9232" s="258"/>
    </row>
    <row r="9233" spans="1:26" ht="12.75" customHeight="1" x14ac:dyDescent="0.2">
      <c r="A9233" s="258"/>
      <c r="Z9233" s="258"/>
    </row>
    <row r="9234" spans="1:26" ht="12.75" customHeight="1" x14ac:dyDescent="0.2">
      <c r="A9234" s="258"/>
      <c r="Z9234" s="258"/>
    </row>
    <row r="9235" spans="1:26" ht="12.75" customHeight="1" x14ac:dyDescent="0.2">
      <c r="A9235" s="258"/>
      <c r="Z9235" s="258"/>
    </row>
    <row r="9236" spans="1:26" ht="12.75" customHeight="1" x14ac:dyDescent="0.2">
      <c r="A9236" s="258"/>
      <c r="Z9236" s="258"/>
    </row>
    <row r="9237" spans="1:26" ht="12.75" customHeight="1" x14ac:dyDescent="0.2">
      <c r="A9237" s="258"/>
      <c r="Z9237" s="258"/>
    </row>
    <row r="9238" spans="1:26" ht="12.75" customHeight="1" x14ac:dyDescent="0.2">
      <c r="A9238" s="258"/>
      <c r="Z9238" s="258"/>
    </row>
    <row r="9239" spans="1:26" ht="12.75" customHeight="1" x14ac:dyDescent="0.2">
      <c r="A9239" s="258"/>
      <c r="Z9239" s="258"/>
    </row>
    <row r="9240" spans="1:26" ht="12.75" customHeight="1" x14ac:dyDescent="0.2">
      <c r="A9240" s="258"/>
      <c r="Z9240" s="258"/>
    </row>
    <row r="9241" spans="1:26" ht="12.75" customHeight="1" x14ac:dyDescent="0.2">
      <c r="A9241" s="258"/>
      <c r="Z9241" s="258"/>
    </row>
    <row r="9242" spans="1:26" ht="12.75" customHeight="1" x14ac:dyDescent="0.2">
      <c r="A9242" s="258"/>
      <c r="Z9242" s="258"/>
    </row>
    <row r="9243" spans="1:26" ht="12.75" customHeight="1" x14ac:dyDescent="0.2">
      <c r="A9243" s="258"/>
      <c r="Z9243" s="258"/>
    </row>
    <row r="9244" spans="1:26" ht="12.75" customHeight="1" x14ac:dyDescent="0.2">
      <c r="A9244" s="258"/>
      <c r="Z9244" s="258"/>
    </row>
    <row r="9245" spans="1:26" ht="12.75" customHeight="1" x14ac:dyDescent="0.2">
      <c r="A9245" s="258"/>
      <c r="Z9245" s="258"/>
    </row>
    <row r="9246" spans="1:26" ht="12.75" customHeight="1" x14ac:dyDescent="0.2">
      <c r="A9246" s="258"/>
      <c r="Z9246" s="258"/>
    </row>
    <row r="9247" spans="1:26" ht="12.75" customHeight="1" x14ac:dyDescent="0.2">
      <c r="A9247" s="258"/>
      <c r="Z9247" s="258"/>
    </row>
    <row r="9248" spans="1:26" ht="12.75" customHeight="1" x14ac:dyDescent="0.2">
      <c r="A9248" s="258"/>
      <c r="Z9248" s="258"/>
    </row>
    <row r="9249" spans="1:26" ht="12.75" customHeight="1" x14ac:dyDescent="0.2">
      <c r="A9249" s="258"/>
      <c r="Z9249" s="258"/>
    </row>
    <row r="9250" spans="1:26" ht="12.75" customHeight="1" x14ac:dyDescent="0.2">
      <c r="A9250" s="258"/>
      <c r="Z9250" s="258"/>
    </row>
    <row r="9251" spans="1:26" ht="12.75" customHeight="1" x14ac:dyDescent="0.2">
      <c r="A9251" s="258"/>
      <c r="Z9251" s="258"/>
    </row>
    <row r="9252" spans="1:26" ht="12.75" customHeight="1" x14ac:dyDescent="0.2">
      <c r="A9252" s="258"/>
      <c r="Z9252" s="258"/>
    </row>
    <row r="9253" spans="1:26" ht="12.75" customHeight="1" x14ac:dyDescent="0.2">
      <c r="A9253" s="258"/>
      <c r="Z9253" s="258"/>
    </row>
    <row r="9254" spans="1:26" ht="12.75" customHeight="1" x14ac:dyDescent="0.2">
      <c r="A9254" s="258"/>
      <c r="Z9254" s="258"/>
    </row>
    <row r="9255" spans="1:26" ht="12.75" customHeight="1" x14ac:dyDescent="0.2">
      <c r="A9255" s="258"/>
      <c r="Z9255" s="258"/>
    </row>
    <row r="9256" spans="1:26" ht="12.75" customHeight="1" x14ac:dyDescent="0.2">
      <c r="A9256" s="258"/>
      <c r="Z9256" s="258"/>
    </row>
    <row r="9257" spans="1:26" ht="12.75" customHeight="1" x14ac:dyDescent="0.2">
      <c r="A9257" s="258"/>
      <c r="Z9257" s="258"/>
    </row>
    <row r="9258" spans="1:26" ht="12.75" customHeight="1" x14ac:dyDescent="0.2">
      <c r="A9258" s="258"/>
      <c r="Z9258" s="258"/>
    </row>
    <row r="9259" spans="1:26" ht="12.75" customHeight="1" x14ac:dyDescent="0.2">
      <c r="A9259" s="258"/>
      <c r="Z9259" s="258"/>
    </row>
    <row r="9260" spans="1:26" ht="12.75" customHeight="1" x14ac:dyDescent="0.2">
      <c r="A9260" s="258"/>
      <c r="Z9260" s="258"/>
    </row>
    <row r="9261" spans="1:26" ht="12.75" customHeight="1" x14ac:dyDescent="0.2">
      <c r="A9261" s="258"/>
      <c r="Z9261" s="258"/>
    </row>
    <row r="9262" spans="1:26" ht="12.75" customHeight="1" x14ac:dyDescent="0.2">
      <c r="A9262" s="258"/>
      <c r="Z9262" s="258"/>
    </row>
    <row r="9263" spans="1:26" ht="12.75" customHeight="1" x14ac:dyDescent="0.2">
      <c r="A9263" s="258"/>
      <c r="Z9263" s="258"/>
    </row>
    <row r="9264" spans="1:26" ht="12.75" customHeight="1" x14ac:dyDescent="0.2">
      <c r="A9264" s="258"/>
      <c r="Z9264" s="258"/>
    </row>
    <row r="9265" spans="1:26" ht="12.75" customHeight="1" x14ac:dyDescent="0.2">
      <c r="A9265" s="258"/>
      <c r="Z9265" s="258"/>
    </row>
    <row r="9266" spans="1:26" ht="12.75" customHeight="1" x14ac:dyDescent="0.2">
      <c r="A9266" s="258"/>
      <c r="Z9266" s="258"/>
    </row>
    <row r="9267" spans="1:26" ht="12.75" customHeight="1" x14ac:dyDescent="0.2">
      <c r="A9267" s="258"/>
      <c r="Z9267" s="258"/>
    </row>
    <row r="9268" spans="1:26" ht="12.75" customHeight="1" x14ac:dyDescent="0.2">
      <c r="A9268" s="258"/>
      <c r="Z9268" s="258"/>
    </row>
    <row r="9269" spans="1:26" ht="12.75" customHeight="1" x14ac:dyDescent="0.2">
      <c r="A9269" s="258"/>
      <c r="Z9269" s="258"/>
    </row>
    <row r="9270" spans="1:26" ht="12.75" customHeight="1" x14ac:dyDescent="0.2">
      <c r="A9270" s="258"/>
      <c r="Z9270" s="258"/>
    </row>
    <row r="9271" spans="1:26" ht="12.75" customHeight="1" x14ac:dyDescent="0.2">
      <c r="A9271" s="258"/>
      <c r="Z9271" s="258"/>
    </row>
    <row r="9272" spans="1:26" ht="12.75" customHeight="1" x14ac:dyDescent="0.2">
      <c r="A9272" s="258"/>
      <c r="Z9272" s="258"/>
    </row>
    <row r="9273" spans="1:26" ht="12.75" customHeight="1" x14ac:dyDescent="0.2">
      <c r="A9273" s="258"/>
      <c r="Z9273" s="258"/>
    </row>
    <row r="9274" spans="1:26" ht="12.75" customHeight="1" x14ac:dyDescent="0.2">
      <c r="A9274" s="258"/>
      <c r="Z9274" s="258"/>
    </row>
    <row r="9275" spans="1:26" ht="12.75" customHeight="1" x14ac:dyDescent="0.2">
      <c r="A9275" s="258"/>
      <c r="Z9275" s="258"/>
    </row>
    <row r="9276" spans="1:26" ht="12.75" customHeight="1" x14ac:dyDescent="0.2">
      <c r="A9276" s="258"/>
      <c r="Z9276" s="258"/>
    </row>
    <row r="9277" spans="1:26" ht="12.75" customHeight="1" x14ac:dyDescent="0.2">
      <c r="A9277" s="258"/>
      <c r="Z9277" s="258"/>
    </row>
    <row r="9278" spans="1:26" ht="12.75" customHeight="1" x14ac:dyDescent="0.2">
      <c r="A9278" s="258"/>
      <c r="Z9278" s="258"/>
    </row>
    <row r="9279" spans="1:26" ht="12.75" customHeight="1" x14ac:dyDescent="0.2">
      <c r="A9279" s="258"/>
      <c r="Z9279" s="258"/>
    </row>
    <row r="9280" spans="1:26" ht="12.75" customHeight="1" x14ac:dyDescent="0.2">
      <c r="A9280" s="258"/>
      <c r="Z9280" s="258"/>
    </row>
    <row r="9281" spans="1:26" ht="12.75" customHeight="1" x14ac:dyDescent="0.2">
      <c r="A9281" s="258"/>
      <c r="Z9281" s="258"/>
    </row>
    <row r="9282" spans="1:26" ht="12.75" customHeight="1" x14ac:dyDescent="0.2">
      <c r="A9282" s="258"/>
      <c r="Z9282" s="258"/>
    </row>
    <row r="9283" spans="1:26" ht="12.75" customHeight="1" x14ac:dyDescent="0.2">
      <c r="A9283" s="258"/>
      <c r="Z9283" s="258"/>
    </row>
    <row r="9284" spans="1:26" ht="12.75" customHeight="1" x14ac:dyDescent="0.2">
      <c r="A9284" s="258"/>
      <c r="Z9284" s="258"/>
    </row>
    <row r="9285" spans="1:26" ht="12.75" customHeight="1" x14ac:dyDescent="0.2">
      <c r="A9285" s="258"/>
      <c r="Z9285" s="258"/>
    </row>
    <row r="9286" spans="1:26" ht="12.75" customHeight="1" x14ac:dyDescent="0.2">
      <c r="A9286" s="258"/>
      <c r="Z9286" s="258"/>
    </row>
    <row r="9287" spans="1:26" ht="12.75" customHeight="1" x14ac:dyDescent="0.2">
      <c r="A9287" s="258"/>
      <c r="Z9287" s="258"/>
    </row>
    <row r="9288" spans="1:26" ht="12.75" customHeight="1" x14ac:dyDescent="0.2">
      <c r="A9288" s="258"/>
      <c r="Z9288" s="258"/>
    </row>
    <row r="9289" spans="1:26" ht="12.75" customHeight="1" x14ac:dyDescent="0.2">
      <c r="A9289" s="258"/>
      <c r="Z9289" s="258"/>
    </row>
    <row r="9290" spans="1:26" ht="12.75" customHeight="1" x14ac:dyDescent="0.2">
      <c r="A9290" s="258"/>
      <c r="Z9290" s="258"/>
    </row>
    <row r="9291" spans="1:26" ht="12.75" customHeight="1" x14ac:dyDescent="0.2">
      <c r="A9291" s="258"/>
      <c r="Z9291" s="258"/>
    </row>
    <row r="9292" spans="1:26" ht="12.75" customHeight="1" x14ac:dyDescent="0.2">
      <c r="A9292" s="258"/>
      <c r="Z9292" s="258"/>
    </row>
    <row r="9293" spans="1:26" ht="12.75" customHeight="1" x14ac:dyDescent="0.2">
      <c r="A9293" s="258"/>
      <c r="Z9293" s="258"/>
    </row>
    <row r="9294" spans="1:26" ht="12.75" customHeight="1" x14ac:dyDescent="0.2">
      <c r="A9294" s="258"/>
      <c r="Z9294" s="258"/>
    </row>
    <row r="9295" spans="1:26" ht="12.75" customHeight="1" x14ac:dyDescent="0.2">
      <c r="A9295" s="258"/>
      <c r="Z9295" s="258"/>
    </row>
    <row r="9296" spans="1:26" ht="12.75" customHeight="1" x14ac:dyDescent="0.2">
      <c r="A9296" s="258"/>
      <c r="Z9296" s="258"/>
    </row>
    <row r="9297" spans="1:26" ht="12.75" customHeight="1" x14ac:dyDescent="0.2">
      <c r="A9297" s="258"/>
      <c r="Z9297" s="258"/>
    </row>
    <row r="9298" spans="1:26" ht="12.75" customHeight="1" x14ac:dyDescent="0.2">
      <c r="A9298" s="258"/>
      <c r="Z9298" s="258"/>
    </row>
    <row r="9299" spans="1:26" ht="12.75" customHeight="1" x14ac:dyDescent="0.2">
      <c r="A9299" s="258"/>
      <c r="Z9299" s="258"/>
    </row>
    <row r="9300" spans="1:26" ht="12.75" customHeight="1" x14ac:dyDescent="0.2">
      <c r="A9300" s="258"/>
      <c r="Z9300" s="258"/>
    </row>
    <row r="9301" spans="1:26" ht="12.75" customHeight="1" x14ac:dyDescent="0.2">
      <c r="A9301" s="258"/>
      <c r="Z9301" s="258"/>
    </row>
    <row r="9302" spans="1:26" ht="12.75" customHeight="1" x14ac:dyDescent="0.2">
      <c r="A9302" s="258"/>
      <c r="Z9302" s="258"/>
    </row>
    <row r="9303" spans="1:26" ht="12.75" customHeight="1" x14ac:dyDescent="0.2">
      <c r="A9303" s="258"/>
      <c r="Z9303" s="258"/>
    </row>
    <row r="9304" spans="1:26" ht="12.75" customHeight="1" x14ac:dyDescent="0.2">
      <c r="A9304" s="258"/>
      <c r="Z9304" s="258"/>
    </row>
    <row r="9305" spans="1:26" ht="12.75" customHeight="1" x14ac:dyDescent="0.2">
      <c r="A9305" s="258"/>
      <c r="Z9305" s="258"/>
    </row>
    <row r="9306" spans="1:26" ht="12.75" customHeight="1" x14ac:dyDescent="0.2">
      <c r="A9306" s="258"/>
      <c r="Z9306" s="258"/>
    </row>
    <row r="9307" spans="1:26" ht="12.75" customHeight="1" x14ac:dyDescent="0.2">
      <c r="A9307" s="258"/>
      <c r="Z9307" s="258"/>
    </row>
    <row r="9308" spans="1:26" ht="12.75" customHeight="1" x14ac:dyDescent="0.2">
      <c r="A9308" s="258"/>
      <c r="Z9308" s="258"/>
    </row>
    <row r="9309" spans="1:26" ht="12.75" customHeight="1" x14ac:dyDescent="0.2">
      <c r="A9309" s="258"/>
      <c r="Z9309" s="258"/>
    </row>
    <row r="9310" spans="1:26" ht="12.75" customHeight="1" x14ac:dyDescent="0.2">
      <c r="A9310" s="258"/>
      <c r="Z9310" s="258"/>
    </row>
    <row r="9311" spans="1:26" ht="12.75" customHeight="1" x14ac:dyDescent="0.2">
      <c r="A9311" s="258"/>
      <c r="Z9311" s="258"/>
    </row>
    <row r="9312" spans="1:26" ht="12.75" customHeight="1" x14ac:dyDescent="0.2">
      <c r="A9312" s="258"/>
      <c r="Z9312" s="258"/>
    </row>
    <row r="9313" spans="1:26" ht="12.75" customHeight="1" x14ac:dyDescent="0.2">
      <c r="A9313" s="258"/>
      <c r="Z9313" s="258"/>
    </row>
    <row r="9314" spans="1:26" ht="12.75" customHeight="1" x14ac:dyDescent="0.2">
      <c r="A9314" s="258"/>
      <c r="Z9314" s="258"/>
    </row>
    <row r="9315" spans="1:26" ht="12.75" customHeight="1" x14ac:dyDescent="0.2">
      <c r="A9315" s="258"/>
      <c r="Z9315" s="258"/>
    </row>
    <row r="9316" spans="1:26" ht="12.75" customHeight="1" x14ac:dyDescent="0.2">
      <c r="A9316" s="258"/>
      <c r="Z9316" s="258"/>
    </row>
    <row r="9317" spans="1:26" ht="12.75" customHeight="1" x14ac:dyDescent="0.2">
      <c r="A9317" s="258"/>
      <c r="Z9317" s="258"/>
    </row>
    <row r="9318" spans="1:26" ht="12.75" customHeight="1" x14ac:dyDescent="0.2">
      <c r="A9318" s="258"/>
      <c r="Z9318" s="258"/>
    </row>
    <row r="9319" spans="1:26" ht="12.75" customHeight="1" x14ac:dyDescent="0.2">
      <c r="A9319" s="258"/>
      <c r="Z9319" s="258"/>
    </row>
    <row r="9320" spans="1:26" ht="12.75" customHeight="1" x14ac:dyDescent="0.2">
      <c r="A9320" s="258"/>
      <c r="Z9320" s="258"/>
    </row>
    <row r="9321" spans="1:26" ht="12.75" customHeight="1" x14ac:dyDescent="0.2">
      <c r="A9321" s="258"/>
      <c r="Z9321" s="258"/>
    </row>
    <row r="9322" spans="1:26" ht="12.75" customHeight="1" x14ac:dyDescent="0.2">
      <c r="A9322" s="258"/>
      <c r="Z9322" s="258"/>
    </row>
    <row r="9323" spans="1:26" ht="12.75" customHeight="1" x14ac:dyDescent="0.2">
      <c r="A9323" s="258"/>
      <c r="Z9323" s="258"/>
    </row>
    <row r="9324" spans="1:26" ht="12.75" customHeight="1" x14ac:dyDescent="0.2">
      <c r="A9324" s="258"/>
      <c r="Z9324" s="258"/>
    </row>
    <row r="9325" spans="1:26" ht="12.75" customHeight="1" x14ac:dyDescent="0.2">
      <c r="A9325" s="258"/>
      <c r="Z9325" s="258"/>
    </row>
    <row r="9326" spans="1:26" ht="12.75" customHeight="1" x14ac:dyDescent="0.2">
      <c r="A9326" s="258"/>
      <c r="Z9326" s="258"/>
    </row>
    <row r="9327" spans="1:26" ht="12.75" customHeight="1" x14ac:dyDescent="0.2">
      <c r="A9327" s="258"/>
      <c r="Z9327" s="258"/>
    </row>
    <row r="9328" spans="1:26" ht="12.75" customHeight="1" x14ac:dyDescent="0.2">
      <c r="A9328" s="258"/>
      <c r="Z9328" s="258"/>
    </row>
    <row r="9329" spans="1:26" ht="12.75" customHeight="1" x14ac:dyDescent="0.2">
      <c r="A9329" s="258"/>
      <c r="Z9329" s="258"/>
    </row>
    <row r="9330" spans="1:26" ht="12.75" customHeight="1" x14ac:dyDescent="0.2">
      <c r="A9330" s="258"/>
      <c r="Z9330" s="258"/>
    </row>
    <row r="9331" spans="1:26" ht="12.75" customHeight="1" x14ac:dyDescent="0.2">
      <c r="A9331" s="258"/>
      <c r="Z9331" s="258"/>
    </row>
    <row r="9332" spans="1:26" ht="12.75" customHeight="1" x14ac:dyDescent="0.2">
      <c r="A9332" s="258"/>
      <c r="Z9332" s="258"/>
    </row>
    <row r="9333" spans="1:26" ht="12.75" customHeight="1" x14ac:dyDescent="0.2">
      <c r="A9333" s="258"/>
      <c r="Z9333" s="258"/>
    </row>
    <row r="9334" spans="1:26" ht="12.75" customHeight="1" x14ac:dyDescent="0.2">
      <c r="A9334" s="258"/>
      <c r="Z9334" s="258"/>
    </row>
    <row r="9335" spans="1:26" ht="12.75" customHeight="1" x14ac:dyDescent="0.2">
      <c r="A9335" s="258"/>
      <c r="Z9335" s="258"/>
    </row>
    <row r="9336" spans="1:26" ht="12.75" customHeight="1" x14ac:dyDescent="0.2">
      <c r="A9336" s="258"/>
      <c r="Z9336" s="258"/>
    </row>
    <row r="9337" spans="1:26" ht="12.75" customHeight="1" x14ac:dyDescent="0.2">
      <c r="A9337" s="258"/>
      <c r="Z9337" s="258"/>
    </row>
    <row r="9338" spans="1:26" ht="12.75" customHeight="1" x14ac:dyDescent="0.2">
      <c r="A9338" s="258"/>
      <c r="Z9338" s="258"/>
    </row>
    <row r="9339" spans="1:26" ht="12.75" customHeight="1" x14ac:dyDescent="0.2">
      <c r="A9339" s="258"/>
      <c r="Z9339" s="258"/>
    </row>
    <row r="9340" spans="1:26" ht="12.75" customHeight="1" x14ac:dyDescent="0.2">
      <c r="A9340" s="258"/>
      <c r="Z9340" s="258"/>
    </row>
    <row r="9341" spans="1:26" ht="12.75" customHeight="1" x14ac:dyDescent="0.2">
      <c r="A9341" s="258"/>
      <c r="Z9341" s="258"/>
    </row>
    <row r="9342" spans="1:26" ht="12.75" customHeight="1" x14ac:dyDescent="0.2">
      <c r="A9342" s="258"/>
      <c r="Z9342" s="258"/>
    </row>
    <row r="9343" spans="1:26" ht="12.75" customHeight="1" x14ac:dyDescent="0.2">
      <c r="A9343" s="258"/>
      <c r="Z9343" s="258"/>
    </row>
    <row r="9344" spans="1:26" ht="12.75" customHeight="1" x14ac:dyDescent="0.2">
      <c r="A9344" s="258"/>
      <c r="Z9344" s="258"/>
    </row>
    <row r="9345" spans="1:26" ht="12.75" customHeight="1" x14ac:dyDescent="0.2">
      <c r="A9345" s="258"/>
      <c r="Z9345" s="258"/>
    </row>
    <row r="9346" spans="1:26" ht="12.75" customHeight="1" x14ac:dyDescent="0.2">
      <c r="A9346" s="258"/>
      <c r="Z9346" s="258"/>
    </row>
    <row r="9347" spans="1:26" ht="12.75" customHeight="1" x14ac:dyDescent="0.2">
      <c r="A9347" s="258"/>
      <c r="Z9347" s="258"/>
    </row>
    <row r="9348" spans="1:26" ht="12.75" customHeight="1" x14ac:dyDescent="0.2">
      <c r="A9348" s="258"/>
      <c r="Z9348" s="258"/>
    </row>
    <row r="9349" spans="1:26" ht="12.75" customHeight="1" x14ac:dyDescent="0.2">
      <c r="A9349" s="258"/>
      <c r="Z9349" s="258"/>
    </row>
    <row r="9350" spans="1:26" ht="12.75" customHeight="1" x14ac:dyDescent="0.2">
      <c r="A9350" s="258"/>
      <c r="Z9350" s="258"/>
    </row>
    <row r="9351" spans="1:26" ht="12.75" customHeight="1" x14ac:dyDescent="0.2">
      <c r="A9351" s="258"/>
      <c r="Z9351" s="258"/>
    </row>
    <row r="9352" spans="1:26" ht="12.75" customHeight="1" x14ac:dyDescent="0.2">
      <c r="A9352" s="258"/>
      <c r="Z9352" s="258"/>
    </row>
    <row r="9353" spans="1:26" ht="12.75" customHeight="1" x14ac:dyDescent="0.2">
      <c r="A9353" s="258"/>
      <c r="Z9353" s="258"/>
    </row>
    <row r="9354" spans="1:26" ht="12.75" customHeight="1" x14ac:dyDescent="0.2">
      <c r="A9354" s="258"/>
      <c r="Z9354" s="258"/>
    </row>
    <row r="9355" spans="1:26" ht="12.75" customHeight="1" x14ac:dyDescent="0.2">
      <c r="A9355" s="258"/>
      <c r="Z9355" s="258"/>
    </row>
    <row r="9356" spans="1:26" ht="12.75" customHeight="1" x14ac:dyDescent="0.2">
      <c r="A9356" s="258"/>
      <c r="Z9356" s="258"/>
    </row>
    <row r="9357" spans="1:26" ht="12.75" customHeight="1" x14ac:dyDescent="0.2">
      <c r="A9357" s="258"/>
      <c r="Z9357" s="258"/>
    </row>
    <row r="9358" spans="1:26" ht="12.75" customHeight="1" x14ac:dyDescent="0.2">
      <c r="A9358" s="258"/>
      <c r="Z9358" s="258"/>
    </row>
    <row r="9359" spans="1:26" ht="12.75" customHeight="1" x14ac:dyDescent="0.2">
      <c r="A9359" s="258"/>
      <c r="Z9359" s="258"/>
    </row>
    <row r="9360" spans="1:26" ht="12.75" customHeight="1" x14ac:dyDescent="0.2">
      <c r="A9360" s="258"/>
      <c r="Z9360" s="258"/>
    </row>
    <row r="9361" spans="1:26" ht="12.75" customHeight="1" x14ac:dyDescent="0.2">
      <c r="A9361" s="258"/>
      <c r="Z9361" s="258"/>
    </row>
    <row r="9362" spans="1:26" ht="12.75" customHeight="1" x14ac:dyDescent="0.2">
      <c r="A9362" s="258"/>
      <c r="Z9362" s="258"/>
    </row>
    <row r="9363" spans="1:26" ht="12.75" customHeight="1" x14ac:dyDescent="0.2">
      <c r="A9363" s="258"/>
      <c r="Z9363" s="258"/>
    </row>
    <row r="9364" spans="1:26" ht="12.75" customHeight="1" x14ac:dyDescent="0.2">
      <c r="A9364" s="258"/>
      <c r="Z9364" s="258"/>
    </row>
    <row r="9365" spans="1:26" ht="12.75" customHeight="1" x14ac:dyDescent="0.2">
      <c r="A9365" s="258"/>
      <c r="Z9365" s="258"/>
    </row>
    <row r="9366" spans="1:26" ht="12.75" customHeight="1" x14ac:dyDescent="0.2">
      <c r="A9366" s="258"/>
      <c r="Z9366" s="258"/>
    </row>
    <row r="9367" spans="1:26" ht="12.75" customHeight="1" x14ac:dyDescent="0.2">
      <c r="A9367" s="258"/>
      <c r="Z9367" s="258"/>
    </row>
    <row r="9368" spans="1:26" ht="12.75" customHeight="1" x14ac:dyDescent="0.2">
      <c r="A9368" s="258"/>
      <c r="Z9368" s="258"/>
    </row>
    <row r="9369" spans="1:26" ht="12.75" customHeight="1" x14ac:dyDescent="0.2">
      <c r="A9369" s="258"/>
      <c r="Z9369" s="258"/>
    </row>
    <row r="9370" spans="1:26" ht="12.75" customHeight="1" x14ac:dyDescent="0.2">
      <c r="A9370" s="258"/>
      <c r="Z9370" s="258"/>
    </row>
    <row r="9371" spans="1:26" ht="12.75" customHeight="1" x14ac:dyDescent="0.2">
      <c r="A9371" s="258"/>
      <c r="Z9371" s="258"/>
    </row>
    <row r="9372" spans="1:26" ht="12.75" customHeight="1" x14ac:dyDescent="0.2">
      <c r="A9372" s="258"/>
      <c r="Z9372" s="258"/>
    </row>
    <row r="9373" spans="1:26" ht="12.75" customHeight="1" x14ac:dyDescent="0.2">
      <c r="A9373" s="258"/>
      <c r="Z9373" s="258"/>
    </row>
    <row r="9374" spans="1:26" ht="12.75" customHeight="1" x14ac:dyDescent="0.2">
      <c r="A9374" s="258"/>
      <c r="Z9374" s="258"/>
    </row>
    <row r="9375" spans="1:26" ht="12.75" customHeight="1" x14ac:dyDescent="0.2">
      <c r="A9375" s="258"/>
      <c r="Z9375" s="258"/>
    </row>
    <row r="9376" spans="1:26" ht="12.75" customHeight="1" x14ac:dyDescent="0.2">
      <c r="A9376" s="258"/>
      <c r="Z9376" s="258"/>
    </row>
    <row r="9377" spans="1:26" ht="12.75" customHeight="1" x14ac:dyDescent="0.2">
      <c r="A9377" s="258"/>
      <c r="Z9377" s="258"/>
    </row>
    <row r="9378" spans="1:26" ht="12.75" customHeight="1" x14ac:dyDescent="0.2">
      <c r="A9378" s="258"/>
      <c r="Z9378" s="258"/>
    </row>
    <row r="9379" spans="1:26" ht="12.75" customHeight="1" x14ac:dyDescent="0.2">
      <c r="A9379" s="258"/>
      <c r="Z9379" s="258"/>
    </row>
    <row r="9380" spans="1:26" ht="12.75" customHeight="1" x14ac:dyDescent="0.2">
      <c r="A9380" s="258"/>
      <c r="Z9380" s="258"/>
    </row>
    <row r="9381" spans="1:26" ht="12.75" customHeight="1" x14ac:dyDescent="0.2">
      <c r="A9381" s="258"/>
      <c r="Z9381" s="258"/>
    </row>
    <row r="9382" spans="1:26" ht="12.75" customHeight="1" x14ac:dyDescent="0.2">
      <c r="A9382" s="258"/>
      <c r="Z9382" s="258"/>
    </row>
    <row r="9383" spans="1:26" ht="12.75" customHeight="1" x14ac:dyDescent="0.2">
      <c r="A9383" s="258"/>
      <c r="Z9383" s="258"/>
    </row>
    <row r="9384" spans="1:26" ht="12.75" customHeight="1" x14ac:dyDescent="0.2">
      <c r="A9384" s="258"/>
      <c r="Z9384" s="258"/>
    </row>
    <row r="9385" spans="1:26" ht="12.75" customHeight="1" x14ac:dyDescent="0.2">
      <c r="A9385" s="258"/>
      <c r="Z9385" s="258"/>
    </row>
    <row r="9386" spans="1:26" ht="12.75" customHeight="1" x14ac:dyDescent="0.2">
      <c r="A9386" s="258"/>
      <c r="Z9386" s="258"/>
    </row>
    <row r="9387" spans="1:26" ht="12.75" customHeight="1" x14ac:dyDescent="0.2">
      <c r="A9387" s="258"/>
      <c r="Z9387" s="258"/>
    </row>
    <row r="9388" spans="1:26" ht="12.75" customHeight="1" x14ac:dyDescent="0.2">
      <c r="A9388" s="258"/>
      <c r="Z9388" s="258"/>
    </row>
    <row r="9389" spans="1:26" ht="12.75" customHeight="1" x14ac:dyDescent="0.2">
      <c r="A9389" s="258"/>
      <c r="Z9389" s="258"/>
    </row>
    <row r="9390" spans="1:26" ht="12.75" customHeight="1" x14ac:dyDescent="0.2">
      <c r="A9390" s="258"/>
      <c r="Z9390" s="258"/>
    </row>
    <row r="9391" spans="1:26" ht="12.75" customHeight="1" x14ac:dyDescent="0.2">
      <c r="A9391" s="258"/>
      <c r="Z9391" s="258"/>
    </row>
    <row r="9392" spans="1:26" ht="12.75" customHeight="1" x14ac:dyDescent="0.2">
      <c r="A9392" s="258"/>
      <c r="Z9392" s="258"/>
    </row>
    <row r="9393" spans="1:26" ht="12.75" customHeight="1" x14ac:dyDescent="0.2">
      <c r="A9393" s="258"/>
      <c r="Z9393" s="258"/>
    </row>
    <row r="9394" spans="1:26" ht="12.75" customHeight="1" x14ac:dyDescent="0.2">
      <c r="A9394" s="258"/>
      <c r="Z9394" s="258"/>
    </row>
    <row r="9395" spans="1:26" ht="12.75" customHeight="1" x14ac:dyDescent="0.2">
      <c r="A9395" s="258"/>
      <c r="Z9395" s="258"/>
    </row>
    <row r="9396" spans="1:26" ht="12.75" customHeight="1" x14ac:dyDescent="0.2">
      <c r="A9396" s="258"/>
      <c r="Z9396" s="258"/>
    </row>
    <row r="9397" spans="1:26" ht="12.75" customHeight="1" x14ac:dyDescent="0.2">
      <c r="A9397" s="258"/>
      <c r="Z9397" s="258"/>
    </row>
    <row r="9398" spans="1:26" ht="12.75" customHeight="1" x14ac:dyDescent="0.2">
      <c r="A9398" s="258"/>
      <c r="Z9398" s="258"/>
    </row>
    <row r="9399" spans="1:26" ht="12.75" customHeight="1" x14ac:dyDescent="0.2">
      <c r="A9399" s="258"/>
      <c r="Z9399" s="258"/>
    </row>
    <row r="9400" spans="1:26" ht="12.75" customHeight="1" x14ac:dyDescent="0.2">
      <c r="A9400" s="258"/>
      <c r="Z9400" s="258"/>
    </row>
    <row r="9401" spans="1:26" ht="12.75" customHeight="1" x14ac:dyDescent="0.2">
      <c r="A9401" s="258"/>
      <c r="Z9401" s="258"/>
    </row>
    <row r="9402" spans="1:26" ht="12.75" customHeight="1" x14ac:dyDescent="0.2">
      <c r="A9402" s="258"/>
      <c r="Z9402" s="258"/>
    </row>
    <row r="9403" spans="1:26" ht="12.75" customHeight="1" x14ac:dyDescent="0.2">
      <c r="A9403" s="258"/>
      <c r="Z9403" s="258"/>
    </row>
    <row r="9404" spans="1:26" ht="12.75" customHeight="1" x14ac:dyDescent="0.2">
      <c r="A9404" s="258"/>
      <c r="Z9404" s="258"/>
    </row>
    <row r="9405" spans="1:26" ht="12.75" customHeight="1" x14ac:dyDescent="0.2">
      <c r="A9405" s="258"/>
      <c r="Z9405" s="258"/>
    </row>
    <row r="9406" spans="1:26" ht="12.75" customHeight="1" x14ac:dyDescent="0.2">
      <c r="A9406" s="258"/>
      <c r="Z9406" s="258"/>
    </row>
    <row r="9407" spans="1:26" ht="12.75" customHeight="1" x14ac:dyDescent="0.2">
      <c r="A9407" s="258"/>
      <c r="Z9407" s="258"/>
    </row>
    <row r="9408" spans="1:26" ht="12.75" customHeight="1" x14ac:dyDescent="0.2">
      <c r="A9408" s="258"/>
      <c r="Z9408" s="258"/>
    </row>
    <row r="9409" spans="1:26" ht="12.75" customHeight="1" x14ac:dyDescent="0.2">
      <c r="A9409" s="258"/>
      <c r="Z9409" s="258"/>
    </row>
    <row r="9410" spans="1:26" ht="12.75" customHeight="1" x14ac:dyDescent="0.2">
      <c r="A9410" s="258"/>
      <c r="Z9410" s="258"/>
    </row>
    <row r="9411" spans="1:26" ht="12.75" customHeight="1" x14ac:dyDescent="0.2">
      <c r="A9411" s="258"/>
      <c r="Z9411" s="258"/>
    </row>
    <row r="9412" spans="1:26" ht="12.75" customHeight="1" x14ac:dyDescent="0.2">
      <c r="A9412" s="258"/>
      <c r="Z9412" s="258"/>
    </row>
    <row r="9413" spans="1:26" ht="12.75" customHeight="1" x14ac:dyDescent="0.2">
      <c r="A9413" s="258"/>
      <c r="Z9413" s="258"/>
    </row>
    <row r="9414" spans="1:26" ht="12.75" customHeight="1" x14ac:dyDescent="0.2">
      <c r="A9414" s="258"/>
      <c r="Z9414" s="258"/>
    </row>
    <row r="9415" spans="1:26" ht="12.75" customHeight="1" x14ac:dyDescent="0.2">
      <c r="A9415" s="258"/>
      <c r="Z9415" s="258"/>
    </row>
    <row r="9416" spans="1:26" ht="12.75" customHeight="1" x14ac:dyDescent="0.2">
      <c r="A9416" s="258"/>
      <c r="Z9416" s="258"/>
    </row>
    <row r="9417" spans="1:26" ht="12.75" customHeight="1" x14ac:dyDescent="0.2">
      <c r="A9417" s="258"/>
      <c r="Z9417" s="258"/>
    </row>
    <row r="9418" spans="1:26" ht="12.75" customHeight="1" x14ac:dyDescent="0.2">
      <c r="A9418" s="258"/>
      <c r="Z9418" s="258"/>
    </row>
    <row r="9419" spans="1:26" ht="12.75" customHeight="1" x14ac:dyDescent="0.2">
      <c r="A9419" s="258"/>
      <c r="Z9419" s="258"/>
    </row>
    <row r="9420" spans="1:26" ht="12.75" customHeight="1" x14ac:dyDescent="0.2">
      <c r="A9420" s="258"/>
      <c r="Z9420" s="258"/>
    </row>
    <row r="9421" spans="1:26" ht="12.75" customHeight="1" x14ac:dyDescent="0.2">
      <c r="A9421" s="258"/>
      <c r="Z9421" s="258"/>
    </row>
    <row r="9422" spans="1:26" ht="12.75" customHeight="1" x14ac:dyDescent="0.2">
      <c r="A9422" s="258"/>
      <c r="Z9422" s="258"/>
    </row>
    <row r="9423" spans="1:26" ht="12.75" customHeight="1" x14ac:dyDescent="0.2">
      <c r="A9423" s="258"/>
      <c r="Z9423" s="258"/>
    </row>
    <row r="9424" spans="1:26" ht="12.75" customHeight="1" x14ac:dyDescent="0.2">
      <c r="A9424" s="258"/>
      <c r="Z9424" s="258"/>
    </row>
    <row r="9425" spans="1:26" ht="12.75" customHeight="1" x14ac:dyDescent="0.2">
      <c r="A9425" s="258"/>
      <c r="Z9425" s="258"/>
    </row>
    <row r="9426" spans="1:26" ht="12.75" customHeight="1" x14ac:dyDescent="0.2">
      <c r="A9426" s="258"/>
      <c r="Z9426" s="258"/>
    </row>
    <row r="9427" spans="1:26" ht="12.75" customHeight="1" x14ac:dyDescent="0.2">
      <c r="A9427" s="258"/>
      <c r="Z9427" s="258"/>
    </row>
    <row r="9428" spans="1:26" ht="12.75" customHeight="1" x14ac:dyDescent="0.2">
      <c r="A9428" s="258"/>
      <c r="Z9428" s="258"/>
    </row>
    <row r="9429" spans="1:26" ht="12.75" customHeight="1" x14ac:dyDescent="0.2">
      <c r="A9429" s="258"/>
      <c r="Z9429" s="258"/>
    </row>
    <row r="9430" spans="1:26" ht="12.75" customHeight="1" x14ac:dyDescent="0.2">
      <c r="A9430" s="258"/>
      <c r="Z9430" s="258"/>
    </row>
    <row r="9431" spans="1:26" ht="12.75" customHeight="1" x14ac:dyDescent="0.2">
      <c r="A9431" s="258"/>
      <c r="Z9431" s="258"/>
    </row>
    <row r="9432" spans="1:26" ht="12.75" customHeight="1" x14ac:dyDescent="0.2">
      <c r="A9432" s="258"/>
      <c r="Z9432" s="258"/>
    </row>
    <row r="9433" spans="1:26" ht="12.75" customHeight="1" x14ac:dyDescent="0.2">
      <c r="A9433" s="258"/>
      <c r="Z9433" s="258"/>
    </row>
    <row r="9434" spans="1:26" ht="12.75" customHeight="1" x14ac:dyDescent="0.2">
      <c r="A9434" s="258"/>
      <c r="Z9434" s="258"/>
    </row>
    <row r="9435" spans="1:26" ht="12.75" customHeight="1" x14ac:dyDescent="0.2">
      <c r="A9435" s="258"/>
      <c r="Z9435" s="258"/>
    </row>
    <row r="9436" spans="1:26" ht="12.75" customHeight="1" x14ac:dyDescent="0.2">
      <c r="A9436" s="258"/>
      <c r="Z9436" s="258"/>
    </row>
    <row r="9437" spans="1:26" ht="12.75" customHeight="1" x14ac:dyDescent="0.2">
      <c r="A9437" s="258"/>
      <c r="Z9437" s="258"/>
    </row>
    <row r="9438" spans="1:26" ht="12.75" customHeight="1" x14ac:dyDescent="0.2">
      <c r="A9438" s="258"/>
      <c r="Z9438" s="258"/>
    </row>
    <row r="9439" spans="1:26" ht="12.75" customHeight="1" x14ac:dyDescent="0.2">
      <c r="A9439" s="258"/>
      <c r="Z9439" s="258"/>
    </row>
    <row r="9440" spans="1:26" ht="12.75" customHeight="1" x14ac:dyDescent="0.2">
      <c r="A9440" s="258"/>
      <c r="Z9440" s="258"/>
    </row>
    <row r="9441" spans="1:26" ht="12.75" customHeight="1" x14ac:dyDescent="0.2">
      <c r="A9441" s="258"/>
      <c r="Z9441" s="258"/>
    </row>
    <row r="9442" spans="1:26" ht="12.75" customHeight="1" x14ac:dyDescent="0.2">
      <c r="A9442" s="258"/>
      <c r="Z9442" s="258"/>
    </row>
    <row r="9443" spans="1:26" ht="12.75" customHeight="1" x14ac:dyDescent="0.2">
      <c r="A9443" s="258"/>
      <c r="Z9443" s="258"/>
    </row>
    <row r="9444" spans="1:26" ht="12.75" customHeight="1" x14ac:dyDescent="0.2">
      <c r="A9444" s="258"/>
      <c r="Z9444" s="258"/>
    </row>
    <row r="9445" spans="1:26" ht="12.75" customHeight="1" x14ac:dyDescent="0.2">
      <c r="A9445" s="258"/>
      <c r="Z9445" s="258"/>
    </row>
    <row r="9446" spans="1:26" ht="12.75" customHeight="1" x14ac:dyDescent="0.2">
      <c r="A9446" s="258"/>
      <c r="Z9446" s="258"/>
    </row>
    <row r="9447" spans="1:26" ht="12.75" customHeight="1" x14ac:dyDescent="0.2">
      <c r="A9447" s="258"/>
      <c r="Z9447" s="258"/>
    </row>
    <row r="9448" spans="1:26" ht="12.75" customHeight="1" x14ac:dyDescent="0.2">
      <c r="A9448" s="258"/>
      <c r="Z9448" s="258"/>
    </row>
    <row r="9449" spans="1:26" ht="12.75" customHeight="1" x14ac:dyDescent="0.2">
      <c r="A9449" s="258"/>
      <c r="Z9449" s="258"/>
    </row>
    <row r="9450" spans="1:26" ht="12.75" customHeight="1" x14ac:dyDescent="0.2">
      <c r="A9450" s="258"/>
      <c r="Z9450" s="258"/>
    </row>
    <row r="9451" spans="1:26" ht="12.75" customHeight="1" x14ac:dyDescent="0.2">
      <c r="A9451" s="258"/>
      <c r="Z9451" s="258"/>
    </row>
    <row r="9452" spans="1:26" ht="12.75" customHeight="1" x14ac:dyDescent="0.2">
      <c r="A9452" s="258"/>
      <c r="Z9452" s="258"/>
    </row>
    <row r="9453" spans="1:26" ht="12.75" customHeight="1" x14ac:dyDescent="0.2">
      <c r="A9453" s="258"/>
      <c r="Z9453" s="258"/>
    </row>
    <row r="9454" spans="1:26" ht="12.75" customHeight="1" x14ac:dyDescent="0.2">
      <c r="A9454" s="258"/>
      <c r="Z9454" s="258"/>
    </row>
    <row r="9455" spans="1:26" ht="12.75" customHeight="1" x14ac:dyDescent="0.2">
      <c r="A9455" s="258"/>
      <c r="Z9455" s="258"/>
    </row>
    <row r="9456" spans="1:26" ht="12.75" customHeight="1" x14ac:dyDescent="0.2">
      <c r="A9456" s="258"/>
      <c r="Z9456" s="258"/>
    </row>
    <row r="9457" spans="1:26" ht="12.75" customHeight="1" x14ac:dyDescent="0.2">
      <c r="A9457" s="258"/>
      <c r="Z9457" s="258"/>
    </row>
    <row r="9458" spans="1:26" ht="12.75" customHeight="1" x14ac:dyDescent="0.2">
      <c r="A9458" s="258"/>
      <c r="Z9458" s="258"/>
    </row>
    <row r="9459" spans="1:26" ht="12.75" customHeight="1" x14ac:dyDescent="0.2">
      <c r="A9459" s="258"/>
      <c r="Z9459" s="258"/>
    </row>
    <row r="9460" spans="1:26" ht="12.75" customHeight="1" x14ac:dyDescent="0.2">
      <c r="A9460" s="258"/>
      <c r="Z9460" s="258"/>
    </row>
    <row r="9461" spans="1:26" ht="12.75" customHeight="1" x14ac:dyDescent="0.2">
      <c r="A9461" s="258"/>
      <c r="Z9461" s="258"/>
    </row>
    <row r="9462" spans="1:26" ht="12.75" customHeight="1" x14ac:dyDescent="0.2">
      <c r="A9462" s="258"/>
      <c r="Z9462" s="258"/>
    </row>
    <row r="9463" spans="1:26" ht="12.75" customHeight="1" x14ac:dyDescent="0.2">
      <c r="A9463" s="258"/>
      <c r="Z9463" s="258"/>
    </row>
    <row r="9464" spans="1:26" ht="12.75" customHeight="1" x14ac:dyDescent="0.2">
      <c r="A9464" s="258"/>
      <c r="Z9464" s="258"/>
    </row>
    <row r="9465" spans="1:26" ht="12.75" customHeight="1" x14ac:dyDescent="0.2">
      <c r="A9465" s="258"/>
      <c r="Z9465" s="258"/>
    </row>
    <row r="9466" spans="1:26" ht="12.75" customHeight="1" x14ac:dyDescent="0.2">
      <c r="A9466" s="258"/>
      <c r="Z9466" s="258"/>
    </row>
    <row r="9467" spans="1:26" ht="12.75" customHeight="1" x14ac:dyDescent="0.2">
      <c r="A9467" s="258"/>
      <c r="Z9467" s="258"/>
    </row>
    <row r="9468" spans="1:26" ht="12.75" customHeight="1" x14ac:dyDescent="0.2">
      <c r="A9468" s="258"/>
      <c r="Z9468" s="258"/>
    </row>
    <row r="9469" spans="1:26" ht="12.75" customHeight="1" x14ac:dyDescent="0.2">
      <c r="A9469" s="258"/>
      <c r="Z9469" s="258"/>
    </row>
    <row r="9470" spans="1:26" ht="12.75" customHeight="1" x14ac:dyDescent="0.2">
      <c r="A9470" s="258"/>
      <c r="Z9470" s="258"/>
    </row>
    <row r="9471" spans="1:26" ht="12.75" customHeight="1" x14ac:dyDescent="0.2">
      <c r="A9471" s="258"/>
      <c r="Z9471" s="258"/>
    </row>
    <row r="9472" spans="1:26" ht="12.75" customHeight="1" x14ac:dyDescent="0.2">
      <c r="A9472" s="258"/>
      <c r="Z9472" s="258"/>
    </row>
    <row r="9473" spans="1:26" ht="12.75" customHeight="1" x14ac:dyDescent="0.2">
      <c r="A9473" s="258"/>
      <c r="Z9473" s="258"/>
    </row>
    <row r="9474" spans="1:26" ht="12.75" customHeight="1" x14ac:dyDescent="0.2">
      <c r="A9474" s="258"/>
      <c r="Z9474" s="258"/>
    </row>
    <row r="9475" spans="1:26" ht="12.75" customHeight="1" x14ac:dyDescent="0.2">
      <c r="A9475" s="258"/>
      <c r="Z9475" s="258"/>
    </row>
    <row r="9476" spans="1:26" ht="12.75" customHeight="1" x14ac:dyDescent="0.2">
      <c r="A9476" s="258"/>
      <c r="Z9476" s="258"/>
    </row>
    <row r="9477" spans="1:26" ht="12.75" customHeight="1" x14ac:dyDescent="0.2">
      <c r="A9477" s="258"/>
      <c r="Z9477" s="258"/>
    </row>
    <row r="9478" spans="1:26" ht="12.75" customHeight="1" x14ac:dyDescent="0.2">
      <c r="A9478" s="258"/>
      <c r="Z9478" s="258"/>
    </row>
    <row r="9479" spans="1:26" ht="12.75" customHeight="1" x14ac:dyDescent="0.2">
      <c r="A9479" s="258"/>
      <c r="Z9479" s="258"/>
    </row>
    <row r="9480" spans="1:26" ht="12.75" customHeight="1" x14ac:dyDescent="0.2">
      <c r="A9480" s="258"/>
      <c r="Z9480" s="258"/>
    </row>
    <row r="9481" spans="1:26" ht="12.75" customHeight="1" x14ac:dyDescent="0.2">
      <c r="A9481" s="258"/>
      <c r="Z9481" s="258"/>
    </row>
    <row r="9482" spans="1:26" ht="12.75" customHeight="1" x14ac:dyDescent="0.2">
      <c r="A9482" s="258"/>
      <c r="Z9482" s="258"/>
    </row>
    <row r="9483" spans="1:26" ht="12.75" customHeight="1" x14ac:dyDescent="0.2">
      <c r="A9483" s="258"/>
      <c r="Z9483" s="258"/>
    </row>
    <row r="9484" spans="1:26" ht="12.75" customHeight="1" x14ac:dyDescent="0.2">
      <c r="A9484" s="258"/>
      <c r="Z9484" s="258"/>
    </row>
    <row r="9485" spans="1:26" ht="12.75" customHeight="1" x14ac:dyDescent="0.2">
      <c r="A9485" s="258"/>
      <c r="Z9485" s="258"/>
    </row>
    <row r="9486" spans="1:26" ht="12.75" customHeight="1" x14ac:dyDescent="0.2">
      <c r="A9486" s="258"/>
      <c r="Z9486" s="258"/>
    </row>
    <row r="9487" spans="1:26" ht="12.75" customHeight="1" x14ac:dyDescent="0.2">
      <c r="A9487" s="258"/>
      <c r="Z9487" s="258"/>
    </row>
    <row r="9488" spans="1:26" ht="12.75" customHeight="1" x14ac:dyDescent="0.2">
      <c r="A9488" s="258"/>
      <c r="Z9488" s="258"/>
    </row>
    <row r="9489" spans="1:26" ht="12.75" customHeight="1" x14ac:dyDescent="0.2">
      <c r="A9489" s="258"/>
      <c r="Z9489" s="258"/>
    </row>
    <row r="9490" spans="1:26" ht="12.75" customHeight="1" x14ac:dyDescent="0.2">
      <c r="A9490" s="258"/>
      <c r="Z9490" s="258"/>
    </row>
    <row r="9491" spans="1:26" ht="12.75" customHeight="1" x14ac:dyDescent="0.2">
      <c r="A9491" s="258"/>
      <c r="Z9491" s="258"/>
    </row>
    <row r="9492" spans="1:26" ht="12.75" customHeight="1" x14ac:dyDescent="0.2">
      <c r="A9492" s="258"/>
      <c r="Z9492" s="258"/>
    </row>
    <row r="9493" spans="1:26" ht="12.75" customHeight="1" x14ac:dyDescent="0.2">
      <c r="A9493" s="258"/>
      <c r="Z9493" s="258"/>
    </row>
    <row r="9494" spans="1:26" ht="12.75" customHeight="1" x14ac:dyDescent="0.2">
      <c r="A9494" s="258"/>
      <c r="Z9494" s="258"/>
    </row>
    <row r="9495" spans="1:26" ht="12.75" customHeight="1" x14ac:dyDescent="0.2">
      <c r="A9495" s="258"/>
      <c r="Z9495" s="258"/>
    </row>
    <row r="9496" spans="1:26" ht="12.75" customHeight="1" x14ac:dyDescent="0.2">
      <c r="A9496" s="258"/>
      <c r="Z9496" s="258"/>
    </row>
    <row r="9497" spans="1:26" ht="12.75" customHeight="1" x14ac:dyDescent="0.2">
      <c r="A9497" s="258"/>
      <c r="Z9497" s="258"/>
    </row>
    <row r="9498" spans="1:26" ht="12.75" customHeight="1" x14ac:dyDescent="0.2">
      <c r="A9498" s="258"/>
      <c r="Z9498" s="258"/>
    </row>
    <row r="9499" spans="1:26" ht="12.75" customHeight="1" x14ac:dyDescent="0.2">
      <c r="A9499" s="258"/>
      <c r="Z9499" s="258"/>
    </row>
    <row r="9500" spans="1:26" ht="12.75" customHeight="1" x14ac:dyDescent="0.2">
      <c r="A9500" s="258"/>
      <c r="Z9500" s="258"/>
    </row>
    <row r="9501" spans="1:26" ht="12.75" customHeight="1" x14ac:dyDescent="0.2">
      <c r="A9501" s="258"/>
      <c r="Z9501" s="258"/>
    </row>
    <row r="9502" spans="1:26" ht="12.75" customHeight="1" x14ac:dyDescent="0.2">
      <c r="A9502" s="258"/>
      <c r="Z9502" s="258"/>
    </row>
    <row r="9503" spans="1:26" ht="12.75" customHeight="1" x14ac:dyDescent="0.2">
      <c r="A9503" s="258"/>
      <c r="Z9503" s="258"/>
    </row>
    <row r="9504" spans="1:26" ht="12.75" customHeight="1" x14ac:dyDescent="0.2">
      <c r="A9504" s="258"/>
      <c r="Z9504" s="258"/>
    </row>
    <row r="9505" spans="1:26" ht="12.75" customHeight="1" x14ac:dyDescent="0.2">
      <c r="A9505" s="258"/>
      <c r="Z9505" s="258"/>
    </row>
    <row r="9506" spans="1:26" ht="12.75" customHeight="1" x14ac:dyDescent="0.2">
      <c r="A9506" s="258"/>
      <c r="Z9506" s="258"/>
    </row>
    <row r="9507" spans="1:26" ht="12.75" customHeight="1" x14ac:dyDescent="0.2">
      <c r="A9507" s="258"/>
      <c r="Z9507" s="258"/>
    </row>
    <row r="9508" spans="1:26" ht="12.75" customHeight="1" x14ac:dyDescent="0.2">
      <c r="A9508" s="258"/>
      <c r="Z9508" s="258"/>
    </row>
    <row r="9509" spans="1:26" ht="12.75" customHeight="1" x14ac:dyDescent="0.2">
      <c r="A9509" s="258"/>
      <c r="Z9509" s="258"/>
    </row>
    <row r="9510" spans="1:26" ht="12.75" customHeight="1" x14ac:dyDescent="0.2">
      <c r="A9510" s="258"/>
      <c r="Z9510" s="258"/>
    </row>
    <row r="9511" spans="1:26" ht="12.75" customHeight="1" x14ac:dyDescent="0.2">
      <c r="A9511" s="258"/>
      <c r="Z9511" s="258"/>
    </row>
    <row r="9512" spans="1:26" ht="12.75" customHeight="1" x14ac:dyDescent="0.2">
      <c r="A9512" s="258"/>
      <c r="Z9512" s="258"/>
    </row>
    <row r="9513" spans="1:26" ht="12.75" customHeight="1" x14ac:dyDescent="0.2">
      <c r="A9513" s="258"/>
      <c r="Z9513" s="258"/>
    </row>
    <row r="9514" spans="1:26" ht="12.75" customHeight="1" x14ac:dyDescent="0.2">
      <c r="A9514" s="258"/>
      <c r="Z9514" s="258"/>
    </row>
    <row r="9515" spans="1:26" ht="12.75" customHeight="1" x14ac:dyDescent="0.2">
      <c r="A9515" s="258"/>
      <c r="Z9515" s="258"/>
    </row>
    <row r="9516" spans="1:26" ht="12.75" customHeight="1" x14ac:dyDescent="0.2">
      <c r="A9516" s="258"/>
      <c r="Z9516" s="258"/>
    </row>
    <row r="9517" spans="1:26" ht="12.75" customHeight="1" x14ac:dyDescent="0.2">
      <c r="A9517" s="258"/>
      <c r="Z9517" s="258"/>
    </row>
    <row r="9518" spans="1:26" ht="12.75" customHeight="1" x14ac:dyDescent="0.2">
      <c r="A9518" s="258"/>
      <c r="Z9518" s="258"/>
    </row>
    <row r="9519" spans="1:26" ht="12.75" customHeight="1" x14ac:dyDescent="0.2">
      <c r="A9519" s="258"/>
      <c r="Z9519" s="258"/>
    </row>
    <row r="9520" spans="1:26" ht="12.75" customHeight="1" x14ac:dyDescent="0.2">
      <c r="A9520" s="258"/>
      <c r="Z9520" s="258"/>
    </row>
    <row r="9521" spans="1:26" ht="12.75" customHeight="1" x14ac:dyDescent="0.2">
      <c r="A9521" s="258"/>
      <c r="Z9521" s="258"/>
    </row>
    <row r="9522" spans="1:26" ht="12.75" customHeight="1" x14ac:dyDescent="0.2">
      <c r="A9522" s="258"/>
      <c r="Z9522" s="258"/>
    </row>
    <row r="9523" spans="1:26" ht="12.75" customHeight="1" x14ac:dyDescent="0.2">
      <c r="A9523" s="258"/>
      <c r="Z9523" s="258"/>
    </row>
    <row r="9524" spans="1:26" ht="12.75" customHeight="1" x14ac:dyDescent="0.2">
      <c r="A9524" s="258"/>
      <c r="Z9524" s="258"/>
    </row>
    <row r="9525" spans="1:26" ht="12.75" customHeight="1" x14ac:dyDescent="0.2">
      <c r="A9525" s="258"/>
      <c r="Z9525" s="258"/>
    </row>
    <row r="9526" spans="1:26" ht="12.75" customHeight="1" x14ac:dyDescent="0.2">
      <c r="A9526" s="258"/>
      <c r="Z9526" s="258"/>
    </row>
    <row r="9527" spans="1:26" ht="12.75" customHeight="1" x14ac:dyDescent="0.2">
      <c r="A9527" s="258"/>
      <c r="Z9527" s="258"/>
    </row>
    <row r="9528" spans="1:26" ht="12.75" customHeight="1" x14ac:dyDescent="0.2">
      <c r="A9528" s="258"/>
      <c r="Z9528" s="258"/>
    </row>
    <row r="9529" spans="1:26" ht="12.75" customHeight="1" x14ac:dyDescent="0.2">
      <c r="A9529" s="258"/>
      <c r="Z9529" s="258"/>
    </row>
    <row r="9530" spans="1:26" ht="12.75" customHeight="1" x14ac:dyDescent="0.2">
      <c r="A9530" s="258"/>
      <c r="Z9530" s="258"/>
    </row>
    <row r="9531" spans="1:26" ht="12.75" customHeight="1" x14ac:dyDescent="0.2">
      <c r="A9531" s="258"/>
      <c r="Z9531" s="258"/>
    </row>
    <row r="9532" spans="1:26" ht="12.75" customHeight="1" x14ac:dyDescent="0.2">
      <c r="A9532" s="258"/>
      <c r="Z9532" s="258"/>
    </row>
    <row r="9533" spans="1:26" ht="12.75" customHeight="1" x14ac:dyDescent="0.2">
      <c r="A9533" s="258"/>
      <c r="Z9533" s="258"/>
    </row>
    <row r="9534" spans="1:26" ht="12.75" customHeight="1" x14ac:dyDescent="0.2">
      <c r="A9534" s="258"/>
      <c r="Z9534" s="258"/>
    </row>
    <row r="9535" spans="1:26" ht="12.75" customHeight="1" x14ac:dyDescent="0.2">
      <c r="A9535" s="258"/>
      <c r="Z9535" s="258"/>
    </row>
    <row r="9536" spans="1:26" ht="12.75" customHeight="1" x14ac:dyDescent="0.2">
      <c r="A9536" s="258"/>
      <c r="Z9536" s="258"/>
    </row>
    <row r="9537" spans="1:26" ht="12.75" customHeight="1" x14ac:dyDescent="0.2">
      <c r="A9537" s="258"/>
      <c r="Z9537" s="258"/>
    </row>
    <row r="9538" spans="1:26" ht="12.75" customHeight="1" x14ac:dyDescent="0.2">
      <c r="A9538" s="258"/>
      <c r="Z9538" s="258"/>
    </row>
    <row r="9539" spans="1:26" ht="12.75" customHeight="1" x14ac:dyDescent="0.2">
      <c r="A9539" s="258"/>
      <c r="Z9539" s="258"/>
    </row>
    <row r="9540" spans="1:26" ht="12.75" customHeight="1" x14ac:dyDescent="0.2">
      <c r="A9540" s="258"/>
      <c r="Z9540" s="258"/>
    </row>
    <row r="9541" spans="1:26" ht="12.75" customHeight="1" x14ac:dyDescent="0.2">
      <c r="A9541" s="258"/>
      <c r="Z9541" s="258"/>
    </row>
    <row r="9542" spans="1:26" ht="12.75" customHeight="1" x14ac:dyDescent="0.2">
      <c r="A9542" s="258"/>
      <c r="Z9542" s="258"/>
    </row>
    <row r="9543" spans="1:26" ht="12.75" customHeight="1" x14ac:dyDescent="0.2">
      <c r="A9543" s="258"/>
      <c r="Z9543" s="258"/>
    </row>
    <row r="9544" spans="1:26" ht="12.75" customHeight="1" x14ac:dyDescent="0.2">
      <c r="A9544" s="258"/>
      <c r="Z9544" s="258"/>
    </row>
    <row r="9545" spans="1:26" ht="12.75" customHeight="1" x14ac:dyDescent="0.2">
      <c r="A9545" s="258"/>
      <c r="Z9545" s="258"/>
    </row>
    <row r="9546" spans="1:26" ht="12.75" customHeight="1" x14ac:dyDescent="0.2">
      <c r="A9546" s="258"/>
      <c r="Z9546" s="258"/>
    </row>
    <row r="9547" spans="1:26" ht="12.75" customHeight="1" x14ac:dyDescent="0.2">
      <c r="A9547" s="258"/>
      <c r="Z9547" s="258"/>
    </row>
    <row r="9548" spans="1:26" ht="12.75" customHeight="1" x14ac:dyDescent="0.2">
      <c r="A9548" s="258"/>
      <c r="Z9548" s="258"/>
    </row>
    <row r="9549" spans="1:26" ht="12.75" customHeight="1" x14ac:dyDescent="0.2">
      <c r="A9549" s="258"/>
      <c r="Z9549" s="258"/>
    </row>
    <row r="9550" spans="1:26" ht="12.75" customHeight="1" x14ac:dyDescent="0.2">
      <c r="A9550" s="258"/>
      <c r="Z9550" s="258"/>
    </row>
    <row r="9551" spans="1:26" ht="12.75" customHeight="1" x14ac:dyDescent="0.2">
      <c r="A9551" s="258"/>
      <c r="Z9551" s="258"/>
    </row>
    <row r="9552" spans="1:26" ht="12.75" customHeight="1" x14ac:dyDescent="0.2">
      <c r="A9552" s="258"/>
      <c r="Z9552" s="258"/>
    </row>
    <row r="9553" spans="1:26" ht="12.75" customHeight="1" x14ac:dyDescent="0.2">
      <c r="A9553" s="258"/>
      <c r="Z9553" s="258"/>
    </row>
    <row r="9554" spans="1:26" ht="12.75" customHeight="1" x14ac:dyDescent="0.2">
      <c r="A9554" s="258"/>
      <c r="Z9554" s="258"/>
    </row>
    <row r="9555" spans="1:26" ht="12.75" customHeight="1" x14ac:dyDescent="0.2">
      <c r="A9555" s="258"/>
      <c r="Z9555" s="258"/>
    </row>
    <row r="9556" spans="1:26" ht="12.75" customHeight="1" x14ac:dyDescent="0.2">
      <c r="A9556" s="258"/>
      <c r="Z9556" s="258"/>
    </row>
    <row r="9557" spans="1:26" ht="12.75" customHeight="1" x14ac:dyDescent="0.2">
      <c r="A9557" s="258"/>
      <c r="Z9557" s="258"/>
    </row>
    <row r="9558" spans="1:26" ht="12.75" customHeight="1" x14ac:dyDescent="0.2">
      <c r="A9558" s="258"/>
      <c r="Z9558" s="258"/>
    </row>
    <row r="9559" spans="1:26" ht="12.75" customHeight="1" x14ac:dyDescent="0.2">
      <c r="A9559" s="258"/>
      <c r="Z9559" s="258"/>
    </row>
    <row r="9560" spans="1:26" ht="12.75" customHeight="1" x14ac:dyDescent="0.2">
      <c r="A9560" s="258"/>
      <c r="Z9560" s="258"/>
    </row>
    <row r="9561" spans="1:26" ht="12.75" customHeight="1" x14ac:dyDescent="0.2">
      <c r="A9561" s="258"/>
      <c r="Z9561" s="258"/>
    </row>
    <row r="9562" spans="1:26" ht="12.75" customHeight="1" x14ac:dyDescent="0.2">
      <c r="A9562" s="258"/>
      <c r="Z9562" s="258"/>
    </row>
    <row r="9563" spans="1:26" ht="12.75" customHeight="1" x14ac:dyDescent="0.2">
      <c r="A9563" s="258"/>
      <c r="Z9563" s="258"/>
    </row>
    <row r="9564" spans="1:26" ht="12.75" customHeight="1" x14ac:dyDescent="0.2">
      <c r="A9564" s="258"/>
      <c r="Z9564" s="258"/>
    </row>
    <row r="9565" spans="1:26" ht="12.75" customHeight="1" x14ac:dyDescent="0.2">
      <c r="A9565" s="258"/>
      <c r="Z9565" s="258"/>
    </row>
    <row r="9566" spans="1:26" ht="12.75" customHeight="1" x14ac:dyDescent="0.2">
      <c r="A9566" s="258"/>
      <c r="Z9566" s="258"/>
    </row>
    <row r="9567" spans="1:26" ht="12.75" customHeight="1" x14ac:dyDescent="0.2">
      <c r="A9567" s="258"/>
      <c r="Z9567" s="258"/>
    </row>
    <row r="9568" spans="1:26" ht="12.75" customHeight="1" x14ac:dyDescent="0.2">
      <c r="A9568" s="258"/>
      <c r="Z9568" s="258"/>
    </row>
    <row r="9569" spans="1:26" ht="12.75" customHeight="1" x14ac:dyDescent="0.2">
      <c r="A9569" s="258"/>
      <c r="Z9569" s="258"/>
    </row>
    <row r="9570" spans="1:26" ht="12.75" customHeight="1" x14ac:dyDescent="0.2">
      <c r="A9570" s="258"/>
      <c r="Z9570" s="258"/>
    </row>
    <row r="9571" spans="1:26" ht="12.75" customHeight="1" x14ac:dyDescent="0.2">
      <c r="A9571" s="258"/>
      <c r="Z9571" s="258"/>
    </row>
    <row r="9572" spans="1:26" ht="12.75" customHeight="1" x14ac:dyDescent="0.2">
      <c r="A9572" s="258"/>
      <c r="Z9572" s="258"/>
    </row>
    <row r="9573" spans="1:26" ht="12.75" customHeight="1" x14ac:dyDescent="0.2">
      <c r="A9573" s="258"/>
      <c r="Z9573" s="258"/>
    </row>
    <row r="9574" spans="1:26" ht="12.75" customHeight="1" x14ac:dyDescent="0.2">
      <c r="A9574" s="258"/>
      <c r="Z9574" s="258"/>
    </row>
    <row r="9575" spans="1:26" ht="12.75" customHeight="1" x14ac:dyDescent="0.2">
      <c r="A9575" s="258"/>
      <c r="Z9575" s="258"/>
    </row>
    <row r="9576" spans="1:26" ht="12.75" customHeight="1" x14ac:dyDescent="0.2">
      <c r="A9576" s="258"/>
      <c r="Z9576" s="258"/>
    </row>
    <row r="9577" spans="1:26" ht="12.75" customHeight="1" x14ac:dyDescent="0.2">
      <c r="A9577" s="258"/>
      <c r="Z9577" s="258"/>
    </row>
    <row r="9578" spans="1:26" ht="12.75" customHeight="1" x14ac:dyDescent="0.2">
      <c r="A9578" s="258"/>
      <c r="Z9578" s="258"/>
    </row>
    <row r="9579" spans="1:26" ht="12.75" customHeight="1" x14ac:dyDescent="0.2">
      <c r="A9579" s="258"/>
      <c r="Z9579" s="258"/>
    </row>
    <row r="9580" spans="1:26" ht="12.75" customHeight="1" x14ac:dyDescent="0.2">
      <c r="A9580" s="258"/>
      <c r="Z9580" s="258"/>
    </row>
    <row r="9581" spans="1:26" ht="12.75" customHeight="1" x14ac:dyDescent="0.2">
      <c r="A9581" s="258"/>
      <c r="Z9581" s="258"/>
    </row>
    <row r="9582" spans="1:26" ht="12.75" customHeight="1" x14ac:dyDescent="0.2">
      <c r="A9582" s="258"/>
      <c r="Z9582" s="258"/>
    </row>
    <row r="9583" spans="1:26" ht="12.75" customHeight="1" x14ac:dyDescent="0.2">
      <c r="A9583" s="258"/>
      <c r="Z9583" s="258"/>
    </row>
    <row r="9584" spans="1:26" ht="12.75" customHeight="1" x14ac:dyDescent="0.2">
      <c r="A9584" s="258"/>
      <c r="Z9584" s="258"/>
    </row>
    <row r="9585" spans="1:26" ht="12.75" customHeight="1" x14ac:dyDescent="0.2">
      <c r="A9585" s="258"/>
      <c r="Z9585" s="258"/>
    </row>
    <row r="9586" spans="1:26" ht="12.75" customHeight="1" x14ac:dyDescent="0.2">
      <c r="A9586" s="258"/>
      <c r="Z9586" s="258"/>
    </row>
    <row r="9587" spans="1:26" ht="12.75" customHeight="1" x14ac:dyDescent="0.2">
      <c r="A9587" s="258"/>
      <c r="Z9587" s="258"/>
    </row>
    <row r="9588" spans="1:26" ht="12.75" customHeight="1" x14ac:dyDescent="0.2">
      <c r="A9588" s="258"/>
      <c r="Z9588" s="258"/>
    </row>
    <row r="9589" spans="1:26" ht="12.75" customHeight="1" x14ac:dyDescent="0.2">
      <c r="A9589" s="258"/>
      <c r="Z9589" s="258"/>
    </row>
    <row r="9590" spans="1:26" ht="12.75" customHeight="1" x14ac:dyDescent="0.2">
      <c r="A9590" s="258"/>
      <c r="Z9590" s="258"/>
    </row>
    <row r="9591" spans="1:26" ht="12.75" customHeight="1" x14ac:dyDescent="0.2">
      <c r="A9591" s="258"/>
      <c r="Z9591" s="258"/>
    </row>
    <row r="9592" spans="1:26" ht="12.75" customHeight="1" x14ac:dyDescent="0.2">
      <c r="A9592" s="258"/>
      <c r="Z9592" s="258"/>
    </row>
    <row r="9593" spans="1:26" ht="12.75" customHeight="1" x14ac:dyDescent="0.2">
      <c r="A9593" s="258"/>
      <c r="Z9593" s="258"/>
    </row>
    <row r="9594" spans="1:26" ht="12.75" customHeight="1" x14ac:dyDescent="0.2">
      <c r="A9594" s="258"/>
      <c r="Z9594" s="258"/>
    </row>
    <row r="9595" spans="1:26" ht="12.75" customHeight="1" x14ac:dyDescent="0.2">
      <c r="A9595" s="258"/>
      <c r="Z9595" s="258"/>
    </row>
    <row r="9596" spans="1:26" ht="12.75" customHeight="1" x14ac:dyDescent="0.2">
      <c r="A9596" s="258"/>
      <c r="Z9596" s="258"/>
    </row>
    <row r="9597" spans="1:26" ht="12.75" customHeight="1" x14ac:dyDescent="0.2">
      <c r="A9597" s="258"/>
      <c r="Z9597" s="258"/>
    </row>
    <row r="9598" spans="1:26" ht="12.75" customHeight="1" x14ac:dyDescent="0.2">
      <c r="A9598" s="258"/>
      <c r="Z9598" s="258"/>
    </row>
    <row r="9599" spans="1:26" ht="12.75" customHeight="1" x14ac:dyDescent="0.2">
      <c r="A9599" s="258"/>
      <c r="Z9599" s="258"/>
    </row>
    <row r="9600" spans="1:26" ht="12.75" customHeight="1" x14ac:dyDescent="0.2">
      <c r="A9600" s="258"/>
      <c r="Z9600" s="258"/>
    </row>
    <row r="9601" spans="1:26" ht="12.75" customHeight="1" x14ac:dyDescent="0.2">
      <c r="A9601" s="258"/>
      <c r="Z9601" s="258"/>
    </row>
    <row r="9602" spans="1:26" ht="12.75" customHeight="1" x14ac:dyDescent="0.2">
      <c r="A9602" s="258"/>
      <c r="Z9602" s="258"/>
    </row>
    <row r="9603" spans="1:26" ht="12.75" customHeight="1" x14ac:dyDescent="0.2">
      <c r="A9603" s="258"/>
      <c r="Z9603" s="258"/>
    </row>
    <row r="9604" spans="1:26" ht="12.75" customHeight="1" x14ac:dyDescent="0.2">
      <c r="A9604" s="258"/>
      <c r="Z9604" s="258"/>
    </row>
    <row r="9605" spans="1:26" ht="12.75" customHeight="1" x14ac:dyDescent="0.2">
      <c r="A9605" s="258"/>
      <c r="Z9605" s="258"/>
    </row>
    <row r="9606" spans="1:26" ht="12.75" customHeight="1" x14ac:dyDescent="0.2">
      <c r="A9606" s="258"/>
      <c r="Z9606" s="258"/>
    </row>
    <row r="9607" spans="1:26" ht="12.75" customHeight="1" x14ac:dyDescent="0.2">
      <c r="A9607" s="258"/>
      <c r="Z9607" s="258"/>
    </row>
    <row r="9608" spans="1:26" ht="12.75" customHeight="1" x14ac:dyDescent="0.2">
      <c r="A9608" s="258"/>
      <c r="Z9608" s="258"/>
    </row>
    <row r="9609" spans="1:26" ht="12.75" customHeight="1" x14ac:dyDescent="0.2">
      <c r="A9609" s="258"/>
      <c r="Z9609" s="258"/>
    </row>
    <row r="9610" spans="1:26" ht="12.75" customHeight="1" x14ac:dyDescent="0.2">
      <c r="A9610" s="258"/>
      <c r="Z9610" s="258"/>
    </row>
    <row r="9611" spans="1:26" ht="12.75" customHeight="1" x14ac:dyDescent="0.2">
      <c r="A9611" s="258"/>
      <c r="Z9611" s="258"/>
    </row>
    <row r="9612" spans="1:26" ht="12.75" customHeight="1" x14ac:dyDescent="0.2">
      <c r="A9612" s="258"/>
      <c r="Z9612" s="258"/>
    </row>
    <row r="9613" spans="1:26" ht="12.75" customHeight="1" x14ac:dyDescent="0.2">
      <c r="A9613" s="258"/>
      <c r="Z9613" s="258"/>
    </row>
    <row r="9614" spans="1:26" ht="12.75" customHeight="1" x14ac:dyDescent="0.2">
      <c r="A9614" s="258"/>
      <c r="Z9614" s="258"/>
    </row>
    <row r="9615" spans="1:26" ht="12.75" customHeight="1" x14ac:dyDescent="0.2">
      <c r="A9615" s="258"/>
      <c r="Z9615" s="258"/>
    </row>
    <row r="9616" spans="1:26" ht="12.75" customHeight="1" x14ac:dyDescent="0.2">
      <c r="A9616" s="258"/>
      <c r="Z9616" s="258"/>
    </row>
    <row r="9617" spans="1:26" ht="12.75" customHeight="1" x14ac:dyDescent="0.2">
      <c r="A9617" s="258"/>
      <c r="Z9617" s="258"/>
    </row>
    <row r="9618" spans="1:26" ht="12.75" customHeight="1" x14ac:dyDescent="0.2">
      <c r="A9618" s="258"/>
      <c r="Z9618" s="258"/>
    </row>
    <row r="9619" spans="1:26" ht="12.75" customHeight="1" x14ac:dyDescent="0.2">
      <c r="A9619" s="258"/>
      <c r="Z9619" s="258"/>
    </row>
    <row r="9620" spans="1:26" ht="12.75" customHeight="1" x14ac:dyDescent="0.2">
      <c r="A9620" s="258"/>
      <c r="Z9620" s="258"/>
    </row>
    <row r="9621" spans="1:26" ht="12.75" customHeight="1" x14ac:dyDescent="0.2">
      <c r="A9621" s="258"/>
      <c r="Z9621" s="258"/>
    </row>
    <row r="9622" spans="1:26" ht="12.75" customHeight="1" x14ac:dyDescent="0.2">
      <c r="A9622" s="258"/>
      <c r="Z9622" s="258"/>
    </row>
    <row r="9623" spans="1:26" ht="12.75" customHeight="1" x14ac:dyDescent="0.2">
      <c r="A9623" s="258"/>
      <c r="Z9623" s="258"/>
    </row>
    <row r="9624" spans="1:26" ht="12.75" customHeight="1" x14ac:dyDescent="0.2">
      <c r="A9624" s="258"/>
      <c r="Z9624" s="258"/>
    </row>
    <row r="9625" spans="1:26" ht="12.75" customHeight="1" x14ac:dyDescent="0.2">
      <c r="A9625" s="258"/>
      <c r="Z9625" s="258"/>
    </row>
    <row r="9626" spans="1:26" ht="12.75" customHeight="1" x14ac:dyDescent="0.2">
      <c r="A9626" s="258"/>
      <c r="Z9626" s="258"/>
    </row>
    <row r="9627" spans="1:26" ht="12.75" customHeight="1" x14ac:dyDescent="0.2">
      <c r="A9627" s="258"/>
      <c r="Z9627" s="258"/>
    </row>
    <row r="9628" spans="1:26" ht="12.75" customHeight="1" x14ac:dyDescent="0.2">
      <c r="A9628" s="258"/>
      <c r="Z9628" s="258"/>
    </row>
    <row r="9629" spans="1:26" ht="12.75" customHeight="1" x14ac:dyDescent="0.2">
      <c r="A9629" s="258"/>
      <c r="Z9629" s="258"/>
    </row>
    <row r="9630" spans="1:26" ht="12.75" customHeight="1" x14ac:dyDescent="0.2">
      <c r="A9630" s="258"/>
      <c r="Z9630" s="258"/>
    </row>
    <row r="9631" spans="1:26" ht="12.75" customHeight="1" x14ac:dyDescent="0.2">
      <c r="A9631" s="258"/>
      <c r="Z9631" s="258"/>
    </row>
    <row r="9632" spans="1:26" ht="12.75" customHeight="1" x14ac:dyDescent="0.2">
      <c r="A9632" s="258"/>
      <c r="Z9632" s="258"/>
    </row>
    <row r="9633" spans="1:26" ht="12.75" customHeight="1" x14ac:dyDescent="0.2">
      <c r="A9633" s="258"/>
      <c r="Z9633" s="258"/>
    </row>
    <row r="9634" spans="1:26" ht="12.75" customHeight="1" x14ac:dyDescent="0.2">
      <c r="A9634" s="258"/>
      <c r="Z9634" s="258"/>
    </row>
    <row r="9635" spans="1:26" ht="12.75" customHeight="1" x14ac:dyDescent="0.2">
      <c r="A9635" s="258"/>
      <c r="Z9635" s="258"/>
    </row>
    <row r="9636" spans="1:26" ht="12.75" customHeight="1" x14ac:dyDescent="0.2">
      <c r="A9636" s="258"/>
      <c r="Z9636" s="258"/>
    </row>
    <row r="9637" spans="1:26" ht="12.75" customHeight="1" x14ac:dyDescent="0.2">
      <c r="A9637" s="258"/>
      <c r="Z9637" s="258"/>
    </row>
    <row r="9638" spans="1:26" ht="12.75" customHeight="1" x14ac:dyDescent="0.2">
      <c r="A9638" s="258"/>
      <c r="Z9638" s="258"/>
    </row>
    <row r="9639" spans="1:26" ht="12.75" customHeight="1" x14ac:dyDescent="0.2">
      <c r="A9639" s="258"/>
      <c r="Z9639" s="258"/>
    </row>
    <row r="9640" spans="1:26" ht="12.75" customHeight="1" x14ac:dyDescent="0.2">
      <c r="A9640" s="258"/>
      <c r="Z9640" s="258"/>
    </row>
    <row r="9641" spans="1:26" ht="12.75" customHeight="1" x14ac:dyDescent="0.2">
      <c r="A9641" s="258"/>
      <c r="Z9641" s="258"/>
    </row>
    <row r="9642" spans="1:26" ht="12.75" customHeight="1" x14ac:dyDescent="0.2">
      <c r="A9642" s="258"/>
      <c r="Z9642" s="258"/>
    </row>
    <row r="9643" spans="1:26" ht="12.75" customHeight="1" x14ac:dyDescent="0.2">
      <c r="A9643" s="258"/>
      <c r="Z9643" s="258"/>
    </row>
    <row r="9644" spans="1:26" ht="12.75" customHeight="1" x14ac:dyDescent="0.2">
      <c r="A9644" s="258"/>
      <c r="Z9644" s="258"/>
    </row>
    <row r="9645" spans="1:26" ht="12.75" customHeight="1" x14ac:dyDescent="0.2">
      <c r="A9645" s="258"/>
      <c r="Z9645" s="258"/>
    </row>
    <row r="9646" spans="1:26" ht="12.75" customHeight="1" x14ac:dyDescent="0.2">
      <c r="A9646" s="258"/>
      <c r="Z9646" s="258"/>
    </row>
    <row r="9647" spans="1:26" ht="12.75" customHeight="1" x14ac:dyDescent="0.2">
      <c r="A9647" s="258"/>
      <c r="Z9647" s="258"/>
    </row>
    <row r="9648" spans="1:26" ht="12.75" customHeight="1" x14ac:dyDescent="0.2">
      <c r="A9648" s="258"/>
      <c r="Z9648" s="258"/>
    </row>
    <row r="9649" spans="1:26" ht="12.75" customHeight="1" x14ac:dyDescent="0.2">
      <c r="A9649" s="258"/>
      <c r="Z9649" s="258"/>
    </row>
    <row r="9650" spans="1:26" ht="12.75" customHeight="1" x14ac:dyDescent="0.2">
      <c r="A9650" s="258"/>
      <c r="Z9650" s="258"/>
    </row>
    <row r="9651" spans="1:26" ht="12.75" customHeight="1" x14ac:dyDescent="0.2">
      <c r="A9651" s="258"/>
      <c r="Z9651" s="258"/>
    </row>
    <row r="9652" spans="1:26" ht="12.75" customHeight="1" x14ac:dyDescent="0.2">
      <c r="A9652" s="258"/>
      <c r="Z9652" s="258"/>
    </row>
    <row r="9653" spans="1:26" ht="12.75" customHeight="1" x14ac:dyDescent="0.2">
      <c r="A9653" s="258"/>
      <c r="Z9653" s="258"/>
    </row>
    <row r="9654" spans="1:26" ht="12.75" customHeight="1" x14ac:dyDescent="0.2">
      <c r="A9654" s="258"/>
      <c r="Z9654" s="258"/>
    </row>
    <row r="9655" spans="1:26" ht="12.75" customHeight="1" x14ac:dyDescent="0.2">
      <c r="A9655" s="258"/>
      <c r="Z9655" s="258"/>
    </row>
    <row r="9656" spans="1:26" ht="12.75" customHeight="1" x14ac:dyDescent="0.2">
      <c r="A9656" s="258"/>
      <c r="Z9656" s="258"/>
    </row>
    <row r="9657" spans="1:26" ht="12.75" customHeight="1" x14ac:dyDescent="0.2">
      <c r="A9657" s="258"/>
      <c r="Z9657" s="258"/>
    </row>
    <row r="9658" spans="1:26" ht="12.75" customHeight="1" x14ac:dyDescent="0.2">
      <c r="A9658" s="258"/>
      <c r="Z9658" s="258"/>
    </row>
    <row r="9659" spans="1:26" ht="12.75" customHeight="1" x14ac:dyDescent="0.2">
      <c r="A9659" s="258"/>
      <c r="Z9659" s="258"/>
    </row>
    <row r="9660" spans="1:26" ht="12.75" customHeight="1" x14ac:dyDescent="0.2">
      <c r="A9660" s="258"/>
      <c r="Z9660" s="258"/>
    </row>
    <row r="9661" spans="1:26" ht="12.75" customHeight="1" x14ac:dyDescent="0.2">
      <c r="A9661" s="258"/>
      <c r="Z9661" s="258"/>
    </row>
    <row r="9662" spans="1:26" ht="12.75" customHeight="1" x14ac:dyDescent="0.2">
      <c r="A9662" s="258"/>
      <c r="Z9662" s="258"/>
    </row>
    <row r="9663" spans="1:26" ht="12.75" customHeight="1" x14ac:dyDescent="0.2">
      <c r="A9663" s="258"/>
      <c r="Z9663" s="258"/>
    </row>
    <row r="9664" spans="1:26" ht="12.75" customHeight="1" x14ac:dyDescent="0.2">
      <c r="A9664" s="258"/>
      <c r="Z9664" s="258"/>
    </row>
    <row r="9665" spans="1:26" ht="12.75" customHeight="1" x14ac:dyDescent="0.2">
      <c r="A9665" s="258"/>
      <c r="Z9665" s="258"/>
    </row>
    <row r="9666" spans="1:26" ht="12.75" customHeight="1" x14ac:dyDescent="0.2">
      <c r="A9666" s="258"/>
      <c r="Z9666" s="258"/>
    </row>
    <row r="9667" spans="1:26" ht="12.75" customHeight="1" x14ac:dyDescent="0.2">
      <c r="A9667" s="258"/>
      <c r="Z9667" s="258"/>
    </row>
    <row r="9668" spans="1:26" ht="12.75" customHeight="1" x14ac:dyDescent="0.2">
      <c r="A9668" s="258"/>
      <c r="Z9668" s="258"/>
    </row>
    <row r="9669" spans="1:26" ht="12.75" customHeight="1" x14ac:dyDescent="0.2">
      <c r="A9669" s="258"/>
      <c r="Z9669" s="258"/>
    </row>
    <row r="9670" spans="1:26" ht="12.75" customHeight="1" x14ac:dyDescent="0.2">
      <c r="A9670" s="258"/>
      <c r="Z9670" s="258"/>
    </row>
    <row r="9671" spans="1:26" ht="12.75" customHeight="1" x14ac:dyDescent="0.2">
      <c r="A9671" s="258"/>
      <c r="Z9671" s="258"/>
    </row>
    <row r="9672" spans="1:26" ht="12.75" customHeight="1" x14ac:dyDescent="0.2">
      <c r="A9672" s="258"/>
      <c r="Z9672" s="258"/>
    </row>
    <row r="9673" spans="1:26" ht="12.75" customHeight="1" x14ac:dyDescent="0.2">
      <c r="A9673" s="258"/>
      <c r="Z9673" s="258"/>
    </row>
    <row r="9674" spans="1:26" ht="12.75" customHeight="1" x14ac:dyDescent="0.2">
      <c r="A9674" s="258"/>
      <c r="Z9674" s="258"/>
    </row>
    <row r="9675" spans="1:26" ht="12.75" customHeight="1" x14ac:dyDescent="0.2">
      <c r="A9675" s="258"/>
      <c r="Z9675" s="258"/>
    </row>
    <row r="9676" spans="1:26" ht="12.75" customHeight="1" x14ac:dyDescent="0.2">
      <c r="A9676" s="258"/>
      <c r="Z9676" s="258"/>
    </row>
    <row r="9677" spans="1:26" ht="12.75" customHeight="1" x14ac:dyDescent="0.2">
      <c r="A9677" s="258"/>
      <c r="Z9677" s="258"/>
    </row>
    <row r="9678" spans="1:26" ht="12.75" customHeight="1" x14ac:dyDescent="0.2">
      <c r="A9678" s="258"/>
      <c r="Z9678" s="258"/>
    </row>
    <row r="9679" spans="1:26" ht="12.75" customHeight="1" x14ac:dyDescent="0.2">
      <c r="A9679" s="258"/>
      <c r="Z9679" s="258"/>
    </row>
    <row r="9680" spans="1:26" ht="12.75" customHeight="1" x14ac:dyDescent="0.2">
      <c r="A9680" s="258"/>
      <c r="Z9680" s="258"/>
    </row>
    <row r="9681" spans="1:26" ht="12.75" customHeight="1" x14ac:dyDescent="0.2">
      <c r="A9681" s="258"/>
      <c r="Z9681" s="258"/>
    </row>
    <row r="9682" spans="1:26" ht="12.75" customHeight="1" x14ac:dyDescent="0.2">
      <c r="A9682" s="258"/>
      <c r="Z9682" s="258"/>
    </row>
    <row r="9683" spans="1:26" ht="12.75" customHeight="1" x14ac:dyDescent="0.2">
      <c r="A9683" s="258"/>
      <c r="Z9683" s="258"/>
    </row>
    <row r="9684" spans="1:26" ht="12.75" customHeight="1" x14ac:dyDescent="0.2">
      <c r="A9684" s="258"/>
      <c r="Z9684" s="258"/>
    </row>
    <row r="9685" spans="1:26" ht="12.75" customHeight="1" x14ac:dyDescent="0.2">
      <c r="A9685" s="258"/>
      <c r="Z9685" s="258"/>
    </row>
    <row r="9686" spans="1:26" ht="12.75" customHeight="1" x14ac:dyDescent="0.2">
      <c r="A9686" s="258"/>
      <c r="Z9686" s="258"/>
    </row>
    <row r="9687" spans="1:26" ht="12.75" customHeight="1" x14ac:dyDescent="0.2">
      <c r="A9687" s="258"/>
      <c r="Z9687" s="258"/>
    </row>
    <row r="9688" spans="1:26" ht="12.75" customHeight="1" x14ac:dyDescent="0.2">
      <c r="A9688" s="258"/>
      <c r="Z9688" s="258"/>
    </row>
    <row r="9689" spans="1:26" ht="12.75" customHeight="1" x14ac:dyDescent="0.2">
      <c r="A9689" s="258"/>
      <c r="Z9689" s="258"/>
    </row>
    <row r="9690" spans="1:26" ht="12.75" customHeight="1" x14ac:dyDescent="0.2">
      <c r="A9690" s="258"/>
      <c r="Z9690" s="258"/>
    </row>
    <row r="9691" spans="1:26" ht="12.75" customHeight="1" x14ac:dyDescent="0.2">
      <c r="A9691" s="258"/>
      <c r="Z9691" s="258"/>
    </row>
    <row r="9692" spans="1:26" ht="12.75" customHeight="1" x14ac:dyDescent="0.2">
      <c r="A9692" s="258"/>
      <c r="Z9692" s="258"/>
    </row>
    <row r="9693" spans="1:26" ht="12.75" customHeight="1" x14ac:dyDescent="0.2">
      <c r="A9693" s="258"/>
      <c r="Z9693" s="258"/>
    </row>
    <row r="9694" spans="1:26" ht="12.75" customHeight="1" x14ac:dyDescent="0.2">
      <c r="A9694" s="258"/>
      <c r="Z9694" s="258"/>
    </row>
    <row r="9695" spans="1:26" ht="12.75" customHeight="1" x14ac:dyDescent="0.2">
      <c r="A9695" s="258"/>
      <c r="Z9695" s="258"/>
    </row>
    <row r="9696" spans="1:26" ht="12.75" customHeight="1" x14ac:dyDescent="0.2">
      <c r="A9696" s="258"/>
      <c r="Z9696" s="258"/>
    </row>
    <row r="9697" spans="1:26" ht="12.75" customHeight="1" x14ac:dyDescent="0.2">
      <c r="A9697" s="258"/>
      <c r="Z9697" s="258"/>
    </row>
    <row r="9698" spans="1:26" ht="12.75" customHeight="1" x14ac:dyDescent="0.2">
      <c r="A9698" s="258"/>
      <c r="Z9698" s="258"/>
    </row>
    <row r="9699" spans="1:26" ht="12.75" customHeight="1" x14ac:dyDescent="0.2">
      <c r="A9699" s="258"/>
      <c r="Z9699" s="258"/>
    </row>
    <row r="9700" spans="1:26" ht="12.75" customHeight="1" x14ac:dyDescent="0.2">
      <c r="A9700" s="258"/>
      <c r="Z9700" s="258"/>
    </row>
    <row r="9701" spans="1:26" ht="12.75" customHeight="1" x14ac:dyDescent="0.2">
      <c r="A9701" s="258"/>
      <c r="Z9701" s="258"/>
    </row>
    <row r="9702" spans="1:26" ht="12.75" customHeight="1" x14ac:dyDescent="0.2">
      <c r="A9702" s="258"/>
      <c r="Z9702" s="258"/>
    </row>
    <row r="9703" spans="1:26" ht="12.75" customHeight="1" x14ac:dyDescent="0.2">
      <c r="A9703" s="258"/>
      <c r="Z9703" s="258"/>
    </row>
    <row r="9704" spans="1:26" ht="12.75" customHeight="1" x14ac:dyDescent="0.2">
      <c r="A9704" s="258"/>
      <c r="Z9704" s="258"/>
    </row>
    <row r="9705" spans="1:26" ht="12.75" customHeight="1" x14ac:dyDescent="0.2">
      <c r="A9705" s="258"/>
      <c r="Z9705" s="258"/>
    </row>
    <row r="9706" spans="1:26" ht="12.75" customHeight="1" x14ac:dyDescent="0.2">
      <c r="A9706" s="258"/>
      <c r="Z9706" s="258"/>
    </row>
    <row r="9707" spans="1:26" ht="12.75" customHeight="1" x14ac:dyDescent="0.2">
      <c r="A9707" s="258"/>
      <c r="Z9707" s="258"/>
    </row>
    <row r="9708" spans="1:26" ht="12.75" customHeight="1" x14ac:dyDescent="0.2">
      <c r="A9708" s="258"/>
      <c r="Z9708" s="258"/>
    </row>
    <row r="9709" spans="1:26" ht="12.75" customHeight="1" x14ac:dyDescent="0.2">
      <c r="A9709" s="258"/>
      <c r="Z9709" s="258"/>
    </row>
    <row r="9710" spans="1:26" ht="12.75" customHeight="1" x14ac:dyDescent="0.2">
      <c r="A9710" s="258"/>
      <c r="Z9710" s="258"/>
    </row>
    <row r="9711" spans="1:26" ht="12.75" customHeight="1" x14ac:dyDescent="0.2">
      <c r="A9711" s="258"/>
      <c r="Z9711" s="258"/>
    </row>
    <row r="9712" spans="1:26" ht="12.75" customHeight="1" x14ac:dyDescent="0.2">
      <c r="A9712" s="258"/>
      <c r="Z9712" s="258"/>
    </row>
    <row r="9713" spans="1:26" ht="12.75" customHeight="1" x14ac:dyDescent="0.2">
      <c r="A9713" s="258"/>
      <c r="Z9713" s="258"/>
    </row>
    <row r="9714" spans="1:26" ht="12.75" customHeight="1" x14ac:dyDescent="0.2">
      <c r="A9714" s="258"/>
      <c r="Z9714" s="258"/>
    </row>
    <row r="9715" spans="1:26" ht="12.75" customHeight="1" x14ac:dyDescent="0.2">
      <c r="A9715" s="258"/>
      <c r="Z9715" s="258"/>
    </row>
    <row r="9716" spans="1:26" ht="12.75" customHeight="1" x14ac:dyDescent="0.2">
      <c r="A9716" s="258"/>
      <c r="Z9716" s="258"/>
    </row>
    <row r="9717" spans="1:26" ht="12.75" customHeight="1" x14ac:dyDescent="0.2">
      <c r="A9717" s="258"/>
      <c r="Z9717" s="258"/>
    </row>
    <row r="9718" spans="1:26" ht="12.75" customHeight="1" x14ac:dyDescent="0.2">
      <c r="A9718" s="258"/>
      <c r="Z9718" s="258"/>
    </row>
    <row r="9719" spans="1:26" ht="12.75" customHeight="1" x14ac:dyDescent="0.2">
      <c r="A9719" s="258"/>
      <c r="Z9719" s="258"/>
    </row>
    <row r="9720" spans="1:26" ht="12.75" customHeight="1" x14ac:dyDescent="0.2">
      <c r="A9720" s="258"/>
      <c r="Z9720" s="258"/>
    </row>
    <row r="9721" spans="1:26" ht="12.75" customHeight="1" x14ac:dyDescent="0.2">
      <c r="A9721" s="258"/>
      <c r="Z9721" s="258"/>
    </row>
    <row r="9722" spans="1:26" ht="12.75" customHeight="1" x14ac:dyDescent="0.2">
      <c r="A9722" s="258"/>
      <c r="Z9722" s="258"/>
    </row>
    <row r="9723" spans="1:26" ht="12.75" customHeight="1" x14ac:dyDescent="0.2">
      <c r="A9723" s="258"/>
      <c r="Z9723" s="258"/>
    </row>
    <row r="9724" spans="1:26" ht="12.75" customHeight="1" x14ac:dyDescent="0.2">
      <c r="A9724" s="258"/>
      <c r="Z9724" s="258"/>
    </row>
    <row r="9725" spans="1:26" ht="12.75" customHeight="1" x14ac:dyDescent="0.2">
      <c r="A9725" s="258"/>
      <c r="Z9725" s="258"/>
    </row>
    <row r="9726" spans="1:26" ht="12.75" customHeight="1" x14ac:dyDescent="0.2">
      <c r="A9726" s="258"/>
      <c r="Z9726" s="258"/>
    </row>
    <row r="9727" spans="1:26" ht="12.75" customHeight="1" x14ac:dyDescent="0.2">
      <c r="A9727" s="258"/>
      <c r="Z9727" s="258"/>
    </row>
    <row r="9728" spans="1:26" ht="12.75" customHeight="1" x14ac:dyDescent="0.2">
      <c r="A9728" s="258"/>
      <c r="Z9728" s="258"/>
    </row>
    <row r="9729" spans="1:26" ht="12.75" customHeight="1" x14ac:dyDescent="0.2">
      <c r="A9729" s="258"/>
      <c r="Z9729" s="258"/>
    </row>
    <row r="9730" spans="1:26" ht="12.75" customHeight="1" x14ac:dyDescent="0.2">
      <c r="A9730" s="258"/>
      <c r="Z9730" s="258"/>
    </row>
    <row r="9731" spans="1:26" ht="12.75" customHeight="1" x14ac:dyDescent="0.2">
      <c r="A9731" s="258"/>
      <c r="Z9731" s="258"/>
    </row>
    <row r="9732" spans="1:26" ht="12.75" customHeight="1" x14ac:dyDescent="0.2">
      <c r="A9732" s="258"/>
      <c r="Z9732" s="258"/>
    </row>
    <row r="9733" spans="1:26" ht="12.75" customHeight="1" x14ac:dyDescent="0.2">
      <c r="A9733" s="258"/>
      <c r="Z9733" s="258"/>
    </row>
    <row r="9734" spans="1:26" ht="12.75" customHeight="1" x14ac:dyDescent="0.2">
      <c r="A9734" s="258"/>
      <c r="Z9734" s="258"/>
    </row>
    <row r="9735" spans="1:26" ht="12.75" customHeight="1" x14ac:dyDescent="0.2">
      <c r="A9735" s="258"/>
      <c r="Z9735" s="258"/>
    </row>
    <row r="9736" spans="1:26" ht="12.75" customHeight="1" x14ac:dyDescent="0.2">
      <c r="A9736" s="258"/>
      <c r="Z9736" s="258"/>
    </row>
    <row r="9737" spans="1:26" ht="12.75" customHeight="1" x14ac:dyDescent="0.2">
      <c r="A9737" s="258"/>
      <c r="Z9737" s="258"/>
    </row>
    <row r="9738" spans="1:26" ht="12.75" customHeight="1" x14ac:dyDescent="0.2">
      <c r="A9738" s="258"/>
      <c r="Z9738" s="258"/>
    </row>
    <row r="9739" spans="1:26" ht="12.75" customHeight="1" x14ac:dyDescent="0.2">
      <c r="A9739" s="258"/>
      <c r="Z9739" s="258"/>
    </row>
    <row r="9740" spans="1:26" ht="12.75" customHeight="1" x14ac:dyDescent="0.2">
      <c r="A9740" s="258"/>
      <c r="Z9740" s="258"/>
    </row>
    <row r="9741" spans="1:26" ht="12.75" customHeight="1" x14ac:dyDescent="0.2">
      <c r="A9741" s="258"/>
      <c r="Z9741" s="258"/>
    </row>
    <row r="9742" spans="1:26" ht="12.75" customHeight="1" x14ac:dyDescent="0.2">
      <c r="A9742" s="258"/>
      <c r="Z9742" s="258"/>
    </row>
    <row r="9743" spans="1:26" ht="12.75" customHeight="1" x14ac:dyDescent="0.2">
      <c r="A9743" s="258"/>
      <c r="Z9743" s="258"/>
    </row>
    <row r="9744" spans="1:26" ht="12.75" customHeight="1" x14ac:dyDescent="0.2">
      <c r="A9744" s="258"/>
      <c r="Z9744" s="258"/>
    </row>
    <row r="9745" spans="1:26" ht="12.75" customHeight="1" x14ac:dyDescent="0.2">
      <c r="A9745" s="258"/>
      <c r="Z9745" s="258"/>
    </row>
    <row r="9746" spans="1:26" ht="12.75" customHeight="1" x14ac:dyDescent="0.2">
      <c r="A9746" s="258"/>
      <c r="Z9746" s="258"/>
    </row>
    <row r="9747" spans="1:26" ht="12.75" customHeight="1" x14ac:dyDescent="0.2">
      <c r="A9747" s="258"/>
      <c r="Z9747" s="258"/>
    </row>
    <row r="9748" spans="1:26" ht="12.75" customHeight="1" x14ac:dyDescent="0.2">
      <c r="A9748" s="258"/>
      <c r="Z9748" s="258"/>
    </row>
    <row r="9749" spans="1:26" ht="12.75" customHeight="1" x14ac:dyDescent="0.2">
      <c r="A9749" s="258"/>
      <c r="Z9749" s="258"/>
    </row>
    <row r="9750" spans="1:26" ht="12.75" customHeight="1" x14ac:dyDescent="0.2">
      <c r="A9750" s="258"/>
      <c r="Z9750" s="258"/>
    </row>
    <row r="9751" spans="1:26" ht="12.75" customHeight="1" x14ac:dyDescent="0.2">
      <c r="A9751" s="258"/>
      <c r="Z9751" s="258"/>
    </row>
    <row r="9752" spans="1:26" ht="12.75" customHeight="1" x14ac:dyDescent="0.2">
      <c r="A9752" s="258"/>
      <c r="Z9752" s="258"/>
    </row>
    <row r="9753" spans="1:26" ht="12.75" customHeight="1" x14ac:dyDescent="0.2">
      <c r="A9753" s="258"/>
      <c r="Z9753" s="258"/>
    </row>
    <row r="9754" spans="1:26" ht="12.75" customHeight="1" x14ac:dyDescent="0.2">
      <c r="A9754" s="258"/>
      <c r="Z9754" s="258"/>
    </row>
    <row r="9755" spans="1:26" ht="12.75" customHeight="1" x14ac:dyDescent="0.2">
      <c r="A9755" s="258"/>
      <c r="Z9755" s="258"/>
    </row>
    <row r="9756" spans="1:26" ht="12.75" customHeight="1" x14ac:dyDescent="0.2">
      <c r="A9756" s="258"/>
      <c r="Z9756" s="258"/>
    </row>
    <row r="9757" spans="1:26" ht="12.75" customHeight="1" x14ac:dyDescent="0.2">
      <c r="A9757" s="258"/>
      <c r="Z9757" s="258"/>
    </row>
    <row r="9758" spans="1:26" ht="12.75" customHeight="1" x14ac:dyDescent="0.2">
      <c r="A9758" s="258"/>
      <c r="Z9758" s="258"/>
    </row>
    <row r="9759" spans="1:26" ht="12.75" customHeight="1" x14ac:dyDescent="0.2">
      <c r="A9759" s="258"/>
      <c r="Z9759" s="258"/>
    </row>
    <row r="9760" spans="1:26" ht="12.75" customHeight="1" x14ac:dyDescent="0.2">
      <c r="A9760" s="258"/>
      <c r="Z9760" s="258"/>
    </row>
    <row r="9761" spans="1:26" ht="12.75" customHeight="1" x14ac:dyDescent="0.2">
      <c r="A9761" s="258"/>
      <c r="Z9761" s="258"/>
    </row>
    <row r="9762" spans="1:26" ht="12.75" customHeight="1" x14ac:dyDescent="0.2">
      <c r="A9762" s="258"/>
      <c r="Z9762" s="258"/>
    </row>
    <row r="9763" spans="1:26" ht="12.75" customHeight="1" x14ac:dyDescent="0.2">
      <c r="A9763" s="258"/>
      <c r="Z9763" s="258"/>
    </row>
    <row r="9764" spans="1:26" ht="12.75" customHeight="1" x14ac:dyDescent="0.2">
      <c r="A9764" s="258"/>
      <c r="Z9764" s="258"/>
    </row>
    <row r="9765" spans="1:26" ht="12.75" customHeight="1" x14ac:dyDescent="0.2">
      <c r="A9765" s="258"/>
      <c r="Z9765" s="258"/>
    </row>
    <row r="9766" spans="1:26" ht="12.75" customHeight="1" x14ac:dyDescent="0.2">
      <c r="A9766" s="258"/>
      <c r="Z9766" s="258"/>
    </row>
    <row r="9767" spans="1:26" ht="12.75" customHeight="1" x14ac:dyDescent="0.2">
      <c r="A9767" s="258"/>
      <c r="Z9767" s="258"/>
    </row>
    <row r="9768" spans="1:26" ht="12.75" customHeight="1" x14ac:dyDescent="0.2">
      <c r="A9768" s="258"/>
      <c r="Z9768" s="258"/>
    </row>
    <row r="9769" spans="1:26" ht="12.75" customHeight="1" x14ac:dyDescent="0.2">
      <c r="A9769" s="258"/>
      <c r="Z9769" s="258"/>
    </row>
    <row r="9770" spans="1:26" ht="12.75" customHeight="1" x14ac:dyDescent="0.2">
      <c r="A9770" s="258"/>
      <c r="Z9770" s="258"/>
    </row>
    <row r="9771" spans="1:26" ht="12.75" customHeight="1" x14ac:dyDescent="0.2">
      <c r="A9771" s="258"/>
      <c r="Z9771" s="258"/>
    </row>
    <row r="9772" spans="1:26" ht="12.75" customHeight="1" x14ac:dyDescent="0.2">
      <c r="A9772" s="258"/>
      <c r="Z9772" s="258"/>
    </row>
    <row r="9773" spans="1:26" ht="12.75" customHeight="1" x14ac:dyDescent="0.2">
      <c r="A9773" s="258"/>
      <c r="Z9773" s="258"/>
    </row>
    <row r="9774" spans="1:26" ht="12.75" customHeight="1" x14ac:dyDescent="0.2">
      <c r="A9774" s="258"/>
      <c r="Z9774" s="258"/>
    </row>
    <row r="9775" spans="1:26" ht="12.75" customHeight="1" x14ac:dyDescent="0.2">
      <c r="A9775" s="258"/>
      <c r="Z9775" s="258"/>
    </row>
    <row r="9776" spans="1:26" ht="12.75" customHeight="1" x14ac:dyDescent="0.2">
      <c r="A9776" s="258"/>
      <c r="Z9776" s="258"/>
    </row>
    <row r="9777" spans="1:26" ht="12.75" customHeight="1" x14ac:dyDescent="0.2">
      <c r="A9777" s="258"/>
      <c r="Z9777" s="258"/>
    </row>
    <row r="9778" spans="1:26" ht="12.75" customHeight="1" x14ac:dyDescent="0.2">
      <c r="A9778" s="258"/>
      <c r="Z9778" s="258"/>
    </row>
    <row r="9779" spans="1:26" ht="12.75" customHeight="1" x14ac:dyDescent="0.2">
      <c r="A9779" s="258"/>
      <c r="Z9779" s="258"/>
    </row>
    <row r="9780" spans="1:26" ht="12.75" customHeight="1" x14ac:dyDescent="0.2">
      <c r="A9780" s="258"/>
      <c r="Z9780" s="258"/>
    </row>
    <row r="9781" spans="1:26" ht="12.75" customHeight="1" x14ac:dyDescent="0.2">
      <c r="A9781" s="258"/>
      <c r="Z9781" s="258"/>
    </row>
    <row r="9782" spans="1:26" ht="12.75" customHeight="1" x14ac:dyDescent="0.2">
      <c r="A9782" s="258"/>
      <c r="Z9782" s="258"/>
    </row>
    <row r="9783" spans="1:26" ht="12.75" customHeight="1" x14ac:dyDescent="0.2">
      <c r="A9783" s="258"/>
      <c r="Z9783" s="258"/>
    </row>
    <row r="9784" spans="1:26" ht="12.75" customHeight="1" x14ac:dyDescent="0.2">
      <c r="A9784" s="258"/>
      <c r="Z9784" s="258"/>
    </row>
    <row r="9785" spans="1:26" ht="12.75" customHeight="1" x14ac:dyDescent="0.2">
      <c r="A9785" s="258"/>
      <c r="Z9785" s="258"/>
    </row>
    <row r="9786" spans="1:26" ht="12.75" customHeight="1" x14ac:dyDescent="0.2">
      <c r="A9786" s="258"/>
      <c r="Z9786" s="258"/>
    </row>
    <row r="9787" spans="1:26" ht="12.75" customHeight="1" x14ac:dyDescent="0.2">
      <c r="A9787" s="258"/>
      <c r="Z9787" s="258"/>
    </row>
    <row r="9788" spans="1:26" ht="12.75" customHeight="1" x14ac:dyDescent="0.2">
      <c r="A9788" s="258"/>
      <c r="Z9788" s="258"/>
    </row>
    <row r="9789" spans="1:26" ht="12.75" customHeight="1" x14ac:dyDescent="0.2">
      <c r="A9789" s="258"/>
      <c r="Z9789" s="258"/>
    </row>
    <row r="9790" spans="1:26" ht="12.75" customHeight="1" x14ac:dyDescent="0.2">
      <c r="A9790" s="258"/>
      <c r="Z9790" s="258"/>
    </row>
    <row r="9791" spans="1:26" ht="12.75" customHeight="1" x14ac:dyDescent="0.2">
      <c r="A9791" s="258"/>
      <c r="Z9791" s="258"/>
    </row>
    <row r="9792" spans="1:26" ht="12.75" customHeight="1" x14ac:dyDescent="0.2">
      <c r="A9792" s="258"/>
      <c r="Z9792" s="258"/>
    </row>
    <row r="9793" spans="1:26" ht="12.75" customHeight="1" x14ac:dyDescent="0.2">
      <c r="A9793" s="258"/>
      <c r="Z9793" s="258"/>
    </row>
    <row r="9794" spans="1:26" ht="12.75" customHeight="1" x14ac:dyDescent="0.2">
      <c r="A9794" s="258"/>
      <c r="Z9794" s="258"/>
    </row>
    <row r="9795" spans="1:26" ht="12.75" customHeight="1" x14ac:dyDescent="0.2">
      <c r="A9795" s="258"/>
      <c r="Z9795" s="258"/>
    </row>
    <row r="9796" spans="1:26" ht="12.75" customHeight="1" x14ac:dyDescent="0.2">
      <c r="A9796" s="258"/>
      <c r="Z9796" s="258"/>
    </row>
    <row r="9797" spans="1:26" ht="12.75" customHeight="1" x14ac:dyDescent="0.2">
      <c r="A9797" s="258"/>
      <c r="Z9797" s="258"/>
    </row>
    <row r="9798" spans="1:26" ht="12.75" customHeight="1" x14ac:dyDescent="0.2">
      <c r="A9798" s="258"/>
      <c r="Z9798" s="258"/>
    </row>
    <row r="9799" spans="1:26" ht="12.75" customHeight="1" x14ac:dyDescent="0.2">
      <c r="A9799" s="258"/>
      <c r="Z9799" s="258"/>
    </row>
    <row r="9800" spans="1:26" ht="12.75" customHeight="1" x14ac:dyDescent="0.2">
      <c r="A9800" s="258"/>
      <c r="Z9800" s="258"/>
    </row>
    <row r="9801" spans="1:26" ht="12.75" customHeight="1" x14ac:dyDescent="0.2">
      <c r="A9801" s="258"/>
      <c r="Z9801" s="258"/>
    </row>
    <row r="9802" spans="1:26" ht="12.75" customHeight="1" x14ac:dyDescent="0.2">
      <c r="A9802" s="258"/>
      <c r="Z9802" s="258"/>
    </row>
    <row r="9803" spans="1:26" ht="12.75" customHeight="1" x14ac:dyDescent="0.2">
      <c r="A9803" s="258"/>
      <c r="Z9803" s="258"/>
    </row>
    <row r="9804" spans="1:26" ht="12.75" customHeight="1" x14ac:dyDescent="0.2">
      <c r="A9804" s="258"/>
      <c r="Z9804" s="258"/>
    </row>
    <row r="9805" spans="1:26" ht="12.75" customHeight="1" x14ac:dyDescent="0.2">
      <c r="A9805" s="258"/>
      <c r="Z9805" s="258"/>
    </row>
    <row r="9806" spans="1:26" ht="12.75" customHeight="1" x14ac:dyDescent="0.2">
      <c r="A9806" s="258"/>
      <c r="Z9806" s="258"/>
    </row>
    <row r="9807" spans="1:26" ht="12.75" customHeight="1" x14ac:dyDescent="0.2">
      <c r="A9807" s="258"/>
      <c r="Z9807" s="258"/>
    </row>
    <row r="9808" spans="1:26" ht="12.75" customHeight="1" x14ac:dyDescent="0.2">
      <c r="A9808" s="258"/>
      <c r="Z9808" s="258"/>
    </row>
    <row r="9809" spans="1:26" ht="12.75" customHeight="1" x14ac:dyDescent="0.2">
      <c r="A9809" s="258"/>
      <c r="Z9809" s="258"/>
    </row>
    <row r="9810" spans="1:26" ht="12.75" customHeight="1" x14ac:dyDescent="0.2">
      <c r="A9810" s="258"/>
      <c r="Z9810" s="258"/>
    </row>
    <row r="9811" spans="1:26" ht="12.75" customHeight="1" x14ac:dyDescent="0.2">
      <c r="A9811" s="258"/>
      <c r="Z9811" s="258"/>
    </row>
    <row r="9812" spans="1:26" ht="12.75" customHeight="1" x14ac:dyDescent="0.2">
      <c r="A9812" s="258"/>
      <c r="Z9812" s="258"/>
    </row>
    <row r="9813" spans="1:26" ht="12.75" customHeight="1" x14ac:dyDescent="0.2">
      <c r="A9813" s="258"/>
      <c r="Z9813" s="258"/>
    </row>
    <row r="9814" spans="1:26" ht="12.75" customHeight="1" x14ac:dyDescent="0.2">
      <c r="A9814" s="258"/>
      <c r="Z9814" s="258"/>
    </row>
    <row r="9815" spans="1:26" ht="12.75" customHeight="1" x14ac:dyDescent="0.2">
      <c r="A9815" s="258"/>
      <c r="Z9815" s="258"/>
    </row>
    <row r="9816" spans="1:26" ht="12.75" customHeight="1" x14ac:dyDescent="0.2">
      <c r="A9816" s="258"/>
      <c r="Z9816" s="258"/>
    </row>
    <row r="9817" spans="1:26" ht="12.75" customHeight="1" x14ac:dyDescent="0.2">
      <c r="A9817" s="258"/>
      <c r="Z9817" s="258"/>
    </row>
    <row r="9818" spans="1:26" ht="12.75" customHeight="1" x14ac:dyDescent="0.2">
      <c r="A9818" s="258"/>
      <c r="Z9818" s="258"/>
    </row>
    <row r="9819" spans="1:26" ht="12.75" customHeight="1" x14ac:dyDescent="0.2">
      <c r="A9819" s="258"/>
      <c r="Z9819" s="258"/>
    </row>
    <row r="9820" spans="1:26" ht="12.75" customHeight="1" x14ac:dyDescent="0.2">
      <c r="A9820" s="258"/>
      <c r="Z9820" s="258"/>
    </row>
    <row r="9821" spans="1:26" ht="12.75" customHeight="1" x14ac:dyDescent="0.2">
      <c r="A9821" s="258"/>
      <c r="Z9821" s="258"/>
    </row>
    <row r="9822" spans="1:26" ht="12.75" customHeight="1" x14ac:dyDescent="0.2">
      <c r="A9822" s="258"/>
      <c r="Z9822" s="258"/>
    </row>
    <row r="9823" spans="1:26" ht="12.75" customHeight="1" x14ac:dyDescent="0.2">
      <c r="A9823" s="258"/>
      <c r="Z9823" s="258"/>
    </row>
    <row r="9824" spans="1:26" ht="12.75" customHeight="1" x14ac:dyDescent="0.2">
      <c r="A9824" s="258"/>
      <c r="Z9824" s="258"/>
    </row>
    <row r="9825" spans="1:26" ht="12.75" customHeight="1" x14ac:dyDescent="0.2">
      <c r="A9825" s="258"/>
      <c r="Z9825" s="258"/>
    </row>
    <row r="9826" spans="1:26" ht="12.75" customHeight="1" x14ac:dyDescent="0.2">
      <c r="A9826" s="258"/>
      <c r="Z9826" s="258"/>
    </row>
    <row r="9827" spans="1:26" ht="12.75" customHeight="1" x14ac:dyDescent="0.2">
      <c r="A9827" s="258"/>
      <c r="Z9827" s="258"/>
    </row>
    <row r="9828" spans="1:26" ht="12.75" customHeight="1" x14ac:dyDescent="0.2">
      <c r="A9828" s="258"/>
      <c r="Z9828" s="258"/>
    </row>
    <row r="9829" spans="1:26" ht="12.75" customHeight="1" x14ac:dyDescent="0.2">
      <c r="A9829" s="258"/>
      <c r="Z9829" s="258"/>
    </row>
    <row r="9830" spans="1:26" ht="12.75" customHeight="1" x14ac:dyDescent="0.2">
      <c r="A9830" s="258"/>
      <c r="Z9830" s="258"/>
    </row>
    <row r="9831" spans="1:26" ht="12.75" customHeight="1" x14ac:dyDescent="0.2">
      <c r="A9831" s="258"/>
      <c r="Z9831" s="258"/>
    </row>
    <row r="9832" spans="1:26" ht="12.75" customHeight="1" x14ac:dyDescent="0.2">
      <c r="A9832" s="258"/>
      <c r="Z9832" s="258"/>
    </row>
    <row r="9833" spans="1:26" ht="12.75" customHeight="1" x14ac:dyDescent="0.2">
      <c r="A9833" s="258"/>
      <c r="Z9833" s="258"/>
    </row>
    <row r="9834" spans="1:26" ht="12.75" customHeight="1" x14ac:dyDescent="0.2">
      <c r="A9834" s="258"/>
      <c r="Z9834" s="258"/>
    </row>
    <row r="9835" spans="1:26" ht="12.75" customHeight="1" x14ac:dyDescent="0.2">
      <c r="A9835" s="258"/>
      <c r="Z9835" s="258"/>
    </row>
    <row r="9836" spans="1:26" ht="12.75" customHeight="1" x14ac:dyDescent="0.2">
      <c r="A9836" s="258"/>
      <c r="Z9836" s="258"/>
    </row>
    <row r="9837" spans="1:26" ht="12.75" customHeight="1" x14ac:dyDescent="0.2">
      <c r="A9837" s="258"/>
      <c r="Z9837" s="258"/>
    </row>
    <row r="9838" spans="1:26" ht="12.75" customHeight="1" x14ac:dyDescent="0.2">
      <c r="A9838" s="258"/>
      <c r="Z9838" s="258"/>
    </row>
    <row r="9839" spans="1:26" ht="12.75" customHeight="1" x14ac:dyDescent="0.2">
      <c r="A9839" s="258"/>
      <c r="Z9839" s="258"/>
    </row>
    <row r="9840" spans="1:26" ht="12.75" customHeight="1" x14ac:dyDescent="0.2">
      <c r="A9840" s="258"/>
      <c r="Z9840" s="258"/>
    </row>
    <row r="9841" spans="1:26" ht="12.75" customHeight="1" x14ac:dyDescent="0.2">
      <c r="A9841" s="258"/>
      <c r="Z9841" s="258"/>
    </row>
    <row r="9842" spans="1:26" ht="12.75" customHeight="1" x14ac:dyDescent="0.2">
      <c r="A9842" s="258"/>
      <c r="Z9842" s="258"/>
    </row>
    <row r="9843" spans="1:26" ht="12.75" customHeight="1" x14ac:dyDescent="0.2">
      <c r="A9843" s="258"/>
      <c r="Z9843" s="258"/>
    </row>
    <row r="9844" spans="1:26" ht="12.75" customHeight="1" x14ac:dyDescent="0.2">
      <c r="A9844" s="258"/>
      <c r="Z9844" s="258"/>
    </row>
    <row r="9845" spans="1:26" ht="12.75" customHeight="1" x14ac:dyDescent="0.2">
      <c r="A9845" s="258"/>
      <c r="Z9845" s="258"/>
    </row>
    <row r="9846" spans="1:26" ht="12.75" customHeight="1" x14ac:dyDescent="0.2">
      <c r="A9846" s="258"/>
      <c r="Z9846" s="258"/>
    </row>
    <row r="9847" spans="1:26" ht="12.75" customHeight="1" x14ac:dyDescent="0.2">
      <c r="A9847" s="258"/>
      <c r="Z9847" s="258"/>
    </row>
    <row r="9848" spans="1:26" ht="12.75" customHeight="1" x14ac:dyDescent="0.2">
      <c r="A9848" s="258"/>
      <c r="Z9848" s="258"/>
    </row>
    <row r="9849" spans="1:26" ht="12.75" customHeight="1" x14ac:dyDescent="0.2">
      <c r="A9849" s="258"/>
      <c r="Z9849" s="258"/>
    </row>
    <row r="9850" spans="1:26" ht="12.75" customHeight="1" x14ac:dyDescent="0.2">
      <c r="A9850" s="258"/>
      <c r="Z9850" s="258"/>
    </row>
    <row r="9851" spans="1:26" ht="12.75" customHeight="1" x14ac:dyDescent="0.2">
      <c r="A9851" s="258"/>
      <c r="Z9851" s="258"/>
    </row>
    <row r="9852" spans="1:26" ht="12.75" customHeight="1" x14ac:dyDescent="0.2">
      <c r="A9852" s="258"/>
      <c r="Z9852" s="258"/>
    </row>
    <row r="9853" spans="1:26" ht="12.75" customHeight="1" x14ac:dyDescent="0.2">
      <c r="A9853" s="258"/>
      <c r="Z9853" s="258"/>
    </row>
    <row r="9854" spans="1:26" ht="12.75" customHeight="1" x14ac:dyDescent="0.2">
      <c r="A9854" s="258"/>
      <c r="Z9854" s="258"/>
    </row>
    <row r="9855" spans="1:26" ht="12.75" customHeight="1" x14ac:dyDescent="0.2">
      <c r="A9855" s="258"/>
      <c r="Z9855" s="258"/>
    </row>
    <row r="9856" spans="1:26" ht="12.75" customHeight="1" x14ac:dyDescent="0.2">
      <c r="A9856" s="258"/>
      <c r="Z9856" s="258"/>
    </row>
    <row r="9857" spans="1:26" ht="12.75" customHeight="1" x14ac:dyDescent="0.2">
      <c r="A9857" s="258"/>
      <c r="Z9857" s="258"/>
    </row>
    <row r="9858" spans="1:26" ht="12.75" customHeight="1" x14ac:dyDescent="0.2">
      <c r="A9858" s="258"/>
      <c r="Z9858" s="258"/>
    </row>
    <row r="9859" spans="1:26" ht="12.75" customHeight="1" x14ac:dyDescent="0.2">
      <c r="A9859" s="258"/>
      <c r="Z9859" s="258"/>
    </row>
    <row r="9860" spans="1:26" ht="12.75" customHeight="1" x14ac:dyDescent="0.2">
      <c r="A9860" s="258"/>
      <c r="Z9860" s="258"/>
    </row>
    <row r="9861" spans="1:26" ht="12.75" customHeight="1" x14ac:dyDescent="0.2">
      <c r="A9861" s="258"/>
      <c r="Z9861" s="258"/>
    </row>
    <row r="9862" spans="1:26" ht="12.75" customHeight="1" x14ac:dyDescent="0.2">
      <c r="A9862" s="258"/>
      <c r="Z9862" s="258"/>
    </row>
    <row r="9863" spans="1:26" ht="12.75" customHeight="1" x14ac:dyDescent="0.2">
      <c r="A9863" s="258"/>
      <c r="Z9863" s="258"/>
    </row>
    <row r="9864" spans="1:26" ht="12.75" customHeight="1" x14ac:dyDescent="0.2">
      <c r="A9864" s="258"/>
      <c r="Z9864" s="258"/>
    </row>
    <row r="9865" spans="1:26" ht="12.75" customHeight="1" x14ac:dyDescent="0.2">
      <c r="A9865" s="258"/>
      <c r="Z9865" s="258"/>
    </row>
    <row r="9866" spans="1:26" ht="12.75" customHeight="1" x14ac:dyDescent="0.2">
      <c r="A9866" s="258"/>
      <c r="Z9866" s="258"/>
    </row>
    <row r="9867" spans="1:26" ht="12.75" customHeight="1" x14ac:dyDescent="0.2">
      <c r="A9867" s="258"/>
      <c r="Z9867" s="258"/>
    </row>
    <row r="9868" spans="1:26" ht="12.75" customHeight="1" x14ac:dyDescent="0.2">
      <c r="A9868" s="258"/>
      <c r="Z9868" s="258"/>
    </row>
    <row r="9869" spans="1:26" ht="12.75" customHeight="1" x14ac:dyDescent="0.2">
      <c r="A9869" s="258"/>
      <c r="Z9869" s="258"/>
    </row>
    <row r="9870" spans="1:26" ht="12.75" customHeight="1" x14ac:dyDescent="0.2">
      <c r="A9870" s="258"/>
      <c r="Z9870" s="258"/>
    </row>
    <row r="9871" spans="1:26" ht="12.75" customHeight="1" x14ac:dyDescent="0.2">
      <c r="A9871" s="258"/>
      <c r="Z9871" s="258"/>
    </row>
    <row r="9872" spans="1:26" ht="12.75" customHeight="1" x14ac:dyDescent="0.2">
      <c r="A9872" s="258"/>
      <c r="Z9872" s="258"/>
    </row>
    <row r="9873" spans="1:26" ht="12.75" customHeight="1" x14ac:dyDescent="0.2">
      <c r="A9873" s="258"/>
      <c r="Z9873" s="258"/>
    </row>
    <row r="9874" spans="1:26" ht="12.75" customHeight="1" x14ac:dyDescent="0.2">
      <c r="A9874" s="258"/>
      <c r="Z9874" s="258"/>
    </row>
    <row r="9875" spans="1:26" ht="12.75" customHeight="1" x14ac:dyDescent="0.2">
      <c r="A9875" s="258"/>
      <c r="Z9875" s="258"/>
    </row>
    <row r="9876" spans="1:26" ht="12.75" customHeight="1" x14ac:dyDescent="0.2">
      <c r="A9876" s="258"/>
      <c r="Z9876" s="258"/>
    </row>
    <row r="9877" spans="1:26" ht="12.75" customHeight="1" x14ac:dyDescent="0.2">
      <c r="A9877" s="258"/>
      <c r="Z9877" s="258"/>
    </row>
    <row r="9878" spans="1:26" ht="12.75" customHeight="1" x14ac:dyDescent="0.2">
      <c r="A9878" s="258"/>
      <c r="Z9878" s="258"/>
    </row>
    <row r="9879" spans="1:26" ht="12.75" customHeight="1" x14ac:dyDescent="0.2">
      <c r="A9879" s="258"/>
      <c r="Z9879" s="258"/>
    </row>
    <row r="9880" spans="1:26" ht="12.75" customHeight="1" x14ac:dyDescent="0.2">
      <c r="A9880" s="258"/>
      <c r="Z9880" s="258"/>
    </row>
    <row r="9881" spans="1:26" ht="12.75" customHeight="1" x14ac:dyDescent="0.2">
      <c r="A9881" s="258"/>
      <c r="Z9881" s="258"/>
    </row>
    <row r="9882" spans="1:26" ht="12.75" customHeight="1" x14ac:dyDescent="0.2">
      <c r="A9882" s="258"/>
      <c r="Z9882" s="258"/>
    </row>
    <row r="9883" spans="1:26" ht="12.75" customHeight="1" x14ac:dyDescent="0.2">
      <c r="A9883" s="258"/>
      <c r="Z9883" s="258"/>
    </row>
    <row r="9884" spans="1:26" ht="12.75" customHeight="1" x14ac:dyDescent="0.2">
      <c r="A9884" s="258"/>
      <c r="Z9884" s="258"/>
    </row>
    <row r="9885" spans="1:26" ht="12.75" customHeight="1" x14ac:dyDescent="0.2">
      <c r="A9885" s="258"/>
      <c r="Z9885" s="258"/>
    </row>
    <row r="9886" spans="1:26" ht="12.75" customHeight="1" x14ac:dyDescent="0.2">
      <c r="A9886" s="258"/>
      <c r="Z9886" s="258"/>
    </row>
    <row r="9887" spans="1:26" ht="12.75" customHeight="1" x14ac:dyDescent="0.2">
      <c r="A9887" s="258"/>
      <c r="Z9887" s="258"/>
    </row>
    <row r="9888" spans="1:26" ht="12.75" customHeight="1" x14ac:dyDescent="0.2">
      <c r="A9888" s="258"/>
      <c r="Z9888" s="258"/>
    </row>
    <row r="9889" spans="1:26" ht="12.75" customHeight="1" x14ac:dyDescent="0.2">
      <c r="A9889" s="258"/>
      <c r="Z9889" s="258"/>
    </row>
    <row r="9890" spans="1:26" ht="12.75" customHeight="1" x14ac:dyDescent="0.2">
      <c r="A9890" s="258"/>
      <c r="Z9890" s="258"/>
    </row>
    <row r="9891" spans="1:26" ht="12.75" customHeight="1" x14ac:dyDescent="0.2">
      <c r="A9891" s="258"/>
      <c r="Z9891" s="258"/>
    </row>
    <row r="9892" spans="1:26" ht="12.75" customHeight="1" x14ac:dyDescent="0.2">
      <c r="A9892" s="258"/>
      <c r="Z9892" s="258"/>
    </row>
    <row r="9893" spans="1:26" ht="12.75" customHeight="1" x14ac:dyDescent="0.2">
      <c r="A9893" s="258"/>
      <c r="Z9893" s="258"/>
    </row>
    <row r="9894" spans="1:26" ht="12.75" customHeight="1" x14ac:dyDescent="0.2">
      <c r="A9894" s="258"/>
      <c r="Z9894" s="258"/>
    </row>
    <row r="9895" spans="1:26" ht="12.75" customHeight="1" x14ac:dyDescent="0.2">
      <c r="A9895" s="258"/>
      <c r="Z9895" s="258"/>
    </row>
    <row r="9896" spans="1:26" ht="12.75" customHeight="1" x14ac:dyDescent="0.2">
      <c r="A9896" s="258"/>
      <c r="Z9896" s="258"/>
    </row>
    <row r="9897" spans="1:26" ht="12.75" customHeight="1" x14ac:dyDescent="0.2">
      <c r="A9897" s="258"/>
      <c r="Z9897" s="258"/>
    </row>
    <row r="9898" spans="1:26" ht="12.75" customHeight="1" x14ac:dyDescent="0.2">
      <c r="A9898" s="258"/>
      <c r="Z9898" s="258"/>
    </row>
    <row r="9899" spans="1:26" ht="12.75" customHeight="1" x14ac:dyDescent="0.2">
      <c r="A9899" s="258"/>
      <c r="Z9899" s="258"/>
    </row>
    <row r="9900" spans="1:26" ht="12.75" customHeight="1" x14ac:dyDescent="0.2">
      <c r="A9900" s="258"/>
      <c r="Z9900" s="258"/>
    </row>
    <row r="9901" spans="1:26" ht="12.75" customHeight="1" x14ac:dyDescent="0.2">
      <c r="A9901" s="258"/>
      <c r="Z9901" s="258"/>
    </row>
    <row r="9902" spans="1:26" ht="12.75" customHeight="1" x14ac:dyDescent="0.2">
      <c r="A9902" s="258"/>
      <c r="Z9902" s="258"/>
    </row>
    <row r="9903" spans="1:26" ht="12.75" customHeight="1" x14ac:dyDescent="0.2">
      <c r="A9903" s="258"/>
      <c r="Z9903" s="258"/>
    </row>
    <row r="9904" spans="1:26" ht="12.75" customHeight="1" x14ac:dyDescent="0.2">
      <c r="A9904" s="258"/>
      <c r="Z9904" s="258"/>
    </row>
    <row r="9905" spans="1:26" ht="12.75" customHeight="1" x14ac:dyDescent="0.2">
      <c r="A9905" s="258"/>
      <c r="Z9905" s="258"/>
    </row>
    <row r="9906" spans="1:26" ht="12.75" customHeight="1" x14ac:dyDescent="0.2">
      <c r="A9906" s="258"/>
      <c r="Z9906" s="258"/>
    </row>
    <row r="9907" spans="1:26" ht="12.75" customHeight="1" x14ac:dyDescent="0.2">
      <c r="A9907" s="258"/>
      <c r="Z9907" s="258"/>
    </row>
    <row r="9908" spans="1:26" ht="12.75" customHeight="1" x14ac:dyDescent="0.2">
      <c r="A9908" s="258"/>
      <c r="Z9908" s="258"/>
    </row>
    <row r="9909" spans="1:26" ht="12.75" customHeight="1" x14ac:dyDescent="0.2">
      <c r="A9909" s="258"/>
      <c r="Z9909" s="258"/>
    </row>
    <row r="9910" spans="1:26" ht="12.75" customHeight="1" x14ac:dyDescent="0.2">
      <c r="A9910" s="258"/>
      <c r="Z9910" s="258"/>
    </row>
    <row r="9911" spans="1:26" ht="12.75" customHeight="1" x14ac:dyDescent="0.2">
      <c r="A9911" s="258"/>
      <c r="Z9911" s="258"/>
    </row>
    <row r="9912" spans="1:26" ht="12.75" customHeight="1" x14ac:dyDescent="0.2">
      <c r="A9912" s="258"/>
      <c r="Z9912" s="258"/>
    </row>
    <row r="9913" spans="1:26" ht="12.75" customHeight="1" x14ac:dyDescent="0.2">
      <c r="A9913" s="258"/>
      <c r="Z9913" s="258"/>
    </row>
    <row r="9914" spans="1:26" ht="12.75" customHeight="1" x14ac:dyDescent="0.2">
      <c r="A9914" s="258"/>
      <c r="Z9914" s="258"/>
    </row>
    <row r="9915" spans="1:26" ht="12.75" customHeight="1" x14ac:dyDescent="0.2">
      <c r="A9915" s="258"/>
      <c r="Z9915" s="258"/>
    </row>
    <row r="9916" spans="1:26" ht="12.75" customHeight="1" x14ac:dyDescent="0.2">
      <c r="A9916" s="258"/>
      <c r="Z9916" s="258"/>
    </row>
    <row r="9917" spans="1:26" ht="12.75" customHeight="1" x14ac:dyDescent="0.2">
      <c r="A9917" s="258"/>
      <c r="Z9917" s="258"/>
    </row>
    <row r="9918" spans="1:26" ht="12.75" customHeight="1" x14ac:dyDescent="0.2">
      <c r="A9918" s="258"/>
      <c r="Z9918" s="258"/>
    </row>
    <row r="9919" spans="1:26" ht="12.75" customHeight="1" x14ac:dyDescent="0.2">
      <c r="A9919" s="258"/>
      <c r="Z9919" s="258"/>
    </row>
    <row r="9920" spans="1:26" ht="12.75" customHeight="1" x14ac:dyDescent="0.2">
      <c r="A9920" s="258"/>
      <c r="Z9920" s="258"/>
    </row>
    <row r="9921" spans="1:26" ht="12.75" customHeight="1" x14ac:dyDescent="0.2">
      <c r="A9921" s="258"/>
      <c r="Z9921" s="258"/>
    </row>
    <row r="9922" spans="1:26" ht="12.75" customHeight="1" x14ac:dyDescent="0.2">
      <c r="A9922" s="258"/>
      <c r="Z9922" s="258"/>
    </row>
    <row r="9923" spans="1:26" ht="12.75" customHeight="1" x14ac:dyDescent="0.2">
      <c r="A9923" s="258"/>
      <c r="Z9923" s="258"/>
    </row>
    <row r="9924" spans="1:26" ht="12.75" customHeight="1" x14ac:dyDescent="0.2">
      <c r="A9924" s="258"/>
      <c r="Z9924" s="258"/>
    </row>
    <row r="9925" spans="1:26" ht="12.75" customHeight="1" x14ac:dyDescent="0.2">
      <c r="A9925" s="258"/>
      <c r="Z9925" s="258"/>
    </row>
    <row r="9926" spans="1:26" ht="12.75" customHeight="1" x14ac:dyDescent="0.2">
      <c r="A9926" s="258"/>
      <c r="Z9926" s="258"/>
    </row>
    <row r="9927" spans="1:26" ht="12.75" customHeight="1" x14ac:dyDescent="0.2">
      <c r="A9927" s="258"/>
      <c r="Z9927" s="258"/>
    </row>
    <row r="9928" spans="1:26" ht="12.75" customHeight="1" x14ac:dyDescent="0.2">
      <c r="A9928" s="258"/>
      <c r="Z9928" s="258"/>
    </row>
    <row r="9929" spans="1:26" ht="12.75" customHeight="1" x14ac:dyDescent="0.2">
      <c r="A9929" s="258"/>
      <c r="Z9929" s="258"/>
    </row>
    <row r="9930" spans="1:26" ht="12.75" customHeight="1" x14ac:dyDescent="0.2">
      <c r="A9930" s="258"/>
      <c r="Z9930" s="258"/>
    </row>
    <row r="9931" spans="1:26" ht="12.75" customHeight="1" x14ac:dyDescent="0.2">
      <c r="A9931" s="258"/>
      <c r="Z9931" s="258"/>
    </row>
    <row r="9932" spans="1:26" ht="12.75" customHeight="1" x14ac:dyDescent="0.2">
      <c r="A9932" s="258"/>
      <c r="Z9932" s="258"/>
    </row>
    <row r="9933" spans="1:26" ht="12.75" customHeight="1" x14ac:dyDescent="0.2">
      <c r="A9933" s="258"/>
      <c r="Z9933" s="258"/>
    </row>
    <row r="9934" spans="1:26" ht="12.75" customHeight="1" x14ac:dyDescent="0.2">
      <c r="A9934" s="258"/>
      <c r="Z9934" s="258"/>
    </row>
    <row r="9935" spans="1:26" ht="12.75" customHeight="1" x14ac:dyDescent="0.2">
      <c r="A9935" s="258"/>
      <c r="Z9935" s="258"/>
    </row>
    <row r="9936" spans="1:26" ht="12.75" customHeight="1" x14ac:dyDescent="0.2">
      <c r="A9936" s="258"/>
      <c r="Z9936" s="258"/>
    </row>
    <row r="9937" spans="1:26" ht="12.75" customHeight="1" x14ac:dyDescent="0.2">
      <c r="A9937" s="258"/>
      <c r="Z9937" s="258"/>
    </row>
    <row r="9938" spans="1:26" ht="12.75" customHeight="1" x14ac:dyDescent="0.2">
      <c r="A9938" s="258"/>
      <c r="Z9938" s="258"/>
    </row>
    <row r="9939" spans="1:26" ht="12.75" customHeight="1" x14ac:dyDescent="0.2">
      <c r="A9939" s="258"/>
      <c r="Z9939" s="258"/>
    </row>
    <row r="9940" spans="1:26" ht="12.75" customHeight="1" x14ac:dyDescent="0.2">
      <c r="A9940" s="258"/>
      <c r="Z9940" s="258"/>
    </row>
    <row r="9941" spans="1:26" ht="12.75" customHeight="1" x14ac:dyDescent="0.2">
      <c r="A9941" s="258"/>
      <c r="Z9941" s="258"/>
    </row>
    <row r="9942" spans="1:26" ht="12.75" customHeight="1" x14ac:dyDescent="0.2">
      <c r="A9942" s="258"/>
      <c r="Z9942" s="258"/>
    </row>
    <row r="9943" spans="1:26" ht="12.75" customHeight="1" x14ac:dyDescent="0.2">
      <c r="A9943" s="258"/>
      <c r="Z9943" s="258"/>
    </row>
    <row r="9944" spans="1:26" ht="12.75" customHeight="1" x14ac:dyDescent="0.2">
      <c r="A9944" s="258"/>
      <c r="Z9944" s="258"/>
    </row>
    <row r="9945" spans="1:26" ht="12.75" customHeight="1" x14ac:dyDescent="0.2">
      <c r="A9945" s="258"/>
      <c r="Z9945" s="258"/>
    </row>
    <row r="9946" spans="1:26" ht="12.75" customHeight="1" x14ac:dyDescent="0.2">
      <c r="A9946" s="258"/>
      <c r="Z9946" s="258"/>
    </row>
    <row r="9947" spans="1:26" ht="12.75" customHeight="1" x14ac:dyDescent="0.2">
      <c r="A9947" s="258"/>
      <c r="Z9947" s="258"/>
    </row>
    <row r="9948" spans="1:26" ht="12.75" customHeight="1" x14ac:dyDescent="0.2">
      <c r="A9948" s="258"/>
      <c r="Z9948" s="258"/>
    </row>
    <row r="9949" spans="1:26" ht="12.75" customHeight="1" x14ac:dyDescent="0.2">
      <c r="A9949" s="258"/>
      <c r="Z9949" s="258"/>
    </row>
    <row r="9950" spans="1:26" ht="12.75" customHeight="1" x14ac:dyDescent="0.2">
      <c r="A9950" s="258"/>
      <c r="Z9950" s="258"/>
    </row>
    <row r="9951" spans="1:26" ht="12.75" customHeight="1" x14ac:dyDescent="0.2">
      <c r="A9951" s="258"/>
      <c r="Z9951" s="258"/>
    </row>
    <row r="9952" spans="1:26" ht="12.75" customHeight="1" x14ac:dyDescent="0.2">
      <c r="A9952" s="258"/>
      <c r="Z9952" s="258"/>
    </row>
    <row r="9953" spans="1:26" ht="12.75" customHeight="1" x14ac:dyDescent="0.2">
      <c r="A9953" s="258"/>
      <c r="Z9953" s="258"/>
    </row>
    <row r="9954" spans="1:26" ht="12.75" customHeight="1" x14ac:dyDescent="0.2">
      <c r="A9954" s="258"/>
      <c r="Z9954" s="258"/>
    </row>
    <row r="9955" spans="1:26" ht="12.75" customHeight="1" x14ac:dyDescent="0.2">
      <c r="A9955" s="258"/>
      <c r="Z9955" s="258"/>
    </row>
    <row r="9956" spans="1:26" ht="12.75" customHeight="1" x14ac:dyDescent="0.2">
      <c r="A9956" s="258"/>
      <c r="Z9956" s="258"/>
    </row>
    <row r="9957" spans="1:26" ht="12.75" customHeight="1" x14ac:dyDescent="0.2">
      <c r="A9957" s="258"/>
      <c r="Z9957" s="258"/>
    </row>
    <row r="9958" spans="1:26" ht="12.75" customHeight="1" x14ac:dyDescent="0.2">
      <c r="A9958" s="258"/>
      <c r="Z9958" s="258"/>
    </row>
    <row r="9959" spans="1:26" ht="12.75" customHeight="1" x14ac:dyDescent="0.2">
      <c r="A9959" s="258"/>
      <c r="Z9959" s="258"/>
    </row>
    <row r="9960" spans="1:26" ht="12.75" customHeight="1" x14ac:dyDescent="0.2">
      <c r="A9960" s="258"/>
      <c r="Z9960" s="258"/>
    </row>
    <row r="9961" spans="1:26" ht="12.75" customHeight="1" x14ac:dyDescent="0.2">
      <c r="A9961" s="258"/>
      <c r="Z9961" s="258"/>
    </row>
    <row r="9962" spans="1:26" ht="12.75" customHeight="1" x14ac:dyDescent="0.2">
      <c r="A9962" s="258"/>
      <c r="Z9962" s="258"/>
    </row>
    <row r="9963" spans="1:26" ht="12.75" customHeight="1" x14ac:dyDescent="0.2">
      <c r="A9963" s="258"/>
      <c r="Z9963" s="258"/>
    </row>
    <row r="9964" spans="1:26" ht="12.75" customHeight="1" x14ac:dyDescent="0.2">
      <c r="A9964" s="258"/>
      <c r="Z9964" s="258"/>
    </row>
    <row r="9965" spans="1:26" ht="12.75" customHeight="1" x14ac:dyDescent="0.2">
      <c r="A9965" s="258"/>
      <c r="Z9965" s="258"/>
    </row>
    <row r="9966" spans="1:26" ht="12.75" customHeight="1" x14ac:dyDescent="0.2">
      <c r="A9966" s="258"/>
      <c r="Z9966" s="258"/>
    </row>
    <row r="9967" spans="1:26" ht="12.75" customHeight="1" x14ac:dyDescent="0.2">
      <c r="A9967" s="258"/>
      <c r="Z9967" s="258"/>
    </row>
    <row r="9968" spans="1:26" ht="12.75" customHeight="1" x14ac:dyDescent="0.2">
      <c r="A9968" s="258"/>
      <c r="Z9968" s="258"/>
    </row>
    <row r="9969" spans="1:26" ht="12.75" customHeight="1" x14ac:dyDescent="0.2">
      <c r="A9969" s="258"/>
      <c r="Z9969" s="258"/>
    </row>
    <row r="9970" spans="1:26" ht="12.75" customHeight="1" x14ac:dyDescent="0.2">
      <c r="A9970" s="258"/>
      <c r="Z9970" s="258"/>
    </row>
    <row r="9971" spans="1:26" ht="12.75" customHeight="1" x14ac:dyDescent="0.2">
      <c r="A9971" s="258"/>
      <c r="Z9971" s="258"/>
    </row>
    <row r="9972" spans="1:26" ht="12.75" customHeight="1" x14ac:dyDescent="0.2">
      <c r="A9972" s="258"/>
      <c r="Z9972" s="258"/>
    </row>
    <row r="9973" spans="1:26" ht="12.75" customHeight="1" x14ac:dyDescent="0.2">
      <c r="A9973" s="258"/>
      <c r="Z9973" s="258"/>
    </row>
    <row r="9974" spans="1:26" ht="12.75" customHeight="1" x14ac:dyDescent="0.2">
      <c r="A9974" s="258"/>
      <c r="Z9974" s="258"/>
    </row>
    <row r="9975" spans="1:26" ht="12.75" customHeight="1" x14ac:dyDescent="0.2">
      <c r="A9975" s="258"/>
      <c r="Z9975" s="258"/>
    </row>
    <row r="9976" spans="1:26" ht="12.75" customHeight="1" x14ac:dyDescent="0.2">
      <c r="A9976" s="258"/>
      <c r="Z9976" s="258"/>
    </row>
    <row r="9977" spans="1:26" ht="12.75" customHeight="1" x14ac:dyDescent="0.2">
      <c r="A9977" s="258"/>
      <c r="Z9977" s="258"/>
    </row>
    <row r="9978" spans="1:26" ht="12.75" customHeight="1" x14ac:dyDescent="0.2">
      <c r="A9978" s="258"/>
      <c r="Z9978" s="258"/>
    </row>
    <row r="9979" spans="1:26" ht="12.75" customHeight="1" x14ac:dyDescent="0.2">
      <c r="A9979" s="258"/>
      <c r="Z9979" s="258"/>
    </row>
    <row r="9980" spans="1:26" ht="12.75" customHeight="1" x14ac:dyDescent="0.2">
      <c r="A9980" s="258"/>
      <c r="Z9980" s="258"/>
    </row>
    <row r="9981" spans="1:26" ht="12.75" customHeight="1" x14ac:dyDescent="0.2">
      <c r="A9981" s="258"/>
      <c r="Z9981" s="258"/>
    </row>
    <row r="9982" spans="1:26" ht="12.75" customHeight="1" x14ac:dyDescent="0.2">
      <c r="A9982" s="258"/>
      <c r="Z9982" s="258"/>
    </row>
    <row r="9983" spans="1:26" ht="12.75" customHeight="1" x14ac:dyDescent="0.2">
      <c r="A9983" s="258"/>
      <c r="Z9983" s="258"/>
    </row>
    <row r="9984" spans="1:26" ht="12.75" customHeight="1" x14ac:dyDescent="0.2">
      <c r="A9984" s="258"/>
      <c r="Z9984" s="258"/>
    </row>
    <row r="9985" spans="1:26" ht="12.75" customHeight="1" x14ac:dyDescent="0.2">
      <c r="A9985" s="258"/>
      <c r="Z9985" s="258"/>
    </row>
    <row r="9986" spans="1:26" ht="12.75" customHeight="1" x14ac:dyDescent="0.2">
      <c r="A9986" s="258"/>
      <c r="Z9986" s="258"/>
    </row>
    <row r="9987" spans="1:26" ht="12.75" customHeight="1" x14ac:dyDescent="0.2">
      <c r="A9987" s="258"/>
      <c r="Z9987" s="258"/>
    </row>
    <row r="9988" spans="1:26" ht="12.75" customHeight="1" x14ac:dyDescent="0.2">
      <c r="A9988" s="258"/>
      <c r="Z9988" s="258"/>
    </row>
    <row r="9989" spans="1:26" ht="12.75" customHeight="1" x14ac:dyDescent="0.2">
      <c r="A9989" s="258"/>
      <c r="Z9989" s="258"/>
    </row>
    <row r="9990" spans="1:26" ht="12.75" customHeight="1" x14ac:dyDescent="0.2">
      <c r="A9990" s="258"/>
      <c r="Z9990" s="258"/>
    </row>
    <row r="9991" spans="1:26" ht="12.75" customHeight="1" x14ac:dyDescent="0.2">
      <c r="A9991" s="258"/>
      <c r="Z9991" s="258"/>
    </row>
    <row r="9992" spans="1:26" ht="12.75" customHeight="1" x14ac:dyDescent="0.2">
      <c r="A9992" s="258"/>
      <c r="Z9992" s="258"/>
    </row>
    <row r="9993" spans="1:26" ht="12.75" customHeight="1" x14ac:dyDescent="0.2">
      <c r="A9993" s="258"/>
      <c r="Z9993" s="258"/>
    </row>
    <row r="9994" spans="1:26" ht="12.75" customHeight="1" x14ac:dyDescent="0.2">
      <c r="A9994" s="258"/>
      <c r="Z9994" s="258"/>
    </row>
    <row r="9995" spans="1:26" ht="12.75" customHeight="1" x14ac:dyDescent="0.2">
      <c r="A9995" s="258"/>
      <c r="Z9995" s="258"/>
    </row>
    <row r="9996" spans="1:26" ht="12.75" customHeight="1" x14ac:dyDescent="0.2">
      <c r="A9996" s="258"/>
      <c r="Z9996" s="258"/>
    </row>
    <row r="9997" spans="1:26" ht="12.75" customHeight="1" x14ac:dyDescent="0.2">
      <c r="A9997" s="258"/>
      <c r="Z9997" s="258"/>
    </row>
    <row r="9998" spans="1:26" ht="12.75" customHeight="1" x14ac:dyDescent="0.2">
      <c r="A9998" s="258"/>
      <c r="Z9998" s="258"/>
    </row>
    <row r="9999" spans="1:26" ht="12.75" customHeight="1" x14ac:dyDescent="0.2">
      <c r="A9999" s="258"/>
      <c r="Z9999" s="258"/>
    </row>
    <row r="10000" spans="1:26" ht="12.75" customHeight="1" x14ac:dyDescent="0.2">
      <c r="A10000" s="258"/>
      <c r="Z10000" s="258"/>
    </row>
    <row r="10001" spans="1:26" ht="12.75" customHeight="1" x14ac:dyDescent="0.2">
      <c r="A10001" s="258"/>
      <c r="Z10001" s="258"/>
    </row>
    <row r="10002" spans="1:26" ht="12.75" customHeight="1" x14ac:dyDescent="0.2">
      <c r="A10002" s="258"/>
      <c r="Z10002" s="258"/>
    </row>
    <row r="10003" spans="1:26" ht="12.75" customHeight="1" x14ac:dyDescent="0.2">
      <c r="A10003" s="258"/>
      <c r="Z10003" s="258"/>
    </row>
    <row r="10004" spans="1:26" ht="12.75" customHeight="1" x14ac:dyDescent="0.2">
      <c r="A10004" s="258"/>
      <c r="Z10004" s="258"/>
    </row>
    <row r="10005" spans="1:26" ht="12.75" customHeight="1" x14ac:dyDescent="0.2">
      <c r="A10005" s="258"/>
      <c r="Z10005" s="258"/>
    </row>
    <row r="10006" spans="1:26" ht="12.75" customHeight="1" x14ac:dyDescent="0.2">
      <c r="A10006" s="258"/>
      <c r="Z10006" s="258"/>
    </row>
    <row r="10007" spans="1:26" ht="12.75" customHeight="1" x14ac:dyDescent="0.2">
      <c r="A10007" s="258"/>
      <c r="Z10007" s="258"/>
    </row>
    <row r="10008" spans="1:26" ht="12.75" customHeight="1" x14ac:dyDescent="0.2">
      <c r="A10008" s="258"/>
      <c r="Z10008" s="258"/>
    </row>
    <row r="10009" spans="1:26" ht="12.75" customHeight="1" x14ac:dyDescent="0.2">
      <c r="A10009" s="258"/>
      <c r="Z10009" s="258"/>
    </row>
    <row r="10010" spans="1:26" ht="12.75" customHeight="1" x14ac:dyDescent="0.2">
      <c r="A10010" s="258"/>
      <c r="Z10010" s="258"/>
    </row>
    <row r="10011" spans="1:26" ht="12.75" customHeight="1" x14ac:dyDescent="0.2">
      <c r="A10011" s="258"/>
      <c r="Z10011" s="258"/>
    </row>
    <row r="10012" spans="1:26" ht="12.75" customHeight="1" x14ac:dyDescent="0.2">
      <c r="A10012" s="258"/>
      <c r="Z10012" s="258"/>
    </row>
    <row r="10013" spans="1:26" ht="12.75" customHeight="1" x14ac:dyDescent="0.2">
      <c r="A10013" s="258"/>
      <c r="Z10013" s="258"/>
    </row>
    <row r="10014" spans="1:26" ht="12.75" customHeight="1" x14ac:dyDescent="0.2">
      <c r="A10014" s="258"/>
      <c r="Z10014" s="258"/>
    </row>
    <row r="10015" spans="1:26" ht="12.75" customHeight="1" x14ac:dyDescent="0.2">
      <c r="A10015" s="258"/>
      <c r="Z10015" s="258"/>
    </row>
    <row r="10016" spans="1:26" ht="12.75" customHeight="1" x14ac:dyDescent="0.2">
      <c r="A10016" s="258"/>
      <c r="Z10016" s="258"/>
    </row>
    <row r="10017" spans="1:26" ht="12.75" customHeight="1" x14ac:dyDescent="0.2">
      <c r="A10017" s="258"/>
      <c r="Z10017" s="258"/>
    </row>
    <row r="10018" spans="1:26" ht="12.75" customHeight="1" x14ac:dyDescent="0.2">
      <c r="A10018" s="258"/>
      <c r="Z10018" s="258"/>
    </row>
    <row r="10019" spans="1:26" ht="12.75" customHeight="1" x14ac:dyDescent="0.2">
      <c r="A10019" s="258"/>
      <c r="Z10019" s="258"/>
    </row>
    <row r="10020" spans="1:26" ht="12.75" customHeight="1" x14ac:dyDescent="0.2">
      <c r="A10020" s="258"/>
      <c r="Z10020" s="258"/>
    </row>
    <row r="10021" spans="1:26" ht="12.75" customHeight="1" x14ac:dyDescent="0.2">
      <c r="A10021" s="258"/>
      <c r="Z10021" s="258"/>
    </row>
    <row r="10022" spans="1:26" ht="12.75" customHeight="1" x14ac:dyDescent="0.2">
      <c r="A10022" s="258"/>
      <c r="Z10022" s="258"/>
    </row>
    <row r="10023" spans="1:26" ht="12.75" customHeight="1" x14ac:dyDescent="0.2">
      <c r="A10023" s="258"/>
      <c r="Z10023" s="258"/>
    </row>
    <row r="10024" spans="1:26" ht="12.75" customHeight="1" x14ac:dyDescent="0.2">
      <c r="A10024" s="258"/>
      <c r="Z10024" s="258"/>
    </row>
    <row r="10025" spans="1:26" ht="12.75" customHeight="1" x14ac:dyDescent="0.2">
      <c r="A10025" s="258"/>
      <c r="Z10025" s="258"/>
    </row>
    <row r="10026" spans="1:26" ht="12.75" customHeight="1" x14ac:dyDescent="0.2">
      <c r="A10026" s="258"/>
      <c r="Z10026" s="258"/>
    </row>
    <row r="10027" spans="1:26" ht="12.75" customHeight="1" x14ac:dyDescent="0.2">
      <c r="A10027" s="258"/>
      <c r="Z10027" s="258"/>
    </row>
    <row r="10028" spans="1:26" ht="12.75" customHeight="1" x14ac:dyDescent="0.2">
      <c r="A10028" s="258"/>
      <c r="Z10028" s="258"/>
    </row>
    <row r="10029" spans="1:26" ht="12.75" customHeight="1" x14ac:dyDescent="0.2">
      <c r="A10029" s="258"/>
      <c r="Z10029" s="258"/>
    </row>
    <row r="10030" spans="1:26" ht="12.75" customHeight="1" x14ac:dyDescent="0.2">
      <c r="A10030" s="258"/>
      <c r="Z10030" s="258"/>
    </row>
    <row r="10031" spans="1:26" ht="12.75" customHeight="1" x14ac:dyDescent="0.2">
      <c r="A10031" s="258"/>
      <c r="Z10031" s="258"/>
    </row>
    <row r="10032" spans="1:26" ht="12.75" customHeight="1" x14ac:dyDescent="0.2">
      <c r="A10032" s="258"/>
      <c r="Z10032" s="258"/>
    </row>
    <row r="10033" spans="1:26" ht="12.75" customHeight="1" x14ac:dyDescent="0.2">
      <c r="A10033" s="258"/>
      <c r="Z10033" s="258"/>
    </row>
    <row r="10034" spans="1:26" ht="12.75" customHeight="1" x14ac:dyDescent="0.2">
      <c r="A10034" s="258"/>
      <c r="Z10034" s="258"/>
    </row>
    <row r="10035" spans="1:26" ht="12.75" customHeight="1" x14ac:dyDescent="0.2">
      <c r="A10035" s="258"/>
      <c r="Z10035" s="258"/>
    </row>
    <row r="10036" spans="1:26" ht="12.75" customHeight="1" x14ac:dyDescent="0.2">
      <c r="A10036" s="258"/>
      <c r="Z10036" s="258"/>
    </row>
    <row r="10037" spans="1:26" ht="12.75" customHeight="1" x14ac:dyDescent="0.2">
      <c r="A10037" s="258"/>
      <c r="Z10037" s="258"/>
    </row>
    <row r="10038" spans="1:26" ht="12.75" customHeight="1" x14ac:dyDescent="0.2">
      <c r="A10038" s="258"/>
      <c r="Z10038" s="258"/>
    </row>
    <row r="10039" spans="1:26" ht="12.75" customHeight="1" x14ac:dyDescent="0.2">
      <c r="A10039" s="258"/>
      <c r="Z10039" s="258"/>
    </row>
    <row r="10040" spans="1:26" ht="12.75" customHeight="1" x14ac:dyDescent="0.2">
      <c r="A10040" s="258"/>
      <c r="Z10040" s="258"/>
    </row>
    <row r="10041" spans="1:26" ht="12.75" customHeight="1" x14ac:dyDescent="0.2">
      <c r="A10041" s="258"/>
      <c r="Z10041" s="258"/>
    </row>
    <row r="10042" spans="1:26" ht="12.75" customHeight="1" x14ac:dyDescent="0.2">
      <c r="A10042" s="258"/>
      <c r="Z10042" s="258"/>
    </row>
    <row r="10043" spans="1:26" ht="12.75" customHeight="1" x14ac:dyDescent="0.2">
      <c r="A10043" s="258"/>
      <c r="Z10043" s="258"/>
    </row>
    <row r="10044" spans="1:26" ht="12.75" customHeight="1" x14ac:dyDescent="0.2">
      <c r="A10044" s="258"/>
      <c r="Z10044" s="258"/>
    </row>
    <row r="10045" spans="1:26" ht="12.75" customHeight="1" x14ac:dyDescent="0.2">
      <c r="A10045" s="258"/>
      <c r="Z10045" s="258"/>
    </row>
    <row r="10046" spans="1:26" ht="12.75" customHeight="1" x14ac:dyDescent="0.2">
      <c r="A10046" s="258"/>
      <c r="Z10046" s="258"/>
    </row>
    <row r="10047" spans="1:26" ht="12.75" customHeight="1" x14ac:dyDescent="0.2">
      <c r="A10047" s="258"/>
      <c r="Z10047" s="258"/>
    </row>
    <row r="10048" spans="1:26" ht="12.75" customHeight="1" x14ac:dyDescent="0.2">
      <c r="A10048" s="258"/>
      <c r="Z10048" s="258"/>
    </row>
    <row r="10049" spans="1:26" ht="12.75" customHeight="1" x14ac:dyDescent="0.2">
      <c r="A10049" s="258"/>
      <c r="Z10049" s="258"/>
    </row>
    <row r="10050" spans="1:26" ht="12.75" customHeight="1" x14ac:dyDescent="0.2">
      <c r="A10050" s="258"/>
      <c r="Z10050" s="258"/>
    </row>
    <row r="10051" spans="1:26" ht="12.75" customHeight="1" x14ac:dyDescent="0.2">
      <c r="A10051" s="258"/>
      <c r="Z10051" s="258"/>
    </row>
    <row r="10052" spans="1:26" ht="12.75" customHeight="1" x14ac:dyDescent="0.2">
      <c r="A10052" s="258"/>
      <c r="Z10052" s="258"/>
    </row>
    <row r="10053" spans="1:26" ht="12.75" customHeight="1" x14ac:dyDescent="0.2">
      <c r="A10053" s="258"/>
      <c r="Z10053" s="258"/>
    </row>
    <row r="10054" spans="1:26" ht="12.75" customHeight="1" x14ac:dyDescent="0.2">
      <c r="A10054" s="258"/>
      <c r="Z10054" s="258"/>
    </row>
    <row r="10055" spans="1:26" ht="12.75" customHeight="1" x14ac:dyDescent="0.2">
      <c r="A10055" s="258"/>
      <c r="Z10055" s="258"/>
    </row>
    <row r="10056" spans="1:26" ht="12.75" customHeight="1" x14ac:dyDescent="0.2">
      <c r="A10056" s="258"/>
      <c r="Z10056" s="258"/>
    </row>
    <row r="10057" spans="1:26" ht="12.75" customHeight="1" x14ac:dyDescent="0.2">
      <c r="A10057" s="258"/>
      <c r="Z10057" s="258"/>
    </row>
    <row r="10058" spans="1:26" ht="12.75" customHeight="1" x14ac:dyDescent="0.2">
      <c r="A10058" s="258"/>
      <c r="Z10058" s="258"/>
    </row>
    <row r="10059" spans="1:26" ht="12.75" customHeight="1" x14ac:dyDescent="0.2">
      <c r="A10059" s="258"/>
      <c r="Z10059" s="258"/>
    </row>
    <row r="10060" spans="1:26" ht="12.75" customHeight="1" x14ac:dyDescent="0.2">
      <c r="A10060" s="258"/>
      <c r="Z10060" s="258"/>
    </row>
    <row r="10061" spans="1:26" ht="12.75" customHeight="1" x14ac:dyDescent="0.2">
      <c r="A10061" s="258"/>
      <c r="Z10061" s="258"/>
    </row>
    <row r="10062" spans="1:26" ht="12.75" customHeight="1" x14ac:dyDescent="0.2">
      <c r="A10062" s="258"/>
      <c r="Z10062" s="258"/>
    </row>
    <row r="10063" spans="1:26" ht="12.75" customHeight="1" x14ac:dyDescent="0.2">
      <c r="A10063" s="258"/>
      <c r="Z10063" s="258"/>
    </row>
    <row r="10064" spans="1:26" ht="12.75" customHeight="1" x14ac:dyDescent="0.2">
      <c r="A10064" s="258"/>
      <c r="Z10064" s="258"/>
    </row>
    <row r="10065" spans="1:26" ht="12.75" customHeight="1" x14ac:dyDescent="0.2">
      <c r="A10065" s="258"/>
      <c r="Z10065" s="258"/>
    </row>
    <row r="10066" spans="1:26" ht="12.75" customHeight="1" x14ac:dyDescent="0.2">
      <c r="A10066" s="258"/>
      <c r="Z10066" s="258"/>
    </row>
    <row r="10067" spans="1:26" ht="12.75" customHeight="1" x14ac:dyDescent="0.2">
      <c r="A10067" s="258"/>
      <c r="Z10067" s="258"/>
    </row>
    <row r="10068" spans="1:26" ht="12.75" customHeight="1" x14ac:dyDescent="0.2">
      <c r="A10068" s="258"/>
      <c r="Z10068" s="258"/>
    </row>
    <row r="10069" spans="1:26" ht="12.75" customHeight="1" x14ac:dyDescent="0.2">
      <c r="A10069" s="258"/>
      <c r="Z10069" s="258"/>
    </row>
    <row r="10070" spans="1:26" ht="12.75" customHeight="1" x14ac:dyDescent="0.2">
      <c r="A10070" s="258"/>
      <c r="Z10070" s="258"/>
    </row>
    <row r="10071" spans="1:26" ht="12.75" customHeight="1" x14ac:dyDescent="0.2">
      <c r="A10071" s="258"/>
      <c r="Z10071" s="258"/>
    </row>
    <row r="10072" spans="1:26" ht="12.75" customHeight="1" x14ac:dyDescent="0.2">
      <c r="A10072" s="258"/>
      <c r="Z10072" s="258"/>
    </row>
    <row r="10073" spans="1:26" ht="12.75" customHeight="1" x14ac:dyDescent="0.2">
      <c r="A10073" s="258"/>
      <c r="Z10073" s="258"/>
    </row>
    <row r="10074" spans="1:26" ht="12.75" customHeight="1" x14ac:dyDescent="0.2">
      <c r="A10074" s="258"/>
      <c r="Z10074" s="258"/>
    </row>
    <row r="10075" spans="1:26" ht="12.75" customHeight="1" x14ac:dyDescent="0.2">
      <c r="A10075" s="258"/>
      <c r="Z10075" s="258"/>
    </row>
    <row r="10076" spans="1:26" ht="12.75" customHeight="1" x14ac:dyDescent="0.2">
      <c r="A10076" s="258"/>
      <c r="Z10076" s="258"/>
    </row>
    <row r="10077" spans="1:26" ht="12.75" customHeight="1" x14ac:dyDescent="0.2">
      <c r="A10077" s="258"/>
      <c r="Z10077" s="258"/>
    </row>
    <row r="10078" spans="1:26" ht="12.75" customHeight="1" x14ac:dyDescent="0.2">
      <c r="A10078" s="258"/>
      <c r="Z10078" s="258"/>
    </row>
    <row r="10079" spans="1:26" ht="12.75" customHeight="1" x14ac:dyDescent="0.2">
      <c r="A10079" s="258"/>
      <c r="Z10079" s="258"/>
    </row>
    <row r="10080" spans="1:26" ht="12.75" customHeight="1" x14ac:dyDescent="0.2">
      <c r="A10080" s="258"/>
      <c r="Z10080" s="258"/>
    </row>
    <row r="10081" spans="1:26" ht="12.75" customHeight="1" x14ac:dyDescent="0.2">
      <c r="A10081" s="258"/>
      <c r="Z10081" s="258"/>
    </row>
    <row r="10082" spans="1:26" ht="12.75" customHeight="1" x14ac:dyDescent="0.2">
      <c r="A10082" s="258"/>
      <c r="Z10082" s="258"/>
    </row>
    <row r="10083" spans="1:26" ht="12.75" customHeight="1" x14ac:dyDescent="0.2">
      <c r="A10083" s="258"/>
      <c r="Z10083" s="258"/>
    </row>
    <row r="10084" spans="1:26" ht="12.75" customHeight="1" x14ac:dyDescent="0.2">
      <c r="A10084" s="258"/>
      <c r="Z10084" s="258"/>
    </row>
    <row r="10085" spans="1:26" ht="12.75" customHeight="1" x14ac:dyDescent="0.2">
      <c r="A10085" s="258"/>
      <c r="Z10085" s="258"/>
    </row>
    <row r="10086" spans="1:26" ht="12.75" customHeight="1" x14ac:dyDescent="0.2">
      <c r="A10086" s="258"/>
      <c r="Z10086" s="258"/>
    </row>
    <row r="10087" spans="1:26" ht="12.75" customHeight="1" x14ac:dyDescent="0.2">
      <c r="A10087" s="258"/>
      <c r="Z10087" s="258"/>
    </row>
    <row r="10088" spans="1:26" ht="12.75" customHeight="1" x14ac:dyDescent="0.2">
      <c r="A10088" s="258"/>
      <c r="Z10088" s="258"/>
    </row>
    <row r="10089" spans="1:26" ht="12.75" customHeight="1" x14ac:dyDescent="0.2">
      <c r="A10089" s="258"/>
      <c r="Z10089" s="258"/>
    </row>
    <row r="10090" spans="1:26" ht="12.75" customHeight="1" x14ac:dyDescent="0.2">
      <c r="A10090" s="258"/>
      <c r="Z10090" s="258"/>
    </row>
    <row r="10091" spans="1:26" ht="12.75" customHeight="1" x14ac:dyDescent="0.2">
      <c r="A10091" s="258"/>
      <c r="Z10091" s="258"/>
    </row>
    <row r="10092" spans="1:26" ht="12.75" customHeight="1" x14ac:dyDescent="0.2">
      <c r="A10092" s="258"/>
      <c r="Z10092" s="258"/>
    </row>
    <row r="10093" spans="1:26" ht="12.75" customHeight="1" x14ac:dyDescent="0.2">
      <c r="A10093" s="258"/>
      <c r="Z10093" s="258"/>
    </row>
    <row r="10094" spans="1:26" ht="12.75" customHeight="1" x14ac:dyDescent="0.2">
      <c r="A10094" s="258"/>
      <c r="Z10094" s="258"/>
    </row>
    <row r="10095" spans="1:26" ht="12.75" customHeight="1" x14ac:dyDescent="0.2">
      <c r="A10095" s="258"/>
      <c r="Z10095" s="258"/>
    </row>
    <row r="10096" spans="1:26" ht="12.75" customHeight="1" x14ac:dyDescent="0.2">
      <c r="A10096" s="258"/>
      <c r="Z10096" s="258"/>
    </row>
    <row r="10097" spans="1:26" ht="12.75" customHeight="1" x14ac:dyDescent="0.2">
      <c r="A10097" s="258"/>
      <c r="Z10097" s="258"/>
    </row>
    <row r="10098" spans="1:26" ht="12.75" customHeight="1" x14ac:dyDescent="0.2">
      <c r="A10098" s="258"/>
      <c r="Z10098" s="258"/>
    </row>
    <row r="10099" spans="1:26" ht="12.75" customHeight="1" x14ac:dyDescent="0.2">
      <c r="A10099" s="258"/>
      <c r="Z10099" s="258"/>
    </row>
    <row r="10100" spans="1:26" ht="12.75" customHeight="1" x14ac:dyDescent="0.2">
      <c r="A10100" s="258"/>
      <c r="Z10100" s="258"/>
    </row>
    <row r="10101" spans="1:26" ht="12.75" customHeight="1" x14ac:dyDescent="0.2">
      <c r="A10101" s="258"/>
      <c r="Z10101" s="258"/>
    </row>
    <row r="10102" spans="1:26" ht="12.75" customHeight="1" x14ac:dyDescent="0.2">
      <c r="A10102" s="258"/>
      <c r="Z10102" s="258"/>
    </row>
    <row r="10103" spans="1:26" ht="12.75" customHeight="1" x14ac:dyDescent="0.2">
      <c r="A10103" s="258"/>
      <c r="Z10103" s="258"/>
    </row>
    <row r="10104" spans="1:26" ht="12.75" customHeight="1" x14ac:dyDescent="0.2">
      <c r="A10104" s="258"/>
      <c r="Z10104" s="258"/>
    </row>
    <row r="10105" spans="1:26" ht="12.75" customHeight="1" x14ac:dyDescent="0.2">
      <c r="A10105" s="258"/>
      <c r="Z10105" s="258"/>
    </row>
    <row r="10106" spans="1:26" ht="12.75" customHeight="1" x14ac:dyDescent="0.2">
      <c r="A10106" s="258"/>
      <c r="Z10106" s="258"/>
    </row>
    <row r="10107" spans="1:26" ht="12.75" customHeight="1" x14ac:dyDescent="0.2">
      <c r="A10107" s="258"/>
      <c r="Z10107" s="258"/>
    </row>
    <row r="10108" spans="1:26" ht="12.75" customHeight="1" x14ac:dyDescent="0.2">
      <c r="A10108" s="258"/>
      <c r="Z10108" s="258"/>
    </row>
    <row r="10109" spans="1:26" ht="12.75" customHeight="1" x14ac:dyDescent="0.2">
      <c r="A10109" s="258"/>
      <c r="Z10109" s="258"/>
    </row>
    <row r="10110" spans="1:26" ht="12.75" customHeight="1" x14ac:dyDescent="0.2">
      <c r="A10110" s="258"/>
      <c r="Z10110" s="258"/>
    </row>
    <row r="10111" spans="1:26" ht="12.75" customHeight="1" x14ac:dyDescent="0.2">
      <c r="A10111" s="258"/>
      <c r="Z10111" s="258"/>
    </row>
    <row r="10112" spans="1:26" ht="12.75" customHeight="1" x14ac:dyDescent="0.2">
      <c r="A10112" s="258"/>
      <c r="Z10112" s="258"/>
    </row>
    <row r="10113" spans="1:26" ht="12.75" customHeight="1" x14ac:dyDescent="0.2">
      <c r="A10113" s="258"/>
      <c r="Z10113" s="258"/>
    </row>
    <row r="10114" spans="1:26" ht="12.75" customHeight="1" x14ac:dyDescent="0.2">
      <c r="A10114" s="258"/>
      <c r="Z10114" s="258"/>
    </row>
    <row r="10115" spans="1:26" ht="12.75" customHeight="1" x14ac:dyDescent="0.2">
      <c r="A10115" s="258"/>
      <c r="Z10115" s="258"/>
    </row>
    <row r="10116" spans="1:26" ht="12.75" customHeight="1" x14ac:dyDescent="0.2">
      <c r="A10116" s="258"/>
      <c r="Z10116" s="258"/>
    </row>
    <row r="10117" spans="1:26" ht="12.75" customHeight="1" x14ac:dyDescent="0.2">
      <c r="A10117" s="258"/>
      <c r="Z10117" s="258"/>
    </row>
    <row r="10118" spans="1:26" ht="12.75" customHeight="1" x14ac:dyDescent="0.2">
      <c r="A10118" s="258"/>
      <c r="Z10118" s="258"/>
    </row>
    <row r="10119" spans="1:26" ht="12.75" customHeight="1" x14ac:dyDescent="0.2">
      <c r="A10119" s="258"/>
      <c r="Z10119" s="258"/>
    </row>
    <row r="10120" spans="1:26" ht="12.75" customHeight="1" x14ac:dyDescent="0.2">
      <c r="A10120" s="258"/>
      <c r="Z10120" s="258"/>
    </row>
    <row r="10121" spans="1:26" ht="12.75" customHeight="1" x14ac:dyDescent="0.2">
      <c r="A10121" s="258"/>
      <c r="Z10121" s="258"/>
    </row>
    <row r="10122" spans="1:26" ht="12.75" customHeight="1" x14ac:dyDescent="0.2">
      <c r="A10122" s="258"/>
      <c r="Z10122" s="258"/>
    </row>
    <row r="10123" spans="1:26" ht="12.75" customHeight="1" x14ac:dyDescent="0.2">
      <c r="A10123" s="258"/>
      <c r="Z10123" s="258"/>
    </row>
    <row r="10124" spans="1:26" ht="12.75" customHeight="1" x14ac:dyDescent="0.2">
      <c r="A10124" s="258"/>
      <c r="Z10124" s="258"/>
    </row>
    <row r="10125" spans="1:26" ht="12.75" customHeight="1" x14ac:dyDescent="0.2">
      <c r="A10125" s="258"/>
      <c r="Z10125" s="258"/>
    </row>
    <row r="10126" spans="1:26" ht="12.75" customHeight="1" x14ac:dyDescent="0.2">
      <c r="A10126" s="258"/>
      <c r="Z10126" s="258"/>
    </row>
    <row r="10127" spans="1:26" ht="12.75" customHeight="1" x14ac:dyDescent="0.2">
      <c r="A10127" s="258"/>
      <c r="Z10127" s="258"/>
    </row>
    <row r="10128" spans="1:26" ht="12.75" customHeight="1" x14ac:dyDescent="0.2">
      <c r="A10128" s="258"/>
      <c r="Z10128" s="258"/>
    </row>
    <row r="10129" spans="1:26" ht="12.75" customHeight="1" x14ac:dyDescent="0.2">
      <c r="A10129" s="258"/>
      <c r="Z10129" s="258"/>
    </row>
    <row r="10130" spans="1:26" ht="12.75" customHeight="1" x14ac:dyDescent="0.2">
      <c r="A10130" s="258"/>
      <c r="Z10130" s="258"/>
    </row>
    <row r="10131" spans="1:26" ht="12.75" customHeight="1" x14ac:dyDescent="0.2">
      <c r="A10131" s="258"/>
      <c r="Z10131" s="258"/>
    </row>
    <row r="10132" spans="1:26" ht="12.75" customHeight="1" x14ac:dyDescent="0.2">
      <c r="A10132" s="258"/>
      <c r="Z10132" s="258"/>
    </row>
    <row r="10133" spans="1:26" ht="12.75" customHeight="1" x14ac:dyDescent="0.2">
      <c r="A10133" s="258"/>
      <c r="Z10133" s="258"/>
    </row>
    <row r="10134" spans="1:26" ht="12.75" customHeight="1" x14ac:dyDescent="0.2">
      <c r="A10134" s="258"/>
      <c r="Z10134" s="258"/>
    </row>
    <row r="10135" spans="1:26" ht="12.75" customHeight="1" x14ac:dyDescent="0.2">
      <c r="A10135" s="258"/>
      <c r="Z10135" s="258"/>
    </row>
    <row r="10136" spans="1:26" ht="12.75" customHeight="1" x14ac:dyDescent="0.2">
      <c r="A10136" s="258"/>
      <c r="Z10136" s="258"/>
    </row>
    <row r="10137" spans="1:26" ht="12.75" customHeight="1" x14ac:dyDescent="0.2">
      <c r="A10137" s="258"/>
      <c r="Z10137" s="258"/>
    </row>
    <row r="10138" spans="1:26" ht="12.75" customHeight="1" x14ac:dyDescent="0.2">
      <c r="A10138" s="258"/>
      <c r="Z10138" s="258"/>
    </row>
    <row r="10139" spans="1:26" ht="12.75" customHeight="1" x14ac:dyDescent="0.2">
      <c r="A10139" s="258"/>
      <c r="Z10139" s="258"/>
    </row>
    <row r="10140" spans="1:26" ht="12.75" customHeight="1" x14ac:dyDescent="0.2">
      <c r="A10140" s="258"/>
      <c r="Z10140" s="258"/>
    </row>
    <row r="10141" spans="1:26" ht="12.75" customHeight="1" x14ac:dyDescent="0.2">
      <c r="A10141" s="258"/>
      <c r="Z10141" s="258"/>
    </row>
    <row r="10142" spans="1:26" ht="12.75" customHeight="1" x14ac:dyDescent="0.2">
      <c r="A10142" s="258"/>
      <c r="Z10142" s="258"/>
    </row>
    <row r="10143" spans="1:26" ht="12.75" customHeight="1" x14ac:dyDescent="0.2">
      <c r="A10143" s="258"/>
      <c r="Z10143" s="258"/>
    </row>
    <row r="10144" spans="1:26" ht="12.75" customHeight="1" x14ac:dyDescent="0.2">
      <c r="A10144" s="258"/>
      <c r="Z10144" s="258"/>
    </row>
    <row r="10145" spans="1:26" ht="12.75" customHeight="1" x14ac:dyDescent="0.2">
      <c r="A10145" s="258"/>
      <c r="Z10145" s="258"/>
    </row>
    <row r="10146" spans="1:26" ht="12.75" customHeight="1" x14ac:dyDescent="0.2">
      <c r="A10146" s="258"/>
      <c r="Z10146" s="258"/>
    </row>
    <row r="10147" spans="1:26" ht="12.75" customHeight="1" x14ac:dyDescent="0.2">
      <c r="A10147" s="258"/>
      <c r="Z10147" s="258"/>
    </row>
    <row r="10148" spans="1:26" ht="12.75" customHeight="1" x14ac:dyDescent="0.2">
      <c r="A10148" s="258"/>
      <c r="Z10148" s="258"/>
    </row>
    <row r="10149" spans="1:26" ht="12.75" customHeight="1" x14ac:dyDescent="0.2">
      <c r="A10149" s="258"/>
      <c r="Z10149" s="258"/>
    </row>
    <row r="10150" spans="1:26" ht="12.75" customHeight="1" x14ac:dyDescent="0.2">
      <c r="A10150" s="258"/>
      <c r="Z10150" s="258"/>
    </row>
    <row r="10151" spans="1:26" ht="12.75" customHeight="1" x14ac:dyDescent="0.2">
      <c r="A10151" s="258"/>
      <c r="Z10151" s="258"/>
    </row>
    <row r="10152" spans="1:26" ht="12.75" customHeight="1" x14ac:dyDescent="0.2">
      <c r="A10152" s="258"/>
      <c r="Z10152" s="258"/>
    </row>
    <row r="10153" spans="1:26" ht="12.75" customHeight="1" x14ac:dyDescent="0.2">
      <c r="A10153" s="258"/>
      <c r="Z10153" s="258"/>
    </row>
    <row r="10154" spans="1:26" ht="12.75" customHeight="1" x14ac:dyDescent="0.2">
      <c r="A10154" s="258"/>
      <c r="Z10154" s="258"/>
    </row>
    <row r="10155" spans="1:26" ht="12.75" customHeight="1" x14ac:dyDescent="0.2">
      <c r="A10155" s="258"/>
      <c r="Z10155" s="258"/>
    </row>
    <row r="10156" spans="1:26" ht="12.75" customHeight="1" x14ac:dyDescent="0.2">
      <c r="A10156" s="258"/>
      <c r="Z10156" s="258"/>
    </row>
    <row r="10157" spans="1:26" ht="12.75" customHeight="1" x14ac:dyDescent="0.2">
      <c r="A10157" s="258"/>
      <c r="Z10157" s="258"/>
    </row>
    <row r="10158" spans="1:26" ht="12.75" customHeight="1" x14ac:dyDescent="0.2">
      <c r="A10158" s="258"/>
      <c r="Z10158" s="258"/>
    </row>
    <row r="10159" spans="1:26" ht="12.75" customHeight="1" x14ac:dyDescent="0.2">
      <c r="A10159" s="258"/>
      <c r="Z10159" s="258"/>
    </row>
    <row r="10160" spans="1:26" ht="12.75" customHeight="1" x14ac:dyDescent="0.2">
      <c r="A10160" s="258"/>
      <c r="Z10160" s="258"/>
    </row>
    <row r="10161" spans="1:26" ht="12.75" customHeight="1" x14ac:dyDescent="0.2">
      <c r="A10161" s="258"/>
      <c r="Z10161" s="258"/>
    </row>
    <row r="10162" spans="1:26" ht="12.75" customHeight="1" x14ac:dyDescent="0.2">
      <c r="A10162" s="258"/>
      <c r="Z10162" s="258"/>
    </row>
    <row r="10163" spans="1:26" ht="12.75" customHeight="1" x14ac:dyDescent="0.2">
      <c r="A10163" s="258"/>
      <c r="Z10163" s="258"/>
    </row>
    <row r="10164" spans="1:26" ht="12.75" customHeight="1" x14ac:dyDescent="0.2">
      <c r="A10164" s="258"/>
      <c r="Z10164" s="258"/>
    </row>
    <row r="10165" spans="1:26" ht="12.75" customHeight="1" x14ac:dyDescent="0.2">
      <c r="A10165" s="258"/>
      <c r="Z10165" s="258"/>
    </row>
    <row r="10166" spans="1:26" ht="12.75" customHeight="1" x14ac:dyDescent="0.2">
      <c r="A10166" s="258"/>
      <c r="Z10166" s="258"/>
    </row>
    <row r="10167" spans="1:26" ht="12.75" customHeight="1" x14ac:dyDescent="0.2">
      <c r="A10167" s="258"/>
      <c r="Z10167" s="258"/>
    </row>
    <row r="10168" spans="1:26" ht="12.75" customHeight="1" x14ac:dyDescent="0.2">
      <c r="A10168" s="258"/>
      <c r="Z10168" s="258"/>
    </row>
    <row r="10169" spans="1:26" ht="12.75" customHeight="1" x14ac:dyDescent="0.2">
      <c r="A10169" s="258"/>
      <c r="Z10169" s="258"/>
    </row>
    <row r="10170" spans="1:26" ht="12.75" customHeight="1" x14ac:dyDescent="0.2">
      <c r="A10170" s="258"/>
      <c r="Z10170" s="258"/>
    </row>
    <row r="10171" spans="1:26" ht="12.75" customHeight="1" x14ac:dyDescent="0.2">
      <c r="A10171" s="258"/>
      <c r="Z10171" s="258"/>
    </row>
    <row r="10172" spans="1:26" ht="12.75" customHeight="1" x14ac:dyDescent="0.2">
      <c r="A10172" s="258"/>
      <c r="Z10172" s="258"/>
    </row>
    <row r="10173" spans="1:26" ht="12.75" customHeight="1" x14ac:dyDescent="0.2">
      <c r="A10173" s="258"/>
      <c r="Z10173" s="258"/>
    </row>
    <row r="10174" spans="1:26" ht="12.75" customHeight="1" x14ac:dyDescent="0.2">
      <c r="A10174" s="258"/>
      <c r="Z10174" s="258"/>
    </row>
    <row r="10175" spans="1:26" ht="12.75" customHeight="1" x14ac:dyDescent="0.2">
      <c r="A10175" s="258"/>
      <c r="Z10175" s="258"/>
    </row>
    <row r="10176" spans="1:26" ht="12.75" customHeight="1" x14ac:dyDescent="0.2">
      <c r="A10176" s="258"/>
      <c r="Z10176" s="258"/>
    </row>
    <row r="10177" spans="1:26" ht="12.75" customHeight="1" x14ac:dyDescent="0.2">
      <c r="A10177" s="258"/>
      <c r="Z10177" s="258"/>
    </row>
    <row r="10178" spans="1:26" ht="12.75" customHeight="1" x14ac:dyDescent="0.2">
      <c r="A10178" s="258"/>
      <c r="Z10178" s="258"/>
    </row>
    <row r="10179" spans="1:26" ht="12.75" customHeight="1" x14ac:dyDescent="0.2">
      <c r="A10179" s="258"/>
      <c r="Z10179" s="258"/>
    </row>
    <row r="10180" spans="1:26" ht="12.75" customHeight="1" x14ac:dyDescent="0.2">
      <c r="A10180" s="258"/>
      <c r="Z10180" s="258"/>
    </row>
    <row r="10181" spans="1:26" ht="12.75" customHeight="1" x14ac:dyDescent="0.2">
      <c r="A10181" s="258"/>
      <c r="Z10181" s="258"/>
    </row>
    <row r="10182" spans="1:26" ht="12.75" customHeight="1" x14ac:dyDescent="0.2">
      <c r="A10182" s="258"/>
      <c r="Z10182" s="258"/>
    </row>
    <row r="10183" spans="1:26" ht="12.75" customHeight="1" x14ac:dyDescent="0.2">
      <c r="A10183" s="258"/>
      <c r="Z10183" s="258"/>
    </row>
    <row r="10184" spans="1:26" ht="12.75" customHeight="1" x14ac:dyDescent="0.2">
      <c r="A10184" s="258"/>
      <c r="Z10184" s="258"/>
    </row>
    <row r="10185" spans="1:26" ht="12.75" customHeight="1" x14ac:dyDescent="0.2">
      <c r="A10185" s="258"/>
      <c r="Z10185" s="258"/>
    </row>
    <row r="10186" spans="1:26" ht="12.75" customHeight="1" x14ac:dyDescent="0.2">
      <c r="A10186" s="258"/>
      <c r="Z10186" s="258"/>
    </row>
    <row r="10187" spans="1:26" ht="12.75" customHeight="1" x14ac:dyDescent="0.2">
      <c r="A10187" s="258"/>
      <c r="Z10187" s="258"/>
    </row>
    <row r="10188" spans="1:26" ht="12.75" customHeight="1" x14ac:dyDescent="0.2">
      <c r="A10188" s="258"/>
      <c r="Z10188" s="258"/>
    </row>
    <row r="10189" spans="1:26" ht="12.75" customHeight="1" x14ac:dyDescent="0.2">
      <c r="A10189" s="258"/>
      <c r="Z10189" s="258"/>
    </row>
    <row r="10190" spans="1:26" ht="12.75" customHeight="1" x14ac:dyDescent="0.2">
      <c r="A10190" s="258"/>
      <c r="Z10190" s="258"/>
    </row>
    <row r="10191" spans="1:26" ht="12.75" customHeight="1" x14ac:dyDescent="0.2">
      <c r="A10191" s="258"/>
      <c r="Z10191" s="258"/>
    </row>
    <row r="10192" spans="1:26" ht="12.75" customHeight="1" x14ac:dyDescent="0.2">
      <c r="A10192" s="258"/>
      <c r="Z10192" s="258"/>
    </row>
    <row r="10193" spans="1:26" ht="12.75" customHeight="1" x14ac:dyDescent="0.2">
      <c r="A10193" s="258"/>
      <c r="Z10193" s="258"/>
    </row>
    <row r="10194" spans="1:26" ht="12.75" customHeight="1" x14ac:dyDescent="0.2">
      <c r="A10194" s="258"/>
      <c r="Z10194" s="258"/>
    </row>
    <row r="10195" spans="1:26" ht="12.75" customHeight="1" x14ac:dyDescent="0.2">
      <c r="A10195" s="258"/>
      <c r="Z10195" s="258"/>
    </row>
    <row r="10196" spans="1:26" ht="12.75" customHeight="1" x14ac:dyDescent="0.2">
      <c r="A10196" s="258"/>
      <c r="Z10196" s="258"/>
    </row>
    <row r="10197" spans="1:26" ht="12.75" customHeight="1" x14ac:dyDescent="0.2">
      <c r="A10197" s="258"/>
      <c r="Z10197" s="258"/>
    </row>
    <row r="10198" spans="1:26" ht="12.75" customHeight="1" x14ac:dyDescent="0.2">
      <c r="A10198" s="258"/>
      <c r="Z10198" s="258"/>
    </row>
    <row r="10199" spans="1:26" ht="12.75" customHeight="1" x14ac:dyDescent="0.2">
      <c r="A10199" s="258"/>
      <c r="Z10199" s="258"/>
    </row>
    <row r="10200" spans="1:26" ht="12.75" customHeight="1" x14ac:dyDescent="0.2">
      <c r="A10200" s="258"/>
      <c r="Z10200" s="258"/>
    </row>
    <row r="10201" spans="1:26" ht="12.75" customHeight="1" x14ac:dyDescent="0.2">
      <c r="A10201" s="258"/>
      <c r="Z10201" s="258"/>
    </row>
    <row r="10202" spans="1:26" ht="12.75" customHeight="1" x14ac:dyDescent="0.2">
      <c r="A10202" s="258"/>
      <c r="Z10202" s="258"/>
    </row>
    <row r="10203" spans="1:26" ht="12.75" customHeight="1" x14ac:dyDescent="0.2">
      <c r="A10203" s="258"/>
      <c r="Z10203" s="258"/>
    </row>
    <row r="10204" spans="1:26" ht="12.75" customHeight="1" x14ac:dyDescent="0.2">
      <c r="A10204" s="258"/>
      <c r="Z10204" s="258"/>
    </row>
    <row r="10205" spans="1:26" ht="12.75" customHeight="1" x14ac:dyDescent="0.2">
      <c r="A10205" s="258"/>
      <c r="Z10205" s="258"/>
    </row>
    <row r="10206" spans="1:26" ht="12.75" customHeight="1" x14ac:dyDescent="0.2">
      <c r="A10206" s="258"/>
      <c r="Z10206" s="258"/>
    </row>
    <row r="10207" spans="1:26" ht="12.75" customHeight="1" x14ac:dyDescent="0.2">
      <c r="A10207" s="258"/>
      <c r="Z10207" s="258"/>
    </row>
    <row r="10208" spans="1:26" ht="12.75" customHeight="1" x14ac:dyDescent="0.2">
      <c r="A10208" s="258"/>
      <c r="Z10208" s="258"/>
    </row>
    <row r="10209" spans="1:26" ht="12.75" customHeight="1" x14ac:dyDescent="0.2">
      <c r="A10209" s="258"/>
      <c r="Z10209" s="258"/>
    </row>
    <row r="10210" spans="1:26" ht="12.75" customHeight="1" x14ac:dyDescent="0.2">
      <c r="A10210" s="258"/>
      <c r="Z10210" s="258"/>
    </row>
    <row r="10211" spans="1:26" ht="12.75" customHeight="1" x14ac:dyDescent="0.2">
      <c r="A10211" s="258"/>
      <c r="Z10211" s="258"/>
    </row>
    <row r="10212" spans="1:26" ht="12.75" customHeight="1" x14ac:dyDescent="0.2">
      <c r="A10212" s="258"/>
      <c r="Z10212" s="258"/>
    </row>
    <row r="10213" spans="1:26" ht="12.75" customHeight="1" x14ac:dyDescent="0.2">
      <c r="A10213" s="258"/>
      <c r="Z10213" s="258"/>
    </row>
    <row r="10214" spans="1:26" ht="12.75" customHeight="1" x14ac:dyDescent="0.2">
      <c r="A10214" s="258"/>
      <c r="Z10214" s="258"/>
    </row>
    <row r="10215" spans="1:26" ht="12.75" customHeight="1" x14ac:dyDescent="0.2">
      <c r="A10215" s="258"/>
      <c r="Z10215" s="258"/>
    </row>
    <row r="10216" spans="1:26" ht="12.75" customHeight="1" x14ac:dyDescent="0.2">
      <c r="A10216" s="258"/>
      <c r="Z10216" s="258"/>
    </row>
    <row r="10217" spans="1:26" ht="12.75" customHeight="1" x14ac:dyDescent="0.2">
      <c r="A10217" s="258"/>
      <c r="Z10217" s="258"/>
    </row>
    <row r="10218" spans="1:26" ht="12.75" customHeight="1" x14ac:dyDescent="0.2">
      <c r="A10218" s="258"/>
      <c r="Z10218" s="258"/>
    </row>
    <row r="10219" spans="1:26" ht="12.75" customHeight="1" x14ac:dyDescent="0.2">
      <c r="A10219" s="258"/>
      <c r="Z10219" s="258"/>
    </row>
    <row r="10220" spans="1:26" ht="12.75" customHeight="1" x14ac:dyDescent="0.2">
      <c r="A10220" s="258"/>
      <c r="Z10220" s="258"/>
    </row>
    <row r="10221" spans="1:26" ht="12.75" customHeight="1" x14ac:dyDescent="0.2">
      <c r="A10221" s="258"/>
      <c r="Z10221" s="258"/>
    </row>
    <row r="10222" spans="1:26" ht="12.75" customHeight="1" x14ac:dyDescent="0.2">
      <c r="A10222" s="258"/>
      <c r="Z10222" s="258"/>
    </row>
    <row r="10223" spans="1:26" ht="12.75" customHeight="1" x14ac:dyDescent="0.2">
      <c r="A10223" s="258"/>
      <c r="Z10223" s="258"/>
    </row>
    <row r="10224" spans="1:26" ht="12.75" customHeight="1" x14ac:dyDescent="0.2">
      <c r="A10224" s="258"/>
      <c r="Z10224" s="258"/>
    </row>
    <row r="10225" spans="1:26" ht="12.75" customHeight="1" x14ac:dyDescent="0.2">
      <c r="A10225" s="258"/>
      <c r="Z10225" s="258"/>
    </row>
    <row r="10226" spans="1:26" ht="12.75" customHeight="1" x14ac:dyDescent="0.2">
      <c r="A10226" s="258"/>
      <c r="Z10226" s="258"/>
    </row>
    <row r="10227" spans="1:26" ht="12.75" customHeight="1" x14ac:dyDescent="0.2">
      <c r="A10227" s="258"/>
      <c r="Z10227" s="258"/>
    </row>
    <row r="10228" spans="1:26" ht="12.75" customHeight="1" x14ac:dyDescent="0.2">
      <c r="A10228" s="258"/>
      <c r="Z10228" s="258"/>
    </row>
    <row r="10229" spans="1:26" ht="12.75" customHeight="1" x14ac:dyDescent="0.2">
      <c r="A10229" s="258"/>
      <c r="Z10229" s="258"/>
    </row>
    <row r="10230" spans="1:26" ht="12.75" customHeight="1" x14ac:dyDescent="0.2">
      <c r="A10230" s="258"/>
      <c r="Z10230" s="258"/>
    </row>
    <row r="10231" spans="1:26" ht="12.75" customHeight="1" x14ac:dyDescent="0.2">
      <c r="A10231" s="258"/>
      <c r="Z10231" s="258"/>
    </row>
    <row r="10232" spans="1:26" ht="12.75" customHeight="1" x14ac:dyDescent="0.2">
      <c r="A10232" s="258"/>
      <c r="Z10232" s="258"/>
    </row>
    <row r="10233" spans="1:26" ht="12.75" customHeight="1" x14ac:dyDescent="0.2">
      <c r="A10233" s="258"/>
      <c r="Z10233" s="258"/>
    </row>
    <row r="10234" spans="1:26" ht="12.75" customHeight="1" x14ac:dyDescent="0.2">
      <c r="A10234" s="258"/>
      <c r="Z10234" s="258"/>
    </row>
    <row r="10235" spans="1:26" ht="12.75" customHeight="1" x14ac:dyDescent="0.2">
      <c r="A10235" s="258"/>
      <c r="Z10235" s="258"/>
    </row>
    <row r="10236" spans="1:26" ht="12.75" customHeight="1" x14ac:dyDescent="0.2">
      <c r="A10236" s="258"/>
      <c r="Z10236" s="258"/>
    </row>
    <row r="10237" spans="1:26" ht="12.75" customHeight="1" x14ac:dyDescent="0.2">
      <c r="A10237" s="258"/>
      <c r="Z10237" s="258"/>
    </row>
    <row r="10238" spans="1:26" ht="12.75" customHeight="1" x14ac:dyDescent="0.2">
      <c r="A10238" s="258"/>
      <c r="Z10238" s="258"/>
    </row>
    <row r="10239" spans="1:26" ht="12.75" customHeight="1" x14ac:dyDescent="0.2">
      <c r="A10239" s="258"/>
      <c r="Z10239" s="258"/>
    </row>
    <row r="10240" spans="1:26" ht="12.75" customHeight="1" x14ac:dyDescent="0.2">
      <c r="A10240" s="258"/>
      <c r="Z10240" s="258"/>
    </row>
    <row r="10241" spans="1:26" ht="12.75" customHeight="1" x14ac:dyDescent="0.2">
      <c r="A10241" s="258"/>
      <c r="Z10241" s="258"/>
    </row>
    <row r="10242" spans="1:26" ht="12.75" customHeight="1" x14ac:dyDescent="0.2">
      <c r="A10242" s="258"/>
      <c r="Z10242" s="258"/>
    </row>
    <row r="10243" spans="1:26" ht="12.75" customHeight="1" x14ac:dyDescent="0.2">
      <c r="A10243" s="258"/>
      <c r="Z10243" s="258"/>
    </row>
    <row r="10244" spans="1:26" ht="12.75" customHeight="1" x14ac:dyDescent="0.2">
      <c r="A10244" s="258"/>
      <c r="Z10244" s="258"/>
    </row>
    <row r="10245" spans="1:26" ht="12.75" customHeight="1" x14ac:dyDescent="0.2">
      <c r="A10245" s="258"/>
      <c r="Z10245" s="258"/>
    </row>
    <row r="10246" spans="1:26" ht="12.75" customHeight="1" x14ac:dyDescent="0.2">
      <c r="A10246" s="258"/>
      <c r="Z10246" s="258"/>
    </row>
    <row r="10247" spans="1:26" ht="12.75" customHeight="1" x14ac:dyDescent="0.2">
      <c r="A10247" s="258"/>
      <c r="Z10247" s="258"/>
    </row>
    <row r="10248" spans="1:26" ht="12.75" customHeight="1" x14ac:dyDescent="0.2">
      <c r="A10248" s="258"/>
      <c r="Z10248" s="258"/>
    </row>
    <row r="10249" spans="1:26" ht="12.75" customHeight="1" x14ac:dyDescent="0.2">
      <c r="A10249" s="258"/>
      <c r="Z10249" s="258"/>
    </row>
    <row r="10250" spans="1:26" ht="12.75" customHeight="1" x14ac:dyDescent="0.2">
      <c r="A10250" s="258"/>
      <c r="Z10250" s="258"/>
    </row>
    <row r="10251" spans="1:26" ht="12.75" customHeight="1" x14ac:dyDescent="0.2">
      <c r="A10251" s="258"/>
      <c r="Z10251" s="258"/>
    </row>
    <row r="10252" spans="1:26" ht="12.75" customHeight="1" x14ac:dyDescent="0.2">
      <c r="A10252" s="258"/>
      <c r="Z10252" s="258"/>
    </row>
    <row r="10253" spans="1:26" ht="12.75" customHeight="1" x14ac:dyDescent="0.2">
      <c r="A10253" s="258"/>
      <c r="Z10253" s="258"/>
    </row>
    <row r="10254" spans="1:26" ht="12.75" customHeight="1" x14ac:dyDescent="0.2">
      <c r="A10254" s="258"/>
      <c r="Z10254" s="258"/>
    </row>
    <row r="10255" spans="1:26" ht="12.75" customHeight="1" x14ac:dyDescent="0.2">
      <c r="A10255" s="258"/>
      <c r="Z10255" s="258"/>
    </row>
    <row r="10256" spans="1:26" ht="12.75" customHeight="1" x14ac:dyDescent="0.2">
      <c r="A10256" s="258"/>
      <c r="Z10256" s="258"/>
    </row>
    <row r="10257" spans="1:26" ht="12.75" customHeight="1" x14ac:dyDescent="0.2">
      <c r="A10257" s="258"/>
      <c r="Z10257" s="258"/>
    </row>
    <row r="10258" spans="1:26" ht="12.75" customHeight="1" x14ac:dyDescent="0.2">
      <c r="A10258" s="258"/>
      <c r="Z10258" s="258"/>
    </row>
    <row r="10259" spans="1:26" ht="12.75" customHeight="1" x14ac:dyDescent="0.2">
      <c r="A10259" s="258"/>
      <c r="Z10259" s="258"/>
    </row>
    <row r="10260" spans="1:26" ht="12.75" customHeight="1" x14ac:dyDescent="0.2">
      <c r="A10260" s="258"/>
      <c r="Z10260" s="258"/>
    </row>
    <row r="10261" spans="1:26" ht="12.75" customHeight="1" x14ac:dyDescent="0.2">
      <c r="A10261" s="258"/>
      <c r="Z10261" s="258"/>
    </row>
    <row r="10262" spans="1:26" ht="12.75" customHeight="1" x14ac:dyDescent="0.2">
      <c r="A10262" s="258"/>
      <c r="Z10262" s="258"/>
    </row>
    <row r="10263" spans="1:26" ht="12.75" customHeight="1" x14ac:dyDescent="0.2">
      <c r="A10263" s="258"/>
      <c r="Z10263" s="258"/>
    </row>
    <row r="10264" spans="1:26" ht="12.75" customHeight="1" x14ac:dyDescent="0.2">
      <c r="A10264" s="258"/>
      <c r="Z10264" s="258"/>
    </row>
    <row r="10265" spans="1:26" ht="12.75" customHeight="1" x14ac:dyDescent="0.2">
      <c r="A10265" s="258"/>
      <c r="Z10265" s="258"/>
    </row>
    <row r="10266" spans="1:26" ht="12.75" customHeight="1" x14ac:dyDescent="0.2">
      <c r="A10266" s="258"/>
      <c r="Z10266" s="258"/>
    </row>
    <row r="10267" spans="1:26" ht="12.75" customHeight="1" x14ac:dyDescent="0.2">
      <c r="A10267" s="258"/>
      <c r="Z10267" s="258"/>
    </row>
    <row r="10268" spans="1:26" ht="12.75" customHeight="1" x14ac:dyDescent="0.2">
      <c r="A10268" s="258"/>
      <c r="Z10268" s="258"/>
    </row>
    <row r="10269" spans="1:26" ht="12.75" customHeight="1" x14ac:dyDescent="0.2">
      <c r="A10269" s="258"/>
      <c r="Z10269" s="258"/>
    </row>
    <row r="10270" spans="1:26" ht="12.75" customHeight="1" x14ac:dyDescent="0.2">
      <c r="A10270" s="258"/>
      <c r="Z10270" s="258"/>
    </row>
    <row r="10271" spans="1:26" ht="12.75" customHeight="1" x14ac:dyDescent="0.2">
      <c r="A10271" s="258"/>
      <c r="Z10271" s="258"/>
    </row>
    <row r="10272" spans="1:26" ht="12.75" customHeight="1" x14ac:dyDescent="0.2">
      <c r="A10272" s="258"/>
      <c r="Z10272" s="258"/>
    </row>
    <row r="10273" spans="1:26" ht="12.75" customHeight="1" x14ac:dyDescent="0.2">
      <c r="A10273" s="258"/>
      <c r="Z10273" s="258"/>
    </row>
    <row r="10274" spans="1:26" ht="12.75" customHeight="1" x14ac:dyDescent="0.2">
      <c r="A10274" s="258"/>
      <c r="Z10274" s="258"/>
    </row>
    <row r="10275" spans="1:26" ht="12.75" customHeight="1" x14ac:dyDescent="0.2">
      <c r="A10275" s="258"/>
      <c r="Z10275" s="258"/>
    </row>
    <row r="10276" spans="1:26" ht="12.75" customHeight="1" x14ac:dyDescent="0.2">
      <c r="A10276" s="258"/>
      <c r="Z10276" s="258"/>
    </row>
    <row r="10277" spans="1:26" ht="12.75" customHeight="1" x14ac:dyDescent="0.2">
      <c r="A10277" s="258"/>
      <c r="Z10277" s="258"/>
    </row>
    <row r="10278" spans="1:26" ht="12.75" customHeight="1" x14ac:dyDescent="0.2">
      <c r="A10278" s="258"/>
      <c r="Z10278" s="258"/>
    </row>
    <row r="10279" spans="1:26" ht="12.75" customHeight="1" x14ac:dyDescent="0.2">
      <c r="A10279" s="258"/>
      <c r="Z10279" s="258"/>
    </row>
    <row r="10280" spans="1:26" ht="12.75" customHeight="1" x14ac:dyDescent="0.2">
      <c r="A10280" s="258"/>
      <c r="Z10280" s="258"/>
    </row>
    <row r="10281" spans="1:26" ht="12.75" customHeight="1" x14ac:dyDescent="0.2">
      <c r="A10281" s="258"/>
      <c r="Z10281" s="258"/>
    </row>
    <row r="10282" spans="1:26" ht="12.75" customHeight="1" x14ac:dyDescent="0.2">
      <c r="A10282" s="258"/>
      <c r="Z10282" s="258"/>
    </row>
    <row r="10283" spans="1:26" ht="12.75" customHeight="1" x14ac:dyDescent="0.2">
      <c r="A10283" s="258"/>
      <c r="Z10283" s="258"/>
    </row>
    <row r="10284" spans="1:26" ht="12.75" customHeight="1" x14ac:dyDescent="0.2">
      <c r="A10284" s="258"/>
      <c r="Z10284" s="258"/>
    </row>
    <row r="10285" spans="1:26" ht="12.75" customHeight="1" x14ac:dyDescent="0.2">
      <c r="A10285" s="258"/>
      <c r="Z10285" s="258"/>
    </row>
    <row r="10286" spans="1:26" ht="12.75" customHeight="1" x14ac:dyDescent="0.2">
      <c r="A10286" s="258"/>
      <c r="Z10286" s="258"/>
    </row>
    <row r="10287" spans="1:26" ht="12.75" customHeight="1" x14ac:dyDescent="0.2">
      <c r="A10287" s="258"/>
      <c r="Z10287" s="258"/>
    </row>
    <row r="10288" spans="1:26" ht="12.75" customHeight="1" x14ac:dyDescent="0.2">
      <c r="A10288" s="258"/>
      <c r="Z10288" s="258"/>
    </row>
    <row r="10289" spans="1:26" ht="12.75" customHeight="1" x14ac:dyDescent="0.2">
      <c r="A10289" s="258"/>
      <c r="Z10289" s="258"/>
    </row>
    <row r="10290" spans="1:26" ht="12.75" customHeight="1" x14ac:dyDescent="0.2">
      <c r="A10290" s="258"/>
      <c r="Z10290" s="258"/>
    </row>
    <row r="10291" spans="1:26" ht="12.75" customHeight="1" x14ac:dyDescent="0.2">
      <c r="A10291" s="258"/>
      <c r="Z10291" s="258"/>
    </row>
    <row r="10292" spans="1:26" ht="12.75" customHeight="1" x14ac:dyDescent="0.2">
      <c r="A10292" s="258"/>
      <c r="Z10292" s="258"/>
    </row>
    <row r="10293" spans="1:26" ht="12.75" customHeight="1" x14ac:dyDescent="0.2">
      <c r="A10293" s="258"/>
      <c r="Z10293" s="258"/>
    </row>
    <row r="10294" spans="1:26" ht="12.75" customHeight="1" x14ac:dyDescent="0.2">
      <c r="A10294" s="258"/>
      <c r="Z10294" s="258"/>
    </row>
    <row r="10295" spans="1:26" ht="12.75" customHeight="1" x14ac:dyDescent="0.2">
      <c r="A10295" s="258"/>
      <c r="Z10295" s="258"/>
    </row>
    <row r="10296" spans="1:26" ht="12.75" customHeight="1" x14ac:dyDescent="0.2">
      <c r="A10296" s="258"/>
      <c r="Z10296" s="258"/>
    </row>
    <row r="10297" spans="1:26" ht="12.75" customHeight="1" x14ac:dyDescent="0.2">
      <c r="A10297" s="258"/>
      <c r="Z10297" s="258"/>
    </row>
    <row r="10298" spans="1:26" ht="12.75" customHeight="1" x14ac:dyDescent="0.2">
      <c r="A10298" s="258"/>
      <c r="Z10298" s="258"/>
    </row>
    <row r="10299" spans="1:26" ht="12.75" customHeight="1" x14ac:dyDescent="0.2">
      <c r="A10299" s="258"/>
      <c r="Z10299" s="258"/>
    </row>
    <row r="10300" spans="1:26" ht="12.75" customHeight="1" x14ac:dyDescent="0.2">
      <c r="A10300" s="258"/>
      <c r="Z10300" s="258"/>
    </row>
    <row r="10301" spans="1:26" ht="12.75" customHeight="1" x14ac:dyDescent="0.2">
      <c r="A10301" s="258"/>
      <c r="Z10301" s="258"/>
    </row>
    <row r="10302" spans="1:26" ht="12.75" customHeight="1" x14ac:dyDescent="0.2">
      <c r="A10302" s="258"/>
      <c r="Z10302" s="258"/>
    </row>
    <row r="10303" spans="1:26" ht="12.75" customHeight="1" x14ac:dyDescent="0.2">
      <c r="A10303" s="258"/>
      <c r="Z10303" s="258"/>
    </row>
    <row r="10304" spans="1:26" ht="12.75" customHeight="1" x14ac:dyDescent="0.2">
      <c r="A10304" s="258"/>
      <c r="Z10304" s="258"/>
    </row>
    <row r="10305" spans="1:26" ht="12.75" customHeight="1" x14ac:dyDescent="0.2">
      <c r="A10305" s="258"/>
      <c r="Z10305" s="258"/>
    </row>
    <row r="10306" spans="1:26" ht="12.75" customHeight="1" x14ac:dyDescent="0.2">
      <c r="A10306" s="258"/>
      <c r="Z10306" s="258"/>
    </row>
    <row r="10307" spans="1:26" ht="12.75" customHeight="1" x14ac:dyDescent="0.2">
      <c r="A10307" s="258"/>
      <c r="Z10307" s="258"/>
    </row>
    <row r="10308" spans="1:26" ht="12.75" customHeight="1" x14ac:dyDescent="0.2">
      <c r="A10308" s="258"/>
      <c r="Z10308" s="258"/>
    </row>
    <row r="10309" spans="1:26" ht="12.75" customHeight="1" x14ac:dyDescent="0.2">
      <c r="A10309" s="258"/>
      <c r="Z10309" s="258"/>
    </row>
    <row r="10310" spans="1:26" ht="12.75" customHeight="1" x14ac:dyDescent="0.2">
      <c r="A10310" s="258"/>
      <c r="Z10310" s="258"/>
    </row>
    <row r="10311" spans="1:26" ht="12.75" customHeight="1" x14ac:dyDescent="0.2">
      <c r="A10311" s="258"/>
      <c r="Z10311" s="258"/>
    </row>
    <row r="10312" spans="1:26" ht="12.75" customHeight="1" x14ac:dyDescent="0.2">
      <c r="A10312" s="258"/>
      <c r="Z10312" s="258"/>
    </row>
    <row r="10313" spans="1:26" ht="12.75" customHeight="1" x14ac:dyDescent="0.2">
      <c r="A10313" s="258"/>
      <c r="Z10313" s="258"/>
    </row>
    <row r="10314" spans="1:26" ht="12.75" customHeight="1" x14ac:dyDescent="0.2">
      <c r="A10314" s="258"/>
      <c r="Z10314" s="258"/>
    </row>
    <row r="10315" spans="1:26" ht="12.75" customHeight="1" x14ac:dyDescent="0.2">
      <c r="A10315" s="258"/>
      <c r="Z10315" s="258"/>
    </row>
    <row r="10316" spans="1:26" ht="12.75" customHeight="1" x14ac:dyDescent="0.2">
      <c r="A10316" s="258"/>
      <c r="Z10316" s="258"/>
    </row>
    <row r="10317" spans="1:26" ht="12.75" customHeight="1" x14ac:dyDescent="0.2">
      <c r="A10317" s="258"/>
      <c r="Z10317" s="258"/>
    </row>
    <row r="10318" spans="1:26" ht="12.75" customHeight="1" x14ac:dyDescent="0.2">
      <c r="A10318" s="258"/>
      <c r="Z10318" s="258"/>
    </row>
    <row r="10319" spans="1:26" ht="12.75" customHeight="1" x14ac:dyDescent="0.2">
      <c r="A10319" s="258"/>
      <c r="Z10319" s="258"/>
    </row>
    <row r="10320" spans="1:26" ht="12.75" customHeight="1" x14ac:dyDescent="0.2">
      <c r="A10320" s="258"/>
      <c r="Z10320" s="258"/>
    </row>
    <row r="10321" spans="1:26" ht="12.75" customHeight="1" x14ac:dyDescent="0.2">
      <c r="A10321" s="258"/>
      <c r="Z10321" s="258"/>
    </row>
    <row r="10322" spans="1:26" ht="12.75" customHeight="1" x14ac:dyDescent="0.2">
      <c r="A10322" s="258"/>
      <c r="Z10322" s="258"/>
    </row>
    <row r="10323" spans="1:26" ht="12.75" customHeight="1" x14ac:dyDescent="0.2">
      <c r="A10323" s="258"/>
      <c r="Z10323" s="258"/>
    </row>
    <row r="10324" spans="1:26" ht="12.75" customHeight="1" x14ac:dyDescent="0.2">
      <c r="A10324" s="258"/>
      <c r="Z10324" s="258"/>
    </row>
    <row r="10325" spans="1:26" ht="12.75" customHeight="1" x14ac:dyDescent="0.2">
      <c r="A10325" s="258"/>
      <c r="Z10325" s="258"/>
    </row>
    <row r="10326" spans="1:26" ht="12.75" customHeight="1" x14ac:dyDescent="0.2">
      <c r="A10326" s="258"/>
      <c r="Z10326" s="258"/>
    </row>
    <row r="10327" spans="1:26" ht="12.75" customHeight="1" x14ac:dyDescent="0.2">
      <c r="A10327" s="258"/>
      <c r="Z10327" s="258"/>
    </row>
    <row r="10328" spans="1:26" ht="12.75" customHeight="1" x14ac:dyDescent="0.2">
      <c r="A10328" s="258"/>
      <c r="Z10328" s="258"/>
    </row>
    <row r="10329" spans="1:26" ht="12.75" customHeight="1" x14ac:dyDescent="0.2">
      <c r="A10329" s="258"/>
      <c r="Z10329" s="258"/>
    </row>
    <row r="10330" spans="1:26" ht="12.75" customHeight="1" x14ac:dyDescent="0.2">
      <c r="A10330" s="258"/>
      <c r="Z10330" s="258"/>
    </row>
    <row r="10331" spans="1:26" ht="12.75" customHeight="1" x14ac:dyDescent="0.2">
      <c r="A10331" s="258"/>
      <c r="Z10331" s="258"/>
    </row>
    <row r="10332" spans="1:26" ht="12.75" customHeight="1" x14ac:dyDescent="0.2">
      <c r="A10332" s="258"/>
      <c r="Z10332" s="258"/>
    </row>
    <row r="10333" spans="1:26" ht="12.75" customHeight="1" x14ac:dyDescent="0.2">
      <c r="A10333" s="258"/>
      <c r="Z10333" s="258"/>
    </row>
    <row r="10334" spans="1:26" ht="12.75" customHeight="1" x14ac:dyDescent="0.2">
      <c r="A10334" s="258"/>
      <c r="Z10334" s="258"/>
    </row>
    <row r="10335" spans="1:26" ht="12.75" customHeight="1" x14ac:dyDescent="0.2">
      <c r="A10335" s="258"/>
      <c r="Z10335" s="258"/>
    </row>
    <row r="10336" spans="1:26" ht="12.75" customHeight="1" x14ac:dyDescent="0.2">
      <c r="A10336" s="258"/>
      <c r="Z10336" s="258"/>
    </row>
    <row r="10337" spans="1:26" ht="12.75" customHeight="1" x14ac:dyDescent="0.2">
      <c r="A10337" s="258"/>
      <c r="Z10337" s="258"/>
    </row>
    <row r="10338" spans="1:26" ht="12.75" customHeight="1" x14ac:dyDescent="0.2">
      <c r="A10338" s="258"/>
      <c r="Z10338" s="258"/>
    </row>
    <row r="10339" spans="1:26" ht="12.75" customHeight="1" x14ac:dyDescent="0.2">
      <c r="A10339" s="258"/>
      <c r="Z10339" s="258"/>
    </row>
    <row r="10340" spans="1:26" ht="12.75" customHeight="1" x14ac:dyDescent="0.2">
      <c r="A10340" s="258"/>
      <c r="Z10340" s="258"/>
    </row>
    <row r="10341" spans="1:26" ht="12.75" customHeight="1" x14ac:dyDescent="0.2">
      <c r="A10341" s="258"/>
      <c r="Z10341" s="258"/>
    </row>
    <row r="10342" spans="1:26" ht="12.75" customHeight="1" x14ac:dyDescent="0.2">
      <c r="A10342" s="258"/>
      <c r="Z10342" s="258"/>
    </row>
    <row r="10343" spans="1:26" ht="12.75" customHeight="1" x14ac:dyDescent="0.2">
      <c r="A10343" s="258"/>
      <c r="Z10343" s="258"/>
    </row>
    <row r="10344" spans="1:26" ht="12.75" customHeight="1" x14ac:dyDescent="0.2">
      <c r="A10344" s="258"/>
      <c r="Z10344" s="258"/>
    </row>
    <row r="10345" spans="1:26" ht="12.75" customHeight="1" x14ac:dyDescent="0.2">
      <c r="A10345" s="258"/>
      <c r="Z10345" s="258"/>
    </row>
    <row r="10346" spans="1:26" ht="12.75" customHeight="1" x14ac:dyDescent="0.2">
      <c r="A10346" s="258"/>
      <c r="Z10346" s="258"/>
    </row>
    <row r="10347" spans="1:26" ht="12.75" customHeight="1" x14ac:dyDescent="0.2">
      <c r="A10347" s="258"/>
      <c r="Z10347" s="258"/>
    </row>
    <row r="10348" spans="1:26" ht="12.75" customHeight="1" x14ac:dyDescent="0.2">
      <c r="A10348" s="258"/>
      <c r="Z10348" s="258"/>
    </row>
    <row r="10349" spans="1:26" ht="12.75" customHeight="1" x14ac:dyDescent="0.2">
      <c r="A10349" s="258"/>
      <c r="Z10349" s="258"/>
    </row>
    <row r="10350" spans="1:26" ht="12.75" customHeight="1" x14ac:dyDescent="0.2">
      <c r="A10350" s="258"/>
      <c r="Z10350" s="258"/>
    </row>
    <row r="10351" spans="1:26" ht="12.75" customHeight="1" x14ac:dyDescent="0.2">
      <c r="A10351" s="258"/>
      <c r="Z10351" s="258"/>
    </row>
    <row r="10352" spans="1:26" ht="12.75" customHeight="1" x14ac:dyDescent="0.2">
      <c r="A10352" s="258"/>
      <c r="Z10352" s="258"/>
    </row>
    <row r="10353" spans="1:26" ht="12.75" customHeight="1" x14ac:dyDescent="0.2">
      <c r="A10353" s="258"/>
      <c r="Z10353" s="258"/>
    </row>
    <row r="10354" spans="1:26" ht="12.75" customHeight="1" x14ac:dyDescent="0.2">
      <c r="A10354" s="258"/>
      <c r="Z10354" s="258"/>
    </row>
    <row r="10355" spans="1:26" ht="12.75" customHeight="1" x14ac:dyDescent="0.2">
      <c r="A10355" s="258"/>
      <c r="Z10355" s="258"/>
    </row>
    <row r="10356" spans="1:26" ht="12.75" customHeight="1" x14ac:dyDescent="0.2">
      <c r="A10356" s="258"/>
      <c r="Z10356" s="258"/>
    </row>
    <row r="10357" spans="1:26" ht="12.75" customHeight="1" x14ac:dyDescent="0.2">
      <c r="A10357" s="258"/>
      <c r="Z10357" s="258"/>
    </row>
    <row r="10358" spans="1:26" ht="12.75" customHeight="1" x14ac:dyDescent="0.2">
      <c r="A10358" s="258"/>
      <c r="Z10358" s="258"/>
    </row>
    <row r="10359" spans="1:26" ht="12.75" customHeight="1" x14ac:dyDescent="0.2">
      <c r="A10359" s="258"/>
      <c r="Z10359" s="258"/>
    </row>
    <row r="10360" spans="1:26" ht="12.75" customHeight="1" x14ac:dyDescent="0.2">
      <c r="A10360" s="258"/>
      <c r="Z10360" s="258"/>
    </row>
    <row r="10361" spans="1:26" ht="12.75" customHeight="1" x14ac:dyDescent="0.2">
      <c r="A10361" s="258"/>
      <c r="Z10361" s="258"/>
    </row>
    <row r="10362" spans="1:26" ht="12.75" customHeight="1" x14ac:dyDescent="0.2">
      <c r="A10362" s="258"/>
      <c r="Z10362" s="258"/>
    </row>
    <row r="10363" spans="1:26" ht="12.75" customHeight="1" x14ac:dyDescent="0.2">
      <c r="A10363" s="258"/>
      <c r="Z10363" s="258"/>
    </row>
    <row r="10364" spans="1:26" ht="12.75" customHeight="1" x14ac:dyDescent="0.2">
      <c r="A10364" s="258"/>
      <c r="Z10364" s="258"/>
    </row>
    <row r="10365" spans="1:26" ht="12.75" customHeight="1" x14ac:dyDescent="0.2">
      <c r="A10365" s="258"/>
      <c r="Z10365" s="258"/>
    </row>
    <row r="10366" spans="1:26" ht="12.75" customHeight="1" x14ac:dyDescent="0.2">
      <c r="A10366" s="258"/>
      <c r="Z10366" s="258"/>
    </row>
    <row r="10367" spans="1:26" ht="12.75" customHeight="1" x14ac:dyDescent="0.2">
      <c r="A10367" s="258"/>
      <c r="Z10367" s="258"/>
    </row>
    <row r="10368" spans="1:26" ht="12.75" customHeight="1" x14ac:dyDescent="0.2">
      <c r="A10368" s="258"/>
      <c r="Z10368" s="258"/>
    </row>
    <row r="10369" spans="1:26" ht="12.75" customHeight="1" x14ac:dyDescent="0.2">
      <c r="A10369" s="258"/>
      <c r="Z10369" s="258"/>
    </row>
    <row r="10370" spans="1:26" ht="12.75" customHeight="1" x14ac:dyDescent="0.2">
      <c r="A10370" s="258"/>
      <c r="Z10370" s="258"/>
    </row>
    <row r="10371" spans="1:26" ht="12.75" customHeight="1" x14ac:dyDescent="0.2">
      <c r="A10371" s="258"/>
      <c r="Z10371" s="258"/>
    </row>
    <row r="10372" spans="1:26" ht="12.75" customHeight="1" x14ac:dyDescent="0.2">
      <c r="A10372" s="258"/>
      <c r="Z10372" s="258"/>
    </row>
    <row r="10373" spans="1:26" ht="12.75" customHeight="1" x14ac:dyDescent="0.2">
      <c r="A10373" s="258"/>
      <c r="Z10373" s="258"/>
    </row>
    <row r="10374" spans="1:26" ht="12.75" customHeight="1" x14ac:dyDescent="0.2">
      <c r="A10374" s="258"/>
      <c r="Z10374" s="258"/>
    </row>
    <row r="10375" spans="1:26" ht="12.75" customHeight="1" x14ac:dyDescent="0.2">
      <c r="A10375" s="258"/>
      <c r="Z10375" s="258"/>
    </row>
    <row r="10376" spans="1:26" ht="12.75" customHeight="1" x14ac:dyDescent="0.2">
      <c r="A10376" s="258"/>
      <c r="Z10376" s="258"/>
    </row>
    <row r="10377" spans="1:26" ht="12.75" customHeight="1" x14ac:dyDescent="0.2">
      <c r="A10377" s="258"/>
      <c r="Z10377" s="258"/>
    </row>
    <row r="10378" spans="1:26" ht="12.75" customHeight="1" x14ac:dyDescent="0.2">
      <c r="A10378" s="258"/>
      <c r="Z10378" s="258"/>
    </row>
    <row r="10379" spans="1:26" ht="12.75" customHeight="1" x14ac:dyDescent="0.2">
      <c r="A10379" s="258"/>
      <c r="Z10379" s="258"/>
    </row>
    <row r="10380" spans="1:26" ht="12.75" customHeight="1" x14ac:dyDescent="0.2">
      <c r="A10380" s="258"/>
      <c r="Z10380" s="258"/>
    </row>
    <row r="10381" spans="1:26" ht="12.75" customHeight="1" x14ac:dyDescent="0.2">
      <c r="A10381" s="258"/>
      <c r="Z10381" s="258"/>
    </row>
    <row r="10382" spans="1:26" ht="12.75" customHeight="1" x14ac:dyDescent="0.2">
      <c r="A10382" s="258"/>
      <c r="Z10382" s="258"/>
    </row>
    <row r="10383" spans="1:26" ht="12.75" customHeight="1" x14ac:dyDescent="0.2">
      <c r="A10383" s="258"/>
      <c r="Z10383" s="258"/>
    </row>
    <row r="10384" spans="1:26" ht="12.75" customHeight="1" x14ac:dyDescent="0.2">
      <c r="A10384" s="258"/>
      <c r="Z10384" s="258"/>
    </row>
    <row r="10385" spans="1:26" ht="12.75" customHeight="1" x14ac:dyDescent="0.2">
      <c r="A10385" s="258"/>
      <c r="Z10385" s="258"/>
    </row>
    <row r="10386" spans="1:26" ht="12.75" customHeight="1" x14ac:dyDescent="0.2">
      <c r="A10386" s="258"/>
      <c r="Z10386" s="258"/>
    </row>
    <row r="10387" spans="1:26" ht="12.75" customHeight="1" x14ac:dyDescent="0.2">
      <c r="A10387" s="258"/>
      <c r="Z10387" s="258"/>
    </row>
    <row r="10388" spans="1:26" ht="12.75" customHeight="1" x14ac:dyDescent="0.2">
      <c r="A10388" s="258"/>
      <c r="Z10388" s="258"/>
    </row>
    <row r="10389" spans="1:26" ht="12.75" customHeight="1" x14ac:dyDescent="0.2">
      <c r="A10389" s="258"/>
      <c r="Z10389" s="258"/>
    </row>
    <row r="10390" spans="1:26" ht="12.75" customHeight="1" x14ac:dyDescent="0.2">
      <c r="A10390" s="258"/>
      <c r="Z10390" s="258"/>
    </row>
    <row r="10391" spans="1:26" ht="12.75" customHeight="1" x14ac:dyDescent="0.2">
      <c r="A10391" s="258"/>
      <c r="Z10391" s="258"/>
    </row>
    <row r="10392" spans="1:26" ht="12.75" customHeight="1" x14ac:dyDescent="0.2">
      <c r="A10392" s="258"/>
      <c r="Z10392" s="258"/>
    </row>
    <row r="10393" spans="1:26" ht="12.75" customHeight="1" x14ac:dyDescent="0.2">
      <c r="A10393" s="258"/>
      <c r="Z10393" s="258"/>
    </row>
    <row r="10394" spans="1:26" ht="12.75" customHeight="1" x14ac:dyDescent="0.2">
      <c r="A10394" s="258"/>
      <c r="Z10394" s="258"/>
    </row>
    <row r="10395" spans="1:26" ht="12.75" customHeight="1" x14ac:dyDescent="0.2">
      <c r="A10395" s="258"/>
      <c r="Z10395" s="258"/>
    </row>
    <row r="10396" spans="1:26" ht="12.75" customHeight="1" x14ac:dyDescent="0.2">
      <c r="A10396" s="258"/>
      <c r="Z10396" s="258"/>
    </row>
    <row r="10397" spans="1:26" ht="12.75" customHeight="1" x14ac:dyDescent="0.2">
      <c r="A10397" s="258"/>
      <c r="Z10397" s="258"/>
    </row>
    <row r="10398" spans="1:26" ht="12.75" customHeight="1" x14ac:dyDescent="0.2">
      <c r="A10398" s="258"/>
      <c r="Z10398" s="258"/>
    </row>
    <row r="10399" spans="1:26" ht="12.75" customHeight="1" x14ac:dyDescent="0.2">
      <c r="A10399" s="258"/>
      <c r="Z10399" s="258"/>
    </row>
    <row r="10400" spans="1:26" ht="12.75" customHeight="1" x14ac:dyDescent="0.2">
      <c r="A10400" s="258"/>
      <c r="Z10400" s="258"/>
    </row>
    <row r="10401" spans="1:26" ht="12.75" customHeight="1" x14ac:dyDescent="0.2">
      <c r="A10401" s="258"/>
      <c r="Z10401" s="258"/>
    </row>
    <row r="10402" spans="1:26" ht="12.75" customHeight="1" x14ac:dyDescent="0.2">
      <c r="A10402" s="258"/>
      <c r="Z10402" s="258"/>
    </row>
    <row r="10403" spans="1:26" ht="12.75" customHeight="1" x14ac:dyDescent="0.2">
      <c r="A10403" s="258"/>
      <c r="Z10403" s="258"/>
    </row>
    <row r="10404" spans="1:26" ht="12.75" customHeight="1" x14ac:dyDescent="0.2">
      <c r="A10404" s="258"/>
      <c r="Z10404" s="258"/>
    </row>
    <row r="10405" spans="1:26" ht="12.75" customHeight="1" x14ac:dyDescent="0.2">
      <c r="A10405" s="258"/>
      <c r="Z10405" s="258"/>
    </row>
    <row r="10406" spans="1:26" ht="12.75" customHeight="1" x14ac:dyDescent="0.2">
      <c r="A10406" s="258"/>
      <c r="Z10406" s="258"/>
    </row>
    <row r="10407" spans="1:26" ht="12.75" customHeight="1" x14ac:dyDescent="0.2">
      <c r="A10407" s="258"/>
      <c r="Z10407" s="258"/>
    </row>
    <row r="10408" spans="1:26" ht="12.75" customHeight="1" x14ac:dyDescent="0.2">
      <c r="A10408" s="258"/>
      <c r="Z10408" s="258"/>
    </row>
    <row r="10409" spans="1:26" ht="12.75" customHeight="1" x14ac:dyDescent="0.2">
      <c r="A10409" s="258"/>
      <c r="Z10409" s="258"/>
    </row>
    <row r="10410" spans="1:26" ht="12.75" customHeight="1" x14ac:dyDescent="0.2">
      <c r="A10410" s="258"/>
      <c r="Z10410" s="258"/>
    </row>
    <row r="10411" spans="1:26" ht="12.75" customHeight="1" x14ac:dyDescent="0.2">
      <c r="A10411" s="258"/>
      <c r="Z10411" s="258"/>
    </row>
    <row r="10412" spans="1:26" ht="12.75" customHeight="1" x14ac:dyDescent="0.2">
      <c r="A10412" s="258"/>
      <c r="Z10412" s="258"/>
    </row>
    <row r="10413" spans="1:26" ht="12.75" customHeight="1" x14ac:dyDescent="0.2">
      <c r="A10413" s="258"/>
      <c r="Z10413" s="258"/>
    </row>
    <row r="10414" spans="1:26" ht="12.75" customHeight="1" x14ac:dyDescent="0.2">
      <c r="A10414" s="258"/>
      <c r="Z10414" s="258"/>
    </row>
    <row r="10415" spans="1:26" ht="12.75" customHeight="1" x14ac:dyDescent="0.2">
      <c r="A10415" s="258"/>
      <c r="Z10415" s="258"/>
    </row>
    <row r="10416" spans="1:26" ht="12.75" customHeight="1" x14ac:dyDescent="0.2">
      <c r="A10416" s="258"/>
      <c r="Z10416" s="258"/>
    </row>
    <row r="10417" spans="1:26" ht="12.75" customHeight="1" x14ac:dyDescent="0.2">
      <c r="A10417" s="258"/>
      <c r="Z10417" s="258"/>
    </row>
    <row r="10418" spans="1:26" ht="12.75" customHeight="1" x14ac:dyDescent="0.2">
      <c r="A10418" s="258"/>
      <c r="Z10418" s="258"/>
    </row>
    <row r="10419" spans="1:26" ht="12.75" customHeight="1" x14ac:dyDescent="0.2">
      <c r="A10419" s="258"/>
      <c r="Z10419" s="258"/>
    </row>
    <row r="10420" spans="1:26" ht="12.75" customHeight="1" x14ac:dyDescent="0.2">
      <c r="A10420" s="258"/>
      <c r="Z10420" s="258"/>
    </row>
    <row r="10421" spans="1:26" ht="12.75" customHeight="1" x14ac:dyDescent="0.2">
      <c r="A10421" s="258"/>
      <c r="Z10421" s="258"/>
    </row>
    <row r="10422" spans="1:26" ht="12.75" customHeight="1" x14ac:dyDescent="0.2">
      <c r="A10422" s="258"/>
      <c r="Z10422" s="258"/>
    </row>
    <row r="10423" spans="1:26" ht="12.75" customHeight="1" x14ac:dyDescent="0.2">
      <c r="A10423" s="258"/>
      <c r="Z10423" s="258"/>
    </row>
    <row r="10424" spans="1:26" ht="12.75" customHeight="1" x14ac:dyDescent="0.2">
      <c r="A10424" s="258"/>
      <c r="Z10424" s="258"/>
    </row>
    <row r="10425" spans="1:26" ht="12.75" customHeight="1" x14ac:dyDescent="0.2">
      <c r="A10425" s="258"/>
      <c r="Z10425" s="258"/>
    </row>
    <row r="10426" spans="1:26" ht="12.75" customHeight="1" x14ac:dyDescent="0.2">
      <c r="A10426" s="258"/>
      <c r="Z10426" s="258"/>
    </row>
    <row r="10427" spans="1:26" ht="12.75" customHeight="1" x14ac:dyDescent="0.2">
      <c r="A10427" s="258"/>
      <c r="Z10427" s="258"/>
    </row>
    <row r="10428" spans="1:26" ht="12.75" customHeight="1" x14ac:dyDescent="0.2">
      <c r="A10428" s="258"/>
      <c r="Z10428" s="258"/>
    </row>
    <row r="10429" spans="1:26" ht="12.75" customHeight="1" x14ac:dyDescent="0.2">
      <c r="A10429" s="258"/>
      <c r="Z10429" s="258"/>
    </row>
    <row r="10430" spans="1:26" ht="12.75" customHeight="1" x14ac:dyDescent="0.2">
      <c r="A10430" s="258"/>
      <c r="Z10430" s="258"/>
    </row>
    <row r="10431" spans="1:26" ht="12.75" customHeight="1" x14ac:dyDescent="0.2">
      <c r="A10431" s="258"/>
      <c r="Z10431" s="258"/>
    </row>
    <row r="10432" spans="1:26" ht="12.75" customHeight="1" x14ac:dyDescent="0.2">
      <c r="A10432" s="258"/>
      <c r="Z10432" s="258"/>
    </row>
    <row r="10433" spans="1:26" ht="12.75" customHeight="1" x14ac:dyDescent="0.2">
      <c r="A10433" s="258"/>
      <c r="Z10433" s="258"/>
    </row>
    <row r="10434" spans="1:26" ht="12.75" customHeight="1" x14ac:dyDescent="0.2">
      <c r="A10434" s="258"/>
      <c r="Z10434" s="258"/>
    </row>
    <row r="10435" spans="1:26" ht="12.75" customHeight="1" x14ac:dyDescent="0.2">
      <c r="A10435" s="258"/>
      <c r="Z10435" s="258"/>
    </row>
    <row r="10436" spans="1:26" ht="12.75" customHeight="1" x14ac:dyDescent="0.2">
      <c r="A10436" s="258"/>
      <c r="Z10436" s="258"/>
    </row>
    <row r="10437" spans="1:26" ht="12.75" customHeight="1" x14ac:dyDescent="0.2">
      <c r="A10437" s="258"/>
      <c r="Z10437" s="258"/>
    </row>
    <row r="10438" spans="1:26" ht="12.75" customHeight="1" x14ac:dyDescent="0.2">
      <c r="A10438" s="258"/>
      <c r="Z10438" s="258"/>
    </row>
    <row r="10439" spans="1:26" ht="12.75" customHeight="1" x14ac:dyDescent="0.2">
      <c r="A10439" s="258"/>
      <c r="Z10439" s="258"/>
    </row>
    <row r="10440" spans="1:26" ht="12.75" customHeight="1" x14ac:dyDescent="0.2">
      <c r="A10440" s="258"/>
      <c r="Z10440" s="258"/>
    </row>
    <row r="10441" spans="1:26" ht="12.75" customHeight="1" x14ac:dyDescent="0.2">
      <c r="A10441" s="258"/>
      <c r="Z10441" s="258"/>
    </row>
    <row r="10442" spans="1:26" ht="12.75" customHeight="1" x14ac:dyDescent="0.2">
      <c r="A10442" s="258"/>
      <c r="Z10442" s="258"/>
    </row>
    <row r="10443" spans="1:26" ht="12.75" customHeight="1" x14ac:dyDescent="0.2">
      <c r="A10443" s="258"/>
      <c r="Z10443" s="258"/>
    </row>
    <row r="10444" spans="1:26" ht="12.75" customHeight="1" x14ac:dyDescent="0.2">
      <c r="A10444" s="258"/>
      <c r="Z10444" s="258"/>
    </row>
    <row r="10445" spans="1:26" ht="12.75" customHeight="1" x14ac:dyDescent="0.2">
      <c r="A10445" s="258"/>
      <c r="Z10445" s="258"/>
    </row>
    <row r="10446" spans="1:26" ht="12.75" customHeight="1" x14ac:dyDescent="0.2">
      <c r="A10446" s="258"/>
      <c r="Z10446" s="258"/>
    </row>
    <row r="10447" spans="1:26" ht="12.75" customHeight="1" x14ac:dyDescent="0.2">
      <c r="A10447" s="258"/>
      <c r="Z10447" s="258"/>
    </row>
    <row r="10448" spans="1:26" ht="12.75" customHeight="1" x14ac:dyDescent="0.2">
      <c r="A10448" s="258"/>
      <c r="Z10448" s="258"/>
    </row>
    <row r="10449" spans="1:26" ht="12.75" customHeight="1" x14ac:dyDescent="0.2">
      <c r="A10449" s="258"/>
      <c r="Z10449" s="258"/>
    </row>
    <row r="10450" spans="1:26" ht="12.75" customHeight="1" x14ac:dyDescent="0.2">
      <c r="A10450" s="258"/>
      <c r="Z10450" s="258"/>
    </row>
    <row r="10451" spans="1:26" ht="12.75" customHeight="1" x14ac:dyDescent="0.2">
      <c r="A10451" s="258"/>
      <c r="Z10451" s="258"/>
    </row>
    <row r="10452" spans="1:26" ht="12.75" customHeight="1" x14ac:dyDescent="0.2">
      <c r="A10452" s="258"/>
      <c r="Z10452" s="258"/>
    </row>
    <row r="10453" spans="1:26" ht="12.75" customHeight="1" x14ac:dyDescent="0.2">
      <c r="A10453" s="258"/>
      <c r="Z10453" s="258"/>
    </row>
    <row r="10454" spans="1:26" ht="12.75" customHeight="1" x14ac:dyDescent="0.2">
      <c r="A10454" s="258"/>
      <c r="Z10454" s="258"/>
    </row>
    <row r="10455" spans="1:26" ht="12.75" customHeight="1" x14ac:dyDescent="0.2">
      <c r="A10455" s="258"/>
      <c r="Z10455" s="258"/>
    </row>
    <row r="10456" spans="1:26" ht="12.75" customHeight="1" x14ac:dyDescent="0.2">
      <c r="A10456" s="258"/>
      <c r="Z10456" s="258"/>
    </row>
    <row r="10457" spans="1:26" ht="12.75" customHeight="1" x14ac:dyDescent="0.2">
      <c r="A10457" s="258"/>
      <c r="Z10457" s="258"/>
    </row>
    <row r="10458" spans="1:26" ht="12.75" customHeight="1" x14ac:dyDescent="0.2">
      <c r="A10458" s="258"/>
      <c r="Z10458" s="258"/>
    </row>
    <row r="10459" spans="1:26" ht="12.75" customHeight="1" x14ac:dyDescent="0.2">
      <c r="A10459" s="258"/>
      <c r="Z10459" s="258"/>
    </row>
    <row r="10460" spans="1:26" ht="12.75" customHeight="1" x14ac:dyDescent="0.2">
      <c r="A10460" s="258"/>
      <c r="Z10460" s="258"/>
    </row>
    <row r="10461" spans="1:26" ht="12.75" customHeight="1" x14ac:dyDescent="0.2">
      <c r="A10461" s="258"/>
      <c r="Z10461" s="258"/>
    </row>
    <row r="10462" spans="1:26" ht="12.75" customHeight="1" x14ac:dyDescent="0.2">
      <c r="A10462" s="258"/>
      <c r="Z10462" s="258"/>
    </row>
    <row r="10463" spans="1:26" ht="12.75" customHeight="1" x14ac:dyDescent="0.2">
      <c r="A10463" s="258"/>
      <c r="Z10463" s="258"/>
    </row>
    <row r="10464" spans="1:26" ht="12.75" customHeight="1" x14ac:dyDescent="0.2">
      <c r="A10464" s="258"/>
      <c r="Z10464" s="258"/>
    </row>
    <row r="10465" spans="1:26" ht="12.75" customHeight="1" x14ac:dyDescent="0.2">
      <c r="A10465" s="258"/>
      <c r="Z10465" s="258"/>
    </row>
    <row r="10466" spans="1:26" ht="12.75" customHeight="1" x14ac:dyDescent="0.2">
      <c r="A10466" s="258"/>
      <c r="Z10466" s="258"/>
    </row>
    <row r="10467" spans="1:26" ht="12.75" customHeight="1" x14ac:dyDescent="0.2">
      <c r="A10467" s="258"/>
      <c r="Z10467" s="258"/>
    </row>
    <row r="10468" spans="1:26" ht="12.75" customHeight="1" x14ac:dyDescent="0.2">
      <c r="A10468" s="258"/>
      <c r="Z10468" s="258"/>
    </row>
    <row r="10469" spans="1:26" ht="12.75" customHeight="1" x14ac:dyDescent="0.2">
      <c r="A10469" s="258"/>
      <c r="Z10469" s="258"/>
    </row>
    <row r="10470" spans="1:26" ht="12.75" customHeight="1" x14ac:dyDescent="0.2">
      <c r="A10470" s="258"/>
      <c r="Z10470" s="258"/>
    </row>
    <row r="10471" spans="1:26" ht="12.75" customHeight="1" x14ac:dyDescent="0.2">
      <c r="A10471" s="258"/>
      <c r="Z10471" s="258"/>
    </row>
    <row r="10472" spans="1:26" ht="12.75" customHeight="1" x14ac:dyDescent="0.2">
      <c r="A10472" s="258"/>
      <c r="Z10472" s="258"/>
    </row>
    <row r="10473" spans="1:26" ht="12.75" customHeight="1" x14ac:dyDescent="0.2">
      <c r="A10473" s="258"/>
      <c r="Z10473" s="258"/>
    </row>
    <row r="10474" spans="1:26" ht="12.75" customHeight="1" x14ac:dyDescent="0.2">
      <c r="A10474" s="258"/>
      <c r="Z10474" s="258"/>
    </row>
    <row r="10475" spans="1:26" ht="12.75" customHeight="1" x14ac:dyDescent="0.2">
      <c r="A10475" s="258"/>
      <c r="Z10475" s="258"/>
    </row>
    <row r="10476" spans="1:26" ht="12.75" customHeight="1" x14ac:dyDescent="0.2">
      <c r="A10476" s="258"/>
      <c r="Z10476" s="258"/>
    </row>
    <row r="10477" spans="1:26" ht="12.75" customHeight="1" x14ac:dyDescent="0.2">
      <c r="A10477" s="258"/>
      <c r="Z10477" s="258"/>
    </row>
    <row r="10478" spans="1:26" ht="12.75" customHeight="1" x14ac:dyDescent="0.2">
      <c r="A10478" s="258"/>
      <c r="Z10478" s="258"/>
    </row>
    <row r="10479" spans="1:26" ht="12.75" customHeight="1" x14ac:dyDescent="0.2">
      <c r="A10479" s="258"/>
      <c r="Z10479" s="258"/>
    </row>
    <row r="10480" spans="1:26" ht="12.75" customHeight="1" x14ac:dyDescent="0.2">
      <c r="A10480" s="258"/>
      <c r="Z10480" s="258"/>
    </row>
    <row r="10481" spans="1:26" ht="12.75" customHeight="1" x14ac:dyDescent="0.2">
      <c r="A10481" s="258"/>
      <c r="Z10481" s="258"/>
    </row>
    <row r="10482" spans="1:26" ht="12.75" customHeight="1" x14ac:dyDescent="0.2">
      <c r="A10482" s="258"/>
      <c r="Z10482" s="258"/>
    </row>
    <row r="10483" spans="1:26" ht="12.75" customHeight="1" x14ac:dyDescent="0.2">
      <c r="A10483" s="258"/>
      <c r="Z10483" s="258"/>
    </row>
    <row r="10484" spans="1:26" ht="12.75" customHeight="1" x14ac:dyDescent="0.2">
      <c r="A10484" s="258"/>
      <c r="Z10484" s="258"/>
    </row>
    <row r="10485" spans="1:26" ht="12.75" customHeight="1" x14ac:dyDescent="0.2">
      <c r="A10485" s="258"/>
      <c r="Z10485" s="258"/>
    </row>
    <row r="10486" spans="1:26" ht="12.75" customHeight="1" x14ac:dyDescent="0.2">
      <c r="A10486" s="258"/>
      <c r="Z10486" s="258"/>
    </row>
    <row r="10487" spans="1:26" ht="12.75" customHeight="1" x14ac:dyDescent="0.2">
      <c r="A10487" s="258"/>
      <c r="Z10487" s="258"/>
    </row>
    <row r="10488" spans="1:26" ht="12.75" customHeight="1" x14ac:dyDescent="0.2">
      <c r="A10488" s="258"/>
      <c r="Z10488" s="258"/>
    </row>
    <row r="10489" spans="1:26" ht="12.75" customHeight="1" x14ac:dyDescent="0.2">
      <c r="A10489" s="258"/>
      <c r="Z10489" s="258"/>
    </row>
    <row r="10490" spans="1:26" ht="12.75" customHeight="1" x14ac:dyDescent="0.2">
      <c r="A10490" s="258"/>
      <c r="Z10490" s="258"/>
    </row>
    <row r="10491" spans="1:26" ht="12.75" customHeight="1" x14ac:dyDescent="0.2">
      <c r="A10491" s="258"/>
      <c r="Z10491" s="258"/>
    </row>
    <row r="10492" spans="1:26" ht="12.75" customHeight="1" x14ac:dyDescent="0.2">
      <c r="A10492" s="258"/>
      <c r="Z10492" s="258"/>
    </row>
    <row r="10493" spans="1:26" ht="12.75" customHeight="1" x14ac:dyDescent="0.2">
      <c r="A10493" s="258"/>
      <c r="Z10493" s="258"/>
    </row>
    <row r="10494" spans="1:26" ht="12.75" customHeight="1" x14ac:dyDescent="0.2">
      <c r="A10494" s="258"/>
      <c r="Z10494" s="258"/>
    </row>
    <row r="10495" spans="1:26" ht="12.75" customHeight="1" x14ac:dyDescent="0.2">
      <c r="A10495" s="258"/>
      <c r="Z10495" s="258"/>
    </row>
    <row r="10496" spans="1:26" ht="12.75" customHeight="1" x14ac:dyDescent="0.2">
      <c r="A10496" s="258"/>
      <c r="Z10496" s="258"/>
    </row>
    <row r="10497" spans="1:26" ht="12.75" customHeight="1" x14ac:dyDescent="0.2">
      <c r="A10497" s="258"/>
      <c r="Z10497" s="258"/>
    </row>
    <row r="10498" spans="1:26" ht="12.75" customHeight="1" x14ac:dyDescent="0.2">
      <c r="A10498" s="258"/>
      <c r="Z10498" s="258"/>
    </row>
    <row r="10499" spans="1:26" ht="12.75" customHeight="1" x14ac:dyDescent="0.2">
      <c r="A10499" s="258"/>
      <c r="Z10499" s="258"/>
    </row>
    <row r="10500" spans="1:26" ht="12.75" customHeight="1" x14ac:dyDescent="0.2">
      <c r="A10500" s="258"/>
      <c r="Z10500" s="258"/>
    </row>
    <row r="10501" spans="1:26" ht="12.75" customHeight="1" x14ac:dyDescent="0.2">
      <c r="A10501" s="258"/>
      <c r="Z10501" s="258"/>
    </row>
    <row r="10502" spans="1:26" ht="12.75" customHeight="1" x14ac:dyDescent="0.2">
      <c r="A10502" s="258"/>
      <c r="Z10502" s="258"/>
    </row>
    <row r="10503" spans="1:26" ht="12.75" customHeight="1" x14ac:dyDescent="0.2">
      <c r="A10503" s="258"/>
      <c r="Z10503" s="258"/>
    </row>
    <row r="10504" spans="1:26" ht="12.75" customHeight="1" x14ac:dyDescent="0.2">
      <c r="A10504" s="258"/>
      <c r="Z10504" s="258"/>
    </row>
    <row r="10505" spans="1:26" ht="12.75" customHeight="1" x14ac:dyDescent="0.2">
      <c r="A10505" s="258"/>
      <c r="Z10505" s="258"/>
    </row>
    <row r="10506" spans="1:26" ht="12.75" customHeight="1" x14ac:dyDescent="0.2">
      <c r="A10506" s="258"/>
      <c r="Z10506" s="258"/>
    </row>
    <row r="10507" spans="1:26" ht="12.75" customHeight="1" x14ac:dyDescent="0.2">
      <c r="A10507" s="258"/>
      <c r="Z10507" s="258"/>
    </row>
    <row r="10508" spans="1:26" ht="12.75" customHeight="1" x14ac:dyDescent="0.2">
      <c r="A10508" s="258"/>
      <c r="Z10508" s="258"/>
    </row>
    <row r="10509" spans="1:26" ht="12.75" customHeight="1" x14ac:dyDescent="0.2">
      <c r="A10509" s="258"/>
      <c r="Z10509" s="258"/>
    </row>
    <row r="10510" spans="1:26" ht="12.75" customHeight="1" x14ac:dyDescent="0.2">
      <c r="A10510" s="258"/>
      <c r="Z10510" s="258"/>
    </row>
    <row r="10511" spans="1:26" ht="12.75" customHeight="1" x14ac:dyDescent="0.2">
      <c r="A10511" s="258"/>
      <c r="Z10511" s="258"/>
    </row>
    <row r="10512" spans="1:26" ht="12.75" customHeight="1" x14ac:dyDescent="0.2">
      <c r="A10512" s="258"/>
      <c r="Z10512" s="258"/>
    </row>
    <row r="10513" spans="1:26" ht="12.75" customHeight="1" x14ac:dyDescent="0.2">
      <c r="A10513" s="258"/>
      <c r="Z10513" s="258"/>
    </row>
    <row r="10514" spans="1:26" ht="12.75" customHeight="1" x14ac:dyDescent="0.2">
      <c r="A10514" s="258"/>
      <c r="Z10514" s="258"/>
    </row>
    <row r="10515" spans="1:26" ht="12.75" customHeight="1" x14ac:dyDescent="0.2">
      <c r="A10515" s="258"/>
      <c r="Z10515" s="258"/>
    </row>
    <row r="10516" spans="1:26" ht="12.75" customHeight="1" x14ac:dyDescent="0.2">
      <c r="A10516" s="258"/>
      <c r="Z10516" s="258"/>
    </row>
    <row r="10517" spans="1:26" ht="12.75" customHeight="1" x14ac:dyDescent="0.2">
      <c r="A10517" s="258"/>
      <c r="Z10517" s="258"/>
    </row>
    <row r="10518" spans="1:26" ht="12.75" customHeight="1" x14ac:dyDescent="0.2">
      <c r="A10518" s="258"/>
      <c r="Z10518" s="258"/>
    </row>
    <row r="10519" spans="1:26" ht="12.75" customHeight="1" x14ac:dyDescent="0.2">
      <c r="A10519" s="258"/>
      <c r="Z10519" s="258"/>
    </row>
    <row r="10520" spans="1:26" ht="12.75" customHeight="1" x14ac:dyDescent="0.2">
      <c r="A10520" s="258"/>
      <c r="Z10520" s="258"/>
    </row>
    <row r="10521" spans="1:26" ht="12.75" customHeight="1" x14ac:dyDescent="0.2">
      <c r="A10521" s="258"/>
      <c r="Z10521" s="258"/>
    </row>
    <row r="10522" spans="1:26" ht="12.75" customHeight="1" x14ac:dyDescent="0.2">
      <c r="A10522" s="258"/>
      <c r="Z10522" s="258"/>
    </row>
    <row r="10523" spans="1:26" ht="12.75" customHeight="1" x14ac:dyDescent="0.2">
      <c r="A10523" s="258"/>
      <c r="Z10523" s="258"/>
    </row>
    <row r="10524" spans="1:26" ht="12.75" customHeight="1" x14ac:dyDescent="0.2">
      <c r="A10524" s="258"/>
      <c r="Z10524" s="258"/>
    </row>
    <row r="10525" spans="1:26" ht="12.75" customHeight="1" x14ac:dyDescent="0.2">
      <c r="A10525" s="258"/>
      <c r="Z10525" s="258"/>
    </row>
    <row r="10526" spans="1:26" ht="12.75" customHeight="1" x14ac:dyDescent="0.2">
      <c r="A10526" s="258"/>
      <c r="Z10526" s="258"/>
    </row>
    <row r="10527" spans="1:26" ht="12.75" customHeight="1" x14ac:dyDescent="0.2">
      <c r="A10527" s="258"/>
      <c r="Z10527" s="258"/>
    </row>
    <row r="10528" spans="1:26" ht="12.75" customHeight="1" x14ac:dyDescent="0.2">
      <c r="A10528" s="258"/>
      <c r="Z10528" s="258"/>
    </row>
    <row r="10529" spans="1:26" ht="12.75" customHeight="1" x14ac:dyDescent="0.2">
      <c r="A10529" s="258"/>
      <c r="Z10529" s="258"/>
    </row>
    <row r="10530" spans="1:26" ht="12.75" customHeight="1" x14ac:dyDescent="0.2">
      <c r="A10530" s="258"/>
      <c r="Z10530" s="258"/>
    </row>
    <row r="10531" spans="1:26" ht="12.75" customHeight="1" x14ac:dyDescent="0.2">
      <c r="A10531" s="258"/>
      <c r="Z10531" s="258"/>
    </row>
    <row r="10532" spans="1:26" ht="12.75" customHeight="1" x14ac:dyDescent="0.2">
      <c r="A10532" s="258"/>
      <c r="Z10532" s="258"/>
    </row>
    <row r="10533" spans="1:26" ht="12.75" customHeight="1" x14ac:dyDescent="0.2">
      <c r="A10533" s="258"/>
      <c r="Z10533" s="258"/>
    </row>
    <row r="10534" spans="1:26" ht="12.75" customHeight="1" x14ac:dyDescent="0.2">
      <c r="A10534" s="258"/>
      <c r="Z10534" s="258"/>
    </row>
    <row r="10535" spans="1:26" ht="12.75" customHeight="1" x14ac:dyDescent="0.2">
      <c r="A10535" s="258"/>
      <c r="Z10535" s="258"/>
    </row>
    <row r="10536" spans="1:26" ht="12.75" customHeight="1" x14ac:dyDescent="0.2">
      <c r="A10536" s="258"/>
      <c r="Z10536" s="258"/>
    </row>
    <row r="10537" spans="1:26" ht="12.75" customHeight="1" x14ac:dyDescent="0.2">
      <c r="A10537" s="258"/>
      <c r="Z10537" s="258"/>
    </row>
    <row r="10538" spans="1:26" ht="12.75" customHeight="1" x14ac:dyDescent="0.2">
      <c r="A10538" s="258"/>
      <c r="Z10538" s="258"/>
    </row>
    <row r="10539" spans="1:26" ht="12.75" customHeight="1" x14ac:dyDescent="0.2">
      <c r="A10539" s="258"/>
      <c r="Z10539" s="258"/>
    </row>
    <row r="10540" spans="1:26" ht="12.75" customHeight="1" x14ac:dyDescent="0.2">
      <c r="A10540" s="258"/>
      <c r="Z10540" s="258"/>
    </row>
    <row r="10541" spans="1:26" ht="12.75" customHeight="1" x14ac:dyDescent="0.2">
      <c r="A10541" s="258"/>
      <c r="Z10541" s="258"/>
    </row>
    <row r="10542" spans="1:26" ht="12.75" customHeight="1" x14ac:dyDescent="0.2">
      <c r="A10542" s="258"/>
      <c r="Z10542" s="258"/>
    </row>
    <row r="10543" spans="1:26" ht="12.75" customHeight="1" x14ac:dyDescent="0.2">
      <c r="A10543" s="258"/>
      <c r="Z10543" s="258"/>
    </row>
    <row r="10544" spans="1:26" ht="12.75" customHeight="1" x14ac:dyDescent="0.2">
      <c r="A10544" s="258"/>
      <c r="Z10544" s="258"/>
    </row>
    <row r="10545" spans="1:26" ht="12.75" customHeight="1" x14ac:dyDescent="0.2">
      <c r="A10545" s="258"/>
      <c r="Z10545" s="258"/>
    </row>
    <row r="10546" spans="1:26" ht="12.75" customHeight="1" x14ac:dyDescent="0.2">
      <c r="A10546" s="258"/>
      <c r="Z10546" s="258"/>
    </row>
    <row r="10547" spans="1:26" ht="12.75" customHeight="1" x14ac:dyDescent="0.2">
      <c r="A10547" s="258"/>
      <c r="Z10547" s="258"/>
    </row>
    <row r="10548" spans="1:26" ht="12.75" customHeight="1" x14ac:dyDescent="0.2">
      <c r="A10548" s="258"/>
      <c r="Z10548" s="258"/>
    </row>
    <row r="10549" spans="1:26" ht="12.75" customHeight="1" x14ac:dyDescent="0.2">
      <c r="A10549" s="258"/>
      <c r="Z10549" s="258"/>
    </row>
    <row r="10550" spans="1:26" ht="12.75" customHeight="1" x14ac:dyDescent="0.2">
      <c r="A10550" s="258"/>
      <c r="Z10550" s="258"/>
    </row>
    <row r="10551" spans="1:26" ht="12.75" customHeight="1" x14ac:dyDescent="0.2">
      <c r="A10551" s="258"/>
      <c r="Z10551" s="258"/>
    </row>
    <row r="10552" spans="1:26" ht="12.75" customHeight="1" x14ac:dyDescent="0.2">
      <c r="A10552" s="258"/>
      <c r="Z10552" s="258"/>
    </row>
    <row r="10553" spans="1:26" ht="12.75" customHeight="1" x14ac:dyDescent="0.2">
      <c r="A10553" s="258"/>
      <c r="Z10553" s="258"/>
    </row>
    <row r="10554" spans="1:26" ht="12.75" customHeight="1" x14ac:dyDescent="0.2">
      <c r="A10554" s="258"/>
      <c r="Z10554" s="258"/>
    </row>
    <row r="10555" spans="1:26" ht="12.75" customHeight="1" x14ac:dyDescent="0.2">
      <c r="A10555" s="258"/>
      <c r="Z10555" s="258"/>
    </row>
    <row r="10556" spans="1:26" ht="12.75" customHeight="1" x14ac:dyDescent="0.2">
      <c r="A10556" s="258"/>
      <c r="Z10556" s="258"/>
    </row>
    <row r="10557" spans="1:26" ht="12.75" customHeight="1" x14ac:dyDescent="0.2">
      <c r="A10557" s="258"/>
      <c r="Z10557" s="258"/>
    </row>
    <row r="10558" spans="1:26" ht="12.75" customHeight="1" x14ac:dyDescent="0.2">
      <c r="A10558" s="258"/>
      <c r="Z10558" s="258"/>
    </row>
    <row r="10559" spans="1:26" ht="12.75" customHeight="1" x14ac:dyDescent="0.2">
      <c r="A10559" s="258"/>
      <c r="Z10559" s="258"/>
    </row>
    <row r="10560" spans="1:26" ht="12.75" customHeight="1" x14ac:dyDescent="0.2">
      <c r="A10560" s="258"/>
      <c r="Z10560" s="258"/>
    </row>
    <row r="10561" spans="1:26" ht="12.75" customHeight="1" x14ac:dyDescent="0.2">
      <c r="A10561" s="258"/>
      <c r="Z10561" s="258"/>
    </row>
    <row r="10562" spans="1:26" ht="12.75" customHeight="1" x14ac:dyDescent="0.2">
      <c r="A10562" s="258"/>
      <c r="Z10562" s="258"/>
    </row>
    <row r="10563" spans="1:26" ht="12.75" customHeight="1" x14ac:dyDescent="0.2">
      <c r="A10563" s="258"/>
      <c r="Z10563" s="258"/>
    </row>
    <row r="10564" spans="1:26" ht="12.75" customHeight="1" x14ac:dyDescent="0.2">
      <c r="A10564" s="258"/>
      <c r="Z10564" s="258"/>
    </row>
    <row r="10565" spans="1:26" ht="12.75" customHeight="1" x14ac:dyDescent="0.2">
      <c r="A10565" s="258"/>
      <c r="Z10565" s="258"/>
    </row>
    <row r="10566" spans="1:26" ht="12.75" customHeight="1" x14ac:dyDescent="0.2">
      <c r="A10566" s="258"/>
      <c r="Z10566" s="258"/>
    </row>
    <row r="10567" spans="1:26" ht="12.75" customHeight="1" x14ac:dyDescent="0.2">
      <c r="A10567" s="258"/>
      <c r="Z10567" s="258"/>
    </row>
    <row r="10568" spans="1:26" ht="12.75" customHeight="1" x14ac:dyDescent="0.2">
      <c r="A10568" s="258"/>
      <c r="Z10568" s="258"/>
    </row>
    <row r="10569" spans="1:26" ht="12.75" customHeight="1" x14ac:dyDescent="0.2">
      <c r="A10569" s="258"/>
      <c r="Z10569" s="258"/>
    </row>
    <row r="10570" spans="1:26" ht="12.75" customHeight="1" x14ac:dyDescent="0.2">
      <c r="A10570" s="258"/>
      <c r="Z10570" s="258"/>
    </row>
    <row r="10571" spans="1:26" ht="12.75" customHeight="1" x14ac:dyDescent="0.2">
      <c r="A10571" s="258"/>
      <c r="Z10571" s="258"/>
    </row>
    <row r="10572" spans="1:26" ht="12.75" customHeight="1" x14ac:dyDescent="0.2">
      <c r="A10572" s="258"/>
      <c r="Z10572" s="258"/>
    </row>
    <row r="10573" spans="1:26" ht="12.75" customHeight="1" x14ac:dyDescent="0.2">
      <c r="A10573" s="258"/>
      <c r="Z10573" s="258"/>
    </row>
    <row r="10574" spans="1:26" ht="12.75" customHeight="1" x14ac:dyDescent="0.2">
      <c r="A10574" s="258"/>
      <c r="Z10574" s="258"/>
    </row>
    <row r="10575" spans="1:26" ht="12.75" customHeight="1" x14ac:dyDescent="0.2">
      <c r="A10575" s="258"/>
      <c r="Z10575" s="258"/>
    </row>
    <row r="10576" spans="1:26" ht="12.75" customHeight="1" x14ac:dyDescent="0.2">
      <c r="A10576" s="258"/>
      <c r="Z10576" s="258"/>
    </row>
    <row r="10577" spans="1:26" ht="12.75" customHeight="1" x14ac:dyDescent="0.2">
      <c r="A10577" s="258"/>
      <c r="Z10577" s="258"/>
    </row>
    <row r="10578" spans="1:26" ht="12.75" customHeight="1" x14ac:dyDescent="0.2">
      <c r="A10578" s="258"/>
      <c r="Z10578" s="258"/>
    </row>
    <row r="10579" spans="1:26" ht="12.75" customHeight="1" x14ac:dyDescent="0.2">
      <c r="A10579" s="258"/>
      <c r="Z10579" s="258"/>
    </row>
    <row r="10580" spans="1:26" ht="12.75" customHeight="1" x14ac:dyDescent="0.2">
      <c r="A10580" s="258"/>
      <c r="Z10580" s="258"/>
    </row>
    <row r="10581" spans="1:26" ht="12.75" customHeight="1" x14ac:dyDescent="0.2">
      <c r="A10581" s="258"/>
      <c r="Z10581" s="258"/>
    </row>
    <row r="10582" spans="1:26" ht="12.75" customHeight="1" x14ac:dyDescent="0.2">
      <c r="A10582" s="258"/>
      <c r="Z10582" s="258"/>
    </row>
    <row r="10583" spans="1:26" ht="12.75" customHeight="1" x14ac:dyDescent="0.2">
      <c r="A10583" s="258"/>
      <c r="Z10583" s="258"/>
    </row>
    <row r="10584" spans="1:26" ht="12.75" customHeight="1" x14ac:dyDescent="0.2">
      <c r="A10584" s="258"/>
      <c r="Z10584" s="258"/>
    </row>
    <row r="10585" spans="1:26" ht="12.75" customHeight="1" x14ac:dyDescent="0.2">
      <c r="A10585" s="258"/>
      <c r="Z10585" s="258"/>
    </row>
    <row r="10586" spans="1:26" ht="12.75" customHeight="1" x14ac:dyDescent="0.2">
      <c r="A10586" s="258"/>
      <c r="Z10586" s="258"/>
    </row>
    <row r="10587" spans="1:26" ht="12.75" customHeight="1" x14ac:dyDescent="0.2">
      <c r="A10587" s="258"/>
      <c r="Z10587" s="258"/>
    </row>
    <row r="10588" spans="1:26" ht="12.75" customHeight="1" x14ac:dyDescent="0.2">
      <c r="A10588" s="258"/>
      <c r="Z10588" s="258"/>
    </row>
    <row r="10589" spans="1:26" ht="12.75" customHeight="1" x14ac:dyDescent="0.2">
      <c r="A10589" s="258"/>
      <c r="Z10589" s="258"/>
    </row>
    <row r="10590" spans="1:26" ht="12.75" customHeight="1" x14ac:dyDescent="0.2">
      <c r="A10590" s="258"/>
      <c r="Z10590" s="258"/>
    </row>
    <row r="10591" spans="1:26" ht="12.75" customHeight="1" x14ac:dyDescent="0.2">
      <c r="A10591" s="258"/>
      <c r="Z10591" s="258"/>
    </row>
    <row r="10592" spans="1:26" ht="12.75" customHeight="1" x14ac:dyDescent="0.2">
      <c r="A10592" s="258"/>
      <c r="Z10592" s="258"/>
    </row>
    <row r="10593" spans="1:26" ht="12.75" customHeight="1" x14ac:dyDescent="0.2">
      <c r="A10593" s="258"/>
      <c r="Z10593" s="258"/>
    </row>
    <row r="10594" spans="1:26" ht="12.75" customHeight="1" x14ac:dyDescent="0.2">
      <c r="A10594" s="258"/>
      <c r="Z10594" s="258"/>
    </row>
    <row r="10595" spans="1:26" ht="12.75" customHeight="1" x14ac:dyDescent="0.2">
      <c r="A10595" s="258"/>
      <c r="Z10595" s="258"/>
    </row>
    <row r="10596" spans="1:26" ht="12.75" customHeight="1" x14ac:dyDescent="0.2">
      <c r="A10596" s="258"/>
      <c r="Z10596" s="258"/>
    </row>
    <row r="10597" spans="1:26" ht="12.75" customHeight="1" x14ac:dyDescent="0.2">
      <c r="A10597" s="258"/>
      <c r="Z10597" s="258"/>
    </row>
    <row r="10598" spans="1:26" ht="12.75" customHeight="1" x14ac:dyDescent="0.2">
      <c r="A10598" s="258"/>
      <c r="Z10598" s="258"/>
    </row>
    <row r="10599" spans="1:26" ht="12.75" customHeight="1" x14ac:dyDescent="0.2">
      <c r="A10599" s="258"/>
      <c r="Z10599" s="258"/>
    </row>
    <row r="10600" spans="1:26" ht="12.75" customHeight="1" x14ac:dyDescent="0.2">
      <c r="A10600" s="258"/>
      <c r="Z10600" s="258"/>
    </row>
    <row r="10601" spans="1:26" ht="12.75" customHeight="1" x14ac:dyDescent="0.2">
      <c r="A10601" s="258"/>
      <c r="Z10601" s="258"/>
    </row>
    <row r="10602" spans="1:26" ht="12.75" customHeight="1" x14ac:dyDescent="0.2">
      <c r="A10602" s="258"/>
      <c r="Z10602" s="258"/>
    </row>
    <row r="10603" spans="1:26" ht="12.75" customHeight="1" x14ac:dyDescent="0.2">
      <c r="A10603" s="258"/>
      <c r="Z10603" s="258"/>
    </row>
    <row r="10604" spans="1:26" ht="12.75" customHeight="1" x14ac:dyDescent="0.2">
      <c r="A10604" s="258"/>
      <c r="Z10604" s="258"/>
    </row>
    <row r="10605" spans="1:26" ht="12.75" customHeight="1" x14ac:dyDescent="0.2">
      <c r="A10605" s="258"/>
      <c r="Z10605" s="258"/>
    </row>
    <row r="10606" spans="1:26" ht="12.75" customHeight="1" x14ac:dyDescent="0.2">
      <c r="A10606" s="258"/>
      <c r="Z10606" s="258"/>
    </row>
    <row r="10607" spans="1:26" ht="12.75" customHeight="1" x14ac:dyDescent="0.2">
      <c r="A10607" s="258"/>
      <c r="Z10607" s="258"/>
    </row>
    <row r="10608" spans="1:26" ht="12.75" customHeight="1" x14ac:dyDescent="0.2">
      <c r="A10608" s="258"/>
      <c r="Z10608" s="258"/>
    </row>
    <row r="10609" spans="1:26" ht="12.75" customHeight="1" x14ac:dyDescent="0.2">
      <c r="A10609" s="258"/>
      <c r="Z10609" s="258"/>
    </row>
    <row r="10610" spans="1:26" ht="12.75" customHeight="1" x14ac:dyDescent="0.2">
      <c r="A10610" s="258"/>
      <c r="Z10610" s="258"/>
    </row>
    <row r="10611" spans="1:26" ht="12.75" customHeight="1" x14ac:dyDescent="0.2">
      <c r="A10611" s="258"/>
      <c r="Z10611" s="258"/>
    </row>
    <row r="10612" spans="1:26" ht="12.75" customHeight="1" x14ac:dyDescent="0.2">
      <c r="A10612" s="258"/>
      <c r="Z10612" s="258"/>
    </row>
    <row r="10613" spans="1:26" ht="12.75" customHeight="1" x14ac:dyDescent="0.2">
      <c r="A10613" s="258"/>
      <c r="Z10613" s="258"/>
    </row>
    <row r="10614" spans="1:26" ht="12.75" customHeight="1" x14ac:dyDescent="0.2">
      <c r="A10614" s="258"/>
      <c r="Z10614" s="258"/>
    </row>
    <row r="10615" spans="1:26" ht="12.75" customHeight="1" x14ac:dyDescent="0.2">
      <c r="A10615" s="258"/>
      <c r="Z10615" s="258"/>
    </row>
    <row r="10616" spans="1:26" ht="12.75" customHeight="1" x14ac:dyDescent="0.2">
      <c r="A10616" s="258"/>
      <c r="Z10616" s="258"/>
    </row>
    <row r="10617" spans="1:26" ht="12.75" customHeight="1" x14ac:dyDescent="0.2">
      <c r="A10617" s="258"/>
      <c r="Z10617" s="258"/>
    </row>
    <row r="10618" spans="1:26" ht="12.75" customHeight="1" x14ac:dyDescent="0.2">
      <c r="A10618" s="258"/>
      <c r="Z10618" s="258"/>
    </row>
    <row r="10619" spans="1:26" ht="12.75" customHeight="1" x14ac:dyDescent="0.2">
      <c r="A10619" s="258"/>
      <c r="Z10619" s="258"/>
    </row>
    <row r="10620" spans="1:26" ht="12.75" customHeight="1" x14ac:dyDescent="0.2">
      <c r="A10620" s="258"/>
      <c r="Z10620" s="258"/>
    </row>
    <row r="10621" spans="1:26" ht="12.75" customHeight="1" x14ac:dyDescent="0.2">
      <c r="A10621" s="258"/>
      <c r="Z10621" s="258"/>
    </row>
    <row r="10622" spans="1:26" ht="12.75" customHeight="1" x14ac:dyDescent="0.2">
      <c r="A10622" s="258"/>
      <c r="Z10622" s="258"/>
    </row>
    <row r="10623" spans="1:26" ht="12.75" customHeight="1" x14ac:dyDescent="0.2">
      <c r="A10623" s="258"/>
      <c r="Z10623" s="258"/>
    </row>
    <row r="10624" spans="1:26" ht="12.75" customHeight="1" x14ac:dyDescent="0.2">
      <c r="A10624" s="258"/>
      <c r="Z10624" s="258"/>
    </row>
    <row r="10625" spans="1:26" ht="12.75" customHeight="1" x14ac:dyDescent="0.2">
      <c r="A10625" s="258"/>
      <c r="Z10625" s="258"/>
    </row>
    <row r="10626" spans="1:26" ht="12.75" customHeight="1" x14ac:dyDescent="0.2">
      <c r="A10626" s="258"/>
      <c r="Z10626" s="258"/>
    </row>
    <row r="10627" spans="1:26" ht="12.75" customHeight="1" x14ac:dyDescent="0.2">
      <c r="A10627" s="258"/>
      <c r="Z10627" s="258"/>
    </row>
    <row r="10628" spans="1:26" ht="12.75" customHeight="1" x14ac:dyDescent="0.2">
      <c r="A10628" s="258"/>
      <c r="Z10628" s="258"/>
    </row>
    <row r="10629" spans="1:26" ht="12.75" customHeight="1" x14ac:dyDescent="0.2">
      <c r="A10629" s="258"/>
      <c r="Z10629" s="258"/>
    </row>
    <row r="10630" spans="1:26" ht="12.75" customHeight="1" x14ac:dyDescent="0.2">
      <c r="A10630" s="258"/>
      <c r="Z10630" s="258"/>
    </row>
    <row r="10631" spans="1:26" ht="12.75" customHeight="1" x14ac:dyDescent="0.2">
      <c r="A10631" s="258"/>
      <c r="Z10631" s="258"/>
    </row>
    <row r="10632" spans="1:26" ht="12.75" customHeight="1" x14ac:dyDescent="0.2">
      <c r="A10632" s="258"/>
      <c r="Z10632" s="258"/>
    </row>
    <row r="10633" spans="1:26" ht="12.75" customHeight="1" x14ac:dyDescent="0.2">
      <c r="A10633" s="258"/>
      <c r="Z10633" s="258"/>
    </row>
    <row r="10634" spans="1:26" ht="12.75" customHeight="1" x14ac:dyDescent="0.2">
      <c r="A10634" s="258"/>
      <c r="Z10634" s="258"/>
    </row>
    <row r="10635" spans="1:26" ht="12.75" customHeight="1" x14ac:dyDescent="0.2">
      <c r="A10635" s="258"/>
      <c r="Z10635" s="258"/>
    </row>
    <row r="10636" spans="1:26" ht="12.75" customHeight="1" x14ac:dyDescent="0.2">
      <c r="A10636" s="258"/>
      <c r="Z10636" s="258"/>
    </row>
    <row r="10637" spans="1:26" ht="12.75" customHeight="1" x14ac:dyDescent="0.2">
      <c r="A10637" s="258"/>
      <c r="Z10637" s="258"/>
    </row>
    <row r="10638" spans="1:26" ht="12.75" customHeight="1" x14ac:dyDescent="0.2">
      <c r="A10638" s="258"/>
      <c r="Z10638" s="258"/>
    </row>
    <row r="10639" spans="1:26" ht="12.75" customHeight="1" x14ac:dyDescent="0.2">
      <c r="A10639" s="258"/>
      <c r="Z10639" s="258"/>
    </row>
    <row r="10640" spans="1:26" ht="12.75" customHeight="1" x14ac:dyDescent="0.2">
      <c r="A10640" s="258"/>
      <c r="Z10640" s="258"/>
    </row>
    <row r="10641" spans="1:26" ht="12.75" customHeight="1" x14ac:dyDescent="0.2">
      <c r="A10641" s="258"/>
      <c r="Z10641" s="258"/>
    </row>
    <row r="10642" spans="1:26" ht="12.75" customHeight="1" x14ac:dyDescent="0.2">
      <c r="A10642" s="258"/>
      <c r="Z10642" s="258"/>
    </row>
    <row r="10643" spans="1:26" ht="12.75" customHeight="1" x14ac:dyDescent="0.2">
      <c r="A10643" s="258"/>
      <c r="Z10643" s="258"/>
    </row>
    <row r="10644" spans="1:26" ht="12.75" customHeight="1" x14ac:dyDescent="0.2">
      <c r="A10644" s="258"/>
      <c r="Z10644" s="258"/>
    </row>
    <row r="10645" spans="1:26" ht="12.75" customHeight="1" x14ac:dyDescent="0.2">
      <c r="A10645" s="258"/>
      <c r="Z10645" s="258"/>
    </row>
    <row r="10646" spans="1:26" ht="12.75" customHeight="1" x14ac:dyDescent="0.2">
      <c r="A10646" s="258"/>
      <c r="Z10646" s="258"/>
    </row>
    <row r="10647" spans="1:26" ht="12.75" customHeight="1" x14ac:dyDescent="0.2">
      <c r="A10647" s="258"/>
      <c r="Z10647" s="258"/>
    </row>
    <row r="10648" spans="1:26" ht="12.75" customHeight="1" x14ac:dyDescent="0.2">
      <c r="A10648" s="258"/>
      <c r="Z10648" s="258"/>
    </row>
    <row r="10649" spans="1:26" ht="12.75" customHeight="1" x14ac:dyDescent="0.2">
      <c r="A10649" s="258"/>
      <c r="Z10649" s="258"/>
    </row>
    <row r="10650" spans="1:26" ht="12.75" customHeight="1" x14ac:dyDescent="0.2">
      <c r="A10650" s="258"/>
      <c r="Z10650" s="258"/>
    </row>
    <row r="10651" spans="1:26" ht="12.75" customHeight="1" x14ac:dyDescent="0.2">
      <c r="A10651" s="258"/>
      <c r="Z10651" s="258"/>
    </row>
    <row r="10652" spans="1:26" ht="12.75" customHeight="1" x14ac:dyDescent="0.2">
      <c r="A10652" s="258"/>
      <c r="Z10652" s="258"/>
    </row>
    <row r="10653" spans="1:26" ht="12.75" customHeight="1" x14ac:dyDescent="0.2">
      <c r="A10653" s="258"/>
      <c r="Z10653" s="258"/>
    </row>
    <row r="10654" spans="1:26" ht="12.75" customHeight="1" x14ac:dyDescent="0.2">
      <c r="A10654" s="258"/>
      <c r="Z10654" s="258"/>
    </row>
    <row r="10655" spans="1:26" ht="12.75" customHeight="1" x14ac:dyDescent="0.2">
      <c r="A10655" s="258"/>
      <c r="Z10655" s="258"/>
    </row>
    <row r="10656" spans="1:26" ht="12.75" customHeight="1" x14ac:dyDescent="0.2">
      <c r="A10656" s="258"/>
      <c r="Z10656" s="258"/>
    </row>
    <row r="10657" spans="1:26" ht="12.75" customHeight="1" x14ac:dyDescent="0.2">
      <c r="A10657" s="258"/>
      <c r="Z10657" s="258"/>
    </row>
    <row r="10658" spans="1:26" ht="12.75" customHeight="1" x14ac:dyDescent="0.2">
      <c r="A10658" s="258"/>
      <c r="Z10658" s="258"/>
    </row>
    <row r="10659" spans="1:26" ht="12.75" customHeight="1" x14ac:dyDescent="0.2">
      <c r="A10659" s="258"/>
      <c r="Z10659" s="258"/>
    </row>
    <row r="10660" spans="1:26" ht="12.75" customHeight="1" x14ac:dyDescent="0.2">
      <c r="A10660" s="258"/>
      <c r="Z10660" s="258"/>
    </row>
    <row r="10661" spans="1:26" ht="12.75" customHeight="1" x14ac:dyDescent="0.2">
      <c r="A10661" s="258"/>
      <c r="Z10661" s="258"/>
    </row>
    <row r="10662" spans="1:26" ht="12.75" customHeight="1" x14ac:dyDescent="0.2">
      <c r="A10662" s="258"/>
      <c r="Z10662" s="258"/>
    </row>
    <row r="10663" spans="1:26" ht="12.75" customHeight="1" x14ac:dyDescent="0.2">
      <c r="A10663" s="258"/>
      <c r="Z10663" s="258"/>
    </row>
    <row r="10664" spans="1:26" ht="12.75" customHeight="1" x14ac:dyDescent="0.2">
      <c r="A10664" s="258"/>
      <c r="Z10664" s="258"/>
    </row>
    <row r="10665" spans="1:26" ht="12.75" customHeight="1" x14ac:dyDescent="0.2">
      <c r="A10665" s="258"/>
      <c r="Z10665" s="258"/>
    </row>
    <row r="10666" spans="1:26" ht="12.75" customHeight="1" x14ac:dyDescent="0.2">
      <c r="A10666" s="258"/>
      <c r="Z10666" s="258"/>
    </row>
    <row r="10667" spans="1:26" ht="12.75" customHeight="1" x14ac:dyDescent="0.2">
      <c r="A10667" s="258"/>
      <c r="Z10667" s="258"/>
    </row>
    <row r="10668" spans="1:26" ht="12.75" customHeight="1" x14ac:dyDescent="0.2">
      <c r="A10668" s="258"/>
      <c r="Z10668" s="258"/>
    </row>
    <row r="10669" spans="1:26" ht="12.75" customHeight="1" x14ac:dyDescent="0.2">
      <c r="A10669" s="258"/>
      <c r="Z10669" s="258"/>
    </row>
    <row r="10670" spans="1:26" ht="12.75" customHeight="1" x14ac:dyDescent="0.2">
      <c r="A10670" s="258"/>
      <c r="Z10670" s="258"/>
    </row>
    <row r="10671" spans="1:26" ht="12.75" customHeight="1" x14ac:dyDescent="0.2">
      <c r="A10671" s="258"/>
      <c r="Z10671" s="258"/>
    </row>
    <row r="10672" spans="1:26" ht="12.75" customHeight="1" x14ac:dyDescent="0.2">
      <c r="A10672" s="258"/>
      <c r="Z10672" s="258"/>
    </row>
    <row r="10673" spans="1:26" ht="12.75" customHeight="1" x14ac:dyDescent="0.2">
      <c r="A10673" s="258"/>
      <c r="Z10673" s="258"/>
    </row>
    <row r="10674" spans="1:26" ht="12.75" customHeight="1" x14ac:dyDescent="0.2">
      <c r="A10674" s="258"/>
      <c r="Z10674" s="258"/>
    </row>
    <row r="10675" spans="1:26" ht="12.75" customHeight="1" x14ac:dyDescent="0.2">
      <c r="A10675" s="258"/>
      <c r="Z10675" s="258"/>
    </row>
    <row r="10676" spans="1:26" ht="12.75" customHeight="1" x14ac:dyDescent="0.2">
      <c r="A10676" s="258"/>
      <c r="Z10676" s="258"/>
    </row>
    <row r="10677" spans="1:26" ht="12.75" customHeight="1" x14ac:dyDescent="0.2">
      <c r="A10677" s="258"/>
      <c r="Z10677" s="258"/>
    </row>
    <row r="10678" spans="1:26" ht="12.75" customHeight="1" x14ac:dyDescent="0.2">
      <c r="A10678" s="258"/>
      <c r="Z10678" s="258"/>
    </row>
    <row r="10679" spans="1:26" ht="12.75" customHeight="1" x14ac:dyDescent="0.2">
      <c r="A10679" s="258"/>
      <c r="Z10679" s="258"/>
    </row>
    <row r="10680" spans="1:26" ht="12.75" customHeight="1" x14ac:dyDescent="0.2">
      <c r="A10680" s="258"/>
      <c r="Z10680" s="258"/>
    </row>
    <row r="10681" spans="1:26" ht="12.75" customHeight="1" x14ac:dyDescent="0.2">
      <c r="A10681" s="258"/>
      <c r="Z10681" s="258"/>
    </row>
    <row r="10682" spans="1:26" ht="12.75" customHeight="1" x14ac:dyDescent="0.2">
      <c r="A10682" s="258"/>
      <c r="Z10682" s="258"/>
    </row>
    <row r="10683" spans="1:26" ht="12.75" customHeight="1" x14ac:dyDescent="0.2">
      <c r="A10683" s="258"/>
      <c r="Z10683" s="258"/>
    </row>
    <row r="10684" spans="1:26" ht="12.75" customHeight="1" x14ac:dyDescent="0.2">
      <c r="A10684" s="258"/>
      <c r="Z10684" s="258"/>
    </row>
    <row r="10685" spans="1:26" ht="12.75" customHeight="1" x14ac:dyDescent="0.2">
      <c r="A10685" s="258"/>
      <c r="Z10685" s="258"/>
    </row>
    <row r="10686" spans="1:26" ht="12.75" customHeight="1" x14ac:dyDescent="0.2">
      <c r="A10686" s="258"/>
      <c r="Z10686" s="258"/>
    </row>
    <row r="10687" spans="1:26" ht="12.75" customHeight="1" x14ac:dyDescent="0.2">
      <c r="A10687" s="258"/>
      <c r="Z10687" s="258"/>
    </row>
    <row r="10688" spans="1:26" ht="12.75" customHeight="1" x14ac:dyDescent="0.2">
      <c r="A10688" s="258"/>
      <c r="Z10688" s="258"/>
    </row>
    <row r="10689" spans="1:26" ht="12.75" customHeight="1" x14ac:dyDescent="0.2">
      <c r="A10689" s="258"/>
      <c r="Z10689" s="258"/>
    </row>
    <row r="10690" spans="1:26" ht="12.75" customHeight="1" x14ac:dyDescent="0.2">
      <c r="A10690" s="258"/>
      <c r="Z10690" s="258"/>
    </row>
    <row r="10691" spans="1:26" ht="12.75" customHeight="1" x14ac:dyDescent="0.2">
      <c r="A10691" s="258"/>
      <c r="Z10691" s="258"/>
    </row>
    <row r="10692" spans="1:26" ht="12.75" customHeight="1" x14ac:dyDescent="0.2">
      <c r="A10692" s="258"/>
      <c r="Z10692" s="258"/>
    </row>
    <row r="10693" spans="1:26" ht="12.75" customHeight="1" x14ac:dyDescent="0.2">
      <c r="A10693" s="258"/>
      <c r="Z10693" s="258"/>
    </row>
    <row r="10694" spans="1:26" ht="12.75" customHeight="1" x14ac:dyDescent="0.2">
      <c r="A10694" s="258"/>
      <c r="Z10694" s="258"/>
    </row>
    <row r="10695" spans="1:26" ht="12.75" customHeight="1" x14ac:dyDescent="0.2">
      <c r="A10695" s="258"/>
      <c r="Z10695" s="258"/>
    </row>
    <row r="10696" spans="1:26" ht="12.75" customHeight="1" x14ac:dyDescent="0.2">
      <c r="A10696" s="258"/>
      <c r="Z10696" s="258"/>
    </row>
    <row r="10697" spans="1:26" ht="12.75" customHeight="1" x14ac:dyDescent="0.2">
      <c r="A10697" s="258"/>
      <c r="Z10697" s="258"/>
    </row>
    <row r="10698" spans="1:26" ht="12.75" customHeight="1" x14ac:dyDescent="0.2">
      <c r="A10698" s="258"/>
      <c r="Z10698" s="258"/>
    </row>
    <row r="10699" spans="1:26" ht="12.75" customHeight="1" x14ac:dyDescent="0.2">
      <c r="A10699" s="258"/>
      <c r="Z10699" s="258"/>
    </row>
    <row r="10700" spans="1:26" ht="12.75" customHeight="1" x14ac:dyDescent="0.2">
      <c r="A10700" s="258"/>
      <c r="Z10700" s="258"/>
    </row>
    <row r="10701" spans="1:26" ht="12.75" customHeight="1" x14ac:dyDescent="0.2">
      <c r="A10701" s="258"/>
      <c r="Z10701" s="258"/>
    </row>
    <row r="10702" spans="1:26" ht="12.75" customHeight="1" x14ac:dyDescent="0.2">
      <c r="A10702" s="258"/>
      <c r="Z10702" s="258"/>
    </row>
    <row r="10703" spans="1:26" ht="12.75" customHeight="1" x14ac:dyDescent="0.2">
      <c r="A10703" s="258"/>
      <c r="Z10703" s="258"/>
    </row>
    <row r="10704" spans="1:26" ht="12.75" customHeight="1" x14ac:dyDescent="0.2">
      <c r="A10704" s="258"/>
      <c r="Z10704" s="258"/>
    </row>
    <row r="10705" spans="1:26" ht="12.75" customHeight="1" x14ac:dyDescent="0.2">
      <c r="A10705" s="258"/>
      <c r="Z10705" s="258"/>
    </row>
    <row r="10706" spans="1:26" ht="12.75" customHeight="1" x14ac:dyDescent="0.2">
      <c r="A10706" s="258"/>
      <c r="Z10706" s="258"/>
    </row>
    <row r="10707" spans="1:26" ht="12.75" customHeight="1" x14ac:dyDescent="0.2">
      <c r="A10707" s="258"/>
      <c r="Z10707" s="258"/>
    </row>
    <row r="10708" spans="1:26" ht="12.75" customHeight="1" x14ac:dyDescent="0.2">
      <c r="A10708" s="258"/>
      <c r="Z10708" s="258"/>
    </row>
    <row r="10709" spans="1:26" ht="12.75" customHeight="1" x14ac:dyDescent="0.2">
      <c r="A10709" s="258"/>
      <c r="Z10709" s="258"/>
    </row>
    <row r="10710" spans="1:26" ht="12.75" customHeight="1" x14ac:dyDescent="0.2">
      <c r="A10710" s="258"/>
      <c r="Z10710" s="258"/>
    </row>
    <row r="10711" spans="1:26" ht="12.75" customHeight="1" x14ac:dyDescent="0.2">
      <c r="A10711" s="258"/>
      <c r="Z10711" s="258"/>
    </row>
    <row r="10712" spans="1:26" ht="12.75" customHeight="1" x14ac:dyDescent="0.2">
      <c r="A10712" s="258"/>
      <c r="Z10712" s="258"/>
    </row>
    <row r="10713" spans="1:26" ht="12.75" customHeight="1" x14ac:dyDescent="0.2">
      <c r="A10713" s="258"/>
      <c r="Z10713" s="258"/>
    </row>
    <row r="10714" spans="1:26" ht="12.75" customHeight="1" x14ac:dyDescent="0.2">
      <c r="A10714" s="258"/>
      <c r="Z10714" s="258"/>
    </row>
    <row r="10715" spans="1:26" ht="12.75" customHeight="1" x14ac:dyDescent="0.2">
      <c r="A10715" s="258"/>
      <c r="Z10715" s="258"/>
    </row>
    <row r="10716" spans="1:26" ht="12.75" customHeight="1" x14ac:dyDescent="0.2">
      <c r="A10716" s="258"/>
      <c r="Z10716" s="258"/>
    </row>
    <row r="10717" spans="1:26" ht="12.75" customHeight="1" x14ac:dyDescent="0.2">
      <c r="A10717" s="258"/>
      <c r="Z10717" s="258"/>
    </row>
    <row r="10718" spans="1:26" ht="12.75" customHeight="1" x14ac:dyDescent="0.2">
      <c r="A10718" s="258"/>
      <c r="Z10718" s="258"/>
    </row>
    <row r="10719" spans="1:26" ht="12.75" customHeight="1" x14ac:dyDescent="0.2">
      <c r="A10719" s="258"/>
      <c r="Z10719" s="258"/>
    </row>
    <row r="10720" spans="1:26" ht="12.75" customHeight="1" x14ac:dyDescent="0.2">
      <c r="A10720" s="258"/>
      <c r="Z10720" s="258"/>
    </row>
    <row r="10721" spans="1:26" ht="12.75" customHeight="1" x14ac:dyDescent="0.2">
      <c r="A10721" s="258"/>
      <c r="Z10721" s="258"/>
    </row>
    <row r="10722" spans="1:26" ht="12.75" customHeight="1" x14ac:dyDescent="0.2">
      <c r="A10722" s="258"/>
      <c r="Z10722" s="258"/>
    </row>
    <row r="10723" spans="1:26" ht="12.75" customHeight="1" x14ac:dyDescent="0.2">
      <c r="A10723" s="258"/>
      <c r="Z10723" s="258"/>
    </row>
    <row r="10724" spans="1:26" ht="12.75" customHeight="1" x14ac:dyDescent="0.2">
      <c r="A10724" s="258"/>
      <c r="Z10724" s="258"/>
    </row>
    <row r="10725" spans="1:26" ht="12.75" customHeight="1" x14ac:dyDescent="0.2">
      <c r="A10725" s="258"/>
      <c r="Z10725" s="258"/>
    </row>
    <row r="10726" spans="1:26" ht="12.75" customHeight="1" x14ac:dyDescent="0.2">
      <c r="A10726" s="258"/>
      <c r="Z10726" s="258"/>
    </row>
    <row r="10727" spans="1:26" ht="12.75" customHeight="1" x14ac:dyDescent="0.2">
      <c r="A10727" s="258"/>
      <c r="Z10727" s="258"/>
    </row>
    <row r="10728" spans="1:26" ht="12.75" customHeight="1" x14ac:dyDescent="0.2">
      <c r="A10728" s="258"/>
      <c r="Z10728" s="258"/>
    </row>
    <row r="10729" spans="1:26" ht="12.75" customHeight="1" x14ac:dyDescent="0.2">
      <c r="A10729" s="258"/>
      <c r="Z10729" s="258"/>
    </row>
    <row r="10730" spans="1:26" ht="12.75" customHeight="1" x14ac:dyDescent="0.2">
      <c r="A10730" s="258"/>
      <c r="Z10730" s="258"/>
    </row>
    <row r="10731" spans="1:26" ht="12.75" customHeight="1" x14ac:dyDescent="0.2">
      <c r="A10731" s="258"/>
      <c r="Z10731" s="258"/>
    </row>
    <row r="10732" spans="1:26" ht="12.75" customHeight="1" x14ac:dyDescent="0.2">
      <c r="A10732" s="258"/>
      <c r="Z10732" s="258"/>
    </row>
    <row r="10733" spans="1:26" ht="12.75" customHeight="1" x14ac:dyDescent="0.2">
      <c r="A10733" s="258"/>
      <c r="Z10733" s="258"/>
    </row>
    <row r="10734" spans="1:26" ht="12.75" customHeight="1" x14ac:dyDescent="0.2">
      <c r="A10734" s="258"/>
      <c r="Z10734" s="258"/>
    </row>
    <row r="10735" spans="1:26" ht="12.75" customHeight="1" x14ac:dyDescent="0.2">
      <c r="A10735" s="258"/>
      <c r="Z10735" s="258"/>
    </row>
    <row r="10736" spans="1:26" ht="12.75" customHeight="1" x14ac:dyDescent="0.2">
      <c r="A10736" s="258"/>
      <c r="Z10736" s="258"/>
    </row>
    <row r="10737" spans="1:26" ht="12.75" customHeight="1" x14ac:dyDescent="0.2">
      <c r="A10737" s="258"/>
      <c r="Z10737" s="258"/>
    </row>
    <row r="10738" spans="1:26" ht="12.75" customHeight="1" x14ac:dyDescent="0.2">
      <c r="A10738" s="258"/>
      <c r="Z10738" s="258"/>
    </row>
    <row r="10739" spans="1:26" ht="12.75" customHeight="1" x14ac:dyDescent="0.2">
      <c r="A10739" s="258"/>
      <c r="Z10739" s="258"/>
    </row>
    <row r="10740" spans="1:26" ht="12.75" customHeight="1" x14ac:dyDescent="0.2">
      <c r="A10740" s="258"/>
      <c r="Z10740" s="258"/>
    </row>
    <row r="10741" spans="1:26" ht="12.75" customHeight="1" x14ac:dyDescent="0.2">
      <c r="A10741" s="258"/>
      <c r="Z10741" s="258"/>
    </row>
    <row r="10742" spans="1:26" ht="12.75" customHeight="1" x14ac:dyDescent="0.2">
      <c r="A10742" s="258"/>
      <c r="Z10742" s="258"/>
    </row>
    <row r="10743" spans="1:26" ht="12.75" customHeight="1" x14ac:dyDescent="0.2">
      <c r="A10743" s="258"/>
      <c r="Z10743" s="258"/>
    </row>
    <row r="10744" spans="1:26" ht="12.75" customHeight="1" x14ac:dyDescent="0.2">
      <c r="A10744" s="258"/>
      <c r="Z10744" s="258"/>
    </row>
    <row r="10745" spans="1:26" ht="12.75" customHeight="1" x14ac:dyDescent="0.2">
      <c r="A10745" s="258"/>
      <c r="Z10745" s="258"/>
    </row>
    <row r="10746" spans="1:26" ht="12.75" customHeight="1" x14ac:dyDescent="0.2">
      <c r="A10746" s="258"/>
      <c r="Z10746" s="258"/>
    </row>
    <row r="10747" spans="1:26" ht="12.75" customHeight="1" x14ac:dyDescent="0.2">
      <c r="A10747" s="258"/>
      <c r="Z10747" s="258"/>
    </row>
    <row r="10748" spans="1:26" ht="12.75" customHeight="1" x14ac:dyDescent="0.2">
      <c r="A10748" s="258"/>
      <c r="Z10748" s="258"/>
    </row>
    <row r="10749" spans="1:26" ht="12.75" customHeight="1" x14ac:dyDescent="0.2">
      <c r="A10749" s="258"/>
      <c r="Z10749" s="258"/>
    </row>
    <row r="10750" spans="1:26" ht="12.75" customHeight="1" x14ac:dyDescent="0.2">
      <c r="A10750" s="258"/>
      <c r="Z10750" s="258"/>
    </row>
    <row r="10751" spans="1:26" ht="12.75" customHeight="1" x14ac:dyDescent="0.2">
      <c r="A10751" s="258"/>
      <c r="Z10751" s="258"/>
    </row>
    <row r="10752" spans="1:26" ht="12.75" customHeight="1" x14ac:dyDescent="0.2">
      <c r="A10752" s="258"/>
      <c r="Z10752" s="258"/>
    </row>
    <row r="10753" spans="1:26" ht="12.75" customHeight="1" x14ac:dyDescent="0.2">
      <c r="A10753" s="258"/>
      <c r="Z10753" s="258"/>
    </row>
    <row r="10754" spans="1:26" ht="12.75" customHeight="1" x14ac:dyDescent="0.2">
      <c r="A10754" s="258"/>
      <c r="Z10754" s="258"/>
    </row>
    <row r="10755" spans="1:26" ht="12.75" customHeight="1" x14ac:dyDescent="0.2">
      <c r="A10755" s="258"/>
      <c r="Z10755" s="258"/>
    </row>
    <row r="10756" spans="1:26" ht="12.75" customHeight="1" x14ac:dyDescent="0.2">
      <c r="A10756" s="258"/>
      <c r="Z10756" s="258"/>
    </row>
    <row r="10757" spans="1:26" ht="12.75" customHeight="1" x14ac:dyDescent="0.2">
      <c r="A10757" s="258"/>
      <c r="Z10757" s="258"/>
    </row>
    <row r="10758" spans="1:26" ht="12.75" customHeight="1" x14ac:dyDescent="0.2">
      <c r="A10758" s="258"/>
      <c r="Z10758" s="258"/>
    </row>
    <row r="10759" spans="1:26" ht="12.75" customHeight="1" x14ac:dyDescent="0.2">
      <c r="A10759" s="258"/>
      <c r="Z10759" s="258"/>
    </row>
    <row r="10760" spans="1:26" ht="12.75" customHeight="1" x14ac:dyDescent="0.2">
      <c r="A10760" s="258"/>
      <c r="Z10760" s="258"/>
    </row>
    <row r="10761" spans="1:26" ht="12.75" customHeight="1" x14ac:dyDescent="0.2">
      <c r="A10761" s="258"/>
      <c r="Z10761" s="258"/>
    </row>
    <row r="10762" spans="1:26" ht="12.75" customHeight="1" x14ac:dyDescent="0.2">
      <c r="A10762" s="258"/>
      <c r="Z10762" s="258"/>
    </row>
    <row r="10763" spans="1:26" ht="12.75" customHeight="1" x14ac:dyDescent="0.2">
      <c r="A10763" s="258"/>
      <c r="Z10763" s="258"/>
    </row>
    <row r="10764" spans="1:26" ht="12.75" customHeight="1" x14ac:dyDescent="0.2">
      <c r="A10764" s="258"/>
      <c r="Z10764" s="258"/>
    </row>
    <row r="10765" spans="1:26" ht="12.75" customHeight="1" x14ac:dyDescent="0.2">
      <c r="A10765" s="258"/>
      <c r="Z10765" s="258"/>
    </row>
    <row r="10766" spans="1:26" ht="12.75" customHeight="1" x14ac:dyDescent="0.2">
      <c r="A10766" s="258"/>
      <c r="Z10766" s="258"/>
    </row>
    <row r="10767" spans="1:26" ht="12.75" customHeight="1" x14ac:dyDescent="0.2">
      <c r="A10767" s="258"/>
      <c r="Z10767" s="258"/>
    </row>
    <row r="10768" spans="1:26" ht="12.75" customHeight="1" x14ac:dyDescent="0.2">
      <c r="A10768" s="258"/>
      <c r="Z10768" s="258"/>
    </row>
    <row r="10769" spans="1:26" ht="12.75" customHeight="1" x14ac:dyDescent="0.2">
      <c r="A10769" s="258"/>
      <c r="Z10769" s="258"/>
    </row>
    <row r="10770" spans="1:26" ht="12.75" customHeight="1" x14ac:dyDescent="0.2">
      <c r="A10770" s="258"/>
      <c r="Z10770" s="258"/>
    </row>
    <row r="10771" spans="1:26" ht="12.75" customHeight="1" x14ac:dyDescent="0.2">
      <c r="A10771" s="258"/>
      <c r="Z10771" s="258"/>
    </row>
    <row r="10772" spans="1:26" ht="12.75" customHeight="1" x14ac:dyDescent="0.2">
      <c r="A10772" s="258"/>
      <c r="Z10772" s="258"/>
    </row>
    <row r="10773" spans="1:26" ht="12.75" customHeight="1" x14ac:dyDescent="0.2">
      <c r="A10773" s="258"/>
      <c r="Z10773" s="258"/>
    </row>
    <row r="10774" spans="1:26" ht="12.75" customHeight="1" x14ac:dyDescent="0.2">
      <c r="A10774" s="258"/>
      <c r="Z10774" s="258"/>
    </row>
    <row r="10775" spans="1:26" ht="12.75" customHeight="1" x14ac:dyDescent="0.2">
      <c r="A10775" s="258"/>
      <c r="Z10775" s="258"/>
    </row>
    <row r="10776" spans="1:26" ht="12.75" customHeight="1" x14ac:dyDescent="0.2">
      <c r="A10776" s="258"/>
      <c r="Z10776" s="258"/>
    </row>
    <row r="10777" spans="1:26" ht="12.75" customHeight="1" x14ac:dyDescent="0.2">
      <c r="A10777" s="258"/>
      <c r="Z10777" s="258"/>
    </row>
    <row r="10778" spans="1:26" ht="12.75" customHeight="1" x14ac:dyDescent="0.2">
      <c r="A10778" s="258"/>
      <c r="Z10778" s="258"/>
    </row>
    <row r="10779" spans="1:26" ht="12.75" customHeight="1" x14ac:dyDescent="0.2">
      <c r="A10779" s="258"/>
      <c r="Z10779" s="258"/>
    </row>
    <row r="10780" spans="1:26" ht="12.75" customHeight="1" x14ac:dyDescent="0.2">
      <c r="A10780" s="258"/>
      <c r="Z10780" s="258"/>
    </row>
    <row r="10781" spans="1:26" ht="12.75" customHeight="1" x14ac:dyDescent="0.2">
      <c r="A10781" s="258"/>
      <c r="Z10781" s="258"/>
    </row>
    <row r="10782" spans="1:26" ht="12.75" customHeight="1" x14ac:dyDescent="0.2">
      <c r="A10782" s="258"/>
      <c r="Z10782" s="258"/>
    </row>
    <row r="10783" spans="1:26" ht="12.75" customHeight="1" x14ac:dyDescent="0.2">
      <c r="A10783" s="258"/>
      <c r="Z10783" s="258"/>
    </row>
    <row r="10784" spans="1:26" ht="12.75" customHeight="1" x14ac:dyDescent="0.2">
      <c r="A10784" s="258"/>
      <c r="Z10784" s="258"/>
    </row>
    <row r="10785" spans="1:26" ht="12.75" customHeight="1" x14ac:dyDescent="0.2">
      <c r="A10785" s="258"/>
      <c r="Z10785" s="258"/>
    </row>
    <row r="10786" spans="1:26" ht="12.75" customHeight="1" x14ac:dyDescent="0.2">
      <c r="A10786" s="258"/>
      <c r="Z10786" s="258"/>
    </row>
    <row r="10787" spans="1:26" ht="12.75" customHeight="1" x14ac:dyDescent="0.2">
      <c r="A10787" s="258"/>
      <c r="Z10787" s="258"/>
    </row>
    <row r="10788" spans="1:26" ht="12.75" customHeight="1" x14ac:dyDescent="0.2">
      <c r="A10788" s="258"/>
      <c r="Z10788" s="258"/>
    </row>
    <row r="10789" spans="1:26" ht="12.75" customHeight="1" x14ac:dyDescent="0.2">
      <c r="A10789" s="258"/>
      <c r="Z10789" s="258"/>
    </row>
    <row r="10790" spans="1:26" ht="12.75" customHeight="1" x14ac:dyDescent="0.2">
      <c r="A10790" s="258"/>
      <c r="Z10790" s="258"/>
    </row>
    <row r="10791" spans="1:26" ht="12.75" customHeight="1" x14ac:dyDescent="0.2">
      <c r="A10791" s="258"/>
      <c r="Z10791" s="258"/>
    </row>
    <row r="10792" spans="1:26" ht="12.75" customHeight="1" x14ac:dyDescent="0.2">
      <c r="A10792" s="258"/>
      <c r="Z10792" s="258"/>
    </row>
    <row r="10793" spans="1:26" ht="12.75" customHeight="1" x14ac:dyDescent="0.2">
      <c r="A10793" s="258"/>
      <c r="Z10793" s="258"/>
    </row>
    <row r="10794" spans="1:26" ht="12.75" customHeight="1" x14ac:dyDescent="0.2">
      <c r="A10794" s="258"/>
      <c r="Z10794" s="258"/>
    </row>
    <row r="10795" spans="1:26" ht="12.75" customHeight="1" x14ac:dyDescent="0.2">
      <c r="A10795" s="258"/>
      <c r="Z10795" s="258"/>
    </row>
    <row r="10796" spans="1:26" ht="12.75" customHeight="1" x14ac:dyDescent="0.2">
      <c r="A10796" s="258"/>
      <c r="Z10796" s="258"/>
    </row>
    <row r="10797" spans="1:26" ht="12.75" customHeight="1" x14ac:dyDescent="0.2">
      <c r="A10797" s="258"/>
      <c r="Z10797" s="258"/>
    </row>
    <row r="10798" spans="1:26" ht="12.75" customHeight="1" x14ac:dyDescent="0.2">
      <c r="A10798" s="258"/>
      <c r="Z10798" s="258"/>
    </row>
    <row r="10799" spans="1:26" ht="12.75" customHeight="1" x14ac:dyDescent="0.2">
      <c r="A10799" s="258"/>
      <c r="Z10799" s="258"/>
    </row>
    <row r="10800" spans="1:26" ht="12.75" customHeight="1" x14ac:dyDescent="0.2">
      <c r="A10800" s="258"/>
      <c r="Z10800" s="258"/>
    </row>
    <row r="10801" spans="1:26" ht="12.75" customHeight="1" x14ac:dyDescent="0.2">
      <c r="A10801" s="258"/>
      <c r="Z10801" s="258"/>
    </row>
    <row r="10802" spans="1:26" ht="12.75" customHeight="1" x14ac:dyDescent="0.2">
      <c r="A10802" s="258"/>
      <c r="Z10802" s="258"/>
    </row>
    <row r="10803" spans="1:26" ht="12.75" customHeight="1" x14ac:dyDescent="0.2">
      <c r="A10803" s="258"/>
      <c r="Z10803" s="258"/>
    </row>
    <row r="10804" spans="1:26" ht="12.75" customHeight="1" x14ac:dyDescent="0.2">
      <c r="A10804" s="258"/>
      <c r="Z10804" s="258"/>
    </row>
    <row r="10805" spans="1:26" ht="12.75" customHeight="1" x14ac:dyDescent="0.2">
      <c r="A10805" s="258"/>
      <c r="Z10805" s="258"/>
    </row>
    <row r="10806" spans="1:26" ht="12.75" customHeight="1" x14ac:dyDescent="0.2">
      <c r="A10806" s="258"/>
      <c r="Z10806" s="258"/>
    </row>
    <row r="10807" spans="1:26" ht="12.75" customHeight="1" x14ac:dyDescent="0.2">
      <c r="A10807" s="258"/>
      <c r="Z10807" s="258"/>
    </row>
    <row r="10808" spans="1:26" ht="12.75" customHeight="1" x14ac:dyDescent="0.2">
      <c r="A10808" s="258"/>
      <c r="Z10808" s="258"/>
    </row>
    <row r="10809" spans="1:26" ht="12.75" customHeight="1" x14ac:dyDescent="0.2">
      <c r="A10809" s="258"/>
      <c r="Z10809" s="258"/>
    </row>
    <row r="10810" spans="1:26" ht="12.75" customHeight="1" x14ac:dyDescent="0.2">
      <c r="A10810" s="258"/>
      <c r="Z10810" s="258"/>
    </row>
    <row r="10811" spans="1:26" ht="12.75" customHeight="1" x14ac:dyDescent="0.2">
      <c r="A10811" s="258"/>
      <c r="Z10811" s="258"/>
    </row>
    <row r="10812" spans="1:26" ht="12.75" customHeight="1" x14ac:dyDescent="0.2">
      <c r="A10812" s="258"/>
      <c r="Z10812" s="258"/>
    </row>
    <row r="10813" spans="1:26" ht="12.75" customHeight="1" x14ac:dyDescent="0.2">
      <c r="A10813" s="258"/>
      <c r="Z10813" s="258"/>
    </row>
    <row r="10814" spans="1:26" ht="12.75" customHeight="1" x14ac:dyDescent="0.2">
      <c r="A10814" s="258"/>
      <c r="Z10814" s="258"/>
    </row>
    <row r="10815" spans="1:26" ht="12.75" customHeight="1" x14ac:dyDescent="0.2">
      <c r="A10815" s="258"/>
      <c r="Z10815" s="258"/>
    </row>
    <row r="10816" spans="1:26" ht="12.75" customHeight="1" x14ac:dyDescent="0.2">
      <c r="A10816" s="258"/>
      <c r="Z10816" s="258"/>
    </row>
    <row r="10817" spans="1:26" ht="12.75" customHeight="1" x14ac:dyDescent="0.2">
      <c r="A10817" s="258"/>
      <c r="Z10817" s="258"/>
    </row>
    <row r="10818" spans="1:26" ht="12.75" customHeight="1" x14ac:dyDescent="0.2">
      <c r="A10818" s="258"/>
      <c r="Z10818" s="258"/>
    </row>
    <row r="10819" spans="1:26" ht="12.75" customHeight="1" x14ac:dyDescent="0.2">
      <c r="A10819" s="258"/>
      <c r="Z10819" s="258"/>
    </row>
    <row r="10820" spans="1:26" ht="12.75" customHeight="1" x14ac:dyDescent="0.2">
      <c r="A10820" s="258"/>
      <c r="Z10820" s="258"/>
    </row>
    <row r="10821" spans="1:26" ht="12.75" customHeight="1" x14ac:dyDescent="0.2">
      <c r="A10821" s="258"/>
      <c r="Z10821" s="258"/>
    </row>
    <row r="10822" spans="1:26" ht="12.75" customHeight="1" x14ac:dyDescent="0.2">
      <c r="A10822" s="258"/>
      <c r="Z10822" s="258"/>
    </row>
    <row r="10823" spans="1:26" ht="12.75" customHeight="1" x14ac:dyDescent="0.2">
      <c r="A10823" s="258"/>
      <c r="Z10823" s="258"/>
    </row>
    <row r="10824" spans="1:26" ht="12.75" customHeight="1" x14ac:dyDescent="0.2">
      <c r="A10824" s="258"/>
      <c r="Z10824" s="258"/>
    </row>
    <row r="10825" spans="1:26" ht="12.75" customHeight="1" x14ac:dyDescent="0.2">
      <c r="A10825" s="258"/>
      <c r="Z10825" s="258"/>
    </row>
    <row r="10826" spans="1:26" ht="12.75" customHeight="1" x14ac:dyDescent="0.2">
      <c r="A10826" s="258"/>
      <c r="Z10826" s="258"/>
    </row>
    <row r="10827" spans="1:26" ht="12.75" customHeight="1" x14ac:dyDescent="0.2">
      <c r="A10827" s="258"/>
      <c r="Z10827" s="258"/>
    </row>
    <row r="10828" spans="1:26" ht="12.75" customHeight="1" x14ac:dyDescent="0.2">
      <c r="A10828" s="258"/>
      <c r="Z10828" s="258"/>
    </row>
    <row r="10829" spans="1:26" ht="12.75" customHeight="1" x14ac:dyDescent="0.2">
      <c r="A10829" s="258"/>
      <c r="Z10829" s="258"/>
    </row>
    <row r="10830" spans="1:26" ht="12.75" customHeight="1" x14ac:dyDescent="0.2">
      <c r="A10830" s="258"/>
      <c r="Z10830" s="258"/>
    </row>
    <row r="10831" spans="1:26" ht="12.75" customHeight="1" x14ac:dyDescent="0.2">
      <c r="A10831" s="258"/>
      <c r="Z10831" s="258"/>
    </row>
    <row r="10832" spans="1:26" ht="12.75" customHeight="1" x14ac:dyDescent="0.2">
      <c r="A10832" s="258"/>
      <c r="Z10832" s="258"/>
    </row>
    <row r="10833" spans="1:26" ht="12.75" customHeight="1" x14ac:dyDescent="0.2">
      <c r="A10833" s="258"/>
      <c r="Z10833" s="258"/>
    </row>
    <row r="10834" spans="1:26" ht="12.75" customHeight="1" x14ac:dyDescent="0.2">
      <c r="A10834" s="258"/>
      <c r="Z10834" s="258"/>
    </row>
    <row r="10835" spans="1:26" ht="12.75" customHeight="1" x14ac:dyDescent="0.2">
      <c r="A10835" s="258"/>
      <c r="Z10835" s="258"/>
    </row>
    <row r="10836" spans="1:26" ht="12.75" customHeight="1" x14ac:dyDescent="0.2">
      <c r="A10836" s="258"/>
      <c r="Z10836" s="258"/>
    </row>
    <row r="10837" spans="1:26" ht="12.75" customHeight="1" x14ac:dyDescent="0.2">
      <c r="A10837" s="258"/>
      <c r="Z10837" s="258"/>
    </row>
    <row r="10838" spans="1:26" ht="12.75" customHeight="1" x14ac:dyDescent="0.2">
      <c r="A10838" s="258"/>
      <c r="Z10838" s="258"/>
    </row>
    <row r="10839" spans="1:26" ht="12.75" customHeight="1" x14ac:dyDescent="0.2">
      <c r="A10839" s="258"/>
      <c r="Z10839" s="258"/>
    </row>
    <row r="10840" spans="1:26" ht="12.75" customHeight="1" x14ac:dyDescent="0.2">
      <c r="A10840" s="258"/>
      <c r="Z10840" s="258"/>
    </row>
    <row r="10841" spans="1:26" ht="12.75" customHeight="1" x14ac:dyDescent="0.2">
      <c r="A10841" s="258"/>
      <c r="Z10841" s="258"/>
    </row>
    <row r="10842" spans="1:26" ht="12.75" customHeight="1" x14ac:dyDescent="0.2">
      <c r="A10842" s="258"/>
      <c r="Z10842" s="258"/>
    </row>
    <row r="10843" spans="1:26" ht="12.75" customHeight="1" x14ac:dyDescent="0.2">
      <c r="A10843" s="258"/>
      <c r="Z10843" s="258"/>
    </row>
    <row r="10844" spans="1:26" ht="12.75" customHeight="1" x14ac:dyDescent="0.2">
      <c r="A10844" s="258"/>
      <c r="Z10844" s="258"/>
    </row>
    <row r="10845" spans="1:26" ht="12.75" customHeight="1" x14ac:dyDescent="0.2">
      <c r="A10845" s="258"/>
      <c r="Z10845" s="258"/>
    </row>
    <row r="10846" spans="1:26" ht="12.75" customHeight="1" x14ac:dyDescent="0.2">
      <c r="A10846" s="258"/>
      <c r="Z10846" s="258"/>
    </row>
    <row r="10847" spans="1:26" ht="12.75" customHeight="1" x14ac:dyDescent="0.2">
      <c r="A10847" s="258"/>
      <c r="Z10847" s="258"/>
    </row>
    <row r="10848" spans="1:26" ht="12.75" customHeight="1" x14ac:dyDescent="0.2">
      <c r="A10848" s="258"/>
      <c r="Z10848" s="258"/>
    </row>
    <row r="10849" spans="1:26" ht="12.75" customHeight="1" x14ac:dyDescent="0.2">
      <c r="A10849" s="258"/>
      <c r="Z10849" s="258"/>
    </row>
    <row r="10850" spans="1:26" ht="12.75" customHeight="1" x14ac:dyDescent="0.2">
      <c r="A10850" s="258"/>
      <c r="Z10850" s="258"/>
    </row>
    <row r="10851" spans="1:26" ht="12.75" customHeight="1" x14ac:dyDescent="0.2">
      <c r="A10851" s="258"/>
      <c r="Z10851" s="258"/>
    </row>
    <row r="10852" spans="1:26" ht="12.75" customHeight="1" x14ac:dyDescent="0.2">
      <c r="A10852" s="258"/>
      <c r="Z10852" s="258"/>
    </row>
    <row r="10853" spans="1:26" ht="12.75" customHeight="1" x14ac:dyDescent="0.2">
      <c r="A10853" s="258"/>
      <c r="Z10853" s="258"/>
    </row>
    <row r="10854" spans="1:26" ht="12.75" customHeight="1" x14ac:dyDescent="0.2">
      <c r="A10854" s="258"/>
      <c r="Z10854" s="258"/>
    </row>
    <row r="10855" spans="1:26" ht="12.75" customHeight="1" x14ac:dyDescent="0.2">
      <c r="A10855" s="258"/>
      <c r="Z10855" s="258"/>
    </row>
    <row r="10856" spans="1:26" ht="12.75" customHeight="1" x14ac:dyDescent="0.2">
      <c r="A10856" s="258"/>
      <c r="Z10856" s="258"/>
    </row>
    <row r="10857" spans="1:26" ht="12.75" customHeight="1" x14ac:dyDescent="0.2">
      <c r="A10857" s="258"/>
      <c r="Z10857" s="258"/>
    </row>
    <row r="10858" spans="1:26" ht="12.75" customHeight="1" x14ac:dyDescent="0.2">
      <c r="A10858" s="258"/>
      <c r="Z10858" s="258"/>
    </row>
    <row r="10859" spans="1:26" ht="12.75" customHeight="1" x14ac:dyDescent="0.2">
      <c r="A10859" s="258"/>
      <c r="Z10859" s="258"/>
    </row>
    <row r="10860" spans="1:26" ht="12.75" customHeight="1" x14ac:dyDescent="0.2">
      <c r="A10860" s="258"/>
      <c r="Z10860" s="258"/>
    </row>
    <row r="10861" spans="1:26" ht="12.75" customHeight="1" x14ac:dyDescent="0.2">
      <c r="A10861" s="258"/>
      <c r="Z10861" s="258"/>
    </row>
    <row r="10862" spans="1:26" ht="12.75" customHeight="1" x14ac:dyDescent="0.2">
      <c r="A10862" s="258"/>
      <c r="Z10862" s="258"/>
    </row>
    <row r="10863" spans="1:26" ht="12.75" customHeight="1" x14ac:dyDescent="0.2">
      <c r="A10863" s="258"/>
      <c r="Z10863" s="258"/>
    </row>
    <row r="10864" spans="1:26" ht="12.75" customHeight="1" x14ac:dyDescent="0.2">
      <c r="A10864" s="258"/>
      <c r="Z10864" s="258"/>
    </row>
    <row r="10865" spans="1:26" ht="12.75" customHeight="1" x14ac:dyDescent="0.2">
      <c r="A10865" s="258"/>
      <c r="Z10865" s="258"/>
    </row>
    <row r="10866" spans="1:26" ht="12.75" customHeight="1" x14ac:dyDescent="0.2">
      <c r="A10866" s="258"/>
      <c r="Z10866" s="258"/>
    </row>
    <row r="10867" spans="1:26" ht="12.75" customHeight="1" x14ac:dyDescent="0.2">
      <c r="A10867" s="258"/>
      <c r="Z10867" s="258"/>
    </row>
    <row r="10868" spans="1:26" ht="12.75" customHeight="1" x14ac:dyDescent="0.2">
      <c r="A10868" s="258"/>
      <c r="Z10868" s="258"/>
    </row>
    <row r="10869" spans="1:26" ht="12.75" customHeight="1" x14ac:dyDescent="0.2">
      <c r="A10869" s="258"/>
      <c r="Z10869" s="258"/>
    </row>
    <row r="10870" spans="1:26" ht="12.75" customHeight="1" x14ac:dyDescent="0.2">
      <c r="A10870" s="258"/>
      <c r="Z10870" s="258"/>
    </row>
    <row r="10871" spans="1:26" ht="12.75" customHeight="1" x14ac:dyDescent="0.2">
      <c r="A10871" s="258"/>
      <c r="Z10871" s="258"/>
    </row>
    <row r="10872" spans="1:26" ht="12.75" customHeight="1" x14ac:dyDescent="0.2">
      <c r="A10872" s="258"/>
      <c r="Z10872" s="258"/>
    </row>
    <row r="10873" spans="1:26" ht="12.75" customHeight="1" x14ac:dyDescent="0.2">
      <c r="A10873" s="258"/>
      <c r="Z10873" s="258"/>
    </row>
    <row r="10874" spans="1:26" ht="12.75" customHeight="1" x14ac:dyDescent="0.2">
      <c r="A10874" s="258"/>
      <c r="Z10874" s="258"/>
    </row>
    <row r="10875" spans="1:26" ht="12.75" customHeight="1" x14ac:dyDescent="0.2">
      <c r="A10875" s="258"/>
      <c r="Z10875" s="258"/>
    </row>
    <row r="10876" spans="1:26" ht="12.75" customHeight="1" x14ac:dyDescent="0.2">
      <c r="A10876" s="258"/>
      <c r="Z10876" s="258"/>
    </row>
    <row r="10877" spans="1:26" ht="12.75" customHeight="1" x14ac:dyDescent="0.2">
      <c r="A10877" s="258"/>
      <c r="Z10877" s="258"/>
    </row>
    <row r="10878" spans="1:26" ht="12.75" customHeight="1" x14ac:dyDescent="0.2">
      <c r="A10878" s="258"/>
      <c r="Z10878" s="258"/>
    </row>
    <row r="10879" spans="1:26" ht="12.75" customHeight="1" x14ac:dyDescent="0.2">
      <c r="A10879" s="258"/>
      <c r="Z10879" s="258"/>
    </row>
    <row r="10880" spans="1:26" ht="12.75" customHeight="1" x14ac:dyDescent="0.2">
      <c r="A10880" s="258"/>
      <c r="Z10880" s="258"/>
    </row>
    <row r="10881" spans="1:26" ht="12.75" customHeight="1" x14ac:dyDescent="0.2">
      <c r="A10881" s="258"/>
      <c r="Z10881" s="258"/>
    </row>
    <row r="10882" spans="1:26" ht="12.75" customHeight="1" x14ac:dyDescent="0.2">
      <c r="A10882" s="258"/>
      <c r="Z10882" s="258"/>
    </row>
    <row r="10883" spans="1:26" ht="12.75" customHeight="1" x14ac:dyDescent="0.2">
      <c r="A10883" s="258"/>
      <c r="Z10883" s="258"/>
    </row>
    <row r="10884" spans="1:26" ht="12.75" customHeight="1" x14ac:dyDescent="0.2">
      <c r="A10884" s="258"/>
      <c r="Z10884" s="258"/>
    </row>
    <row r="10885" spans="1:26" ht="12.75" customHeight="1" x14ac:dyDescent="0.2">
      <c r="A10885" s="258"/>
      <c r="Z10885" s="258"/>
    </row>
    <row r="10886" spans="1:26" ht="12.75" customHeight="1" x14ac:dyDescent="0.2">
      <c r="A10886" s="258"/>
      <c r="Z10886" s="258"/>
    </row>
    <row r="10887" spans="1:26" ht="12.75" customHeight="1" x14ac:dyDescent="0.2">
      <c r="A10887" s="258"/>
      <c r="Z10887" s="258"/>
    </row>
    <row r="10888" spans="1:26" ht="12.75" customHeight="1" x14ac:dyDescent="0.2">
      <c r="A10888" s="258"/>
      <c r="Z10888" s="258"/>
    </row>
    <row r="10889" spans="1:26" ht="12.75" customHeight="1" x14ac:dyDescent="0.2">
      <c r="A10889" s="258"/>
      <c r="Z10889" s="258"/>
    </row>
    <row r="10890" spans="1:26" ht="12.75" customHeight="1" x14ac:dyDescent="0.2">
      <c r="A10890" s="258"/>
      <c r="Z10890" s="258"/>
    </row>
    <row r="10891" spans="1:26" ht="12.75" customHeight="1" x14ac:dyDescent="0.2">
      <c r="A10891" s="258"/>
      <c r="Z10891" s="258"/>
    </row>
    <row r="10892" spans="1:26" ht="12.75" customHeight="1" x14ac:dyDescent="0.2">
      <c r="A10892" s="258"/>
      <c r="Z10892" s="258"/>
    </row>
    <row r="10893" spans="1:26" ht="12.75" customHeight="1" x14ac:dyDescent="0.2">
      <c r="A10893" s="258"/>
      <c r="Z10893" s="258"/>
    </row>
    <row r="10894" spans="1:26" ht="12.75" customHeight="1" x14ac:dyDescent="0.2">
      <c r="A10894" s="258"/>
      <c r="Z10894" s="258"/>
    </row>
    <row r="10895" spans="1:26" ht="12.75" customHeight="1" x14ac:dyDescent="0.2">
      <c r="A10895" s="258"/>
      <c r="Z10895" s="258"/>
    </row>
    <row r="10896" spans="1:26" ht="12.75" customHeight="1" x14ac:dyDescent="0.2">
      <c r="A10896" s="258"/>
      <c r="Z10896" s="258"/>
    </row>
    <row r="10897" spans="1:26" ht="12.75" customHeight="1" x14ac:dyDescent="0.2">
      <c r="A10897" s="258"/>
      <c r="Z10897" s="258"/>
    </row>
    <row r="10898" spans="1:26" ht="12.75" customHeight="1" x14ac:dyDescent="0.2">
      <c r="A10898" s="258"/>
      <c r="Z10898" s="258"/>
    </row>
    <row r="10899" spans="1:26" ht="12.75" customHeight="1" x14ac:dyDescent="0.2">
      <c r="A10899" s="258"/>
      <c r="Z10899" s="258"/>
    </row>
    <row r="10900" spans="1:26" ht="12.75" customHeight="1" x14ac:dyDescent="0.2">
      <c r="A10900" s="258"/>
      <c r="Z10900" s="258"/>
    </row>
    <row r="10901" spans="1:26" ht="12.75" customHeight="1" x14ac:dyDescent="0.2">
      <c r="A10901" s="258"/>
      <c r="Z10901" s="258"/>
    </row>
    <row r="10902" spans="1:26" ht="12.75" customHeight="1" x14ac:dyDescent="0.2">
      <c r="A10902" s="258"/>
      <c r="Z10902" s="258"/>
    </row>
    <row r="10903" spans="1:26" ht="12.75" customHeight="1" x14ac:dyDescent="0.2">
      <c r="A10903" s="258"/>
      <c r="Z10903" s="258"/>
    </row>
    <row r="10904" spans="1:26" ht="12.75" customHeight="1" x14ac:dyDescent="0.2">
      <c r="A10904" s="258"/>
      <c r="Z10904" s="258"/>
    </row>
    <row r="10905" spans="1:26" ht="12.75" customHeight="1" x14ac:dyDescent="0.2">
      <c r="A10905" s="258"/>
      <c r="Z10905" s="258"/>
    </row>
    <row r="10906" spans="1:26" ht="12.75" customHeight="1" x14ac:dyDescent="0.2">
      <c r="A10906" s="258"/>
      <c r="Z10906" s="258"/>
    </row>
    <row r="10907" spans="1:26" ht="12.75" customHeight="1" x14ac:dyDescent="0.2">
      <c r="A10907" s="258"/>
      <c r="Z10907" s="258"/>
    </row>
    <row r="10908" spans="1:26" ht="12.75" customHeight="1" x14ac:dyDescent="0.2">
      <c r="A10908" s="258"/>
      <c r="Z10908" s="258"/>
    </row>
    <row r="10909" spans="1:26" ht="12.75" customHeight="1" x14ac:dyDescent="0.2">
      <c r="A10909" s="258"/>
      <c r="Z10909" s="258"/>
    </row>
    <row r="10910" spans="1:26" ht="12.75" customHeight="1" x14ac:dyDescent="0.2">
      <c r="A10910" s="258"/>
      <c r="Z10910" s="258"/>
    </row>
    <row r="10911" spans="1:26" ht="12.75" customHeight="1" x14ac:dyDescent="0.2">
      <c r="A10911" s="258"/>
      <c r="Z10911" s="258"/>
    </row>
    <row r="10912" spans="1:26" ht="12.75" customHeight="1" x14ac:dyDescent="0.2">
      <c r="A10912" s="258"/>
      <c r="Z10912" s="258"/>
    </row>
    <row r="10913" spans="1:26" ht="12.75" customHeight="1" x14ac:dyDescent="0.2">
      <c r="A10913" s="258"/>
      <c r="Z10913" s="258"/>
    </row>
    <row r="10914" spans="1:26" ht="12.75" customHeight="1" x14ac:dyDescent="0.2">
      <c r="A10914" s="258"/>
      <c r="Z10914" s="258"/>
    </row>
    <row r="10915" spans="1:26" ht="12.75" customHeight="1" x14ac:dyDescent="0.2">
      <c r="A10915" s="258"/>
      <c r="Z10915" s="258"/>
    </row>
    <row r="10916" spans="1:26" ht="12.75" customHeight="1" x14ac:dyDescent="0.2">
      <c r="A10916" s="258"/>
      <c r="Z10916" s="258"/>
    </row>
    <row r="10917" spans="1:26" ht="12.75" customHeight="1" x14ac:dyDescent="0.2">
      <c r="A10917" s="258"/>
      <c r="Z10917" s="258"/>
    </row>
    <row r="10918" spans="1:26" ht="12.75" customHeight="1" x14ac:dyDescent="0.2">
      <c r="A10918" s="258"/>
      <c r="Z10918" s="258"/>
    </row>
    <row r="10919" spans="1:26" ht="12.75" customHeight="1" x14ac:dyDescent="0.2">
      <c r="A10919" s="258"/>
      <c r="Z10919" s="258"/>
    </row>
    <row r="10920" spans="1:26" ht="12.75" customHeight="1" x14ac:dyDescent="0.2">
      <c r="A10920" s="258"/>
      <c r="Z10920" s="258"/>
    </row>
    <row r="10921" spans="1:26" ht="12.75" customHeight="1" x14ac:dyDescent="0.2">
      <c r="A10921" s="258"/>
      <c r="Z10921" s="258"/>
    </row>
    <row r="10922" spans="1:26" ht="12.75" customHeight="1" x14ac:dyDescent="0.2">
      <c r="A10922" s="258"/>
      <c r="Z10922" s="258"/>
    </row>
    <row r="10923" spans="1:26" ht="12.75" customHeight="1" x14ac:dyDescent="0.2">
      <c r="A10923" s="258"/>
      <c r="Z10923" s="258"/>
    </row>
    <row r="10924" spans="1:26" ht="12.75" customHeight="1" x14ac:dyDescent="0.2">
      <c r="A10924" s="258"/>
      <c r="Z10924" s="258"/>
    </row>
    <row r="10925" spans="1:26" ht="12.75" customHeight="1" x14ac:dyDescent="0.2">
      <c r="A10925" s="258"/>
      <c r="Z10925" s="258"/>
    </row>
    <row r="10926" spans="1:26" ht="12.75" customHeight="1" x14ac:dyDescent="0.2">
      <c r="A10926" s="258"/>
      <c r="Z10926" s="258"/>
    </row>
    <row r="10927" spans="1:26" ht="12.75" customHeight="1" x14ac:dyDescent="0.2">
      <c r="A10927" s="258"/>
      <c r="Z10927" s="258"/>
    </row>
    <row r="10928" spans="1:26" ht="12.75" customHeight="1" x14ac:dyDescent="0.2">
      <c r="A10928" s="258"/>
      <c r="Z10928" s="258"/>
    </row>
    <row r="10929" spans="1:26" ht="12.75" customHeight="1" x14ac:dyDescent="0.2">
      <c r="A10929" s="258"/>
      <c r="Z10929" s="258"/>
    </row>
    <row r="10930" spans="1:26" ht="12.75" customHeight="1" x14ac:dyDescent="0.2">
      <c r="A10930" s="258"/>
      <c r="Z10930" s="258"/>
    </row>
    <row r="10931" spans="1:26" ht="12.75" customHeight="1" x14ac:dyDescent="0.2">
      <c r="A10931" s="258"/>
      <c r="Z10931" s="258"/>
    </row>
    <row r="10932" spans="1:26" ht="12.75" customHeight="1" x14ac:dyDescent="0.2">
      <c r="A10932" s="258"/>
      <c r="Z10932" s="258"/>
    </row>
    <row r="10933" spans="1:26" ht="12.75" customHeight="1" x14ac:dyDescent="0.2">
      <c r="A10933" s="258"/>
      <c r="Z10933" s="258"/>
    </row>
    <row r="10934" spans="1:26" ht="12.75" customHeight="1" x14ac:dyDescent="0.2">
      <c r="A10934" s="258"/>
      <c r="Z10934" s="258"/>
    </row>
    <row r="10935" spans="1:26" ht="12.75" customHeight="1" x14ac:dyDescent="0.2">
      <c r="A10935" s="258"/>
      <c r="Z10935" s="258"/>
    </row>
    <row r="10936" spans="1:26" ht="12.75" customHeight="1" x14ac:dyDescent="0.2">
      <c r="A10936" s="258"/>
      <c r="Z10936" s="258"/>
    </row>
    <row r="10937" spans="1:26" ht="12.75" customHeight="1" x14ac:dyDescent="0.2">
      <c r="A10937" s="258"/>
      <c r="Z10937" s="258"/>
    </row>
    <row r="10938" spans="1:26" ht="12.75" customHeight="1" x14ac:dyDescent="0.2">
      <c r="A10938" s="258"/>
      <c r="Z10938" s="258"/>
    </row>
    <row r="10939" spans="1:26" ht="12.75" customHeight="1" x14ac:dyDescent="0.2">
      <c r="A10939" s="258"/>
      <c r="Z10939" s="258"/>
    </row>
    <row r="10940" spans="1:26" ht="12.75" customHeight="1" x14ac:dyDescent="0.2">
      <c r="A10940" s="258"/>
      <c r="Z10940" s="258"/>
    </row>
    <row r="10941" spans="1:26" ht="12.75" customHeight="1" x14ac:dyDescent="0.2">
      <c r="A10941" s="258"/>
      <c r="Z10941" s="258"/>
    </row>
    <row r="10942" spans="1:26" ht="12.75" customHeight="1" x14ac:dyDescent="0.2">
      <c r="A10942" s="258"/>
      <c r="Z10942" s="258"/>
    </row>
    <row r="10943" spans="1:26" ht="12.75" customHeight="1" x14ac:dyDescent="0.2">
      <c r="A10943" s="258"/>
      <c r="Z10943" s="258"/>
    </row>
    <row r="10944" spans="1:26" ht="12.75" customHeight="1" x14ac:dyDescent="0.2">
      <c r="A10944" s="258"/>
      <c r="Z10944" s="258"/>
    </row>
    <row r="10945" spans="1:26" ht="12.75" customHeight="1" x14ac:dyDescent="0.2">
      <c r="A10945" s="258"/>
      <c r="Z10945" s="258"/>
    </row>
    <row r="10946" spans="1:26" ht="12.75" customHeight="1" x14ac:dyDescent="0.2">
      <c r="A10946" s="258"/>
      <c r="Z10946" s="258"/>
    </row>
    <row r="10947" spans="1:26" ht="12.75" customHeight="1" x14ac:dyDescent="0.2">
      <c r="A10947" s="258"/>
      <c r="Z10947" s="258"/>
    </row>
    <row r="10948" spans="1:26" ht="12.75" customHeight="1" x14ac:dyDescent="0.2">
      <c r="A10948" s="258"/>
      <c r="Z10948" s="258"/>
    </row>
    <row r="10949" spans="1:26" ht="12.75" customHeight="1" x14ac:dyDescent="0.2">
      <c r="A10949" s="258"/>
      <c r="Z10949" s="258"/>
    </row>
    <row r="10950" spans="1:26" ht="12.75" customHeight="1" x14ac:dyDescent="0.2">
      <c r="A10950" s="258"/>
      <c r="Z10950" s="258"/>
    </row>
    <row r="10951" spans="1:26" ht="12.75" customHeight="1" x14ac:dyDescent="0.2">
      <c r="A10951" s="258"/>
      <c r="Z10951" s="258"/>
    </row>
    <row r="10952" spans="1:26" ht="12.75" customHeight="1" x14ac:dyDescent="0.2">
      <c r="A10952" s="258"/>
      <c r="Z10952" s="258"/>
    </row>
    <row r="10953" spans="1:26" ht="12.75" customHeight="1" x14ac:dyDescent="0.2">
      <c r="A10953" s="258"/>
      <c r="Z10953" s="258"/>
    </row>
    <row r="10954" spans="1:26" ht="12.75" customHeight="1" x14ac:dyDescent="0.2">
      <c r="A10954" s="258"/>
      <c r="Z10954" s="258"/>
    </row>
    <row r="10955" spans="1:26" ht="12.75" customHeight="1" x14ac:dyDescent="0.2">
      <c r="A10955" s="258"/>
      <c r="Z10955" s="258"/>
    </row>
    <row r="10956" spans="1:26" ht="12.75" customHeight="1" x14ac:dyDescent="0.2">
      <c r="A10956" s="258"/>
      <c r="Z10956" s="258"/>
    </row>
    <row r="10957" spans="1:26" ht="12.75" customHeight="1" x14ac:dyDescent="0.2">
      <c r="A10957" s="258"/>
      <c r="Z10957" s="258"/>
    </row>
    <row r="10958" spans="1:26" ht="12.75" customHeight="1" x14ac:dyDescent="0.2">
      <c r="A10958" s="258"/>
      <c r="Z10958" s="258"/>
    </row>
    <row r="10959" spans="1:26" ht="12.75" customHeight="1" x14ac:dyDescent="0.2">
      <c r="A10959" s="258"/>
      <c r="Z10959" s="258"/>
    </row>
    <row r="10960" spans="1:26" ht="12.75" customHeight="1" x14ac:dyDescent="0.2">
      <c r="A10960" s="258"/>
      <c r="Z10960" s="258"/>
    </row>
    <row r="10961" spans="1:26" ht="12.75" customHeight="1" x14ac:dyDescent="0.2">
      <c r="A10961" s="258"/>
      <c r="Z10961" s="258"/>
    </row>
    <row r="10962" spans="1:26" ht="12.75" customHeight="1" x14ac:dyDescent="0.2">
      <c r="A10962" s="258"/>
      <c r="Z10962" s="258"/>
    </row>
    <row r="10963" spans="1:26" ht="12.75" customHeight="1" x14ac:dyDescent="0.2">
      <c r="A10963" s="258"/>
      <c r="Z10963" s="258"/>
    </row>
    <row r="10964" spans="1:26" ht="12.75" customHeight="1" x14ac:dyDescent="0.2">
      <c r="A10964" s="258"/>
      <c r="Z10964" s="258"/>
    </row>
    <row r="10965" spans="1:26" ht="12.75" customHeight="1" x14ac:dyDescent="0.2">
      <c r="A10965" s="258"/>
      <c r="Z10965" s="258"/>
    </row>
    <row r="10966" spans="1:26" ht="12.75" customHeight="1" x14ac:dyDescent="0.2">
      <c r="A10966" s="258"/>
      <c r="Z10966" s="258"/>
    </row>
    <row r="10967" spans="1:26" ht="12.75" customHeight="1" x14ac:dyDescent="0.2">
      <c r="A10967" s="258"/>
      <c r="Z10967" s="258"/>
    </row>
    <row r="10968" spans="1:26" ht="12.75" customHeight="1" x14ac:dyDescent="0.2">
      <c r="A10968" s="258"/>
      <c r="Z10968" s="258"/>
    </row>
    <row r="10969" spans="1:26" ht="12.75" customHeight="1" x14ac:dyDescent="0.2">
      <c r="A10969" s="258"/>
      <c r="Z10969" s="258"/>
    </row>
    <row r="10970" spans="1:26" ht="12.75" customHeight="1" x14ac:dyDescent="0.2">
      <c r="A10970" s="258"/>
      <c r="Z10970" s="258"/>
    </row>
    <row r="10971" spans="1:26" ht="12.75" customHeight="1" x14ac:dyDescent="0.2">
      <c r="A10971" s="258"/>
      <c r="Z10971" s="258"/>
    </row>
    <row r="10972" spans="1:26" ht="12.75" customHeight="1" x14ac:dyDescent="0.2">
      <c r="A10972" s="258"/>
      <c r="Z10972" s="258"/>
    </row>
    <row r="10973" spans="1:26" ht="12.75" customHeight="1" x14ac:dyDescent="0.2">
      <c r="A10973" s="258"/>
      <c r="Z10973" s="258"/>
    </row>
    <row r="10974" spans="1:26" ht="12.75" customHeight="1" x14ac:dyDescent="0.2">
      <c r="A10974" s="258"/>
      <c r="Z10974" s="258"/>
    </row>
    <row r="10975" spans="1:26" ht="12.75" customHeight="1" x14ac:dyDescent="0.2">
      <c r="A10975" s="258"/>
      <c r="Z10975" s="258"/>
    </row>
    <row r="10976" spans="1:26" ht="12.75" customHeight="1" x14ac:dyDescent="0.2">
      <c r="A10976" s="258"/>
      <c r="Z10976" s="258"/>
    </row>
    <row r="10977" spans="1:26" ht="12.75" customHeight="1" x14ac:dyDescent="0.2">
      <c r="A10977" s="258"/>
      <c r="Z10977" s="258"/>
    </row>
    <row r="10978" spans="1:26" ht="12.75" customHeight="1" x14ac:dyDescent="0.2">
      <c r="A10978" s="258"/>
      <c r="Z10978" s="258"/>
    </row>
    <row r="10979" spans="1:26" ht="12.75" customHeight="1" x14ac:dyDescent="0.2">
      <c r="A10979" s="258"/>
      <c r="Z10979" s="258"/>
    </row>
    <row r="10980" spans="1:26" ht="12.75" customHeight="1" x14ac:dyDescent="0.2">
      <c r="A10980" s="258"/>
      <c r="Z10980" s="258"/>
    </row>
    <row r="10981" spans="1:26" ht="12.75" customHeight="1" x14ac:dyDescent="0.2">
      <c r="A10981" s="258"/>
      <c r="Z10981" s="258"/>
    </row>
    <row r="10982" spans="1:26" ht="12.75" customHeight="1" x14ac:dyDescent="0.2">
      <c r="A10982" s="258"/>
      <c r="Z10982" s="258"/>
    </row>
    <row r="10983" spans="1:26" ht="12.75" customHeight="1" x14ac:dyDescent="0.2">
      <c r="A10983" s="258"/>
      <c r="Z10983" s="258"/>
    </row>
    <row r="10984" spans="1:26" ht="12.75" customHeight="1" x14ac:dyDescent="0.2">
      <c r="A10984" s="258"/>
      <c r="Z10984" s="258"/>
    </row>
    <row r="10985" spans="1:26" ht="12.75" customHeight="1" x14ac:dyDescent="0.2">
      <c r="A10985" s="258"/>
      <c r="Z10985" s="258"/>
    </row>
    <row r="10986" spans="1:26" ht="12.75" customHeight="1" x14ac:dyDescent="0.2">
      <c r="A10986" s="258"/>
      <c r="Z10986" s="258"/>
    </row>
    <row r="10987" spans="1:26" ht="12.75" customHeight="1" x14ac:dyDescent="0.2">
      <c r="A10987" s="258"/>
      <c r="Z10987" s="258"/>
    </row>
    <row r="10988" spans="1:26" ht="12.75" customHeight="1" x14ac:dyDescent="0.2">
      <c r="A10988" s="258"/>
      <c r="Z10988" s="258"/>
    </row>
    <row r="10989" spans="1:26" ht="12.75" customHeight="1" x14ac:dyDescent="0.2">
      <c r="A10989" s="258"/>
      <c r="Z10989" s="258"/>
    </row>
    <row r="10990" spans="1:26" ht="12.75" customHeight="1" x14ac:dyDescent="0.2">
      <c r="A10990" s="258"/>
      <c r="Z10990" s="258"/>
    </row>
    <row r="10991" spans="1:26" ht="12.75" customHeight="1" x14ac:dyDescent="0.2">
      <c r="A10991" s="258"/>
      <c r="Z10991" s="258"/>
    </row>
    <row r="10992" spans="1:26" ht="12.75" customHeight="1" x14ac:dyDescent="0.2">
      <c r="A10992" s="258"/>
      <c r="Z10992" s="258"/>
    </row>
    <row r="10993" spans="1:26" ht="12.75" customHeight="1" x14ac:dyDescent="0.2">
      <c r="A10993" s="258"/>
      <c r="Z10993" s="258"/>
    </row>
    <row r="10994" spans="1:26" ht="12.75" customHeight="1" x14ac:dyDescent="0.2">
      <c r="A10994" s="258"/>
      <c r="Z10994" s="258"/>
    </row>
    <row r="10995" spans="1:26" ht="12.75" customHeight="1" x14ac:dyDescent="0.2">
      <c r="A10995" s="258"/>
      <c r="Z10995" s="258"/>
    </row>
    <row r="10996" spans="1:26" ht="12.75" customHeight="1" x14ac:dyDescent="0.2">
      <c r="A10996" s="258"/>
      <c r="Z10996" s="258"/>
    </row>
    <row r="10997" spans="1:26" ht="12.75" customHeight="1" x14ac:dyDescent="0.2">
      <c r="A10997" s="258"/>
      <c r="Z10997" s="258"/>
    </row>
    <row r="10998" spans="1:26" ht="12.75" customHeight="1" x14ac:dyDescent="0.2">
      <c r="A10998" s="258"/>
      <c r="Z10998" s="258"/>
    </row>
    <row r="10999" spans="1:26" ht="12.75" customHeight="1" x14ac:dyDescent="0.2">
      <c r="A10999" s="258"/>
      <c r="Z10999" s="258"/>
    </row>
    <row r="11000" spans="1:26" ht="12.75" customHeight="1" x14ac:dyDescent="0.2">
      <c r="A11000" s="258"/>
      <c r="Z11000" s="258"/>
    </row>
    <row r="11001" spans="1:26" ht="12.75" customHeight="1" x14ac:dyDescent="0.2">
      <c r="A11001" s="258"/>
      <c r="Z11001" s="258"/>
    </row>
    <row r="11002" spans="1:26" ht="12.75" customHeight="1" x14ac:dyDescent="0.2">
      <c r="A11002" s="258"/>
      <c r="Z11002" s="258"/>
    </row>
    <row r="11003" spans="1:26" ht="12.75" customHeight="1" x14ac:dyDescent="0.2">
      <c r="A11003" s="258"/>
      <c r="Z11003" s="258"/>
    </row>
    <row r="11004" spans="1:26" ht="12.75" customHeight="1" x14ac:dyDescent="0.2">
      <c r="A11004" s="258"/>
      <c r="Z11004" s="258"/>
    </row>
    <row r="11005" spans="1:26" ht="12.75" customHeight="1" x14ac:dyDescent="0.2">
      <c r="A11005" s="258"/>
      <c r="Z11005" s="258"/>
    </row>
    <row r="11006" spans="1:26" ht="12.75" customHeight="1" x14ac:dyDescent="0.2">
      <c r="A11006" s="258"/>
      <c r="Z11006" s="258"/>
    </row>
    <row r="11007" spans="1:26" ht="12.75" customHeight="1" x14ac:dyDescent="0.2">
      <c r="A11007" s="258"/>
      <c r="Z11007" s="258"/>
    </row>
    <row r="11008" spans="1:26" ht="12.75" customHeight="1" x14ac:dyDescent="0.2">
      <c r="A11008" s="258"/>
      <c r="Z11008" s="258"/>
    </row>
    <row r="11009" spans="1:26" ht="12.75" customHeight="1" x14ac:dyDescent="0.2">
      <c r="A11009" s="258"/>
      <c r="Z11009" s="258"/>
    </row>
    <row r="11010" spans="1:26" ht="12.75" customHeight="1" x14ac:dyDescent="0.2">
      <c r="A11010" s="258"/>
      <c r="Z11010" s="258"/>
    </row>
    <row r="11011" spans="1:26" ht="12.75" customHeight="1" x14ac:dyDescent="0.2">
      <c r="A11011" s="258"/>
      <c r="Z11011" s="258"/>
    </row>
    <row r="11012" spans="1:26" ht="12.75" customHeight="1" x14ac:dyDescent="0.2">
      <c r="A11012" s="258"/>
      <c r="Z11012" s="258"/>
    </row>
    <row r="11013" spans="1:26" ht="12.75" customHeight="1" x14ac:dyDescent="0.2">
      <c r="A11013" s="258"/>
      <c r="Z11013" s="258"/>
    </row>
    <row r="11014" spans="1:26" ht="12.75" customHeight="1" x14ac:dyDescent="0.2">
      <c r="A11014" s="258"/>
      <c r="Z11014" s="258"/>
    </row>
    <row r="11015" spans="1:26" ht="12.75" customHeight="1" x14ac:dyDescent="0.2">
      <c r="A11015" s="258"/>
      <c r="Z11015" s="258"/>
    </row>
    <row r="11016" spans="1:26" ht="12.75" customHeight="1" x14ac:dyDescent="0.2">
      <c r="A11016" s="258"/>
      <c r="Z11016" s="258"/>
    </row>
    <row r="11017" spans="1:26" ht="12.75" customHeight="1" x14ac:dyDescent="0.2">
      <c r="A11017" s="258"/>
      <c r="Z11017" s="258"/>
    </row>
    <row r="11018" spans="1:26" ht="12.75" customHeight="1" x14ac:dyDescent="0.2">
      <c r="A11018" s="258"/>
      <c r="Z11018" s="258"/>
    </row>
    <row r="11019" spans="1:26" ht="12.75" customHeight="1" x14ac:dyDescent="0.2">
      <c r="A11019" s="258"/>
      <c r="Z11019" s="258"/>
    </row>
    <row r="11020" spans="1:26" ht="12.75" customHeight="1" x14ac:dyDescent="0.2">
      <c r="A11020" s="258"/>
      <c r="Z11020" s="258"/>
    </row>
    <row r="11021" spans="1:26" ht="12.75" customHeight="1" x14ac:dyDescent="0.2">
      <c r="A11021" s="258"/>
      <c r="Z11021" s="258"/>
    </row>
    <row r="11022" spans="1:26" ht="12.75" customHeight="1" x14ac:dyDescent="0.2">
      <c r="A11022" s="258"/>
      <c r="Z11022" s="258"/>
    </row>
    <row r="11023" spans="1:26" ht="12.75" customHeight="1" x14ac:dyDescent="0.2">
      <c r="A11023" s="258"/>
      <c r="Z11023" s="258"/>
    </row>
    <row r="11024" spans="1:26" ht="12.75" customHeight="1" x14ac:dyDescent="0.2">
      <c r="A11024" s="258"/>
      <c r="Z11024" s="258"/>
    </row>
    <row r="11025" spans="1:26" ht="12.75" customHeight="1" x14ac:dyDescent="0.2">
      <c r="A11025" s="258"/>
      <c r="Z11025" s="258"/>
    </row>
    <row r="11026" spans="1:26" ht="12.75" customHeight="1" x14ac:dyDescent="0.2">
      <c r="A11026" s="258"/>
      <c r="Z11026" s="258"/>
    </row>
    <row r="11027" spans="1:26" ht="12.75" customHeight="1" x14ac:dyDescent="0.2">
      <c r="A11027" s="258"/>
      <c r="Z11027" s="258"/>
    </row>
    <row r="11028" spans="1:26" ht="12.75" customHeight="1" x14ac:dyDescent="0.2">
      <c r="A11028" s="258"/>
      <c r="Z11028" s="258"/>
    </row>
    <row r="11029" spans="1:26" ht="12.75" customHeight="1" x14ac:dyDescent="0.2">
      <c r="A11029" s="258"/>
      <c r="Z11029" s="258"/>
    </row>
    <row r="11030" spans="1:26" ht="12.75" customHeight="1" x14ac:dyDescent="0.2">
      <c r="A11030" s="258"/>
      <c r="Z11030" s="258"/>
    </row>
    <row r="11031" spans="1:26" ht="12.75" customHeight="1" x14ac:dyDescent="0.2">
      <c r="A11031" s="258"/>
      <c r="Z11031" s="258"/>
    </row>
    <row r="11032" spans="1:26" ht="12.75" customHeight="1" x14ac:dyDescent="0.2">
      <c r="A11032" s="258"/>
      <c r="Z11032" s="258"/>
    </row>
    <row r="11033" spans="1:26" ht="12.75" customHeight="1" x14ac:dyDescent="0.2">
      <c r="A11033" s="258"/>
      <c r="Z11033" s="258"/>
    </row>
    <row r="11034" spans="1:26" ht="12.75" customHeight="1" x14ac:dyDescent="0.2">
      <c r="A11034" s="258"/>
      <c r="Z11034" s="258"/>
    </row>
    <row r="11035" spans="1:26" ht="12.75" customHeight="1" x14ac:dyDescent="0.2">
      <c r="A11035" s="258"/>
      <c r="Z11035" s="258"/>
    </row>
    <row r="11036" spans="1:26" ht="12.75" customHeight="1" x14ac:dyDescent="0.2">
      <c r="A11036" s="258"/>
      <c r="Z11036" s="258"/>
    </row>
    <row r="11037" spans="1:26" ht="12.75" customHeight="1" x14ac:dyDescent="0.2">
      <c r="A11037" s="258"/>
      <c r="Z11037" s="258"/>
    </row>
    <row r="11038" spans="1:26" ht="12.75" customHeight="1" x14ac:dyDescent="0.2">
      <c r="A11038" s="258"/>
      <c r="Z11038" s="258"/>
    </row>
    <row r="11039" spans="1:26" ht="12.75" customHeight="1" x14ac:dyDescent="0.2">
      <c r="A11039" s="258"/>
      <c r="Z11039" s="258"/>
    </row>
    <row r="11040" spans="1:26" ht="12.75" customHeight="1" x14ac:dyDescent="0.2">
      <c r="A11040" s="258"/>
      <c r="Z11040" s="258"/>
    </row>
    <row r="11041" spans="1:26" ht="12.75" customHeight="1" x14ac:dyDescent="0.2">
      <c r="A11041" s="258"/>
      <c r="Z11041" s="258"/>
    </row>
    <row r="11042" spans="1:26" ht="12.75" customHeight="1" x14ac:dyDescent="0.2">
      <c r="A11042" s="258"/>
      <c r="Z11042" s="258"/>
    </row>
    <row r="11043" spans="1:26" ht="12.75" customHeight="1" x14ac:dyDescent="0.2">
      <c r="A11043" s="258"/>
      <c r="Z11043" s="258"/>
    </row>
    <row r="11044" spans="1:26" ht="12.75" customHeight="1" x14ac:dyDescent="0.2">
      <c r="A11044" s="258"/>
      <c r="Z11044" s="258"/>
    </row>
    <row r="11045" spans="1:26" ht="12.75" customHeight="1" x14ac:dyDescent="0.2">
      <c r="A11045" s="258"/>
      <c r="Z11045" s="258"/>
    </row>
    <row r="11046" spans="1:26" ht="12.75" customHeight="1" x14ac:dyDescent="0.2">
      <c r="A11046" s="258"/>
      <c r="Z11046" s="258"/>
    </row>
    <row r="11047" spans="1:26" ht="12.75" customHeight="1" x14ac:dyDescent="0.2">
      <c r="A11047" s="258"/>
      <c r="Z11047" s="258"/>
    </row>
    <row r="11048" spans="1:26" ht="12.75" customHeight="1" x14ac:dyDescent="0.2">
      <c r="A11048" s="258"/>
      <c r="Z11048" s="258"/>
    </row>
    <row r="11049" spans="1:26" ht="12.75" customHeight="1" x14ac:dyDescent="0.2">
      <c r="A11049" s="258"/>
      <c r="Z11049" s="258"/>
    </row>
    <row r="11050" spans="1:26" ht="12.75" customHeight="1" x14ac:dyDescent="0.2">
      <c r="A11050" s="258"/>
      <c r="Z11050" s="258"/>
    </row>
    <row r="11051" spans="1:26" ht="12.75" customHeight="1" x14ac:dyDescent="0.2">
      <c r="A11051" s="258"/>
      <c r="Z11051" s="258"/>
    </row>
    <row r="11052" spans="1:26" ht="12.75" customHeight="1" x14ac:dyDescent="0.2">
      <c r="A11052" s="258"/>
      <c r="Z11052" s="258"/>
    </row>
    <row r="11053" spans="1:26" ht="12.75" customHeight="1" x14ac:dyDescent="0.2">
      <c r="A11053" s="258"/>
      <c r="Z11053" s="258"/>
    </row>
    <row r="11054" spans="1:26" ht="12.75" customHeight="1" x14ac:dyDescent="0.2">
      <c r="A11054" s="258"/>
      <c r="Z11054" s="258"/>
    </row>
    <row r="11055" spans="1:26" ht="12.75" customHeight="1" x14ac:dyDescent="0.2">
      <c r="A11055" s="258"/>
      <c r="Z11055" s="258"/>
    </row>
    <row r="11056" spans="1:26" ht="12.75" customHeight="1" x14ac:dyDescent="0.2">
      <c r="A11056" s="258"/>
      <c r="Z11056" s="258"/>
    </row>
    <row r="11057" spans="1:26" ht="12.75" customHeight="1" x14ac:dyDescent="0.2">
      <c r="A11057" s="258"/>
      <c r="Z11057" s="258"/>
    </row>
    <row r="11058" spans="1:26" ht="12.75" customHeight="1" x14ac:dyDescent="0.2">
      <c r="A11058" s="258"/>
      <c r="Z11058" s="258"/>
    </row>
    <row r="11059" spans="1:26" ht="12.75" customHeight="1" x14ac:dyDescent="0.2">
      <c r="A11059" s="258"/>
      <c r="Z11059" s="258"/>
    </row>
    <row r="11060" spans="1:26" ht="12.75" customHeight="1" x14ac:dyDescent="0.2">
      <c r="A11060" s="258"/>
      <c r="Z11060" s="258"/>
    </row>
    <row r="11061" spans="1:26" ht="12.75" customHeight="1" x14ac:dyDescent="0.2">
      <c r="A11061" s="258"/>
      <c r="Z11061" s="258"/>
    </row>
    <row r="11062" spans="1:26" ht="12.75" customHeight="1" x14ac:dyDescent="0.2">
      <c r="A11062" s="258"/>
      <c r="Z11062" s="258"/>
    </row>
    <row r="11063" spans="1:26" ht="12.75" customHeight="1" x14ac:dyDescent="0.2">
      <c r="A11063" s="258"/>
      <c r="Z11063" s="258"/>
    </row>
    <row r="11064" spans="1:26" ht="12.75" customHeight="1" x14ac:dyDescent="0.2">
      <c r="A11064" s="258"/>
      <c r="Z11064" s="258"/>
    </row>
    <row r="11065" spans="1:26" ht="12.75" customHeight="1" x14ac:dyDescent="0.2">
      <c r="A11065" s="258"/>
      <c r="Z11065" s="258"/>
    </row>
    <row r="11066" spans="1:26" ht="12.75" customHeight="1" x14ac:dyDescent="0.2">
      <c r="A11066" s="258"/>
      <c r="Z11066" s="258"/>
    </row>
    <row r="11067" spans="1:26" ht="12.75" customHeight="1" x14ac:dyDescent="0.2">
      <c r="A11067" s="258"/>
      <c r="Z11067" s="258"/>
    </row>
    <row r="11068" spans="1:26" ht="12.75" customHeight="1" x14ac:dyDescent="0.2">
      <c r="A11068" s="258"/>
      <c r="Z11068" s="258"/>
    </row>
    <row r="11069" spans="1:26" ht="12.75" customHeight="1" x14ac:dyDescent="0.2">
      <c r="A11069" s="258"/>
      <c r="Z11069" s="258"/>
    </row>
    <row r="11070" spans="1:26" ht="12.75" customHeight="1" x14ac:dyDescent="0.2">
      <c r="A11070" s="258"/>
      <c r="Z11070" s="258"/>
    </row>
    <row r="11071" spans="1:26" ht="12.75" customHeight="1" x14ac:dyDescent="0.2">
      <c r="A11071" s="258"/>
      <c r="Z11071" s="258"/>
    </row>
    <row r="11072" spans="1:26" ht="12.75" customHeight="1" x14ac:dyDescent="0.2">
      <c r="A11072" s="258"/>
      <c r="Z11072" s="258"/>
    </row>
    <row r="11073" spans="1:26" ht="12.75" customHeight="1" x14ac:dyDescent="0.2">
      <c r="A11073" s="258"/>
      <c r="Z11073" s="258"/>
    </row>
    <row r="11074" spans="1:26" ht="12.75" customHeight="1" x14ac:dyDescent="0.2">
      <c r="A11074" s="258"/>
      <c r="Z11074" s="258"/>
    </row>
    <row r="11075" spans="1:26" ht="12.75" customHeight="1" x14ac:dyDescent="0.2">
      <c r="A11075" s="258"/>
      <c r="Z11075" s="258"/>
    </row>
    <row r="11076" spans="1:26" ht="12.75" customHeight="1" x14ac:dyDescent="0.2">
      <c r="A11076" s="258"/>
      <c r="Z11076" s="258"/>
    </row>
    <row r="11077" spans="1:26" ht="12.75" customHeight="1" x14ac:dyDescent="0.2">
      <c r="A11077" s="258"/>
      <c r="Z11077" s="258"/>
    </row>
    <row r="11078" spans="1:26" ht="12.75" customHeight="1" x14ac:dyDescent="0.2">
      <c r="A11078" s="258"/>
      <c r="Z11078" s="258"/>
    </row>
    <row r="11079" spans="1:26" ht="12.75" customHeight="1" x14ac:dyDescent="0.2">
      <c r="A11079" s="258"/>
      <c r="Z11079" s="258"/>
    </row>
    <row r="11080" spans="1:26" ht="12.75" customHeight="1" x14ac:dyDescent="0.2">
      <c r="A11080" s="258"/>
      <c r="Z11080" s="258"/>
    </row>
    <row r="11081" spans="1:26" ht="12.75" customHeight="1" x14ac:dyDescent="0.2">
      <c r="A11081" s="258"/>
      <c r="Z11081" s="258"/>
    </row>
    <row r="11082" spans="1:26" ht="12.75" customHeight="1" x14ac:dyDescent="0.2">
      <c r="A11082" s="258"/>
      <c r="Z11082" s="258"/>
    </row>
    <row r="11083" spans="1:26" ht="12.75" customHeight="1" x14ac:dyDescent="0.2">
      <c r="A11083" s="258"/>
      <c r="Z11083" s="258"/>
    </row>
    <row r="11084" spans="1:26" ht="12.75" customHeight="1" x14ac:dyDescent="0.2">
      <c r="A11084" s="258"/>
      <c r="Z11084" s="258"/>
    </row>
    <row r="11085" spans="1:26" ht="12.75" customHeight="1" x14ac:dyDescent="0.2">
      <c r="A11085" s="258"/>
      <c r="Z11085" s="258"/>
    </row>
    <row r="11086" spans="1:26" ht="12.75" customHeight="1" x14ac:dyDescent="0.2">
      <c r="A11086" s="258"/>
      <c r="Z11086" s="258"/>
    </row>
    <row r="11087" spans="1:26" ht="12.75" customHeight="1" x14ac:dyDescent="0.2">
      <c r="A11087" s="258"/>
      <c r="Z11087" s="258"/>
    </row>
    <row r="11088" spans="1:26" ht="12.75" customHeight="1" x14ac:dyDescent="0.2">
      <c r="A11088" s="258"/>
      <c r="Z11088" s="258"/>
    </row>
    <row r="11089" spans="1:26" ht="12.75" customHeight="1" x14ac:dyDescent="0.2">
      <c r="A11089" s="258"/>
      <c r="Z11089" s="258"/>
    </row>
    <row r="11090" spans="1:26" ht="12.75" customHeight="1" x14ac:dyDescent="0.2">
      <c r="A11090" s="258"/>
      <c r="Z11090" s="258"/>
    </row>
    <row r="11091" spans="1:26" ht="12.75" customHeight="1" x14ac:dyDescent="0.2">
      <c r="A11091" s="258"/>
      <c r="Z11091" s="258"/>
    </row>
    <row r="11092" spans="1:26" ht="12.75" customHeight="1" x14ac:dyDescent="0.2">
      <c r="A11092" s="258"/>
      <c r="Z11092" s="258"/>
    </row>
    <row r="11093" spans="1:26" ht="12.75" customHeight="1" x14ac:dyDescent="0.2">
      <c r="A11093" s="258"/>
      <c r="Z11093" s="258"/>
    </row>
    <row r="11094" spans="1:26" ht="12.75" customHeight="1" x14ac:dyDescent="0.2">
      <c r="A11094" s="258"/>
      <c r="Z11094" s="258"/>
    </row>
    <row r="11095" spans="1:26" ht="12.75" customHeight="1" x14ac:dyDescent="0.2">
      <c r="A11095" s="258"/>
      <c r="Z11095" s="258"/>
    </row>
    <row r="11096" spans="1:26" ht="12.75" customHeight="1" x14ac:dyDescent="0.2">
      <c r="A11096" s="258"/>
      <c r="Z11096" s="258"/>
    </row>
    <row r="11097" spans="1:26" ht="12.75" customHeight="1" x14ac:dyDescent="0.2">
      <c r="A11097" s="258"/>
      <c r="Z11097" s="258"/>
    </row>
    <row r="11098" spans="1:26" ht="12.75" customHeight="1" x14ac:dyDescent="0.2">
      <c r="A11098" s="258"/>
      <c r="Z11098" s="258"/>
    </row>
    <row r="11099" spans="1:26" ht="12.75" customHeight="1" x14ac:dyDescent="0.2">
      <c r="A11099" s="258"/>
      <c r="Z11099" s="258"/>
    </row>
    <row r="11100" spans="1:26" ht="12.75" customHeight="1" x14ac:dyDescent="0.2">
      <c r="A11100" s="258"/>
      <c r="Z11100" s="258"/>
    </row>
    <row r="11101" spans="1:26" ht="12.75" customHeight="1" x14ac:dyDescent="0.2">
      <c r="A11101" s="258"/>
      <c r="Z11101" s="258"/>
    </row>
    <row r="11102" spans="1:26" ht="12.75" customHeight="1" x14ac:dyDescent="0.2">
      <c r="A11102" s="258"/>
      <c r="Z11102" s="258"/>
    </row>
    <row r="11103" spans="1:26" ht="12.75" customHeight="1" x14ac:dyDescent="0.2">
      <c r="A11103" s="258"/>
      <c r="Z11103" s="258"/>
    </row>
    <row r="11104" spans="1:26" ht="12.75" customHeight="1" x14ac:dyDescent="0.2">
      <c r="A11104" s="258"/>
      <c r="Z11104" s="258"/>
    </row>
    <row r="11105" spans="1:26" ht="12.75" customHeight="1" x14ac:dyDescent="0.2">
      <c r="A11105" s="258"/>
      <c r="Z11105" s="258"/>
    </row>
    <row r="11106" spans="1:26" ht="12.75" customHeight="1" x14ac:dyDescent="0.2">
      <c r="A11106" s="258"/>
      <c r="Z11106" s="258"/>
    </row>
    <row r="11107" spans="1:26" ht="12.75" customHeight="1" x14ac:dyDescent="0.2">
      <c r="A11107" s="258"/>
      <c r="Z11107" s="258"/>
    </row>
    <row r="11108" spans="1:26" ht="12.75" customHeight="1" x14ac:dyDescent="0.2">
      <c r="A11108" s="258"/>
      <c r="Z11108" s="258"/>
    </row>
    <row r="11109" spans="1:26" ht="12.75" customHeight="1" x14ac:dyDescent="0.2">
      <c r="A11109" s="258"/>
      <c r="Z11109" s="258"/>
    </row>
    <row r="11110" spans="1:26" ht="12.75" customHeight="1" x14ac:dyDescent="0.2">
      <c r="A11110" s="258"/>
      <c r="Z11110" s="258"/>
    </row>
    <row r="11111" spans="1:26" ht="12.75" customHeight="1" x14ac:dyDescent="0.2">
      <c r="A11111" s="258"/>
      <c r="Z11111" s="258"/>
    </row>
    <row r="11112" spans="1:26" ht="12.75" customHeight="1" x14ac:dyDescent="0.2">
      <c r="A11112" s="258"/>
      <c r="Z11112" s="258"/>
    </row>
    <row r="11113" spans="1:26" ht="12.75" customHeight="1" x14ac:dyDescent="0.2">
      <c r="A11113" s="258"/>
      <c r="Z11113" s="258"/>
    </row>
    <row r="11114" spans="1:26" ht="12.75" customHeight="1" x14ac:dyDescent="0.2">
      <c r="A11114" s="258"/>
      <c r="Z11114" s="258"/>
    </row>
    <row r="11115" spans="1:26" ht="12.75" customHeight="1" x14ac:dyDescent="0.2">
      <c r="A11115" s="258"/>
      <c r="Z11115" s="258"/>
    </row>
    <row r="11116" spans="1:26" ht="12.75" customHeight="1" x14ac:dyDescent="0.2">
      <c r="A11116" s="258"/>
      <c r="Z11116" s="258"/>
    </row>
    <row r="11117" spans="1:26" ht="12.75" customHeight="1" x14ac:dyDescent="0.2">
      <c r="A11117" s="258"/>
      <c r="Z11117" s="258"/>
    </row>
    <row r="11118" spans="1:26" ht="12.75" customHeight="1" x14ac:dyDescent="0.2">
      <c r="A11118" s="258"/>
      <c r="Z11118" s="258"/>
    </row>
    <row r="11119" spans="1:26" ht="12.75" customHeight="1" x14ac:dyDescent="0.2">
      <c r="A11119" s="258"/>
      <c r="Z11119" s="258"/>
    </row>
    <row r="11120" spans="1:26" ht="12.75" customHeight="1" x14ac:dyDescent="0.2">
      <c r="A11120" s="258"/>
      <c r="Z11120" s="258"/>
    </row>
    <row r="11121" spans="1:26" ht="12.75" customHeight="1" x14ac:dyDescent="0.2">
      <c r="A11121" s="258"/>
      <c r="Z11121" s="258"/>
    </row>
    <row r="11122" spans="1:26" ht="12.75" customHeight="1" x14ac:dyDescent="0.2">
      <c r="A11122" s="258"/>
      <c r="Z11122" s="258"/>
    </row>
    <row r="11123" spans="1:26" ht="12.75" customHeight="1" x14ac:dyDescent="0.2">
      <c r="A11123" s="258"/>
      <c r="Z11123" s="258"/>
    </row>
    <row r="11124" spans="1:26" ht="12.75" customHeight="1" x14ac:dyDescent="0.2">
      <c r="A11124" s="258"/>
      <c r="Z11124" s="258"/>
    </row>
    <row r="11125" spans="1:26" ht="12.75" customHeight="1" x14ac:dyDescent="0.2">
      <c r="A11125" s="258"/>
      <c r="Z11125" s="258"/>
    </row>
    <row r="11126" spans="1:26" ht="12.75" customHeight="1" x14ac:dyDescent="0.2">
      <c r="A11126" s="258"/>
      <c r="Z11126" s="258"/>
    </row>
    <row r="11127" spans="1:26" ht="12.75" customHeight="1" x14ac:dyDescent="0.2">
      <c r="A11127" s="258"/>
      <c r="Z11127" s="258"/>
    </row>
    <row r="11128" spans="1:26" ht="12.75" customHeight="1" x14ac:dyDescent="0.2">
      <c r="A11128" s="258"/>
      <c r="Z11128" s="258"/>
    </row>
    <row r="11129" spans="1:26" ht="12.75" customHeight="1" x14ac:dyDescent="0.2">
      <c r="A11129" s="258"/>
      <c r="Z11129" s="258"/>
    </row>
    <row r="11130" spans="1:26" ht="12.75" customHeight="1" x14ac:dyDescent="0.2">
      <c r="A11130" s="258"/>
      <c r="Z11130" s="258"/>
    </row>
    <row r="11131" spans="1:26" ht="12.75" customHeight="1" x14ac:dyDescent="0.2">
      <c r="A11131" s="258"/>
      <c r="Z11131" s="258"/>
    </row>
    <row r="11132" spans="1:26" ht="12.75" customHeight="1" x14ac:dyDescent="0.2">
      <c r="A11132" s="258"/>
      <c r="Z11132" s="258"/>
    </row>
    <row r="11133" spans="1:26" ht="12.75" customHeight="1" x14ac:dyDescent="0.2">
      <c r="A11133" s="258"/>
      <c r="Z11133" s="258"/>
    </row>
    <row r="11134" spans="1:26" ht="12.75" customHeight="1" x14ac:dyDescent="0.2">
      <c r="A11134" s="258"/>
      <c r="Z11134" s="258"/>
    </row>
    <row r="11135" spans="1:26" ht="12.75" customHeight="1" x14ac:dyDescent="0.2">
      <c r="A11135" s="258"/>
      <c r="Z11135" s="258"/>
    </row>
    <row r="11136" spans="1:26" ht="12.75" customHeight="1" x14ac:dyDescent="0.2">
      <c r="A11136" s="258"/>
      <c r="Z11136" s="258"/>
    </row>
    <row r="11137" spans="1:26" ht="12.75" customHeight="1" x14ac:dyDescent="0.2">
      <c r="A11137" s="258"/>
      <c r="Z11137" s="258"/>
    </row>
    <row r="11138" spans="1:26" ht="12.75" customHeight="1" x14ac:dyDescent="0.2">
      <c r="A11138" s="258"/>
      <c r="Z11138" s="258"/>
    </row>
    <row r="11139" spans="1:26" ht="12.75" customHeight="1" x14ac:dyDescent="0.2">
      <c r="A11139" s="258"/>
      <c r="Z11139" s="258"/>
    </row>
    <row r="11140" spans="1:26" ht="12.75" customHeight="1" x14ac:dyDescent="0.2">
      <c r="A11140" s="258"/>
      <c r="Z11140" s="258"/>
    </row>
    <row r="11141" spans="1:26" ht="12.75" customHeight="1" x14ac:dyDescent="0.2">
      <c r="A11141" s="258"/>
      <c r="Z11141" s="258"/>
    </row>
    <row r="11142" spans="1:26" ht="12.75" customHeight="1" x14ac:dyDescent="0.2">
      <c r="A11142" s="258"/>
      <c r="Z11142" s="258"/>
    </row>
    <row r="11143" spans="1:26" ht="12.75" customHeight="1" x14ac:dyDescent="0.2">
      <c r="A11143" s="258"/>
      <c r="Z11143" s="258"/>
    </row>
    <row r="11144" spans="1:26" ht="12.75" customHeight="1" x14ac:dyDescent="0.2">
      <c r="A11144" s="258"/>
      <c r="Z11144" s="258"/>
    </row>
    <row r="11145" spans="1:26" ht="12.75" customHeight="1" x14ac:dyDescent="0.2">
      <c r="A11145" s="258"/>
      <c r="Z11145" s="258"/>
    </row>
    <row r="11146" spans="1:26" ht="12.75" customHeight="1" x14ac:dyDescent="0.2">
      <c r="A11146" s="258"/>
      <c r="Z11146" s="258"/>
    </row>
    <row r="11147" spans="1:26" ht="12.75" customHeight="1" x14ac:dyDescent="0.2">
      <c r="A11147" s="258"/>
      <c r="Z11147" s="258"/>
    </row>
    <row r="11148" spans="1:26" ht="12.75" customHeight="1" x14ac:dyDescent="0.2">
      <c r="A11148" s="258"/>
      <c r="Z11148" s="258"/>
    </row>
    <row r="11149" spans="1:26" ht="12.75" customHeight="1" x14ac:dyDescent="0.2">
      <c r="A11149" s="258"/>
      <c r="Z11149" s="258"/>
    </row>
    <row r="11150" spans="1:26" ht="12.75" customHeight="1" x14ac:dyDescent="0.2">
      <c r="A11150" s="258"/>
      <c r="Z11150" s="258"/>
    </row>
    <row r="11151" spans="1:26" ht="12.75" customHeight="1" x14ac:dyDescent="0.2">
      <c r="A11151" s="258"/>
      <c r="Z11151" s="258"/>
    </row>
    <row r="11152" spans="1:26" ht="12.75" customHeight="1" x14ac:dyDescent="0.2">
      <c r="A11152" s="258"/>
      <c r="Z11152" s="258"/>
    </row>
    <row r="11153" spans="1:26" ht="12.75" customHeight="1" x14ac:dyDescent="0.2">
      <c r="A11153" s="258"/>
      <c r="Z11153" s="258"/>
    </row>
    <row r="11154" spans="1:26" ht="12.75" customHeight="1" x14ac:dyDescent="0.2">
      <c r="A11154" s="258"/>
      <c r="Z11154" s="258"/>
    </row>
    <row r="11155" spans="1:26" ht="12.75" customHeight="1" x14ac:dyDescent="0.2">
      <c r="A11155" s="258"/>
      <c r="Z11155" s="258"/>
    </row>
    <row r="11156" spans="1:26" ht="12.75" customHeight="1" x14ac:dyDescent="0.2">
      <c r="A11156" s="258"/>
      <c r="Z11156" s="258"/>
    </row>
    <row r="11157" spans="1:26" ht="12.75" customHeight="1" x14ac:dyDescent="0.2">
      <c r="A11157" s="258"/>
      <c r="Z11157" s="258"/>
    </row>
    <row r="11158" spans="1:26" ht="12.75" customHeight="1" x14ac:dyDescent="0.2">
      <c r="A11158" s="258"/>
      <c r="Z11158" s="258"/>
    </row>
    <row r="11159" spans="1:26" ht="12.75" customHeight="1" x14ac:dyDescent="0.2">
      <c r="A11159" s="258"/>
      <c r="Z11159" s="258"/>
    </row>
    <row r="11160" spans="1:26" ht="12.75" customHeight="1" x14ac:dyDescent="0.2">
      <c r="A11160" s="258"/>
      <c r="Z11160" s="258"/>
    </row>
    <row r="11161" spans="1:26" ht="12.75" customHeight="1" x14ac:dyDescent="0.2">
      <c r="A11161" s="258"/>
      <c r="Z11161" s="258"/>
    </row>
    <row r="11162" spans="1:26" ht="12.75" customHeight="1" x14ac:dyDescent="0.2">
      <c r="A11162" s="258"/>
      <c r="Z11162" s="258"/>
    </row>
    <row r="11163" spans="1:26" ht="12.75" customHeight="1" x14ac:dyDescent="0.2">
      <c r="A11163" s="258"/>
      <c r="Z11163" s="258"/>
    </row>
    <row r="11164" spans="1:26" ht="12.75" customHeight="1" x14ac:dyDescent="0.2">
      <c r="A11164" s="258"/>
      <c r="Z11164" s="258"/>
    </row>
    <row r="11165" spans="1:26" ht="12.75" customHeight="1" x14ac:dyDescent="0.2">
      <c r="A11165" s="258"/>
      <c r="Z11165" s="258"/>
    </row>
    <row r="11166" spans="1:26" ht="12.75" customHeight="1" x14ac:dyDescent="0.2">
      <c r="A11166" s="258"/>
      <c r="Z11166" s="258"/>
    </row>
    <row r="11167" spans="1:26" ht="12.75" customHeight="1" x14ac:dyDescent="0.2">
      <c r="A11167" s="258"/>
      <c r="Z11167" s="258"/>
    </row>
    <row r="11168" spans="1:26" ht="12.75" customHeight="1" x14ac:dyDescent="0.2">
      <c r="A11168" s="258"/>
      <c r="Z11168" s="258"/>
    </row>
    <row r="11169" spans="1:26" ht="12.75" customHeight="1" x14ac:dyDescent="0.2">
      <c r="A11169" s="258"/>
      <c r="Z11169" s="258"/>
    </row>
    <row r="11170" spans="1:26" ht="12.75" customHeight="1" x14ac:dyDescent="0.2">
      <c r="A11170" s="258"/>
      <c r="Z11170" s="258"/>
    </row>
    <row r="11171" spans="1:26" ht="12.75" customHeight="1" x14ac:dyDescent="0.2">
      <c r="A11171" s="258"/>
      <c r="Z11171" s="258"/>
    </row>
    <row r="11172" spans="1:26" ht="12.75" customHeight="1" x14ac:dyDescent="0.2">
      <c r="A11172" s="258"/>
      <c r="Z11172" s="258"/>
    </row>
    <row r="11173" spans="1:26" ht="12.75" customHeight="1" x14ac:dyDescent="0.2">
      <c r="A11173" s="258"/>
      <c r="Z11173" s="258"/>
    </row>
    <row r="11174" spans="1:26" ht="12.75" customHeight="1" x14ac:dyDescent="0.2">
      <c r="A11174" s="258"/>
      <c r="Z11174" s="258"/>
    </row>
    <row r="11175" spans="1:26" ht="12.75" customHeight="1" x14ac:dyDescent="0.2">
      <c r="A11175" s="258"/>
      <c r="Z11175" s="258"/>
    </row>
    <row r="11176" spans="1:26" ht="12.75" customHeight="1" x14ac:dyDescent="0.2">
      <c r="A11176" s="258"/>
      <c r="Z11176" s="258"/>
    </row>
    <row r="11177" spans="1:26" ht="12.75" customHeight="1" x14ac:dyDescent="0.2">
      <c r="A11177" s="258"/>
      <c r="Z11177" s="258"/>
    </row>
    <row r="11178" spans="1:26" ht="12.75" customHeight="1" x14ac:dyDescent="0.2">
      <c r="A11178" s="258"/>
      <c r="Z11178" s="258"/>
    </row>
    <row r="11179" spans="1:26" ht="12.75" customHeight="1" x14ac:dyDescent="0.2">
      <c r="A11179" s="258"/>
      <c r="Z11179" s="258"/>
    </row>
    <row r="11180" spans="1:26" ht="12.75" customHeight="1" x14ac:dyDescent="0.2">
      <c r="A11180" s="258"/>
      <c r="Z11180" s="258"/>
    </row>
    <row r="11181" spans="1:26" ht="12.75" customHeight="1" x14ac:dyDescent="0.2">
      <c r="A11181" s="258"/>
      <c r="Z11181" s="258"/>
    </row>
    <row r="11182" spans="1:26" ht="12.75" customHeight="1" x14ac:dyDescent="0.2">
      <c r="A11182" s="258"/>
      <c r="Z11182" s="258"/>
    </row>
    <row r="11183" spans="1:26" ht="12.75" customHeight="1" x14ac:dyDescent="0.2">
      <c r="A11183" s="258"/>
      <c r="Z11183" s="258"/>
    </row>
    <row r="11184" spans="1:26" ht="12.75" customHeight="1" x14ac:dyDescent="0.2">
      <c r="A11184" s="258"/>
      <c r="Z11184" s="258"/>
    </row>
    <row r="11185" spans="1:26" ht="12.75" customHeight="1" x14ac:dyDescent="0.2">
      <c r="A11185" s="258"/>
      <c r="Z11185" s="258"/>
    </row>
    <row r="11186" spans="1:26" ht="12.75" customHeight="1" x14ac:dyDescent="0.2">
      <c r="A11186" s="258"/>
      <c r="Z11186" s="258"/>
    </row>
    <row r="11187" spans="1:26" ht="12.75" customHeight="1" x14ac:dyDescent="0.2">
      <c r="A11187" s="258"/>
      <c r="Z11187" s="258"/>
    </row>
    <row r="11188" spans="1:26" ht="12.75" customHeight="1" x14ac:dyDescent="0.2">
      <c r="A11188" s="258"/>
      <c r="Z11188" s="258"/>
    </row>
    <row r="11189" spans="1:26" ht="12.75" customHeight="1" x14ac:dyDescent="0.2">
      <c r="A11189" s="258"/>
      <c r="Z11189" s="258"/>
    </row>
    <row r="11190" spans="1:26" ht="12.75" customHeight="1" x14ac:dyDescent="0.2">
      <c r="A11190" s="258"/>
      <c r="Z11190" s="258"/>
    </row>
    <row r="11191" spans="1:26" ht="12.75" customHeight="1" x14ac:dyDescent="0.2">
      <c r="A11191" s="258"/>
      <c r="Z11191" s="258"/>
    </row>
    <row r="11192" spans="1:26" ht="12.75" customHeight="1" x14ac:dyDescent="0.2">
      <c r="A11192" s="258"/>
      <c r="Z11192" s="258"/>
    </row>
    <row r="11193" spans="1:26" ht="12.75" customHeight="1" x14ac:dyDescent="0.2">
      <c r="A11193" s="258"/>
      <c r="Z11193" s="258"/>
    </row>
    <row r="11194" spans="1:26" ht="12.75" customHeight="1" x14ac:dyDescent="0.2">
      <c r="A11194" s="258"/>
      <c r="Z11194" s="258"/>
    </row>
    <row r="11195" spans="1:26" ht="12.75" customHeight="1" x14ac:dyDescent="0.2">
      <c r="A11195" s="258"/>
      <c r="Z11195" s="258"/>
    </row>
    <row r="11196" spans="1:26" ht="12.75" customHeight="1" x14ac:dyDescent="0.2">
      <c r="A11196" s="258"/>
      <c r="Z11196" s="258"/>
    </row>
    <row r="11197" spans="1:26" ht="12.75" customHeight="1" x14ac:dyDescent="0.2">
      <c r="A11197" s="258"/>
      <c r="Z11197" s="258"/>
    </row>
    <row r="11198" spans="1:26" ht="12.75" customHeight="1" x14ac:dyDescent="0.2">
      <c r="A11198" s="258"/>
      <c r="Z11198" s="258"/>
    </row>
    <row r="11199" spans="1:26" ht="12.75" customHeight="1" x14ac:dyDescent="0.2">
      <c r="A11199" s="258"/>
      <c r="Z11199" s="258"/>
    </row>
    <row r="11200" spans="1:26" ht="12.75" customHeight="1" x14ac:dyDescent="0.2">
      <c r="A11200" s="258"/>
      <c r="Z11200" s="258"/>
    </row>
    <row r="11201" spans="1:26" ht="12.75" customHeight="1" x14ac:dyDescent="0.2">
      <c r="A11201" s="258"/>
      <c r="Z11201" s="258"/>
    </row>
    <row r="11202" spans="1:26" ht="12.75" customHeight="1" x14ac:dyDescent="0.2">
      <c r="A11202" s="258"/>
      <c r="Z11202" s="258"/>
    </row>
    <row r="11203" spans="1:26" ht="12.75" customHeight="1" x14ac:dyDescent="0.2">
      <c r="A11203" s="258"/>
      <c r="Z11203" s="258"/>
    </row>
    <row r="11204" spans="1:26" ht="12.75" customHeight="1" x14ac:dyDescent="0.2">
      <c r="A11204" s="258"/>
      <c r="Z11204" s="258"/>
    </row>
    <row r="11205" spans="1:26" ht="12.75" customHeight="1" x14ac:dyDescent="0.2">
      <c r="A11205" s="258"/>
      <c r="Z11205" s="258"/>
    </row>
    <row r="11206" spans="1:26" ht="12.75" customHeight="1" x14ac:dyDescent="0.2">
      <c r="A11206" s="258"/>
      <c r="Z11206" s="258"/>
    </row>
    <row r="11207" spans="1:26" ht="12.75" customHeight="1" x14ac:dyDescent="0.2">
      <c r="A11207" s="258"/>
      <c r="Z11207" s="258"/>
    </row>
    <row r="11208" spans="1:26" ht="12.75" customHeight="1" x14ac:dyDescent="0.2">
      <c r="A11208" s="258"/>
      <c r="Z11208" s="258"/>
    </row>
    <row r="11209" spans="1:26" ht="12.75" customHeight="1" x14ac:dyDescent="0.2">
      <c r="A11209" s="258"/>
      <c r="Z11209" s="258"/>
    </row>
    <row r="11210" spans="1:26" ht="12.75" customHeight="1" x14ac:dyDescent="0.2">
      <c r="A11210" s="258"/>
      <c r="Z11210" s="258"/>
    </row>
    <row r="11211" spans="1:26" ht="12.75" customHeight="1" x14ac:dyDescent="0.2">
      <c r="A11211" s="258"/>
      <c r="Z11211" s="258"/>
    </row>
    <row r="11212" spans="1:26" ht="12.75" customHeight="1" x14ac:dyDescent="0.2">
      <c r="A11212" s="258"/>
      <c r="Z11212" s="258"/>
    </row>
    <row r="11213" spans="1:26" ht="12.75" customHeight="1" x14ac:dyDescent="0.2">
      <c r="A11213" s="258"/>
      <c r="Z11213" s="258"/>
    </row>
    <row r="11214" spans="1:26" ht="12.75" customHeight="1" x14ac:dyDescent="0.2">
      <c r="A11214" s="258"/>
      <c r="Z11214" s="258"/>
    </row>
    <row r="11215" spans="1:26" ht="12.75" customHeight="1" x14ac:dyDescent="0.2">
      <c r="A11215" s="258"/>
      <c r="Z11215" s="258"/>
    </row>
    <row r="11216" spans="1:26" ht="12.75" customHeight="1" x14ac:dyDescent="0.2">
      <c r="A11216" s="258"/>
      <c r="Z11216" s="258"/>
    </row>
    <row r="11217" spans="1:26" ht="12.75" customHeight="1" x14ac:dyDescent="0.2">
      <c r="A11217" s="258"/>
      <c r="Z11217" s="258"/>
    </row>
    <row r="11218" spans="1:26" ht="12.75" customHeight="1" x14ac:dyDescent="0.2">
      <c r="A11218" s="258"/>
      <c r="Z11218" s="258"/>
    </row>
    <row r="11219" spans="1:26" ht="12.75" customHeight="1" x14ac:dyDescent="0.2">
      <c r="A11219" s="258"/>
      <c r="Z11219" s="258"/>
    </row>
    <row r="11220" spans="1:26" ht="12.75" customHeight="1" x14ac:dyDescent="0.2">
      <c r="A11220" s="258"/>
      <c r="Z11220" s="258"/>
    </row>
    <row r="11221" spans="1:26" ht="12.75" customHeight="1" x14ac:dyDescent="0.2">
      <c r="A11221" s="258"/>
      <c r="Z11221" s="258"/>
    </row>
    <row r="11222" spans="1:26" ht="12.75" customHeight="1" x14ac:dyDescent="0.2">
      <c r="A11222" s="258"/>
      <c r="Z11222" s="258"/>
    </row>
    <row r="11223" spans="1:26" ht="12.75" customHeight="1" x14ac:dyDescent="0.2">
      <c r="A11223" s="258"/>
      <c r="Z11223" s="258"/>
    </row>
    <row r="11224" spans="1:26" ht="12.75" customHeight="1" x14ac:dyDescent="0.2">
      <c r="A11224" s="258"/>
      <c r="Z11224" s="258"/>
    </row>
    <row r="11225" spans="1:26" ht="12.75" customHeight="1" x14ac:dyDescent="0.2">
      <c r="A11225" s="258"/>
      <c r="Z11225" s="258"/>
    </row>
    <row r="11226" spans="1:26" ht="12.75" customHeight="1" x14ac:dyDescent="0.2">
      <c r="A11226" s="258"/>
      <c r="Z11226" s="258"/>
    </row>
    <row r="11227" spans="1:26" ht="12.75" customHeight="1" x14ac:dyDescent="0.2">
      <c r="A11227" s="258"/>
      <c r="Z11227" s="258"/>
    </row>
    <row r="11228" spans="1:26" ht="12.75" customHeight="1" x14ac:dyDescent="0.2">
      <c r="A11228" s="258"/>
      <c r="Z11228" s="258"/>
    </row>
    <row r="11229" spans="1:26" ht="12.75" customHeight="1" x14ac:dyDescent="0.2">
      <c r="A11229" s="258"/>
      <c r="Z11229" s="258"/>
    </row>
    <row r="11230" spans="1:26" ht="12.75" customHeight="1" x14ac:dyDescent="0.2">
      <c r="A11230" s="258"/>
      <c r="Z11230" s="258"/>
    </row>
    <row r="11231" spans="1:26" ht="12.75" customHeight="1" x14ac:dyDescent="0.2">
      <c r="A11231" s="258"/>
      <c r="Z11231" s="258"/>
    </row>
    <row r="11232" spans="1:26" ht="12.75" customHeight="1" x14ac:dyDescent="0.2">
      <c r="A11232" s="258"/>
      <c r="Z11232" s="258"/>
    </row>
    <row r="11233" spans="1:26" ht="12.75" customHeight="1" x14ac:dyDescent="0.2">
      <c r="A11233" s="258"/>
      <c r="Z11233" s="258"/>
    </row>
    <row r="11234" spans="1:26" ht="12.75" customHeight="1" x14ac:dyDescent="0.2">
      <c r="A11234" s="258"/>
      <c r="Z11234" s="258"/>
    </row>
    <row r="11235" spans="1:26" ht="12.75" customHeight="1" x14ac:dyDescent="0.2">
      <c r="A11235" s="258"/>
      <c r="Z11235" s="258"/>
    </row>
    <row r="11236" spans="1:26" ht="12.75" customHeight="1" x14ac:dyDescent="0.2">
      <c r="A11236" s="258"/>
      <c r="Z11236" s="258"/>
    </row>
    <row r="11237" spans="1:26" ht="12.75" customHeight="1" x14ac:dyDescent="0.2">
      <c r="A11237" s="258"/>
      <c r="Z11237" s="258"/>
    </row>
    <row r="11238" spans="1:26" ht="12.75" customHeight="1" x14ac:dyDescent="0.2">
      <c r="A11238" s="258"/>
      <c r="Z11238" s="258"/>
    </row>
    <row r="11239" spans="1:26" ht="12.75" customHeight="1" x14ac:dyDescent="0.2">
      <c r="A11239" s="258"/>
      <c r="Z11239" s="258"/>
    </row>
    <row r="11240" spans="1:26" ht="12.75" customHeight="1" x14ac:dyDescent="0.2">
      <c r="A11240" s="258"/>
      <c r="Z11240" s="258"/>
    </row>
    <row r="11241" spans="1:26" ht="12.75" customHeight="1" x14ac:dyDescent="0.2">
      <c r="A11241" s="258"/>
      <c r="Z11241" s="258"/>
    </row>
    <row r="11242" spans="1:26" ht="12.75" customHeight="1" x14ac:dyDescent="0.2">
      <c r="A11242" s="258"/>
      <c r="Z11242" s="258"/>
    </row>
    <row r="11243" spans="1:26" ht="12.75" customHeight="1" x14ac:dyDescent="0.2">
      <c r="A11243" s="258"/>
      <c r="Z11243" s="258"/>
    </row>
    <row r="11244" spans="1:26" ht="12.75" customHeight="1" x14ac:dyDescent="0.2">
      <c r="A11244" s="258"/>
      <c r="Z11244" s="258"/>
    </row>
    <row r="11245" spans="1:26" ht="12.75" customHeight="1" x14ac:dyDescent="0.2">
      <c r="A11245" s="258"/>
      <c r="Z11245" s="258"/>
    </row>
    <row r="11246" spans="1:26" ht="12.75" customHeight="1" x14ac:dyDescent="0.2">
      <c r="A11246" s="258"/>
      <c r="Z11246" s="258"/>
    </row>
    <row r="11247" spans="1:26" ht="12.75" customHeight="1" x14ac:dyDescent="0.2">
      <c r="A11247" s="258"/>
      <c r="Z11247" s="258"/>
    </row>
    <row r="11248" spans="1:26" ht="12.75" customHeight="1" x14ac:dyDescent="0.2">
      <c r="A11248" s="258"/>
      <c r="Z11248" s="258"/>
    </row>
    <row r="11249" spans="1:26" ht="12.75" customHeight="1" x14ac:dyDescent="0.2">
      <c r="A11249" s="258"/>
      <c r="Z11249" s="258"/>
    </row>
    <row r="11250" spans="1:26" ht="12.75" customHeight="1" x14ac:dyDescent="0.2">
      <c r="A11250" s="258"/>
      <c r="Z11250" s="258"/>
    </row>
    <row r="11251" spans="1:26" ht="12.75" customHeight="1" x14ac:dyDescent="0.2">
      <c r="A11251" s="258"/>
      <c r="Z11251" s="258"/>
    </row>
    <row r="11252" spans="1:26" ht="12.75" customHeight="1" x14ac:dyDescent="0.2">
      <c r="A11252" s="258"/>
      <c r="Z11252" s="258"/>
    </row>
    <row r="11253" spans="1:26" ht="12.75" customHeight="1" x14ac:dyDescent="0.2">
      <c r="A11253" s="258"/>
      <c r="Z11253" s="258"/>
    </row>
    <row r="11254" spans="1:26" ht="12.75" customHeight="1" x14ac:dyDescent="0.2">
      <c r="A11254" s="258"/>
      <c r="Z11254" s="258"/>
    </row>
    <row r="11255" spans="1:26" ht="12.75" customHeight="1" x14ac:dyDescent="0.2">
      <c r="A11255" s="258"/>
      <c r="Z11255" s="258"/>
    </row>
    <row r="11256" spans="1:26" ht="12.75" customHeight="1" x14ac:dyDescent="0.2">
      <c r="A11256" s="258"/>
      <c r="Z11256" s="258"/>
    </row>
    <row r="11257" spans="1:26" ht="12.75" customHeight="1" x14ac:dyDescent="0.2">
      <c r="A11257" s="258"/>
      <c r="Z11257" s="258"/>
    </row>
    <row r="11258" spans="1:26" ht="12.75" customHeight="1" x14ac:dyDescent="0.2">
      <c r="A11258" s="258"/>
      <c r="Z11258" s="258"/>
    </row>
    <row r="11259" spans="1:26" ht="12.75" customHeight="1" x14ac:dyDescent="0.2">
      <c r="A11259" s="258"/>
      <c r="Z11259" s="258"/>
    </row>
    <row r="11260" spans="1:26" ht="12.75" customHeight="1" x14ac:dyDescent="0.2">
      <c r="A11260" s="258"/>
      <c r="Z11260" s="258"/>
    </row>
    <row r="11261" spans="1:26" ht="12.75" customHeight="1" x14ac:dyDescent="0.2">
      <c r="A11261" s="258"/>
      <c r="Z11261" s="258"/>
    </row>
    <row r="11262" spans="1:26" ht="12.75" customHeight="1" x14ac:dyDescent="0.2">
      <c r="A11262" s="258"/>
      <c r="Z11262" s="258"/>
    </row>
    <row r="11263" spans="1:26" ht="12.75" customHeight="1" x14ac:dyDescent="0.2">
      <c r="A11263" s="258"/>
      <c r="Z11263" s="258"/>
    </row>
    <row r="11264" spans="1:26" ht="12.75" customHeight="1" x14ac:dyDescent="0.2">
      <c r="A11264" s="258"/>
      <c r="Z11264" s="258"/>
    </row>
    <row r="11265" spans="1:26" ht="12.75" customHeight="1" x14ac:dyDescent="0.2">
      <c r="A11265" s="258"/>
      <c r="Z11265" s="258"/>
    </row>
    <row r="11266" spans="1:26" ht="12.75" customHeight="1" x14ac:dyDescent="0.2">
      <c r="A11266" s="258"/>
      <c r="Z11266" s="258"/>
    </row>
    <row r="11267" spans="1:26" ht="12.75" customHeight="1" x14ac:dyDescent="0.2">
      <c r="A11267" s="258"/>
      <c r="Z11267" s="258"/>
    </row>
    <row r="11268" spans="1:26" ht="12.75" customHeight="1" x14ac:dyDescent="0.2">
      <c r="A11268" s="258"/>
      <c r="Z11268" s="258"/>
    </row>
    <row r="11269" spans="1:26" ht="12.75" customHeight="1" x14ac:dyDescent="0.2">
      <c r="A11269" s="258"/>
      <c r="Z11269" s="258"/>
    </row>
    <row r="11270" spans="1:26" ht="12.75" customHeight="1" x14ac:dyDescent="0.2">
      <c r="A11270" s="258"/>
      <c r="Z11270" s="258"/>
    </row>
    <row r="11271" spans="1:26" ht="12.75" customHeight="1" x14ac:dyDescent="0.2">
      <c r="A11271" s="258"/>
      <c r="Z11271" s="258"/>
    </row>
    <row r="11272" spans="1:26" ht="12.75" customHeight="1" x14ac:dyDescent="0.2">
      <c r="A11272" s="258"/>
      <c r="Z11272" s="258"/>
    </row>
    <row r="11273" spans="1:26" ht="12.75" customHeight="1" x14ac:dyDescent="0.2">
      <c r="A11273" s="258"/>
      <c r="Z11273" s="258"/>
    </row>
    <row r="11274" spans="1:26" ht="12.75" customHeight="1" x14ac:dyDescent="0.2">
      <c r="A11274" s="258"/>
      <c r="Z11274" s="258"/>
    </row>
    <row r="11275" spans="1:26" ht="12.75" customHeight="1" x14ac:dyDescent="0.2">
      <c r="A11275" s="258"/>
      <c r="Z11275" s="258"/>
    </row>
    <row r="11276" spans="1:26" ht="12.75" customHeight="1" x14ac:dyDescent="0.2">
      <c r="A11276" s="258"/>
      <c r="Z11276" s="258"/>
    </row>
    <row r="11277" spans="1:26" ht="12.75" customHeight="1" x14ac:dyDescent="0.2">
      <c r="A11277" s="258"/>
      <c r="Z11277" s="258"/>
    </row>
    <row r="11278" spans="1:26" ht="12.75" customHeight="1" x14ac:dyDescent="0.2">
      <c r="A11278" s="258"/>
      <c r="Z11278" s="258"/>
    </row>
    <row r="11279" spans="1:26" ht="12.75" customHeight="1" x14ac:dyDescent="0.2">
      <c r="A11279" s="258"/>
      <c r="Z11279" s="258"/>
    </row>
    <row r="11280" spans="1:26" ht="12.75" customHeight="1" x14ac:dyDescent="0.2">
      <c r="A11280" s="258"/>
      <c r="Z11280" s="258"/>
    </row>
    <row r="11281" spans="1:26" ht="12.75" customHeight="1" x14ac:dyDescent="0.2">
      <c r="A11281" s="258"/>
      <c r="Z11281" s="258"/>
    </row>
    <row r="11282" spans="1:26" ht="12.75" customHeight="1" x14ac:dyDescent="0.2">
      <c r="A11282" s="258"/>
      <c r="Z11282" s="258"/>
    </row>
    <row r="11283" spans="1:26" ht="12.75" customHeight="1" x14ac:dyDescent="0.2">
      <c r="A11283" s="258"/>
      <c r="Z11283" s="258"/>
    </row>
    <row r="11284" spans="1:26" ht="12.75" customHeight="1" x14ac:dyDescent="0.2">
      <c r="A11284" s="258"/>
      <c r="Z11284" s="258"/>
    </row>
    <row r="11285" spans="1:26" ht="12.75" customHeight="1" x14ac:dyDescent="0.2">
      <c r="A11285" s="258"/>
      <c r="Z11285" s="258"/>
    </row>
    <row r="11286" spans="1:26" ht="12.75" customHeight="1" x14ac:dyDescent="0.2">
      <c r="A11286" s="258"/>
      <c r="Z11286" s="258"/>
    </row>
    <row r="11287" spans="1:26" ht="12.75" customHeight="1" x14ac:dyDescent="0.2">
      <c r="A11287" s="258"/>
      <c r="Z11287" s="258"/>
    </row>
    <row r="11288" spans="1:26" ht="12.75" customHeight="1" x14ac:dyDescent="0.2">
      <c r="A11288" s="258"/>
      <c r="Z11288" s="258"/>
    </row>
    <row r="11289" spans="1:26" ht="12.75" customHeight="1" x14ac:dyDescent="0.2">
      <c r="A11289" s="258"/>
      <c r="Z11289" s="258"/>
    </row>
    <row r="11290" spans="1:26" ht="12.75" customHeight="1" x14ac:dyDescent="0.2">
      <c r="A11290" s="258"/>
      <c r="Z11290" s="258"/>
    </row>
    <row r="11291" spans="1:26" ht="12.75" customHeight="1" x14ac:dyDescent="0.2">
      <c r="A11291" s="258"/>
      <c r="Z11291" s="258"/>
    </row>
    <row r="11292" spans="1:26" ht="12.75" customHeight="1" x14ac:dyDescent="0.2">
      <c r="A11292" s="258"/>
      <c r="Z11292" s="258"/>
    </row>
    <row r="11293" spans="1:26" ht="12.75" customHeight="1" x14ac:dyDescent="0.2">
      <c r="A11293" s="258"/>
      <c r="Z11293" s="258"/>
    </row>
    <row r="11294" spans="1:26" ht="12.75" customHeight="1" x14ac:dyDescent="0.2">
      <c r="A11294" s="258"/>
      <c r="Z11294" s="258"/>
    </row>
    <row r="11295" spans="1:26" ht="12.75" customHeight="1" x14ac:dyDescent="0.2">
      <c r="A11295" s="258"/>
      <c r="Z11295" s="258"/>
    </row>
    <row r="11296" spans="1:26" ht="12.75" customHeight="1" x14ac:dyDescent="0.2">
      <c r="A11296" s="258"/>
      <c r="Z11296" s="258"/>
    </row>
    <row r="11297" spans="1:26" ht="12.75" customHeight="1" x14ac:dyDescent="0.2">
      <c r="A11297" s="258"/>
      <c r="Z11297" s="258"/>
    </row>
    <row r="11298" spans="1:26" ht="12.75" customHeight="1" x14ac:dyDescent="0.2">
      <c r="A11298" s="258"/>
      <c r="Z11298" s="258"/>
    </row>
    <row r="11299" spans="1:26" ht="12.75" customHeight="1" x14ac:dyDescent="0.2">
      <c r="A11299" s="258"/>
      <c r="Z11299" s="258"/>
    </row>
    <row r="11300" spans="1:26" ht="12.75" customHeight="1" x14ac:dyDescent="0.2">
      <c r="A11300" s="258"/>
      <c r="Z11300" s="258"/>
    </row>
    <row r="11301" spans="1:26" ht="12.75" customHeight="1" x14ac:dyDescent="0.2">
      <c r="A11301" s="258"/>
      <c r="Z11301" s="258"/>
    </row>
    <row r="11302" spans="1:26" ht="12.75" customHeight="1" x14ac:dyDescent="0.2">
      <c r="A11302" s="258"/>
      <c r="Z11302" s="258"/>
    </row>
    <row r="11303" spans="1:26" ht="12.75" customHeight="1" x14ac:dyDescent="0.2">
      <c r="A11303" s="258"/>
      <c r="Z11303" s="258"/>
    </row>
    <row r="11304" spans="1:26" ht="12.75" customHeight="1" x14ac:dyDescent="0.2">
      <c r="A11304" s="258"/>
      <c r="Z11304" s="258"/>
    </row>
    <row r="11305" spans="1:26" ht="12.75" customHeight="1" x14ac:dyDescent="0.2">
      <c r="A11305" s="258"/>
      <c r="Z11305" s="258"/>
    </row>
    <row r="11306" spans="1:26" ht="12.75" customHeight="1" x14ac:dyDescent="0.2">
      <c r="A11306" s="258"/>
      <c r="Z11306" s="258"/>
    </row>
    <row r="11307" spans="1:26" ht="12.75" customHeight="1" x14ac:dyDescent="0.2">
      <c r="A11307" s="258"/>
      <c r="Z11307" s="258"/>
    </row>
    <row r="11308" spans="1:26" ht="12.75" customHeight="1" x14ac:dyDescent="0.2">
      <c r="A11308" s="258"/>
      <c r="Z11308" s="258"/>
    </row>
    <row r="11309" spans="1:26" ht="12.75" customHeight="1" x14ac:dyDescent="0.2">
      <c r="A11309" s="258"/>
      <c r="Z11309" s="258"/>
    </row>
    <row r="11310" spans="1:26" ht="12.75" customHeight="1" x14ac:dyDescent="0.2">
      <c r="A11310" s="258"/>
      <c r="Z11310" s="258"/>
    </row>
    <row r="11311" spans="1:26" ht="12.75" customHeight="1" x14ac:dyDescent="0.2">
      <c r="A11311" s="258"/>
      <c r="Z11311" s="258"/>
    </row>
    <row r="11312" spans="1:26" ht="12.75" customHeight="1" x14ac:dyDescent="0.2">
      <c r="A11312" s="258"/>
      <c r="Z11312" s="258"/>
    </row>
    <row r="11313" spans="1:26" ht="12.75" customHeight="1" x14ac:dyDescent="0.2">
      <c r="A11313" s="258"/>
      <c r="Z11313" s="258"/>
    </row>
    <row r="11314" spans="1:26" ht="12.75" customHeight="1" x14ac:dyDescent="0.2">
      <c r="A11314" s="258"/>
      <c r="Z11314" s="258"/>
    </row>
    <row r="11315" spans="1:26" ht="12.75" customHeight="1" x14ac:dyDescent="0.2">
      <c r="A11315" s="258"/>
      <c r="Z11315" s="258"/>
    </row>
    <row r="11316" spans="1:26" ht="12.75" customHeight="1" x14ac:dyDescent="0.2">
      <c r="A11316" s="258"/>
      <c r="Z11316" s="258"/>
    </row>
    <row r="11317" spans="1:26" ht="12.75" customHeight="1" x14ac:dyDescent="0.2">
      <c r="A11317" s="258"/>
      <c r="Z11317" s="258"/>
    </row>
    <row r="11318" spans="1:26" ht="12.75" customHeight="1" x14ac:dyDescent="0.2">
      <c r="A11318" s="258"/>
      <c r="Z11318" s="258"/>
    </row>
    <row r="11319" spans="1:26" ht="12.75" customHeight="1" x14ac:dyDescent="0.2">
      <c r="A11319" s="258"/>
      <c r="Z11319" s="258"/>
    </row>
    <row r="11320" spans="1:26" ht="12.75" customHeight="1" x14ac:dyDescent="0.2">
      <c r="A11320" s="258"/>
      <c r="Z11320" s="258"/>
    </row>
    <row r="11321" spans="1:26" ht="12.75" customHeight="1" x14ac:dyDescent="0.2">
      <c r="A11321" s="258"/>
      <c r="Z11321" s="258"/>
    </row>
    <row r="11322" spans="1:26" ht="12.75" customHeight="1" x14ac:dyDescent="0.2">
      <c r="A11322" s="258"/>
      <c r="Z11322" s="258"/>
    </row>
    <row r="11323" spans="1:26" ht="12.75" customHeight="1" x14ac:dyDescent="0.2">
      <c r="A11323" s="258"/>
      <c r="Z11323" s="258"/>
    </row>
    <row r="11324" spans="1:26" ht="12.75" customHeight="1" x14ac:dyDescent="0.2">
      <c r="A11324" s="258"/>
      <c r="Z11324" s="258"/>
    </row>
    <row r="11325" spans="1:26" ht="12.75" customHeight="1" x14ac:dyDescent="0.2">
      <c r="A11325" s="258"/>
      <c r="Z11325" s="258"/>
    </row>
    <row r="11326" spans="1:26" ht="12.75" customHeight="1" x14ac:dyDescent="0.2">
      <c r="A11326" s="258"/>
      <c r="Z11326" s="258"/>
    </row>
    <row r="11327" spans="1:26" ht="12.75" customHeight="1" x14ac:dyDescent="0.2">
      <c r="A11327" s="258"/>
      <c r="Z11327" s="258"/>
    </row>
    <row r="11328" spans="1:26" ht="12.75" customHeight="1" x14ac:dyDescent="0.2">
      <c r="A11328" s="258"/>
      <c r="Z11328" s="258"/>
    </row>
    <row r="11329" spans="1:26" ht="12.75" customHeight="1" x14ac:dyDescent="0.2">
      <c r="A11329" s="258"/>
      <c r="Z11329" s="258"/>
    </row>
    <row r="11330" spans="1:26" ht="12.75" customHeight="1" x14ac:dyDescent="0.2">
      <c r="A11330" s="258"/>
      <c r="Z11330" s="258"/>
    </row>
    <row r="11331" spans="1:26" ht="12.75" customHeight="1" x14ac:dyDescent="0.2">
      <c r="A11331" s="258"/>
      <c r="Z11331" s="258"/>
    </row>
    <row r="11332" spans="1:26" ht="12.75" customHeight="1" x14ac:dyDescent="0.2">
      <c r="A11332" s="258"/>
      <c r="Z11332" s="258"/>
    </row>
    <row r="11333" spans="1:26" ht="12.75" customHeight="1" x14ac:dyDescent="0.2">
      <c r="A11333" s="258"/>
      <c r="Z11333" s="258"/>
    </row>
    <row r="11334" spans="1:26" ht="12.75" customHeight="1" x14ac:dyDescent="0.2">
      <c r="A11334" s="258"/>
      <c r="Z11334" s="258"/>
    </row>
    <row r="11335" spans="1:26" ht="12.75" customHeight="1" x14ac:dyDescent="0.2">
      <c r="A11335" s="258"/>
      <c r="Z11335" s="258"/>
    </row>
    <row r="11336" spans="1:26" ht="12.75" customHeight="1" x14ac:dyDescent="0.2">
      <c r="A11336" s="258"/>
      <c r="Z11336" s="258"/>
    </row>
    <row r="11337" spans="1:26" ht="12.75" customHeight="1" x14ac:dyDescent="0.2">
      <c r="A11337" s="258"/>
      <c r="Z11337" s="258"/>
    </row>
    <row r="11338" spans="1:26" ht="12.75" customHeight="1" x14ac:dyDescent="0.2">
      <c r="A11338" s="258"/>
      <c r="Z11338" s="258"/>
    </row>
    <row r="11339" spans="1:26" ht="12.75" customHeight="1" x14ac:dyDescent="0.2">
      <c r="A11339" s="258"/>
      <c r="Z11339" s="258"/>
    </row>
    <row r="11340" spans="1:26" ht="12.75" customHeight="1" x14ac:dyDescent="0.2">
      <c r="A11340" s="258"/>
      <c r="Z11340" s="258"/>
    </row>
    <row r="11341" spans="1:26" ht="12.75" customHeight="1" x14ac:dyDescent="0.2">
      <c r="A11341" s="258"/>
      <c r="Z11341" s="258"/>
    </row>
    <row r="11342" spans="1:26" ht="12.75" customHeight="1" x14ac:dyDescent="0.2">
      <c r="A11342" s="258"/>
      <c r="Z11342" s="258"/>
    </row>
    <row r="11343" spans="1:26" ht="12.75" customHeight="1" x14ac:dyDescent="0.2">
      <c r="A11343" s="258"/>
      <c r="Z11343" s="258"/>
    </row>
    <row r="11344" spans="1:26" ht="12.75" customHeight="1" x14ac:dyDescent="0.2">
      <c r="A11344" s="258"/>
      <c r="Z11344" s="258"/>
    </row>
    <row r="11345" spans="1:26" ht="12.75" customHeight="1" x14ac:dyDescent="0.2">
      <c r="A11345" s="258"/>
      <c r="Z11345" s="258"/>
    </row>
    <row r="11346" spans="1:26" ht="12.75" customHeight="1" x14ac:dyDescent="0.2">
      <c r="A11346" s="258"/>
      <c r="Z11346" s="258"/>
    </row>
    <row r="11347" spans="1:26" ht="12.75" customHeight="1" x14ac:dyDescent="0.2">
      <c r="A11347" s="258"/>
      <c r="Z11347" s="258"/>
    </row>
    <row r="11348" spans="1:26" ht="12.75" customHeight="1" x14ac:dyDescent="0.2">
      <c r="A11348" s="258"/>
      <c r="Z11348" s="258"/>
    </row>
    <row r="11349" spans="1:26" ht="12.75" customHeight="1" x14ac:dyDescent="0.2">
      <c r="A11349" s="258"/>
      <c r="Z11349" s="258"/>
    </row>
    <row r="11350" spans="1:26" ht="12.75" customHeight="1" x14ac:dyDescent="0.2">
      <c r="A11350" s="258"/>
      <c r="Z11350" s="258"/>
    </row>
    <row r="11351" spans="1:26" ht="12.75" customHeight="1" x14ac:dyDescent="0.2">
      <c r="A11351" s="258"/>
      <c r="Z11351" s="258"/>
    </row>
    <row r="11352" spans="1:26" ht="12.75" customHeight="1" x14ac:dyDescent="0.2">
      <c r="A11352" s="258"/>
      <c r="Z11352" s="258"/>
    </row>
    <row r="11353" spans="1:26" ht="12.75" customHeight="1" x14ac:dyDescent="0.2">
      <c r="A11353" s="258"/>
      <c r="Z11353" s="258"/>
    </row>
    <row r="11354" spans="1:26" ht="12.75" customHeight="1" x14ac:dyDescent="0.2">
      <c r="A11354" s="258"/>
      <c r="Z11354" s="258"/>
    </row>
    <row r="11355" spans="1:26" ht="12.75" customHeight="1" x14ac:dyDescent="0.2">
      <c r="A11355" s="258"/>
      <c r="Z11355" s="258"/>
    </row>
    <row r="11356" spans="1:26" ht="12.75" customHeight="1" x14ac:dyDescent="0.2">
      <c r="A11356" s="258"/>
      <c r="Z11356" s="258"/>
    </row>
    <row r="11357" spans="1:26" ht="12.75" customHeight="1" x14ac:dyDescent="0.2">
      <c r="A11357" s="258"/>
      <c r="Z11357" s="258"/>
    </row>
    <row r="11358" spans="1:26" ht="12.75" customHeight="1" x14ac:dyDescent="0.2">
      <c r="A11358" s="258"/>
      <c r="Z11358" s="258"/>
    </row>
    <row r="11359" spans="1:26" ht="12.75" customHeight="1" x14ac:dyDescent="0.2">
      <c r="A11359" s="258"/>
      <c r="Z11359" s="258"/>
    </row>
    <row r="11360" spans="1:26" ht="12.75" customHeight="1" x14ac:dyDescent="0.2">
      <c r="A11360" s="258"/>
      <c r="Z11360" s="258"/>
    </row>
    <row r="11361" spans="1:26" ht="12.75" customHeight="1" x14ac:dyDescent="0.2">
      <c r="A11361" s="258"/>
      <c r="Z11361" s="258"/>
    </row>
    <row r="11362" spans="1:26" ht="12.75" customHeight="1" x14ac:dyDescent="0.2">
      <c r="A11362" s="258"/>
      <c r="Z11362" s="258"/>
    </row>
    <row r="11363" spans="1:26" ht="12.75" customHeight="1" x14ac:dyDescent="0.2">
      <c r="A11363" s="258"/>
      <c r="Z11363" s="258"/>
    </row>
    <row r="11364" spans="1:26" ht="12.75" customHeight="1" x14ac:dyDescent="0.2">
      <c r="A11364" s="258"/>
      <c r="Z11364" s="258"/>
    </row>
    <row r="11365" spans="1:26" ht="12.75" customHeight="1" x14ac:dyDescent="0.2">
      <c r="A11365" s="258"/>
      <c r="Z11365" s="258"/>
    </row>
    <row r="11366" spans="1:26" ht="12.75" customHeight="1" x14ac:dyDescent="0.2">
      <c r="A11366" s="258"/>
      <c r="Z11366" s="258"/>
    </row>
    <row r="11367" spans="1:26" ht="12.75" customHeight="1" x14ac:dyDescent="0.2">
      <c r="A11367" s="258"/>
      <c r="Z11367" s="258"/>
    </row>
    <row r="11368" spans="1:26" ht="12.75" customHeight="1" x14ac:dyDescent="0.2">
      <c r="A11368" s="258"/>
      <c r="Z11368" s="258"/>
    </row>
    <row r="11369" spans="1:26" ht="12.75" customHeight="1" x14ac:dyDescent="0.2">
      <c r="A11369" s="258"/>
      <c r="Z11369" s="258"/>
    </row>
    <row r="11370" spans="1:26" ht="12.75" customHeight="1" x14ac:dyDescent="0.2">
      <c r="A11370" s="258"/>
      <c r="Z11370" s="258"/>
    </row>
    <row r="11371" spans="1:26" ht="12.75" customHeight="1" x14ac:dyDescent="0.2">
      <c r="A11371" s="258"/>
      <c r="Z11371" s="258"/>
    </row>
    <row r="11372" spans="1:26" ht="12.75" customHeight="1" x14ac:dyDescent="0.2">
      <c r="A11372" s="258"/>
      <c r="Z11372" s="258"/>
    </row>
    <row r="11373" spans="1:26" ht="12.75" customHeight="1" x14ac:dyDescent="0.2">
      <c r="A11373" s="258"/>
      <c r="Z11373" s="258"/>
    </row>
    <row r="11374" spans="1:26" ht="12.75" customHeight="1" x14ac:dyDescent="0.2">
      <c r="A11374" s="258"/>
      <c r="Z11374" s="258"/>
    </row>
    <row r="11375" spans="1:26" ht="12.75" customHeight="1" x14ac:dyDescent="0.2">
      <c r="A11375" s="258"/>
      <c r="Z11375" s="258"/>
    </row>
    <row r="11376" spans="1:26" ht="12.75" customHeight="1" x14ac:dyDescent="0.2">
      <c r="A11376" s="258"/>
      <c r="Z11376" s="258"/>
    </row>
    <row r="11377" spans="1:26" ht="12.75" customHeight="1" x14ac:dyDescent="0.2">
      <c r="A11377" s="258"/>
      <c r="Z11377" s="258"/>
    </row>
    <row r="11378" spans="1:26" ht="12.75" customHeight="1" x14ac:dyDescent="0.2">
      <c r="A11378" s="258"/>
      <c r="Z11378" s="258"/>
    </row>
    <row r="11379" spans="1:26" ht="12.75" customHeight="1" x14ac:dyDescent="0.2">
      <c r="A11379" s="258"/>
      <c r="Z11379" s="258"/>
    </row>
    <row r="11380" spans="1:26" ht="12.75" customHeight="1" x14ac:dyDescent="0.2">
      <c r="A11380" s="258"/>
      <c r="Z11380" s="258"/>
    </row>
    <row r="11381" spans="1:26" ht="12.75" customHeight="1" x14ac:dyDescent="0.2">
      <c r="A11381" s="258"/>
      <c r="Z11381" s="258"/>
    </row>
    <row r="11382" spans="1:26" ht="12.75" customHeight="1" x14ac:dyDescent="0.2">
      <c r="A11382" s="258"/>
      <c r="Z11382" s="258"/>
    </row>
    <row r="11383" spans="1:26" ht="12.75" customHeight="1" x14ac:dyDescent="0.2">
      <c r="A11383" s="258"/>
      <c r="Z11383" s="258"/>
    </row>
    <row r="11384" spans="1:26" ht="12.75" customHeight="1" x14ac:dyDescent="0.2">
      <c r="A11384" s="258"/>
      <c r="Z11384" s="258"/>
    </row>
    <row r="11385" spans="1:26" ht="12.75" customHeight="1" x14ac:dyDescent="0.2">
      <c r="A11385" s="258"/>
      <c r="Z11385" s="258"/>
    </row>
    <row r="11386" spans="1:26" ht="12.75" customHeight="1" x14ac:dyDescent="0.2">
      <c r="A11386" s="258"/>
      <c r="Z11386" s="258"/>
    </row>
    <row r="11387" spans="1:26" ht="12.75" customHeight="1" x14ac:dyDescent="0.2">
      <c r="A11387" s="258"/>
      <c r="Z11387" s="258"/>
    </row>
    <row r="11388" spans="1:26" ht="12.75" customHeight="1" x14ac:dyDescent="0.2">
      <c r="A11388" s="258"/>
      <c r="Z11388" s="258"/>
    </row>
    <row r="11389" spans="1:26" ht="12.75" customHeight="1" x14ac:dyDescent="0.2">
      <c r="A11389" s="258"/>
      <c r="Z11389" s="258"/>
    </row>
    <row r="11390" spans="1:26" ht="12.75" customHeight="1" x14ac:dyDescent="0.2">
      <c r="A11390" s="258"/>
      <c r="Z11390" s="258"/>
    </row>
    <row r="11391" spans="1:26" ht="12.75" customHeight="1" x14ac:dyDescent="0.2">
      <c r="A11391" s="258"/>
      <c r="Z11391" s="258"/>
    </row>
    <row r="11392" spans="1:26" ht="12.75" customHeight="1" x14ac:dyDescent="0.2">
      <c r="A11392" s="258"/>
      <c r="Z11392" s="258"/>
    </row>
    <row r="11393" spans="1:26" ht="12.75" customHeight="1" x14ac:dyDescent="0.2">
      <c r="A11393" s="258"/>
      <c r="Z11393" s="258"/>
    </row>
    <row r="11394" spans="1:26" ht="12.75" customHeight="1" x14ac:dyDescent="0.2">
      <c r="A11394" s="258"/>
      <c r="Z11394" s="258"/>
    </row>
    <row r="11395" spans="1:26" ht="12.75" customHeight="1" x14ac:dyDescent="0.2">
      <c r="A11395" s="258"/>
      <c r="Z11395" s="258"/>
    </row>
    <row r="11396" spans="1:26" ht="12.75" customHeight="1" x14ac:dyDescent="0.2">
      <c r="A11396" s="258"/>
      <c r="Z11396" s="258"/>
    </row>
    <row r="11397" spans="1:26" ht="12.75" customHeight="1" x14ac:dyDescent="0.2">
      <c r="A11397" s="258"/>
      <c r="Z11397" s="258"/>
    </row>
    <row r="11398" spans="1:26" ht="12.75" customHeight="1" x14ac:dyDescent="0.2">
      <c r="A11398" s="258"/>
      <c r="Z11398" s="258"/>
    </row>
    <row r="11399" spans="1:26" ht="12.75" customHeight="1" x14ac:dyDescent="0.2">
      <c r="A11399" s="258"/>
      <c r="Z11399" s="258"/>
    </row>
    <row r="11400" spans="1:26" ht="12.75" customHeight="1" x14ac:dyDescent="0.2">
      <c r="A11400" s="258"/>
      <c r="Z11400" s="258"/>
    </row>
    <row r="11401" spans="1:26" ht="12.75" customHeight="1" x14ac:dyDescent="0.2">
      <c r="A11401" s="258"/>
      <c r="Z11401" s="258"/>
    </row>
    <row r="11402" spans="1:26" ht="12.75" customHeight="1" x14ac:dyDescent="0.2">
      <c r="A11402" s="258"/>
      <c r="Z11402" s="258"/>
    </row>
    <row r="11403" spans="1:26" ht="12.75" customHeight="1" x14ac:dyDescent="0.2">
      <c r="A11403" s="258"/>
      <c r="Z11403" s="258"/>
    </row>
    <row r="11404" spans="1:26" ht="12.75" customHeight="1" x14ac:dyDescent="0.2">
      <c r="A11404" s="258"/>
      <c r="Z11404" s="258"/>
    </row>
    <row r="11405" spans="1:26" ht="12.75" customHeight="1" x14ac:dyDescent="0.2">
      <c r="A11405" s="258"/>
      <c r="Z11405" s="258"/>
    </row>
    <row r="11406" spans="1:26" ht="12.75" customHeight="1" x14ac:dyDescent="0.2">
      <c r="A11406" s="258"/>
      <c r="Z11406" s="258"/>
    </row>
    <row r="11407" spans="1:26" ht="12.75" customHeight="1" x14ac:dyDescent="0.2">
      <c r="A11407" s="258"/>
      <c r="Z11407" s="258"/>
    </row>
    <row r="11408" spans="1:26" ht="12.75" customHeight="1" x14ac:dyDescent="0.2">
      <c r="A11408" s="258"/>
      <c r="Z11408" s="258"/>
    </row>
    <row r="11409" spans="1:26" ht="12.75" customHeight="1" x14ac:dyDescent="0.2">
      <c r="A11409" s="258"/>
      <c r="Z11409" s="258"/>
    </row>
    <row r="11410" spans="1:26" ht="12.75" customHeight="1" x14ac:dyDescent="0.2">
      <c r="A11410" s="258"/>
      <c r="Z11410" s="258"/>
    </row>
    <row r="11411" spans="1:26" ht="12.75" customHeight="1" x14ac:dyDescent="0.2">
      <c r="A11411" s="258"/>
      <c r="Z11411" s="258"/>
    </row>
    <row r="11412" spans="1:26" ht="12.75" customHeight="1" x14ac:dyDescent="0.2">
      <c r="A11412" s="258"/>
      <c r="Z11412" s="258"/>
    </row>
    <row r="11413" spans="1:26" ht="12.75" customHeight="1" x14ac:dyDescent="0.2">
      <c r="A11413" s="258"/>
      <c r="Z11413" s="258"/>
    </row>
    <row r="11414" spans="1:26" ht="12.75" customHeight="1" x14ac:dyDescent="0.2">
      <c r="A11414" s="258"/>
      <c r="Z11414" s="258"/>
    </row>
    <row r="11415" spans="1:26" ht="12.75" customHeight="1" x14ac:dyDescent="0.2">
      <c r="A11415" s="258"/>
      <c r="Z11415" s="258"/>
    </row>
    <row r="11416" spans="1:26" ht="12.75" customHeight="1" x14ac:dyDescent="0.2">
      <c r="A11416" s="258"/>
      <c r="Z11416" s="258"/>
    </row>
    <row r="11417" spans="1:26" ht="12.75" customHeight="1" x14ac:dyDescent="0.2">
      <c r="A11417" s="258"/>
      <c r="Z11417" s="258"/>
    </row>
    <row r="11418" spans="1:26" ht="12.75" customHeight="1" x14ac:dyDescent="0.2">
      <c r="A11418" s="258"/>
      <c r="Z11418" s="258"/>
    </row>
    <row r="11419" spans="1:26" ht="12.75" customHeight="1" x14ac:dyDescent="0.2">
      <c r="A11419" s="258"/>
      <c r="Z11419" s="258"/>
    </row>
    <row r="11420" spans="1:26" ht="12.75" customHeight="1" x14ac:dyDescent="0.2">
      <c r="A11420" s="258"/>
      <c r="Z11420" s="258"/>
    </row>
    <row r="11421" spans="1:26" ht="12.75" customHeight="1" x14ac:dyDescent="0.2">
      <c r="A11421" s="258"/>
      <c r="Z11421" s="258"/>
    </row>
    <row r="11422" spans="1:26" ht="12.75" customHeight="1" x14ac:dyDescent="0.2">
      <c r="A11422" s="258"/>
      <c r="Z11422" s="258"/>
    </row>
    <row r="11423" spans="1:26" ht="12.75" customHeight="1" x14ac:dyDescent="0.2">
      <c r="A11423" s="258"/>
      <c r="Z11423" s="258"/>
    </row>
    <row r="11424" spans="1:26" ht="12.75" customHeight="1" x14ac:dyDescent="0.2">
      <c r="A11424" s="258"/>
      <c r="Z11424" s="258"/>
    </row>
    <row r="11425" spans="1:26" ht="12.75" customHeight="1" x14ac:dyDescent="0.2">
      <c r="A11425" s="258"/>
      <c r="Z11425" s="258"/>
    </row>
    <row r="11426" spans="1:26" ht="12.75" customHeight="1" x14ac:dyDescent="0.2">
      <c r="A11426" s="258"/>
      <c r="Z11426" s="258"/>
    </row>
    <row r="11427" spans="1:26" ht="12.75" customHeight="1" x14ac:dyDescent="0.2">
      <c r="A11427" s="258"/>
      <c r="Z11427" s="258"/>
    </row>
    <row r="11428" spans="1:26" ht="12.75" customHeight="1" x14ac:dyDescent="0.2">
      <c r="A11428" s="258"/>
      <c r="Z11428" s="258"/>
    </row>
    <row r="11429" spans="1:26" ht="12.75" customHeight="1" x14ac:dyDescent="0.2">
      <c r="A11429" s="258"/>
      <c r="Z11429" s="258"/>
    </row>
    <row r="11430" spans="1:26" ht="12.75" customHeight="1" x14ac:dyDescent="0.2">
      <c r="A11430" s="258"/>
      <c r="Z11430" s="258"/>
    </row>
    <row r="11431" spans="1:26" ht="12.75" customHeight="1" x14ac:dyDescent="0.2">
      <c r="A11431" s="258"/>
      <c r="Z11431" s="258"/>
    </row>
    <row r="11432" spans="1:26" ht="12.75" customHeight="1" x14ac:dyDescent="0.2">
      <c r="A11432" s="258"/>
      <c r="Z11432" s="258"/>
    </row>
    <row r="11433" spans="1:26" ht="12.75" customHeight="1" x14ac:dyDescent="0.2">
      <c r="A11433" s="258"/>
      <c r="Z11433" s="258"/>
    </row>
    <row r="11434" spans="1:26" ht="12.75" customHeight="1" x14ac:dyDescent="0.2">
      <c r="A11434" s="258"/>
      <c r="Z11434" s="258"/>
    </row>
    <row r="11435" spans="1:26" ht="12.75" customHeight="1" x14ac:dyDescent="0.2">
      <c r="A11435" s="258"/>
      <c r="Z11435" s="258"/>
    </row>
    <row r="11436" spans="1:26" ht="12.75" customHeight="1" x14ac:dyDescent="0.2">
      <c r="A11436" s="258"/>
      <c r="Z11436" s="258"/>
    </row>
    <row r="11437" spans="1:26" ht="12.75" customHeight="1" x14ac:dyDescent="0.2">
      <c r="A11437" s="258"/>
      <c r="Z11437" s="258"/>
    </row>
    <row r="11438" spans="1:26" ht="12.75" customHeight="1" x14ac:dyDescent="0.2">
      <c r="A11438" s="258"/>
      <c r="Z11438" s="258"/>
    </row>
    <row r="11439" spans="1:26" ht="12.75" customHeight="1" x14ac:dyDescent="0.2">
      <c r="A11439" s="258"/>
      <c r="Z11439" s="258"/>
    </row>
    <row r="11440" spans="1:26" ht="12.75" customHeight="1" x14ac:dyDescent="0.2">
      <c r="A11440" s="258"/>
      <c r="Z11440" s="258"/>
    </row>
    <row r="11441" spans="1:26" ht="12.75" customHeight="1" x14ac:dyDescent="0.2">
      <c r="A11441" s="258"/>
      <c r="Z11441" s="258"/>
    </row>
    <row r="11442" spans="1:26" ht="12.75" customHeight="1" x14ac:dyDescent="0.2">
      <c r="A11442" s="258"/>
      <c r="Z11442" s="258"/>
    </row>
    <row r="11443" spans="1:26" ht="12.75" customHeight="1" x14ac:dyDescent="0.2">
      <c r="A11443" s="258"/>
      <c r="Z11443" s="258"/>
    </row>
    <row r="11444" spans="1:26" ht="12.75" customHeight="1" x14ac:dyDescent="0.2">
      <c r="A11444" s="258"/>
      <c r="Z11444" s="258"/>
    </row>
    <row r="11445" spans="1:26" ht="12.75" customHeight="1" x14ac:dyDescent="0.2">
      <c r="A11445" s="258"/>
      <c r="Z11445" s="258"/>
    </row>
    <row r="11446" spans="1:26" ht="12.75" customHeight="1" x14ac:dyDescent="0.2">
      <c r="A11446" s="258"/>
      <c r="Z11446" s="258"/>
    </row>
    <row r="11447" spans="1:26" ht="12.75" customHeight="1" x14ac:dyDescent="0.2">
      <c r="A11447" s="258"/>
      <c r="Z11447" s="258"/>
    </row>
    <row r="11448" spans="1:26" ht="12.75" customHeight="1" x14ac:dyDescent="0.2">
      <c r="A11448" s="258"/>
      <c r="Z11448" s="258"/>
    </row>
    <row r="11449" spans="1:26" ht="12.75" customHeight="1" x14ac:dyDescent="0.2">
      <c r="A11449" s="258"/>
      <c r="Z11449" s="258"/>
    </row>
    <row r="11450" spans="1:26" ht="12.75" customHeight="1" x14ac:dyDescent="0.2">
      <c r="A11450" s="258"/>
      <c r="Z11450" s="258"/>
    </row>
    <row r="11451" spans="1:26" ht="12.75" customHeight="1" x14ac:dyDescent="0.2">
      <c r="A11451" s="258"/>
      <c r="Z11451" s="258"/>
    </row>
    <row r="11452" spans="1:26" ht="12.75" customHeight="1" x14ac:dyDescent="0.2">
      <c r="A11452" s="258"/>
      <c r="Z11452" s="258"/>
    </row>
    <row r="11453" spans="1:26" ht="12.75" customHeight="1" x14ac:dyDescent="0.2">
      <c r="A11453" s="258"/>
      <c r="Z11453" s="258"/>
    </row>
    <row r="11454" spans="1:26" ht="12.75" customHeight="1" x14ac:dyDescent="0.2">
      <c r="A11454" s="258"/>
      <c r="Z11454" s="258"/>
    </row>
    <row r="11455" spans="1:26" ht="12.75" customHeight="1" x14ac:dyDescent="0.2">
      <c r="A11455" s="258"/>
      <c r="Z11455" s="258"/>
    </row>
    <row r="11456" spans="1:26" ht="12.75" customHeight="1" x14ac:dyDescent="0.2">
      <c r="A11456" s="258"/>
      <c r="Z11456" s="258"/>
    </row>
    <row r="11457" spans="1:26" ht="12.75" customHeight="1" x14ac:dyDescent="0.2">
      <c r="A11457" s="258"/>
      <c r="Z11457" s="258"/>
    </row>
    <row r="11458" spans="1:26" ht="12.75" customHeight="1" x14ac:dyDescent="0.2">
      <c r="A11458" s="258"/>
      <c r="Z11458" s="258"/>
    </row>
    <row r="11459" spans="1:26" ht="12.75" customHeight="1" x14ac:dyDescent="0.2">
      <c r="A11459" s="258"/>
      <c r="Z11459" s="258"/>
    </row>
    <row r="11460" spans="1:26" ht="12.75" customHeight="1" x14ac:dyDescent="0.2">
      <c r="A11460" s="258"/>
      <c r="Z11460" s="258"/>
    </row>
    <row r="11461" spans="1:26" ht="12.75" customHeight="1" x14ac:dyDescent="0.2">
      <c r="A11461" s="258"/>
      <c r="Z11461" s="258"/>
    </row>
    <row r="11462" spans="1:26" ht="12.75" customHeight="1" x14ac:dyDescent="0.2">
      <c r="A11462" s="258"/>
      <c r="Z11462" s="258"/>
    </row>
    <row r="11463" spans="1:26" ht="12.75" customHeight="1" x14ac:dyDescent="0.2">
      <c r="A11463" s="258"/>
      <c r="Z11463" s="258"/>
    </row>
    <row r="11464" spans="1:26" ht="12.75" customHeight="1" x14ac:dyDescent="0.2">
      <c r="A11464" s="258"/>
      <c r="Z11464" s="258"/>
    </row>
    <row r="11465" spans="1:26" ht="12.75" customHeight="1" x14ac:dyDescent="0.2">
      <c r="A11465" s="258"/>
      <c r="Z11465" s="258"/>
    </row>
    <row r="11466" spans="1:26" ht="12.75" customHeight="1" x14ac:dyDescent="0.2">
      <c r="A11466" s="258"/>
      <c r="Z11466" s="258"/>
    </row>
    <row r="11467" spans="1:26" ht="12.75" customHeight="1" x14ac:dyDescent="0.2">
      <c r="A11467" s="258"/>
      <c r="Z11467" s="258"/>
    </row>
    <row r="11468" spans="1:26" ht="12.75" customHeight="1" x14ac:dyDescent="0.2">
      <c r="A11468" s="258"/>
      <c r="Z11468" s="258"/>
    </row>
    <row r="11469" spans="1:26" ht="12.75" customHeight="1" x14ac:dyDescent="0.2">
      <c r="A11469" s="258"/>
      <c r="Z11469" s="258"/>
    </row>
    <row r="11470" spans="1:26" ht="12.75" customHeight="1" x14ac:dyDescent="0.2">
      <c r="A11470" s="258"/>
      <c r="Z11470" s="258"/>
    </row>
    <row r="11471" spans="1:26" ht="12.75" customHeight="1" x14ac:dyDescent="0.2">
      <c r="A11471" s="258"/>
      <c r="Z11471" s="258"/>
    </row>
    <row r="11472" spans="1:26" ht="12.75" customHeight="1" x14ac:dyDescent="0.2">
      <c r="A11472" s="258"/>
      <c r="Z11472" s="258"/>
    </row>
    <row r="11473" spans="1:26" ht="12.75" customHeight="1" x14ac:dyDescent="0.2">
      <c r="A11473" s="258"/>
      <c r="Z11473" s="258"/>
    </row>
    <row r="11474" spans="1:26" ht="12.75" customHeight="1" x14ac:dyDescent="0.2">
      <c r="A11474" s="258"/>
      <c r="Z11474" s="258"/>
    </row>
    <row r="11475" spans="1:26" ht="12.75" customHeight="1" x14ac:dyDescent="0.2">
      <c r="A11475" s="258"/>
      <c r="Z11475" s="258"/>
    </row>
    <row r="11476" spans="1:26" ht="12.75" customHeight="1" x14ac:dyDescent="0.2">
      <c r="A11476" s="258"/>
      <c r="Z11476" s="258"/>
    </row>
    <row r="11477" spans="1:26" ht="12.75" customHeight="1" x14ac:dyDescent="0.2">
      <c r="A11477" s="258"/>
      <c r="Z11477" s="258"/>
    </row>
    <row r="11478" spans="1:26" ht="12.75" customHeight="1" x14ac:dyDescent="0.2">
      <c r="A11478" s="258"/>
      <c r="Z11478" s="258"/>
    </row>
    <row r="11479" spans="1:26" ht="12.75" customHeight="1" x14ac:dyDescent="0.2">
      <c r="A11479" s="258"/>
      <c r="Z11479" s="258"/>
    </row>
    <row r="11480" spans="1:26" ht="12.75" customHeight="1" x14ac:dyDescent="0.2">
      <c r="A11480" s="258"/>
      <c r="Z11480" s="258"/>
    </row>
    <row r="11481" spans="1:26" ht="12.75" customHeight="1" x14ac:dyDescent="0.2">
      <c r="A11481" s="258"/>
      <c r="Z11481" s="258"/>
    </row>
    <row r="11482" spans="1:26" ht="12.75" customHeight="1" x14ac:dyDescent="0.2">
      <c r="A11482" s="258"/>
      <c r="Z11482" s="258"/>
    </row>
    <row r="11483" spans="1:26" ht="12.75" customHeight="1" x14ac:dyDescent="0.2">
      <c r="A11483" s="258"/>
      <c r="Z11483" s="258"/>
    </row>
    <row r="11484" spans="1:26" ht="12.75" customHeight="1" x14ac:dyDescent="0.2">
      <c r="A11484" s="258"/>
      <c r="Z11484" s="258"/>
    </row>
    <row r="11485" spans="1:26" ht="12.75" customHeight="1" x14ac:dyDescent="0.2">
      <c r="A11485" s="258"/>
      <c r="Z11485" s="258"/>
    </row>
    <row r="11486" spans="1:26" ht="12.75" customHeight="1" x14ac:dyDescent="0.2">
      <c r="A11486" s="258"/>
      <c r="Z11486" s="258"/>
    </row>
    <row r="11487" spans="1:26" ht="12.75" customHeight="1" x14ac:dyDescent="0.2">
      <c r="A11487" s="258"/>
      <c r="Z11487" s="258"/>
    </row>
    <row r="11488" spans="1:26" ht="12.75" customHeight="1" x14ac:dyDescent="0.2">
      <c r="A11488" s="258"/>
      <c r="Z11488" s="258"/>
    </row>
    <row r="11489" spans="1:26" ht="12.75" customHeight="1" x14ac:dyDescent="0.2">
      <c r="A11489" s="258"/>
      <c r="Z11489" s="258"/>
    </row>
    <row r="11490" spans="1:26" ht="12.75" customHeight="1" x14ac:dyDescent="0.2">
      <c r="A11490" s="258"/>
      <c r="Z11490" s="258"/>
    </row>
    <row r="11491" spans="1:26" ht="12.75" customHeight="1" x14ac:dyDescent="0.2">
      <c r="A11491" s="258"/>
      <c r="Z11491" s="258"/>
    </row>
    <row r="11492" spans="1:26" ht="12.75" customHeight="1" x14ac:dyDescent="0.2">
      <c r="A11492" s="258"/>
      <c r="Z11492" s="258"/>
    </row>
    <row r="11493" spans="1:26" ht="12.75" customHeight="1" x14ac:dyDescent="0.2">
      <c r="A11493" s="258"/>
      <c r="Z11493" s="258"/>
    </row>
    <row r="11494" spans="1:26" ht="12.75" customHeight="1" x14ac:dyDescent="0.2">
      <c r="A11494" s="258"/>
      <c r="Z11494" s="258"/>
    </row>
    <row r="11495" spans="1:26" ht="12.75" customHeight="1" x14ac:dyDescent="0.2">
      <c r="A11495" s="258"/>
      <c r="Z11495" s="258"/>
    </row>
    <row r="11496" spans="1:26" ht="12.75" customHeight="1" x14ac:dyDescent="0.2">
      <c r="A11496" s="258"/>
      <c r="Z11496" s="258"/>
    </row>
    <row r="11497" spans="1:26" ht="12.75" customHeight="1" x14ac:dyDescent="0.2">
      <c r="A11497" s="258"/>
      <c r="Z11497" s="258"/>
    </row>
    <row r="11498" spans="1:26" ht="12.75" customHeight="1" x14ac:dyDescent="0.2">
      <c r="A11498" s="258"/>
      <c r="Z11498" s="258"/>
    </row>
    <row r="11499" spans="1:26" ht="12.75" customHeight="1" x14ac:dyDescent="0.2">
      <c r="A11499" s="258"/>
      <c r="Z11499" s="258"/>
    </row>
    <row r="11500" spans="1:26" ht="12.75" customHeight="1" x14ac:dyDescent="0.2">
      <c r="A11500" s="258"/>
      <c r="Z11500" s="258"/>
    </row>
    <row r="11501" spans="1:26" ht="12.75" customHeight="1" x14ac:dyDescent="0.2">
      <c r="A11501" s="258"/>
      <c r="Z11501" s="258"/>
    </row>
    <row r="11502" spans="1:26" ht="12.75" customHeight="1" x14ac:dyDescent="0.2">
      <c r="A11502" s="258"/>
      <c r="Z11502" s="258"/>
    </row>
    <row r="11503" spans="1:26" ht="12.75" customHeight="1" x14ac:dyDescent="0.2">
      <c r="A11503" s="258"/>
      <c r="Z11503" s="258"/>
    </row>
    <row r="11504" spans="1:26" ht="12.75" customHeight="1" x14ac:dyDescent="0.2">
      <c r="A11504" s="258"/>
      <c r="Z11504" s="258"/>
    </row>
    <row r="11505" spans="1:26" ht="12.75" customHeight="1" x14ac:dyDescent="0.2">
      <c r="A11505" s="258"/>
      <c r="Z11505" s="258"/>
    </row>
    <row r="11506" spans="1:26" ht="12.75" customHeight="1" x14ac:dyDescent="0.2">
      <c r="A11506" s="258"/>
      <c r="Z11506" s="258"/>
    </row>
    <row r="11507" spans="1:26" ht="12.75" customHeight="1" x14ac:dyDescent="0.2">
      <c r="A11507" s="258"/>
      <c r="Z11507" s="258"/>
    </row>
    <row r="11508" spans="1:26" ht="12.75" customHeight="1" x14ac:dyDescent="0.2">
      <c r="A11508" s="258"/>
      <c r="Z11508" s="258"/>
    </row>
    <row r="11509" spans="1:26" ht="12.75" customHeight="1" x14ac:dyDescent="0.2">
      <c r="A11509" s="258"/>
      <c r="Z11509" s="258"/>
    </row>
    <row r="11510" spans="1:26" ht="12.75" customHeight="1" x14ac:dyDescent="0.2">
      <c r="A11510" s="258"/>
      <c r="Z11510" s="258"/>
    </row>
    <row r="11511" spans="1:26" ht="12.75" customHeight="1" x14ac:dyDescent="0.2">
      <c r="A11511" s="258"/>
      <c r="Z11511" s="258"/>
    </row>
    <row r="11512" spans="1:26" ht="12.75" customHeight="1" x14ac:dyDescent="0.2">
      <c r="A11512" s="258"/>
      <c r="Z11512" s="258"/>
    </row>
    <row r="11513" spans="1:26" ht="12.75" customHeight="1" x14ac:dyDescent="0.2">
      <c r="A11513" s="258"/>
      <c r="Z11513" s="258"/>
    </row>
    <row r="11514" spans="1:26" ht="12.75" customHeight="1" x14ac:dyDescent="0.2">
      <c r="A11514" s="258"/>
      <c r="Z11514" s="258"/>
    </row>
    <row r="11515" spans="1:26" ht="12.75" customHeight="1" x14ac:dyDescent="0.2">
      <c r="A11515" s="258"/>
      <c r="Z11515" s="258"/>
    </row>
    <row r="11516" spans="1:26" ht="12.75" customHeight="1" x14ac:dyDescent="0.2">
      <c r="A11516" s="258"/>
      <c r="Z11516" s="258"/>
    </row>
    <row r="11517" spans="1:26" ht="12.75" customHeight="1" x14ac:dyDescent="0.2">
      <c r="A11517" s="258"/>
      <c r="Z11517" s="258"/>
    </row>
    <row r="11518" spans="1:26" ht="12.75" customHeight="1" x14ac:dyDescent="0.2">
      <c r="A11518" s="258"/>
      <c r="Z11518" s="258"/>
    </row>
    <row r="11519" spans="1:26" ht="12.75" customHeight="1" x14ac:dyDescent="0.2">
      <c r="A11519" s="258"/>
      <c r="Z11519" s="258"/>
    </row>
    <row r="11520" spans="1:26" ht="12.75" customHeight="1" x14ac:dyDescent="0.2">
      <c r="A11520" s="258"/>
      <c r="Z11520" s="258"/>
    </row>
    <row r="11521" spans="1:26" ht="12.75" customHeight="1" x14ac:dyDescent="0.2">
      <c r="A11521" s="258"/>
      <c r="Z11521" s="258"/>
    </row>
    <row r="11522" spans="1:26" ht="12.75" customHeight="1" x14ac:dyDescent="0.2">
      <c r="A11522" s="258"/>
      <c r="Z11522" s="258"/>
    </row>
    <row r="11523" spans="1:26" ht="12.75" customHeight="1" x14ac:dyDescent="0.2">
      <c r="A11523" s="258"/>
      <c r="Z11523" s="258"/>
    </row>
    <row r="11524" spans="1:26" ht="12.75" customHeight="1" x14ac:dyDescent="0.2">
      <c r="A11524" s="258"/>
      <c r="Z11524" s="258"/>
    </row>
    <row r="11525" spans="1:26" ht="12.75" customHeight="1" x14ac:dyDescent="0.2">
      <c r="A11525" s="258"/>
      <c r="Z11525" s="258"/>
    </row>
    <row r="11526" spans="1:26" ht="12.75" customHeight="1" x14ac:dyDescent="0.2">
      <c r="A11526" s="258"/>
      <c r="Z11526" s="258"/>
    </row>
    <row r="11527" spans="1:26" ht="12.75" customHeight="1" x14ac:dyDescent="0.2">
      <c r="A11527" s="258"/>
      <c r="Z11527" s="258"/>
    </row>
    <row r="11528" spans="1:26" ht="12.75" customHeight="1" x14ac:dyDescent="0.2">
      <c r="A11528" s="258"/>
      <c r="Z11528" s="258"/>
    </row>
    <row r="11529" spans="1:26" ht="12.75" customHeight="1" x14ac:dyDescent="0.2">
      <c r="A11529" s="258"/>
      <c r="Z11529" s="258"/>
    </row>
    <row r="11530" spans="1:26" ht="12.75" customHeight="1" x14ac:dyDescent="0.2">
      <c r="A11530" s="258"/>
      <c r="Z11530" s="258"/>
    </row>
    <row r="11531" spans="1:26" ht="12.75" customHeight="1" x14ac:dyDescent="0.2">
      <c r="A11531" s="258"/>
      <c r="Z11531" s="258"/>
    </row>
    <row r="11532" spans="1:26" ht="12.75" customHeight="1" x14ac:dyDescent="0.2">
      <c r="A11532" s="258"/>
      <c r="Z11532" s="258"/>
    </row>
    <row r="11533" spans="1:26" ht="12.75" customHeight="1" x14ac:dyDescent="0.2">
      <c r="A11533" s="258"/>
      <c r="Z11533" s="258"/>
    </row>
    <row r="11534" spans="1:26" ht="12.75" customHeight="1" x14ac:dyDescent="0.2">
      <c r="A11534" s="258"/>
      <c r="Z11534" s="258"/>
    </row>
    <row r="11535" spans="1:26" ht="12.75" customHeight="1" x14ac:dyDescent="0.2">
      <c r="A11535" s="258"/>
      <c r="Z11535" s="258"/>
    </row>
    <row r="11536" spans="1:26" ht="12.75" customHeight="1" x14ac:dyDescent="0.2">
      <c r="A11536" s="258"/>
      <c r="Z11536" s="258"/>
    </row>
    <row r="11537" spans="1:26" ht="12.75" customHeight="1" x14ac:dyDescent="0.2">
      <c r="A11537" s="258"/>
      <c r="Z11537" s="258"/>
    </row>
    <row r="11538" spans="1:26" ht="12.75" customHeight="1" x14ac:dyDescent="0.2">
      <c r="A11538" s="258"/>
      <c r="Z11538" s="258"/>
    </row>
    <row r="11539" spans="1:26" ht="12.75" customHeight="1" x14ac:dyDescent="0.2">
      <c r="A11539" s="258"/>
      <c r="Z11539" s="258"/>
    </row>
    <row r="11540" spans="1:26" ht="12.75" customHeight="1" x14ac:dyDescent="0.2">
      <c r="A11540" s="258"/>
      <c r="Z11540" s="258"/>
    </row>
    <row r="11541" spans="1:26" ht="12.75" customHeight="1" x14ac:dyDescent="0.2">
      <c r="A11541" s="258"/>
      <c r="Z11541" s="258"/>
    </row>
    <row r="11542" spans="1:26" ht="12.75" customHeight="1" x14ac:dyDescent="0.2">
      <c r="A11542" s="258"/>
      <c r="Z11542" s="258"/>
    </row>
    <row r="11543" spans="1:26" ht="12.75" customHeight="1" x14ac:dyDescent="0.2">
      <c r="A11543" s="258"/>
      <c r="Z11543" s="258"/>
    </row>
    <row r="11544" spans="1:26" ht="12.75" customHeight="1" x14ac:dyDescent="0.2">
      <c r="A11544" s="258"/>
      <c r="Z11544" s="258"/>
    </row>
    <row r="11545" spans="1:26" ht="12.75" customHeight="1" x14ac:dyDescent="0.2">
      <c r="A11545" s="258"/>
      <c r="Z11545" s="258"/>
    </row>
    <row r="11546" spans="1:26" ht="12.75" customHeight="1" x14ac:dyDescent="0.2">
      <c r="A11546" s="258"/>
      <c r="Z11546" s="258"/>
    </row>
    <row r="11547" spans="1:26" ht="12.75" customHeight="1" x14ac:dyDescent="0.2">
      <c r="A11547" s="258"/>
      <c r="Z11547" s="258"/>
    </row>
    <row r="11548" spans="1:26" ht="12.75" customHeight="1" x14ac:dyDescent="0.2">
      <c r="A11548" s="258"/>
      <c r="Z11548" s="258"/>
    </row>
    <row r="11549" spans="1:26" ht="12.75" customHeight="1" x14ac:dyDescent="0.2">
      <c r="A11549" s="258"/>
      <c r="Z11549" s="258"/>
    </row>
    <row r="11550" spans="1:26" ht="12.75" customHeight="1" x14ac:dyDescent="0.2">
      <c r="A11550" s="258"/>
      <c r="Z11550" s="258"/>
    </row>
    <row r="11551" spans="1:26" ht="12.75" customHeight="1" x14ac:dyDescent="0.2">
      <c r="A11551" s="258"/>
      <c r="Z11551" s="258"/>
    </row>
    <row r="11552" spans="1:26" ht="12.75" customHeight="1" x14ac:dyDescent="0.2">
      <c r="A11552" s="258"/>
      <c r="Z11552" s="258"/>
    </row>
    <row r="11553" spans="1:26" ht="12.75" customHeight="1" x14ac:dyDescent="0.2">
      <c r="A11553" s="258"/>
      <c r="Z11553" s="258"/>
    </row>
    <row r="11554" spans="1:26" ht="12.75" customHeight="1" x14ac:dyDescent="0.2">
      <c r="A11554" s="258"/>
      <c r="Z11554" s="258"/>
    </row>
    <row r="11555" spans="1:26" ht="12.75" customHeight="1" x14ac:dyDescent="0.2">
      <c r="A11555" s="258"/>
      <c r="Z11555" s="258"/>
    </row>
    <row r="11556" spans="1:26" ht="12.75" customHeight="1" x14ac:dyDescent="0.2">
      <c r="A11556" s="258"/>
      <c r="Z11556" s="258"/>
    </row>
    <row r="11557" spans="1:26" ht="12.75" customHeight="1" x14ac:dyDescent="0.2">
      <c r="A11557" s="258"/>
      <c r="Z11557" s="258"/>
    </row>
    <row r="11558" spans="1:26" ht="12.75" customHeight="1" x14ac:dyDescent="0.2">
      <c r="A11558" s="258"/>
      <c r="Z11558" s="258"/>
    </row>
    <row r="11559" spans="1:26" ht="12.75" customHeight="1" x14ac:dyDescent="0.2">
      <c r="A11559" s="258"/>
      <c r="Z11559" s="258"/>
    </row>
    <row r="11560" spans="1:26" ht="12.75" customHeight="1" x14ac:dyDescent="0.2">
      <c r="A11560" s="258"/>
      <c r="Z11560" s="258"/>
    </row>
    <row r="11561" spans="1:26" ht="12.75" customHeight="1" x14ac:dyDescent="0.2">
      <c r="A11561" s="258"/>
      <c r="Z11561" s="258"/>
    </row>
    <row r="11562" spans="1:26" ht="12.75" customHeight="1" x14ac:dyDescent="0.2">
      <c r="A11562" s="258"/>
      <c r="Z11562" s="258"/>
    </row>
    <row r="11563" spans="1:26" ht="12.75" customHeight="1" x14ac:dyDescent="0.2">
      <c r="A11563" s="258"/>
      <c r="Z11563" s="258"/>
    </row>
    <row r="11564" spans="1:26" ht="12.75" customHeight="1" x14ac:dyDescent="0.2">
      <c r="A11564" s="258"/>
      <c r="Z11564" s="258"/>
    </row>
    <row r="11565" spans="1:26" ht="12.75" customHeight="1" x14ac:dyDescent="0.2">
      <c r="A11565" s="258"/>
      <c r="Z11565" s="258"/>
    </row>
    <row r="11566" spans="1:26" ht="12.75" customHeight="1" x14ac:dyDescent="0.2">
      <c r="A11566" s="258"/>
      <c r="Z11566" s="258"/>
    </row>
    <row r="11567" spans="1:26" ht="12.75" customHeight="1" x14ac:dyDescent="0.2">
      <c r="A11567" s="258"/>
      <c r="Z11567" s="258"/>
    </row>
    <row r="11568" spans="1:26" ht="12.75" customHeight="1" x14ac:dyDescent="0.2">
      <c r="A11568" s="258"/>
      <c r="Z11568" s="258"/>
    </row>
    <row r="11569" spans="1:26" ht="12.75" customHeight="1" x14ac:dyDescent="0.2">
      <c r="A11569" s="258"/>
      <c r="Z11569" s="258"/>
    </row>
    <row r="11570" spans="1:26" ht="12.75" customHeight="1" x14ac:dyDescent="0.2">
      <c r="A11570" s="258"/>
      <c r="Z11570" s="258"/>
    </row>
    <row r="11571" spans="1:26" ht="12.75" customHeight="1" x14ac:dyDescent="0.2">
      <c r="A11571" s="258"/>
      <c r="Z11571" s="258"/>
    </row>
    <row r="11572" spans="1:26" ht="12.75" customHeight="1" x14ac:dyDescent="0.2">
      <c r="A11572" s="258"/>
      <c r="Z11572" s="258"/>
    </row>
    <row r="11573" spans="1:26" ht="12.75" customHeight="1" x14ac:dyDescent="0.2">
      <c r="A11573" s="258"/>
      <c r="Z11573" s="258"/>
    </row>
    <row r="11574" spans="1:26" ht="12.75" customHeight="1" x14ac:dyDescent="0.2">
      <c r="A11574" s="258"/>
      <c r="Z11574" s="258"/>
    </row>
    <row r="11575" spans="1:26" ht="12.75" customHeight="1" x14ac:dyDescent="0.2">
      <c r="A11575" s="258"/>
      <c r="Z11575" s="258"/>
    </row>
    <row r="11576" spans="1:26" ht="12.75" customHeight="1" x14ac:dyDescent="0.2">
      <c r="A11576" s="258"/>
      <c r="Z11576" s="258"/>
    </row>
    <row r="11577" spans="1:26" ht="12.75" customHeight="1" x14ac:dyDescent="0.2">
      <c r="A11577" s="258"/>
      <c r="Z11577" s="258"/>
    </row>
    <row r="11578" spans="1:26" ht="12.75" customHeight="1" x14ac:dyDescent="0.2">
      <c r="A11578" s="258"/>
      <c r="Z11578" s="258"/>
    </row>
    <row r="11579" spans="1:26" ht="12.75" customHeight="1" x14ac:dyDescent="0.2">
      <c r="A11579" s="258"/>
      <c r="Z11579" s="258"/>
    </row>
    <row r="11580" spans="1:26" ht="12.75" customHeight="1" x14ac:dyDescent="0.2">
      <c r="A11580" s="258"/>
      <c r="Z11580" s="258"/>
    </row>
    <row r="11581" spans="1:26" ht="12.75" customHeight="1" x14ac:dyDescent="0.2">
      <c r="A11581" s="258"/>
      <c r="Z11581" s="258"/>
    </row>
    <row r="11582" spans="1:26" ht="12.75" customHeight="1" x14ac:dyDescent="0.2">
      <c r="A11582" s="258"/>
      <c r="Z11582" s="258"/>
    </row>
    <row r="11583" spans="1:26" ht="12.75" customHeight="1" x14ac:dyDescent="0.2">
      <c r="A11583" s="258"/>
      <c r="Z11583" s="258"/>
    </row>
    <row r="11584" spans="1:26" ht="12.75" customHeight="1" x14ac:dyDescent="0.2">
      <c r="A11584" s="258"/>
      <c r="Z11584" s="258"/>
    </row>
    <row r="11585" spans="1:26" ht="12.75" customHeight="1" x14ac:dyDescent="0.2">
      <c r="A11585" s="258"/>
      <c r="Z11585" s="258"/>
    </row>
    <row r="11586" spans="1:26" ht="12.75" customHeight="1" x14ac:dyDescent="0.2">
      <c r="A11586" s="258"/>
      <c r="Z11586" s="258"/>
    </row>
    <row r="11587" spans="1:26" ht="12.75" customHeight="1" x14ac:dyDescent="0.2">
      <c r="A11587" s="258"/>
      <c r="Z11587" s="258"/>
    </row>
    <row r="11588" spans="1:26" ht="12.75" customHeight="1" x14ac:dyDescent="0.2">
      <c r="A11588" s="258"/>
      <c r="Z11588" s="258"/>
    </row>
    <row r="11589" spans="1:26" ht="12.75" customHeight="1" x14ac:dyDescent="0.2">
      <c r="A11589" s="258"/>
      <c r="Z11589" s="258"/>
    </row>
    <row r="11590" spans="1:26" ht="12.75" customHeight="1" x14ac:dyDescent="0.2">
      <c r="A11590" s="258"/>
      <c r="Z11590" s="258"/>
    </row>
    <row r="11591" spans="1:26" ht="12.75" customHeight="1" x14ac:dyDescent="0.2">
      <c r="A11591" s="258"/>
      <c r="Z11591" s="258"/>
    </row>
    <row r="11592" spans="1:26" ht="12.75" customHeight="1" x14ac:dyDescent="0.2">
      <c r="A11592" s="258"/>
      <c r="Z11592" s="258"/>
    </row>
    <row r="11593" spans="1:26" ht="12.75" customHeight="1" x14ac:dyDescent="0.2">
      <c r="A11593" s="258"/>
      <c r="Z11593" s="258"/>
    </row>
    <row r="11594" spans="1:26" ht="12.75" customHeight="1" x14ac:dyDescent="0.2">
      <c r="A11594" s="258"/>
      <c r="Z11594" s="258"/>
    </row>
    <row r="11595" spans="1:26" ht="12.75" customHeight="1" x14ac:dyDescent="0.2">
      <c r="A11595" s="258"/>
      <c r="Z11595" s="258"/>
    </row>
    <row r="11596" spans="1:26" ht="12.75" customHeight="1" x14ac:dyDescent="0.2">
      <c r="A11596" s="258"/>
      <c r="Z11596" s="258"/>
    </row>
    <row r="11597" spans="1:26" ht="12.75" customHeight="1" x14ac:dyDescent="0.2">
      <c r="A11597" s="258"/>
      <c r="Z11597" s="258"/>
    </row>
    <row r="11598" spans="1:26" ht="12.75" customHeight="1" x14ac:dyDescent="0.2">
      <c r="A11598" s="258"/>
      <c r="Z11598" s="258"/>
    </row>
    <row r="11599" spans="1:26" ht="12.75" customHeight="1" x14ac:dyDescent="0.2">
      <c r="A11599" s="258"/>
      <c r="Z11599" s="258"/>
    </row>
    <row r="11600" spans="1:26" ht="12.75" customHeight="1" x14ac:dyDescent="0.2">
      <c r="A11600" s="258"/>
      <c r="Z11600" s="258"/>
    </row>
    <row r="11601" spans="1:26" ht="12.75" customHeight="1" x14ac:dyDescent="0.2">
      <c r="A11601" s="258"/>
      <c r="Z11601" s="258"/>
    </row>
    <row r="11602" spans="1:26" ht="12.75" customHeight="1" x14ac:dyDescent="0.2">
      <c r="A11602" s="258"/>
      <c r="Z11602" s="258"/>
    </row>
    <row r="11603" spans="1:26" ht="12.75" customHeight="1" x14ac:dyDescent="0.2">
      <c r="A11603" s="258"/>
      <c r="Z11603" s="258"/>
    </row>
    <row r="11604" spans="1:26" ht="12.75" customHeight="1" x14ac:dyDescent="0.2">
      <c r="A11604" s="258"/>
      <c r="Z11604" s="258"/>
    </row>
    <row r="11605" spans="1:26" ht="12.75" customHeight="1" x14ac:dyDescent="0.2">
      <c r="A11605" s="258"/>
      <c r="Z11605" s="258"/>
    </row>
    <row r="11606" spans="1:26" ht="12.75" customHeight="1" x14ac:dyDescent="0.2">
      <c r="A11606" s="258"/>
      <c r="Z11606" s="258"/>
    </row>
    <row r="11607" spans="1:26" ht="12.75" customHeight="1" x14ac:dyDescent="0.2">
      <c r="A11607" s="258"/>
      <c r="Z11607" s="258"/>
    </row>
    <row r="11608" spans="1:26" ht="12.75" customHeight="1" x14ac:dyDescent="0.2">
      <c r="A11608" s="258"/>
      <c r="Z11608" s="258"/>
    </row>
    <row r="11609" spans="1:26" ht="12.75" customHeight="1" x14ac:dyDescent="0.2">
      <c r="A11609" s="258"/>
      <c r="Z11609" s="258"/>
    </row>
    <row r="11610" spans="1:26" ht="12.75" customHeight="1" x14ac:dyDescent="0.2">
      <c r="A11610" s="258"/>
      <c r="Z11610" s="258"/>
    </row>
    <row r="11611" spans="1:26" ht="12.75" customHeight="1" x14ac:dyDescent="0.2">
      <c r="A11611" s="258"/>
      <c r="Z11611" s="258"/>
    </row>
    <row r="11612" spans="1:26" ht="12.75" customHeight="1" x14ac:dyDescent="0.2">
      <c r="A11612" s="258"/>
      <c r="Z11612" s="258"/>
    </row>
    <row r="11613" spans="1:26" ht="12.75" customHeight="1" x14ac:dyDescent="0.2">
      <c r="A11613" s="258"/>
      <c r="Z11613" s="258"/>
    </row>
    <row r="11614" spans="1:26" ht="12.75" customHeight="1" x14ac:dyDescent="0.2">
      <c r="A11614" s="258"/>
      <c r="Z11614" s="258"/>
    </row>
    <row r="11615" spans="1:26" ht="12.75" customHeight="1" x14ac:dyDescent="0.2">
      <c r="A11615" s="258"/>
      <c r="Z11615" s="258"/>
    </row>
    <row r="11616" spans="1:26" ht="12.75" customHeight="1" x14ac:dyDescent="0.2">
      <c r="A11616" s="258"/>
      <c r="Z11616" s="258"/>
    </row>
    <row r="11617" spans="1:26" ht="12.75" customHeight="1" x14ac:dyDescent="0.2">
      <c r="A11617" s="258"/>
      <c r="Z11617" s="258"/>
    </row>
    <row r="11618" spans="1:26" ht="12.75" customHeight="1" x14ac:dyDescent="0.2">
      <c r="A11618" s="258"/>
      <c r="Z11618" s="258"/>
    </row>
    <row r="11619" spans="1:26" ht="12.75" customHeight="1" x14ac:dyDescent="0.2">
      <c r="A11619" s="258"/>
      <c r="Z11619" s="258"/>
    </row>
    <row r="11620" spans="1:26" ht="12.75" customHeight="1" x14ac:dyDescent="0.2">
      <c r="A11620" s="258"/>
      <c r="Z11620" s="258"/>
    </row>
    <row r="11621" spans="1:26" ht="12.75" customHeight="1" x14ac:dyDescent="0.2">
      <c r="A11621" s="258"/>
      <c r="Z11621" s="258"/>
    </row>
    <row r="11622" spans="1:26" ht="12.75" customHeight="1" x14ac:dyDescent="0.2">
      <c r="A11622" s="258"/>
      <c r="Z11622" s="258"/>
    </row>
    <row r="11623" spans="1:26" ht="12.75" customHeight="1" x14ac:dyDescent="0.2">
      <c r="A11623" s="258"/>
      <c r="Z11623" s="258"/>
    </row>
    <row r="11624" spans="1:26" ht="12.75" customHeight="1" x14ac:dyDescent="0.2">
      <c r="A11624" s="258"/>
      <c r="Z11624" s="258"/>
    </row>
    <row r="11625" spans="1:26" ht="12.75" customHeight="1" x14ac:dyDescent="0.2">
      <c r="A11625" s="258"/>
      <c r="Z11625" s="258"/>
    </row>
    <row r="11626" spans="1:26" ht="12.75" customHeight="1" x14ac:dyDescent="0.2">
      <c r="A11626" s="258"/>
      <c r="Z11626" s="258"/>
    </row>
    <row r="11627" spans="1:26" ht="12.75" customHeight="1" x14ac:dyDescent="0.2">
      <c r="A11627" s="258"/>
      <c r="Z11627" s="258"/>
    </row>
    <row r="11628" spans="1:26" ht="12.75" customHeight="1" x14ac:dyDescent="0.2">
      <c r="A11628" s="258"/>
      <c r="Z11628" s="258"/>
    </row>
    <row r="11629" spans="1:26" ht="12.75" customHeight="1" x14ac:dyDescent="0.2">
      <c r="A11629" s="258"/>
      <c r="Z11629" s="258"/>
    </row>
    <row r="11630" spans="1:26" ht="12.75" customHeight="1" x14ac:dyDescent="0.2">
      <c r="A11630" s="258"/>
      <c r="Z11630" s="258"/>
    </row>
    <row r="11631" spans="1:26" ht="12.75" customHeight="1" x14ac:dyDescent="0.2">
      <c r="A11631" s="258"/>
      <c r="Z11631" s="258"/>
    </row>
    <row r="11632" spans="1:26" ht="12.75" customHeight="1" x14ac:dyDescent="0.2">
      <c r="A11632" s="258"/>
      <c r="Z11632" s="258"/>
    </row>
    <row r="11633" spans="1:26" ht="12.75" customHeight="1" x14ac:dyDescent="0.2">
      <c r="A11633" s="258"/>
      <c r="Z11633" s="258"/>
    </row>
    <row r="11634" spans="1:26" ht="12.75" customHeight="1" x14ac:dyDescent="0.2">
      <c r="A11634" s="258"/>
      <c r="Z11634" s="258"/>
    </row>
    <row r="11635" spans="1:26" ht="12.75" customHeight="1" x14ac:dyDescent="0.2">
      <c r="A11635" s="258"/>
      <c r="Z11635" s="258"/>
    </row>
    <row r="11636" spans="1:26" ht="12.75" customHeight="1" x14ac:dyDescent="0.2">
      <c r="A11636" s="258"/>
      <c r="Z11636" s="258"/>
    </row>
    <row r="11637" spans="1:26" ht="12.75" customHeight="1" x14ac:dyDescent="0.2">
      <c r="A11637" s="258"/>
      <c r="Z11637" s="258"/>
    </row>
    <row r="11638" spans="1:26" ht="12.75" customHeight="1" x14ac:dyDescent="0.2">
      <c r="A11638" s="258"/>
      <c r="Z11638" s="258"/>
    </row>
    <row r="11639" spans="1:26" ht="12.75" customHeight="1" x14ac:dyDescent="0.2">
      <c r="A11639" s="258"/>
      <c r="Z11639" s="258"/>
    </row>
    <row r="11640" spans="1:26" ht="12.75" customHeight="1" x14ac:dyDescent="0.2">
      <c r="A11640" s="258"/>
      <c r="Z11640" s="258"/>
    </row>
    <row r="11641" spans="1:26" ht="12.75" customHeight="1" x14ac:dyDescent="0.2">
      <c r="A11641" s="258"/>
      <c r="Z11641" s="258"/>
    </row>
    <row r="11642" spans="1:26" ht="12.75" customHeight="1" x14ac:dyDescent="0.2">
      <c r="A11642" s="258"/>
      <c r="Z11642" s="258"/>
    </row>
    <row r="11643" spans="1:26" ht="12.75" customHeight="1" x14ac:dyDescent="0.2">
      <c r="A11643" s="258"/>
      <c r="Z11643" s="258"/>
    </row>
    <row r="11644" spans="1:26" ht="12.75" customHeight="1" x14ac:dyDescent="0.2">
      <c r="A11644" s="258"/>
      <c r="Z11644" s="258"/>
    </row>
    <row r="11645" spans="1:26" ht="12.75" customHeight="1" x14ac:dyDescent="0.2">
      <c r="A11645" s="258"/>
      <c r="Z11645" s="258"/>
    </row>
    <row r="11646" spans="1:26" ht="12.75" customHeight="1" x14ac:dyDescent="0.2">
      <c r="A11646" s="258"/>
      <c r="Z11646" s="258"/>
    </row>
    <row r="11647" spans="1:26" ht="12.75" customHeight="1" x14ac:dyDescent="0.2">
      <c r="A11647" s="258"/>
      <c r="Z11647" s="258"/>
    </row>
    <row r="11648" spans="1:26" ht="12.75" customHeight="1" x14ac:dyDescent="0.2">
      <c r="A11648" s="258"/>
      <c r="Z11648" s="258"/>
    </row>
    <row r="11649" spans="1:26" ht="12.75" customHeight="1" x14ac:dyDescent="0.2">
      <c r="A11649" s="258"/>
      <c r="Z11649" s="258"/>
    </row>
    <row r="11650" spans="1:26" ht="12.75" customHeight="1" x14ac:dyDescent="0.2">
      <c r="A11650" s="258"/>
      <c r="Z11650" s="258"/>
    </row>
    <row r="11651" spans="1:26" ht="12.75" customHeight="1" x14ac:dyDescent="0.2">
      <c r="A11651" s="258"/>
      <c r="Z11651" s="258"/>
    </row>
    <row r="11652" spans="1:26" ht="12.75" customHeight="1" x14ac:dyDescent="0.2">
      <c r="A11652" s="258"/>
      <c r="Z11652" s="258"/>
    </row>
    <row r="11653" spans="1:26" ht="12.75" customHeight="1" x14ac:dyDescent="0.2">
      <c r="A11653" s="258"/>
      <c r="Z11653" s="258"/>
    </row>
    <row r="11654" spans="1:26" ht="12.75" customHeight="1" x14ac:dyDescent="0.2">
      <c r="A11654" s="258"/>
      <c r="Z11654" s="258"/>
    </row>
    <row r="11655" spans="1:26" ht="12.75" customHeight="1" x14ac:dyDescent="0.2">
      <c r="A11655" s="258"/>
      <c r="Z11655" s="258"/>
    </row>
    <row r="11656" spans="1:26" ht="12.75" customHeight="1" x14ac:dyDescent="0.2">
      <c r="A11656" s="258"/>
      <c r="Z11656" s="258"/>
    </row>
    <row r="11657" spans="1:26" ht="12.75" customHeight="1" x14ac:dyDescent="0.2">
      <c r="A11657" s="258"/>
      <c r="Z11657" s="258"/>
    </row>
    <row r="11658" spans="1:26" ht="12.75" customHeight="1" x14ac:dyDescent="0.2">
      <c r="A11658" s="258"/>
      <c r="Z11658" s="258"/>
    </row>
    <row r="11659" spans="1:26" ht="12.75" customHeight="1" x14ac:dyDescent="0.2">
      <c r="A11659" s="258"/>
      <c r="Z11659" s="258"/>
    </row>
    <row r="11660" spans="1:26" ht="12.75" customHeight="1" x14ac:dyDescent="0.2">
      <c r="A11660" s="258"/>
      <c r="Z11660" s="258"/>
    </row>
    <row r="11661" spans="1:26" ht="12.75" customHeight="1" x14ac:dyDescent="0.2">
      <c r="A11661" s="258"/>
      <c r="Z11661" s="258"/>
    </row>
    <row r="11662" spans="1:26" ht="12.75" customHeight="1" x14ac:dyDescent="0.2">
      <c r="A11662" s="258"/>
      <c r="Z11662" s="258"/>
    </row>
    <row r="11663" spans="1:26" ht="12.75" customHeight="1" x14ac:dyDescent="0.2">
      <c r="A11663" s="258"/>
      <c r="Z11663" s="258"/>
    </row>
    <row r="11664" spans="1:26" ht="12.75" customHeight="1" x14ac:dyDescent="0.2">
      <c r="A11664" s="258"/>
      <c r="Z11664" s="258"/>
    </row>
    <row r="11665" spans="1:26" ht="12.75" customHeight="1" x14ac:dyDescent="0.2">
      <c r="A11665" s="258"/>
      <c r="Z11665" s="258"/>
    </row>
    <row r="11666" spans="1:26" ht="12.75" customHeight="1" x14ac:dyDescent="0.2">
      <c r="A11666" s="258"/>
      <c r="Z11666" s="258"/>
    </row>
    <row r="11667" spans="1:26" ht="12.75" customHeight="1" x14ac:dyDescent="0.2">
      <c r="A11667" s="258"/>
      <c r="Z11667" s="258"/>
    </row>
    <row r="11668" spans="1:26" ht="12.75" customHeight="1" x14ac:dyDescent="0.2">
      <c r="A11668" s="258"/>
      <c r="Z11668" s="258"/>
    </row>
    <row r="11669" spans="1:26" ht="12.75" customHeight="1" x14ac:dyDescent="0.2">
      <c r="A11669" s="258"/>
      <c r="Z11669" s="258"/>
    </row>
    <row r="11670" spans="1:26" ht="12.75" customHeight="1" x14ac:dyDescent="0.2">
      <c r="A11670" s="258"/>
      <c r="Z11670" s="258"/>
    </row>
    <row r="11671" spans="1:26" ht="12.75" customHeight="1" x14ac:dyDescent="0.2">
      <c r="A11671" s="258"/>
      <c r="Z11671" s="258"/>
    </row>
    <row r="11672" spans="1:26" ht="12.75" customHeight="1" x14ac:dyDescent="0.2">
      <c r="A11672" s="258"/>
      <c r="Z11672" s="258"/>
    </row>
    <row r="11673" spans="1:26" ht="12.75" customHeight="1" x14ac:dyDescent="0.2">
      <c r="A11673" s="258"/>
      <c r="Z11673" s="258"/>
    </row>
    <row r="11674" spans="1:26" ht="12.75" customHeight="1" x14ac:dyDescent="0.2">
      <c r="A11674" s="258"/>
      <c r="Z11674" s="258"/>
    </row>
    <row r="11675" spans="1:26" ht="12.75" customHeight="1" x14ac:dyDescent="0.2">
      <c r="A11675" s="258"/>
      <c r="Z11675" s="258"/>
    </row>
    <row r="11676" spans="1:26" ht="12.75" customHeight="1" x14ac:dyDescent="0.2">
      <c r="A11676" s="258"/>
      <c r="Z11676" s="258"/>
    </row>
    <row r="11677" spans="1:26" ht="12.75" customHeight="1" x14ac:dyDescent="0.2">
      <c r="A11677" s="258"/>
      <c r="Z11677" s="258"/>
    </row>
    <row r="11678" spans="1:26" ht="12.75" customHeight="1" x14ac:dyDescent="0.2">
      <c r="A11678" s="258"/>
      <c r="Z11678" s="258"/>
    </row>
    <row r="11679" spans="1:26" ht="12.75" customHeight="1" x14ac:dyDescent="0.2">
      <c r="A11679" s="258"/>
      <c r="Z11679" s="258"/>
    </row>
    <row r="11680" spans="1:26" ht="12.75" customHeight="1" x14ac:dyDescent="0.2">
      <c r="A11680" s="258"/>
      <c r="Z11680" s="258"/>
    </row>
    <row r="11681" spans="1:26" ht="12.75" customHeight="1" x14ac:dyDescent="0.2">
      <c r="A11681" s="258"/>
      <c r="Z11681" s="258"/>
    </row>
    <row r="11682" spans="1:26" ht="12.75" customHeight="1" x14ac:dyDescent="0.2">
      <c r="A11682" s="258"/>
      <c r="Z11682" s="258"/>
    </row>
    <row r="11683" spans="1:26" ht="12.75" customHeight="1" x14ac:dyDescent="0.2">
      <c r="A11683" s="258"/>
      <c r="Z11683" s="258"/>
    </row>
    <row r="11684" spans="1:26" ht="12.75" customHeight="1" x14ac:dyDescent="0.2">
      <c r="A11684" s="258"/>
      <c r="Z11684" s="258"/>
    </row>
    <row r="11685" spans="1:26" ht="12.75" customHeight="1" x14ac:dyDescent="0.2">
      <c r="A11685" s="258"/>
      <c r="Z11685" s="258"/>
    </row>
    <row r="11686" spans="1:26" ht="12.75" customHeight="1" x14ac:dyDescent="0.2">
      <c r="A11686" s="258"/>
      <c r="Z11686" s="258"/>
    </row>
    <row r="11687" spans="1:26" ht="12.75" customHeight="1" x14ac:dyDescent="0.2">
      <c r="A11687" s="258"/>
      <c r="Z11687" s="258"/>
    </row>
    <row r="11688" spans="1:26" ht="12.75" customHeight="1" x14ac:dyDescent="0.2">
      <c r="A11688" s="258"/>
      <c r="Z11688" s="258"/>
    </row>
    <row r="11689" spans="1:26" ht="12.75" customHeight="1" x14ac:dyDescent="0.2">
      <c r="A11689" s="258"/>
      <c r="Z11689" s="258"/>
    </row>
    <row r="11690" spans="1:26" ht="12.75" customHeight="1" x14ac:dyDescent="0.2">
      <c r="A11690" s="258"/>
      <c r="Z11690" s="258"/>
    </row>
    <row r="11691" spans="1:26" ht="12.75" customHeight="1" x14ac:dyDescent="0.2">
      <c r="A11691" s="258"/>
      <c r="Z11691" s="258"/>
    </row>
    <row r="11692" spans="1:26" ht="12.75" customHeight="1" x14ac:dyDescent="0.2">
      <c r="A11692" s="258"/>
      <c r="Z11692" s="258"/>
    </row>
    <row r="11693" spans="1:26" ht="12.75" customHeight="1" x14ac:dyDescent="0.2">
      <c r="A11693" s="258"/>
      <c r="Z11693" s="258"/>
    </row>
    <row r="11694" spans="1:26" ht="12.75" customHeight="1" x14ac:dyDescent="0.2">
      <c r="A11694" s="258"/>
      <c r="Z11694" s="258"/>
    </row>
    <row r="11695" spans="1:26" ht="12.75" customHeight="1" x14ac:dyDescent="0.2">
      <c r="A11695" s="258"/>
      <c r="Z11695" s="258"/>
    </row>
    <row r="11696" spans="1:26" ht="12.75" customHeight="1" x14ac:dyDescent="0.2">
      <c r="A11696" s="258"/>
      <c r="Z11696" s="258"/>
    </row>
    <row r="11697" spans="1:26" ht="12.75" customHeight="1" x14ac:dyDescent="0.2">
      <c r="A11697" s="258"/>
      <c r="Z11697" s="258"/>
    </row>
    <row r="11698" spans="1:26" ht="12.75" customHeight="1" x14ac:dyDescent="0.2">
      <c r="A11698" s="258"/>
      <c r="Z11698" s="258"/>
    </row>
    <row r="11699" spans="1:26" ht="12.75" customHeight="1" x14ac:dyDescent="0.2">
      <c r="A11699" s="258"/>
      <c r="Z11699" s="258"/>
    </row>
    <row r="11700" spans="1:26" ht="12.75" customHeight="1" x14ac:dyDescent="0.2">
      <c r="A11700" s="258"/>
      <c r="Z11700" s="258"/>
    </row>
    <row r="11701" spans="1:26" ht="12.75" customHeight="1" x14ac:dyDescent="0.2">
      <c r="A11701" s="258"/>
      <c r="Z11701" s="258"/>
    </row>
    <row r="11702" spans="1:26" ht="12.75" customHeight="1" x14ac:dyDescent="0.2">
      <c r="A11702" s="258"/>
      <c r="Z11702" s="258"/>
    </row>
    <row r="11703" spans="1:26" ht="12.75" customHeight="1" x14ac:dyDescent="0.2">
      <c r="A11703" s="258"/>
      <c r="Z11703" s="258"/>
    </row>
    <row r="11704" spans="1:26" ht="12.75" customHeight="1" x14ac:dyDescent="0.2">
      <c r="A11704" s="258"/>
      <c r="Z11704" s="258"/>
    </row>
    <row r="11705" spans="1:26" ht="12.75" customHeight="1" x14ac:dyDescent="0.2">
      <c r="A11705" s="258"/>
      <c r="Z11705" s="258"/>
    </row>
    <row r="11706" spans="1:26" ht="12.75" customHeight="1" x14ac:dyDescent="0.2">
      <c r="A11706" s="258"/>
      <c r="Z11706" s="258"/>
    </row>
    <row r="11707" spans="1:26" ht="12.75" customHeight="1" x14ac:dyDescent="0.2">
      <c r="A11707" s="258"/>
      <c r="Z11707" s="258"/>
    </row>
    <row r="11708" spans="1:26" ht="12.75" customHeight="1" x14ac:dyDescent="0.2">
      <c r="A11708" s="258"/>
      <c r="Z11708" s="258"/>
    </row>
    <row r="11709" spans="1:26" ht="12.75" customHeight="1" x14ac:dyDescent="0.2">
      <c r="A11709" s="258"/>
      <c r="Z11709" s="258"/>
    </row>
    <row r="11710" spans="1:26" ht="12.75" customHeight="1" x14ac:dyDescent="0.2">
      <c r="A11710" s="258"/>
      <c r="Z11710" s="258"/>
    </row>
    <row r="11711" spans="1:26" ht="12.75" customHeight="1" x14ac:dyDescent="0.2">
      <c r="A11711" s="258"/>
      <c r="Z11711" s="258"/>
    </row>
    <row r="11712" spans="1:26" ht="12.75" customHeight="1" x14ac:dyDescent="0.2">
      <c r="A11712" s="258"/>
      <c r="Z11712" s="258"/>
    </row>
    <row r="11713" spans="1:26" ht="12.75" customHeight="1" x14ac:dyDescent="0.2">
      <c r="A11713" s="258"/>
      <c r="Z11713" s="258"/>
    </row>
    <row r="11714" spans="1:26" ht="12.75" customHeight="1" x14ac:dyDescent="0.2">
      <c r="A11714" s="258"/>
      <c r="Z11714" s="258"/>
    </row>
    <row r="11715" spans="1:26" ht="12.75" customHeight="1" x14ac:dyDescent="0.2">
      <c r="A11715" s="258"/>
      <c r="Z11715" s="258"/>
    </row>
    <row r="11716" spans="1:26" ht="12.75" customHeight="1" x14ac:dyDescent="0.2">
      <c r="A11716" s="258"/>
      <c r="Z11716" s="258"/>
    </row>
    <row r="11717" spans="1:26" ht="12.75" customHeight="1" x14ac:dyDescent="0.2">
      <c r="A11717" s="258"/>
      <c r="Z11717" s="258"/>
    </row>
    <row r="11718" spans="1:26" ht="12.75" customHeight="1" x14ac:dyDescent="0.2">
      <c r="A11718" s="258"/>
      <c r="Z11718" s="258"/>
    </row>
    <row r="11719" spans="1:26" ht="12.75" customHeight="1" x14ac:dyDescent="0.2">
      <c r="A11719" s="258"/>
      <c r="Z11719" s="258"/>
    </row>
    <row r="11720" spans="1:26" ht="12.75" customHeight="1" x14ac:dyDescent="0.2">
      <c r="A11720" s="258"/>
      <c r="Z11720" s="258"/>
    </row>
    <row r="11721" spans="1:26" ht="12.75" customHeight="1" x14ac:dyDescent="0.2">
      <c r="A11721" s="258"/>
      <c r="Z11721" s="258"/>
    </row>
    <row r="11722" spans="1:26" ht="12.75" customHeight="1" x14ac:dyDescent="0.2">
      <c r="A11722" s="258"/>
      <c r="Z11722" s="258"/>
    </row>
    <row r="11723" spans="1:26" ht="12.75" customHeight="1" x14ac:dyDescent="0.2">
      <c r="A11723" s="258"/>
      <c r="Z11723" s="258"/>
    </row>
    <row r="11724" spans="1:26" ht="12.75" customHeight="1" x14ac:dyDescent="0.2">
      <c r="A11724" s="258"/>
      <c r="Z11724" s="258"/>
    </row>
    <row r="11725" spans="1:26" ht="12.75" customHeight="1" x14ac:dyDescent="0.2">
      <c r="A11725" s="258"/>
      <c r="Z11725" s="258"/>
    </row>
    <row r="11726" spans="1:26" ht="12.75" customHeight="1" x14ac:dyDescent="0.2">
      <c r="A11726" s="258"/>
      <c r="Z11726" s="258"/>
    </row>
    <row r="11727" spans="1:26" ht="12.75" customHeight="1" x14ac:dyDescent="0.2">
      <c r="A11727" s="258"/>
      <c r="Z11727" s="258"/>
    </row>
    <row r="11728" spans="1:26" ht="12.75" customHeight="1" x14ac:dyDescent="0.2">
      <c r="A11728" s="258"/>
      <c r="Z11728" s="258"/>
    </row>
    <row r="11729" spans="1:26" ht="12.75" customHeight="1" x14ac:dyDescent="0.2">
      <c r="A11729" s="258"/>
      <c r="Z11729" s="258"/>
    </row>
    <row r="11730" spans="1:26" ht="12.75" customHeight="1" x14ac:dyDescent="0.2">
      <c r="A11730" s="258"/>
      <c r="Z11730" s="258"/>
    </row>
    <row r="11731" spans="1:26" ht="12.75" customHeight="1" x14ac:dyDescent="0.2">
      <c r="A11731" s="258"/>
      <c r="Z11731" s="258"/>
    </row>
    <row r="11732" spans="1:26" ht="12.75" customHeight="1" x14ac:dyDescent="0.2">
      <c r="A11732" s="258"/>
      <c r="Z11732" s="258"/>
    </row>
    <row r="11733" spans="1:26" ht="12.75" customHeight="1" x14ac:dyDescent="0.2">
      <c r="A11733" s="258"/>
      <c r="Z11733" s="258"/>
    </row>
    <row r="11734" spans="1:26" ht="12.75" customHeight="1" x14ac:dyDescent="0.2">
      <c r="A11734" s="258"/>
      <c r="Z11734" s="258"/>
    </row>
    <row r="11735" spans="1:26" ht="12.75" customHeight="1" x14ac:dyDescent="0.2">
      <c r="A11735" s="258"/>
      <c r="Z11735" s="258"/>
    </row>
    <row r="11736" spans="1:26" ht="12.75" customHeight="1" x14ac:dyDescent="0.2">
      <c r="A11736" s="258"/>
      <c r="Z11736" s="258"/>
    </row>
    <row r="11737" spans="1:26" ht="12.75" customHeight="1" x14ac:dyDescent="0.2">
      <c r="A11737" s="258"/>
      <c r="Z11737" s="258"/>
    </row>
    <row r="11738" spans="1:26" ht="12.75" customHeight="1" x14ac:dyDescent="0.2">
      <c r="A11738" s="258"/>
      <c r="Z11738" s="258"/>
    </row>
    <row r="11739" spans="1:26" ht="12.75" customHeight="1" x14ac:dyDescent="0.2">
      <c r="A11739" s="258"/>
      <c r="Z11739" s="258"/>
    </row>
    <row r="11740" spans="1:26" ht="12.75" customHeight="1" x14ac:dyDescent="0.2">
      <c r="A11740" s="258"/>
      <c r="Z11740" s="258"/>
    </row>
    <row r="11741" spans="1:26" ht="12.75" customHeight="1" x14ac:dyDescent="0.2">
      <c r="A11741" s="258"/>
      <c r="Z11741" s="258"/>
    </row>
    <row r="11742" spans="1:26" ht="12.75" customHeight="1" x14ac:dyDescent="0.2">
      <c r="A11742" s="258"/>
      <c r="Z11742" s="258"/>
    </row>
    <row r="11743" spans="1:26" ht="12.75" customHeight="1" x14ac:dyDescent="0.2">
      <c r="A11743" s="258"/>
      <c r="Z11743" s="258"/>
    </row>
    <row r="11744" spans="1:26" ht="12.75" customHeight="1" x14ac:dyDescent="0.2">
      <c r="A11744" s="258"/>
      <c r="Z11744" s="258"/>
    </row>
    <row r="11745" spans="1:26" ht="12.75" customHeight="1" x14ac:dyDescent="0.2">
      <c r="A11745" s="258"/>
      <c r="Z11745" s="258"/>
    </row>
    <row r="11746" spans="1:26" ht="12.75" customHeight="1" x14ac:dyDescent="0.2">
      <c r="A11746" s="258"/>
      <c r="Z11746" s="258"/>
    </row>
    <row r="11747" spans="1:26" ht="12.75" customHeight="1" x14ac:dyDescent="0.2">
      <c r="A11747" s="258"/>
      <c r="Z11747" s="258"/>
    </row>
    <row r="11748" spans="1:26" ht="12.75" customHeight="1" x14ac:dyDescent="0.2">
      <c r="A11748" s="258"/>
      <c r="Z11748" s="258"/>
    </row>
    <row r="11749" spans="1:26" ht="12.75" customHeight="1" x14ac:dyDescent="0.2">
      <c r="A11749" s="258"/>
      <c r="Z11749" s="258"/>
    </row>
    <row r="11750" spans="1:26" ht="12.75" customHeight="1" x14ac:dyDescent="0.2">
      <c r="A11750" s="258"/>
      <c r="Z11750" s="258"/>
    </row>
    <row r="11751" spans="1:26" ht="12.75" customHeight="1" x14ac:dyDescent="0.2">
      <c r="A11751" s="258"/>
      <c r="Z11751" s="258"/>
    </row>
    <row r="11752" spans="1:26" ht="12.75" customHeight="1" x14ac:dyDescent="0.2">
      <c r="A11752" s="258"/>
      <c r="Z11752" s="258"/>
    </row>
    <row r="11753" spans="1:26" ht="12.75" customHeight="1" x14ac:dyDescent="0.2">
      <c r="A11753" s="258"/>
      <c r="Z11753" s="258"/>
    </row>
    <row r="11754" spans="1:26" ht="12.75" customHeight="1" x14ac:dyDescent="0.2">
      <c r="A11754" s="258"/>
      <c r="Z11754" s="258"/>
    </row>
    <row r="11755" spans="1:26" ht="12.75" customHeight="1" x14ac:dyDescent="0.2">
      <c r="A11755" s="258"/>
      <c r="Z11755" s="258"/>
    </row>
    <row r="11756" spans="1:26" ht="12.75" customHeight="1" x14ac:dyDescent="0.2">
      <c r="A11756" s="258"/>
      <c r="Z11756" s="258"/>
    </row>
    <row r="11757" spans="1:26" ht="12.75" customHeight="1" x14ac:dyDescent="0.2">
      <c r="A11757" s="258"/>
      <c r="Z11757" s="258"/>
    </row>
    <row r="11758" spans="1:26" ht="12.75" customHeight="1" x14ac:dyDescent="0.2">
      <c r="A11758" s="258"/>
      <c r="Z11758" s="258"/>
    </row>
    <row r="11759" spans="1:26" ht="12.75" customHeight="1" x14ac:dyDescent="0.2">
      <c r="A11759" s="258"/>
      <c r="Z11759" s="258"/>
    </row>
    <row r="11760" spans="1:26" ht="12.75" customHeight="1" x14ac:dyDescent="0.2">
      <c r="A11760" s="258"/>
      <c r="Z11760" s="258"/>
    </row>
    <row r="11761" spans="1:26" ht="12.75" customHeight="1" x14ac:dyDescent="0.2">
      <c r="A11761" s="258"/>
      <c r="Z11761" s="258"/>
    </row>
    <row r="11762" spans="1:26" ht="12.75" customHeight="1" x14ac:dyDescent="0.2">
      <c r="A11762" s="258"/>
      <c r="Z11762" s="258"/>
    </row>
    <row r="11763" spans="1:26" ht="12.75" customHeight="1" x14ac:dyDescent="0.2">
      <c r="A11763" s="258"/>
      <c r="Z11763" s="258"/>
    </row>
    <row r="11764" spans="1:26" ht="12.75" customHeight="1" x14ac:dyDescent="0.2">
      <c r="A11764" s="258"/>
      <c r="Z11764" s="258"/>
    </row>
    <row r="11765" spans="1:26" ht="12.75" customHeight="1" x14ac:dyDescent="0.2">
      <c r="A11765" s="258"/>
      <c r="Z11765" s="258"/>
    </row>
    <row r="11766" spans="1:26" ht="12.75" customHeight="1" x14ac:dyDescent="0.2">
      <c r="A11766" s="258"/>
      <c r="Z11766" s="258"/>
    </row>
    <row r="11767" spans="1:26" ht="12.75" customHeight="1" x14ac:dyDescent="0.2">
      <c r="A11767" s="258"/>
      <c r="Z11767" s="258"/>
    </row>
    <row r="11768" spans="1:26" ht="12.75" customHeight="1" x14ac:dyDescent="0.2">
      <c r="A11768" s="258"/>
      <c r="Z11768" s="258"/>
    </row>
    <row r="11769" spans="1:26" ht="12.75" customHeight="1" x14ac:dyDescent="0.2">
      <c r="A11769" s="258"/>
      <c r="Z11769" s="258"/>
    </row>
    <row r="11770" spans="1:26" ht="12.75" customHeight="1" x14ac:dyDescent="0.2">
      <c r="A11770" s="258"/>
      <c r="Z11770" s="258"/>
    </row>
    <row r="11771" spans="1:26" ht="12.75" customHeight="1" x14ac:dyDescent="0.2">
      <c r="A11771" s="258"/>
      <c r="Z11771" s="258"/>
    </row>
    <row r="11772" spans="1:26" ht="12.75" customHeight="1" x14ac:dyDescent="0.2">
      <c r="A11772" s="258"/>
      <c r="Z11772" s="258"/>
    </row>
    <row r="11773" spans="1:26" ht="12.75" customHeight="1" x14ac:dyDescent="0.2">
      <c r="A11773" s="258"/>
      <c r="Z11773" s="258"/>
    </row>
    <row r="11774" spans="1:26" ht="12.75" customHeight="1" x14ac:dyDescent="0.2">
      <c r="A11774" s="258"/>
      <c r="Z11774" s="258"/>
    </row>
    <row r="11775" spans="1:26" ht="12.75" customHeight="1" x14ac:dyDescent="0.2">
      <c r="A11775" s="258"/>
      <c r="Z11775" s="258"/>
    </row>
    <row r="11776" spans="1:26" ht="12.75" customHeight="1" x14ac:dyDescent="0.2">
      <c r="A11776" s="258"/>
      <c r="Z11776" s="258"/>
    </row>
    <row r="11777" spans="1:26" ht="12.75" customHeight="1" x14ac:dyDescent="0.2">
      <c r="A11777" s="258"/>
      <c r="Z11777" s="258"/>
    </row>
    <row r="11778" spans="1:26" ht="12.75" customHeight="1" x14ac:dyDescent="0.2">
      <c r="A11778" s="258"/>
      <c r="Z11778" s="258"/>
    </row>
    <row r="11779" spans="1:26" ht="12.75" customHeight="1" x14ac:dyDescent="0.2">
      <c r="A11779" s="258"/>
      <c r="Z11779" s="258"/>
    </row>
    <row r="11780" spans="1:26" ht="12.75" customHeight="1" x14ac:dyDescent="0.2">
      <c r="A11780" s="258"/>
      <c r="Z11780" s="258"/>
    </row>
    <row r="11781" spans="1:26" ht="12.75" customHeight="1" x14ac:dyDescent="0.2">
      <c r="A11781" s="258"/>
      <c r="Z11781" s="258"/>
    </row>
    <row r="11782" spans="1:26" ht="12.75" customHeight="1" x14ac:dyDescent="0.2">
      <c r="A11782" s="258"/>
      <c r="Z11782" s="258"/>
    </row>
    <row r="11783" spans="1:26" ht="12.75" customHeight="1" x14ac:dyDescent="0.2">
      <c r="A11783" s="258"/>
      <c r="Z11783" s="258"/>
    </row>
    <row r="11784" spans="1:26" ht="12.75" customHeight="1" x14ac:dyDescent="0.2">
      <c r="A11784" s="258"/>
      <c r="Z11784" s="258"/>
    </row>
    <row r="11785" spans="1:26" ht="12.75" customHeight="1" x14ac:dyDescent="0.2">
      <c r="A11785" s="258"/>
      <c r="Z11785" s="258"/>
    </row>
    <row r="11786" spans="1:26" ht="12.75" customHeight="1" x14ac:dyDescent="0.2">
      <c r="A11786" s="258"/>
      <c r="Z11786" s="258"/>
    </row>
    <row r="11787" spans="1:26" ht="12.75" customHeight="1" x14ac:dyDescent="0.2">
      <c r="A11787" s="258"/>
      <c r="Z11787" s="258"/>
    </row>
    <row r="11788" spans="1:26" ht="12.75" customHeight="1" x14ac:dyDescent="0.2">
      <c r="A11788" s="258"/>
      <c r="Z11788" s="258"/>
    </row>
    <row r="11789" spans="1:26" ht="12.75" customHeight="1" x14ac:dyDescent="0.2">
      <c r="A11789" s="258"/>
      <c r="Z11789" s="258"/>
    </row>
    <row r="11790" spans="1:26" ht="12.75" customHeight="1" x14ac:dyDescent="0.2">
      <c r="A11790" s="258"/>
      <c r="Z11790" s="258"/>
    </row>
    <row r="11791" spans="1:26" ht="12.75" customHeight="1" x14ac:dyDescent="0.2">
      <c r="A11791" s="258"/>
      <c r="Z11791" s="258"/>
    </row>
    <row r="11792" spans="1:26" ht="12.75" customHeight="1" x14ac:dyDescent="0.2">
      <c r="A11792" s="258"/>
      <c r="Z11792" s="258"/>
    </row>
    <row r="11793" spans="1:26" ht="12.75" customHeight="1" x14ac:dyDescent="0.2">
      <c r="A11793" s="258"/>
      <c r="Z11793" s="258"/>
    </row>
    <row r="11794" spans="1:26" ht="12.75" customHeight="1" x14ac:dyDescent="0.2">
      <c r="A11794" s="258"/>
      <c r="Z11794" s="258"/>
    </row>
    <row r="11795" spans="1:26" ht="12.75" customHeight="1" x14ac:dyDescent="0.2">
      <c r="A11795" s="258"/>
      <c r="Z11795" s="258"/>
    </row>
    <row r="11796" spans="1:26" ht="12.75" customHeight="1" x14ac:dyDescent="0.2">
      <c r="A11796" s="258"/>
      <c r="Z11796" s="258"/>
    </row>
    <row r="11797" spans="1:26" ht="12.75" customHeight="1" x14ac:dyDescent="0.2">
      <c r="A11797" s="258"/>
      <c r="Z11797" s="258"/>
    </row>
    <row r="11798" spans="1:26" ht="12.75" customHeight="1" x14ac:dyDescent="0.2">
      <c r="A11798" s="258"/>
      <c r="Z11798" s="258"/>
    </row>
    <row r="11799" spans="1:26" ht="12.75" customHeight="1" x14ac:dyDescent="0.2">
      <c r="A11799" s="258"/>
      <c r="Z11799" s="258"/>
    </row>
    <row r="11800" spans="1:26" ht="12.75" customHeight="1" x14ac:dyDescent="0.2">
      <c r="A11800" s="258"/>
      <c r="Z11800" s="258"/>
    </row>
    <row r="11801" spans="1:26" ht="12.75" customHeight="1" x14ac:dyDescent="0.2">
      <c r="A11801" s="258"/>
      <c r="Z11801" s="258"/>
    </row>
    <row r="11802" spans="1:26" ht="12.75" customHeight="1" x14ac:dyDescent="0.2">
      <c r="A11802" s="258"/>
      <c r="Z11802" s="258"/>
    </row>
    <row r="11803" spans="1:26" ht="12.75" customHeight="1" x14ac:dyDescent="0.2">
      <c r="A11803" s="258"/>
      <c r="Z11803" s="258"/>
    </row>
    <row r="11804" spans="1:26" ht="12.75" customHeight="1" x14ac:dyDescent="0.2">
      <c r="A11804" s="258"/>
      <c r="Z11804" s="258"/>
    </row>
    <row r="11805" spans="1:26" ht="12.75" customHeight="1" x14ac:dyDescent="0.2">
      <c r="A11805" s="258"/>
      <c r="Z11805" s="258"/>
    </row>
    <row r="11806" spans="1:26" ht="12.75" customHeight="1" x14ac:dyDescent="0.2">
      <c r="A11806" s="258"/>
      <c r="Z11806" s="258"/>
    </row>
    <row r="11807" spans="1:26" ht="12.75" customHeight="1" x14ac:dyDescent="0.2">
      <c r="A11807" s="258"/>
      <c r="Z11807" s="258"/>
    </row>
    <row r="11808" spans="1:26" ht="12.75" customHeight="1" x14ac:dyDescent="0.2">
      <c r="A11808" s="258"/>
      <c r="Z11808" s="258"/>
    </row>
    <row r="11809" spans="1:26" ht="12.75" customHeight="1" x14ac:dyDescent="0.2">
      <c r="A11809" s="258"/>
      <c r="Z11809" s="258"/>
    </row>
    <row r="11810" spans="1:26" ht="12.75" customHeight="1" x14ac:dyDescent="0.2">
      <c r="A11810" s="258"/>
      <c r="Z11810" s="258"/>
    </row>
    <row r="11811" spans="1:26" ht="12.75" customHeight="1" x14ac:dyDescent="0.2">
      <c r="A11811" s="258"/>
      <c r="Z11811" s="258"/>
    </row>
    <row r="11812" spans="1:26" ht="12.75" customHeight="1" x14ac:dyDescent="0.2">
      <c r="A11812" s="258"/>
      <c r="Z11812" s="258"/>
    </row>
    <row r="11813" spans="1:26" ht="12.75" customHeight="1" x14ac:dyDescent="0.2">
      <c r="A11813" s="258"/>
      <c r="Z11813" s="258"/>
    </row>
    <row r="11814" spans="1:26" ht="12.75" customHeight="1" x14ac:dyDescent="0.2">
      <c r="A11814" s="258"/>
      <c r="Z11814" s="258"/>
    </row>
    <row r="11815" spans="1:26" ht="12.75" customHeight="1" x14ac:dyDescent="0.2">
      <c r="A11815" s="258"/>
      <c r="Z11815" s="258"/>
    </row>
    <row r="11816" spans="1:26" ht="12.75" customHeight="1" x14ac:dyDescent="0.2">
      <c r="A11816" s="258"/>
      <c r="Z11816" s="258"/>
    </row>
    <row r="11817" spans="1:26" ht="12.75" customHeight="1" x14ac:dyDescent="0.2">
      <c r="A11817" s="258"/>
      <c r="Z11817" s="258"/>
    </row>
    <row r="11818" spans="1:26" ht="12.75" customHeight="1" x14ac:dyDescent="0.2">
      <c r="A11818" s="258"/>
      <c r="Z11818" s="258"/>
    </row>
    <row r="11819" spans="1:26" ht="12.75" customHeight="1" x14ac:dyDescent="0.2">
      <c r="A11819" s="258"/>
      <c r="Z11819" s="258"/>
    </row>
    <row r="11820" spans="1:26" ht="12.75" customHeight="1" x14ac:dyDescent="0.2">
      <c r="A11820" s="258"/>
      <c r="Z11820" s="258"/>
    </row>
    <row r="11821" spans="1:26" ht="12.75" customHeight="1" x14ac:dyDescent="0.2">
      <c r="A11821" s="258"/>
      <c r="Z11821" s="258"/>
    </row>
    <row r="11822" spans="1:26" ht="12.75" customHeight="1" x14ac:dyDescent="0.2">
      <c r="A11822" s="258"/>
      <c r="Z11822" s="258"/>
    </row>
    <row r="11823" spans="1:26" ht="12.75" customHeight="1" x14ac:dyDescent="0.2">
      <c r="A11823" s="258"/>
      <c r="Z11823" s="258"/>
    </row>
    <row r="11824" spans="1:26" ht="12.75" customHeight="1" x14ac:dyDescent="0.2">
      <c r="A11824" s="258"/>
      <c r="Z11824" s="258"/>
    </row>
    <row r="11825" spans="1:26" ht="12.75" customHeight="1" x14ac:dyDescent="0.2">
      <c r="A11825" s="258"/>
      <c r="Z11825" s="258"/>
    </row>
    <row r="11826" spans="1:26" ht="12.75" customHeight="1" x14ac:dyDescent="0.2">
      <c r="A11826" s="258"/>
      <c r="Z11826" s="258"/>
    </row>
    <row r="11827" spans="1:26" ht="12.75" customHeight="1" x14ac:dyDescent="0.2">
      <c r="A11827" s="258"/>
      <c r="Z11827" s="258"/>
    </row>
    <row r="11828" spans="1:26" ht="12.75" customHeight="1" x14ac:dyDescent="0.2">
      <c r="A11828" s="258"/>
      <c r="Z11828" s="258"/>
    </row>
    <row r="11829" spans="1:26" ht="12.75" customHeight="1" x14ac:dyDescent="0.2">
      <c r="A11829" s="258"/>
      <c r="Z11829" s="258"/>
    </row>
    <row r="11830" spans="1:26" ht="12.75" customHeight="1" x14ac:dyDescent="0.2">
      <c r="A11830" s="258"/>
      <c r="Z11830" s="258"/>
    </row>
    <row r="11831" spans="1:26" ht="12.75" customHeight="1" x14ac:dyDescent="0.2">
      <c r="A11831" s="258"/>
      <c r="Z11831" s="258"/>
    </row>
    <row r="11832" spans="1:26" ht="12.75" customHeight="1" x14ac:dyDescent="0.2">
      <c r="A11832" s="258"/>
      <c r="Z11832" s="258"/>
    </row>
    <row r="11833" spans="1:26" ht="12.75" customHeight="1" x14ac:dyDescent="0.2">
      <c r="A11833" s="258"/>
      <c r="Z11833" s="258"/>
    </row>
    <row r="11834" spans="1:26" ht="12.75" customHeight="1" x14ac:dyDescent="0.2">
      <c r="A11834" s="258"/>
      <c r="Z11834" s="258"/>
    </row>
    <row r="11835" spans="1:26" ht="12.75" customHeight="1" x14ac:dyDescent="0.2">
      <c r="A11835" s="258"/>
      <c r="Z11835" s="258"/>
    </row>
    <row r="11836" spans="1:26" ht="12.75" customHeight="1" x14ac:dyDescent="0.2">
      <c r="A11836" s="258"/>
      <c r="Z11836" s="258"/>
    </row>
    <row r="11837" spans="1:26" ht="12.75" customHeight="1" x14ac:dyDescent="0.2">
      <c r="A11837" s="258"/>
      <c r="Z11837" s="258"/>
    </row>
    <row r="11838" spans="1:26" ht="12.75" customHeight="1" x14ac:dyDescent="0.2">
      <c r="A11838" s="258"/>
      <c r="Z11838" s="258"/>
    </row>
    <row r="11839" spans="1:26" ht="12.75" customHeight="1" x14ac:dyDescent="0.2">
      <c r="A11839" s="258"/>
      <c r="Z11839" s="258"/>
    </row>
    <row r="11840" spans="1:26" ht="12.75" customHeight="1" x14ac:dyDescent="0.2">
      <c r="A11840" s="258"/>
      <c r="Z11840" s="258"/>
    </row>
    <row r="11841" spans="1:26" ht="12.75" customHeight="1" x14ac:dyDescent="0.2">
      <c r="A11841" s="258"/>
      <c r="Z11841" s="258"/>
    </row>
    <row r="11842" spans="1:26" ht="12.75" customHeight="1" x14ac:dyDescent="0.2">
      <c r="A11842" s="258"/>
      <c r="Z11842" s="258"/>
    </row>
    <row r="11843" spans="1:26" ht="12.75" customHeight="1" x14ac:dyDescent="0.2">
      <c r="A11843" s="258"/>
      <c r="Z11843" s="258"/>
    </row>
    <row r="11844" spans="1:26" ht="12.75" customHeight="1" x14ac:dyDescent="0.2">
      <c r="A11844" s="258"/>
      <c r="Z11844" s="258"/>
    </row>
    <row r="11845" spans="1:26" ht="12.75" customHeight="1" x14ac:dyDescent="0.2">
      <c r="A11845" s="258"/>
      <c r="Z11845" s="258"/>
    </row>
    <row r="11846" spans="1:26" ht="12.75" customHeight="1" x14ac:dyDescent="0.2">
      <c r="A11846" s="258"/>
      <c r="Z11846" s="258"/>
    </row>
    <row r="11847" spans="1:26" ht="12.75" customHeight="1" x14ac:dyDescent="0.2">
      <c r="A11847" s="258"/>
      <c r="Z11847" s="258"/>
    </row>
    <row r="11848" spans="1:26" ht="12.75" customHeight="1" x14ac:dyDescent="0.2">
      <c r="A11848" s="258"/>
      <c r="Z11848" s="258"/>
    </row>
    <row r="11849" spans="1:26" ht="12.75" customHeight="1" x14ac:dyDescent="0.2">
      <c r="A11849" s="258"/>
      <c r="Z11849" s="258"/>
    </row>
    <row r="11850" spans="1:26" ht="12.75" customHeight="1" x14ac:dyDescent="0.2">
      <c r="A11850" s="258"/>
      <c r="Z11850" s="258"/>
    </row>
    <row r="11851" spans="1:26" ht="12.75" customHeight="1" x14ac:dyDescent="0.2">
      <c r="A11851" s="258"/>
      <c r="Z11851" s="258"/>
    </row>
    <row r="11852" spans="1:26" ht="12.75" customHeight="1" x14ac:dyDescent="0.2">
      <c r="A11852" s="258"/>
      <c r="Z11852" s="258"/>
    </row>
    <row r="11853" spans="1:26" ht="12.75" customHeight="1" x14ac:dyDescent="0.2">
      <c r="A11853" s="258"/>
      <c r="Z11853" s="258"/>
    </row>
    <row r="11854" spans="1:26" ht="12.75" customHeight="1" x14ac:dyDescent="0.2">
      <c r="A11854" s="258"/>
      <c r="Z11854" s="258"/>
    </row>
    <row r="11855" spans="1:26" ht="12.75" customHeight="1" x14ac:dyDescent="0.2">
      <c r="A11855" s="258"/>
      <c r="Z11855" s="258"/>
    </row>
    <row r="11856" spans="1:26" ht="12.75" customHeight="1" x14ac:dyDescent="0.2">
      <c r="A11856" s="258"/>
      <c r="Z11856" s="258"/>
    </row>
    <row r="11857" spans="1:26" ht="12.75" customHeight="1" x14ac:dyDescent="0.2">
      <c r="A11857" s="258"/>
      <c r="Z11857" s="258"/>
    </row>
    <row r="11858" spans="1:26" ht="12.75" customHeight="1" x14ac:dyDescent="0.2">
      <c r="A11858" s="258"/>
      <c r="Z11858" s="258"/>
    </row>
    <row r="11859" spans="1:26" ht="12.75" customHeight="1" x14ac:dyDescent="0.2">
      <c r="A11859" s="258"/>
      <c r="Z11859" s="258"/>
    </row>
    <row r="11860" spans="1:26" ht="12.75" customHeight="1" x14ac:dyDescent="0.2">
      <c r="A11860" s="258"/>
      <c r="Z11860" s="258"/>
    </row>
    <row r="11861" spans="1:26" ht="12.75" customHeight="1" x14ac:dyDescent="0.2">
      <c r="A11861" s="258"/>
      <c r="Z11861" s="258"/>
    </row>
    <row r="11862" spans="1:26" ht="12.75" customHeight="1" x14ac:dyDescent="0.2">
      <c r="A11862" s="258"/>
      <c r="Z11862" s="258"/>
    </row>
    <row r="11863" spans="1:26" ht="12.75" customHeight="1" x14ac:dyDescent="0.2">
      <c r="A11863" s="258"/>
      <c r="Z11863" s="258"/>
    </row>
    <row r="11864" spans="1:26" ht="12.75" customHeight="1" x14ac:dyDescent="0.2">
      <c r="A11864" s="258"/>
      <c r="Z11864" s="258"/>
    </row>
    <row r="11865" spans="1:26" ht="12.75" customHeight="1" x14ac:dyDescent="0.2">
      <c r="A11865" s="258"/>
      <c r="Z11865" s="258"/>
    </row>
    <row r="11866" spans="1:26" ht="12.75" customHeight="1" x14ac:dyDescent="0.2">
      <c r="A11866" s="258"/>
      <c r="Z11866" s="258"/>
    </row>
    <row r="11867" spans="1:26" ht="12.75" customHeight="1" x14ac:dyDescent="0.2">
      <c r="A11867" s="258"/>
      <c r="Z11867" s="258"/>
    </row>
    <row r="11868" spans="1:26" ht="12.75" customHeight="1" x14ac:dyDescent="0.2">
      <c r="A11868" s="258"/>
      <c r="Z11868" s="258"/>
    </row>
    <row r="11869" spans="1:26" ht="12.75" customHeight="1" x14ac:dyDescent="0.2">
      <c r="A11869" s="258"/>
      <c r="Z11869" s="258"/>
    </row>
    <row r="11870" spans="1:26" ht="12.75" customHeight="1" x14ac:dyDescent="0.2">
      <c r="A11870" s="258"/>
      <c r="Z11870" s="258"/>
    </row>
    <row r="11871" spans="1:26" ht="12.75" customHeight="1" x14ac:dyDescent="0.2">
      <c r="A11871" s="258"/>
      <c r="Z11871" s="258"/>
    </row>
    <row r="11872" spans="1:26" ht="12.75" customHeight="1" x14ac:dyDescent="0.2">
      <c r="A11872" s="258"/>
      <c r="Z11872" s="258"/>
    </row>
    <row r="11873" spans="1:26" ht="12.75" customHeight="1" x14ac:dyDescent="0.2">
      <c r="A11873" s="258"/>
      <c r="Z11873" s="258"/>
    </row>
    <row r="11874" spans="1:26" ht="12.75" customHeight="1" x14ac:dyDescent="0.2">
      <c r="A11874" s="258"/>
      <c r="Z11874" s="258"/>
    </row>
    <row r="11875" spans="1:26" ht="12.75" customHeight="1" x14ac:dyDescent="0.2">
      <c r="A11875" s="258"/>
      <c r="Z11875" s="258"/>
    </row>
    <row r="11876" spans="1:26" ht="12.75" customHeight="1" x14ac:dyDescent="0.2">
      <c r="A11876" s="258"/>
      <c r="Z11876" s="258"/>
    </row>
    <row r="11877" spans="1:26" ht="12.75" customHeight="1" x14ac:dyDescent="0.2">
      <c r="A11877" s="258"/>
      <c r="Z11877" s="258"/>
    </row>
    <row r="11878" spans="1:26" ht="12.75" customHeight="1" x14ac:dyDescent="0.2">
      <c r="A11878" s="258"/>
      <c r="Z11878" s="258"/>
    </row>
    <row r="11879" spans="1:26" ht="12.75" customHeight="1" x14ac:dyDescent="0.2">
      <c r="A11879" s="258"/>
      <c r="Z11879" s="258"/>
    </row>
    <row r="11880" spans="1:26" ht="12.75" customHeight="1" x14ac:dyDescent="0.2">
      <c r="A11880" s="258"/>
      <c r="Z11880" s="258"/>
    </row>
    <row r="11881" spans="1:26" ht="12.75" customHeight="1" x14ac:dyDescent="0.2">
      <c r="A11881" s="258"/>
      <c r="Z11881" s="258"/>
    </row>
    <row r="11882" spans="1:26" ht="12.75" customHeight="1" x14ac:dyDescent="0.2">
      <c r="A11882" s="258"/>
      <c r="Z11882" s="258"/>
    </row>
    <row r="11883" spans="1:26" ht="12.75" customHeight="1" x14ac:dyDescent="0.2">
      <c r="A11883" s="258"/>
      <c r="Z11883" s="258"/>
    </row>
    <row r="11884" spans="1:26" ht="12.75" customHeight="1" x14ac:dyDescent="0.2">
      <c r="A11884" s="258"/>
      <c r="Z11884" s="258"/>
    </row>
    <row r="11885" spans="1:26" ht="12.75" customHeight="1" x14ac:dyDescent="0.2">
      <c r="A11885" s="258"/>
      <c r="Z11885" s="258"/>
    </row>
    <row r="11886" spans="1:26" ht="12.75" customHeight="1" x14ac:dyDescent="0.2">
      <c r="A11886" s="258"/>
      <c r="Z11886" s="258"/>
    </row>
    <row r="11887" spans="1:26" ht="12.75" customHeight="1" x14ac:dyDescent="0.2">
      <c r="A11887" s="258"/>
      <c r="Z11887" s="258"/>
    </row>
    <row r="11888" spans="1:26" ht="12.75" customHeight="1" x14ac:dyDescent="0.2">
      <c r="A11888" s="258"/>
      <c r="Z11888" s="258"/>
    </row>
    <row r="11889" spans="1:26" ht="12.75" customHeight="1" x14ac:dyDescent="0.2">
      <c r="A11889" s="258"/>
      <c r="Z11889" s="258"/>
    </row>
    <row r="11890" spans="1:26" ht="12.75" customHeight="1" x14ac:dyDescent="0.2">
      <c r="A11890" s="258"/>
      <c r="Z11890" s="258"/>
    </row>
    <row r="11891" spans="1:26" ht="12.75" customHeight="1" x14ac:dyDescent="0.2">
      <c r="A11891" s="258"/>
      <c r="Z11891" s="258"/>
    </row>
    <row r="11892" spans="1:26" ht="12.75" customHeight="1" x14ac:dyDescent="0.2">
      <c r="A11892" s="258"/>
      <c r="Z11892" s="258"/>
    </row>
    <row r="11893" spans="1:26" ht="12.75" customHeight="1" x14ac:dyDescent="0.2">
      <c r="A11893" s="258"/>
      <c r="Z11893" s="258"/>
    </row>
    <row r="11894" spans="1:26" ht="12.75" customHeight="1" x14ac:dyDescent="0.2">
      <c r="A11894" s="258"/>
      <c r="Z11894" s="258"/>
    </row>
    <row r="11895" spans="1:26" ht="12.75" customHeight="1" x14ac:dyDescent="0.2">
      <c r="A11895" s="258"/>
      <c r="Z11895" s="258"/>
    </row>
    <row r="11896" spans="1:26" ht="12.75" customHeight="1" x14ac:dyDescent="0.2">
      <c r="A11896" s="258"/>
      <c r="Z11896" s="258"/>
    </row>
    <row r="11897" spans="1:26" ht="12.75" customHeight="1" x14ac:dyDescent="0.2">
      <c r="A11897" s="258"/>
      <c r="Z11897" s="258"/>
    </row>
    <row r="11898" spans="1:26" ht="12.75" customHeight="1" x14ac:dyDescent="0.2">
      <c r="A11898" s="258"/>
      <c r="Z11898" s="258"/>
    </row>
    <row r="11899" spans="1:26" ht="12.75" customHeight="1" x14ac:dyDescent="0.2">
      <c r="A11899" s="258"/>
      <c r="Z11899" s="258"/>
    </row>
    <row r="11900" spans="1:26" ht="12.75" customHeight="1" x14ac:dyDescent="0.2">
      <c r="A11900" s="258"/>
      <c r="Z11900" s="258"/>
    </row>
    <row r="11901" spans="1:26" ht="12.75" customHeight="1" x14ac:dyDescent="0.2">
      <c r="A11901" s="258"/>
      <c r="Z11901" s="258"/>
    </row>
    <row r="11902" spans="1:26" ht="12.75" customHeight="1" x14ac:dyDescent="0.2">
      <c r="A11902" s="258"/>
      <c r="Z11902" s="258"/>
    </row>
    <row r="11903" spans="1:26" ht="12.75" customHeight="1" x14ac:dyDescent="0.2">
      <c r="A11903" s="258"/>
      <c r="Z11903" s="258"/>
    </row>
    <row r="11904" spans="1:26" ht="12.75" customHeight="1" x14ac:dyDescent="0.2">
      <c r="A11904" s="258"/>
      <c r="Z11904" s="258"/>
    </row>
    <row r="11905" spans="1:26" ht="12.75" customHeight="1" x14ac:dyDescent="0.2">
      <c r="A11905" s="258"/>
      <c r="Z11905" s="258"/>
    </row>
    <row r="11906" spans="1:26" ht="12.75" customHeight="1" x14ac:dyDescent="0.2">
      <c r="A11906" s="258"/>
      <c r="Z11906" s="258"/>
    </row>
    <row r="11907" spans="1:26" ht="12.75" customHeight="1" x14ac:dyDescent="0.2">
      <c r="A11907" s="258"/>
      <c r="Z11907" s="258"/>
    </row>
    <row r="11908" spans="1:26" ht="12.75" customHeight="1" x14ac:dyDescent="0.2">
      <c r="A11908" s="258"/>
      <c r="Z11908" s="258"/>
    </row>
    <row r="11909" spans="1:26" ht="12.75" customHeight="1" x14ac:dyDescent="0.2">
      <c r="A11909" s="258"/>
      <c r="Z11909" s="258"/>
    </row>
    <row r="11910" spans="1:26" ht="12.75" customHeight="1" x14ac:dyDescent="0.2">
      <c r="A11910" s="258"/>
      <c r="Z11910" s="258"/>
    </row>
    <row r="11911" spans="1:26" ht="12.75" customHeight="1" x14ac:dyDescent="0.2">
      <c r="A11911" s="258"/>
      <c r="Z11911" s="258"/>
    </row>
    <row r="11912" spans="1:26" ht="12.75" customHeight="1" x14ac:dyDescent="0.2">
      <c r="A11912" s="258"/>
      <c r="Z11912" s="258"/>
    </row>
    <row r="11913" spans="1:26" ht="12.75" customHeight="1" x14ac:dyDescent="0.2">
      <c r="A11913" s="258"/>
      <c r="Z11913" s="258"/>
    </row>
    <row r="11914" spans="1:26" ht="12.75" customHeight="1" x14ac:dyDescent="0.2">
      <c r="A11914" s="258"/>
      <c r="Z11914" s="258"/>
    </row>
    <row r="11915" spans="1:26" ht="12.75" customHeight="1" x14ac:dyDescent="0.2">
      <c r="A11915" s="258"/>
      <c r="Z11915" s="258"/>
    </row>
    <row r="11916" spans="1:26" ht="12.75" customHeight="1" x14ac:dyDescent="0.2">
      <c r="A11916" s="258"/>
      <c r="Z11916" s="258"/>
    </row>
    <row r="11917" spans="1:26" ht="12.75" customHeight="1" x14ac:dyDescent="0.2">
      <c r="A11917" s="258"/>
      <c r="Z11917" s="258"/>
    </row>
    <row r="11918" spans="1:26" ht="12.75" customHeight="1" x14ac:dyDescent="0.2">
      <c r="A11918" s="258"/>
      <c r="Z11918" s="258"/>
    </row>
    <row r="11919" spans="1:26" ht="12.75" customHeight="1" x14ac:dyDescent="0.2">
      <c r="A11919" s="258"/>
      <c r="Z11919" s="258"/>
    </row>
    <row r="11920" spans="1:26" ht="12.75" customHeight="1" x14ac:dyDescent="0.2">
      <c r="A11920" s="258"/>
      <c r="Z11920" s="258"/>
    </row>
    <row r="11921" spans="1:26" ht="12.75" customHeight="1" x14ac:dyDescent="0.2">
      <c r="A11921" s="258"/>
      <c r="Z11921" s="258"/>
    </row>
    <row r="11922" spans="1:26" ht="12.75" customHeight="1" x14ac:dyDescent="0.2">
      <c r="A11922" s="258"/>
      <c r="Z11922" s="258"/>
    </row>
    <row r="11923" spans="1:26" ht="12.75" customHeight="1" x14ac:dyDescent="0.2">
      <c r="A11923" s="258"/>
      <c r="Z11923" s="258"/>
    </row>
    <row r="11924" spans="1:26" ht="12.75" customHeight="1" x14ac:dyDescent="0.2">
      <c r="A11924" s="258"/>
      <c r="Z11924" s="258"/>
    </row>
    <row r="11925" spans="1:26" ht="12.75" customHeight="1" x14ac:dyDescent="0.2">
      <c r="A11925" s="258"/>
      <c r="Z11925" s="258"/>
    </row>
    <row r="11926" spans="1:26" ht="12.75" customHeight="1" x14ac:dyDescent="0.2">
      <c r="A11926" s="258"/>
      <c r="Z11926" s="258"/>
    </row>
    <row r="11927" spans="1:26" ht="12.75" customHeight="1" x14ac:dyDescent="0.2">
      <c r="A11927" s="258"/>
      <c r="Z11927" s="258"/>
    </row>
    <row r="11928" spans="1:26" ht="12.75" customHeight="1" x14ac:dyDescent="0.2">
      <c r="A11928" s="258"/>
      <c r="Z11928" s="258"/>
    </row>
    <row r="11929" spans="1:26" ht="12.75" customHeight="1" x14ac:dyDescent="0.2">
      <c r="A11929" s="258"/>
      <c r="Z11929" s="258"/>
    </row>
    <row r="11930" spans="1:26" ht="12.75" customHeight="1" x14ac:dyDescent="0.2">
      <c r="A11930" s="258"/>
      <c r="Z11930" s="258"/>
    </row>
    <row r="11931" spans="1:26" ht="12.75" customHeight="1" x14ac:dyDescent="0.2">
      <c r="A11931" s="258"/>
      <c r="Z11931" s="258"/>
    </row>
    <row r="11932" spans="1:26" ht="12.75" customHeight="1" x14ac:dyDescent="0.2">
      <c r="A11932" s="258"/>
      <c r="Z11932" s="258"/>
    </row>
    <row r="11933" spans="1:26" ht="12.75" customHeight="1" x14ac:dyDescent="0.2">
      <c r="A11933" s="258"/>
      <c r="Z11933" s="258"/>
    </row>
    <row r="11934" spans="1:26" ht="12.75" customHeight="1" x14ac:dyDescent="0.2">
      <c r="A11934" s="258"/>
      <c r="Z11934" s="258"/>
    </row>
    <row r="11935" spans="1:26" ht="12.75" customHeight="1" x14ac:dyDescent="0.2">
      <c r="A11935" s="258"/>
      <c r="Z11935" s="258"/>
    </row>
    <row r="11936" spans="1:26" ht="12.75" customHeight="1" x14ac:dyDescent="0.2">
      <c r="A11936" s="258"/>
      <c r="Z11936" s="258"/>
    </row>
    <row r="11937" spans="1:26" ht="12.75" customHeight="1" x14ac:dyDescent="0.2">
      <c r="A11937" s="258"/>
      <c r="Z11937" s="258"/>
    </row>
    <row r="11938" spans="1:26" ht="12.75" customHeight="1" x14ac:dyDescent="0.2">
      <c r="A11938" s="258"/>
      <c r="Z11938" s="258"/>
    </row>
    <row r="11939" spans="1:26" ht="12.75" customHeight="1" x14ac:dyDescent="0.2">
      <c r="A11939" s="258"/>
      <c r="Z11939" s="258"/>
    </row>
    <row r="11940" spans="1:26" ht="12.75" customHeight="1" x14ac:dyDescent="0.2">
      <c r="A11940" s="258"/>
      <c r="Z11940" s="258"/>
    </row>
    <row r="11941" spans="1:26" ht="12.75" customHeight="1" x14ac:dyDescent="0.2">
      <c r="A11941" s="258"/>
      <c r="Z11941" s="258"/>
    </row>
    <row r="11942" spans="1:26" ht="12.75" customHeight="1" x14ac:dyDescent="0.2">
      <c r="A11942" s="258"/>
      <c r="Z11942" s="258"/>
    </row>
    <row r="11943" spans="1:26" ht="12.75" customHeight="1" x14ac:dyDescent="0.2">
      <c r="A11943" s="258"/>
      <c r="Z11943" s="258"/>
    </row>
    <row r="11944" spans="1:26" ht="12.75" customHeight="1" x14ac:dyDescent="0.2">
      <c r="A11944" s="258"/>
      <c r="Z11944" s="258"/>
    </row>
    <row r="11945" spans="1:26" ht="12.75" customHeight="1" x14ac:dyDescent="0.2">
      <c r="A11945" s="258"/>
      <c r="Z11945" s="258"/>
    </row>
    <row r="11946" spans="1:26" ht="12.75" customHeight="1" x14ac:dyDescent="0.2">
      <c r="A11946" s="258"/>
      <c r="Z11946" s="258"/>
    </row>
    <row r="11947" spans="1:26" ht="12.75" customHeight="1" x14ac:dyDescent="0.2">
      <c r="A11947" s="258"/>
      <c r="Z11947" s="258"/>
    </row>
    <row r="11948" spans="1:26" ht="12.75" customHeight="1" x14ac:dyDescent="0.2">
      <c r="A11948" s="258"/>
      <c r="Z11948" s="258"/>
    </row>
    <row r="11949" spans="1:26" ht="12.75" customHeight="1" x14ac:dyDescent="0.2">
      <c r="A11949" s="258"/>
      <c r="Z11949" s="258"/>
    </row>
    <row r="11950" spans="1:26" ht="12.75" customHeight="1" x14ac:dyDescent="0.2">
      <c r="A11950" s="258"/>
      <c r="Z11950" s="258"/>
    </row>
    <row r="11951" spans="1:26" ht="12.75" customHeight="1" x14ac:dyDescent="0.2">
      <c r="A11951" s="258"/>
      <c r="Z11951" s="258"/>
    </row>
    <row r="11952" spans="1:26" ht="12.75" customHeight="1" x14ac:dyDescent="0.2">
      <c r="A11952" s="258"/>
      <c r="Z11952" s="258"/>
    </row>
    <row r="11953" spans="1:26" ht="12.75" customHeight="1" x14ac:dyDescent="0.2">
      <c r="A11953" s="258"/>
      <c r="Z11953" s="258"/>
    </row>
    <row r="11954" spans="1:26" ht="12.75" customHeight="1" x14ac:dyDescent="0.2">
      <c r="A11954" s="258"/>
      <c r="Z11954" s="258"/>
    </row>
    <row r="11955" spans="1:26" ht="12.75" customHeight="1" x14ac:dyDescent="0.2">
      <c r="A11955" s="258"/>
      <c r="Z11955" s="258"/>
    </row>
    <row r="11956" spans="1:26" ht="12.75" customHeight="1" x14ac:dyDescent="0.2">
      <c r="A11956" s="258"/>
      <c r="Z11956" s="258"/>
    </row>
    <row r="11957" spans="1:26" ht="12.75" customHeight="1" x14ac:dyDescent="0.2">
      <c r="A11957" s="258"/>
      <c r="Z11957" s="258"/>
    </row>
    <row r="11958" spans="1:26" ht="12.75" customHeight="1" x14ac:dyDescent="0.2">
      <c r="A11958" s="258"/>
      <c r="Z11958" s="258"/>
    </row>
    <row r="11959" spans="1:26" ht="12.75" customHeight="1" x14ac:dyDescent="0.2">
      <c r="A11959" s="258"/>
      <c r="Z11959" s="258"/>
    </row>
    <row r="11960" spans="1:26" ht="12.75" customHeight="1" x14ac:dyDescent="0.2">
      <c r="A11960" s="258"/>
      <c r="Z11960" s="258"/>
    </row>
    <row r="11961" spans="1:26" ht="12.75" customHeight="1" x14ac:dyDescent="0.2">
      <c r="A11961" s="258"/>
      <c r="Z11961" s="258"/>
    </row>
    <row r="11962" spans="1:26" ht="12.75" customHeight="1" x14ac:dyDescent="0.2">
      <c r="A11962" s="258"/>
      <c r="Z11962" s="258"/>
    </row>
    <row r="11963" spans="1:26" ht="12.75" customHeight="1" x14ac:dyDescent="0.2">
      <c r="A11963" s="258"/>
      <c r="Z11963" s="258"/>
    </row>
    <row r="11964" spans="1:26" ht="12.75" customHeight="1" x14ac:dyDescent="0.2">
      <c r="A11964" s="258"/>
      <c r="Z11964" s="258"/>
    </row>
    <row r="11965" spans="1:26" ht="12.75" customHeight="1" x14ac:dyDescent="0.2">
      <c r="A11965" s="258"/>
      <c r="Z11965" s="258"/>
    </row>
    <row r="11966" spans="1:26" ht="12.75" customHeight="1" x14ac:dyDescent="0.2">
      <c r="A11966" s="258"/>
      <c r="Z11966" s="258"/>
    </row>
    <row r="11967" spans="1:26" ht="12.75" customHeight="1" x14ac:dyDescent="0.2">
      <c r="A11967" s="258"/>
      <c r="Z11967" s="258"/>
    </row>
    <row r="11968" spans="1:26" ht="12.75" customHeight="1" x14ac:dyDescent="0.2">
      <c r="A11968" s="258"/>
      <c r="Z11968" s="258"/>
    </row>
    <row r="11969" spans="1:26" ht="12.75" customHeight="1" x14ac:dyDescent="0.2">
      <c r="A11969" s="258"/>
      <c r="Z11969" s="258"/>
    </row>
    <row r="11970" spans="1:26" ht="12.75" customHeight="1" x14ac:dyDescent="0.2">
      <c r="A11970" s="258"/>
      <c r="Z11970" s="258"/>
    </row>
    <row r="11971" spans="1:26" ht="12.75" customHeight="1" x14ac:dyDescent="0.2">
      <c r="A11971" s="258"/>
      <c r="Z11971" s="258"/>
    </row>
    <row r="11972" spans="1:26" ht="12.75" customHeight="1" x14ac:dyDescent="0.2">
      <c r="A11972" s="258"/>
      <c r="Z11972" s="258"/>
    </row>
    <row r="11973" spans="1:26" ht="12.75" customHeight="1" x14ac:dyDescent="0.2">
      <c r="A11973" s="258"/>
      <c r="Z11973" s="258"/>
    </row>
    <row r="11974" spans="1:26" ht="12.75" customHeight="1" x14ac:dyDescent="0.2">
      <c r="A11974" s="258"/>
      <c r="Z11974" s="258"/>
    </row>
    <row r="11975" spans="1:26" ht="12.75" customHeight="1" x14ac:dyDescent="0.2">
      <c r="A11975" s="258"/>
      <c r="Z11975" s="258"/>
    </row>
    <row r="11976" spans="1:26" ht="12.75" customHeight="1" x14ac:dyDescent="0.2">
      <c r="A11976" s="258"/>
      <c r="Z11976" s="258"/>
    </row>
    <row r="11977" spans="1:26" ht="12.75" customHeight="1" x14ac:dyDescent="0.2">
      <c r="A11977" s="258"/>
      <c r="Z11977" s="258"/>
    </row>
    <row r="11978" spans="1:26" ht="12.75" customHeight="1" x14ac:dyDescent="0.2">
      <c r="A11978" s="258"/>
      <c r="Z11978" s="258"/>
    </row>
    <row r="11979" spans="1:26" ht="12.75" customHeight="1" x14ac:dyDescent="0.2">
      <c r="A11979" s="258"/>
      <c r="Z11979" s="258"/>
    </row>
    <row r="11980" spans="1:26" ht="12.75" customHeight="1" x14ac:dyDescent="0.2">
      <c r="A11980" s="258"/>
      <c r="Z11980" s="258"/>
    </row>
    <row r="11981" spans="1:26" ht="12.75" customHeight="1" x14ac:dyDescent="0.2">
      <c r="A11981" s="258"/>
      <c r="Z11981" s="258"/>
    </row>
    <row r="11982" spans="1:26" ht="12.75" customHeight="1" x14ac:dyDescent="0.2">
      <c r="A11982" s="258"/>
      <c r="Z11982" s="258"/>
    </row>
    <row r="11983" spans="1:26" ht="12.75" customHeight="1" x14ac:dyDescent="0.2">
      <c r="A11983" s="258"/>
      <c r="Z11983" s="258"/>
    </row>
    <row r="11984" spans="1:26" ht="12.75" customHeight="1" x14ac:dyDescent="0.2">
      <c r="A11984" s="258"/>
      <c r="Z11984" s="258"/>
    </row>
    <row r="11985" spans="1:26" ht="12.75" customHeight="1" x14ac:dyDescent="0.2">
      <c r="A11985" s="258"/>
      <c r="Z11985" s="258"/>
    </row>
    <row r="11986" spans="1:26" ht="12.75" customHeight="1" x14ac:dyDescent="0.2">
      <c r="A11986" s="258"/>
      <c r="Z11986" s="258"/>
    </row>
    <row r="11987" spans="1:26" ht="12.75" customHeight="1" x14ac:dyDescent="0.2">
      <c r="A11987" s="258"/>
      <c r="Z11987" s="258"/>
    </row>
    <row r="11988" spans="1:26" ht="12.75" customHeight="1" x14ac:dyDescent="0.2">
      <c r="A11988" s="258"/>
      <c r="Z11988" s="258"/>
    </row>
    <row r="11989" spans="1:26" ht="12.75" customHeight="1" x14ac:dyDescent="0.2">
      <c r="A11989" s="258"/>
      <c r="Z11989" s="258"/>
    </row>
    <row r="11990" spans="1:26" ht="12.75" customHeight="1" x14ac:dyDescent="0.2">
      <c r="A11990" s="258"/>
      <c r="Z11990" s="258"/>
    </row>
    <row r="11991" spans="1:26" ht="12.75" customHeight="1" x14ac:dyDescent="0.2">
      <c r="A11991" s="258"/>
      <c r="Z11991" s="258"/>
    </row>
    <row r="11992" spans="1:26" ht="12.75" customHeight="1" x14ac:dyDescent="0.2">
      <c r="A11992" s="258"/>
      <c r="Z11992" s="258"/>
    </row>
    <row r="11993" spans="1:26" ht="12.75" customHeight="1" x14ac:dyDescent="0.2">
      <c r="A11993" s="258"/>
      <c r="Z11993" s="258"/>
    </row>
    <row r="11994" spans="1:26" ht="12.75" customHeight="1" x14ac:dyDescent="0.2">
      <c r="A11994" s="258"/>
      <c r="Z11994" s="258"/>
    </row>
    <row r="11995" spans="1:26" ht="12.75" customHeight="1" x14ac:dyDescent="0.2">
      <c r="A11995" s="258"/>
      <c r="Z11995" s="258"/>
    </row>
    <row r="11996" spans="1:26" ht="12.75" customHeight="1" x14ac:dyDescent="0.2">
      <c r="A11996" s="258"/>
      <c r="Z11996" s="258"/>
    </row>
    <row r="11997" spans="1:26" ht="12.75" customHeight="1" x14ac:dyDescent="0.2">
      <c r="A11997" s="258"/>
      <c r="Z11997" s="258"/>
    </row>
    <row r="11998" spans="1:26" ht="12.75" customHeight="1" x14ac:dyDescent="0.2">
      <c r="A11998" s="258"/>
      <c r="Z11998" s="258"/>
    </row>
    <row r="11999" spans="1:26" ht="12.75" customHeight="1" x14ac:dyDescent="0.2">
      <c r="A11999" s="258"/>
      <c r="Z11999" s="258"/>
    </row>
    <row r="12000" spans="1:26" ht="12.75" customHeight="1" x14ac:dyDescent="0.2">
      <c r="A12000" s="258"/>
      <c r="Z12000" s="258"/>
    </row>
    <row r="12001" spans="1:26" ht="12.75" customHeight="1" x14ac:dyDescent="0.2">
      <c r="A12001" s="258"/>
      <c r="Z12001" s="258"/>
    </row>
    <row r="12002" spans="1:26" ht="12.75" customHeight="1" x14ac:dyDescent="0.2">
      <c r="A12002" s="258"/>
      <c r="Z12002" s="258"/>
    </row>
    <row r="12003" spans="1:26" ht="12.75" customHeight="1" x14ac:dyDescent="0.2">
      <c r="A12003" s="258"/>
      <c r="Z12003" s="258"/>
    </row>
    <row r="12004" spans="1:26" ht="12.75" customHeight="1" x14ac:dyDescent="0.2">
      <c r="A12004" s="258"/>
      <c r="Z12004" s="258"/>
    </row>
    <row r="12005" spans="1:26" ht="12.75" customHeight="1" x14ac:dyDescent="0.2">
      <c r="A12005" s="258"/>
      <c r="Z12005" s="258"/>
    </row>
    <row r="12006" spans="1:26" ht="12.75" customHeight="1" x14ac:dyDescent="0.2">
      <c r="A12006" s="258"/>
      <c r="Z12006" s="258"/>
    </row>
    <row r="12007" spans="1:26" ht="12.75" customHeight="1" x14ac:dyDescent="0.2">
      <c r="A12007" s="258"/>
      <c r="Z12007" s="258"/>
    </row>
    <row r="12008" spans="1:26" ht="12.75" customHeight="1" x14ac:dyDescent="0.2">
      <c r="A12008" s="258"/>
      <c r="Z12008" s="258"/>
    </row>
    <row r="12009" spans="1:26" ht="12.75" customHeight="1" x14ac:dyDescent="0.2">
      <c r="A12009" s="258"/>
      <c r="Z12009" s="258"/>
    </row>
    <row r="12010" spans="1:26" ht="12.75" customHeight="1" x14ac:dyDescent="0.2">
      <c r="A12010" s="258"/>
      <c r="Z12010" s="258"/>
    </row>
    <row r="12011" spans="1:26" ht="12.75" customHeight="1" x14ac:dyDescent="0.2">
      <c r="A12011" s="258"/>
      <c r="Z12011" s="258"/>
    </row>
    <row r="12012" spans="1:26" ht="12.75" customHeight="1" x14ac:dyDescent="0.2">
      <c r="A12012" s="258"/>
      <c r="Z12012" s="258"/>
    </row>
    <row r="12013" spans="1:26" ht="12.75" customHeight="1" x14ac:dyDescent="0.2">
      <c r="A12013" s="258"/>
      <c r="Z12013" s="258"/>
    </row>
    <row r="12014" spans="1:26" ht="12.75" customHeight="1" x14ac:dyDescent="0.2">
      <c r="A12014" s="258"/>
      <c r="Z12014" s="258"/>
    </row>
    <row r="12015" spans="1:26" ht="12.75" customHeight="1" x14ac:dyDescent="0.2">
      <c r="A12015" s="258"/>
      <c r="Z12015" s="258"/>
    </row>
    <row r="12016" spans="1:26" ht="12.75" customHeight="1" x14ac:dyDescent="0.2">
      <c r="A12016" s="258"/>
      <c r="Z12016" s="258"/>
    </row>
    <row r="12017" spans="1:26" ht="12.75" customHeight="1" x14ac:dyDescent="0.2">
      <c r="A12017" s="258"/>
      <c r="Z12017" s="258"/>
    </row>
    <row r="12018" spans="1:26" ht="12.75" customHeight="1" x14ac:dyDescent="0.2">
      <c r="A12018" s="258"/>
      <c r="Z12018" s="258"/>
    </row>
    <row r="12019" spans="1:26" ht="12.75" customHeight="1" x14ac:dyDescent="0.2">
      <c r="A12019" s="258"/>
      <c r="Z12019" s="258"/>
    </row>
    <row r="12020" spans="1:26" ht="12.75" customHeight="1" x14ac:dyDescent="0.2">
      <c r="A12020" s="258"/>
      <c r="Z12020" s="258"/>
    </row>
    <row r="12021" spans="1:26" ht="12.75" customHeight="1" x14ac:dyDescent="0.2">
      <c r="A12021" s="258"/>
      <c r="Z12021" s="258"/>
    </row>
    <row r="12022" spans="1:26" ht="12.75" customHeight="1" x14ac:dyDescent="0.2">
      <c r="A12022" s="258"/>
      <c r="Z12022" s="258"/>
    </row>
    <row r="12023" spans="1:26" ht="12.75" customHeight="1" x14ac:dyDescent="0.2">
      <c r="A12023" s="258"/>
      <c r="Z12023" s="258"/>
    </row>
    <row r="12024" spans="1:26" ht="12.75" customHeight="1" x14ac:dyDescent="0.2">
      <c r="A12024" s="258"/>
      <c r="Z12024" s="258"/>
    </row>
    <row r="12025" spans="1:26" ht="12.75" customHeight="1" x14ac:dyDescent="0.2">
      <c r="A12025" s="258"/>
      <c r="Z12025" s="258"/>
    </row>
    <row r="12026" spans="1:26" ht="12.75" customHeight="1" x14ac:dyDescent="0.2">
      <c r="A12026" s="258"/>
      <c r="Z12026" s="258"/>
    </row>
    <row r="12027" spans="1:26" ht="12.75" customHeight="1" x14ac:dyDescent="0.2">
      <c r="A12027" s="258"/>
      <c r="Z12027" s="258"/>
    </row>
    <row r="12028" spans="1:26" ht="12.75" customHeight="1" x14ac:dyDescent="0.2">
      <c r="A12028" s="258"/>
      <c r="Z12028" s="258"/>
    </row>
    <row r="12029" spans="1:26" ht="12.75" customHeight="1" x14ac:dyDescent="0.2">
      <c r="A12029" s="258"/>
      <c r="Z12029" s="258"/>
    </row>
    <row r="12030" spans="1:26" ht="12.75" customHeight="1" x14ac:dyDescent="0.2">
      <c r="A12030" s="258"/>
      <c r="Z12030" s="258"/>
    </row>
    <row r="12031" spans="1:26" ht="12.75" customHeight="1" x14ac:dyDescent="0.2">
      <c r="A12031" s="258"/>
      <c r="Z12031" s="258"/>
    </row>
    <row r="12032" spans="1:26" ht="12.75" customHeight="1" x14ac:dyDescent="0.2">
      <c r="A12032" s="258"/>
      <c r="Z12032" s="258"/>
    </row>
    <row r="12033" spans="1:26" ht="12.75" customHeight="1" x14ac:dyDescent="0.2">
      <c r="A12033" s="258"/>
      <c r="Z12033" s="258"/>
    </row>
    <row r="12034" spans="1:26" ht="12.75" customHeight="1" x14ac:dyDescent="0.2">
      <c r="A12034" s="258"/>
      <c r="Z12034" s="258"/>
    </row>
    <row r="12035" spans="1:26" ht="12.75" customHeight="1" x14ac:dyDescent="0.2">
      <c r="A12035" s="258"/>
      <c r="Z12035" s="258"/>
    </row>
    <row r="12036" spans="1:26" ht="12.75" customHeight="1" x14ac:dyDescent="0.2">
      <c r="A12036" s="258"/>
      <c r="Z12036" s="258"/>
    </row>
    <row r="12037" spans="1:26" ht="12.75" customHeight="1" x14ac:dyDescent="0.2">
      <c r="A12037" s="258"/>
      <c r="Z12037" s="258"/>
    </row>
    <row r="12038" spans="1:26" ht="12.75" customHeight="1" x14ac:dyDescent="0.2">
      <c r="A12038" s="258"/>
      <c r="Z12038" s="258"/>
    </row>
    <row r="12039" spans="1:26" ht="12.75" customHeight="1" x14ac:dyDescent="0.2">
      <c r="A12039" s="258"/>
      <c r="Z12039" s="258"/>
    </row>
    <row r="12040" spans="1:26" ht="12.75" customHeight="1" x14ac:dyDescent="0.2">
      <c r="A12040" s="258"/>
      <c r="Z12040" s="258"/>
    </row>
    <row r="12041" spans="1:26" ht="12.75" customHeight="1" x14ac:dyDescent="0.2">
      <c r="A12041" s="258"/>
      <c r="Z12041" s="258"/>
    </row>
    <row r="12042" spans="1:26" ht="12.75" customHeight="1" x14ac:dyDescent="0.2">
      <c r="A12042" s="258"/>
      <c r="Z12042" s="258"/>
    </row>
    <row r="12043" spans="1:26" ht="12.75" customHeight="1" x14ac:dyDescent="0.2">
      <c r="A12043" s="258"/>
      <c r="Z12043" s="258"/>
    </row>
    <row r="12044" spans="1:26" ht="12.75" customHeight="1" x14ac:dyDescent="0.2">
      <c r="A12044" s="258"/>
      <c r="Z12044" s="258"/>
    </row>
    <row r="12045" spans="1:26" ht="12.75" customHeight="1" x14ac:dyDescent="0.2">
      <c r="A12045" s="258"/>
      <c r="Z12045" s="258"/>
    </row>
    <row r="12046" spans="1:26" ht="12.75" customHeight="1" x14ac:dyDescent="0.2">
      <c r="A12046" s="258"/>
      <c r="Z12046" s="258"/>
    </row>
    <row r="12047" spans="1:26" ht="12.75" customHeight="1" x14ac:dyDescent="0.2">
      <c r="A12047" s="258"/>
      <c r="Z12047" s="258"/>
    </row>
    <row r="12048" spans="1:26" ht="12.75" customHeight="1" x14ac:dyDescent="0.2">
      <c r="A12048" s="258"/>
      <c r="Z12048" s="258"/>
    </row>
    <row r="12049" spans="1:26" ht="12.75" customHeight="1" x14ac:dyDescent="0.2">
      <c r="A12049" s="258"/>
      <c r="Z12049" s="258"/>
    </row>
    <row r="12050" spans="1:26" ht="12.75" customHeight="1" x14ac:dyDescent="0.2">
      <c r="A12050" s="258"/>
      <c r="Z12050" s="258"/>
    </row>
    <row r="12051" spans="1:26" ht="12.75" customHeight="1" x14ac:dyDescent="0.2">
      <c r="A12051" s="258"/>
      <c r="Z12051" s="258"/>
    </row>
    <row r="12052" spans="1:26" ht="12.75" customHeight="1" x14ac:dyDescent="0.2">
      <c r="A12052" s="258"/>
      <c r="Z12052" s="258"/>
    </row>
    <row r="12053" spans="1:26" ht="12.75" customHeight="1" x14ac:dyDescent="0.2">
      <c r="A12053" s="258"/>
      <c r="Z12053" s="258"/>
    </row>
    <row r="12054" spans="1:26" ht="12.75" customHeight="1" x14ac:dyDescent="0.2">
      <c r="A12054" s="258"/>
      <c r="Z12054" s="258"/>
    </row>
    <row r="12055" spans="1:26" ht="12.75" customHeight="1" x14ac:dyDescent="0.2">
      <c r="A12055" s="258"/>
      <c r="Z12055" s="258"/>
    </row>
    <row r="12056" spans="1:26" ht="12.75" customHeight="1" x14ac:dyDescent="0.2">
      <c r="A12056" s="258"/>
      <c r="Z12056" s="258"/>
    </row>
    <row r="12057" spans="1:26" ht="12.75" customHeight="1" x14ac:dyDescent="0.2">
      <c r="A12057" s="258"/>
      <c r="Z12057" s="258"/>
    </row>
    <row r="12058" spans="1:26" ht="12.75" customHeight="1" x14ac:dyDescent="0.2">
      <c r="A12058" s="258"/>
      <c r="Z12058" s="258"/>
    </row>
    <row r="12059" spans="1:26" ht="12.75" customHeight="1" x14ac:dyDescent="0.2">
      <c r="A12059" s="258"/>
      <c r="Z12059" s="258"/>
    </row>
    <row r="12060" spans="1:26" ht="12.75" customHeight="1" x14ac:dyDescent="0.2">
      <c r="A12060" s="258"/>
      <c r="Z12060" s="258"/>
    </row>
    <row r="12061" spans="1:26" ht="12.75" customHeight="1" x14ac:dyDescent="0.2">
      <c r="A12061" s="258"/>
      <c r="Z12061" s="258"/>
    </row>
    <row r="12062" spans="1:26" ht="12.75" customHeight="1" x14ac:dyDescent="0.2">
      <c r="A12062" s="258"/>
      <c r="Z12062" s="258"/>
    </row>
    <row r="12063" spans="1:26" ht="12.75" customHeight="1" x14ac:dyDescent="0.2">
      <c r="A12063" s="258"/>
      <c r="Z12063" s="258"/>
    </row>
    <row r="12064" spans="1:26" ht="12.75" customHeight="1" x14ac:dyDescent="0.2">
      <c r="A12064" s="258"/>
      <c r="Z12064" s="258"/>
    </row>
    <row r="12065" spans="1:26" ht="12.75" customHeight="1" x14ac:dyDescent="0.2">
      <c r="A12065" s="258"/>
      <c r="Z12065" s="258"/>
    </row>
    <row r="12066" spans="1:26" ht="12.75" customHeight="1" x14ac:dyDescent="0.2">
      <c r="A12066" s="258"/>
      <c r="Z12066" s="258"/>
    </row>
    <row r="12067" spans="1:26" ht="12.75" customHeight="1" x14ac:dyDescent="0.2">
      <c r="A12067" s="258"/>
      <c r="Z12067" s="258"/>
    </row>
    <row r="12068" spans="1:26" ht="12.75" customHeight="1" x14ac:dyDescent="0.2">
      <c r="A12068" s="258"/>
      <c r="Z12068" s="258"/>
    </row>
    <row r="12069" spans="1:26" ht="12.75" customHeight="1" x14ac:dyDescent="0.2">
      <c r="A12069" s="258"/>
      <c r="Z12069" s="258"/>
    </row>
    <row r="12070" spans="1:26" ht="12.75" customHeight="1" x14ac:dyDescent="0.2">
      <c r="A12070" s="258"/>
      <c r="Z12070" s="258"/>
    </row>
    <row r="12071" spans="1:26" ht="12.75" customHeight="1" x14ac:dyDescent="0.2">
      <c r="A12071" s="258"/>
      <c r="Z12071" s="258"/>
    </row>
    <row r="12072" spans="1:26" ht="12.75" customHeight="1" x14ac:dyDescent="0.2">
      <c r="A12072" s="258"/>
      <c r="Z12072" s="258"/>
    </row>
    <row r="12073" spans="1:26" ht="12.75" customHeight="1" x14ac:dyDescent="0.2">
      <c r="A12073" s="258"/>
      <c r="Z12073" s="258"/>
    </row>
    <row r="12074" spans="1:26" ht="12.75" customHeight="1" x14ac:dyDescent="0.2">
      <c r="A12074" s="258"/>
      <c r="Z12074" s="258"/>
    </row>
    <row r="12075" spans="1:26" ht="12.75" customHeight="1" x14ac:dyDescent="0.2">
      <c r="A12075" s="258"/>
      <c r="Z12075" s="258"/>
    </row>
    <row r="12076" spans="1:26" ht="12.75" customHeight="1" x14ac:dyDescent="0.2">
      <c r="A12076" s="258"/>
      <c r="Z12076" s="258"/>
    </row>
    <row r="12077" spans="1:26" ht="12.75" customHeight="1" x14ac:dyDescent="0.2">
      <c r="A12077" s="258"/>
      <c r="Z12077" s="258"/>
    </row>
    <row r="12078" spans="1:26" ht="12.75" customHeight="1" x14ac:dyDescent="0.2">
      <c r="A12078" s="258"/>
      <c r="Z12078" s="258"/>
    </row>
    <row r="12079" spans="1:26" ht="12.75" customHeight="1" x14ac:dyDescent="0.2">
      <c r="A12079" s="258"/>
      <c r="Z12079" s="258"/>
    </row>
    <row r="12080" spans="1:26" ht="12.75" customHeight="1" x14ac:dyDescent="0.2">
      <c r="A12080" s="258"/>
      <c r="Z12080" s="258"/>
    </row>
    <row r="12081" spans="1:26" ht="12.75" customHeight="1" x14ac:dyDescent="0.2">
      <c r="A12081" s="258"/>
      <c r="Z12081" s="258"/>
    </row>
    <row r="12082" spans="1:26" ht="12.75" customHeight="1" x14ac:dyDescent="0.2">
      <c r="A12082" s="258"/>
      <c r="Z12082" s="258"/>
    </row>
    <row r="12083" spans="1:26" ht="12.75" customHeight="1" x14ac:dyDescent="0.2">
      <c r="A12083" s="258"/>
      <c r="Z12083" s="258"/>
    </row>
    <row r="12084" spans="1:26" ht="12.75" customHeight="1" x14ac:dyDescent="0.2">
      <c r="A12084" s="258"/>
      <c r="Z12084" s="258"/>
    </row>
    <row r="12085" spans="1:26" ht="12.75" customHeight="1" x14ac:dyDescent="0.2">
      <c r="A12085" s="258"/>
      <c r="Z12085" s="258"/>
    </row>
    <row r="12086" spans="1:26" ht="12.75" customHeight="1" x14ac:dyDescent="0.2">
      <c r="A12086" s="258"/>
      <c r="Z12086" s="258"/>
    </row>
    <row r="12087" spans="1:26" ht="12.75" customHeight="1" x14ac:dyDescent="0.2">
      <c r="A12087" s="258"/>
      <c r="Z12087" s="258"/>
    </row>
    <row r="12088" spans="1:26" ht="12.75" customHeight="1" x14ac:dyDescent="0.2">
      <c r="A12088" s="258"/>
      <c r="Z12088" s="258"/>
    </row>
    <row r="12089" spans="1:26" ht="12.75" customHeight="1" x14ac:dyDescent="0.2">
      <c r="A12089" s="258"/>
      <c r="Z12089" s="258"/>
    </row>
    <row r="12090" spans="1:26" ht="12.75" customHeight="1" x14ac:dyDescent="0.2">
      <c r="A12090" s="258"/>
      <c r="Z12090" s="258"/>
    </row>
    <row r="12091" spans="1:26" ht="12.75" customHeight="1" x14ac:dyDescent="0.2">
      <c r="A12091" s="258"/>
      <c r="Z12091" s="258"/>
    </row>
    <row r="12092" spans="1:26" ht="12.75" customHeight="1" x14ac:dyDescent="0.2">
      <c r="A12092" s="258"/>
      <c r="Z12092" s="258"/>
    </row>
    <row r="12093" spans="1:26" ht="12.75" customHeight="1" x14ac:dyDescent="0.2">
      <c r="A12093" s="258"/>
      <c r="Z12093" s="258"/>
    </row>
    <row r="12094" spans="1:26" ht="12.75" customHeight="1" x14ac:dyDescent="0.2">
      <c r="A12094" s="258"/>
      <c r="Z12094" s="258"/>
    </row>
    <row r="12095" spans="1:26" ht="12.75" customHeight="1" x14ac:dyDescent="0.2">
      <c r="A12095" s="258"/>
      <c r="Z12095" s="258"/>
    </row>
    <row r="12096" spans="1:26" ht="12.75" customHeight="1" x14ac:dyDescent="0.2">
      <c r="A12096" s="258"/>
      <c r="Z12096" s="258"/>
    </row>
    <row r="12097" spans="1:26" ht="12.75" customHeight="1" x14ac:dyDescent="0.2">
      <c r="A12097" s="258"/>
      <c r="Z12097" s="258"/>
    </row>
    <row r="12098" spans="1:26" ht="12.75" customHeight="1" x14ac:dyDescent="0.2">
      <c r="A12098" s="258"/>
      <c r="Z12098" s="258"/>
    </row>
    <row r="12099" spans="1:26" ht="12.75" customHeight="1" x14ac:dyDescent="0.2">
      <c r="A12099" s="258"/>
      <c r="Z12099" s="258"/>
    </row>
    <row r="12100" spans="1:26" ht="12.75" customHeight="1" x14ac:dyDescent="0.2">
      <c r="A12100" s="258"/>
      <c r="Z12100" s="258"/>
    </row>
    <row r="12101" spans="1:26" ht="12.75" customHeight="1" x14ac:dyDescent="0.2">
      <c r="A12101" s="258"/>
      <c r="Z12101" s="258"/>
    </row>
    <row r="12102" spans="1:26" ht="12.75" customHeight="1" x14ac:dyDescent="0.2">
      <c r="A12102" s="258"/>
      <c r="Z12102" s="258"/>
    </row>
    <row r="12103" spans="1:26" ht="12.75" customHeight="1" x14ac:dyDescent="0.2">
      <c r="A12103" s="258"/>
      <c r="Z12103" s="258"/>
    </row>
    <row r="12104" spans="1:26" ht="12.75" customHeight="1" x14ac:dyDescent="0.2">
      <c r="A12104" s="258"/>
      <c r="Z12104" s="258"/>
    </row>
    <row r="12105" spans="1:26" ht="12.75" customHeight="1" x14ac:dyDescent="0.2">
      <c r="A12105" s="258"/>
      <c r="Z12105" s="258"/>
    </row>
    <row r="12106" spans="1:26" ht="12.75" customHeight="1" x14ac:dyDescent="0.2">
      <c r="A12106" s="258"/>
      <c r="Z12106" s="258"/>
    </row>
    <row r="12107" spans="1:26" ht="12.75" customHeight="1" x14ac:dyDescent="0.2">
      <c r="A12107" s="258"/>
      <c r="Z12107" s="258"/>
    </row>
    <row r="12108" spans="1:26" ht="12.75" customHeight="1" x14ac:dyDescent="0.2">
      <c r="A12108" s="258"/>
      <c r="Z12108" s="258"/>
    </row>
    <row r="12109" spans="1:26" ht="12.75" customHeight="1" x14ac:dyDescent="0.2">
      <c r="A12109" s="258"/>
      <c r="Z12109" s="258"/>
    </row>
    <row r="12110" spans="1:26" ht="12.75" customHeight="1" x14ac:dyDescent="0.2">
      <c r="A12110" s="258"/>
      <c r="Z12110" s="258"/>
    </row>
    <row r="12111" spans="1:26" ht="12.75" customHeight="1" x14ac:dyDescent="0.2">
      <c r="A12111" s="258"/>
      <c r="Z12111" s="258"/>
    </row>
    <row r="12112" spans="1:26" ht="12.75" customHeight="1" x14ac:dyDescent="0.2">
      <c r="A12112" s="258"/>
      <c r="Z12112" s="258"/>
    </row>
    <row r="12113" spans="1:26" ht="12.75" customHeight="1" x14ac:dyDescent="0.2">
      <c r="A12113" s="258"/>
      <c r="Z12113" s="258"/>
    </row>
    <row r="12114" spans="1:26" ht="12.75" customHeight="1" x14ac:dyDescent="0.2">
      <c r="A12114" s="258"/>
      <c r="Z12114" s="258"/>
    </row>
    <row r="12115" spans="1:26" ht="12.75" customHeight="1" x14ac:dyDescent="0.2">
      <c r="A12115" s="258"/>
      <c r="Z12115" s="258"/>
    </row>
    <row r="12116" spans="1:26" ht="12.75" customHeight="1" x14ac:dyDescent="0.2">
      <c r="A12116" s="258"/>
      <c r="Z12116" s="258"/>
    </row>
    <row r="12117" spans="1:26" ht="12.75" customHeight="1" x14ac:dyDescent="0.2">
      <c r="A12117" s="258"/>
      <c r="Z12117" s="258"/>
    </row>
    <row r="12118" spans="1:26" ht="12.75" customHeight="1" x14ac:dyDescent="0.2">
      <c r="A12118" s="258"/>
      <c r="Z12118" s="258"/>
    </row>
    <row r="12119" spans="1:26" ht="12.75" customHeight="1" x14ac:dyDescent="0.2">
      <c r="A12119" s="258"/>
      <c r="Z12119" s="258"/>
    </row>
    <row r="12120" spans="1:26" ht="12.75" customHeight="1" x14ac:dyDescent="0.2">
      <c r="A12120" s="258"/>
      <c r="Z12120" s="258"/>
    </row>
    <row r="12121" spans="1:26" ht="12.75" customHeight="1" x14ac:dyDescent="0.2">
      <c r="A12121" s="258"/>
      <c r="Z12121" s="258"/>
    </row>
    <row r="12122" spans="1:26" ht="12.75" customHeight="1" x14ac:dyDescent="0.2">
      <c r="A12122" s="258"/>
      <c r="Z12122" s="258"/>
    </row>
    <row r="12123" spans="1:26" ht="12.75" customHeight="1" x14ac:dyDescent="0.2">
      <c r="A12123" s="258"/>
      <c r="Z12123" s="258"/>
    </row>
    <row r="12124" spans="1:26" ht="12.75" customHeight="1" x14ac:dyDescent="0.2">
      <c r="A12124" s="258"/>
      <c r="Z12124" s="258"/>
    </row>
    <row r="12125" spans="1:26" ht="12.75" customHeight="1" x14ac:dyDescent="0.2">
      <c r="A12125" s="258"/>
      <c r="Z12125" s="258"/>
    </row>
    <row r="12126" spans="1:26" ht="12.75" customHeight="1" x14ac:dyDescent="0.2">
      <c r="A12126" s="258"/>
      <c r="Z12126" s="258"/>
    </row>
    <row r="12127" spans="1:26" ht="12.75" customHeight="1" x14ac:dyDescent="0.2">
      <c r="A12127" s="258"/>
      <c r="Z12127" s="258"/>
    </row>
    <row r="12128" spans="1:26" ht="12.75" customHeight="1" x14ac:dyDescent="0.2">
      <c r="A12128" s="258"/>
      <c r="Z12128" s="258"/>
    </row>
    <row r="12129" spans="1:26" ht="12.75" customHeight="1" x14ac:dyDescent="0.2">
      <c r="A12129" s="258"/>
      <c r="Z12129" s="258"/>
    </row>
    <row r="12130" spans="1:26" ht="12.75" customHeight="1" x14ac:dyDescent="0.2">
      <c r="A12130" s="258"/>
      <c r="Z12130" s="258"/>
    </row>
    <row r="12131" spans="1:26" ht="12.75" customHeight="1" x14ac:dyDescent="0.2">
      <c r="A12131" s="258"/>
      <c r="Z12131" s="258"/>
    </row>
    <row r="12132" spans="1:26" ht="12.75" customHeight="1" x14ac:dyDescent="0.2">
      <c r="A12132" s="258"/>
      <c r="Z12132" s="258"/>
    </row>
    <row r="12133" spans="1:26" ht="12.75" customHeight="1" x14ac:dyDescent="0.2">
      <c r="A12133" s="258"/>
      <c r="Z12133" s="258"/>
    </row>
    <row r="12134" spans="1:26" ht="12.75" customHeight="1" x14ac:dyDescent="0.2">
      <c r="A12134" s="258"/>
      <c r="Z12134" s="258"/>
    </row>
    <row r="12135" spans="1:26" ht="12.75" customHeight="1" x14ac:dyDescent="0.2">
      <c r="A12135" s="258"/>
      <c r="Z12135" s="258"/>
    </row>
    <row r="12136" spans="1:26" ht="12.75" customHeight="1" x14ac:dyDescent="0.2">
      <c r="A12136" s="258"/>
      <c r="Z12136" s="258"/>
    </row>
    <row r="12137" spans="1:26" ht="12.75" customHeight="1" x14ac:dyDescent="0.2">
      <c r="A12137" s="258"/>
      <c r="Z12137" s="258"/>
    </row>
    <row r="12138" spans="1:26" ht="12.75" customHeight="1" x14ac:dyDescent="0.2">
      <c r="A12138" s="258"/>
      <c r="Z12138" s="258"/>
    </row>
    <row r="12139" spans="1:26" ht="12.75" customHeight="1" x14ac:dyDescent="0.2">
      <c r="A12139" s="258"/>
      <c r="Z12139" s="258"/>
    </row>
    <row r="12140" spans="1:26" ht="12.75" customHeight="1" x14ac:dyDescent="0.2">
      <c r="A12140" s="258"/>
      <c r="Z12140" s="258"/>
    </row>
    <row r="12141" spans="1:26" ht="12.75" customHeight="1" x14ac:dyDescent="0.2">
      <c r="A12141" s="258"/>
      <c r="Z12141" s="258"/>
    </row>
    <row r="12142" spans="1:26" ht="12.75" customHeight="1" x14ac:dyDescent="0.2">
      <c r="A12142" s="258"/>
      <c r="Z12142" s="258"/>
    </row>
    <row r="12143" spans="1:26" ht="12.75" customHeight="1" x14ac:dyDescent="0.2">
      <c r="A12143" s="258"/>
      <c r="Z12143" s="258"/>
    </row>
    <row r="12144" spans="1:26" ht="12.75" customHeight="1" x14ac:dyDescent="0.2">
      <c r="A12144" s="258"/>
      <c r="Z12144" s="258"/>
    </row>
    <row r="12145" spans="1:26" ht="12.75" customHeight="1" x14ac:dyDescent="0.2">
      <c r="A12145" s="258"/>
      <c r="Z12145" s="258"/>
    </row>
    <row r="12146" spans="1:26" ht="12.75" customHeight="1" x14ac:dyDescent="0.2">
      <c r="A12146" s="258"/>
      <c r="Z12146" s="258"/>
    </row>
    <row r="12147" spans="1:26" ht="12.75" customHeight="1" x14ac:dyDescent="0.2">
      <c r="A12147" s="258"/>
      <c r="Z12147" s="258"/>
    </row>
    <row r="12148" spans="1:26" ht="12.75" customHeight="1" x14ac:dyDescent="0.2">
      <c r="A12148" s="258"/>
      <c r="Z12148" s="258"/>
    </row>
    <row r="12149" spans="1:26" ht="12.75" customHeight="1" x14ac:dyDescent="0.2">
      <c r="A12149" s="258"/>
      <c r="Z12149" s="258"/>
    </row>
    <row r="12150" spans="1:26" ht="12.75" customHeight="1" x14ac:dyDescent="0.2">
      <c r="A12150" s="258"/>
      <c r="Z12150" s="258"/>
    </row>
    <row r="12151" spans="1:26" ht="12.75" customHeight="1" x14ac:dyDescent="0.2">
      <c r="A12151" s="258"/>
      <c r="Z12151" s="258"/>
    </row>
    <row r="12152" spans="1:26" ht="12.75" customHeight="1" x14ac:dyDescent="0.2">
      <c r="A12152" s="258"/>
      <c r="Z12152" s="258"/>
    </row>
    <row r="12153" spans="1:26" ht="12.75" customHeight="1" x14ac:dyDescent="0.2">
      <c r="A12153" s="258"/>
      <c r="Z12153" s="258"/>
    </row>
    <row r="12154" spans="1:26" ht="12.75" customHeight="1" x14ac:dyDescent="0.2">
      <c r="A12154" s="258"/>
      <c r="Z12154" s="258"/>
    </row>
    <row r="12155" spans="1:26" ht="12.75" customHeight="1" x14ac:dyDescent="0.2">
      <c r="A12155" s="258"/>
      <c r="Z12155" s="258"/>
    </row>
    <row r="12156" spans="1:26" ht="12.75" customHeight="1" x14ac:dyDescent="0.2">
      <c r="A12156" s="258"/>
      <c r="Z12156" s="258"/>
    </row>
    <row r="12157" spans="1:26" ht="12.75" customHeight="1" x14ac:dyDescent="0.2">
      <c r="A12157" s="258"/>
      <c r="Z12157" s="258"/>
    </row>
    <row r="12158" spans="1:26" ht="12.75" customHeight="1" x14ac:dyDescent="0.2">
      <c r="A12158" s="258"/>
      <c r="Z12158" s="258"/>
    </row>
    <row r="12159" spans="1:26" ht="12.75" customHeight="1" x14ac:dyDescent="0.2">
      <c r="A12159" s="258"/>
      <c r="Z12159" s="258"/>
    </row>
    <row r="12160" spans="1:26" ht="12.75" customHeight="1" x14ac:dyDescent="0.2">
      <c r="A12160" s="258"/>
      <c r="Z12160" s="258"/>
    </row>
    <row r="12161" spans="1:26" ht="12.75" customHeight="1" x14ac:dyDescent="0.2">
      <c r="A12161" s="258"/>
      <c r="Z12161" s="258"/>
    </row>
    <row r="12162" spans="1:26" ht="12.75" customHeight="1" x14ac:dyDescent="0.2">
      <c r="A12162" s="258"/>
      <c r="Z12162" s="258"/>
    </row>
    <row r="12163" spans="1:26" ht="12.75" customHeight="1" x14ac:dyDescent="0.2">
      <c r="A12163" s="258"/>
      <c r="Z12163" s="258"/>
    </row>
    <row r="12164" spans="1:26" ht="12.75" customHeight="1" x14ac:dyDescent="0.2">
      <c r="A12164" s="258"/>
      <c r="Z12164" s="258"/>
    </row>
    <row r="12165" spans="1:26" ht="12.75" customHeight="1" x14ac:dyDescent="0.2">
      <c r="A12165" s="258"/>
      <c r="Z12165" s="258"/>
    </row>
    <row r="12166" spans="1:26" ht="12.75" customHeight="1" x14ac:dyDescent="0.2">
      <c r="A12166" s="258"/>
      <c r="Z12166" s="258"/>
    </row>
    <row r="12167" spans="1:26" ht="12.75" customHeight="1" x14ac:dyDescent="0.2">
      <c r="A12167" s="258"/>
      <c r="Z12167" s="258"/>
    </row>
    <row r="12168" spans="1:26" ht="12.75" customHeight="1" x14ac:dyDescent="0.2">
      <c r="A12168" s="258"/>
      <c r="Z12168" s="258"/>
    </row>
    <row r="12169" spans="1:26" ht="12.75" customHeight="1" x14ac:dyDescent="0.2">
      <c r="A12169" s="258"/>
      <c r="Z12169" s="258"/>
    </row>
    <row r="12170" spans="1:26" ht="12.75" customHeight="1" x14ac:dyDescent="0.2">
      <c r="A12170" s="258"/>
      <c r="Z12170" s="258"/>
    </row>
    <row r="12171" spans="1:26" ht="12.75" customHeight="1" x14ac:dyDescent="0.2">
      <c r="A12171" s="258"/>
      <c r="Z12171" s="258"/>
    </row>
    <row r="12172" spans="1:26" ht="12.75" customHeight="1" x14ac:dyDescent="0.2">
      <c r="A12172" s="258"/>
      <c r="Z12172" s="258"/>
    </row>
    <row r="12173" spans="1:26" ht="12.75" customHeight="1" x14ac:dyDescent="0.2">
      <c r="A12173" s="258"/>
      <c r="Z12173" s="258"/>
    </row>
    <row r="12174" spans="1:26" ht="12.75" customHeight="1" x14ac:dyDescent="0.2">
      <c r="A12174" s="258"/>
      <c r="Z12174" s="258"/>
    </row>
    <row r="12175" spans="1:26" ht="12.75" customHeight="1" x14ac:dyDescent="0.2">
      <c r="A12175" s="258"/>
      <c r="Z12175" s="258"/>
    </row>
    <row r="12176" spans="1:26" ht="12.75" customHeight="1" x14ac:dyDescent="0.2">
      <c r="A12176" s="258"/>
      <c r="Z12176" s="258"/>
    </row>
    <row r="12177" spans="1:26" ht="12.75" customHeight="1" x14ac:dyDescent="0.2">
      <c r="A12177" s="258"/>
      <c r="Z12177" s="258"/>
    </row>
    <row r="12178" spans="1:26" ht="12.75" customHeight="1" x14ac:dyDescent="0.2">
      <c r="A12178" s="258"/>
      <c r="Z12178" s="258"/>
    </row>
    <row r="12179" spans="1:26" ht="12.75" customHeight="1" x14ac:dyDescent="0.2">
      <c r="A12179" s="258"/>
      <c r="Z12179" s="258"/>
    </row>
    <row r="12180" spans="1:26" ht="12.75" customHeight="1" x14ac:dyDescent="0.2">
      <c r="A12180" s="258"/>
      <c r="Z12180" s="258"/>
    </row>
    <row r="12181" spans="1:26" ht="12.75" customHeight="1" x14ac:dyDescent="0.2">
      <c r="A12181" s="258"/>
      <c r="Z12181" s="258"/>
    </row>
    <row r="12182" spans="1:26" ht="12.75" customHeight="1" x14ac:dyDescent="0.2">
      <c r="A12182" s="258"/>
      <c r="Z12182" s="258"/>
    </row>
    <row r="12183" spans="1:26" ht="12.75" customHeight="1" x14ac:dyDescent="0.2">
      <c r="A12183" s="258"/>
      <c r="Z12183" s="258"/>
    </row>
    <row r="12184" spans="1:26" ht="12.75" customHeight="1" x14ac:dyDescent="0.2">
      <c r="A12184" s="258"/>
      <c r="Z12184" s="258"/>
    </row>
    <row r="12185" spans="1:26" ht="12.75" customHeight="1" x14ac:dyDescent="0.2">
      <c r="A12185" s="258"/>
      <c r="Z12185" s="258"/>
    </row>
    <row r="12186" spans="1:26" ht="12.75" customHeight="1" x14ac:dyDescent="0.2">
      <c r="A12186" s="258"/>
      <c r="Z12186" s="258"/>
    </row>
    <row r="12187" spans="1:26" ht="12.75" customHeight="1" x14ac:dyDescent="0.2">
      <c r="A12187" s="258"/>
      <c r="Z12187" s="258"/>
    </row>
    <row r="12188" spans="1:26" ht="12.75" customHeight="1" x14ac:dyDescent="0.2">
      <c r="A12188" s="258"/>
      <c r="Z12188" s="258"/>
    </row>
    <row r="12189" spans="1:26" ht="12.75" customHeight="1" x14ac:dyDescent="0.2">
      <c r="A12189" s="258"/>
      <c r="Z12189" s="258"/>
    </row>
    <row r="12190" spans="1:26" ht="12.75" customHeight="1" x14ac:dyDescent="0.2">
      <c r="A12190" s="258"/>
      <c r="Z12190" s="258"/>
    </row>
    <row r="12191" spans="1:26" ht="12.75" customHeight="1" x14ac:dyDescent="0.2">
      <c r="A12191" s="258"/>
      <c r="Z12191" s="258"/>
    </row>
    <row r="12192" spans="1:26" ht="12.75" customHeight="1" x14ac:dyDescent="0.2">
      <c r="A12192" s="258"/>
      <c r="Z12192" s="258"/>
    </row>
    <row r="12193" spans="1:26" ht="12.75" customHeight="1" x14ac:dyDescent="0.2">
      <c r="A12193" s="258"/>
      <c r="Z12193" s="258"/>
    </row>
    <row r="12194" spans="1:26" ht="12.75" customHeight="1" x14ac:dyDescent="0.2">
      <c r="A12194" s="258"/>
      <c r="Z12194" s="258"/>
    </row>
    <row r="12195" spans="1:26" ht="12.75" customHeight="1" x14ac:dyDescent="0.2">
      <c r="A12195" s="258"/>
      <c r="Z12195" s="258"/>
    </row>
    <row r="12196" spans="1:26" ht="12.75" customHeight="1" x14ac:dyDescent="0.2">
      <c r="A12196" s="258"/>
      <c r="Z12196" s="258"/>
    </row>
    <row r="12197" spans="1:26" ht="12.75" customHeight="1" x14ac:dyDescent="0.2">
      <c r="A12197" s="258"/>
      <c r="Z12197" s="258"/>
    </row>
    <row r="12198" spans="1:26" ht="12.75" customHeight="1" x14ac:dyDescent="0.2">
      <c r="A12198" s="258"/>
      <c r="Z12198" s="258"/>
    </row>
    <row r="12199" spans="1:26" ht="12.75" customHeight="1" x14ac:dyDescent="0.2">
      <c r="A12199" s="258"/>
      <c r="Z12199" s="258"/>
    </row>
    <row r="12200" spans="1:26" ht="12.75" customHeight="1" x14ac:dyDescent="0.2">
      <c r="A12200" s="258"/>
      <c r="Z12200" s="258"/>
    </row>
    <row r="12201" spans="1:26" ht="12.75" customHeight="1" x14ac:dyDescent="0.2">
      <c r="A12201" s="258"/>
      <c r="Z12201" s="258"/>
    </row>
    <row r="12202" spans="1:26" ht="12.75" customHeight="1" x14ac:dyDescent="0.2">
      <c r="A12202" s="258"/>
      <c r="Z12202" s="258"/>
    </row>
    <row r="12203" spans="1:26" ht="12.75" customHeight="1" x14ac:dyDescent="0.2">
      <c r="A12203" s="258"/>
      <c r="Z12203" s="258"/>
    </row>
    <row r="12204" spans="1:26" ht="12.75" customHeight="1" x14ac:dyDescent="0.2">
      <c r="A12204" s="258"/>
      <c r="Z12204" s="258"/>
    </row>
    <row r="12205" spans="1:26" ht="12.75" customHeight="1" x14ac:dyDescent="0.2">
      <c r="A12205" s="258"/>
      <c r="Z12205" s="258"/>
    </row>
    <row r="12206" spans="1:26" ht="12.75" customHeight="1" x14ac:dyDescent="0.2">
      <c r="A12206" s="258"/>
      <c r="Z12206" s="258"/>
    </row>
    <row r="12207" spans="1:26" ht="12.75" customHeight="1" x14ac:dyDescent="0.2">
      <c r="A12207" s="258"/>
      <c r="Z12207" s="258"/>
    </row>
    <row r="12208" spans="1:26" ht="12.75" customHeight="1" x14ac:dyDescent="0.2">
      <c r="A12208" s="258"/>
      <c r="Z12208" s="258"/>
    </row>
    <row r="12209" spans="1:26" ht="12.75" customHeight="1" x14ac:dyDescent="0.2">
      <c r="A12209" s="258"/>
      <c r="Z12209" s="258"/>
    </row>
    <row r="12210" spans="1:26" ht="12.75" customHeight="1" x14ac:dyDescent="0.2">
      <c r="A12210" s="258"/>
      <c r="Z12210" s="258"/>
    </row>
    <row r="12211" spans="1:26" ht="12.75" customHeight="1" x14ac:dyDescent="0.2">
      <c r="A12211" s="258"/>
      <c r="Z12211" s="258"/>
    </row>
    <row r="12212" spans="1:26" ht="12.75" customHeight="1" x14ac:dyDescent="0.2">
      <c r="A12212" s="258"/>
      <c r="Z12212" s="258"/>
    </row>
    <row r="12213" spans="1:26" ht="12.75" customHeight="1" x14ac:dyDescent="0.2">
      <c r="A12213" s="258"/>
      <c r="Z12213" s="258"/>
    </row>
    <row r="12214" spans="1:26" ht="12.75" customHeight="1" x14ac:dyDescent="0.2">
      <c r="A12214" s="258"/>
      <c r="Z12214" s="258"/>
    </row>
    <row r="12215" spans="1:26" ht="12.75" customHeight="1" x14ac:dyDescent="0.2">
      <c r="A12215" s="258"/>
      <c r="Z12215" s="258"/>
    </row>
    <row r="12216" spans="1:26" ht="12.75" customHeight="1" x14ac:dyDescent="0.2">
      <c r="A12216" s="258"/>
      <c r="Z12216" s="258"/>
    </row>
    <row r="12217" spans="1:26" ht="12.75" customHeight="1" x14ac:dyDescent="0.2">
      <c r="A12217" s="258"/>
      <c r="Z12217" s="258"/>
    </row>
    <row r="12218" spans="1:26" ht="12.75" customHeight="1" x14ac:dyDescent="0.2">
      <c r="A12218" s="258"/>
      <c r="Z12218" s="258"/>
    </row>
    <row r="12219" spans="1:26" ht="12.75" customHeight="1" x14ac:dyDescent="0.2">
      <c r="A12219" s="258"/>
      <c r="Z12219" s="258"/>
    </row>
    <row r="12220" spans="1:26" ht="12.75" customHeight="1" x14ac:dyDescent="0.2">
      <c r="A12220" s="258"/>
      <c r="Z12220" s="258"/>
    </row>
    <row r="12221" spans="1:26" ht="12.75" customHeight="1" x14ac:dyDescent="0.2">
      <c r="A12221" s="258"/>
      <c r="Z12221" s="258"/>
    </row>
    <row r="12222" spans="1:26" ht="12.75" customHeight="1" x14ac:dyDescent="0.2">
      <c r="A12222" s="258"/>
      <c r="Z12222" s="258"/>
    </row>
    <row r="12223" spans="1:26" ht="12.75" customHeight="1" x14ac:dyDescent="0.2">
      <c r="A12223" s="258"/>
      <c r="Z12223" s="258"/>
    </row>
    <row r="12224" spans="1:26" ht="12.75" customHeight="1" x14ac:dyDescent="0.2">
      <c r="A12224" s="258"/>
      <c r="Z12224" s="258"/>
    </row>
    <row r="12225" spans="1:26" ht="12.75" customHeight="1" x14ac:dyDescent="0.2">
      <c r="A12225" s="258"/>
      <c r="Z12225" s="258"/>
    </row>
    <row r="12226" spans="1:26" ht="12.75" customHeight="1" x14ac:dyDescent="0.2">
      <c r="A12226" s="258"/>
      <c r="Z12226" s="258"/>
    </row>
    <row r="12227" spans="1:26" ht="12.75" customHeight="1" x14ac:dyDescent="0.2">
      <c r="A12227" s="258"/>
      <c r="Z12227" s="258"/>
    </row>
    <row r="12228" spans="1:26" ht="12.75" customHeight="1" x14ac:dyDescent="0.2">
      <c r="A12228" s="258"/>
      <c r="Z12228" s="258"/>
    </row>
    <row r="12229" spans="1:26" ht="12.75" customHeight="1" x14ac:dyDescent="0.2">
      <c r="A12229" s="258"/>
      <c r="Z12229" s="258"/>
    </row>
    <row r="12230" spans="1:26" ht="12.75" customHeight="1" x14ac:dyDescent="0.2">
      <c r="A12230" s="258"/>
      <c r="Z12230" s="258"/>
    </row>
    <row r="12231" spans="1:26" ht="12.75" customHeight="1" x14ac:dyDescent="0.2">
      <c r="A12231" s="258"/>
      <c r="Z12231" s="258"/>
    </row>
    <row r="12232" spans="1:26" ht="12.75" customHeight="1" x14ac:dyDescent="0.2">
      <c r="A12232" s="258"/>
      <c r="Z12232" s="258"/>
    </row>
    <row r="12233" spans="1:26" ht="12.75" customHeight="1" x14ac:dyDescent="0.2">
      <c r="A12233" s="258"/>
      <c r="Z12233" s="258"/>
    </row>
    <row r="12234" spans="1:26" ht="12.75" customHeight="1" x14ac:dyDescent="0.2">
      <c r="A12234" s="258"/>
      <c r="Z12234" s="258"/>
    </row>
    <row r="12235" spans="1:26" ht="12.75" customHeight="1" x14ac:dyDescent="0.2">
      <c r="A12235" s="258"/>
      <c r="Z12235" s="258"/>
    </row>
    <row r="12236" spans="1:26" ht="12.75" customHeight="1" x14ac:dyDescent="0.2">
      <c r="A12236" s="258"/>
      <c r="Z12236" s="258"/>
    </row>
    <row r="12237" spans="1:26" ht="12.75" customHeight="1" x14ac:dyDescent="0.2">
      <c r="A12237" s="258"/>
      <c r="Z12237" s="258"/>
    </row>
    <row r="12238" spans="1:26" ht="12.75" customHeight="1" x14ac:dyDescent="0.2">
      <c r="A12238" s="258"/>
      <c r="Z12238" s="258"/>
    </row>
    <row r="12239" spans="1:26" ht="12.75" customHeight="1" x14ac:dyDescent="0.2">
      <c r="A12239" s="258"/>
      <c r="Z12239" s="258"/>
    </row>
    <row r="12240" spans="1:26" ht="12.75" customHeight="1" x14ac:dyDescent="0.2">
      <c r="A12240" s="258"/>
      <c r="Z12240" s="258"/>
    </row>
    <row r="12241" spans="1:26" ht="12.75" customHeight="1" x14ac:dyDescent="0.2">
      <c r="A12241" s="258"/>
      <c r="Z12241" s="258"/>
    </row>
    <row r="12242" spans="1:26" ht="12.75" customHeight="1" x14ac:dyDescent="0.2">
      <c r="A12242" s="258"/>
      <c r="Z12242" s="258"/>
    </row>
    <row r="12243" spans="1:26" ht="12.75" customHeight="1" x14ac:dyDescent="0.2">
      <c r="A12243" s="258"/>
      <c r="Z12243" s="258"/>
    </row>
    <row r="12244" spans="1:26" ht="12.75" customHeight="1" x14ac:dyDescent="0.2">
      <c r="A12244" s="258"/>
      <c r="Z12244" s="258"/>
    </row>
    <row r="12245" spans="1:26" ht="12.75" customHeight="1" x14ac:dyDescent="0.2">
      <c r="A12245" s="258"/>
      <c r="Z12245" s="258"/>
    </row>
    <row r="12246" spans="1:26" ht="12.75" customHeight="1" x14ac:dyDescent="0.2">
      <c r="A12246" s="258"/>
      <c r="Z12246" s="258"/>
    </row>
    <row r="12247" spans="1:26" ht="12.75" customHeight="1" x14ac:dyDescent="0.2">
      <c r="A12247" s="258"/>
      <c r="Z12247" s="258"/>
    </row>
    <row r="12248" spans="1:26" ht="12.75" customHeight="1" x14ac:dyDescent="0.2">
      <c r="A12248" s="258"/>
      <c r="Z12248" s="258"/>
    </row>
    <row r="12249" spans="1:26" ht="12.75" customHeight="1" x14ac:dyDescent="0.2">
      <c r="A12249" s="258"/>
      <c r="Z12249" s="258"/>
    </row>
    <row r="12250" spans="1:26" ht="12.75" customHeight="1" x14ac:dyDescent="0.2">
      <c r="A12250" s="258"/>
      <c r="Z12250" s="258"/>
    </row>
    <row r="12251" spans="1:26" ht="12.75" customHeight="1" x14ac:dyDescent="0.2">
      <c r="A12251" s="258"/>
      <c r="Z12251" s="258"/>
    </row>
    <row r="12252" spans="1:26" ht="12.75" customHeight="1" x14ac:dyDescent="0.2">
      <c r="A12252" s="258"/>
      <c r="Z12252" s="258"/>
    </row>
    <row r="12253" spans="1:26" ht="12.75" customHeight="1" x14ac:dyDescent="0.2">
      <c r="A12253" s="258"/>
      <c r="Z12253" s="258"/>
    </row>
    <row r="12254" spans="1:26" ht="12.75" customHeight="1" x14ac:dyDescent="0.2">
      <c r="A12254" s="258"/>
      <c r="Z12254" s="258"/>
    </row>
    <row r="12255" spans="1:26" ht="12.75" customHeight="1" x14ac:dyDescent="0.2">
      <c r="A12255" s="258"/>
      <c r="Z12255" s="258"/>
    </row>
    <row r="12256" spans="1:26" ht="12.75" customHeight="1" x14ac:dyDescent="0.2">
      <c r="A12256" s="258"/>
      <c r="Z12256" s="258"/>
    </row>
    <row r="12257" spans="1:26" ht="12.75" customHeight="1" x14ac:dyDescent="0.2">
      <c r="A12257" s="258"/>
      <c r="Z12257" s="258"/>
    </row>
    <row r="12258" spans="1:26" ht="12.75" customHeight="1" x14ac:dyDescent="0.2">
      <c r="A12258" s="258"/>
      <c r="Z12258" s="258"/>
    </row>
    <row r="12259" spans="1:26" ht="12.75" customHeight="1" x14ac:dyDescent="0.2">
      <c r="A12259" s="258"/>
      <c r="Z12259" s="258"/>
    </row>
    <row r="12260" spans="1:26" ht="12.75" customHeight="1" x14ac:dyDescent="0.2">
      <c r="A12260" s="258"/>
      <c r="Z12260" s="258"/>
    </row>
    <row r="12261" spans="1:26" ht="12.75" customHeight="1" x14ac:dyDescent="0.2">
      <c r="A12261" s="258"/>
      <c r="Z12261" s="258"/>
    </row>
    <row r="12262" spans="1:26" ht="12.75" customHeight="1" x14ac:dyDescent="0.2">
      <c r="A12262" s="258"/>
      <c r="Z12262" s="258"/>
    </row>
    <row r="12263" spans="1:26" ht="12.75" customHeight="1" x14ac:dyDescent="0.2">
      <c r="A12263" s="258"/>
      <c r="Z12263" s="258"/>
    </row>
    <row r="12264" spans="1:26" ht="12.75" customHeight="1" x14ac:dyDescent="0.2">
      <c r="A12264" s="258"/>
      <c r="Z12264" s="258"/>
    </row>
    <row r="12265" spans="1:26" ht="12.75" customHeight="1" x14ac:dyDescent="0.2">
      <c r="A12265" s="258"/>
      <c r="Z12265" s="258"/>
    </row>
    <row r="12266" spans="1:26" ht="12.75" customHeight="1" x14ac:dyDescent="0.2">
      <c r="A12266" s="258"/>
      <c r="Z12266" s="258"/>
    </row>
    <row r="12267" spans="1:26" ht="12.75" customHeight="1" x14ac:dyDescent="0.2">
      <c r="A12267" s="258"/>
      <c r="Z12267" s="258"/>
    </row>
    <row r="12268" spans="1:26" ht="12.75" customHeight="1" x14ac:dyDescent="0.2">
      <c r="A12268" s="258"/>
      <c r="Z12268" s="258"/>
    </row>
    <row r="12269" spans="1:26" ht="12.75" customHeight="1" x14ac:dyDescent="0.2">
      <c r="A12269" s="258"/>
      <c r="Z12269" s="258"/>
    </row>
    <row r="12270" spans="1:26" ht="12.75" customHeight="1" x14ac:dyDescent="0.2">
      <c r="A12270" s="258"/>
      <c r="Z12270" s="258"/>
    </row>
    <row r="12271" spans="1:26" ht="12.75" customHeight="1" x14ac:dyDescent="0.2">
      <c r="A12271" s="258"/>
      <c r="Z12271" s="258"/>
    </row>
    <row r="12272" spans="1:26" ht="12.75" customHeight="1" x14ac:dyDescent="0.2">
      <c r="A12272" s="258"/>
      <c r="Z12272" s="258"/>
    </row>
    <row r="12273" spans="1:26" ht="12.75" customHeight="1" x14ac:dyDescent="0.2">
      <c r="A12273" s="258"/>
      <c r="Z12273" s="258"/>
    </row>
    <row r="12274" spans="1:26" ht="12.75" customHeight="1" x14ac:dyDescent="0.2">
      <c r="A12274" s="258"/>
      <c r="Z12274" s="258"/>
    </row>
    <row r="12275" spans="1:26" ht="12.75" customHeight="1" x14ac:dyDescent="0.2">
      <c r="A12275" s="258"/>
      <c r="Z12275" s="258"/>
    </row>
    <row r="12276" spans="1:26" ht="12.75" customHeight="1" x14ac:dyDescent="0.2">
      <c r="A12276" s="258"/>
      <c r="Z12276" s="258"/>
    </row>
    <row r="12277" spans="1:26" ht="12.75" customHeight="1" x14ac:dyDescent="0.2">
      <c r="A12277" s="258"/>
      <c r="Z12277" s="258"/>
    </row>
    <row r="12278" spans="1:26" ht="12.75" customHeight="1" x14ac:dyDescent="0.2">
      <c r="A12278" s="258"/>
      <c r="Z12278" s="258"/>
    </row>
    <row r="12279" spans="1:26" ht="12.75" customHeight="1" x14ac:dyDescent="0.2">
      <c r="A12279" s="258"/>
      <c r="Z12279" s="258"/>
    </row>
    <row r="12280" spans="1:26" ht="12.75" customHeight="1" x14ac:dyDescent="0.2">
      <c r="A12280" s="258"/>
      <c r="Z12280" s="258"/>
    </row>
    <row r="12281" spans="1:26" ht="12.75" customHeight="1" x14ac:dyDescent="0.2">
      <c r="A12281" s="258"/>
      <c r="Z12281" s="258"/>
    </row>
    <row r="12282" spans="1:26" ht="12.75" customHeight="1" x14ac:dyDescent="0.2">
      <c r="A12282" s="258"/>
      <c r="Z12282" s="258"/>
    </row>
    <row r="12283" spans="1:26" ht="12.75" customHeight="1" x14ac:dyDescent="0.2">
      <c r="A12283" s="258"/>
      <c r="Z12283" s="258"/>
    </row>
    <row r="12284" spans="1:26" ht="12.75" customHeight="1" x14ac:dyDescent="0.2">
      <c r="A12284" s="258"/>
      <c r="Z12284" s="258"/>
    </row>
    <row r="12285" spans="1:26" ht="12.75" customHeight="1" x14ac:dyDescent="0.2">
      <c r="A12285" s="258"/>
      <c r="Z12285" s="258"/>
    </row>
    <row r="12286" spans="1:26" ht="12.75" customHeight="1" x14ac:dyDescent="0.2">
      <c r="A12286" s="258"/>
      <c r="Z12286" s="258"/>
    </row>
    <row r="12287" spans="1:26" ht="12.75" customHeight="1" x14ac:dyDescent="0.2">
      <c r="A12287" s="258"/>
      <c r="Z12287" s="258"/>
    </row>
    <row r="12288" spans="1:26" ht="12.75" customHeight="1" x14ac:dyDescent="0.2">
      <c r="A12288" s="258"/>
      <c r="Z12288" s="258"/>
    </row>
    <row r="12289" spans="1:26" ht="12.75" customHeight="1" x14ac:dyDescent="0.2">
      <c r="A12289" s="258"/>
      <c r="Z12289" s="258"/>
    </row>
    <row r="12290" spans="1:26" ht="12.75" customHeight="1" x14ac:dyDescent="0.2">
      <c r="A12290" s="258"/>
      <c r="Z12290" s="258"/>
    </row>
    <row r="12291" spans="1:26" ht="12.75" customHeight="1" x14ac:dyDescent="0.2">
      <c r="A12291" s="258"/>
      <c r="Z12291" s="258"/>
    </row>
    <row r="12292" spans="1:26" ht="12.75" customHeight="1" x14ac:dyDescent="0.2">
      <c r="A12292" s="258"/>
      <c r="Z12292" s="258"/>
    </row>
    <row r="12293" spans="1:26" ht="12.75" customHeight="1" x14ac:dyDescent="0.2">
      <c r="A12293" s="258"/>
      <c r="Z12293" s="258"/>
    </row>
    <row r="12294" spans="1:26" ht="12.75" customHeight="1" x14ac:dyDescent="0.2">
      <c r="A12294" s="258"/>
      <c r="Z12294" s="258"/>
    </row>
    <row r="12295" spans="1:26" ht="12.75" customHeight="1" x14ac:dyDescent="0.2">
      <c r="A12295" s="258"/>
      <c r="Z12295" s="258"/>
    </row>
    <row r="12296" spans="1:26" ht="12.75" customHeight="1" x14ac:dyDescent="0.2">
      <c r="A12296" s="258"/>
      <c r="Z12296" s="258"/>
    </row>
    <row r="12297" spans="1:26" ht="12.75" customHeight="1" x14ac:dyDescent="0.2">
      <c r="A12297" s="258"/>
      <c r="Z12297" s="258"/>
    </row>
    <row r="12298" spans="1:26" ht="12.75" customHeight="1" x14ac:dyDescent="0.2">
      <c r="A12298" s="258"/>
      <c r="Z12298" s="258"/>
    </row>
    <row r="12299" spans="1:26" ht="12.75" customHeight="1" x14ac:dyDescent="0.2">
      <c r="A12299" s="258"/>
      <c r="Z12299" s="258"/>
    </row>
    <row r="12300" spans="1:26" ht="12.75" customHeight="1" x14ac:dyDescent="0.2">
      <c r="A12300" s="258"/>
      <c r="Z12300" s="258"/>
    </row>
    <row r="12301" spans="1:26" ht="12.75" customHeight="1" x14ac:dyDescent="0.2">
      <c r="A12301" s="258"/>
      <c r="Z12301" s="258"/>
    </row>
    <row r="12302" spans="1:26" ht="12.75" customHeight="1" x14ac:dyDescent="0.2">
      <c r="A12302" s="258"/>
      <c r="Z12302" s="258"/>
    </row>
    <row r="12303" spans="1:26" ht="12.75" customHeight="1" x14ac:dyDescent="0.2">
      <c r="A12303" s="258"/>
      <c r="Z12303" s="258"/>
    </row>
    <row r="12304" spans="1:26" ht="12.75" customHeight="1" x14ac:dyDescent="0.2">
      <c r="A12304" s="258"/>
      <c r="Z12304" s="258"/>
    </row>
    <row r="12305" spans="1:26" ht="12.75" customHeight="1" x14ac:dyDescent="0.2">
      <c r="A12305" s="258"/>
      <c r="Z12305" s="258"/>
    </row>
    <row r="12306" spans="1:26" ht="12.75" customHeight="1" x14ac:dyDescent="0.2">
      <c r="A12306" s="258"/>
      <c r="Z12306" s="258"/>
    </row>
    <row r="12307" spans="1:26" ht="12.75" customHeight="1" x14ac:dyDescent="0.2">
      <c r="A12307" s="258"/>
      <c r="Z12307" s="258"/>
    </row>
    <row r="12308" spans="1:26" ht="12.75" customHeight="1" x14ac:dyDescent="0.2">
      <c r="A12308" s="258"/>
      <c r="Z12308" s="258"/>
    </row>
    <row r="12309" spans="1:26" ht="12.75" customHeight="1" x14ac:dyDescent="0.2">
      <c r="A12309" s="258"/>
      <c r="Z12309" s="258"/>
    </row>
    <row r="12310" spans="1:26" ht="12.75" customHeight="1" x14ac:dyDescent="0.2">
      <c r="A12310" s="258"/>
      <c r="Z12310" s="258"/>
    </row>
    <row r="12311" spans="1:26" ht="12.75" customHeight="1" x14ac:dyDescent="0.2">
      <c r="A12311" s="258"/>
      <c r="Z12311" s="258"/>
    </row>
    <row r="12312" spans="1:26" ht="12.75" customHeight="1" x14ac:dyDescent="0.2">
      <c r="A12312" s="258"/>
      <c r="Z12312" s="258"/>
    </row>
    <row r="12313" spans="1:26" ht="12.75" customHeight="1" x14ac:dyDescent="0.2">
      <c r="A12313" s="258"/>
      <c r="Z12313" s="258"/>
    </row>
    <row r="12314" spans="1:26" ht="12.75" customHeight="1" x14ac:dyDescent="0.2">
      <c r="A12314" s="258"/>
      <c r="Z12314" s="258"/>
    </row>
    <row r="12315" spans="1:26" ht="12.75" customHeight="1" x14ac:dyDescent="0.2">
      <c r="A12315" s="258"/>
      <c r="Z12315" s="258"/>
    </row>
    <row r="12316" spans="1:26" ht="12.75" customHeight="1" x14ac:dyDescent="0.2">
      <c r="A12316" s="258"/>
      <c r="Z12316" s="258"/>
    </row>
    <row r="12317" spans="1:26" ht="12.75" customHeight="1" x14ac:dyDescent="0.2">
      <c r="A12317" s="258"/>
      <c r="Z12317" s="258"/>
    </row>
    <row r="12318" spans="1:26" ht="12.75" customHeight="1" x14ac:dyDescent="0.2">
      <c r="A12318" s="258"/>
      <c r="Z12318" s="258"/>
    </row>
    <row r="12319" spans="1:26" ht="12.75" customHeight="1" x14ac:dyDescent="0.2">
      <c r="A12319" s="258"/>
      <c r="Z12319" s="258"/>
    </row>
    <row r="12320" spans="1:26" ht="12.75" customHeight="1" x14ac:dyDescent="0.2">
      <c r="A12320" s="258"/>
      <c r="Z12320" s="258"/>
    </row>
    <row r="12321" spans="1:26" ht="12.75" customHeight="1" x14ac:dyDescent="0.2">
      <c r="A12321" s="258"/>
      <c r="Z12321" s="258"/>
    </row>
    <row r="12322" spans="1:26" ht="12.75" customHeight="1" x14ac:dyDescent="0.2">
      <c r="A12322" s="258"/>
      <c r="Z12322" s="258"/>
    </row>
    <row r="12323" spans="1:26" ht="12.75" customHeight="1" x14ac:dyDescent="0.2">
      <c r="A12323" s="258"/>
      <c r="Z12323" s="258"/>
    </row>
    <row r="12324" spans="1:26" ht="12.75" customHeight="1" x14ac:dyDescent="0.2">
      <c r="A12324" s="258"/>
      <c r="Z12324" s="258"/>
    </row>
    <row r="12325" spans="1:26" ht="12.75" customHeight="1" x14ac:dyDescent="0.2">
      <c r="A12325" s="258"/>
      <c r="Z12325" s="258"/>
    </row>
    <row r="12326" spans="1:26" ht="12.75" customHeight="1" x14ac:dyDescent="0.2">
      <c r="A12326" s="258"/>
      <c r="Z12326" s="258"/>
    </row>
    <row r="12327" spans="1:26" ht="12.75" customHeight="1" x14ac:dyDescent="0.2">
      <c r="A12327" s="258"/>
      <c r="Z12327" s="258"/>
    </row>
    <row r="12328" spans="1:26" ht="12.75" customHeight="1" x14ac:dyDescent="0.2">
      <c r="A12328" s="258"/>
      <c r="Z12328" s="258"/>
    </row>
    <row r="12329" spans="1:26" ht="12.75" customHeight="1" x14ac:dyDescent="0.2">
      <c r="A12329" s="258"/>
      <c r="Z12329" s="258"/>
    </row>
    <row r="12330" spans="1:26" ht="12.75" customHeight="1" x14ac:dyDescent="0.2">
      <c r="A12330" s="258"/>
      <c r="Z12330" s="258"/>
    </row>
    <row r="12331" spans="1:26" ht="12.75" customHeight="1" x14ac:dyDescent="0.2">
      <c r="A12331" s="258"/>
      <c r="Z12331" s="258"/>
    </row>
    <row r="12332" spans="1:26" ht="12.75" customHeight="1" x14ac:dyDescent="0.2">
      <c r="A12332" s="258"/>
      <c r="Z12332" s="258"/>
    </row>
    <row r="12333" spans="1:26" ht="12.75" customHeight="1" x14ac:dyDescent="0.2">
      <c r="A12333" s="258"/>
      <c r="Z12333" s="258"/>
    </row>
    <row r="12334" spans="1:26" ht="12.75" customHeight="1" x14ac:dyDescent="0.2">
      <c r="A12334" s="258"/>
      <c r="Z12334" s="258"/>
    </row>
    <row r="12335" spans="1:26" ht="12.75" customHeight="1" x14ac:dyDescent="0.2">
      <c r="A12335" s="258"/>
      <c r="Z12335" s="258"/>
    </row>
    <row r="12336" spans="1:26" ht="12.75" customHeight="1" x14ac:dyDescent="0.2">
      <c r="A12336" s="258"/>
      <c r="Z12336" s="258"/>
    </row>
    <row r="12337" spans="1:26" ht="12.75" customHeight="1" x14ac:dyDescent="0.2">
      <c r="A12337" s="258"/>
      <c r="Z12337" s="258"/>
    </row>
    <row r="12338" spans="1:26" ht="12.75" customHeight="1" x14ac:dyDescent="0.2">
      <c r="A12338" s="258"/>
      <c r="Z12338" s="258"/>
    </row>
    <row r="12339" spans="1:26" ht="12.75" customHeight="1" x14ac:dyDescent="0.2">
      <c r="A12339" s="258"/>
      <c r="Z12339" s="258"/>
    </row>
    <row r="12340" spans="1:26" ht="12.75" customHeight="1" x14ac:dyDescent="0.2">
      <c r="A12340" s="258"/>
      <c r="Z12340" s="258"/>
    </row>
    <row r="12341" spans="1:26" ht="12.75" customHeight="1" x14ac:dyDescent="0.2">
      <c r="A12341" s="258"/>
      <c r="Z12341" s="258"/>
    </row>
    <row r="12342" spans="1:26" ht="12.75" customHeight="1" x14ac:dyDescent="0.2">
      <c r="A12342" s="258"/>
      <c r="Z12342" s="258"/>
    </row>
    <row r="12343" spans="1:26" ht="12.75" customHeight="1" x14ac:dyDescent="0.2">
      <c r="A12343" s="258"/>
      <c r="Z12343" s="258"/>
    </row>
    <row r="12344" spans="1:26" ht="12.75" customHeight="1" x14ac:dyDescent="0.2">
      <c r="A12344" s="258"/>
      <c r="Z12344" s="258"/>
    </row>
    <row r="12345" spans="1:26" ht="12.75" customHeight="1" x14ac:dyDescent="0.2">
      <c r="A12345" s="258"/>
      <c r="Z12345" s="258"/>
    </row>
    <row r="12346" spans="1:26" ht="12.75" customHeight="1" x14ac:dyDescent="0.2">
      <c r="A12346" s="258"/>
      <c r="Z12346" s="258"/>
    </row>
    <row r="12347" spans="1:26" ht="12.75" customHeight="1" x14ac:dyDescent="0.2">
      <c r="A12347" s="258"/>
      <c r="Z12347" s="258"/>
    </row>
    <row r="12348" spans="1:26" ht="12.75" customHeight="1" x14ac:dyDescent="0.2">
      <c r="A12348" s="258"/>
      <c r="Z12348" s="258"/>
    </row>
    <row r="12349" spans="1:26" ht="12.75" customHeight="1" x14ac:dyDescent="0.2">
      <c r="A12349" s="258"/>
      <c r="Z12349" s="258"/>
    </row>
    <row r="12350" spans="1:26" ht="12.75" customHeight="1" x14ac:dyDescent="0.2">
      <c r="A12350" s="258"/>
      <c r="Z12350" s="258"/>
    </row>
    <row r="12351" spans="1:26" ht="12.75" customHeight="1" x14ac:dyDescent="0.2">
      <c r="A12351" s="258"/>
      <c r="Z12351" s="258"/>
    </row>
    <row r="12352" spans="1:26" ht="12.75" customHeight="1" x14ac:dyDescent="0.2">
      <c r="A12352" s="258"/>
      <c r="Z12352" s="258"/>
    </row>
    <row r="12353" spans="1:26" ht="12.75" customHeight="1" x14ac:dyDescent="0.2">
      <c r="A12353" s="258"/>
      <c r="Z12353" s="258"/>
    </row>
    <row r="12354" spans="1:26" ht="12.75" customHeight="1" x14ac:dyDescent="0.2">
      <c r="A12354" s="258"/>
      <c r="Z12354" s="258"/>
    </row>
    <row r="12355" spans="1:26" ht="12.75" customHeight="1" x14ac:dyDescent="0.2">
      <c r="A12355" s="258"/>
      <c r="Z12355" s="258"/>
    </row>
    <row r="12356" spans="1:26" ht="12.75" customHeight="1" x14ac:dyDescent="0.2">
      <c r="A12356" s="258"/>
      <c r="Z12356" s="258"/>
    </row>
    <row r="12357" spans="1:26" ht="12.75" customHeight="1" x14ac:dyDescent="0.2">
      <c r="A12357" s="258"/>
      <c r="Z12357" s="258"/>
    </row>
    <row r="12358" spans="1:26" ht="12.75" customHeight="1" x14ac:dyDescent="0.2">
      <c r="A12358" s="258"/>
      <c r="Z12358" s="258"/>
    </row>
    <row r="12359" spans="1:26" ht="12.75" customHeight="1" x14ac:dyDescent="0.2">
      <c r="A12359" s="258"/>
      <c r="Z12359" s="258"/>
    </row>
    <row r="12360" spans="1:26" ht="12.75" customHeight="1" x14ac:dyDescent="0.2">
      <c r="A12360" s="258"/>
      <c r="Z12360" s="258"/>
    </row>
    <row r="12361" spans="1:26" ht="12.75" customHeight="1" x14ac:dyDescent="0.2">
      <c r="A12361" s="258"/>
      <c r="Z12361" s="258"/>
    </row>
    <row r="12362" spans="1:26" ht="12.75" customHeight="1" x14ac:dyDescent="0.2">
      <c r="A12362" s="258"/>
      <c r="Z12362" s="258"/>
    </row>
    <row r="12363" spans="1:26" ht="12.75" customHeight="1" x14ac:dyDescent="0.2">
      <c r="A12363" s="258"/>
      <c r="Z12363" s="258"/>
    </row>
    <row r="12364" spans="1:26" ht="12.75" customHeight="1" x14ac:dyDescent="0.2">
      <c r="A12364" s="258"/>
      <c r="Z12364" s="258"/>
    </row>
    <row r="12365" spans="1:26" ht="12.75" customHeight="1" x14ac:dyDescent="0.2">
      <c r="A12365" s="258"/>
      <c r="Z12365" s="258"/>
    </row>
    <row r="12366" spans="1:26" ht="12.75" customHeight="1" x14ac:dyDescent="0.2">
      <c r="A12366" s="258"/>
      <c r="Z12366" s="258"/>
    </row>
    <row r="12367" spans="1:26" ht="12.75" customHeight="1" x14ac:dyDescent="0.2">
      <c r="A12367" s="258"/>
      <c r="Z12367" s="258"/>
    </row>
    <row r="12368" spans="1:26" ht="12.75" customHeight="1" x14ac:dyDescent="0.2">
      <c r="A12368" s="258"/>
      <c r="Z12368" s="258"/>
    </row>
    <row r="12369" spans="1:26" ht="12.75" customHeight="1" x14ac:dyDescent="0.2">
      <c r="A12369" s="258"/>
      <c r="Z12369" s="258"/>
    </row>
    <row r="12370" spans="1:26" ht="12.75" customHeight="1" x14ac:dyDescent="0.2">
      <c r="A12370" s="258"/>
      <c r="Z12370" s="258"/>
    </row>
    <row r="12371" spans="1:26" ht="12.75" customHeight="1" x14ac:dyDescent="0.2">
      <c r="A12371" s="258"/>
      <c r="Z12371" s="258"/>
    </row>
    <row r="12372" spans="1:26" ht="12.75" customHeight="1" x14ac:dyDescent="0.2">
      <c r="A12372" s="258"/>
      <c r="Z12372" s="258"/>
    </row>
    <row r="12373" spans="1:26" ht="12.75" customHeight="1" x14ac:dyDescent="0.2">
      <c r="A12373" s="258"/>
      <c r="Z12373" s="258"/>
    </row>
    <row r="12374" spans="1:26" ht="12.75" customHeight="1" x14ac:dyDescent="0.2">
      <c r="A12374" s="258"/>
      <c r="Z12374" s="258"/>
    </row>
    <row r="12375" spans="1:26" ht="12.75" customHeight="1" x14ac:dyDescent="0.2">
      <c r="A12375" s="258"/>
      <c r="Z12375" s="258"/>
    </row>
    <row r="12376" spans="1:26" ht="12.75" customHeight="1" x14ac:dyDescent="0.2">
      <c r="A12376" s="258"/>
      <c r="Z12376" s="258"/>
    </row>
    <row r="12377" spans="1:26" ht="12.75" customHeight="1" x14ac:dyDescent="0.2">
      <c r="A12377" s="258"/>
      <c r="Z12377" s="258"/>
    </row>
    <row r="12378" spans="1:26" ht="12.75" customHeight="1" x14ac:dyDescent="0.2">
      <c r="A12378" s="258"/>
      <c r="Z12378" s="258"/>
    </row>
    <row r="12379" spans="1:26" ht="12.75" customHeight="1" x14ac:dyDescent="0.2">
      <c r="A12379" s="258"/>
      <c r="Z12379" s="258"/>
    </row>
    <row r="12380" spans="1:26" ht="12.75" customHeight="1" x14ac:dyDescent="0.2">
      <c r="A12380" s="258"/>
      <c r="Z12380" s="258"/>
    </row>
    <row r="12381" spans="1:26" ht="12.75" customHeight="1" x14ac:dyDescent="0.2">
      <c r="A12381" s="258"/>
      <c r="Z12381" s="258"/>
    </row>
    <row r="12382" spans="1:26" ht="12.75" customHeight="1" x14ac:dyDescent="0.2">
      <c r="A12382" s="258"/>
      <c r="Z12382" s="258"/>
    </row>
    <row r="12383" spans="1:26" ht="12.75" customHeight="1" x14ac:dyDescent="0.2">
      <c r="A12383" s="258"/>
      <c r="Z12383" s="258"/>
    </row>
    <row r="12384" spans="1:26" ht="12.75" customHeight="1" x14ac:dyDescent="0.2">
      <c r="A12384" s="258"/>
      <c r="Z12384" s="258"/>
    </row>
    <row r="12385" spans="1:26" ht="12.75" customHeight="1" x14ac:dyDescent="0.2">
      <c r="A12385" s="258"/>
      <c r="Z12385" s="258"/>
    </row>
    <row r="12386" spans="1:26" ht="12.75" customHeight="1" x14ac:dyDescent="0.2">
      <c r="A12386" s="258"/>
      <c r="Z12386" s="258"/>
    </row>
    <row r="12387" spans="1:26" ht="12.75" customHeight="1" x14ac:dyDescent="0.2">
      <c r="A12387" s="258"/>
      <c r="Z12387" s="258"/>
    </row>
    <row r="12388" spans="1:26" ht="12.75" customHeight="1" x14ac:dyDescent="0.2">
      <c r="A12388" s="258"/>
      <c r="Z12388" s="258"/>
    </row>
    <row r="12389" spans="1:26" ht="12.75" customHeight="1" x14ac:dyDescent="0.2">
      <c r="A12389" s="258"/>
      <c r="Z12389" s="258"/>
    </row>
    <row r="12390" spans="1:26" ht="12.75" customHeight="1" x14ac:dyDescent="0.2">
      <c r="A12390" s="258"/>
      <c r="Z12390" s="258"/>
    </row>
    <row r="12391" spans="1:26" ht="12.75" customHeight="1" x14ac:dyDescent="0.2">
      <c r="A12391" s="258"/>
      <c r="Z12391" s="258"/>
    </row>
    <row r="12392" spans="1:26" ht="12.75" customHeight="1" x14ac:dyDescent="0.2">
      <c r="A12392" s="258"/>
      <c r="Z12392" s="258"/>
    </row>
    <row r="12393" spans="1:26" ht="12.75" customHeight="1" x14ac:dyDescent="0.2">
      <c r="A12393" s="258"/>
      <c r="Z12393" s="258"/>
    </row>
    <row r="12394" spans="1:26" ht="12.75" customHeight="1" x14ac:dyDescent="0.2">
      <c r="A12394" s="258"/>
      <c r="Z12394" s="258"/>
    </row>
    <row r="12395" spans="1:26" ht="12.75" customHeight="1" x14ac:dyDescent="0.2">
      <c r="A12395" s="258"/>
      <c r="Z12395" s="258"/>
    </row>
    <row r="12396" spans="1:26" ht="12.75" customHeight="1" x14ac:dyDescent="0.2">
      <c r="A12396" s="258"/>
      <c r="Z12396" s="258"/>
    </row>
    <row r="12397" spans="1:26" ht="12.75" customHeight="1" x14ac:dyDescent="0.2">
      <c r="A12397" s="258"/>
      <c r="Z12397" s="258"/>
    </row>
    <row r="12398" spans="1:26" ht="12.75" customHeight="1" x14ac:dyDescent="0.2">
      <c r="A12398" s="258"/>
      <c r="Z12398" s="258"/>
    </row>
    <row r="12399" spans="1:26" ht="12.75" customHeight="1" x14ac:dyDescent="0.2">
      <c r="A12399" s="258"/>
      <c r="Z12399" s="258"/>
    </row>
    <row r="12400" spans="1:26" ht="12.75" customHeight="1" x14ac:dyDescent="0.2">
      <c r="A12400" s="258"/>
      <c r="Z12400" s="258"/>
    </row>
    <row r="12401" spans="1:26" ht="12.75" customHeight="1" x14ac:dyDescent="0.2">
      <c r="A12401" s="258"/>
      <c r="Z12401" s="258"/>
    </row>
    <row r="12402" spans="1:26" ht="12.75" customHeight="1" x14ac:dyDescent="0.2">
      <c r="A12402" s="258"/>
      <c r="Z12402" s="258"/>
    </row>
    <row r="12403" spans="1:26" ht="12.75" customHeight="1" x14ac:dyDescent="0.2">
      <c r="A12403" s="258"/>
      <c r="Z12403" s="258"/>
    </row>
    <row r="12404" spans="1:26" ht="12.75" customHeight="1" x14ac:dyDescent="0.2">
      <c r="A12404" s="258"/>
      <c r="Z12404" s="258"/>
    </row>
    <row r="12405" spans="1:26" ht="12.75" customHeight="1" x14ac:dyDescent="0.2">
      <c r="A12405" s="258"/>
      <c r="Z12405" s="258"/>
    </row>
    <row r="12406" spans="1:26" ht="12.75" customHeight="1" x14ac:dyDescent="0.2">
      <c r="A12406" s="258"/>
      <c r="Z12406" s="258"/>
    </row>
    <row r="12407" spans="1:26" ht="12.75" customHeight="1" x14ac:dyDescent="0.2">
      <c r="A12407" s="258"/>
      <c r="Z12407" s="258"/>
    </row>
    <row r="12408" spans="1:26" ht="12.75" customHeight="1" x14ac:dyDescent="0.2">
      <c r="A12408" s="258"/>
      <c r="Z12408" s="258"/>
    </row>
    <row r="12409" spans="1:26" ht="12.75" customHeight="1" x14ac:dyDescent="0.2">
      <c r="A12409" s="258"/>
      <c r="Z12409" s="258"/>
    </row>
    <row r="12410" spans="1:26" ht="12.75" customHeight="1" x14ac:dyDescent="0.2">
      <c r="A12410" s="258"/>
      <c r="Z12410" s="258"/>
    </row>
    <row r="12411" spans="1:26" ht="12.75" customHeight="1" x14ac:dyDescent="0.2">
      <c r="A12411" s="258"/>
      <c r="Z12411" s="258"/>
    </row>
    <row r="12412" spans="1:26" ht="12.75" customHeight="1" x14ac:dyDescent="0.2">
      <c r="A12412" s="258"/>
      <c r="Z12412" s="258"/>
    </row>
    <row r="12413" spans="1:26" ht="12.75" customHeight="1" x14ac:dyDescent="0.2">
      <c r="A12413" s="258"/>
      <c r="Z12413" s="258"/>
    </row>
    <row r="12414" spans="1:26" ht="12.75" customHeight="1" x14ac:dyDescent="0.2">
      <c r="A12414" s="258"/>
      <c r="Z12414" s="258"/>
    </row>
    <row r="12415" spans="1:26" ht="12.75" customHeight="1" x14ac:dyDescent="0.2">
      <c r="A12415" s="258"/>
      <c r="Z12415" s="258"/>
    </row>
    <row r="12416" spans="1:26" ht="12.75" customHeight="1" x14ac:dyDescent="0.2">
      <c r="A12416" s="258"/>
      <c r="Z12416" s="258"/>
    </row>
    <row r="12417" spans="1:26" ht="12.75" customHeight="1" x14ac:dyDescent="0.2">
      <c r="A12417" s="258"/>
      <c r="Z12417" s="258"/>
    </row>
    <row r="12418" spans="1:26" ht="12.75" customHeight="1" x14ac:dyDescent="0.2">
      <c r="A12418" s="258"/>
      <c r="Z12418" s="258"/>
    </row>
    <row r="12419" spans="1:26" ht="12.75" customHeight="1" x14ac:dyDescent="0.2">
      <c r="A12419" s="258"/>
      <c r="Z12419" s="258"/>
    </row>
    <row r="12420" spans="1:26" ht="12.75" customHeight="1" x14ac:dyDescent="0.2">
      <c r="A12420" s="258"/>
      <c r="Z12420" s="258"/>
    </row>
    <row r="12421" spans="1:26" ht="12.75" customHeight="1" x14ac:dyDescent="0.2">
      <c r="A12421" s="258"/>
      <c r="Z12421" s="258"/>
    </row>
    <row r="12422" spans="1:26" ht="12.75" customHeight="1" x14ac:dyDescent="0.2">
      <c r="A12422" s="258"/>
      <c r="Z12422" s="258"/>
    </row>
    <row r="12423" spans="1:26" ht="12.75" customHeight="1" x14ac:dyDescent="0.2">
      <c r="A12423" s="258"/>
      <c r="Z12423" s="258"/>
    </row>
    <row r="12424" spans="1:26" ht="12.75" customHeight="1" x14ac:dyDescent="0.2">
      <c r="A12424" s="258"/>
      <c r="Z12424" s="258"/>
    </row>
    <row r="12425" spans="1:26" ht="12.75" customHeight="1" x14ac:dyDescent="0.2">
      <c r="A12425" s="258"/>
      <c r="Z12425" s="258"/>
    </row>
    <row r="12426" spans="1:26" ht="12.75" customHeight="1" x14ac:dyDescent="0.2">
      <c r="A12426" s="258"/>
      <c r="Z12426" s="258"/>
    </row>
    <row r="12427" spans="1:26" ht="12.75" customHeight="1" x14ac:dyDescent="0.2">
      <c r="A12427" s="258"/>
      <c r="Z12427" s="258"/>
    </row>
    <row r="12428" spans="1:26" ht="12.75" customHeight="1" x14ac:dyDescent="0.2">
      <c r="A12428" s="258"/>
      <c r="Z12428" s="258"/>
    </row>
    <row r="12429" spans="1:26" ht="12.75" customHeight="1" x14ac:dyDescent="0.2">
      <c r="A12429" s="258"/>
      <c r="Z12429" s="258"/>
    </row>
    <row r="12430" spans="1:26" ht="12.75" customHeight="1" x14ac:dyDescent="0.2">
      <c r="A12430" s="258"/>
      <c r="Z12430" s="258"/>
    </row>
    <row r="12431" spans="1:26" ht="12.75" customHeight="1" x14ac:dyDescent="0.2">
      <c r="A12431" s="258"/>
      <c r="Z12431" s="258"/>
    </row>
    <row r="12432" spans="1:26" ht="12.75" customHeight="1" x14ac:dyDescent="0.2">
      <c r="A12432" s="258"/>
      <c r="Z12432" s="258"/>
    </row>
    <row r="12433" spans="1:26" ht="12.75" customHeight="1" x14ac:dyDescent="0.2">
      <c r="A12433" s="258"/>
      <c r="Z12433" s="258"/>
    </row>
    <row r="12434" spans="1:26" ht="12.75" customHeight="1" x14ac:dyDescent="0.2">
      <c r="A12434" s="258"/>
      <c r="Z12434" s="258"/>
    </row>
    <row r="12435" spans="1:26" ht="12.75" customHeight="1" x14ac:dyDescent="0.2">
      <c r="A12435" s="258"/>
      <c r="Z12435" s="258"/>
    </row>
    <row r="12436" spans="1:26" ht="12.75" customHeight="1" x14ac:dyDescent="0.2">
      <c r="A12436" s="258"/>
      <c r="Z12436" s="258"/>
    </row>
    <row r="12437" spans="1:26" ht="12.75" customHeight="1" x14ac:dyDescent="0.2">
      <c r="A12437" s="258"/>
      <c r="Z12437" s="258"/>
    </row>
    <row r="12438" spans="1:26" ht="12.75" customHeight="1" x14ac:dyDescent="0.2">
      <c r="A12438" s="258"/>
      <c r="Z12438" s="258"/>
    </row>
    <row r="12439" spans="1:26" ht="12.75" customHeight="1" x14ac:dyDescent="0.2">
      <c r="A12439" s="258"/>
      <c r="Z12439" s="258"/>
    </row>
    <row r="12440" spans="1:26" ht="12.75" customHeight="1" x14ac:dyDescent="0.2">
      <c r="A12440" s="258"/>
      <c r="Z12440" s="258"/>
    </row>
    <row r="12441" spans="1:26" ht="12.75" customHeight="1" x14ac:dyDescent="0.2">
      <c r="A12441" s="258"/>
      <c r="Z12441" s="258"/>
    </row>
    <row r="12442" spans="1:26" ht="12.75" customHeight="1" x14ac:dyDescent="0.2">
      <c r="A12442" s="258"/>
      <c r="Z12442" s="258"/>
    </row>
    <row r="12443" spans="1:26" ht="12.75" customHeight="1" x14ac:dyDescent="0.2">
      <c r="A12443" s="258"/>
      <c r="Z12443" s="258"/>
    </row>
    <row r="12444" spans="1:26" ht="12.75" customHeight="1" x14ac:dyDescent="0.2">
      <c r="A12444" s="258"/>
      <c r="Z12444" s="258"/>
    </row>
    <row r="12445" spans="1:26" ht="12.75" customHeight="1" x14ac:dyDescent="0.2">
      <c r="A12445" s="258"/>
      <c r="Z12445" s="258"/>
    </row>
    <row r="12446" spans="1:26" ht="12.75" customHeight="1" x14ac:dyDescent="0.2">
      <c r="A12446" s="258"/>
      <c r="Z12446" s="258"/>
    </row>
    <row r="12447" spans="1:26" ht="12.75" customHeight="1" x14ac:dyDescent="0.2">
      <c r="A12447" s="258"/>
      <c r="Z12447" s="258"/>
    </row>
    <row r="12448" spans="1:26" ht="12.75" customHeight="1" x14ac:dyDescent="0.2">
      <c r="A12448" s="258"/>
      <c r="Z12448" s="258"/>
    </row>
    <row r="12449" spans="1:26" ht="12.75" customHeight="1" x14ac:dyDescent="0.2">
      <c r="A12449" s="258"/>
      <c r="Z12449" s="258"/>
    </row>
    <row r="12450" spans="1:26" ht="12.75" customHeight="1" x14ac:dyDescent="0.2">
      <c r="A12450" s="258"/>
      <c r="Z12450" s="258"/>
    </row>
    <row r="12451" spans="1:26" ht="12.75" customHeight="1" x14ac:dyDescent="0.2">
      <c r="A12451" s="258"/>
      <c r="Z12451" s="258"/>
    </row>
    <row r="12452" spans="1:26" ht="12.75" customHeight="1" x14ac:dyDescent="0.2">
      <c r="A12452" s="258"/>
      <c r="Z12452" s="258"/>
    </row>
    <row r="12453" spans="1:26" ht="12.75" customHeight="1" x14ac:dyDescent="0.2">
      <c r="A12453" s="258"/>
      <c r="Z12453" s="258"/>
    </row>
    <row r="12454" spans="1:26" ht="12.75" customHeight="1" x14ac:dyDescent="0.2">
      <c r="A12454" s="258"/>
      <c r="Z12454" s="258"/>
    </row>
    <row r="12455" spans="1:26" ht="12.75" customHeight="1" x14ac:dyDescent="0.2">
      <c r="A12455" s="258"/>
      <c r="Z12455" s="258"/>
    </row>
    <row r="12456" spans="1:26" ht="12.75" customHeight="1" x14ac:dyDescent="0.2">
      <c r="A12456" s="258"/>
      <c r="Z12456" s="258"/>
    </row>
    <row r="12457" spans="1:26" ht="12.75" customHeight="1" x14ac:dyDescent="0.2">
      <c r="A12457" s="258"/>
      <c r="Z12457" s="258"/>
    </row>
    <row r="12458" spans="1:26" ht="12.75" customHeight="1" x14ac:dyDescent="0.2">
      <c r="A12458" s="258"/>
      <c r="Z12458" s="258"/>
    </row>
    <row r="12459" spans="1:26" ht="12.75" customHeight="1" x14ac:dyDescent="0.2">
      <c r="A12459" s="258"/>
      <c r="Z12459" s="258"/>
    </row>
    <row r="12460" spans="1:26" ht="12.75" customHeight="1" x14ac:dyDescent="0.2">
      <c r="A12460" s="258"/>
      <c r="Z12460" s="258"/>
    </row>
    <row r="12461" spans="1:26" ht="12.75" customHeight="1" x14ac:dyDescent="0.2">
      <c r="A12461" s="258"/>
      <c r="Z12461" s="258"/>
    </row>
    <row r="12462" spans="1:26" ht="12.75" customHeight="1" x14ac:dyDescent="0.2">
      <c r="A12462" s="258"/>
      <c r="Z12462" s="258"/>
    </row>
    <row r="12463" spans="1:26" ht="12.75" customHeight="1" x14ac:dyDescent="0.2">
      <c r="A12463" s="258"/>
      <c r="Z12463" s="258"/>
    </row>
    <row r="12464" spans="1:26" ht="12.75" customHeight="1" x14ac:dyDescent="0.2">
      <c r="A12464" s="258"/>
      <c r="Z12464" s="258"/>
    </row>
    <row r="12465" spans="1:26" ht="12.75" customHeight="1" x14ac:dyDescent="0.2">
      <c r="A12465" s="258"/>
      <c r="Z12465" s="258"/>
    </row>
    <row r="12466" spans="1:26" ht="12.75" customHeight="1" x14ac:dyDescent="0.2">
      <c r="A12466" s="258"/>
      <c r="Z12466" s="258"/>
    </row>
    <row r="12467" spans="1:26" ht="12.75" customHeight="1" x14ac:dyDescent="0.2">
      <c r="A12467" s="258"/>
      <c r="Z12467" s="258"/>
    </row>
    <row r="12468" spans="1:26" ht="12.75" customHeight="1" x14ac:dyDescent="0.2">
      <c r="A12468" s="258"/>
      <c r="Z12468" s="258"/>
    </row>
    <row r="12469" spans="1:26" ht="12.75" customHeight="1" x14ac:dyDescent="0.2">
      <c r="A12469" s="258"/>
      <c r="Z12469" s="258"/>
    </row>
    <row r="12470" spans="1:26" ht="12.75" customHeight="1" x14ac:dyDescent="0.2">
      <c r="A12470" s="258"/>
      <c r="Z12470" s="258"/>
    </row>
    <row r="12471" spans="1:26" ht="12.75" customHeight="1" x14ac:dyDescent="0.2">
      <c r="A12471" s="258"/>
      <c r="Z12471" s="258"/>
    </row>
    <row r="12472" spans="1:26" ht="12.75" customHeight="1" x14ac:dyDescent="0.2">
      <c r="A12472" s="258"/>
      <c r="Z12472" s="258"/>
    </row>
    <row r="12473" spans="1:26" ht="12.75" customHeight="1" x14ac:dyDescent="0.2">
      <c r="A12473" s="258"/>
      <c r="Z12473" s="258"/>
    </row>
    <row r="12474" spans="1:26" ht="12.75" customHeight="1" x14ac:dyDescent="0.2">
      <c r="A12474" s="258"/>
      <c r="Z12474" s="258"/>
    </row>
    <row r="12475" spans="1:26" ht="12.75" customHeight="1" x14ac:dyDescent="0.2">
      <c r="A12475" s="258"/>
      <c r="Z12475" s="258"/>
    </row>
    <row r="12476" spans="1:26" ht="12.75" customHeight="1" x14ac:dyDescent="0.2">
      <c r="A12476" s="258"/>
      <c r="Z12476" s="258"/>
    </row>
    <row r="12477" spans="1:26" ht="12.75" customHeight="1" x14ac:dyDescent="0.2">
      <c r="A12477" s="258"/>
      <c r="Z12477" s="258"/>
    </row>
    <row r="12478" spans="1:26" ht="12.75" customHeight="1" x14ac:dyDescent="0.2">
      <c r="A12478" s="258"/>
      <c r="Z12478" s="258"/>
    </row>
    <row r="12479" spans="1:26" ht="12.75" customHeight="1" x14ac:dyDescent="0.2">
      <c r="A12479" s="258"/>
      <c r="Z12479" s="258"/>
    </row>
    <row r="12480" spans="1:26" ht="12.75" customHeight="1" x14ac:dyDescent="0.2">
      <c r="A12480" s="258"/>
      <c r="Z12480" s="258"/>
    </row>
    <row r="12481" spans="1:26" ht="12.75" customHeight="1" x14ac:dyDescent="0.2">
      <c r="A12481" s="258"/>
      <c r="Z12481" s="258"/>
    </row>
    <row r="12482" spans="1:26" ht="12.75" customHeight="1" x14ac:dyDescent="0.2">
      <c r="A12482" s="258"/>
      <c r="Z12482" s="258"/>
    </row>
    <row r="12483" spans="1:26" ht="12.75" customHeight="1" x14ac:dyDescent="0.2">
      <c r="A12483" s="258"/>
      <c r="Z12483" s="258"/>
    </row>
    <row r="12484" spans="1:26" ht="12.75" customHeight="1" x14ac:dyDescent="0.2">
      <c r="A12484" s="258"/>
      <c r="Z12484" s="258"/>
    </row>
    <row r="12485" spans="1:26" ht="12.75" customHeight="1" x14ac:dyDescent="0.2">
      <c r="A12485" s="258"/>
      <c r="Z12485" s="258"/>
    </row>
    <row r="12486" spans="1:26" ht="12.75" customHeight="1" x14ac:dyDescent="0.2">
      <c r="A12486" s="258"/>
      <c r="Z12486" s="258"/>
    </row>
    <row r="12487" spans="1:26" ht="12.75" customHeight="1" x14ac:dyDescent="0.2">
      <c r="A12487" s="258"/>
      <c r="Z12487" s="258"/>
    </row>
    <row r="12488" spans="1:26" ht="12.75" customHeight="1" x14ac:dyDescent="0.2">
      <c r="A12488" s="258"/>
      <c r="Z12488" s="258"/>
    </row>
    <row r="12489" spans="1:26" ht="12.75" customHeight="1" x14ac:dyDescent="0.2">
      <c r="A12489" s="258"/>
      <c r="Z12489" s="258"/>
    </row>
    <row r="12490" spans="1:26" ht="12.75" customHeight="1" x14ac:dyDescent="0.2">
      <c r="A12490" s="258"/>
      <c r="Z12490" s="258"/>
    </row>
    <row r="12491" spans="1:26" ht="12.75" customHeight="1" x14ac:dyDescent="0.2">
      <c r="A12491" s="258"/>
      <c r="Z12491" s="258"/>
    </row>
    <row r="12492" spans="1:26" ht="12.75" customHeight="1" x14ac:dyDescent="0.2">
      <c r="A12492" s="258"/>
      <c r="Z12492" s="258"/>
    </row>
    <row r="12493" spans="1:26" ht="12.75" customHeight="1" x14ac:dyDescent="0.2">
      <c r="A12493" s="258"/>
      <c r="Z12493" s="258"/>
    </row>
    <row r="12494" spans="1:26" ht="12.75" customHeight="1" x14ac:dyDescent="0.2">
      <c r="A12494" s="258"/>
      <c r="Z12494" s="258"/>
    </row>
    <row r="12495" spans="1:26" ht="12.75" customHeight="1" x14ac:dyDescent="0.2">
      <c r="A12495" s="258"/>
      <c r="Z12495" s="258"/>
    </row>
    <row r="12496" spans="1:26" ht="12.75" customHeight="1" x14ac:dyDescent="0.2">
      <c r="A12496" s="258"/>
      <c r="Z12496" s="258"/>
    </row>
    <row r="12497" spans="1:26" ht="12.75" customHeight="1" x14ac:dyDescent="0.2">
      <c r="A12497" s="258"/>
      <c r="Z12497" s="258"/>
    </row>
    <row r="12498" spans="1:26" ht="12.75" customHeight="1" x14ac:dyDescent="0.2">
      <c r="A12498" s="258"/>
      <c r="Z12498" s="258"/>
    </row>
    <row r="12499" spans="1:26" ht="12.75" customHeight="1" x14ac:dyDescent="0.2">
      <c r="A12499" s="258"/>
      <c r="Z12499" s="258"/>
    </row>
    <row r="12500" spans="1:26" ht="12.75" customHeight="1" x14ac:dyDescent="0.2">
      <c r="A12500" s="258"/>
      <c r="Z12500" s="258"/>
    </row>
    <row r="12501" spans="1:26" ht="12.75" customHeight="1" x14ac:dyDescent="0.2">
      <c r="A12501" s="258"/>
      <c r="Z12501" s="258"/>
    </row>
    <row r="12502" spans="1:26" ht="12.75" customHeight="1" x14ac:dyDescent="0.2">
      <c r="A12502" s="258"/>
      <c r="Z12502" s="258"/>
    </row>
    <row r="12503" spans="1:26" ht="12.75" customHeight="1" x14ac:dyDescent="0.2">
      <c r="A12503" s="258"/>
      <c r="Z12503" s="258"/>
    </row>
    <row r="12504" spans="1:26" ht="12.75" customHeight="1" x14ac:dyDescent="0.2">
      <c r="A12504" s="258"/>
      <c r="Z12504" s="258"/>
    </row>
    <row r="12505" spans="1:26" ht="12.75" customHeight="1" x14ac:dyDescent="0.2">
      <c r="A12505" s="258"/>
      <c r="Z12505" s="258"/>
    </row>
    <row r="12506" spans="1:26" ht="12.75" customHeight="1" x14ac:dyDescent="0.2">
      <c r="A12506" s="258"/>
      <c r="Z12506" s="258"/>
    </row>
    <row r="12507" spans="1:26" ht="12.75" customHeight="1" x14ac:dyDescent="0.2">
      <c r="A12507" s="258"/>
      <c r="Z12507" s="258"/>
    </row>
    <row r="12508" spans="1:26" ht="12.75" customHeight="1" x14ac:dyDescent="0.2">
      <c r="A12508" s="258"/>
      <c r="Z12508" s="258"/>
    </row>
    <row r="12509" spans="1:26" ht="12.75" customHeight="1" x14ac:dyDescent="0.2">
      <c r="A12509" s="258"/>
      <c r="Z12509" s="258"/>
    </row>
    <row r="12510" spans="1:26" ht="12.75" customHeight="1" x14ac:dyDescent="0.2">
      <c r="A12510" s="258"/>
      <c r="Z12510" s="258"/>
    </row>
    <row r="12511" spans="1:26" ht="12.75" customHeight="1" x14ac:dyDescent="0.2">
      <c r="A12511" s="258"/>
      <c r="Z12511" s="258"/>
    </row>
    <row r="12512" spans="1:26" ht="12.75" customHeight="1" x14ac:dyDescent="0.2">
      <c r="A12512" s="258"/>
      <c r="Z12512" s="258"/>
    </row>
    <row r="12513" spans="1:26" ht="12.75" customHeight="1" x14ac:dyDescent="0.2">
      <c r="A12513" s="258"/>
      <c r="Z12513" s="258"/>
    </row>
    <row r="12514" spans="1:26" ht="12.75" customHeight="1" x14ac:dyDescent="0.2">
      <c r="A12514" s="258"/>
      <c r="Z12514" s="258"/>
    </row>
    <row r="12515" spans="1:26" ht="12.75" customHeight="1" x14ac:dyDescent="0.2">
      <c r="A12515" s="258"/>
      <c r="Z12515" s="258"/>
    </row>
    <row r="12516" spans="1:26" ht="12.75" customHeight="1" x14ac:dyDescent="0.2">
      <c r="A12516" s="258"/>
      <c r="Z12516" s="258"/>
    </row>
    <row r="12517" spans="1:26" ht="12.75" customHeight="1" x14ac:dyDescent="0.2">
      <c r="A12517" s="258"/>
      <c r="Z12517" s="258"/>
    </row>
    <row r="12518" spans="1:26" ht="12.75" customHeight="1" x14ac:dyDescent="0.2">
      <c r="A12518" s="258"/>
      <c r="Z12518" s="258"/>
    </row>
    <row r="12519" spans="1:26" ht="12.75" customHeight="1" x14ac:dyDescent="0.2">
      <c r="A12519" s="258"/>
      <c r="Z12519" s="258"/>
    </row>
    <row r="12520" spans="1:26" ht="12.75" customHeight="1" x14ac:dyDescent="0.2">
      <c r="A12520" s="258"/>
      <c r="Z12520" s="258"/>
    </row>
    <row r="12521" spans="1:26" ht="12.75" customHeight="1" x14ac:dyDescent="0.2">
      <c r="A12521" s="258"/>
      <c r="Z12521" s="258"/>
    </row>
    <row r="12522" spans="1:26" ht="12.75" customHeight="1" x14ac:dyDescent="0.2">
      <c r="A12522" s="258"/>
      <c r="Z12522" s="258"/>
    </row>
    <row r="12523" spans="1:26" ht="12.75" customHeight="1" x14ac:dyDescent="0.2">
      <c r="A12523" s="258"/>
      <c r="Z12523" s="258"/>
    </row>
    <row r="12524" spans="1:26" ht="12.75" customHeight="1" x14ac:dyDescent="0.2">
      <c r="A12524" s="258"/>
      <c r="Z12524" s="258"/>
    </row>
    <row r="12525" spans="1:26" ht="12.75" customHeight="1" x14ac:dyDescent="0.2">
      <c r="A12525" s="258"/>
      <c r="Z12525" s="258"/>
    </row>
    <row r="12526" spans="1:26" ht="12.75" customHeight="1" x14ac:dyDescent="0.2">
      <c r="A12526" s="258"/>
      <c r="Z12526" s="258"/>
    </row>
    <row r="12527" spans="1:26" ht="12.75" customHeight="1" x14ac:dyDescent="0.2">
      <c r="A12527" s="258"/>
      <c r="Z12527" s="258"/>
    </row>
    <row r="12528" spans="1:26" ht="12.75" customHeight="1" x14ac:dyDescent="0.2">
      <c r="A12528" s="258"/>
      <c r="Z12528" s="258"/>
    </row>
    <row r="12529" spans="1:26" ht="12.75" customHeight="1" x14ac:dyDescent="0.2">
      <c r="A12529" s="258"/>
      <c r="Z12529" s="258"/>
    </row>
    <row r="12530" spans="1:26" ht="12.75" customHeight="1" x14ac:dyDescent="0.2">
      <c r="A12530" s="258"/>
      <c r="Z12530" s="258"/>
    </row>
    <row r="12531" spans="1:26" ht="12.75" customHeight="1" x14ac:dyDescent="0.2">
      <c r="A12531" s="258"/>
      <c r="Z12531" s="258"/>
    </row>
    <row r="12532" spans="1:26" ht="12.75" customHeight="1" x14ac:dyDescent="0.2">
      <c r="A12532" s="258"/>
      <c r="Z12532" s="258"/>
    </row>
    <row r="12533" spans="1:26" ht="12.75" customHeight="1" x14ac:dyDescent="0.2">
      <c r="A12533" s="258"/>
      <c r="Z12533" s="258"/>
    </row>
    <row r="12534" spans="1:26" ht="12.75" customHeight="1" x14ac:dyDescent="0.2">
      <c r="A12534" s="258"/>
      <c r="Z12534" s="258"/>
    </row>
    <row r="12535" spans="1:26" ht="12.75" customHeight="1" x14ac:dyDescent="0.2">
      <c r="A12535" s="258"/>
      <c r="Z12535" s="258"/>
    </row>
    <row r="12536" spans="1:26" ht="12.75" customHeight="1" x14ac:dyDescent="0.2">
      <c r="A12536" s="258"/>
      <c r="Z12536" s="258"/>
    </row>
    <row r="12537" spans="1:26" ht="12.75" customHeight="1" x14ac:dyDescent="0.2">
      <c r="A12537" s="258"/>
      <c r="Z12537" s="258"/>
    </row>
    <row r="12538" spans="1:26" ht="12.75" customHeight="1" x14ac:dyDescent="0.2">
      <c r="A12538" s="258"/>
      <c r="Z12538" s="258"/>
    </row>
    <row r="12539" spans="1:26" ht="12.75" customHeight="1" x14ac:dyDescent="0.2">
      <c r="A12539" s="258"/>
      <c r="Z12539" s="258"/>
    </row>
    <row r="12540" spans="1:26" ht="12.75" customHeight="1" x14ac:dyDescent="0.2">
      <c r="A12540" s="258"/>
      <c r="Z12540" s="258"/>
    </row>
    <row r="12541" spans="1:26" ht="12.75" customHeight="1" x14ac:dyDescent="0.2">
      <c r="A12541" s="258"/>
      <c r="Z12541" s="258"/>
    </row>
    <row r="12542" spans="1:26" ht="12.75" customHeight="1" x14ac:dyDescent="0.2">
      <c r="A12542" s="258"/>
      <c r="Z12542" s="258"/>
    </row>
    <row r="12543" spans="1:26" ht="12.75" customHeight="1" x14ac:dyDescent="0.2">
      <c r="A12543" s="258"/>
      <c r="Z12543" s="258"/>
    </row>
    <row r="12544" spans="1:26" ht="12.75" customHeight="1" x14ac:dyDescent="0.2">
      <c r="A12544" s="258"/>
      <c r="Z12544" s="258"/>
    </row>
    <row r="12545" spans="1:26" ht="12.75" customHeight="1" x14ac:dyDescent="0.2">
      <c r="A12545" s="258"/>
      <c r="Z12545" s="258"/>
    </row>
    <row r="12546" spans="1:26" ht="12.75" customHeight="1" x14ac:dyDescent="0.2">
      <c r="A12546" s="258"/>
      <c r="Z12546" s="258"/>
    </row>
    <row r="12547" spans="1:26" ht="12.75" customHeight="1" x14ac:dyDescent="0.2">
      <c r="A12547" s="258"/>
      <c r="Z12547" s="258"/>
    </row>
    <row r="12548" spans="1:26" ht="12.75" customHeight="1" x14ac:dyDescent="0.2">
      <c r="A12548" s="258"/>
      <c r="Z12548" s="258"/>
    </row>
    <row r="12549" spans="1:26" ht="12.75" customHeight="1" x14ac:dyDescent="0.2">
      <c r="A12549" s="258"/>
      <c r="Z12549" s="258"/>
    </row>
    <row r="12550" spans="1:26" ht="12.75" customHeight="1" x14ac:dyDescent="0.2">
      <c r="A12550" s="258"/>
      <c r="Z12550" s="258"/>
    </row>
    <row r="12551" spans="1:26" ht="12.75" customHeight="1" x14ac:dyDescent="0.2">
      <c r="A12551" s="258"/>
      <c r="Z12551" s="258"/>
    </row>
    <row r="12552" spans="1:26" ht="12.75" customHeight="1" x14ac:dyDescent="0.2">
      <c r="A12552" s="258"/>
      <c r="Z12552" s="258"/>
    </row>
    <row r="12553" spans="1:26" ht="12.75" customHeight="1" x14ac:dyDescent="0.2">
      <c r="A12553" s="258"/>
      <c r="Z12553" s="258"/>
    </row>
    <row r="12554" spans="1:26" ht="12.75" customHeight="1" x14ac:dyDescent="0.2">
      <c r="A12554" s="258"/>
      <c r="Z12554" s="258"/>
    </row>
    <row r="12555" spans="1:26" ht="12.75" customHeight="1" x14ac:dyDescent="0.2">
      <c r="A12555" s="258"/>
      <c r="Z12555" s="258"/>
    </row>
    <row r="12556" spans="1:26" ht="12.75" customHeight="1" x14ac:dyDescent="0.2">
      <c r="A12556" s="258"/>
      <c r="Z12556" s="258"/>
    </row>
    <row r="12557" spans="1:26" ht="12.75" customHeight="1" x14ac:dyDescent="0.2">
      <c r="A12557" s="258"/>
      <c r="Z12557" s="258"/>
    </row>
    <row r="12558" spans="1:26" ht="12.75" customHeight="1" x14ac:dyDescent="0.2">
      <c r="A12558" s="258"/>
      <c r="Z12558" s="258"/>
    </row>
    <row r="12559" spans="1:26" ht="12.75" customHeight="1" x14ac:dyDescent="0.2">
      <c r="A12559" s="258"/>
      <c r="Z12559" s="258"/>
    </row>
    <row r="12560" spans="1:26" ht="12.75" customHeight="1" x14ac:dyDescent="0.2">
      <c r="A12560" s="258"/>
      <c r="Z12560" s="258"/>
    </row>
    <row r="12561" spans="1:26" ht="12.75" customHeight="1" x14ac:dyDescent="0.2">
      <c r="A12561" s="258"/>
      <c r="Z12561" s="258"/>
    </row>
    <row r="12562" spans="1:26" ht="12.75" customHeight="1" x14ac:dyDescent="0.2">
      <c r="A12562" s="258"/>
      <c r="Z12562" s="258"/>
    </row>
    <row r="12563" spans="1:26" ht="12.75" customHeight="1" x14ac:dyDescent="0.2">
      <c r="A12563" s="258"/>
      <c r="Z12563" s="258"/>
    </row>
    <row r="12564" spans="1:26" ht="12.75" customHeight="1" x14ac:dyDescent="0.2">
      <c r="A12564" s="258"/>
      <c r="Z12564" s="258"/>
    </row>
    <row r="12565" spans="1:26" ht="12.75" customHeight="1" x14ac:dyDescent="0.2">
      <c r="A12565" s="258"/>
      <c r="Z12565" s="258"/>
    </row>
    <row r="12566" spans="1:26" ht="12.75" customHeight="1" x14ac:dyDescent="0.2">
      <c r="A12566" s="258"/>
      <c r="Z12566" s="258"/>
    </row>
    <row r="12567" spans="1:26" ht="12.75" customHeight="1" x14ac:dyDescent="0.2">
      <c r="A12567" s="258"/>
      <c r="Z12567" s="258"/>
    </row>
    <row r="12568" spans="1:26" ht="12.75" customHeight="1" x14ac:dyDescent="0.2">
      <c r="A12568" s="258"/>
      <c r="Z12568" s="258"/>
    </row>
    <row r="12569" spans="1:26" ht="12.75" customHeight="1" x14ac:dyDescent="0.2">
      <c r="A12569" s="258"/>
      <c r="Z12569" s="258"/>
    </row>
    <row r="12570" spans="1:26" ht="12.75" customHeight="1" x14ac:dyDescent="0.2">
      <c r="A12570" s="258"/>
      <c r="Z12570" s="258"/>
    </row>
    <row r="12571" spans="1:26" ht="12.75" customHeight="1" x14ac:dyDescent="0.2">
      <c r="A12571" s="258"/>
      <c r="Z12571" s="258"/>
    </row>
    <row r="12572" spans="1:26" ht="12.75" customHeight="1" x14ac:dyDescent="0.2">
      <c r="A12572" s="258"/>
      <c r="Z12572" s="258"/>
    </row>
    <row r="12573" spans="1:26" ht="12.75" customHeight="1" x14ac:dyDescent="0.2">
      <c r="A12573" s="258"/>
      <c r="Z12573" s="258"/>
    </row>
    <row r="12574" spans="1:26" ht="12.75" customHeight="1" x14ac:dyDescent="0.2">
      <c r="A12574" s="258"/>
      <c r="Z12574" s="258"/>
    </row>
    <row r="12575" spans="1:26" ht="12.75" customHeight="1" x14ac:dyDescent="0.2">
      <c r="A12575" s="258"/>
      <c r="Z12575" s="258"/>
    </row>
    <row r="12576" spans="1:26" ht="12.75" customHeight="1" x14ac:dyDescent="0.2">
      <c r="A12576" s="258"/>
      <c r="Z12576" s="258"/>
    </row>
    <row r="12577" spans="1:26" ht="12.75" customHeight="1" x14ac:dyDescent="0.2">
      <c r="A12577" s="258"/>
      <c r="Z12577" s="258"/>
    </row>
    <row r="12578" spans="1:26" ht="12.75" customHeight="1" x14ac:dyDescent="0.2">
      <c r="A12578" s="258"/>
      <c r="Z12578" s="258"/>
    </row>
    <row r="12579" spans="1:26" ht="12.75" customHeight="1" x14ac:dyDescent="0.2">
      <c r="A12579" s="258"/>
      <c r="Z12579" s="258"/>
    </row>
    <row r="12580" spans="1:26" ht="12.75" customHeight="1" x14ac:dyDescent="0.2">
      <c r="A12580" s="258"/>
      <c r="Z12580" s="258"/>
    </row>
    <row r="12581" spans="1:26" ht="12.75" customHeight="1" x14ac:dyDescent="0.2">
      <c r="A12581" s="258"/>
      <c r="Z12581" s="258"/>
    </row>
    <row r="12582" spans="1:26" ht="12.75" customHeight="1" x14ac:dyDescent="0.2">
      <c r="A12582" s="258"/>
      <c r="Z12582" s="258"/>
    </row>
    <row r="12583" spans="1:26" ht="12.75" customHeight="1" x14ac:dyDescent="0.2">
      <c r="A12583" s="258"/>
      <c r="Z12583" s="258"/>
    </row>
    <row r="12584" spans="1:26" ht="12.75" customHeight="1" x14ac:dyDescent="0.2">
      <c r="A12584" s="258"/>
      <c r="Z12584" s="258"/>
    </row>
    <row r="12585" spans="1:26" ht="12.75" customHeight="1" x14ac:dyDescent="0.2">
      <c r="A12585" s="258"/>
      <c r="Z12585" s="258"/>
    </row>
    <row r="12586" spans="1:26" ht="12.75" customHeight="1" x14ac:dyDescent="0.2">
      <c r="A12586" s="258"/>
      <c r="Z12586" s="258"/>
    </row>
    <row r="12587" spans="1:26" ht="12.75" customHeight="1" x14ac:dyDescent="0.2">
      <c r="A12587" s="258"/>
      <c r="Z12587" s="258"/>
    </row>
    <row r="12588" spans="1:26" ht="12.75" customHeight="1" x14ac:dyDescent="0.2">
      <c r="A12588" s="258"/>
      <c r="Z12588" s="258"/>
    </row>
    <row r="12589" spans="1:26" ht="12.75" customHeight="1" x14ac:dyDescent="0.2">
      <c r="A12589" s="258"/>
      <c r="Z12589" s="258"/>
    </row>
    <row r="12590" spans="1:26" ht="12.75" customHeight="1" x14ac:dyDescent="0.2">
      <c r="A12590" s="258"/>
      <c r="Z12590" s="258"/>
    </row>
    <row r="12591" spans="1:26" ht="12.75" customHeight="1" x14ac:dyDescent="0.2">
      <c r="A12591" s="258"/>
      <c r="Z12591" s="258"/>
    </row>
    <row r="12592" spans="1:26" ht="12.75" customHeight="1" x14ac:dyDescent="0.2">
      <c r="A12592" s="258"/>
      <c r="Z12592" s="258"/>
    </row>
    <row r="12593" spans="1:26" ht="12.75" customHeight="1" x14ac:dyDescent="0.2">
      <c r="A12593" s="258"/>
      <c r="Z12593" s="258"/>
    </row>
    <row r="12594" spans="1:26" ht="12.75" customHeight="1" x14ac:dyDescent="0.2">
      <c r="A12594" s="258"/>
      <c r="Z12594" s="258"/>
    </row>
    <row r="12595" spans="1:26" ht="12.75" customHeight="1" x14ac:dyDescent="0.2">
      <c r="A12595" s="258"/>
      <c r="Z12595" s="258"/>
    </row>
    <row r="12596" spans="1:26" ht="12.75" customHeight="1" x14ac:dyDescent="0.2">
      <c r="A12596" s="258"/>
      <c r="Z12596" s="258"/>
    </row>
    <row r="12597" spans="1:26" ht="12.75" customHeight="1" x14ac:dyDescent="0.2">
      <c r="A12597" s="258"/>
      <c r="Z12597" s="258"/>
    </row>
    <row r="12598" spans="1:26" ht="12.75" customHeight="1" x14ac:dyDescent="0.2">
      <c r="A12598" s="258"/>
      <c r="Z12598" s="258"/>
    </row>
    <row r="12599" spans="1:26" ht="12.75" customHeight="1" x14ac:dyDescent="0.2">
      <c r="A12599" s="258"/>
      <c r="Z12599" s="258"/>
    </row>
    <row r="12600" spans="1:26" ht="12.75" customHeight="1" x14ac:dyDescent="0.2">
      <c r="A12600" s="258"/>
      <c r="Z12600" s="258"/>
    </row>
    <row r="12601" spans="1:26" ht="12.75" customHeight="1" x14ac:dyDescent="0.2">
      <c r="A12601" s="258"/>
      <c r="Z12601" s="258"/>
    </row>
    <row r="12602" spans="1:26" ht="12.75" customHeight="1" x14ac:dyDescent="0.2">
      <c r="A12602" s="258"/>
      <c r="Z12602" s="258"/>
    </row>
    <row r="12603" spans="1:26" ht="12.75" customHeight="1" x14ac:dyDescent="0.2">
      <c r="A12603" s="258"/>
      <c r="Z12603" s="258"/>
    </row>
    <row r="12604" spans="1:26" ht="12.75" customHeight="1" x14ac:dyDescent="0.2">
      <c r="A12604" s="258"/>
      <c r="Z12604" s="258"/>
    </row>
    <row r="12605" spans="1:26" ht="12.75" customHeight="1" x14ac:dyDescent="0.2">
      <c r="A12605" s="258"/>
      <c r="Z12605" s="258"/>
    </row>
    <row r="12606" spans="1:26" ht="12.75" customHeight="1" x14ac:dyDescent="0.2">
      <c r="A12606" s="258"/>
      <c r="Z12606" s="258"/>
    </row>
    <row r="12607" spans="1:26" ht="12.75" customHeight="1" x14ac:dyDescent="0.2">
      <c r="A12607" s="258"/>
      <c r="Z12607" s="258"/>
    </row>
    <row r="12608" spans="1:26" ht="12.75" customHeight="1" x14ac:dyDescent="0.2">
      <c r="A12608" s="258"/>
      <c r="Z12608" s="258"/>
    </row>
    <row r="12609" spans="1:26" ht="12.75" customHeight="1" x14ac:dyDescent="0.2">
      <c r="A12609" s="258"/>
      <c r="Z12609" s="258"/>
    </row>
    <row r="12610" spans="1:26" ht="12.75" customHeight="1" x14ac:dyDescent="0.2">
      <c r="A12610" s="258"/>
      <c r="Z12610" s="258"/>
    </row>
    <row r="12611" spans="1:26" ht="12.75" customHeight="1" x14ac:dyDescent="0.2">
      <c r="A12611" s="258"/>
      <c r="Z12611" s="258"/>
    </row>
    <row r="12612" spans="1:26" ht="12.75" customHeight="1" x14ac:dyDescent="0.2">
      <c r="A12612" s="258"/>
      <c r="Z12612" s="258"/>
    </row>
    <row r="12613" spans="1:26" ht="12.75" customHeight="1" x14ac:dyDescent="0.2">
      <c r="A12613" s="258"/>
      <c r="Z12613" s="258"/>
    </row>
    <row r="12614" spans="1:26" ht="12.75" customHeight="1" x14ac:dyDescent="0.2">
      <c r="A12614" s="258"/>
      <c r="Z12614" s="258"/>
    </row>
    <row r="12615" spans="1:26" ht="12.75" customHeight="1" x14ac:dyDescent="0.2">
      <c r="A12615" s="258"/>
      <c r="Z12615" s="258"/>
    </row>
    <row r="12616" spans="1:26" ht="12.75" customHeight="1" x14ac:dyDescent="0.2">
      <c r="A12616" s="258"/>
      <c r="Z12616" s="258"/>
    </row>
    <row r="12617" spans="1:26" ht="12.75" customHeight="1" x14ac:dyDescent="0.2">
      <c r="A12617" s="258"/>
      <c r="Z12617" s="258"/>
    </row>
    <row r="12618" spans="1:26" ht="12.75" customHeight="1" x14ac:dyDescent="0.2">
      <c r="A12618" s="258"/>
      <c r="Z12618" s="258"/>
    </row>
    <row r="12619" spans="1:26" ht="12.75" customHeight="1" x14ac:dyDescent="0.2">
      <c r="A12619" s="258"/>
      <c r="Z12619" s="258"/>
    </row>
    <row r="12620" spans="1:26" ht="12.75" customHeight="1" x14ac:dyDescent="0.2">
      <c r="A12620" s="258"/>
      <c r="Z12620" s="258"/>
    </row>
    <row r="12621" spans="1:26" ht="12.75" customHeight="1" x14ac:dyDescent="0.2">
      <c r="A12621" s="258"/>
      <c r="Z12621" s="258"/>
    </row>
    <row r="12622" spans="1:26" ht="12.75" customHeight="1" x14ac:dyDescent="0.2">
      <c r="A12622" s="258"/>
      <c r="Z12622" s="258"/>
    </row>
    <row r="12623" spans="1:26" ht="12.75" customHeight="1" x14ac:dyDescent="0.2">
      <c r="A12623" s="258"/>
      <c r="Z12623" s="258"/>
    </row>
    <row r="12624" spans="1:26" ht="12.75" customHeight="1" x14ac:dyDescent="0.2">
      <c r="A12624" s="258"/>
      <c r="Z12624" s="258"/>
    </row>
    <row r="12625" spans="1:26" ht="12.75" customHeight="1" x14ac:dyDescent="0.2">
      <c r="A12625" s="258"/>
      <c r="Z12625" s="258"/>
    </row>
    <row r="12626" spans="1:26" ht="12.75" customHeight="1" x14ac:dyDescent="0.2">
      <c r="A12626" s="258"/>
      <c r="Z12626" s="258"/>
    </row>
    <row r="12627" spans="1:26" ht="12.75" customHeight="1" x14ac:dyDescent="0.2">
      <c r="A12627" s="258"/>
      <c r="Z12627" s="258"/>
    </row>
    <row r="12628" spans="1:26" ht="12.75" customHeight="1" x14ac:dyDescent="0.2">
      <c r="A12628" s="258"/>
      <c r="Z12628" s="258"/>
    </row>
    <row r="12629" spans="1:26" ht="12.75" customHeight="1" x14ac:dyDescent="0.2">
      <c r="A12629" s="258"/>
      <c r="Z12629" s="258"/>
    </row>
    <row r="12630" spans="1:26" ht="12.75" customHeight="1" x14ac:dyDescent="0.2">
      <c r="A12630" s="258"/>
      <c r="Z12630" s="258"/>
    </row>
    <row r="12631" spans="1:26" ht="12.75" customHeight="1" x14ac:dyDescent="0.2">
      <c r="A12631" s="258"/>
      <c r="Z12631" s="258"/>
    </row>
    <row r="12632" spans="1:26" ht="12.75" customHeight="1" x14ac:dyDescent="0.2">
      <c r="A12632" s="258"/>
      <c r="Z12632" s="258"/>
    </row>
    <row r="12633" spans="1:26" ht="12.75" customHeight="1" x14ac:dyDescent="0.2">
      <c r="A12633" s="258"/>
      <c r="Z12633" s="258"/>
    </row>
    <row r="12634" spans="1:26" ht="12.75" customHeight="1" x14ac:dyDescent="0.2">
      <c r="A12634" s="258"/>
      <c r="Z12634" s="258"/>
    </row>
    <row r="12635" spans="1:26" ht="12.75" customHeight="1" x14ac:dyDescent="0.2">
      <c r="A12635" s="258"/>
      <c r="Z12635" s="258"/>
    </row>
    <row r="12636" spans="1:26" ht="12.75" customHeight="1" x14ac:dyDescent="0.2">
      <c r="A12636" s="258"/>
      <c r="Z12636" s="258"/>
    </row>
    <row r="12637" spans="1:26" ht="12.75" customHeight="1" x14ac:dyDescent="0.2">
      <c r="A12637" s="258"/>
      <c r="Z12637" s="258"/>
    </row>
    <row r="12638" spans="1:26" ht="12.75" customHeight="1" x14ac:dyDescent="0.2">
      <c r="A12638" s="258"/>
      <c r="Z12638" s="258"/>
    </row>
    <row r="12639" spans="1:26" ht="12.75" customHeight="1" x14ac:dyDescent="0.2">
      <c r="A12639" s="258"/>
      <c r="Z12639" s="258"/>
    </row>
    <row r="12640" spans="1:26" ht="12.75" customHeight="1" x14ac:dyDescent="0.2">
      <c r="A12640" s="258"/>
      <c r="Z12640" s="258"/>
    </row>
    <row r="12641" spans="1:26" ht="12.75" customHeight="1" x14ac:dyDescent="0.2">
      <c r="A12641" s="258"/>
      <c r="Z12641" s="258"/>
    </row>
    <row r="12642" spans="1:26" ht="12.75" customHeight="1" x14ac:dyDescent="0.2">
      <c r="A12642" s="258"/>
      <c r="Z12642" s="258"/>
    </row>
    <row r="12643" spans="1:26" ht="12.75" customHeight="1" x14ac:dyDescent="0.2">
      <c r="A12643" s="258"/>
      <c r="Z12643" s="258"/>
    </row>
    <row r="12644" spans="1:26" ht="12.75" customHeight="1" x14ac:dyDescent="0.2">
      <c r="A12644" s="258"/>
      <c r="Z12644" s="258"/>
    </row>
    <row r="12645" spans="1:26" ht="12.75" customHeight="1" x14ac:dyDescent="0.2">
      <c r="A12645" s="258"/>
      <c r="Z12645" s="258"/>
    </row>
    <row r="12646" spans="1:26" ht="12.75" customHeight="1" x14ac:dyDescent="0.2">
      <c r="A12646" s="258"/>
      <c r="Z12646" s="258"/>
    </row>
    <row r="12647" spans="1:26" ht="12.75" customHeight="1" x14ac:dyDescent="0.2">
      <c r="A12647" s="258"/>
      <c r="Z12647" s="258"/>
    </row>
    <row r="12648" spans="1:26" ht="12.75" customHeight="1" x14ac:dyDescent="0.2">
      <c r="A12648" s="258"/>
      <c r="Z12648" s="258"/>
    </row>
    <row r="12649" spans="1:26" ht="12.75" customHeight="1" x14ac:dyDescent="0.2">
      <c r="A12649" s="258"/>
      <c r="Z12649" s="258"/>
    </row>
    <row r="12650" spans="1:26" ht="12.75" customHeight="1" x14ac:dyDescent="0.2">
      <c r="A12650" s="258"/>
      <c r="Z12650" s="258"/>
    </row>
    <row r="12651" spans="1:26" ht="12.75" customHeight="1" x14ac:dyDescent="0.2">
      <c r="A12651" s="258"/>
      <c r="Z12651" s="258"/>
    </row>
    <row r="12652" spans="1:26" ht="12.75" customHeight="1" x14ac:dyDescent="0.2">
      <c r="A12652" s="258"/>
      <c r="Z12652" s="258"/>
    </row>
    <row r="12653" spans="1:26" ht="12.75" customHeight="1" x14ac:dyDescent="0.2">
      <c r="A12653" s="258"/>
      <c r="Z12653" s="258"/>
    </row>
    <row r="12654" spans="1:26" ht="12.75" customHeight="1" x14ac:dyDescent="0.2">
      <c r="A12654" s="258"/>
      <c r="Z12654" s="258"/>
    </row>
    <row r="12655" spans="1:26" ht="12.75" customHeight="1" x14ac:dyDescent="0.2">
      <c r="A12655" s="258"/>
      <c r="Z12655" s="258"/>
    </row>
    <row r="12656" spans="1:26" ht="12.75" customHeight="1" x14ac:dyDescent="0.2">
      <c r="A12656" s="258"/>
      <c r="Z12656" s="258"/>
    </row>
    <row r="12657" spans="1:26" ht="12.75" customHeight="1" x14ac:dyDescent="0.2">
      <c r="A12657" s="258"/>
      <c r="Z12657" s="258"/>
    </row>
    <row r="12658" spans="1:26" ht="12.75" customHeight="1" x14ac:dyDescent="0.2">
      <c r="A12658" s="258"/>
      <c r="Z12658" s="258"/>
    </row>
    <row r="12659" spans="1:26" ht="12.75" customHeight="1" x14ac:dyDescent="0.2">
      <c r="A12659" s="258"/>
      <c r="Z12659" s="258"/>
    </row>
    <row r="12660" spans="1:26" ht="12.75" customHeight="1" x14ac:dyDescent="0.2">
      <c r="A12660" s="258"/>
      <c r="Z12660" s="258"/>
    </row>
    <row r="12661" spans="1:26" ht="12.75" customHeight="1" x14ac:dyDescent="0.2">
      <c r="A12661" s="258"/>
      <c r="Z12661" s="258"/>
    </row>
    <row r="12662" spans="1:26" ht="12.75" customHeight="1" x14ac:dyDescent="0.2">
      <c r="A12662" s="258"/>
      <c r="Z12662" s="258"/>
    </row>
    <row r="12663" spans="1:26" ht="12.75" customHeight="1" x14ac:dyDescent="0.2">
      <c r="A12663" s="258"/>
      <c r="Z12663" s="258"/>
    </row>
    <row r="12664" spans="1:26" ht="12.75" customHeight="1" x14ac:dyDescent="0.2">
      <c r="A12664" s="258"/>
      <c r="Z12664" s="258"/>
    </row>
    <row r="12665" spans="1:26" ht="12.75" customHeight="1" x14ac:dyDescent="0.2">
      <c r="A12665" s="258"/>
      <c r="Z12665" s="258"/>
    </row>
    <row r="12666" spans="1:26" ht="12.75" customHeight="1" x14ac:dyDescent="0.2">
      <c r="A12666" s="258"/>
      <c r="Z12666" s="258"/>
    </row>
    <row r="12667" spans="1:26" ht="12.75" customHeight="1" x14ac:dyDescent="0.2">
      <c r="A12667" s="258"/>
      <c r="Z12667" s="258"/>
    </row>
    <row r="12668" spans="1:26" ht="12.75" customHeight="1" x14ac:dyDescent="0.2">
      <c r="A12668" s="258"/>
      <c r="Z12668" s="258"/>
    </row>
    <row r="12669" spans="1:26" ht="12.75" customHeight="1" x14ac:dyDescent="0.2">
      <c r="A12669" s="258"/>
      <c r="Z12669" s="258"/>
    </row>
    <row r="12670" spans="1:26" ht="12.75" customHeight="1" x14ac:dyDescent="0.2">
      <c r="A12670" s="258"/>
      <c r="Z12670" s="258"/>
    </row>
    <row r="12671" spans="1:26" ht="12.75" customHeight="1" x14ac:dyDescent="0.2">
      <c r="A12671" s="258"/>
      <c r="Z12671" s="258"/>
    </row>
    <row r="12672" spans="1:26" ht="12.75" customHeight="1" x14ac:dyDescent="0.2">
      <c r="A12672" s="258"/>
      <c r="Z12672" s="258"/>
    </row>
    <row r="12673" spans="1:26" ht="12.75" customHeight="1" x14ac:dyDescent="0.2">
      <c r="A12673" s="258"/>
      <c r="Z12673" s="258"/>
    </row>
    <row r="12674" spans="1:26" ht="12.75" customHeight="1" x14ac:dyDescent="0.2">
      <c r="A12674" s="258"/>
      <c r="Z12674" s="258"/>
    </row>
    <row r="12675" spans="1:26" ht="12.75" customHeight="1" x14ac:dyDescent="0.2">
      <c r="A12675" s="258"/>
      <c r="Z12675" s="258"/>
    </row>
    <row r="12676" spans="1:26" ht="12.75" customHeight="1" x14ac:dyDescent="0.2">
      <c r="A12676" s="258"/>
      <c r="Z12676" s="258"/>
    </row>
    <row r="12677" spans="1:26" ht="12.75" customHeight="1" x14ac:dyDescent="0.2">
      <c r="A12677" s="258"/>
      <c r="Z12677" s="258"/>
    </row>
    <row r="12678" spans="1:26" ht="12.75" customHeight="1" x14ac:dyDescent="0.2">
      <c r="A12678" s="258"/>
      <c r="Z12678" s="258"/>
    </row>
    <row r="12679" spans="1:26" ht="12.75" customHeight="1" x14ac:dyDescent="0.2">
      <c r="A12679" s="258"/>
      <c r="Z12679" s="258"/>
    </row>
    <row r="12680" spans="1:26" ht="12.75" customHeight="1" x14ac:dyDescent="0.2">
      <c r="A12680" s="258"/>
      <c r="Z12680" s="258"/>
    </row>
    <row r="12681" spans="1:26" ht="12.75" customHeight="1" x14ac:dyDescent="0.2">
      <c r="A12681" s="258"/>
      <c r="Z12681" s="258"/>
    </row>
    <row r="12682" spans="1:26" ht="12.75" customHeight="1" x14ac:dyDescent="0.2">
      <c r="A12682" s="258"/>
      <c r="Z12682" s="258"/>
    </row>
    <row r="12683" spans="1:26" ht="12.75" customHeight="1" x14ac:dyDescent="0.2">
      <c r="A12683" s="258"/>
      <c r="Z12683" s="258"/>
    </row>
    <row r="12684" spans="1:26" ht="12.75" customHeight="1" x14ac:dyDescent="0.2">
      <c r="A12684" s="258"/>
      <c r="Z12684" s="258"/>
    </row>
    <row r="12685" spans="1:26" ht="12.75" customHeight="1" x14ac:dyDescent="0.2">
      <c r="A12685" s="258"/>
      <c r="Z12685" s="258"/>
    </row>
    <row r="12686" spans="1:26" ht="12.75" customHeight="1" x14ac:dyDescent="0.2">
      <c r="A12686" s="258"/>
      <c r="Z12686" s="258"/>
    </row>
    <row r="12687" spans="1:26" ht="12.75" customHeight="1" x14ac:dyDescent="0.2">
      <c r="A12687" s="258"/>
      <c r="Z12687" s="258"/>
    </row>
    <row r="12688" spans="1:26" ht="12.75" customHeight="1" x14ac:dyDescent="0.2">
      <c r="A12688" s="258"/>
      <c r="Z12688" s="258"/>
    </row>
    <row r="12689" spans="1:26" ht="12.75" customHeight="1" x14ac:dyDescent="0.2">
      <c r="A12689" s="258"/>
      <c r="Z12689" s="258"/>
    </row>
    <row r="12690" spans="1:26" ht="12.75" customHeight="1" x14ac:dyDescent="0.2">
      <c r="A12690" s="258"/>
      <c r="Z12690" s="258"/>
    </row>
    <row r="12691" spans="1:26" ht="12.75" customHeight="1" x14ac:dyDescent="0.2">
      <c r="A12691" s="258"/>
      <c r="Z12691" s="258"/>
    </row>
    <row r="12692" spans="1:26" ht="12.75" customHeight="1" x14ac:dyDescent="0.2">
      <c r="A12692" s="258"/>
      <c r="Z12692" s="258"/>
    </row>
    <row r="12693" spans="1:26" ht="12.75" customHeight="1" x14ac:dyDescent="0.2">
      <c r="A12693" s="258"/>
      <c r="Z12693" s="258"/>
    </row>
    <row r="12694" spans="1:26" ht="12.75" customHeight="1" x14ac:dyDescent="0.2">
      <c r="A12694" s="258"/>
      <c r="Z12694" s="258"/>
    </row>
    <row r="12695" spans="1:26" ht="12.75" customHeight="1" x14ac:dyDescent="0.2">
      <c r="A12695" s="258"/>
      <c r="Z12695" s="258"/>
    </row>
    <row r="12696" spans="1:26" ht="12.75" customHeight="1" x14ac:dyDescent="0.2">
      <c r="A12696" s="258"/>
      <c r="Z12696" s="258"/>
    </row>
    <row r="12697" spans="1:26" ht="12.75" customHeight="1" x14ac:dyDescent="0.2">
      <c r="A12697" s="258"/>
      <c r="Z12697" s="258"/>
    </row>
    <row r="12698" spans="1:26" ht="12.75" customHeight="1" x14ac:dyDescent="0.2">
      <c r="A12698" s="258"/>
      <c r="Z12698" s="258"/>
    </row>
    <row r="12699" spans="1:26" ht="12.75" customHeight="1" x14ac:dyDescent="0.2">
      <c r="A12699" s="258"/>
      <c r="Z12699" s="258"/>
    </row>
    <row r="12700" spans="1:26" ht="12.75" customHeight="1" x14ac:dyDescent="0.2">
      <c r="A12700" s="258"/>
      <c r="Z12700" s="258"/>
    </row>
    <row r="12701" spans="1:26" ht="12.75" customHeight="1" x14ac:dyDescent="0.2">
      <c r="A12701" s="258"/>
      <c r="Z12701" s="258"/>
    </row>
    <row r="12702" spans="1:26" ht="12.75" customHeight="1" x14ac:dyDescent="0.2">
      <c r="A12702" s="258"/>
      <c r="Z12702" s="258"/>
    </row>
    <row r="12703" spans="1:26" ht="12.75" customHeight="1" x14ac:dyDescent="0.2">
      <c r="A12703" s="258"/>
      <c r="Z12703" s="258"/>
    </row>
    <row r="12704" spans="1:26" ht="12.75" customHeight="1" x14ac:dyDescent="0.2">
      <c r="A12704" s="258"/>
      <c r="Z12704" s="258"/>
    </row>
    <row r="12705" spans="1:26" ht="12.75" customHeight="1" x14ac:dyDescent="0.2">
      <c r="A12705" s="258"/>
      <c r="Z12705" s="258"/>
    </row>
    <row r="12706" spans="1:26" ht="12.75" customHeight="1" x14ac:dyDescent="0.2">
      <c r="A12706" s="258"/>
      <c r="Z12706" s="258"/>
    </row>
    <row r="12707" spans="1:26" ht="12.75" customHeight="1" x14ac:dyDescent="0.2">
      <c r="A12707" s="258"/>
      <c r="Z12707" s="258"/>
    </row>
    <row r="12708" spans="1:26" ht="12.75" customHeight="1" x14ac:dyDescent="0.2">
      <c r="A12708" s="258"/>
      <c r="Z12708" s="258"/>
    </row>
    <row r="12709" spans="1:26" ht="12.75" customHeight="1" x14ac:dyDescent="0.2">
      <c r="A12709" s="258"/>
      <c r="Z12709" s="258"/>
    </row>
    <row r="12710" spans="1:26" ht="12.75" customHeight="1" x14ac:dyDescent="0.2">
      <c r="A12710" s="258"/>
      <c r="Z12710" s="258"/>
    </row>
    <row r="12711" spans="1:26" ht="12.75" customHeight="1" x14ac:dyDescent="0.2">
      <c r="A12711" s="258"/>
      <c r="Z12711" s="258"/>
    </row>
    <row r="12712" spans="1:26" ht="12.75" customHeight="1" x14ac:dyDescent="0.2">
      <c r="A12712" s="258"/>
      <c r="Z12712" s="258"/>
    </row>
    <row r="12713" spans="1:26" ht="12.75" customHeight="1" x14ac:dyDescent="0.2">
      <c r="A12713" s="258"/>
      <c r="Z12713" s="258"/>
    </row>
    <row r="12714" spans="1:26" ht="12.75" customHeight="1" x14ac:dyDescent="0.2">
      <c r="A12714" s="258"/>
      <c r="Z12714" s="258"/>
    </row>
    <row r="12715" spans="1:26" ht="12.75" customHeight="1" x14ac:dyDescent="0.2">
      <c r="A12715" s="258"/>
      <c r="Z12715" s="258"/>
    </row>
    <row r="12716" spans="1:26" ht="12.75" customHeight="1" x14ac:dyDescent="0.2">
      <c r="A12716" s="258"/>
      <c r="Z12716" s="258"/>
    </row>
    <row r="12717" spans="1:26" ht="12.75" customHeight="1" x14ac:dyDescent="0.2">
      <c r="A12717" s="258"/>
      <c r="Z12717" s="258"/>
    </row>
    <row r="12718" spans="1:26" ht="12.75" customHeight="1" x14ac:dyDescent="0.2">
      <c r="A12718" s="258"/>
      <c r="Z12718" s="258"/>
    </row>
    <row r="12719" spans="1:26" ht="12.75" customHeight="1" x14ac:dyDescent="0.2">
      <c r="A12719" s="258"/>
      <c r="Z12719" s="258"/>
    </row>
    <row r="12720" spans="1:26" ht="12.75" customHeight="1" x14ac:dyDescent="0.2">
      <c r="A12720" s="258"/>
      <c r="Z12720" s="258"/>
    </row>
    <row r="12721" spans="1:26" ht="12.75" customHeight="1" x14ac:dyDescent="0.2">
      <c r="A12721" s="258"/>
      <c r="Z12721" s="258"/>
    </row>
    <row r="12722" spans="1:26" ht="12.75" customHeight="1" x14ac:dyDescent="0.2">
      <c r="A12722" s="258"/>
      <c r="Z12722" s="258"/>
    </row>
    <row r="12723" spans="1:26" ht="12.75" customHeight="1" x14ac:dyDescent="0.2">
      <c r="A12723" s="258"/>
      <c r="Z12723" s="258"/>
    </row>
    <row r="12724" spans="1:26" ht="12.75" customHeight="1" x14ac:dyDescent="0.2">
      <c r="A12724" s="258"/>
      <c r="Z12724" s="258"/>
    </row>
    <row r="12725" spans="1:26" ht="12.75" customHeight="1" x14ac:dyDescent="0.2">
      <c r="A12725" s="258"/>
      <c r="Z12725" s="258"/>
    </row>
    <row r="12726" spans="1:26" ht="12.75" customHeight="1" x14ac:dyDescent="0.2">
      <c r="A12726" s="258"/>
      <c r="Z12726" s="258"/>
    </row>
    <row r="12727" spans="1:26" ht="12.75" customHeight="1" x14ac:dyDescent="0.2">
      <c r="A12727" s="258"/>
      <c r="Z12727" s="258"/>
    </row>
    <row r="12728" spans="1:26" ht="12.75" customHeight="1" x14ac:dyDescent="0.2">
      <c r="A12728" s="258"/>
      <c r="Z12728" s="258"/>
    </row>
    <row r="12729" spans="1:26" ht="12.75" customHeight="1" x14ac:dyDescent="0.2">
      <c r="A12729" s="258"/>
      <c r="Z12729" s="258"/>
    </row>
    <row r="12730" spans="1:26" ht="12.75" customHeight="1" x14ac:dyDescent="0.2">
      <c r="A12730" s="258"/>
      <c r="Z12730" s="258"/>
    </row>
    <row r="12731" spans="1:26" ht="12.75" customHeight="1" x14ac:dyDescent="0.2">
      <c r="A12731" s="258"/>
      <c r="Z12731" s="258"/>
    </row>
    <row r="12732" spans="1:26" ht="12.75" customHeight="1" x14ac:dyDescent="0.2">
      <c r="A12732" s="258"/>
      <c r="Z12732" s="258"/>
    </row>
    <row r="12733" spans="1:26" ht="12.75" customHeight="1" x14ac:dyDescent="0.2">
      <c r="A12733" s="258"/>
      <c r="Z12733" s="258"/>
    </row>
    <row r="12734" spans="1:26" ht="12.75" customHeight="1" x14ac:dyDescent="0.2">
      <c r="A12734" s="258"/>
      <c r="Z12734" s="258"/>
    </row>
    <row r="12735" spans="1:26" ht="12.75" customHeight="1" x14ac:dyDescent="0.2">
      <c r="A12735" s="258"/>
      <c r="Z12735" s="258"/>
    </row>
    <row r="12736" spans="1:26" ht="12.75" customHeight="1" x14ac:dyDescent="0.2">
      <c r="A12736" s="258"/>
      <c r="Z12736" s="258"/>
    </row>
    <row r="12737" spans="1:26" ht="12.75" customHeight="1" x14ac:dyDescent="0.2">
      <c r="A12737" s="258"/>
      <c r="Z12737" s="258"/>
    </row>
    <row r="12738" spans="1:26" ht="12.75" customHeight="1" x14ac:dyDescent="0.2">
      <c r="A12738" s="258"/>
      <c r="Z12738" s="258"/>
    </row>
    <row r="12739" spans="1:26" ht="12.75" customHeight="1" x14ac:dyDescent="0.2">
      <c r="A12739" s="258"/>
      <c r="Z12739" s="258"/>
    </row>
    <row r="12740" spans="1:26" ht="12.75" customHeight="1" x14ac:dyDescent="0.2">
      <c r="A12740" s="258"/>
      <c r="Z12740" s="258"/>
    </row>
    <row r="12741" spans="1:26" ht="12.75" customHeight="1" x14ac:dyDescent="0.2">
      <c r="A12741" s="258"/>
      <c r="Z12741" s="258"/>
    </row>
    <row r="12742" spans="1:26" ht="12.75" customHeight="1" x14ac:dyDescent="0.2">
      <c r="A12742" s="258"/>
      <c r="Z12742" s="258"/>
    </row>
    <row r="12743" spans="1:26" ht="12.75" customHeight="1" x14ac:dyDescent="0.2">
      <c r="A12743" s="258"/>
      <c r="Z12743" s="258"/>
    </row>
    <row r="12744" spans="1:26" ht="12.75" customHeight="1" x14ac:dyDescent="0.2">
      <c r="A12744" s="258"/>
      <c r="Z12744" s="258"/>
    </row>
    <row r="12745" spans="1:26" ht="12.75" customHeight="1" x14ac:dyDescent="0.2">
      <c r="A12745" s="258"/>
      <c r="Z12745" s="258"/>
    </row>
    <row r="12746" spans="1:26" ht="12.75" customHeight="1" x14ac:dyDescent="0.2">
      <c r="A12746" s="258"/>
      <c r="Z12746" s="258"/>
    </row>
    <row r="12747" spans="1:26" ht="12.75" customHeight="1" x14ac:dyDescent="0.2">
      <c r="A12747" s="258"/>
      <c r="Z12747" s="258"/>
    </row>
    <row r="12748" spans="1:26" ht="12.75" customHeight="1" x14ac:dyDescent="0.2">
      <c r="A12748" s="258"/>
      <c r="Z12748" s="258"/>
    </row>
    <row r="12749" spans="1:26" ht="12.75" customHeight="1" x14ac:dyDescent="0.2">
      <c r="A12749" s="258"/>
      <c r="Z12749" s="258"/>
    </row>
    <row r="12750" spans="1:26" ht="12.75" customHeight="1" x14ac:dyDescent="0.2">
      <c r="A12750" s="258"/>
      <c r="Z12750" s="258"/>
    </row>
    <row r="12751" spans="1:26" ht="12.75" customHeight="1" x14ac:dyDescent="0.2">
      <c r="A12751" s="258"/>
      <c r="Z12751" s="258"/>
    </row>
    <row r="12752" spans="1:26" ht="12.75" customHeight="1" x14ac:dyDescent="0.2">
      <c r="A12752" s="258"/>
      <c r="Z12752" s="258"/>
    </row>
    <row r="12753" spans="1:26" ht="12.75" customHeight="1" x14ac:dyDescent="0.2">
      <c r="A12753" s="258"/>
      <c r="Z12753" s="258"/>
    </row>
    <row r="12754" spans="1:26" ht="12.75" customHeight="1" x14ac:dyDescent="0.2">
      <c r="A12754" s="258"/>
      <c r="Z12754" s="258"/>
    </row>
    <row r="12755" spans="1:26" ht="12.75" customHeight="1" x14ac:dyDescent="0.2">
      <c r="A12755" s="258"/>
      <c r="Z12755" s="258"/>
    </row>
    <row r="12756" spans="1:26" ht="12.75" customHeight="1" x14ac:dyDescent="0.2">
      <c r="A12756" s="258"/>
      <c r="Z12756" s="258"/>
    </row>
    <row r="12757" spans="1:26" ht="12.75" customHeight="1" x14ac:dyDescent="0.2">
      <c r="A12757" s="258"/>
      <c r="Z12757" s="258"/>
    </row>
    <row r="12758" spans="1:26" ht="12.75" customHeight="1" x14ac:dyDescent="0.2">
      <c r="A12758" s="258"/>
      <c r="Z12758" s="258"/>
    </row>
    <row r="12759" spans="1:26" ht="12.75" customHeight="1" x14ac:dyDescent="0.2">
      <c r="A12759" s="258"/>
      <c r="Z12759" s="258"/>
    </row>
    <row r="12760" spans="1:26" ht="12.75" customHeight="1" x14ac:dyDescent="0.2">
      <c r="A12760" s="258"/>
      <c r="Z12760" s="258"/>
    </row>
    <row r="12761" spans="1:26" ht="12.75" customHeight="1" x14ac:dyDescent="0.2">
      <c r="A12761" s="258"/>
      <c r="Z12761" s="258"/>
    </row>
    <row r="12762" spans="1:26" ht="12.75" customHeight="1" x14ac:dyDescent="0.2">
      <c r="A12762" s="258"/>
      <c r="Z12762" s="258"/>
    </row>
    <row r="12763" spans="1:26" ht="12.75" customHeight="1" x14ac:dyDescent="0.2">
      <c r="A12763" s="258"/>
      <c r="Z12763" s="258"/>
    </row>
    <row r="12764" spans="1:26" ht="12.75" customHeight="1" x14ac:dyDescent="0.2">
      <c r="A12764" s="258"/>
      <c r="Z12764" s="258"/>
    </row>
    <row r="12765" spans="1:26" ht="12.75" customHeight="1" x14ac:dyDescent="0.2">
      <c r="A12765" s="258"/>
      <c r="Z12765" s="258"/>
    </row>
    <row r="12766" spans="1:26" ht="12.75" customHeight="1" x14ac:dyDescent="0.2">
      <c r="A12766" s="258"/>
      <c r="Z12766" s="258"/>
    </row>
    <row r="12767" spans="1:26" ht="12.75" customHeight="1" x14ac:dyDescent="0.2">
      <c r="A12767" s="258"/>
      <c r="Z12767" s="258"/>
    </row>
    <row r="12768" spans="1:26" ht="12.75" customHeight="1" x14ac:dyDescent="0.2">
      <c r="A12768" s="258"/>
      <c r="Z12768" s="258"/>
    </row>
    <row r="12769" spans="1:26" ht="12.75" customHeight="1" x14ac:dyDescent="0.2">
      <c r="A12769" s="258"/>
      <c r="Z12769" s="258"/>
    </row>
    <row r="12770" spans="1:26" ht="12.75" customHeight="1" x14ac:dyDescent="0.2">
      <c r="A12770" s="258"/>
      <c r="Z12770" s="258"/>
    </row>
    <row r="12771" spans="1:26" ht="12.75" customHeight="1" x14ac:dyDescent="0.2">
      <c r="A12771" s="258"/>
      <c r="Z12771" s="258"/>
    </row>
    <row r="12772" spans="1:26" ht="12.75" customHeight="1" x14ac:dyDescent="0.2">
      <c r="A12772" s="258"/>
      <c r="Z12772" s="258"/>
    </row>
    <row r="12773" spans="1:26" ht="12.75" customHeight="1" x14ac:dyDescent="0.2">
      <c r="A12773" s="258"/>
      <c r="Z12773" s="258"/>
    </row>
    <row r="12774" spans="1:26" ht="12.75" customHeight="1" x14ac:dyDescent="0.2">
      <c r="A12774" s="258"/>
      <c r="Z12774" s="258"/>
    </row>
    <row r="12775" spans="1:26" ht="12.75" customHeight="1" x14ac:dyDescent="0.2">
      <c r="A12775" s="258"/>
      <c r="Z12775" s="258"/>
    </row>
    <row r="12776" spans="1:26" ht="12.75" customHeight="1" x14ac:dyDescent="0.2">
      <c r="A12776" s="258"/>
      <c r="Z12776" s="258"/>
    </row>
    <row r="12777" spans="1:26" ht="12.75" customHeight="1" x14ac:dyDescent="0.2">
      <c r="A12777" s="258"/>
      <c r="Z12777" s="258"/>
    </row>
    <row r="12778" spans="1:26" ht="12.75" customHeight="1" x14ac:dyDescent="0.2">
      <c r="A12778" s="258"/>
      <c r="Z12778" s="258"/>
    </row>
    <row r="12779" spans="1:26" ht="12.75" customHeight="1" x14ac:dyDescent="0.2">
      <c r="A12779" s="258"/>
      <c r="Z12779" s="258"/>
    </row>
    <row r="12780" spans="1:26" ht="12.75" customHeight="1" x14ac:dyDescent="0.2">
      <c r="A12780" s="258"/>
      <c r="Z12780" s="258"/>
    </row>
    <row r="12781" spans="1:26" ht="12.75" customHeight="1" x14ac:dyDescent="0.2">
      <c r="A12781" s="258"/>
      <c r="Z12781" s="258"/>
    </row>
    <row r="12782" spans="1:26" ht="12.75" customHeight="1" x14ac:dyDescent="0.2">
      <c r="A12782" s="258"/>
      <c r="Z12782" s="258"/>
    </row>
    <row r="12783" spans="1:26" ht="12.75" customHeight="1" x14ac:dyDescent="0.2">
      <c r="A12783" s="258"/>
      <c r="Z12783" s="258"/>
    </row>
    <row r="12784" spans="1:26" ht="12.75" customHeight="1" x14ac:dyDescent="0.2">
      <c r="A12784" s="258"/>
      <c r="Z12784" s="258"/>
    </row>
    <row r="12785" spans="1:26" ht="12.75" customHeight="1" x14ac:dyDescent="0.2">
      <c r="A12785" s="258"/>
      <c r="Z12785" s="258"/>
    </row>
    <row r="12786" spans="1:26" ht="12.75" customHeight="1" x14ac:dyDescent="0.2">
      <c r="A12786" s="258"/>
      <c r="Z12786" s="258"/>
    </row>
    <row r="12787" spans="1:26" ht="12.75" customHeight="1" x14ac:dyDescent="0.2">
      <c r="A12787" s="258"/>
      <c r="Z12787" s="258"/>
    </row>
    <row r="12788" spans="1:26" ht="12.75" customHeight="1" x14ac:dyDescent="0.2">
      <c r="A12788" s="258"/>
      <c r="Z12788" s="258"/>
    </row>
    <row r="12789" spans="1:26" ht="12.75" customHeight="1" x14ac:dyDescent="0.2">
      <c r="A12789" s="258"/>
      <c r="Z12789" s="258"/>
    </row>
    <row r="12790" spans="1:26" ht="12.75" customHeight="1" x14ac:dyDescent="0.2">
      <c r="A12790" s="258"/>
      <c r="Z12790" s="258"/>
    </row>
    <row r="12791" spans="1:26" ht="12.75" customHeight="1" x14ac:dyDescent="0.2">
      <c r="A12791" s="258"/>
      <c r="Z12791" s="258"/>
    </row>
    <row r="12792" spans="1:26" ht="12.75" customHeight="1" x14ac:dyDescent="0.2">
      <c r="A12792" s="258"/>
      <c r="Z12792" s="258"/>
    </row>
    <row r="12793" spans="1:26" ht="12.75" customHeight="1" x14ac:dyDescent="0.2">
      <c r="A12793" s="258"/>
      <c r="Z12793" s="258"/>
    </row>
    <row r="12794" spans="1:26" ht="12.75" customHeight="1" x14ac:dyDescent="0.2">
      <c r="A12794" s="258"/>
      <c r="Z12794" s="258"/>
    </row>
    <row r="12795" spans="1:26" ht="12.75" customHeight="1" x14ac:dyDescent="0.2">
      <c r="A12795" s="258"/>
      <c r="Z12795" s="258"/>
    </row>
    <row r="12796" spans="1:26" ht="12.75" customHeight="1" x14ac:dyDescent="0.2">
      <c r="A12796" s="258"/>
      <c r="Z12796" s="258"/>
    </row>
    <row r="12797" spans="1:26" ht="12.75" customHeight="1" x14ac:dyDescent="0.2">
      <c r="A12797" s="258"/>
      <c r="Z12797" s="258"/>
    </row>
    <row r="12798" spans="1:26" ht="12.75" customHeight="1" x14ac:dyDescent="0.2">
      <c r="A12798" s="258"/>
      <c r="Z12798" s="258"/>
    </row>
    <row r="12799" spans="1:26" ht="12.75" customHeight="1" x14ac:dyDescent="0.2">
      <c r="A12799" s="258"/>
      <c r="Z12799" s="258"/>
    </row>
    <row r="12800" spans="1:26" ht="12.75" customHeight="1" x14ac:dyDescent="0.2">
      <c r="A12800" s="258"/>
      <c r="Z12800" s="258"/>
    </row>
    <row r="12801" spans="1:26" ht="12.75" customHeight="1" x14ac:dyDescent="0.2">
      <c r="A12801" s="258"/>
      <c r="Z12801" s="258"/>
    </row>
    <row r="12802" spans="1:26" ht="12.75" customHeight="1" x14ac:dyDescent="0.2">
      <c r="A12802" s="258"/>
      <c r="Z12802" s="258"/>
    </row>
    <row r="12803" spans="1:26" ht="12.75" customHeight="1" x14ac:dyDescent="0.2">
      <c r="A12803" s="258"/>
      <c r="Z12803" s="258"/>
    </row>
    <row r="12804" spans="1:26" ht="12.75" customHeight="1" x14ac:dyDescent="0.2">
      <c r="A12804" s="258"/>
      <c r="Z12804" s="258"/>
    </row>
    <row r="12805" spans="1:26" ht="12.75" customHeight="1" x14ac:dyDescent="0.2">
      <c r="A12805" s="258"/>
      <c r="Z12805" s="258"/>
    </row>
    <row r="12806" spans="1:26" ht="12.75" customHeight="1" x14ac:dyDescent="0.2">
      <c r="A12806" s="258"/>
      <c r="Z12806" s="258"/>
    </row>
    <row r="12807" spans="1:26" ht="12.75" customHeight="1" x14ac:dyDescent="0.2">
      <c r="A12807" s="258"/>
      <c r="Z12807" s="258"/>
    </row>
    <row r="12808" spans="1:26" ht="12.75" customHeight="1" x14ac:dyDescent="0.2">
      <c r="A12808" s="258"/>
      <c r="Z12808" s="258"/>
    </row>
    <row r="12809" spans="1:26" ht="12.75" customHeight="1" x14ac:dyDescent="0.2">
      <c r="A12809" s="258"/>
      <c r="Z12809" s="258"/>
    </row>
    <row r="12810" spans="1:26" ht="12.75" customHeight="1" x14ac:dyDescent="0.2">
      <c r="A12810" s="258"/>
      <c r="Z12810" s="258"/>
    </row>
    <row r="12811" spans="1:26" ht="12.75" customHeight="1" x14ac:dyDescent="0.2">
      <c r="A12811" s="258"/>
      <c r="Z12811" s="258"/>
    </row>
    <row r="12812" spans="1:26" ht="12.75" customHeight="1" x14ac:dyDescent="0.2">
      <c r="A12812" s="258"/>
      <c r="Z12812" s="258"/>
    </row>
    <row r="12813" spans="1:26" ht="12.75" customHeight="1" x14ac:dyDescent="0.2">
      <c r="A12813" s="258"/>
      <c r="Z12813" s="258"/>
    </row>
    <row r="12814" spans="1:26" ht="12.75" customHeight="1" x14ac:dyDescent="0.2">
      <c r="A12814" s="258"/>
      <c r="Z12814" s="258"/>
    </row>
    <row r="12815" spans="1:26" ht="12.75" customHeight="1" x14ac:dyDescent="0.2">
      <c r="A12815" s="258"/>
      <c r="Z12815" s="258"/>
    </row>
    <row r="12816" spans="1:26" ht="12.75" customHeight="1" x14ac:dyDescent="0.2">
      <c r="A12816" s="258"/>
      <c r="Z12816" s="258"/>
    </row>
    <row r="12817" spans="1:26" ht="12.75" customHeight="1" x14ac:dyDescent="0.2">
      <c r="A12817" s="258"/>
      <c r="Z12817" s="258"/>
    </row>
    <row r="12818" spans="1:26" ht="12.75" customHeight="1" x14ac:dyDescent="0.2">
      <c r="A12818" s="258"/>
      <c r="Z12818" s="258"/>
    </row>
    <row r="12819" spans="1:26" ht="12.75" customHeight="1" x14ac:dyDescent="0.2">
      <c r="A12819" s="258"/>
      <c r="Z12819" s="258"/>
    </row>
    <row r="12820" spans="1:26" ht="12.75" customHeight="1" x14ac:dyDescent="0.2">
      <c r="A12820" s="258"/>
      <c r="Z12820" s="258"/>
    </row>
    <row r="12821" spans="1:26" ht="12.75" customHeight="1" x14ac:dyDescent="0.2">
      <c r="A12821" s="258"/>
      <c r="Z12821" s="258"/>
    </row>
    <row r="12822" spans="1:26" ht="12.75" customHeight="1" x14ac:dyDescent="0.2">
      <c r="A12822" s="258"/>
      <c r="Z12822" s="258"/>
    </row>
    <row r="12823" spans="1:26" ht="12.75" customHeight="1" x14ac:dyDescent="0.2">
      <c r="A12823" s="258"/>
      <c r="Z12823" s="258"/>
    </row>
    <row r="12824" spans="1:26" ht="12.75" customHeight="1" x14ac:dyDescent="0.2">
      <c r="A12824" s="258"/>
      <c r="Z12824" s="258"/>
    </row>
    <row r="12825" spans="1:26" ht="12.75" customHeight="1" x14ac:dyDescent="0.2">
      <c r="A12825" s="258"/>
      <c r="Z12825" s="258"/>
    </row>
    <row r="12826" spans="1:26" ht="12.75" customHeight="1" x14ac:dyDescent="0.2">
      <c r="A12826" s="258"/>
      <c r="Z12826" s="258"/>
    </row>
    <row r="12827" spans="1:26" ht="12.75" customHeight="1" x14ac:dyDescent="0.2">
      <c r="A12827" s="258"/>
      <c r="Z12827" s="258"/>
    </row>
    <row r="12828" spans="1:26" ht="12.75" customHeight="1" x14ac:dyDescent="0.2">
      <c r="A12828" s="258"/>
      <c r="Z12828" s="258"/>
    </row>
    <row r="12829" spans="1:26" ht="12.75" customHeight="1" x14ac:dyDescent="0.2">
      <c r="A12829" s="258"/>
      <c r="Z12829" s="258"/>
    </row>
    <row r="12830" spans="1:26" ht="12.75" customHeight="1" x14ac:dyDescent="0.2">
      <c r="A12830" s="258"/>
      <c r="Z12830" s="258"/>
    </row>
    <row r="12831" spans="1:26" ht="12.75" customHeight="1" x14ac:dyDescent="0.2">
      <c r="A12831" s="258"/>
      <c r="Z12831" s="258"/>
    </row>
    <row r="12832" spans="1:26" ht="12.75" customHeight="1" x14ac:dyDescent="0.2">
      <c r="A12832" s="258"/>
      <c r="Z12832" s="258"/>
    </row>
    <row r="12833" spans="1:26" ht="12.75" customHeight="1" x14ac:dyDescent="0.2">
      <c r="A12833" s="258"/>
      <c r="Z12833" s="258"/>
    </row>
    <row r="12834" spans="1:26" ht="12.75" customHeight="1" x14ac:dyDescent="0.2">
      <c r="A12834" s="258"/>
      <c r="Z12834" s="258"/>
    </row>
    <row r="12835" spans="1:26" ht="12.75" customHeight="1" x14ac:dyDescent="0.2">
      <c r="A12835" s="258"/>
      <c r="Z12835" s="258"/>
    </row>
    <row r="12836" spans="1:26" ht="12.75" customHeight="1" x14ac:dyDescent="0.2">
      <c r="A12836" s="258"/>
      <c r="Z12836" s="258"/>
    </row>
    <row r="12837" spans="1:26" ht="12.75" customHeight="1" x14ac:dyDescent="0.2">
      <c r="A12837" s="258"/>
      <c r="Z12837" s="258"/>
    </row>
    <row r="12838" spans="1:26" ht="12.75" customHeight="1" x14ac:dyDescent="0.2">
      <c r="A12838" s="258"/>
      <c r="Z12838" s="258"/>
    </row>
    <row r="12839" spans="1:26" ht="12.75" customHeight="1" x14ac:dyDescent="0.2">
      <c r="A12839" s="258"/>
      <c r="Z12839" s="258"/>
    </row>
    <row r="12840" spans="1:26" ht="12.75" customHeight="1" x14ac:dyDescent="0.2">
      <c r="A12840" s="258"/>
      <c r="Z12840" s="258"/>
    </row>
    <row r="12841" spans="1:26" ht="12.75" customHeight="1" x14ac:dyDescent="0.2">
      <c r="A12841" s="258"/>
      <c r="Z12841" s="258"/>
    </row>
    <row r="12842" spans="1:26" ht="12.75" customHeight="1" x14ac:dyDescent="0.2">
      <c r="A12842" s="258"/>
      <c r="Z12842" s="258"/>
    </row>
    <row r="12843" spans="1:26" ht="12.75" customHeight="1" x14ac:dyDescent="0.2">
      <c r="A12843" s="258"/>
      <c r="Z12843" s="258"/>
    </row>
    <row r="12844" spans="1:26" ht="12.75" customHeight="1" x14ac:dyDescent="0.2">
      <c r="A12844" s="258"/>
      <c r="Z12844" s="258"/>
    </row>
    <row r="12845" spans="1:26" ht="12.75" customHeight="1" x14ac:dyDescent="0.2">
      <c r="A12845" s="258"/>
      <c r="Z12845" s="258"/>
    </row>
    <row r="12846" spans="1:26" ht="12.75" customHeight="1" x14ac:dyDescent="0.2">
      <c r="A12846" s="258"/>
      <c r="Z12846" s="258"/>
    </row>
    <row r="12847" spans="1:26" ht="12.75" customHeight="1" x14ac:dyDescent="0.2">
      <c r="A12847" s="258"/>
      <c r="Z12847" s="258"/>
    </row>
    <row r="12848" spans="1:26" ht="12.75" customHeight="1" x14ac:dyDescent="0.2">
      <c r="A12848" s="258"/>
      <c r="Z12848" s="258"/>
    </row>
    <row r="12849" spans="1:26" ht="12.75" customHeight="1" x14ac:dyDescent="0.2">
      <c r="A12849" s="258"/>
      <c r="Z12849" s="258"/>
    </row>
    <row r="12850" spans="1:26" ht="12.75" customHeight="1" x14ac:dyDescent="0.2">
      <c r="A12850" s="258"/>
      <c r="Z12850" s="258"/>
    </row>
    <row r="12851" spans="1:26" ht="12.75" customHeight="1" x14ac:dyDescent="0.2">
      <c r="A12851" s="258"/>
      <c r="Z12851" s="258"/>
    </row>
    <row r="12852" spans="1:26" ht="12.75" customHeight="1" x14ac:dyDescent="0.2">
      <c r="A12852" s="258"/>
      <c r="Z12852" s="258"/>
    </row>
    <row r="12853" spans="1:26" ht="12.75" customHeight="1" x14ac:dyDescent="0.2">
      <c r="A12853" s="258"/>
      <c r="Z12853" s="258"/>
    </row>
    <row r="12854" spans="1:26" ht="12.75" customHeight="1" x14ac:dyDescent="0.2">
      <c r="A12854" s="258"/>
      <c r="Z12854" s="258"/>
    </row>
    <row r="12855" spans="1:26" ht="12.75" customHeight="1" x14ac:dyDescent="0.2">
      <c r="A12855" s="258"/>
      <c r="Z12855" s="258"/>
    </row>
    <row r="12856" spans="1:26" ht="12.75" customHeight="1" x14ac:dyDescent="0.2">
      <c r="A12856" s="258"/>
      <c r="Z12856" s="258"/>
    </row>
    <row r="12857" spans="1:26" ht="12.75" customHeight="1" x14ac:dyDescent="0.2">
      <c r="A12857" s="258"/>
      <c r="Z12857" s="258"/>
    </row>
    <row r="12858" spans="1:26" ht="12.75" customHeight="1" x14ac:dyDescent="0.2">
      <c r="A12858" s="258"/>
      <c r="Z12858" s="258"/>
    </row>
    <row r="12859" spans="1:26" ht="12.75" customHeight="1" x14ac:dyDescent="0.2">
      <c r="A12859" s="258"/>
      <c r="Z12859" s="258"/>
    </row>
    <row r="12860" spans="1:26" ht="12.75" customHeight="1" x14ac:dyDescent="0.2">
      <c r="A12860" s="258"/>
      <c r="Z12860" s="258"/>
    </row>
    <row r="12861" spans="1:26" ht="12.75" customHeight="1" x14ac:dyDescent="0.2">
      <c r="A12861" s="258"/>
      <c r="Z12861" s="258"/>
    </row>
    <row r="12862" spans="1:26" ht="12.75" customHeight="1" x14ac:dyDescent="0.2">
      <c r="A12862" s="258"/>
      <c r="Z12862" s="258"/>
    </row>
    <row r="12863" spans="1:26" ht="12.75" customHeight="1" x14ac:dyDescent="0.2">
      <c r="A12863" s="258"/>
      <c r="Z12863" s="258"/>
    </row>
    <row r="12864" spans="1:26" ht="12.75" customHeight="1" x14ac:dyDescent="0.2">
      <c r="A12864" s="258"/>
      <c r="Z12864" s="258"/>
    </row>
    <row r="12865" spans="1:26" ht="12.75" customHeight="1" x14ac:dyDescent="0.2">
      <c r="A12865" s="258"/>
      <c r="Z12865" s="258"/>
    </row>
    <row r="12866" spans="1:26" ht="12.75" customHeight="1" x14ac:dyDescent="0.2">
      <c r="A12866" s="258"/>
      <c r="Z12866" s="258"/>
    </row>
    <row r="12867" spans="1:26" ht="12.75" customHeight="1" x14ac:dyDescent="0.2">
      <c r="A12867" s="258"/>
      <c r="Z12867" s="258"/>
    </row>
    <row r="12868" spans="1:26" ht="12.75" customHeight="1" x14ac:dyDescent="0.2">
      <c r="A12868" s="258"/>
      <c r="Z12868" s="258"/>
    </row>
    <row r="12869" spans="1:26" ht="12.75" customHeight="1" x14ac:dyDescent="0.2">
      <c r="A12869" s="258"/>
      <c r="Z12869" s="258"/>
    </row>
    <row r="12870" spans="1:26" ht="12.75" customHeight="1" x14ac:dyDescent="0.2">
      <c r="A12870" s="258"/>
      <c r="Z12870" s="258"/>
    </row>
    <row r="12871" spans="1:26" ht="12.75" customHeight="1" x14ac:dyDescent="0.2">
      <c r="A12871" s="258"/>
      <c r="Z12871" s="258"/>
    </row>
    <row r="12872" spans="1:26" ht="12.75" customHeight="1" x14ac:dyDescent="0.2">
      <c r="A12872" s="258"/>
      <c r="Z12872" s="258"/>
    </row>
    <row r="12873" spans="1:26" ht="12.75" customHeight="1" x14ac:dyDescent="0.2">
      <c r="A12873" s="258"/>
      <c r="Z12873" s="258"/>
    </row>
    <row r="12874" spans="1:26" ht="12.75" customHeight="1" x14ac:dyDescent="0.2">
      <c r="A12874" s="258"/>
      <c r="Z12874" s="258"/>
    </row>
    <row r="12875" spans="1:26" ht="12.75" customHeight="1" x14ac:dyDescent="0.2">
      <c r="A12875" s="258"/>
      <c r="Z12875" s="258"/>
    </row>
    <row r="12876" spans="1:26" ht="12.75" customHeight="1" x14ac:dyDescent="0.2">
      <c r="A12876" s="258"/>
      <c r="Z12876" s="258"/>
    </row>
    <row r="12877" spans="1:26" ht="12.75" customHeight="1" x14ac:dyDescent="0.2">
      <c r="A12877" s="258"/>
      <c r="Z12877" s="258"/>
    </row>
    <row r="12878" spans="1:26" ht="12.75" customHeight="1" x14ac:dyDescent="0.2">
      <c r="A12878" s="258"/>
      <c r="Z12878" s="258"/>
    </row>
    <row r="12879" spans="1:26" ht="12.75" customHeight="1" x14ac:dyDescent="0.2">
      <c r="A12879" s="258"/>
      <c r="Z12879" s="258"/>
    </row>
    <row r="12880" spans="1:26" ht="12.75" customHeight="1" x14ac:dyDescent="0.2">
      <c r="A12880" s="258"/>
      <c r="Z12880" s="258"/>
    </row>
    <row r="12881" spans="1:26" ht="12.75" customHeight="1" x14ac:dyDescent="0.2">
      <c r="A12881" s="258"/>
      <c r="Z12881" s="258"/>
    </row>
    <row r="12882" spans="1:26" ht="12.75" customHeight="1" x14ac:dyDescent="0.2">
      <c r="A12882" s="258"/>
      <c r="Z12882" s="258"/>
    </row>
    <row r="12883" spans="1:26" ht="12.75" customHeight="1" x14ac:dyDescent="0.2">
      <c r="A12883" s="258"/>
      <c r="Z12883" s="258"/>
    </row>
    <row r="12884" spans="1:26" ht="12.75" customHeight="1" x14ac:dyDescent="0.2">
      <c r="A12884" s="258"/>
      <c r="Z12884" s="258"/>
    </row>
    <row r="12885" spans="1:26" ht="12.75" customHeight="1" x14ac:dyDescent="0.2">
      <c r="A12885" s="258"/>
      <c r="Z12885" s="258"/>
    </row>
    <row r="12886" spans="1:26" ht="12.75" customHeight="1" x14ac:dyDescent="0.2">
      <c r="A12886" s="258"/>
      <c r="Z12886" s="258"/>
    </row>
    <row r="12887" spans="1:26" ht="12.75" customHeight="1" x14ac:dyDescent="0.2">
      <c r="A12887" s="258"/>
      <c r="Z12887" s="258"/>
    </row>
    <row r="12888" spans="1:26" ht="12.75" customHeight="1" x14ac:dyDescent="0.2">
      <c r="A12888" s="258"/>
      <c r="Z12888" s="258"/>
    </row>
    <row r="12889" spans="1:26" ht="12.75" customHeight="1" x14ac:dyDescent="0.2">
      <c r="A12889" s="258"/>
      <c r="Z12889" s="258"/>
    </row>
    <row r="12890" spans="1:26" ht="12.75" customHeight="1" x14ac:dyDescent="0.2">
      <c r="A12890" s="258"/>
      <c r="Z12890" s="258"/>
    </row>
    <row r="12891" spans="1:26" ht="12.75" customHeight="1" x14ac:dyDescent="0.2">
      <c r="A12891" s="258"/>
      <c r="Z12891" s="258"/>
    </row>
    <row r="12892" spans="1:26" ht="12.75" customHeight="1" x14ac:dyDescent="0.2">
      <c r="A12892" s="258"/>
      <c r="Z12892" s="258"/>
    </row>
    <row r="12893" spans="1:26" ht="12.75" customHeight="1" x14ac:dyDescent="0.2">
      <c r="A12893" s="258"/>
      <c r="Z12893" s="258"/>
    </row>
    <row r="12894" spans="1:26" ht="12.75" customHeight="1" x14ac:dyDescent="0.2">
      <c r="A12894" s="258"/>
      <c r="Z12894" s="258"/>
    </row>
    <row r="12895" spans="1:26" ht="12.75" customHeight="1" x14ac:dyDescent="0.2">
      <c r="A12895" s="258"/>
      <c r="Z12895" s="258"/>
    </row>
    <row r="12896" spans="1:26" ht="12.75" customHeight="1" x14ac:dyDescent="0.2">
      <c r="A12896" s="258"/>
      <c r="Z12896" s="258"/>
    </row>
    <row r="12897" spans="1:26" ht="12.75" customHeight="1" x14ac:dyDescent="0.2">
      <c r="A12897" s="258"/>
      <c r="Z12897" s="258"/>
    </row>
    <row r="12898" spans="1:26" ht="12.75" customHeight="1" x14ac:dyDescent="0.2">
      <c r="A12898" s="258"/>
      <c r="Z12898" s="258"/>
    </row>
    <row r="12899" spans="1:26" ht="12.75" customHeight="1" x14ac:dyDescent="0.2">
      <c r="A12899" s="258"/>
      <c r="Z12899" s="258"/>
    </row>
    <row r="12900" spans="1:26" ht="12.75" customHeight="1" x14ac:dyDescent="0.2">
      <c r="A12900" s="258"/>
      <c r="Z12900" s="258"/>
    </row>
    <row r="12901" spans="1:26" ht="12.75" customHeight="1" x14ac:dyDescent="0.2">
      <c r="A12901" s="258"/>
      <c r="Z12901" s="258"/>
    </row>
    <row r="12902" spans="1:26" ht="12.75" customHeight="1" x14ac:dyDescent="0.2">
      <c r="A12902" s="258"/>
      <c r="Z12902" s="258"/>
    </row>
    <row r="12903" spans="1:26" ht="12.75" customHeight="1" x14ac:dyDescent="0.2">
      <c r="A12903" s="258"/>
      <c r="Z12903" s="258"/>
    </row>
    <row r="12904" spans="1:26" ht="12.75" customHeight="1" x14ac:dyDescent="0.2">
      <c r="A12904" s="258"/>
      <c r="Z12904" s="258"/>
    </row>
    <row r="12905" spans="1:26" ht="12.75" customHeight="1" x14ac:dyDescent="0.2">
      <c r="A12905" s="258"/>
      <c r="Z12905" s="258"/>
    </row>
    <row r="12906" spans="1:26" ht="12.75" customHeight="1" x14ac:dyDescent="0.2">
      <c r="A12906" s="258"/>
      <c r="Z12906" s="258"/>
    </row>
    <row r="12907" spans="1:26" ht="12.75" customHeight="1" x14ac:dyDescent="0.2">
      <c r="A12907" s="258"/>
      <c r="Z12907" s="258"/>
    </row>
    <row r="12908" spans="1:26" ht="12.75" customHeight="1" x14ac:dyDescent="0.2">
      <c r="A12908" s="258"/>
      <c r="Z12908" s="258"/>
    </row>
    <row r="12909" spans="1:26" ht="12.75" customHeight="1" x14ac:dyDescent="0.2">
      <c r="A12909" s="258"/>
      <c r="Z12909" s="258"/>
    </row>
    <row r="12910" spans="1:26" ht="12.75" customHeight="1" x14ac:dyDescent="0.2">
      <c r="A12910" s="258"/>
      <c r="Z12910" s="258"/>
    </row>
    <row r="12911" spans="1:26" ht="12.75" customHeight="1" x14ac:dyDescent="0.2">
      <c r="A12911" s="258"/>
      <c r="Z12911" s="258"/>
    </row>
    <row r="12912" spans="1:26" ht="12.75" customHeight="1" x14ac:dyDescent="0.2">
      <c r="A12912" s="258"/>
      <c r="Z12912" s="258"/>
    </row>
    <row r="12913" spans="1:26" ht="12.75" customHeight="1" x14ac:dyDescent="0.2">
      <c r="A12913" s="258"/>
      <c r="Z12913" s="258"/>
    </row>
    <row r="12914" spans="1:26" ht="12.75" customHeight="1" x14ac:dyDescent="0.2">
      <c r="A12914" s="258"/>
      <c r="Z12914" s="258"/>
    </row>
    <row r="12915" spans="1:26" ht="12.75" customHeight="1" x14ac:dyDescent="0.2">
      <c r="A12915" s="258"/>
      <c r="Z12915" s="258"/>
    </row>
    <row r="12916" spans="1:26" ht="12.75" customHeight="1" x14ac:dyDescent="0.2">
      <c r="A12916" s="258"/>
      <c r="Z12916" s="258"/>
    </row>
    <row r="12917" spans="1:26" ht="12.75" customHeight="1" x14ac:dyDescent="0.2">
      <c r="A12917" s="258"/>
      <c r="Z12917" s="258"/>
    </row>
    <row r="12918" spans="1:26" ht="12.75" customHeight="1" x14ac:dyDescent="0.2">
      <c r="A12918" s="258"/>
      <c r="Z12918" s="258"/>
    </row>
    <row r="12919" spans="1:26" ht="12.75" customHeight="1" x14ac:dyDescent="0.2">
      <c r="A12919" s="258"/>
      <c r="Z12919" s="258"/>
    </row>
    <row r="12920" spans="1:26" ht="12.75" customHeight="1" x14ac:dyDescent="0.2">
      <c r="A12920" s="258"/>
      <c r="Z12920" s="258"/>
    </row>
    <row r="12921" spans="1:26" ht="12.75" customHeight="1" x14ac:dyDescent="0.2">
      <c r="A12921" s="258"/>
      <c r="Z12921" s="258"/>
    </row>
    <row r="12922" spans="1:26" ht="12.75" customHeight="1" x14ac:dyDescent="0.2">
      <c r="A12922" s="258"/>
      <c r="Z12922" s="258"/>
    </row>
    <row r="12923" spans="1:26" ht="12.75" customHeight="1" x14ac:dyDescent="0.2">
      <c r="A12923" s="258"/>
      <c r="Z12923" s="258"/>
    </row>
    <row r="12924" spans="1:26" ht="12.75" customHeight="1" x14ac:dyDescent="0.2">
      <c r="A12924" s="258"/>
      <c r="Z12924" s="258"/>
    </row>
    <row r="12925" spans="1:26" ht="12.75" customHeight="1" x14ac:dyDescent="0.2">
      <c r="A12925" s="258"/>
      <c r="Z12925" s="258"/>
    </row>
    <row r="12926" spans="1:26" ht="12.75" customHeight="1" x14ac:dyDescent="0.2">
      <c r="A12926" s="258"/>
      <c r="Z12926" s="258"/>
    </row>
    <row r="12927" spans="1:26" ht="12.75" customHeight="1" x14ac:dyDescent="0.2">
      <c r="A12927" s="258"/>
      <c r="Z12927" s="258"/>
    </row>
    <row r="12928" spans="1:26" ht="12.75" customHeight="1" x14ac:dyDescent="0.2">
      <c r="A12928" s="258"/>
      <c r="Z12928" s="258"/>
    </row>
    <row r="12929" spans="1:26" ht="12.75" customHeight="1" x14ac:dyDescent="0.2">
      <c r="A12929" s="258"/>
      <c r="Z12929" s="258"/>
    </row>
    <row r="12930" spans="1:26" ht="12.75" customHeight="1" x14ac:dyDescent="0.2">
      <c r="A12930" s="258"/>
      <c r="Z12930" s="258"/>
    </row>
    <row r="12931" spans="1:26" ht="12.75" customHeight="1" x14ac:dyDescent="0.2">
      <c r="A12931" s="258"/>
      <c r="Z12931" s="258"/>
    </row>
    <row r="12932" spans="1:26" ht="12.75" customHeight="1" x14ac:dyDescent="0.2">
      <c r="A12932" s="258"/>
      <c r="Z12932" s="258"/>
    </row>
    <row r="12933" spans="1:26" ht="12.75" customHeight="1" x14ac:dyDescent="0.2">
      <c r="A12933" s="258"/>
      <c r="Z12933" s="258"/>
    </row>
    <row r="12934" spans="1:26" ht="12.75" customHeight="1" x14ac:dyDescent="0.2">
      <c r="A12934" s="258"/>
      <c r="Z12934" s="258"/>
    </row>
    <row r="12935" spans="1:26" ht="12.75" customHeight="1" x14ac:dyDescent="0.2">
      <c r="A12935" s="258"/>
      <c r="Z12935" s="258"/>
    </row>
    <row r="12936" spans="1:26" ht="12.75" customHeight="1" x14ac:dyDescent="0.2">
      <c r="A12936" s="258"/>
      <c r="Z12936" s="258"/>
    </row>
    <row r="12937" spans="1:26" ht="12.75" customHeight="1" x14ac:dyDescent="0.2">
      <c r="A12937" s="258"/>
      <c r="Z12937" s="258"/>
    </row>
    <row r="12938" spans="1:26" ht="12.75" customHeight="1" x14ac:dyDescent="0.2">
      <c r="A12938" s="258"/>
      <c r="Z12938" s="258"/>
    </row>
    <row r="12939" spans="1:26" ht="12.75" customHeight="1" x14ac:dyDescent="0.2">
      <c r="A12939" s="258"/>
      <c r="Z12939" s="258"/>
    </row>
    <row r="12940" spans="1:26" ht="12.75" customHeight="1" x14ac:dyDescent="0.2">
      <c r="A12940" s="258"/>
      <c r="Z12940" s="258"/>
    </row>
    <row r="12941" spans="1:26" ht="12.75" customHeight="1" x14ac:dyDescent="0.2">
      <c r="A12941" s="258"/>
      <c r="Z12941" s="258"/>
    </row>
    <row r="12942" spans="1:26" ht="12.75" customHeight="1" x14ac:dyDescent="0.2">
      <c r="A12942" s="258"/>
      <c r="Z12942" s="258"/>
    </row>
    <row r="12943" spans="1:26" ht="12.75" customHeight="1" x14ac:dyDescent="0.2">
      <c r="A12943" s="258"/>
      <c r="Z12943" s="258"/>
    </row>
    <row r="12944" spans="1:26" ht="12.75" customHeight="1" x14ac:dyDescent="0.2">
      <c r="A12944" s="258"/>
      <c r="Z12944" s="258"/>
    </row>
    <row r="12945" spans="1:26" ht="12.75" customHeight="1" x14ac:dyDescent="0.2">
      <c r="A12945" s="258"/>
      <c r="Z12945" s="258"/>
    </row>
    <row r="12946" spans="1:26" ht="12.75" customHeight="1" x14ac:dyDescent="0.2">
      <c r="A12946" s="258"/>
      <c r="Z12946" s="258"/>
    </row>
    <row r="12947" spans="1:26" ht="12.75" customHeight="1" x14ac:dyDescent="0.2">
      <c r="A12947" s="258"/>
      <c r="Z12947" s="258"/>
    </row>
    <row r="12948" spans="1:26" ht="12.75" customHeight="1" x14ac:dyDescent="0.2">
      <c r="A12948" s="258"/>
      <c r="Z12948" s="258"/>
    </row>
    <row r="12949" spans="1:26" ht="12.75" customHeight="1" x14ac:dyDescent="0.2">
      <c r="A12949" s="258"/>
      <c r="Z12949" s="258"/>
    </row>
    <row r="12950" spans="1:26" ht="12.75" customHeight="1" x14ac:dyDescent="0.2">
      <c r="A12950" s="258"/>
      <c r="Z12950" s="258"/>
    </row>
    <row r="12951" spans="1:26" ht="12.75" customHeight="1" x14ac:dyDescent="0.2">
      <c r="A12951" s="258"/>
      <c r="Z12951" s="258"/>
    </row>
    <row r="12952" spans="1:26" ht="12.75" customHeight="1" x14ac:dyDescent="0.2">
      <c r="A12952" s="258"/>
      <c r="Z12952" s="258"/>
    </row>
    <row r="12953" spans="1:26" ht="12.75" customHeight="1" x14ac:dyDescent="0.2">
      <c r="A12953" s="258"/>
      <c r="Z12953" s="258"/>
    </row>
    <row r="12954" spans="1:26" ht="12.75" customHeight="1" x14ac:dyDescent="0.2">
      <c r="A12954" s="258"/>
      <c r="Z12954" s="258"/>
    </row>
    <row r="12955" spans="1:26" ht="12.75" customHeight="1" x14ac:dyDescent="0.2">
      <c r="A12955" s="258"/>
      <c r="Z12955" s="258"/>
    </row>
    <row r="12956" spans="1:26" ht="12.75" customHeight="1" x14ac:dyDescent="0.2">
      <c r="A12956" s="258"/>
      <c r="Z12956" s="258"/>
    </row>
    <row r="12957" spans="1:26" ht="12.75" customHeight="1" x14ac:dyDescent="0.2">
      <c r="A12957" s="258"/>
      <c r="Z12957" s="258"/>
    </row>
    <row r="12958" spans="1:26" ht="12.75" customHeight="1" x14ac:dyDescent="0.2">
      <c r="A12958" s="258"/>
      <c r="Z12958" s="258"/>
    </row>
    <row r="12959" spans="1:26" ht="12.75" customHeight="1" x14ac:dyDescent="0.2">
      <c r="A12959" s="258"/>
      <c r="Z12959" s="258"/>
    </row>
    <row r="12960" spans="1:26" ht="12.75" customHeight="1" x14ac:dyDescent="0.2">
      <c r="A12960" s="258"/>
      <c r="Z12960" s="258"/>
    </row>
    <row r="12961" spans="1:26" ht="12.75" customHeight="1" x14ac:dyDescent="0.2">
      <c r="A12961" s="258"/>
      <c r="Z12961" s="258"/>
    </row>
    <row r="12962" spans="1:26" ht="12.75" customHeight="1" x14ac:dyDescent="0.2">
      <c r="A12962" s="258"/>
      <c r="Z12962" s="258"/>
    </row>
    <row r="12963" spans="1:26" ht="12.75" customHeight="1" x14ac:dyDescent="0.2">
      <c r="A12963" s="258"/>
      <c r="Z12963" s="258"/>
    </row>
    <row r="12964" spans="1:26" ht="12.75" customHeight="1" x14ac:dyDescent="0.2">
      <c r="A12964" s="258"/>
      <c r="Z12964" s="258"/>
    </row>
    <row r="12965" spans="1:26" ht="12.75" customHeight="1" x14ac:dyDescent="0.2">
      <c r="A12965" s="258"/>
      <c r="Z12965" s="258"/>
    </row>
    <row r="12966" spans="1:26" ht="12.75" customHeight="1" x14ac:dyDescent="0.2">
      <c r="A12966" s="258"/>
      <c r="Z12966" s="258"/>
    </row>
    <row r="12967" spans="1:26" ht="12.75" customHeight="1" x14ac:dyDescent="0.2">
      <c r="A12967" s="258"/>
      <c r="Z12967" s="258"/>
    </row>
    <row r="12968" spans="1:26" ht="12.75" customHeight="1" x14ac:dyDescent="0.2">
      <c r="A12968" s="258"/>
      <c r="Z12968" s="258"/>
    </row>
    <row r="12969" spans="1:26" ht="12.75" customHeight="1" x14ac:dyDescent="0.2">
      <c r="A12969" s="258"/>
      <c r="Z12969" s="258"/>
    </row>
    <row r="12970" spans="1:26" ht="12.75" customHeight="1" x14ac:dyDescent="0.2">
      <c r="A12970" s="258"/>
      <c r="Z12970" s="258"/>
    </row>
    <row r="12971" spans="1:26" ht="12.75" customHeight="1" x14ac:dyDescent="0.2">
      <c r="A12971" s="258"/>
      <c r="Z12971" s="258"/>
    </row>
    <row r="12972" spans="1:26" ht="12.75" customHeight="1" x14ac:dyDescent="0.2">
      <c r="A12972" s="258"/>
      <c r="Z12972" s="258"/>
    </row>
    <row r="12973" spans="1:26" ht="12.75" customHeight="1" x14ac:dyDescent="0.2">
      <c r="A12973" s="258"/>
      <c r="Z12973" s="258"/>
    </row>
    <row r="12974" spans="1:26" ht="12.75" customHeight="1" x14ac:dyDescent="0.2">
      <c r="A12974" s="258"/>
      <c r="Z12974" s="258"/>
    </row>
    <row r="12975" spans="1:26" ht="12.75" customHeight="1" x14ac:dyDescent="0.2">
      <c r="A12975" s="258"/>
      <c r="Z12975" s="258"/>
    </row>
    <row r="12976" spans="1:26" ht="12.75" customHeight="1" x14ac:dyDescent="0.2">
      <c r="A12976" s="258"/>
      <c r="Z12976" s="258"/>
    </row>
    <row r="12977" spans="1:26" ht="12.75" customHeight="1" x14ac:dyDescent="0.2">
      <c r="A12977" s="258"/>
      <c r="Z12977" s="258"/>
    </row>
    <row r="12978" spans="1:26" ht="12.75" customHeight="1" x14ac:dyDescent="0.2">
      <c r="A12978" s="258"/>
      <c r="Z12978" s="258"/>
    </row>
    <row r="12979" spans="1:26" ht="12.75" customHeight="1" x14ac:dyDescent="0.2">
      <c r="A12979" s="258"/>
      <c r="Z12979" s="258"/>
    </row>
    <row r="12980" spans="1:26" ht="12.75" customHeight="1" x14ac:dyDescent="0.2">
      <c r="A12980" s="258"/>
      <c r="Z12980" s="258"/>
    </row>
    <row r="12981" spans="1:26" ht="12.75" customHeight="1" x14ac:dyDescent="0.2">
      <c r="A12981" s="258"/>
      <c r="Z12981" s="258"/>
    </row>
    <row r="12982" spans="1:26" ht="12.75" customHeight="1" x14ac:dyDescent="0.2">
      <c r="A12982" s="258"/>
      <c r="Z12982" s="258"/>
    </row>
    <row r="12983" spans="1:26" ht="12.75" customHeight="1" x14ac:dyDescent="0.2">
      <c r="A12983" s="258"/>
      <c r="Z12983" s="258"/>
    </row>
    <row r="12984" spans="1:26" ht="12.75" customHeight="1" x14ac:dyDescent="0.2">
      <c r="A12984" s="258"/>
      <c r="Z12984" s="258"/>
    </row>
    <row r="12985" spans="1:26" ht="12.75" customHeight="1" x14ac:dyDescent="0.2">
      <c r="A12985" s="258"/>
      <c r="Z12985" s="258"/>
    </row>
    <row r="12986" spans="1:26" ht="12.75" customHeight="1" x14ac:dyDescent="0.2">
      <c r="A12986" s="258"/>
      <c r="Z12986" s="258"/>
    </row>
    <row r="12987" spans="1:26" ht="12.75" customHeight="1" x14ac:dyDescent="0.2">
      <c r="A12987" s="258"/>
      <c r="Z12987" s="258"/>
    </row>
    <row r="12988" spans="1:26" ht="12.75" customHeight="1" x14ac:dyDescent="0.2">
      <c r="A12988" s="258"/>
      <c r="Z12988" s="258"/>
    </row>
    <row r="12989" spans="1:26" ht="12.75" customHeight="1" x14ac:dyDescent="0.2">
      <c r="A12989" s="258"/>
      <c r="Z12989" s="258"/>
    </row>
    <row r="12990" spans="1:26" ht="12.75" customHeight="1" x14ac:dyDescent="0.2">
      <c r="A12990" s="258"/>
      <c r="Z12990" s="258"/>
    </row>
    <row r="12991" spans="1:26" ht="12.75" customHeight="1" x14ac:dyDescent="0.2">
      <c r="A12991" s="258"/>
      <c r="Z12991" s="258"/>
    </row>
    <row r="12992" spans="1:26" ht="12.75" customHeight="1" x14ac:dyDescent="0.2">
      <c r="A12992" s="258"/>
      <c r="Z12992" s="258"/>
    </row>
    <row r="12993" spans="1:26" ht="12.75" customHeight="1" x14ac:dyDescent="0.2">
      <c r="A12993" s="258"/>
      <c r="Z12993" s="258"/>
    </row>
    <row r="12994" spans="1:26" ht="12.75" customHeight="1" x14ac:dyDescent="0.2">
      <c r="A12994" s="258"/>
      <c r="Z12994" s="258"/>
    </row>
    <row r="12995" spans="1:26" ht="12.75" customHeight="1" x14ac:dyDescent="0.2">
      <c r="A12995" s="258"/>
      <c r="Z12995" s="258"/>
    </row>
    <row r="12996" spans="1:26" ht="12.75" customHeight="1" x14ac:dyDescent="0.2">
      <c r="A12996" s="258"/>
      <c r="Z12996" s="258"/>
    </row>
    <row r="12997" spans="1:26" ht="12.75" customHeight="1" x14ac:dyDescent="0.2">
      <c r="A12997" s="258"/>
      <c r="Z12997" s="258"/>
    </row>
    <row r="12998" spans="1:26" ht="12.75" customHeight="1" x14ac:dyDescent="0.2">
      <c r="A12998" s="258"/>
      <c r="Z12998" s="258"/>
    </row>
    <row r="12999" spans="1:26" ht="12.75" customHeight="1" x14ac:dyDescent="0.2">
      <c r="A12999" s="258"/>
      <c r="Z12999" s="258"/>
    </row>
    <row r="13000" spans="1:26" ht="12.75" customHeight="1" x14ac:dyDescent="0.2">
      <c r="A13000" s="258"/>
      <c r="Z13000" s="258"/>
    </row>
    <row r="13001" spans="1:26" ht="12.75" customHeight="1" x14ac:dyDescent="0.2">
      <c r="A13001" s="258"/>
      <c r="Z13001" s="258"/>
    </row>
    <row r="13002" spans="1:26" ht="12.75" customHeight="1" x14ac:dyDescent="0.2">
      <c r="A13002" s="258"/>
      <c r="Z13002" s="258"/>
    </row>
    <row r="13003" spans="1:26" ht="12.75" customHeight="1" x14ac:dyDescent="0.2">
      <c r="A13003" s="258"/>
      <c r="Z13003" s="258"/>
    </row>
    <row r="13004" spans="1:26" ht="12.75" customHeight="1" x14ac:dyDescent="0.2">
      <c r="A13004" s="258"/>
      <c r="Z13004" s="258"/>
    </row>
    <row r="13005" spans="1:26" ht="12.75" customHeight="1" x14ac:dyDescent="0.2">
      <c r="A13005" s="258"/>
      <c r="Z13005" s="258"/>
    </row>
    <row r="13006" spans="1:26" ht="12.75" customHeight="1" x14ac:dyDescent="0.2">
      <c r="A13006" s="258"/>
      <c r="Z13006" s="258"/>
    </row>
    <row r="13007" spans="1:26" ht="12.75" customHeight="1" x14ac:dyDescent="0.2">
      <c r="A13007" s="258"/>
      <c r="Z13007" s="258"/>
    </row>
    <row r="13008" spans="1:26" ht="12.75" customHeight="1" x14ac:dyDescent="0.2">
      <c r="A13008" s="258"/>
      <c r="Z13008" s="258"/>
    </row>
    <row r="13009" spans="1:26" ht="12.75" customHeight="1" x14ac:dyDescent="0.2">
      <c r="A13009" s="258"/>
      <c r="Z13009" s="258"/>
    </row>
    <row r="13010" spans="1:26" ht="12.75" customHeight="1" x14ac:dyDescent="0.2">
      <c r="A13010" s="258"/>
      <c r="Z13010" s="258"/>
    </row>
    <row r="13011" spans="1:26" ht="12.75" customHeight="1" x14ac:dyDescent="0.2">
      <c r="A13011" s="258"/>
      <c r="Z13011" s="258"/>
    </row>
    <row r="13012" spans="1:26" ht="12.75" customHeight="1" x14ac:dyDescent="0.2">
      <c r="A13012" s="258"/>
      <c r="Z13012" s="258"/>
    </row>
    <row r="13013" spans="1:26" ht="12.75" customHeight="1" x14ac:dyDescent="0.2">
      <c r="A13013" s="258"/>
      <c r="Z13013" s="258"/>
    </row>
    <row r="13014" spans="1:26" ht="12.75" customHeight="1" x14ac:dyDescent="0.2">
      <c r="A13014" s="258"/>
      <c r="Z13014" s="258"/>
    </row>
    <row r="13015" spans="1:26" ht="12.75" customHeight="1" x14ac:dyDescent="0.2">
      <c r="A13015" s="258"/>
      <c r="Z13015" s="258"/>
    </row>
    <row r="13016" spans="1:26" ht="12.75" customHeight="1" x14ac:dyDescent="0.2">
      <c r="A13016" s="258"/>
      <c r="Z13016" s="258"/>
    </row>
    <row r="13017" spans="1:26" ht="12.75" customHeight="1" x14ac:dyDescent="0.2">
      <c r="A13017" s="258"/>
      <c r="Z13017" s="258"/>
    </row>
    <row r="13018" spans="1:26" ht="12.75" customHeight="1" x14ac:dyDescent="0.2">
      <c r="A13018" s="258"/>
      <c r="Z13018" s="258"/>
    </row>
    <row r="13019" spans="1:26" ht="12.75" customHeight="1" x14ac:dyDescent="0.2">
      <c r="A13019" s="258"/>
      <c r="Z13019" s="258"/>
    </row>
    <row r="13020" spans="1:26" ht="12.75" customHeight="1" x14ac:dyDescent="0.2">
      <c r="A13020" s="258"/>
      <c r="Z13020" s="258"/>
    </row>
    <row r="13021" spans="1:26" ht="12.75" customHeight="1" x14ac:dyDescent="0.2">
      <c r="A13021" s="258"/>
      <c r="Z13021" s="258"/>
    </row>
    <row r="13022" spans="1:26" ht="12.75" customHeight="1" x14ac:dyDescent="0.2">
      <c r="A13022" s="258"/>
      <c r="Z13022" s="258"/>
    </row>
    <row r="13023" spans="1:26" ht="12.75" customHeight="1" x14ac:dyDescent="0.2">
      <c r="A13023" s="258"/>
      <c r="Z13023" s="258"/>
    </row>
    <row r="13024" spans="1:26" ht="12.75" customHeight="1" x14ac:dyDescent="0.2">
      <c r="A13024" s="258"/>
      <c r="Z13024" s="258"/>
    </row>
    <row r="13025" spans="1:26" ht="12.75" customHeight="1" x14ac:dyDescent="0.2">
      <c r="A13025" s="258"/>
      <c r="Z13025" s="258"/>
    </row>
    <row r="13026" spans="1:26" ht="12.75" customHeight="1" x14ac:dyDescent="0.2">
      <c r="A13026" s="258"/>
      <c r="Z13026" s="258"/>
    </row>
    <row r="13027" spans="1:26" ht="12.75" customHeight="1" x14ac:dyDescent="0.2">
      <c r="A13027" s="258"/>
      <c r="Z13027" s="258"/>
    </row>
    <row r="13028" spans="1:26" ht="12.75" customHeight="1" x14ac:dyDescent="0.2">
      <c r="A13028" s="258"/>
      <c r="Z13028" s="258"/>
    </row>
    <row r="13029" spans="1:26" ht="12.75" customHeight="1" x14ac:dyDescent="0.2">
      <c r="A13029" s="258"/>
      <c r="Z13029" s="258"/>
    </row>
    <row r="13030" spans="1:26" ht="12.75" customHeight="1" x14ac:dyDescent="0.2">
      <c r="A13030" s="258"/>
      <c r="Z13030" s="258"/>
    </row>
    <row r="13031" spans="1:26" ht="12.75" customHeight="1" x14ac:dyDescent="0.2">
      <c r="A13031" s="258"/>
      <c r="Z13031" s="258"/>
    </row>
    <row r="13032" spans="1:26" ht="12.75" customHeight="1" x14ac:dyDescent="0.2">
      <c r="A13032" s="258"/>
      <c r="Z13032" s="258"/>
    </row>
    <row r="13033" spans="1:26" ht="12.75" customHeight="1" x14ac:dyDescent="0.2">
      <c r="A13033" s="258"/>
      <c r="Z13033" s="258"/>
    </row>
    <row r="13034" spans="1:26" ht="12.75" customHeight="1" x14ac:dyDescent="0.2">
      <c r="A13034" s="258"/>
      <c r="Z13034" s="258"/>
    </row>
    <row r="13035" spans="1:26" ht="12.75" customHeight="1" x14ac:dyDescent="0.2">
      <c r="A13035" s="258"/>
      <c r="Z13035" s="258"/>
    </row>
    <row r="13036" spans="1:26" ht="12.75" customHeight="1" x14ac:dyDescent="0.2">
      <c r="A13036" s="258"/>
      <c r="Z13036" s="258"/>
    </row>
    <row r="13037" spans="1:26" ht="12.75" customHeight="1" x14ac:dyDescent="0.2">
      <c r="A13037" s="258"/>
      <c r="Z13037" s="258"/>
    </row>
    <row r="13038" spans="1:26" ht="12.75" customHeight="1" x14ac:dyDescent="0.2">
      <c r="A13038" s="258"/>
      <c r="Z13038" s="258"/>
    </row>
    <row r="13039" spans="1:26" ht="12.75" customHeight="1" x14ac:dyDescent="0.2">
      <c r="A13039" s="258"/>
      <c r="Z13039" s="258"/>
    </row>
    <row r="13040" spans="1:26" ht="12.75" customHeight="1" x14ac:dyDescent="0.2">
      <c r="A13040" s="258"/>
      <c r="Z13040" s="258"/>
    </row>
    <row r="13041" spans="1:26" ht="12.75" customHeight="1" x14ac:dyDescent="0.2">
      <c r="A13041" s="258"/>
      <c r="Z13041" s="258"/>
    </row>
    <row r="13042" spans="1:26" ht="12.75" customHeight="1" x14ac:dyDescent="0.2">
      <c r="A13042" s="258"/>
      <c r="Z13042" s="258"/>
    </row>
    <row r="13043" spans="1:26" ht="12.75" customHeight="1" x14ac:dyDescent="0.2">
      <c r="A13043" s="258"/>
      <c r="Z13043" s="258"/>
    </row>
    <row r="13044" spans="1:26" ht="12.75" customHeight="1" x14ac:dyDescent="0.2">
      <c r="A13044" s="258"/>
      <c r="Z13044" s="258"/>
    </row>
    <row r="13045" spans="1:26" ht="12.75" customHeight="1" x14ac:dyDescent="0.2">
      <c r="A13045" s="258"/>
      <c r="Z13045" s="258"/>
    </row>
    <row r="13046" spans="1:26" ht="12.75" customHeight="1" x14ac:dyDescent="0.2">
      <c r="A13046" s="258"/>
      <c r="Z13046" s="258"/>
    </row>
    <row r="13047" spans="1:26" ht="12.75" customHeight="1" x14ac:dyDescent="0.2">
      <c r="A13047" s="258"/>
      <c r="Z13047" s="258"/>
    </row>
    <row r="13048" spans="1:26" ht="12.75" customHeight="1" x14ac:dyDescent="0.2">
      <c r="A13048" s="258"/>
      <c r="Z13048" s="258"/>
    </row>
    <row r="13049" spans="1:26" ht="12.75" customHeight="1" x14ac:dyDescent="0.2">
      <c r="A13049" s="258"/>
      <c r="Z13049" s="258"/>
    </row>
    <row r="13050" spans="1:26" ht="12.75" customHeight="1" x14ac:dyDescent="0.2">
      <c r="A13050" s="258"/>
      <c r="Z13050" s="258"/>
    </row>
    <row r="13051" spans="1:26" ht="12.75" customHeight="1" x14ac:dyDescent="0.2">
      <c r="A13051" s="258"/>
      <c r="Z13051" s="258"/>
    </row>
    <row r="13052" spans="1:26" ht="12.75" customHeight="1" x14ac:dyDescent="0.2">
      <c r="A13052" s="258"/>
      <c r="Z13052" s="258"/>
    </row>
    <row r="13053" spans="1:26" ht="12.75" customHeight="1" x14ac:dyDescent="0.2">
      <c r="A13053" s="258"/>
      <c r="Z13053" s="258"/>
    </row>
    <row r="13054" spans="1:26" ht="12.75" customHeight="1" x14ac:dyDescent="0.2">
      <c r="A13054" s="258"/>
      <c r="Z13054" s="258"/>
    </row>
    <row r="13055" spans="1:26" ht="12.75" customHeight="1" x14ac:dyDescent="0.2">
      <c r="A13055" s="258"/>
      <c r="Z13055" s="258"/>
    </row>
    <row r="13056" spans="1:26" ht="12.75" customHeight="1" x14ac:dyDescent="0.2">
      <c r="A13056" s="258"/>
      <c r="Z13056" s="258"/>
    </row>
    <row r="13057" spans="1:26" ht="12.75" customHeight="1" x14ac:dyDescent="0.2">
      <c r="A13057" s="258"/>
      <c r="Z13057" s="258"/>
    </row>
    <row r="13058" spans="1:26" ht="12.75" customHeight="1" x14ac:dyDescent="0.2">
      <c r="A13058" s="258"/>
      <c r="Z13058" s="258"/>
    </row>
    <row r="13059" spans="1:26" ht="12.75" customHeight="1" x14ac:dyDescent="0.2">
      <c r="A13059" s="258"/>
      <c r="Z13059" s="258"/>
    </row>
    <row r="13060" spans="1:26" ht="12.75" customHeight="1" x14ac:dyDescent="0.2">
      <c r="A13060" s="258"/>
      <c r="Z13060" s="258"/>
    </row>
    <row r="13061" spans="1:26" ht="12.75" customHeight="1" x14ac:dyDescent="0.2">
      <c r="A13061" s="258"/>
      <c r="Z13061" s="258"/>
    </row>
    <row r="13062" spans="1:26" ht="12.75" customHeight="1" x14ac:dyDescent="0.2">
      <c r="A13062" s="258"/>
      <c r="Z13062" s="258"/>
    </row>
    <row r="13063" spans="1:26" ht="12.75" customHeight="1" x14ac:dyDescent="0.2">
      <c r="A13063" s="258"/>
      <c r="Z13063" s="258"/>
    </row>
    <row r="13064" spans="1:26" ht="12.75" customHeight="1" x14ac:dyDescent="0.2">
      <c r="A13064" s="258"/>
      <c r="Z13064" s="258"/>
    </row>
    <row r="13065" spans="1:26" ht="12.75" customHeight="1" x14ac:dyDescent="0.2">
      <c r="A13065" s="258"/>
      <c r="Z13065" s="258"/>
    </row>
    <row r="13066" spans="1:26" ht="12.75" customHeight="1" x14ac:dyDescent="0.2">
      <c r="A13066" s="258"/>
      <c r="Z13066" s="258"/>
    </row>
    <row r="13067" spans="1:26" ht="12.75" customHeight="1" x14ac:dyDescent="0.2">
      <c r="A13067" s="258"/>
      <c r="Z13067" s="258"/>
    </row>
    <row r="13068" spans="1:26" ht="12.75" customHeight="1" x14ac:dyDescent="0.2">
      <c r="A13068" s="258"/>
      <c r="Z13068" s="258"/>
    </row>
    <row r="13069" spans="1:26" ht="12.75" customHeight="1" x14ac:dyDescent="0.2">
      <c r="A13069" s="258"/>
      <c r="Z13069" s="258"/>
    </row>
    <row r="13070" spans="1:26" ht="12.75" customHeight="1" x14ac:dyDescent="0.2">
      <c r="A13070" s="258"/>
      <c r="Z13070" s="258"/>
    </row>
    <row r="13071" spans="1:26" ht="12.75" customHeight="1" x14ac:dyDescent="0.2">
      <c r="A13071" s="258"/>
      <c r="Z13071" s="258"/>
    </row>
    <row r="13072" spans="1:26" ht="12.75" customHeight="1" x14ac:dyDescent="0.2">
      <c r="A13072" s="258"/>
      <c r="Z13072" s="258"/>
    </row>
    <row r="13073" spans="1:26" ht="12.75" customHeight="1" x14ac:dyDescent="0.2">
      <c r="A13073" s="258"/>
      <c r="Z13073" s="258"/>
    </row>
    <row r="13074" spans="1:26" ht="12.75" customHeight="1" x14ac:dyDescent="0.2">
      <c r="A13074" s="258"/>
      <c r="Z13074" s="258"/>
    </row>
    <row r="13075" spans="1:26" ht="12.75" customHeight="1" x14ac:dyDescent="0.2">
      <c r="A13075" s="258"/>
      <c r="Z13075" s="258"/>
    </row>
    <row r="13076" spans="1:26" ht="12.75" customHeight="1" x14ac:dyDescent="0.2">
      <c r="A13076" s="258"/>
      <c r="Z13076" s="258"/>
    </row>
    <row r="13077" spans="1:26" ht="12.75" customHeight="1" x14ac:dyDescent="0.2">
      <c r="A13077" s="258"/>
      <c r="Z13077" s="258"/>
    </row>
    <row r="13078" spans="1:26" ht="12.75" customHeight="1" x14ac:dyDescent="0.2">
      <c r="A13078" s="258"/>
      <c r="Z13078" s="258"/>
    </row>
    <row r="13079" spans="1:26" ht="12.75" customHeight="1" x14ac:dyDescent="0.2">
      <c r="A13079" s="258"/>
      <c r="Z13079" s="258"/>
    </row>
    <row r="13080" spans="1:26" ht="12.75" customHeight="1" x14ac:dyDescent="0.2">
      <c r="A13080" s="258"/>
      <c r="Z13080" s="258"/>
    </row>
    <row r="13081" spans="1:26" ht="12.75" customHeight="1" x14ac:dyDescent="0.2">
      <c r="A13081" s="258"/>
      <c r="Z13081" s="258"/>
    </row>
    <row r="13082" spans="1:26" ht="12.75" customHeight="1" x14ac:dyDescent="0.2">
      <c r="A13082" s="258"/>
      <c r="Z13082" s="258"/>
    </row>
    <row r="13083" spans="1:26" ht="12.75" customHeight="1" x14ac:dyDescent="0.2">
      <c r="A13083" s="258"/>
      <c r="Z13083" s="258"/>
    </row>
    <row r="13084" spans="1:26" ht="12.75" customHeight="1" x14ac:dyDescent="0.2">
      <c r="A13084" s="258"/>
      <c r="Z13084" s="258"/>
    </row>
    <row r="13085" spans="1:26" ht="12.75" customHeight="1" x14ac:dyDescent="0.2">
      <c r="A13085" s="258"/>
      <c r="Z13085" s="258"/>
    </row>
    <row r="13086" spans="1:26" ht="12.75" customHeight="1" x14ac:dyDescent="0.2">
      <c r="A13086" s="258"/>
      <c r="Z13086" s="258"/>
    </row>
    <row r="13087" spans="1:26" ht="12.75" customHeight="1" x14ac:dyDescent="0.2">
      <c r="A13087" s="258"/>
      <c r="Z13087" s="258"/>
    </row>
    <row r="13088" spans="1:26" ht="12.75" customHeight="1" x14ac:dyDescent="0.2">
      <c r="A13088" s="258"/>
      <c r="Z13088" s="258"/>
    </row>
    <row r="13089" spans="1:26" ht="12.75" customHeight="1" x14ac:dyDescent="0.2">
      <c r="A13089" s="258"/>
      <c r="Z13089" s="258"/>
    </row>
    <row r="13090" spans="1:26" ht="12.75" customHeight="1" x14ac:dyDescent="0.2">
      <c r="A13090" s="258"/>
      <c r="Z13090" s="258"/>
    </row>
    <row r="13091" spans="1:26" ht="12.75" customHeight="1" x14ac:dyDescent="0.2">
      <c r="A13091" s="258"/>
      <c r="Z13091" s="258"/>
    </row>
    <row r="13092" spans="1:26" ht="12.75" customHeight="1" x14ac:dyDescent="0.2">
      <c r="A13092" s="258"/>
      <c r="Z13092" s="258"/>
    </row>
    <row r="13093" spans="1:26" ht="12.75" customHeight="1" x14ac:dyDescent="0.2">
      <c r="A13093" s="258"/>
      <c r="Z13093" s="258"/>
    </row>
    <row r="13094" spans="1:26" ht="12.75" customHeight="1" x14ac:dyDescent="0.2">
      <c r="A13094" s="258"/>
      <c r="Z13094" s="258"/>
    </row>
    <row r="13095" spans="1:26" ht="12.75" customHeight="1" x14ac:dyDescent="0.2">
      <c r="A13095" s="258"/>
      <c r="Z13095" s="258"/>
    </row>
    <row r="13096" spans="1:26" ht="12.75" customHeight="1" x14ac:dyDescent="0.2">
      <c r="A13096" s="258"/>
      <c r="Z13096" s="258"/>
    </row>
    <row r="13097" spans="1:26" ht="12.75" customHeight="1" x14ac:dyDescent="0.2">
      <c r="A13097" s="258"/>
      <c r="Z13097" s="258"/>
    </row>
    <row r="13098" spans="1:26" ht="12.75" customHeight="1" x14ac:dyDescent="0.2">
      <c r="A13098" s="258"/>
      <c r="Z13098" s="258"/>
    </row>
    <row r="13099" spans="1:26" ht="12.75" customHeight="1" x14ac:dyDescent="0.2">
      <c r="A13099" s="258"/>
      <c r="Z13099" s="258"/>
    </row>
    <row r="13100" spans="1:26" ht="12.75" customHeight="1" x14ac:dyDescent="0.2">
      <c r="A13100" s="258"/>
      <c r="Z13100" s="258"/>
    </row>
    <row r="13101" spans="1:26" ht="12.75" customHeight="1" x14ac:dyDescent="0.2">
      <c r="A13101" s="258"/>
      <c r="Z13101" s="258"/>
    </row>
    <row r="13102" spans="1:26" ht="12.75" customHeight="1" x14ac:dyDescent="0.2">
      <c r="A13102" s="258"/>
      <c r="Z13102" s="258"/>
    </row>
    <row r="13103" spans="1:26" ht="12.75" customHeight="1" x14ac:dyDescent="0.2">
      <c r="A13103" s="258"/>
      <c r="Z13103" s="258"/>
    </row>
    <row r="13104" spans="1:26" ht="12.75" customHeight="1" x14ac:dyDescent="0.2">
      <c r="A13104" s="258"/>
      <c r="Z13104" s="258"/>
    </row>
    <row r="13105" spans="1:26" ht="12.75" customHeight="1" x14ac:dyDescent="0.2">
      <c r="A13105" s="258"/>
      <c r="Z13105" s="258"/>
    </row>
    <row r="13106" spans="1:26" ht="12.75" customHeight="1" x14ac:dyDescent="0.2">
      <c r="A13106" s="258"/>
      <c r="Z13106" s="258"/>
    </row>
    <row r="13107" spans="1:26" ht="12.75" customHeight="1" x14ac:dyDescent="0.2">
      <c r="A13107" s="258"/>
      <c r="Z13107" s="258"/>
    </row>
    <row r="13108" spans="1:26" ht="12.75" customHeight="1" x14ac:dyDescent="0.2">
      <c r="A13108" s="258"/>
      <c r="Z13108" s="258"/>
    </row>
    <row r="13109" spans="1:26" ht="12.75" customHeight="1" x14ac:dyDescent="0.2">
      <c r="A13109" s="258"/>
      <c r="Z13109" s="258"/>
    </row>
    <row r="13110" spans="1:26" ht="12.75" customHeight="1" x14ac:dyDescent="0.2">
      <c r="A13110" s="258"/>
      <c r="Z13110" s="258"/>
    </row>
    <row r="13111" spans="1:26" ht="12.75" customHeight="1" x14ac:dyDescent="0.2">
      <c r="A13111" s="258"/>
      <c r="Z13111" s="258"/>
    </row>
    <row r="13112" spans="1:26" ht="12.75" customHeight="1" x14ac:dyDescent="0.2">
      <c r="A13112" s="258"/>
      <c r="Z13112" s="258"/>
    </row>
    <row r="13113" spans="1:26" ht="12.75" customHeight="1" x14ac:dyDescent="0.2">
      <c r="A13113" s="258"/>
      <c r="Z13113" s="258"/>
    </row>
    <row r="13114" spans="1:26" ht="12.75" customHeight="1" x14ac:dyDescent="0.2">
      <c r="A13114" s="258"/>
      <c r="Z13114" s="258"/>
    </row>
    <row r="13115" spans="1:26" ht="12.75" customHeight="1" x14ac:dyDescent="0.2">
      <c r="A13115" s="258"/>
      <c r="Z13115" s="258"/>
    </row>
    <row r="13116" spans="1:26" ht="12.75" customHeight="1" x14ac:dyDescent="0.2">
      <c r="A13116" s="258"/>
      <c r="Z13116" s="258"/>
    </row>
    <row r="13117" spans="1:26" ht="12.75" customHeight="1" x14ac:dyDescent="0.2">
      <c r="A13117" s="258"/>
      <c r="Z13117" s="258"/>
    </row>
    <row r="13118" spans="1:26" ht="12.75" customHeight="1" x14ac:dyDescent="0.2">
      <c r="A13118" s="258"/>
      <c r="Z13118" s="258"/>
    </row>
    <row r="13119" spans="1:26" ht="12.75" customHeight="1" x14ac:dyDescent="0.2">
      <c r="A13119" s="258"/>
      <c r="Z13119" s="258"/>
    </row>
    <row r="13120" spans="1:26" ht="12.75" customHeight="1" x14ac:dyDescent="0.2">
      <c r="A13120" s="258"/>
      <c r="Z13120" s="258"/>
    </row>
    <row r="13121" spans="1:26" ht="12.75" customHeight="1" x14ac:dyDescent="0.2">
      <c r="A13121" s="258"/>
      <c r="Z13121" s="258"/>
    </row>
    <row r="13122" spans="1:26" ht="12.75" customHeight="1" x14ac:dyDescent="0.2">
      <c r="A13122" s="258"/>
      <c r="Z13122" s="258"/>
    </row>
    <row r="13123" spans="1:26" ht="12.75" customHeight="1" x14ac:dyDescent="0.2">
      <c r="A13123" s="258"/>
      <c r="Z13123" s="258"/>
    </row>
    <row r="13124" spans="1:26" ht="12.75" customHeight="1" x14ac:dyDescent="0.2">
      <c r="A13124" s="258"/>
      <c r="Z13124" s="258"/>
    </row>
    <row r="13125" spans="1:26" ht="12.75" customHeight="1" x14ac:dyDescent="0.2">
      <c r="A13125" s="258"/>
      <c r="Z13125" s="258"/>
    </row>
    <row r="13126" spans="1:26" ht="12.75" customHeight="1" x14ac:dyDescent="0.2">
      <c r="A13126" s="258"/>
      <c r="Z13126" s="258"/>
    </row>
    <row r="13127" spans="1:26" ht="12.75" customHeight="1" x14ac:dyDescent="0.2">
      <c r="A13127" s="258"/>
      <c r="Z13127" s="258"/>
    </row>
    <row r="13128" spans="1:26" ht="12.75" customHeight="1" x14ac:dyDescent="0.2">
      <c r="A13128" s="258"/>
      <c r="Z13128" s="258"/>
    </row>
    <row r="13129" spans="1:26" ht="12.75" customHeight="1" x14ac:dyDescent="0.2">
      <c r="A13129" s="258"/>
      <c r="Z13129" s="258"/>
    </row>
    <row r="13130" spans="1:26" ht="12.75" customHeight="1" x14ac:dyDescent="0.2">
      <c r="A13130" s="258"/>
      <c r="Z13130" s="258"/>
    </row>
    <row r="13131" spans="1:26" ht="12.75" customHeight="1" x14ac:dyDescent="0.2">
      <c r="A13131" s="258"/>
      <c r="Z13131" s="258"/>
    </row>
    <row r="13132" spans="1:26" ht="12.75" customHeight="1" x14ac:dyDescent="0.2">
      <c r="A13132" s="258"/>
      <c r="Z13132" s="258"/>
    </row>
    <row r="13133" spans="1:26" ht="12.75" customHeight="1" x14ac:dyDescent="0.2">
      <c r="A13133" s="258"/>
      <c r="Z13133" s="258"/>
    </row>
    <row r="13134" spans="1:26" ht="12.75" customHeight="1" x14ac:dyDescent="0.2">
      <c r="A13134" s="258"/>
      <c r="Z13134" s="258"/>
    </row>
    <row r="13135" spans="1:26" ht="12.75" customHeight="1" x14ac:dyDescent="0.2">
      <c r="A13135" s="258"/>
      <c r="Z13135" s="258"/>
    </row>
    <row r="13136" spans="1:26" ht="12.75" customHeight="1" x14ac:dyDescent="0.2">
      <c r="A13136" s="258"/>
      <c r="Z13136" s="258"/>
    </row>
    <row r="13137" spans="1:26" ht="12.75" customHeight="1" x14ac:dyDescent="0.2">
      <c r="A13137" s="258"/>
      <c r="Z13137" s="258"/>
    </row>
    <row r="13138" spans="1:26" ht="12.75" customHeight="1" x14ac:dyDescent="0.2">
      <c r="A13138" s="258"/>
      <c r="Z13138" s="258"/>
    </row>
    <row r="13139" spans="1:26" ht="12.75" customHeight="1" x14ac:dyDescent="0.2">
      <c r="A13139" s="258"/>
      <c r="Z13139" s="258"/>
    </row>
    <row r="13140" spans="1:26" ht="12.75" customHeight="1" x14ac:dyDescent="0.2">
      <c r="A13140" s="258"/>
      <c r="Z13140" s="258"/>
    </row>
    <row r="13141" spans="1:26" ht="12.75" customHeight="1" x14ac:dyDescent="0.2">
      <c r="A13141" s="258"/>
      <c r="Z13141" s="258"/>
    </row>
    <row r="13142" spans="1:26" ht="12.75" customHeight="1" x14ac:dyDescent="0.2">
      <c r="A13142" s="258"/>
      <c r="Z13142" s="258"/>
    </row>
    <row r="13143" spans="1:26" ht="12.75" customHeight="1" x14ac:dyDescent="0.2">
      <c r="A13143" s="258"/>
      <c r="Z13143" s="258"/>
    </row>
    <row r="13144" spans="1:26" ht="12.75" customHeight="1" x14ac:dyDescent="0.2">
      <c r="A13144" s="258"/>
      <c r="Z13144" s="258"/>
    </row>
    <row r="13145" spans="1:26" ht="12.75" customHeight="1" x14ac:dyDescent="0.2">
      <c r="A13145" s="258"/>
      <c r="Z13145" s="258"/>
    </row>
    <row r="13146" spans="1:26" ht="12.75" customHeight="1" x14ac:dyDescent="0.2">
      <c r="A13146" s="258"/>
      <c r="Z13146" s="258"/>
    </row>
    <row r="13147" spans="1:26" ht="12.75" customHeight="1" x14ac:dyDescent="0.2">
      <c r="A13147" s="258"/>
      <c r="Z13147" s="258"/>
    </row>
    <row r="13148" spans="1:26" ht="12.75" customHeight="1" x14ac:dyDescent="0.2">
      <c r="A13148" s="258"/>
      <c r="Z13148" s="258"/>
    </row>
    <row r="13149" spans="1:26" ht="12.75" customHeight="1" x14ac:dyDescent="0.2">
      <c r="A13149" s="258"/>
      <c r="Z13149" s="258"/>
    </row>
    <row r="13150" spans="1:26" ht="12.75" customHeight="1" x14ac:dyDescent="0.2">
      <c r="A13150" s="258"/>
      <c r="Z13150" s="258"/>
    </row>
    <row r="13151" spans="1:26" ht="12.75" customHeight="1" x14ac:dyDescent="0.2">
      <c r="A13151" s="258"/>
      <c r="Z13151" s="258"/>
    </row>
    <row r="13152" spans="1:26" ht="12.75" customHeight="1" x14ac:dyDescent="0.2">
      <c r="A13152" s="258"/>
      <c r="Z13152" s="258"/>
    </row>
    <row r="13153" spans="1:26" ht="12.75" customHeight="1" x14ac:dyDescent="0.2">
      <c r="A13153" s="258"/>
      <c r="Z13153" s="258"/>
    </row>
    <row r="13154" spans="1:26" ht="12.75" customHeight="1" x14ac:dyDescent="0.2">
      <c r="A13154" s="258"/>
      <c r="Z13154" s="258"/>
    </row>
    <row r="13155" spans="1:26" ht="12.75" customHeight="1" x14ac:dyDescent="0.2">
      <c r="A13155" s="258"/>
      <c r="Z13155" s="258"/>
    </row>
    <row r="13156" spans="1:26" ht="12.75" customHeight="1" x14ac:dyDescent="0.2">
      <c r="A13156" s="258"/>
      <c r="Z13156" s="258"/>
    </row>
    <row r="13157" spans="1:26" ht="12.75" customHeight="1" x14ac:dyDescent="0.2">
      <c r="A13157" s="258"/>
      <c r="Z13157" s="258"/>
    </row>
    <row r="13158" spans="1:26" ht="12.75" customHeight="1" x14ac:dyDescent="0.2">
      <c r="A13158" s="258"/>
      <c r="Z13158" s="258"/>
    </row>
    <row r="13159" spans="1:26" ht="12.75" customHeight="1" x14ac:dyDescent="0.2">
      <c r="A13159" s="258"/>
      <c r="Z13159" s="258"/>
    </row>
    <row r="13160" spans="1:26" ht="12.75" customHeight="1" x14ac:dyDescent="0.2">
      <c r="A13160" s="258"/>
      <c r="Z13160" s="258"/>
    </row>
    <row r="13161" spans="1:26" ht="12.75" customHeight="1" x14ac:dyDescent="0.2">
      <c r="A13161" s="258"/>
      <c r="Z13161" s="258"/>
    </row>
    <row r="13162" spans="1:26" ht="12.75" customHeight="1" x14ac:dyDescent="0.2">
      <c r="A13162" s="258"/>
      <c r="Z13162" s="258"/>
    </row>
    <row r="13163" spans="1:26" ht="12.75" customHeight="1" x14ac:dyDescent="0.2">
      <c r="A13163" s="258"/>
      <c r="Z13163" s="258"/>
    </row>
    <row r="13164" spans="1:26" ht="12.75" customHeight="1" x14ac:dyDescent="0.2">
      <c r="A13164" s="258"/>
      <c r="Z13164" s="258"/>
    </row>
    <row r="13165" spans="1:26" ht="12.75" customHeight="1" x14ac:dyDescent="0.2">
      <c r="A13165" s="258"/>
      <c r="Z13165" s="258"/>
    </row>
    <row r="13166" spans="1:26" ht="12.75" customHeight="1" x14ac:dyDescent="0.2">
      <c r="A13166" s="258"/>
      <c r="Z13166" s="258"/>
    </row>
    <row r="13167" spans="1:26" ht="12.75" customHeight="1" x14ac:dyDescent="0.2">
      <c r="A13167" s="258"/>
      <c r="Z13167" s="258"/>
    </row>
    <row r="13168" spans="1:26" ht="12.75" customHeight="1" x14ac:dyDescent="0.2">
      <c r="A13168" s="258"/>
      <c r="Z13168" s="258"/>
    </row>
    <row r="13169" spans="1:26" ht="12.75" customHeight="1" x14ac:dyDescent="0.2">
      <c r="A13169" s="258"/>
      <c r="Z13169" s="258"/>
    </row>
    <row r="13170" spans="1:26" ht="12.75" customHeight="1" x14ac:dyDescent="0.2">
      <c r="A13170" s="258"/>
      <c r="Z13170" s="258"/>
    </row>
    <row r="13171" spans="1:26" ht="12.75" customHeight="1" x14ac:dyDescent="0.2">
      <c r="A13171" s="258"/>
      <c r="Z13171" s="258"/>
    </row>
    <row r="13172" spans="1:26" ht="12.75" customHeight="1" x14ac:dyDescent="0.2">
      <c r="A13172" s="258"/>
      <c r="Z13172" s="258"/>
    </row>
    <row r="13173" spans="1:26" ht="12.75" customHeight="1" x14ac:dyDescent="0.2">
      <c r="A13173" s="258"/>
      <c r="Z13173" s="258"/>
    </row>
    <row r="13174" spans="1:26" ht="12.75" customHeight="1" x14ac:dyDescent="0.2">
      <c r="A13174" s="258"/>
      <c r="Z13174" s="258"/>
    </row>
    <row r="13175" spans="1:26" ht="12.75" customHeight="1" x14ac:dyDescent="0.2">
      <c r="A13175" s="258"/>
      <c r="Z13175" s="258"/>
    </row>
    <row r="13176" spans="1:26" ht="12.75" customHeight="1" x14ac:dyDescent="0.2">
      <c r="A13176" s="258"/>
      <c r="Z13176" s="258"/>
    </row>
    <row r="13177" spans="1:26" ht="12.75" customHeight="1" x14ac:dyDescent="0.2">
      <c r="A13177" s="258"/>
      <c r="Z13177" s="258"/>
    </row>
    <row r="13178" spans="1:26" ht="12.75" customHeight="1" x14ac:dyDescent="0.2">
      <c r="A13178" s="258"/>
      <c r="Z13178" s="258"/>
    </row>
    <row r="13179" spans="1:26" ht="12.75" customHeight="1" x14ac:dyDescent="0.2">
      <c r="A13179" s="258"/>
      <c r="Z13179" s="258"/>
    </row>
    <row r="13180" spans="1:26" ht="12.75" customHeight="1" x14ac:dyDescent="0.2">
      <c r="A13180" s="258"/>
      <c r="Z13180" s="258"/>
    </row>
    <row r="13181" spans="1:26" ht="12.75" customHeight="1" x14ac:dyDescent="0.2">
      <c r="A13181" s="258"/>
      <c r="Z13181" s="258"/>
    </row>
    <row r="13182" spans="1:26" ht="12.75" customHeight="1" x14ac:dyDescent="0.2">
      <c r="A13182" s="258"/>
      <c r="Z13182" s="258"/>
    </row>
    <row r="13183" spans="1:26" ht="12.75" customHeight="1" x14ac:dyDescent="0.2">
      <c r="A13183" s="258"/>
      <c r="Z13183" s="258"/>
    </row>
    <row r="13184" spans="1:26" ht="12.75" customHeight="1" x14ac:dyDescent="0.2">
      <c r="A13184" s="258"/>
      <c r="Z13184" s="258"/>
    </row>
    <row r="13185" spans="1:26" ht="12.75" customHeight="1" x14ac:dyDescent="0.2">
      <c r="A13185" s="258"/>
      <c r="Z13185" s="258"/>
    </row>
    <row r="13186" spans="1:26" ht="12.75" customHeight="1" x14ac:dyDescent="0.2">
      <c r="A13186" s="258"/>
      <c r="Z13186" s="258"/>
    </row>
    <row r="13187" spans="1:26" ht="12.75" customHeight="1" x14ac:dyDescent="0.2">
      <c r="A13187" s="258"/>
      <c r="Z13187" s="258"/>
    </row>
    <row r="13188" spans="1:26" ht="12.75" customHeight="1" x14ac:dyDescent="0.2">
      <c r="A13188" s="258"/>
      <c r="Z13188" s="258"/>
    </row>
    <row r="13189" spans="1:26" ht="12.75" customHeight="1" x14ac:dyDescent="0.2">
      <c r="A13189" s="258"/>
      <c r="Z13189" s="258"/>
    </row>
    <row r="13190" spans="1:26" ht="12.75" customHeight="1" x14ac:dyDescent="0.2">
      <c r="A13190" s="258"/>
      <c r="Z13190" s="258"/>
    </row>
    <row r="13191" spans="1:26" ht="12.75" customHeight="1" x14ac:dyDescent="0.2">
      <c r="A13191" s="258"/>
      <c r="Z13191" s="258"/>
    </row>
    <row r="13192" spans="1:26" ht="12.75" customHeight="1" x14ac:dyDescent="0.2">
      <c r="A13192" s="258"/>
      <c r="Z13192" s="258"/>
    </row>
    <row r="13193" spans="1:26" ht="12.75" customHeight="1" x14ac:dyDescent="0.2">
      <c r="A13193" s="258"/>
      <c r="Z13193" s="258"/>
    </row>
    <row r="13194" spans="1:26" ht="12.75" customHeight="1" x14ac:dyDescent="0.2">
      <c r="A13194" s="258"/>
      <c r="Z13194" s="258"/>
    </row>
    <row r="13195" spans="1:26" ht="12.75" customHeight="1" x14ac:dyDescent="0.2">
      <c r="A13195" s="258"/>
      <c r="Z13195" s="258"/>
    </row>
    <row r="13196" spans="1:26" ht="12.75" customHeight="1" x14ac:dyDescent="0.2">
      <c r="A13196" s="258"/>
      <c r="Z13196" s="258"/>
    </row>
    <row r="13197" spans="1:26" ht="12.75" customHeight="1" x14ac:dyDescent="0.2">
      <c r="A13197" s="258"/>
      <c r="Z13197" s="258"/>
    </row>
    <row r="13198" spans="1:26" ht="12.75" customHeight="1" x14ac:dyDescent="0.2">
      <c r="A13198" s="258"/>
      <c r="Z13198" s="258"/>
    </row>
    <row r="13199" spans="1:26" ht="12.75" customHeight="1" x14ac:dyDescent="0.2">
      <c r="A13199" s="258"/>
      <c r="Z13199" s="258"/>
    </row>
    <row r="13200" spans="1:26" ht="12.75" customHeight="1" x14ac:dyDescent="0.2">
      <c r="A13200" s="258"/>
      <c r="Z13200" s="258"/>
    </row>
    <row r="13201" spans="1:26" ht="12.75" customHeight="1" x14ac:dyDescent="0.2">
      <c r="A13201" s="258"/>
      <c r="Z13201" s="258"/>
    </row>
    <row r="13202" spans="1:26" ht="12.75" customHeight="1" x14ac:dyDescent="0.2">
      <c r="A13202" s="258"/>
      <c r="Z13202" s="258"/>
    </row>
    <row r="13203" spans="1:26" ht="12.75" customHeight="1" x14ac:dyDescent="0.2">
      <c r="A13203" s="258"/>
      <c r="Z13203" s="258"/>
    </row>
    <row r="13204" spans="1:26" ht="12.75" customHeight="1" x14ac:dyDescent="0.2">
      <c r="A13204" s="258"/>
      <c r="Z13204" s="258"/>
    </row>
    <row r="13205" spans="1:26" ht="12.75" customHeight="1" x14ac:dyDescent="0.2">
      <c r="A13205" s="258"/>
      <c r="Z13205" s="258"/>
    </row>
    <row r="13206" spans="1:26" ht="12.75" customHeight="1" x14ac:dyDescent="0.2">
      <c r="A13206" s="258"/>
      <c r="Z13206" s="258"/>
    </row>
    <row r="13207" spans="1:26" ht="12.75" customHeight="1" x14ac:dyDescent="0.2">
      <c r="A13207" s="258"/>
      <c r="Z13207" s="258"/>
    </row>
    <row r="13208" spans="1:26" ht="12.75" customHeight="1" x14ac:dyDescent="0.2">
      <c r="A13208" s="258"/>
      <c r="Z13208" s="258"/>
    </row>
    <row r="13209" spans="1:26" ht="12.75" customHeight="1" x14ac:dyDescent="0.2">
      <c r="A13209" s="258"/>
      <c r="Z13209" s="258"/>
    </row>
    <row r="13210" spans="1:26" ht="12.75" customHeight="1" x14ac:dyDescent="0.2">
      <c r="A13210" s="258"/>
      <c r="Z13210" s="258"/>
    </row>
    <row r="13211" spans="1:26" ht="12.75" customHeight="1" x14ac:dyDescent="0.2">
      <c r="A13211" s="258"/>
      <c r="Z13211" s="258"/>
    </row>
    <row r="13212" spans="1:26" ht="12.75" customHeight="1" x14ac:dyDescent="0.2">
      <c r="A13212" s="258"/>
      <c r="Z13212" s="258"/>
    </row>
    <row r="13213" spans="1:26" ht="12.75" customHeight="1" x14ac:dyDescent="0.2">
      <c r="A13213" s="258"/>
      <c r="Z13213" s="258"/>
    </row>
    <row r="13214" spans="1:26" ht="12.75" customHeight="1" x14ac:dyDescent="0.2">
      <c r="A13214" s="258"/>
      <c r="Z13214" s="258"/>
    </row>
    <row r="13215" spans="1:26" ht="12.75" customHeight="1" x14ac:dyDescent="0.2">
      <c r="A13215" s="258"/>
      <c r="Z13215" s="258"/>
    </row>
    <row r="13216" spans="1:26" ht="12.75" customHeight="1" x14ac:dyDescent="0.2">
      <c r="A13216" s="258"/>
      <c r="Z13216" s="258"/>
    </row>
    <row r="13217" spans="1:26" ht="12.75" customHeight="1" x14ac:dyDescent="0.2">
      <c r="A13217" s="258"/>
      <c r="Z13217" s="258"/>
    </row>
    <row r="13218" spans="1:26" ht="12.75" customHeight="1" x14ac:dyDescent="0.2">
      <c r="A13218" s="258"/>
      <c r="Z13218" s="258"/>
    </row>
    <row r="13219" spans="1:26" ht="12.75" customHeight="1" x14ac:dyDescent="0.2">
      <c r="A13219" s="258"/>
      <c r="Z13219" s="258"/>
    </row>
    <row r="13220" spans="1:26" ht="12.75" customHeight="1" x14ac:dyDescent="0.2">
      <c r="A13220" s="258"/>
      <c r="Z13220" s="258"/>
    </row>
    <row r="13221" spans="1:26" ht="12.75" customHeight="1" x14ac:dyDescent="0.2">
      <c r="A13221" s="258"/>
      <c r="Z13221" s="258"/>
    </row>
    <row r="13222" spans="1:26" ht="12.75" customHeight="1" x14ac:dyDescent="0.2">
      <c r="A13222" s="258"/>
      <c r="Z13222" s="258"/>
    </row>
    <row r="13223" spans="1:26" ht="12.75" customHeight="1" x14ac:dyDescent="0.2">
      <c r="A13223" s="258"/>
      <c r="Z13223" s="258"/>
    </row>
    <row r="13224" spans="1:26" ht="12.75" customHeight="1" x14ac:dyDescent="0.2">
      <c r="A13224" s="258"/>
      <c r="Z13224" s="258"/>
    </row>
    <row r="13225" spans="1:26" ht="12.75" customHeight="1" x14ac:dyDescent="0.2">
      <c r="A13225" s="258"/>
      <c r="Z13225" s="258"/>
    </row>
    <row r="13226" spans="1:26" ht="12.75" customHeight="1" x14ac:dyDescent="0.2">
      <c r="A13226" s="258"/>
      <c r="Z13226" s="258"/>
    </row>
    <row r="13227" spans="1:26" ht="12.75" customHeight="1" x14ac:dyDescent="0.2">
      <c r="A13227" s="258"/>
      <c r="Z13227" s="258"/>
    </row>
    <row r="13228" spans="1:26" ht="12.75" customHeight="1" x14ac:dyDescent="0.2">
      <c r="A13228" s="258"/>
      <c r="Z13228" s="258"/>
    </row>
    <row r="13229" spans="1:26" ht="12.75" customHeight="1" x14ac:dyDescent="0.2">
      <c r="A13229" s="258"/>
      <c r="Z13229" s="258"/>
    </row>
    <row r="13230" spans="1:26" ht="12.75" customHeight="1" x14ac:dyDescent="0.2">
      <c r="A13230" s="258"/>
      <c r="Z13230" s="258"/>
    </row>
    <row r="13231" spans="1:26" ht="12.75" customHeight="1" x14ac:dyDescent="0.2">
      <c r="A13231" s="258"/>
      <c r="Z13231" s="258"/>
    </row>
    <row r="13232" spans="1:26" ht="12.75" customHeight="1" x14ac:dyDescent="0.2">
      <c r="A13232" s="258"/>
      <c r="Z13232" s="258"/>
    </row>
    <row r="13233" spans="1:26" ht="12.75" customHeight="1" x14ac:dyDescent="0.2">
      <c r="A13233" s="258"/>
      <c r="Z13233" s="258"/>
    </row>
    <row r="13234" spans="1:26" ht="12.75" customHeight="1" x14ac:dyDescent="0.2">
      <c r="A13234" s="258"/>
      <c r="Z13234" s="258"/>
    </row>
    <row r="13235" spans="1:26" ht="12.75" customHeight="1" x14ac:dyDescent="0.2">
      <c r="A13235" s="258"/>
      <c r="Z13235" s="258"/>
    </row>
    <row r="13236" spans="1:26" ht="12.75" customHeight="1" x14ac:dyDescent="0.2">
      <c r="A13236" s="258"/>
      <c r="Z13236" s="258"/>
    </row>
    <row r="13237" spans="1:26" ht="12.75" customHeight="1" x14ac:dyDescent="0.2">
      <c r="A13237" s="258"/>
      <c r="Z13237" s="258"/>
    </row>
    <row r="13238" spans="1:26" ht="12.75" customHeight="1" x14ac:dyDescent="0.2">
      <c r="A13238" s="258"/>
      <c r="Z13238" s="258"/>
    </row>
    <row r="13239" spans="1:26" ht="12.75" customHeight="1" x14ac:dyDescent="0.2">
      <c r="A13239" s="258"/>
      <c r="Z13239" s="258"/>
    </row>
    <row r="13240" spans="1:26" ht="12.75" customHeight="1" x14ac:dyDescent="0.2">
      <c r="A13240" s="258"/>
      <c r="Z13240" s="258"/>
    </row>
    <row r="13241" spans="1:26" ht="12.75" customHeight="1" x14ac:dyDescent="0.2">
      <c r="A13241" s="258"/>
      <c r="Z13241" s="258"/>
    </row>
    <row r="13242" spans="1:26" ht="12.75" customHeight="1" x14ac:dyDescent="0.2">
      <c r="A13242" s="258"/>
      <c r="Z13242" s="258"/>
    </row>
    <row r="13243" spans="1:26" ht="12.75" customHeight="1" x14ac:dyDescent="0.2">
      <c r="A13243" s="258"/>
      <c r="Z13243" s="258"/>
    </row>
    <row r="13244" spans="1:26" ht="12.75" customHeight="1" x14ac:dyDescent="0.2">
      <c r="A13244" s="258"/>
      <c r="Z13244" s="258"/>
    </row>
    <row r="13245" spans="1:26" ht="12.75" customHeight="1" x14ac:dyDescent="0.2">
      <c r="A13245" s="258"/>
      <c r="Z13245" s="258"/>
    </row>
    <row r="13246" spans="1:26" ht="12.75" customHeight="1" x14ac:dyDescent="0.2">
      <c r="A13246" s="258"/>
      <c r="Z13246" s="258"/>
    </row>
    <row r="13247" spans="1:26" ht="12.75" customHeight="1" x14ac:dyDescent="0.2">
      <c r="A13247" s="258"/>
      <c r="Z13247" s="258"/>
    </row>
    <row r="13248" spans="1:26" ht="12.75" customHeight="1" x14ac:dyDescent="0.2">
      <c r="A13248" s="258"/>
      <c r="Z13248" s="258"/>
    </row>
    <row r="13249" spans="1:26" ht="12.75" customHeight="1" x14ac:dyDescent="0.2">
      <c r="A13249" s="258"/>
      <c r="Z13249" s="258"/>
    </row>
    <row r="13250" spans="1:26" ht="12.75" customHeight="1" x14ac:dyDescent="0.2">
      <c r="A13250" s="258"/>
      <c r="Z13250" s="258"/>
    </row>
    <row r="13251" spans="1:26" ht="12.75" customHeight="1" x14ac:dyDescent="0.2">
      <c r="A13251" s="258"/>
      <c r="Z13251" s="258"/>
    </row>
    <row r="13252" spans="1:26" ht="12.75" customHeight="1" x14ac:dyDescent="0.2">
      <c r="A13252" s="258"/>
      <c r="Z13252" s="258"/>
    </row>
    <row r="13253" spans="1:26" ht="12.75" customHeight="1" x14ac:dyDescent="0.2">
      <c r="A13253" s="258"/>
      <c r="Z13253" s="258"/>
    </row>
    <row r="13254" spans="1:26" ht="12.75" customHeight="1" x14ac:dyDescent="0.2">
      <c r="A13254" s="258"/>
      <c r="Z13254" s="258"/>
    </row>
    <row r="13255" spans="1:26" ht="12.75" customHeight="1" x14ac:dyDescent="0.2">
      <c r="A13255" s="258"/>
      <c r="Z13255" s="258"/>
    </row>
    <row r="13256" spans="1:26" ht="12.75" customHeight="1" x14ac:dyDescent="0.2">
      <c r="A13256" s="258"/>
      <c r="Z13256" s="258"/>
    </row>
    <row r="13257" spans="1:26" ht="12.75" customHeight="1" x14ac:dyDescent="0.2">
      <c r="A13257" s="258"/>
      <c r="Z13257" s="258"/>
    </row>
    <row r="13258" spans="1:26" ht="12.75" customHeight="1" x14ac:dyDescent="0.2">
      <c r="A13258" s="258"/>
      <c r="Z13258" s="258"/>
    </row>
    <row r="13259" spans="1:26" ht="12.75" customHeight="1" x14ac:dyDescent="0.2">
      <c r="A13259" s="258"/>
      <c r="Z13259" s="258"/>
    </row>
    <row r="13260" spans="1:26" ht="12.75" customHeight="1" x14ac:dyDescent="0.2">
      <c r="A13260" s="258"/>
      <c r="Z13260" s="258"/>
    </row>
    <row r="13261" spans="1:26" ht="12.75" customHeight="1" x14ac:dyDescent="0.2">
      <c r="A13261" s="258"/>
      <c r="Z13261" s="258"/>
    </row>
    <row r="13262" spans="1:26" ht="12.75" customHeight="1" x14ac:dyDescent="0.2">
      <c r="A13262" s="258"/>
      <c r="Z13262" s="258"/>
    </row>
    <row r="13263" spans="1:26" ht="12.75" customHeight="1" x14ac:dyDescent="0.2">
      <c r="A13263" s="258"/>
      <c r="Z13263" s="258"/>
    </row>
    <row r="13264" spans="1:26" ht="12.75" customHeight="1" x14ac:dyDescent="0.2">
      <c r="A13264" s="258"/>
      <c r="Z13264" s="258"/>
    </row>
    <row r="13265" spans="1:26" ht="12.75" customHeight="1" x14ac:dyDescent="0.2">
      <c r="A13265" s="258"/>
      <c r="Z13265" s="258"/>
    </row>
    <row r="13266" spans="1:26" ht="12.75" customHeight="1" x14ac:dyDescent="0.2">
      <c r="A13266" s="258"/>
      <c r="Z13266" s="258"/>
    </row>
    <row r="13267" spans="1:26" ht="12.75" customHeight="1" x14ac:dyDescent="0.2">
      <c r="A13267" s="258"/>
      <c r="Z13267" s="258"/>
    </row>
    <row r="13268" spans="1:26" ht="12.75" customHeight="1" x14ac:dyDescent="0.2">
      <c r="A13268" s="258"/>
      <c r="Z13268" s="258"/>
    </row>
    <row r="13269" spans="1:26" ht="12.75" customHeight="1" x14ac:dyDescent="0.2">
      <c r="A13269" s="258"/>
      <c r="Z13269" s="258"/>
    </row>
    <row r="13270" spans="1:26" ht="12.75" customHeight="1" x14ac:dyDescent="0.2">
      <c r="A13270" s="258"/>
      <c r="Z13270" s="258"/>
    </row>
    <row r="13271" spans="1:26" ht="12.75" customHeight="1" x14ac:dyDescent="0.2">
      <c r="A13271" s="258"/>
      <c r="Z13271" s="258"/>
    </row>
    <row r="13272" spans="1:26" ht="12.75" customHeight="1" x14ac:dyDescent="0.2">
      <c r="A13272" s="258"/>
      <c r="Z13272" s="258"/>
    </row>
    <row r="13273" spans="1:26" ht="12.75" customHeight="1" x14ac:dyDescent="0.2">
      <c r="A13273" s="258"/>
      <c r="Z13273" s="258"/>
    </row>
    <row r="13274" spans="1:26" ht="12.75" customHeight="1" x14ac:dyDescent="0.2">
      <c r="A13274" s="258"/>
      <c r="Z13274" s="258"/>
    </row>
    <row r="13275" spans="1:26" ht="12.75" customHeight="1" x14ac:dyDescent="0.2">
      <c r="A13275" s="258"/>
      <c r="Z13275" s="258"/>
    </row>
    <row r="13276" spans="1:26" ht="12.75" customHeight="1" x14ac:dyDescent="0.2">
      <c r="A13276" s="258"/>
      <c r="Z13276" s="258"/>
    </row>
    <row r="13277" spans="1:26" ht="12.75" customHeight="1" x14ac:dyDescent="0.2">
      <c r="A13277" s="258"/>
      <c r="Z13277" s="258"/>
    </row>
    <row r="13278" spans="1:26" ht="12.75" customHeight="1" x14ac:dyDescent="0.2">
      <c r="A13278" s="258"/>
      <c r="Z13278" s="258"/>
    </row>
    <row r="13279" spans="1:26" ht="12.75" customHeight="1" x14ac:dyDescent="0.2">
      <c r="A13279" s="258"/>
      <c r="Z13279" s="258"/>
    </row>
    <row r="13280" spans="1:26" ht="12.75" customHeight="1" x14ac:dyDescent="0.2">
      <c r="A13280" s="258"/>
      <c r="Z13280" s="258"/>
    </row>
    <row r="13281" spans="1:26" ht="12.75" customHeight="1" x14ac:dyDescent="0.2">
      <c r="A13281" s="258"/>
      <c r="Z13281" s="258"/>
    </row>
    <row r="13282" spans="1:26" ht="12.75" customHeight="1" x14ac:dyDescent="0.2">
      <c r="A13282" s="258"/>
      <c r="Z13282" s="258"/>
    </row>
    <row r="13283" spans="1:26" ht="12.75" customHeight="1" x14ac:dyDescent="0.2">
      <c r="A13283" s="258"/>
      <c r="Z13283" s="258"/>
    </row>
    <row r="13284" spans="1:26" ht="12.75" customHeight="1" x14ac:dyDescent="0.2">
      <c r="A13284" s="258"/>
      <c r="Z13284" s="258"/>
    </row>
    <row r="13285" spans="1:26" ht="12.75" customHeight="1" x14ac:dyDescent="0.2">
      <c r="A13285" s="258"/>
      <c r="Z13285" s="258"/>
    </row>
    <row r="13286" spans="1:26" ht="12.75" customHeight="1" x14ac:dyDescent="0.2">
      <c r="A13286" s="258"/>
      <c r="Z13286" s="258"/>
    </row>
    <row r="13287" spans="1:26" ht="12.75" customHeight="1" x14ac:dyDescent="0.2">
      <c r="A13287" s="258"/>
      <c r="Z13287" s="258"/>
    </row>
    <row r="13288" spans="1:26" ht="12.75" customHeight="1" x14ac:dyDescent="0.2">
      <c r="A13288" s="258"/>
      <c r="Z13288" s="258"/>
    </row>
    <row r="13289" spans="1:26" ht="12.75" customHeight="1" x14ac:dyDescent="0.2">
      <c r="A13289" s="258"/>
      <c r="Z13289" s="258"/>
    </row>
    <row r="13290" spans="1:26" ht="12.75" customHeight="1" x14ac:dyDescent="0.2">
      <c r="A13290" s="258"/>
      <c r="Z13290" s="258"/>
    </row>
    <row r="13291" spans="1:26" ht="12.75" customHeight="1" x14ac:dyDescent="0.2">
      <c r="A13291" s="258"/>
      <c r="Z13291" s="258"/>
    </row>
    <row r="13292" spans="1:26" ht="12.75" customHeight="1" x14ac:dyDescent="0.2">
      <c r="A13292" s="258"/>
      <c r="Z13292" s="258"/>
    </row>
    <row r="13293" spans="1:26" ht="12.75" customHeight="1" x14ac:dyDescent="0.2">
      <c r="A13293" s="258"/>
      <c r="Z13293" s="258"/>
    </row>
    <row r="13294" spans="1:26" ht="12.75" customHeight="1" x14ac:dyDescent="0.2">
      <c r="A13294" s="258"/>
      <c r="Z13294" s="258"/>
    </row>
    <row r="13295" spans="1:26" ht="12.75" customHeight="1" x14ac:dyDescent="0.2">
      <c r="A13295" s="258"/>
      <c r="Z13295" s="258"/>
    </row>
    <row r="13296" spans="1:26" ht="12.75" customHeight="1" x14ac:dyDescent="0.2">
      <c r="A13296" s="258"/>
      <c r="Z13296" s="258"/>
    </row>
    <row r="13297" spans="1:26" ht="12.75" customHeight="1" x14ac:dyDescent="0.2">
      <c r="A13297" s="258"/>
      <c r="Z13297" s="258"/>
    </row>
    <row r="13298" spans="1:26" ht="12.75" customHeight="1" x14ac:dyDescent="0.2">
      <c r="A13298" s="258"/>
      <c r="Z13298" s="258"/>
    </row>
    <row r="13299" spans="1:26" ht="12.75" customHeight="1" x14ac:dyDescent="0.2">
      <c r="A13299" s="258"/>
      <c r="Z13299" s="258"/>
    </row>
    <row r="13300" spans="1:26" ht="12.75" customHeight="1" x14ac:dyDescent="0.2">
      <c r="A13300" s="258"/>
      <c r="Z13300" s="258"/>
    </row>
    <row r="13301" spans="1:26" ht="12.75" customHeight="1" x14ac:dyDescent="0.2">
      <c r="A13301" s="258"/>
      <c r="Z13301" s="258"/>
    </row>
    <row r="13302" spans="1:26" ht="12.75" customHeight="1" x14ac:dyDescent="0.2">
      <c r="A13302" s="258"/>
      <c r="Z13302" s="258"/>
    </row>
    <row r="13303" spans="1:26" ht="12.75" customHeight="1" x14ac:dyDescent="0.2">
      <c r="A13303" s="258"/>
      <c r="Z13303" s="258"/>
    </row>
    <row r="13304" spans="1:26" ht="12.75" customHeight="1" x14ac:dyDescent="0.2">
      <c r="A13304" s="258"/>
      <c r="Z13304" s="258"/>
    </row>
    <row r="13305" spans="1:26" ht="12.75" customHeight="1" x14ac:dyDescent="0.2">
      <c r="A13305" s="258"/>
      <c r="Z13305" s="258"/>
    </row>
    <row r="13306" spans="1:26" ht="12.75" customHeight="1" x14ac:dyDescent="0.2">
      <c r="A13306" s="258"/>
      <c r="Z13306" s="258"/>
    </row>
    <row r="13307" spans="1:26" ht="12.75" customHeight="1" x14ac:dyDescent="0.2">
      <c r="A13307" s="258"/>
      <c r="Z13307" s="258"/>
    </row>
    <row r="13308" spans="1:26" ht="12.75" customHeight="1" x14ac:dyDescent="0.2">
      <c r="A13308" s="258"/>
      <c r="Z13308" s="258"/>
    </row>
    <row r="13309" spans="1:26" ht="12.75" customHeight="1" x14ac:dyDescent="0.2">
      <c r="A13309" s="258"/>
      <c r="Z13309" s="258"/>
    </row>
    <row r="13310" spans="1:26" ht="12.75" customHeight="1" x14ac:dyDescent="0.2">
      <c r="A13310" s="258"/>
      <c r="Z13310" s="258"/>
    </row>
    <row r="13311" spans="1:26" ht="12.75" customHeight="1" x14ac:dyDescent="0.2">
      <c r="A13311" s="258"/>
      <c r="Z13311" s="258"/>
    </row>
    <row r="13312" spans="1:26" ht="12.75" customHeight="1" x14ac:dyDescent="0.2">
      <c r="A13312" s="258"/>
      <c r="Z13312" s="258"/>
    </row>
    <row r="13313" spans="1:26" ht="12.75" customHeight="1" x14ac:dyDescent="0.2">
      <c r="A13313" s="258"/>
      <c r="Z13313" s="258"/>
    </row>
    <row r="13314" spans="1:26" ht="12.75" customHeight="1" x14ac:dyDescent="0.2">
      <c r="A13314" s="258"/>
      <c r="Z13314" s="258"/>
    </row>
    <row r="13315" spans="1:26" ht="12.75" customHeight="1" x14ac:dyDescent="0.2">
      <c r="A13315" s="258"/>
      <c r="Z13315" s="258"/>
    </row>
    <row r="13316" spans="1:26" ht="12.75" customHeight="1" x14ac:dyDescent="0.2">
      <c r="A13316" s="258"/>
      <c r="Z13316" s="258"/>
    </row>
    <row r="13317" spans="1:26" ht="12.75" customHeight="1" x14ac:dyDescent="0.2">
      <c r="A13317" s="258"/>
      <c r="Z13317" s="258"/>
    </row>
    <row r="13318" spans="1:26" ht="12.75" customHeight="1" x14ac:dyDescent="0.2">
      <c r="A13318" s="258"/>
      <c r="Z13318" s="258"/>
    </row>
    <row r="13319" spans="1:26" ht="12.75" customHeight="1" x14ac:dyDescent="0.2">
      <c r="A13319" s="258"/>
      <c r="Z13319" s="258"/>
    </row>
    <row r="13320" spans="1:26" ht="12.75" customHeight="1" x14ac:dyDescent="0.2">
      <c r="A13320" s="258"/>
      <c r="Z13320" s="258"/>
    </row>
    <row r="13321" spans="1:26" ht="12.75" customHeight="1" x14ac:dyDescent="0.2">
      <c r="A13321" s="258"/>
      <c r="Z13321" s="258"/>
    </row>
    <row r="13322" spans="1:26" ht="12.75" customHeight="1" x14ac:dyDescent="0.2">
      <c r="A13322" s="258"/>
      <c r="Z13322" s="258"/>
    </row>
    <row r="13323" spans="1:26" ht="12.75" customHeight="1" x14ac:dyDescent="0.2">
      <c r="A13323" s="258"/>
      <c r="Z13323" s="258"/>
    </row>
    <row r="13324" spans="1:26" ht="12.75" customHeight="1" x14ac:dyDescent="0.2">
      <c r="A13324" s="258"/>
      <c r="Z13324" s="258"/>
    </row>
    <row r="13325" spans="1:26" ht="12.75" customHeight="1" x14ac:dyDescent="0.2">
      <c r="A13325" s="258"/>
      <c r="Z13325" s="258"/>
    </row>
    <row r="13326" spans="1:26" ht="12.75" customHeight="1" x14ac:dyDescent="0.2">
      <c r="A13326" s="258"/>
      <c r="Z13326" s="258"/>
    </row>
    <row r="13327" spans="1:26" ht="12.75" customHeight="1" x14ac:dyDescent="0.2">
      <c r="A13327" s="258"/>
      <c r="Z13327" s="258"/>
    </row>
    <row r="13328" spans="1:26" ht="12.75" customHeight="1" x14ac:dyDescent="0.2">
      <c r="A13328" s="258"/>
      <c r="Z13328" s="258"/>
    </row>
    <row r="13329" spans="1:26" ht="12.75" customHeight="1" x14ac:dyDescent="0.2">
      <c r="A13329" s="258"/>
      <c r="Z13329" s="258"/>
    </row>
    <row r="13330" spans="1:26" ht="12.75" customHeight="1" x14ac:dyDescent="0.2">
      <c r="A13330" s="258"/>
      <c r="Z13330" s="258"/>
    </row>
    <row r="13331" spans="1:26" ht="12.75" customHeight="1" x14ac:dyDescent="0.2">
      <c r="A13331" s="258"/>
      <c r="Z13331" s="258"/>
    </row>
    <row r="13332" spans="1:26" ht="12.75" customHeight="1" x14ac:dyDescent="0.2">
      <c r="A13332" s="258"/>
      <c r="Z13332" s="258"/>
    </row>
    <row r="13333" spans="1:26" ht="12.75" customHeight="1" x14ac:dyDescent="0.2">
      <c r="A13333" s="258"/>
      <c r="Z13333" s="258"/>
    </row>
    <row r="13334" spans="1:26" ht="12.75" customHeight="1" x14ac:dyDescent="0.2">
      <c r="A13334" s="258"/>
      <c r="Z13334" s="258"/>
    </row>
    <row r="13335" spans="1:26" ht="12.75" customHeight="1" x14ac:dyDescent="0.2">
      <c r="A13335" s="258"/>
      <c r="Z13335" s="258"/>
    </row>
    <row r="13336" spans="1:26" ht="12.75" customHeight="1" x14ac:dyDescent="0.2">
      <c r="A13336" s="258"/>
      <c r="Z13336" s="258"/>
    </row>
    <row r="13337" spans="1:26" ht="12.75" customHeight="1" x14ac:dyDescent="0.2">
      <c r="A13337" s="258"/>
      <c r="Z13337" s="258"/>
    </row>
    <row r="13338" spans="1:26" ht="12.75" customHeight="1" x14ac:dyDescent="0.2">
      <c r="A13338" s="258"/>
      <c r="Z13338" s="258"/>
    </row>
    <row r="13339" spans="1:26" ht="12.75" customHeight="1" x14ac:dyDescent="0.2">
      <c r="A13339" s="258"/>
      <c r="Z13339" s="258"/>
    </row>
    <row r="13340" spans="1:26" ht="12.75" customHeight="1" x14ac:dyDescent="0.2">
      <c r="A13340" s="258"/>
      <c r="Z13340" s="258"/>
    </row>
    <row r="13341" spans="1:26" ht="12.75" customHeight="1" x14ac:dyDescent="0.2">
      <c r="A13341" s="258"/>
      <c r="Z13341" s="258"/>
    </row>
    <row r="13342" spans="1:26" ht="12.75" customHeight="1" x14ac:dyDescent="0.2">
      <c r="A13342" s="258"/>
      <c r="Z13342" s="258"/>
    </row>
    <row r="13343" spans="1:26" ht="12.75" customHeight="1" x14ac:dyDescent="0.2">
      <c r="A13343" s="258"/>
      <c r="Z13343" s="258"/>
    </row>
    <row r="13344" spans="1:26" ht="12.75" customHeight="1" x14ac:dyDescent="0.2">
      <c r="A13344" s="258"/>
      <c r="Z13344" s="258"/>
    </row>
    <row r="13345" spans="1:26" ht="12.75" customHeight="1" x14ac:dyDescent="0.2">
      <c r="A13345" s="258"/>
      <c r="Z13345" s="258"/>
    </row>
    <row r="13346" spans="1:26" ht="12.75" customHeight="1" x14ac:dyDescent="0.2">
      <c r="A13346" s="258"/>
      <c r="Z13346" s="258"/>
    </row>
    <row r="13347" spans="1:26" ht="12.75" customHeight="1" x14ac:dyDescent="0.2">
      <c r="A13347" s="258"/>
      <c r="Z13347" s="258"/>
    </row>
    <row r="13348" spans="1:26" ht="12.75" customHeight="1" x14ac:dyDescent="0.2">
      <c r="A13348" s="258"/>
      <c r="Z13348" s="258"/>
    </row>
    <row r="13349" spans="1:26" ht="12.75" customHeight="1" x14ac:dyDescent="0.2">
      <c r="A13349" s="258"/>
      <c r="Z13349" s="258"/>
    </row>
    <row r="13350" spans="1:26" ht="12.75" customHeight="1" x14ac:dyDescent="0.2">
      <c r="A13350" s="258"/>
      <c r="Z13350" s="258"/>
    </row>
    <row r="13351" spans="1:26" ht="12.75" customHeight="1" x14ac:dyDescent="0.2">
      <c r="A13351" s="258"/>
      <c r="Z13351" s="258"/>
    </row>
    <row r="13352" spans="1:26" ht="12.75" customHeight="1" x14ac:dyDescent="0.2">
      <c r="A13352" s="258"/>
      <c r="Z13352" s="258"/>
    </row>
    <row r="13353" spans="1:26" ht="12.75" customHeight="1" x14ac:dyDescent="0.2">
      <c r="A13353" s="258"/>
      <c r="Z13353" s="258"/>
    </row>
    <row r="13354" spans="1:26" ht="12.75" customHeight="1" x14ac:dyDescent="0.2">
      <c r="A13354" s="258"/>
      <c r="Z13354" s="258"/>
    </row>
    <row r="13355" spans="1:26" ht="12.75" customHeight="1" x14ac:dyDescent="0.2">
      <c r="A13355" s="258"/>
      <c r="Z13355" s="258"/>
    </row>
    <row r="13356" spans="1:26" ht="12.75" customHeight="1" x14ac:dyDescent="0.2">
      <c r="A13356" s="258"/>
      <c r="Z13356" s="258"/>
    </row>
    <row r="13357" spans="1:26" ht="12.75" customHeight="1" x14ac:dyDescent="0.2">
      <c r="A13357" s="258"/>
      <c r="Z13357" s="258"/>
    </row>
    <row r="13358" spans="1:26" ht="12.75" customHeight="1" x14ac:dyDescent="0.2">
      <c r="A13358" s="258"/>
      <c r="Z13358" s="258"/>
    </row>
    <row r="13359" spans="1:26" ht="12.75" customHeight="1" x14ac:dyDescent="0.2">
      <c r="A13359" s="258"/>
      <c r="Z13359" s="258"/>
    </row>
    <row r="13360" spans="1:26" ht="12.75" customHeight="1" x14ac:dyDescent="0.2">
      <c r="A13360" s="258"/>
      <c r="Z13360" s="258"/>
    </row>
    <row r="13361" spans="1:26" ht="12.75" customHeight="1" x14ac:dyDescent="0.2">
      <c r="A13361" s="258"/>
      <c r="Z13361" s="258"/>
    </row>
    <row r="13362" spans="1:26" ht="12.75" customHeight="1" x14ac:dyDescent="0.2">
      <c r="A13362" s="258"/>
      <c r="Z13362" s="258"/>
    </row>
    <row r="13363" spans="1:26" ht="12.75" customHeight="1" x14ac:dyDescent="0.2">
      <c r="A13363" s="258"/>
      <c r="Z13363" s="258"/>
    </row>
    <row r="13364" spans="1:26" ht="12.75" customHeight="1" x14ac:dyDescent="0.2">
      <c r="A13364" s="258"/>
      <c r="Z13364" s="258"/>
    </row>
    <row r="13365" spans="1:26" ht="12.75" customHeight="1" x14ac:dyDescent="0.2">
      <c r="A13365" s="258"/>
      <c r="Z13365" s="258"/>
    </row>
    <row r="13366" spans="1:26" ht="12.75" customHeight="1" x14ac:dyDescent="0.2">
      <c r="A13366" s="258"/>
      <c r="Z13366" s="258"/>
    </row>
    <row r="13367" spans="1:26" ht="12.75" customHeight="1" x14ac:dyDescent="0.2">
      <c r="A13367" s="258"/>
      <c r="Z13367" s="258"/>
    </row>
    <row r="13368" spans="1:26" ht="12.75" customHeight="1" x14ac:dyDescent="0.2">
      <c r="A13368" s="258"/>
      <c r="Z13368" s="258"/>
    </row>
    <row r="13369" spans="1:26" ht="12.75" customHeight="1" x14ac:dyDescent="0.2">
      <c r="A13369" s="258"/>
      <c r="Z13369" s="258"/>
    </row>
    <row r="13370" spans="1:26" ht="12.75" customHeight="1" x14ac:dyDescent="0.2">
      <c r="A13370" s="258"/>
      <c r="Z13370" s="258"/>
    </row>
    <row r="13371" spans="1:26" ht="12.75" customHeight="1" x14ac:dyDescent="0.2">
      <c r="A13371" s="258"/>
      <c r="Z13371" s="258"/>
    </row>
    <row r="13372" spans="1:26" ht="12.75" customHeight="1" x14ac:dyDescent="0.2">
      <c r="A13372" s="258"/>
      <c r="Z13372" s="258"/>
    </row>
    <row r="13373" spans="1:26" ht="12.75" customHeight="1" x14ac:dyDescent="0.2">
      <c r="A13373" s="258"/>
      <c r="Z13373" s="258"/>
    </row>
    <row r="13374" spans="1:26" ht="12.75" customHeight="1" x14ac:dyDescent="0.2">
      <c r="A13374" s="258"/>
      <c r="Z13374" s="258"/>
    </row>
    <row r="13375" spans="1:26" ht="12.75" customHeight="1" x14ac:dyDescent="0.2">
      <c r="A13375" s="258"/>
      <c r="Z13375" s="258"/>
    </row>
    <row r="13376" spans="1:26" ht="12.75" customHeight="1" x14ac:dyDescent="0.2">
      <c r="A13376" s="258"/>
      <c r="Z13376" s="258"/>
    </row>
    <row r="13377" spans="1:26" ht="12.75" customHeight="1" x14ac:dyDescent="0.2">
      <c r="A13377" s="258"/>
      <c r="Z13377" s="258"/>
    </row>
    <row r="13378" spans="1:26" ht="12.75" customHeight="1" x14ac:dyDescent="0.2">
      <c r="A13378" s="258"/>
      <c r="Z13378" s="258"/>
    </row>
    <row r="13379" spans="1:26" ht="12.75" customHeight="1" x14ac:dyDescent="0.2">
      <c r="A13379" s="258"/>
      <c r="Z13379" s="258"/>
    </row>
    <row r="13380" spans="1:26" ht="12.75" customHeight="1" x14ac:dyDescent="0.2">
      <c r="A13380" s="258"/>
      <c r="Z13380" s="258"/>
    </row>
    <row r="13381" spans="1:26" ht="12.75" customHeight="1" x14ac:dyDescent="0.2">
      <c r="A13381" s="258"/>
      <c r="Z13381" s="258"/>
    </row>
    <row r="13382" spans="1:26" ht="12.75" customHeight="1" x14ac:dyDescent="0.2">
      <c r="A13382" s="258"/>
      <c r="Z13382" s="258"/>
    </row>
    <row r="13383" spans="1:26" ht="12.75" customHeight="1" x14ac:dyDescent="0.2">
      <c r="A13383" s="258"/>
      <c r="Z13383" s="258"/>
    </row>
    <row r="13384" spans="1:26" ht="12.75" customHeight="1" x14ac:dyDescent="0.2">
      <c r="A13384" s="258"/>
      <c r="Z13384" s="258"/>
    </row>
    <row r="13385" spans="1:26" ht="12.75" customHeight="1" x14ac:dyDescent="0.2">
      <c r="A13385" s="258"/>
      <c r="Z13385" s="258"/>
    </row>
    <row r="13386" spans="1:26" ht="12.75" customHeight="1" x14ac:dyDescent="0.2">
      <c r="A13386" s="258"/>
      <c r="Z13386" s="258"/>
    </row>
    <row r="13387" spans="1:26" ht="12.75" customHeight="1" x14ac:dyDescent="0.2">
      <c r="A13387" s="258"/>
      <c r="Z13387" s="258"/>
    </row>
    <row r="13388" spans="1:26" ht="12.75" customHeight="1" x14ac:dyDescent="0.2">
      <c r="A13388" s="258"/>
      <c r="Z13388" s="258"/>
    </row>
    <row r="13389" spans="1:26" ht="12.75" customHeight="1" x14ac:dyDescent="0.2">
      <c r="A13389" s="258"/>
      <c r="Z13389" s="258"/>
    </row>
    <row r="13390" spans="1:26" ht="12.75" customHeight="1" x14ac:dyDescent="0.2">
      <c r="A13390" s="258"/>
      <c r="Z13390" s="258"/>
    </row>
    <row r="13391" spans="1:26" ht="12.75" customHeight="1" x14ac:dyDescent="0.2">
      <c r="A13391" s="258"/>
      <c r="Z13391" s="258"/>
    </row>
    <row r="13392" spans="1:26" ht="12.75" customHeight="1" x14ac:dyDescent="0.2">
      <c r="A13392" s="258"/>
      <c r="Z13392" s="258"/>
    </row>
    <row r="13393" spans="1:26" ht="12.75" customHeight="1" x14ac:dyDescent="0.2">
      <c r="A13393" s="258"/>
      <c r="Z13393" s="258"/>
    </row>
    <row r="13394" spans="1:26" ht="12.75" customHeight="1" x14ac:dyDescent="0.2">
      <c r="A13394" s="258"/>
      <c r="Z13394" s="258"/>
    </row>
    <row r="13395" spans="1:26" ht="12.75" customHeight="1" x14ac:dyDescent="0.2">
      <c r="A13395" s="258"/>
      <c r="Z13395" s="258"/>
    </row>
    <row r="13396" spans="1:26" ht="12.75" customHeight="1" x14ac:dyDescent="0.2">
      <c r="A13396" s="258"/>
      <c r="Z13396" s="258"/>
    </row>
    <row r="13397" spans="1:26" ht="12.75" customHeight="1" x14ac:dyDescent="0.2">
      <c r="A13397" s="258"/>
      <c r="Z13397" s="258"/>
    </row>
    <row r="13398" spans="1:26" ht="12.75" customHeight="1" x14ac:dyDescent="0.2">
      <c r="A13398" s="258"/>
      <c r="Z13398" s="258"/>
    </row>
    <row r="13399" spans="1:26" ht="12.75" customHeight="1" x14ac:dyDescent="0.2">
      <c r="A13399" s="258"/>
      <c r="Z13399" s="258"/>
    </row>
    <row r="13400" spans="1:26" ht="12.75" customHeight="1" x14ac:dyDescent="0.2">
      <c r="A13400" s="258"/>
      <c r="Z13400" s="258"/>
    </row>
    <row r="13401" spans="1:26" ht="12.75" customHeight="1" x14ac:dyDescent="0.2">
      <c r="A13401" s="258"/>
      <c r="Z13401" s="258"/>
    </row>
    <row r="13402" spans="1:26" ht="12.75" customHeight="1" x14ac:dyDescent="0.2">
      <c r="A13402" s="258"/>
      <c r="Z13402" s="258"/>
    </row>
    <row r="13403" spans="1:26" ht="12.75" customHeight="1" x14ac:dyDescent="0.2">
      <c r="A13403" s="258"/>
      <c r="Z13403" s="258"/>
    </row>
    <row r="13404" spans="1:26" ht="12.75" customHeight="1" x14ac:dyDescent="0.2">
      <c r="A13404" s="258"/>
      <c r="Z13404" s="258"/>
    </row>
    <row r="13405" spans="1:26" ht="12.75" customHeight="1" x14ac:dyDescent="0.2">
      <c r="A13405" s="258"/>
      <c r="Z13405" s="258"/>
    </row>
    <row r="13406" spans="1:26" ht="12.75" customHeight="1" x14ac:dyDescent="0.2">
      <c r="A13406" s="258"/>
      <c r="Z13406" s="258"/>
    </row>
    <row r="13407" spans="1:26" ht="12.75" customHeight="1" x14ac:dyDescent="0.2">
      <c r="A13407" s="258"/>
      <c r="Z13407" s="258"/>
    </row>
    <row r="13408" spans="1:26" ht="12.75" customHeight="1" x14ac:dyDescent="0.2">
      <c r="A13408" s="258"/>
      <c r="Z13408" s="258"/>
    </row>
    <row r="13409" spans="1:26" ht="12.75" customHeight="1" x14ac:dyDescent="0.2">
      <c r="A13409" s="258"/>
      <c r="Z13409" s="258"/>
    </row>
    <row r="13410" spans="1:26" ht="12.75" customHeight="1" x14ac:dyDescent="0.2">
      <c r="A13410" s="258"/>
      <c r="Z13410" s="258"/>
    </row>
    <row r="13411" spans="1:26" ht="12.75" customHeight="1" x14ac:dyDescent="0.2">
      <c r="A13411" s="258"/>
      <c r="Z13411" s="258"/>
    </row>
    <row r="13412" spans="1:26" ht="12.75" customHeight="1" x14ac:dyDescent="0.2">
      <c r="A13412" s="258"/>
      <c r="Z13412" s="258"/>
    </row>
    <row r="13413" spans="1:26" ht="12.75" customHeight="1" x14ac:dyDescent="0.2">
      <c r="A13413" s="258"/>
      <c r="Z13413" s="258"/>
    </row>
    <row r="13414" spans="1:26" ht="12.75" customHeight="1" x14ac:dyDescent="0.2">
      <c r="A13414" s="258"/>
      <c r="Z13414" s="258"/>
    </row>
    <row r="13415" spans="1:26" ht="12.75" customHeight="1" x14ac:dyDescent="0.2">
      <c r="A13415" s="258"/>
      <c r="Z13415" s="258"/>
    </row>
    <row r="13416" spans="1:26" ht="12.75" customHeight="1" x14ac:dyDescent="0.2">
      <c r="A13416" s="258"/>
      <c r="Z13416" s="258"/>
    </row>
    <row r="13417" spans="1:26" ht="12.75" customHeight="1" x14ac:dyDescent="0.2">
      <c r="A13417" s="258"/>
      <c r="Z13417" s="258"/>
    </row>
    <row r="13418" spans="1:26" ht="12.75" customHeight="1" x14ac:dyDescent="0.2">
      <c r="A13418" s="258"/>
      <c r="Z13418" s="258"/>
    </row>
    <row r="13419" spans="1:26" ht="12.75" customHeight="1" x14ac:dyDescent="0.2">
      <c r="A13419" s="258"/>
      <c r="Z13419" s="258"/>
    </row>
    <row r="13420" spans="1:26" ht="12.75" customHeight="1" x14ac:dyDescent="0.2">
      <c r="A13420" s="258"/>
      <c r="Z13420" s="258"/>
    </row>
    <row r="13421" spans="1:26" ht="12.75" customHeight="1" x14ac:dyDescent="0.2">
      <c r="A13421" s="258"/>
      <c r="Z13421" s="258"/>
    </row>
    <row r="13422" spans="1:26" ht="12.75" customHeight="1" x14ac:dyDescent="0.2">
      <c r="A13422" s="258"/>
      <c r="Z13422" s="258"/>
    </row>
    <row r="13423" spans="1:26" ht="12.75" customHeight="1" x14ac:dyDescent="0.2">
      <c r="A13423" s="258"/>
      <c r="Z13423" s="258"/>
    </row>
    <row r="13424" spans="1:26" ht="12.75" customHeight="1" x14ac:dyDescent="0.2">
      <c r="A13424" s="258"/>
      <c r="Z13424" s="258"/>
    </row>
    <row r="13425" spans="1:26" ht="12.75" customHeight="1" x14ac:dyDescent="0.2">
      <c r="A13425" s="258"/>
      <c r="Z13425" s="258"/>
    </row>
    <row r="13426" spans="1:26" ht="12.75" customHeight="1" x14ac:dyDescent="0.2">
      <c r="A13426" s="258"/>
      <c r="Z13426" s="258"/>
    </row>
    <row r="13427" spans="1:26" ht="12.75" customHeight="1" x14ac:dyDescent="0.2">
      <c r="A13427" s="258"/>
      <c r="Z13427" s="258"/>
    </row>
    <row r="13428" spans="1:26" ht="12.75" customHeight="1" x14ac:dyDescent="0.2">
      <c r="A13428" s="258"/>
      <c r="Z13428" s="258"/>
    </row>
    <row r="13429" spans="1:26" ht="12.75" customHeight="1" x14ac:dyDescent="0.2">
      <c r="A13429" s="258"/>
      <c r="Z13429" s="258"/>
    </row>
    <row r="13430" spans="1:26" ht="12.75" customHeight="1" x14ac:dyDescent="0.2">
      <c r="A13430" s="258"/>
      <c r="Z13430" s="258"/>
    </row>
    <row r="13431" spans="1:26" ht="12.75" customHeight="1" x14ac:dyDescent="0.2">
      <c r="A13431" s="258"/>
      <c r="Z13431" s="258"/>
    </row>
    <row r="13432" spans="1:26" ht="12.75" customHeight="1" x14ac:dyDescent="0.2">
      <c r="A13432" s="258"/>
      <c r="Z13432" s="258"/>
    </row>
    <row r="13433" spans="1:26" ht="12.75" customHeight="1" x14ac:dyDescent="0.2">
      <c r="A13433" s="258"/>
      <c r="Z13433" s="258"/>
    </row>
    <row r="13434" spans="1:26" ht="12.75" customHeight="1" x14ac:dyDescent="0.2">
      <c r="A13434" s="258"/>
      <c r="Z13434" s="258"/>
    </row>
    <row r="13435" spans="1:26" ht="12.75" customHeight="1" x14ac:dyDescent="0.2">
      <c r="A13435" s="258"/>
      <c r="Z13435" s="258"/>
    </row>
    <row r="13436" spans="1:26" ht="12.75" customHeight="1" x14ac:dyDescent="0.2">
      <c r="A13436" s="258"/>
      <c r="Z13436" s="258"/>
    </row>
    <row r="13437" spans="1:26" ht="12.75" customHeight="1" x14ac:dyDescent="0.2">
      <c r="A13437" s="258"/>
      <c r="Z13437" s="258"/>
    </row>
    <row r="13438" spans="1:26" ht="12.75" customHeight="1" x14ac:dyDescent="0.2">
      <c r="A13438" s="258"/>
      <c r="Z13438" s="258"/>
    </row>
    <row r="13439" spans="1:26" ht="12.75" customHeight="1" x14ac:dyDescent="0.2">
      <c r="A13439" s="258"/>
      <c r="Z13439" s="258"/>
    </row>
    <row r="13440" spans="1:26" ht="12.75" customHeight="1" x14ac:dyDescent="0.2">
      <c r="A13440" s="258"/>
      <c r="Z13440" s="258"/>
    </row>
    <row r="13441" spans="1:26" ht="12.75" customHeight="1" x14ac:dyDescent="0.2">
      <c r="A13441" s="258"/>
      <c r="Z13441" s="258"/>
    </row>
    <row r="13442" spans="1:26" ht="12.75" customHeight="1" x14ac:dyDescent="0.2">
      <c r="A13442" s="258"/>
      <c r="Z13442" s="258"/>
    </row>
    <row r="13443" spans="1:26" ht="12.75" customHeight="1" x14ac:dyDescent="0.2">
      <c r="A13443" s="258"/>
      <c r="Z13443" s="258"/>
    </row>
    <row r="13444" spans="1:26" ht="12.75" customHeight="1" x14ac:dyDescent="0.2">
      <c r="A13444" s="258"/>
      <c r="Z13444" s="258"/>
    </row>
    <row r="13445" spans="1:26" ht="12.75" customHeight="1" x14ac:dyDescent="0.2">
      <c r="A13445" s="258"/>
      <c r="Z13445" s="258"/>
    </row>
    <row r="13446" spans="1:26" ht="12.75" customHeight="1" x14ac:dyDescent="0.2">
      <c r="A13446" s="258"/>
      <c r="Z13446" s="258"/>
    </row>
    <row r="13447" spans="1:26" ht="12.75" customHeight="1" x14ac:dyDescent="0.2">
      <c r="A13447" s="258"/>
      <c r="Z13447" s="258"/>
    </row>
    <row r="13448" spans="1:26" ht="12.75" customHeight="1" x14ac:dyDescent="0.2">
      <c r="A13448" s="258"/>
      <c r="Z13448" s="258"/>
    </row>
    <row r="13449" spans="1:26" ht="12.75" customHeight="1" x14ac:dyDescent="0.2">
      <c r="A13449" s="258"/>
      <c r="Z13449" s="258"/>
    </row>
    <row r="13450" spans="1:26" ht="12.75" customHeight="1" x14ac:dyDescent="0.2">
      <c r="A13450" s="258"/>
      <c r="Z13450" s="258"/>
    </row>
    <row r="13451" spans="1:26" ht="12.75" customHeight="1" x14ac:dyDescent="0.2">
      <c r="A13451" s="258"/>
      <c r="Z13451" s="258"/>
    </row>
    <row r="13452" spans="1:26" ht="12.75" customHeight="1" x14ac:dyDescent="0.2">
      <c r="A13452" s="258"/>
      <c r="Z13452" s="258"/>
    </row>
    <row r="13453" spans="1:26" ht="12.75" customHeight="1" x14ac:dyDescent="0.2">
      <c r="A13453" s="258"/>
      <c r="Z13453" s="258"/>
    </row>
    <row r="13454" spans="1:26" ht="12.75" customHeight="1" x14ac:dyDescent="0.2">
      <c r="A13454" s="258"/>
      <c r="Z13454" s="258"/>
    </row>
    <row r="13455" spans="1:26" ht="12.75" customHeight="1" x14ac:dyDescent="0.2">
      <c r="A13455" s="258"/>
      <c r="Z13455" s="258"/>
    </row>
    <row r="13456" spans="1:26" ht="12.75" customHeight="1" x14ac:dyDescent="0.2">
      <c r="A13456" s="258"/>
      <c r="Z13456" s="258"/>
    </row>
    <row r="13457" spans="1:26" ht="12.75" customHeight="1" x14ac:dyDescent="0.2">
      <c r="A13457" s="258"/>
      <c r="Z13457" s="258"/>
    </row>
    <row r="13458" spans="1:26" ht="12.75" customHeight="1" x14ac:dyDescent="0.2">
      <c r="A13458" s="258"/>
      <c r="Z13458" s="258"/>
    </row>
    <row r="13459" spans="1:26" ht="12.75" customHeight="1" x14ac:dyDescent="0.2">
      <c r="A13459" s="258"/>
      <c r="Z13459" s="258"/>
    </row>
    <row r="13460" spans="1:26" ht="12.75" customHeight="1" x14ac:dyDescent="0.2">
      <c r="A13460" s="258"/>
      <c r="Z13460" s="258"/>
    </row>
    <row r="13461" spans="1:26" ht="12.75" customHeight="1" x14ac:dyDescent="0.2">
      <c r="A13461" s="258"/>
      <c r="Z13461" s="258"/>
    </row>
    <row r="13462" spans="1:26" ht="12.75" customHeight="1" x14ac:dyDescent="0.2">
      <c r="A13462" s="258"/>
      <c r="Z13462" s="258"/>
    </row>
    <row r="13463" spans="1:26" ht="12.75" customHeight="1" x14ac:dyDescent="0.2">
      <c r="A13463" s="258"/>
      <c r="Z13463" s="258"/>
    </row>
    <row r="13464" spans="1:26" ht="12.75" customHeight="1" x14ac:dyDescent="0.2">
      <c r="A13464" s="258"/>
      <c r="Z13464" s="258"/>
    </row>
    <row r="13465" spans="1:26" ht="12.75" customHeight="1" x14ac:dyDescent="0.2">
      <c r="A13465" s="258"/>
      <c r="Z13465" s="258"/>
    </row>
    <row r="13466" spans="1:26" ht="12.75" customHeight="1" x14ac:dyDescent="0.2">
      <c r="A13466" s="258"/>
      <c r="Z13466" s="258"/>
    </row>
    <row r="13467" spans="1:26" ht="12.75" customHeight="1" x14ac:dyDescent="0.2">
      <c r="A13467" s="258"/>
      <c r="Z13467" s="258"/>
    </row>
    <row r="13468" spans="1:26" ht="12.75" customHeight="1" x14ac:dyDescent="0.2">
      <c r="A13468" s="258"/>
      <c r="Z13468" s="258"/>
    </row>
    <row r="13469" spans="1:26" ht="12.75" customHeight="1" x14ac:dyDescent="0.2">
      <c r="A13469" s="258"/>
      <c r="Z13469" s="258"/>
    </row>
    <row r="13470" spans="1:26" ht="12.75" customHeight="1" x14ac:dyDescent="0.2">
      <c r="A13470" s="258"/>
      <c r="Z13470" s="258"/>
    </row>
    <row r="13471" spans="1:26" ht="12.75" customHeight="1" x14ac:dyDescent="0.2">
      <c r="A13471" s="258"/>
      <c r="Z13471" s="258"/>
    </row>
    <row r="13472" spans="1:26" ht="12.75" customHeight="1" x14ac:dyDescent="0.2">
      <c r="A13472" s="258"/>
      <c r="Z13472" s="258"/>
    </row>
    <row r="13473" spans="1:26" ht="12.75" customHeight="1" x14ac:dyDescent="0.2">
      <c r="A13473" s="258"/>
      <c r="Z13473" s="258"/>
    </row>
    <row r="13474" spans="1:26" ht="12.75" customHeight="1" x14ac:dyDescent="0.2">
      <c r="A13474" s="258"/>
      <c r="Z13474" s="258"/>
    </row>
    <row r="13475" spans="1:26" ht="12.75" customHeight="1" x14ac:dyDescent="0.2">
      <c r="A13475" s="258"/>
      <c r="Z13475" s="258"/>
    </row>
    <row r="13476" spans="1:26" ht="12.75" customHeight="1" x14ac:dyDescent="0.2">
      <c r="A13476" s="258"/>
      <c r="Z13476" s="258"/>
    </row>
    <row r="13477" spans="1:26" ht="12.75" customHeight="1" x14ac:dyDescent="0.2">
      <c r="A13477" s="258"/>
      <c r="Z13477" s="258"/>
    </row>
    <row r="13478" spans="1:26" ht="12.75" customHeight="1" x14ac:dyDescent="0.2">
      <c r="A13478" s="258"/>
      <c r="Z13478" s="258"/>
    </row>
    <row r="13479" spans="1:26" ht="12.75" customHeight="1" x14ac:dyDescent="0.2">
      <c r="A13479" s="258"/>
      <c r="Z13479" s="258"/>
    </row>
    <row r="13480" spans="1:26" ht="12.75" customHeight="1" x14ac:dyDescent="0.2">
      <c r="A13480" s="258"/>
      <c r="Z13480" s="258"/>
    </row>
    <row r="13481" spans="1:26" ht="12.75" customHeight="1" x14ac:dyDescent="0.2">
      <c r="A13481" s="258"/>
      <c r="Z13481" s="258"/>
    </row>
    <row r="13482" spans="1:26" ht="12.75" customHeight="1" x14ac:dyDescent="0.2">
      <c r="A13482" s="258"/>
      <c r="Z13482" s="258"/>
    </row>
    <row r="13483" spans="1:26" ht="12.75" customHeight="1" x14ac:dyDescent="0.2">
      <c r="A13483" s="258"/>
      <c r="Z13483" s="258"/>
    </row>
    <row r="13484" spans="1:26" ht="12.75" customHeight="1" x14ac:dyDescent="0.2">
      <c r="A13484" s="258"/>
      <c r="Z13484" s="258"/>
    </row>
    <row r="13485" spans="1:26" ht="12.75" customHeight="1" x14ac:dyDescent="0.2">
      <c r="A13485" s="258"/>
      <c r="Z13485" s="258"/>
    </row>
    <row r="13486" spans="1:26" ht="12.75" customHeight="1" x14ac:dyDescent="0.2">
      <c r="A13486" s="258"/>
      <c r="Z13486" s="258"/>
    </row>
    <row r="13487" spans="1:26" ht="12.75" customHeight="1" x14ac:dyDescent="0.2">
      <c r="A13487" s="258"/>
      <c r="Z13487" s="258"/>
    </row>
    <row r="13488" spans="1:26" ht="12.75" customHeight="1" x14ac:dyDescent="0.2">
      <c r="A13488" s="258"/>
      <c r="Z13488" s="258"/>
    </row>
    <row r="13489" spans="1:26" ht="12.75" customHeight="1" x14ac:dyDescent="0.2">
      <c r="A13489" s="258"/>
      <c r="Z13489" s="258"/>
    </row>
    <row r="13490" spans="1:26" ht="12.75" customHeight="1" x14ac:dyDescent="0.2">
      <c r="A13490" s="258"/>
      <c r="Z13490" s="258"/>
    </row>
    <row r="13491" spans="1:26" ht="12.75" customHeight="1" x14ac:dyDescent="0.2">
      <c r="A13491" s="258"/>
      <c r="Z13491" s="258"/>
    </row>
    <row r="13492" spans="1:26" ht="12.75" customHeight="1" x14ac:dyDescent="0.2">
      <c r="A13492" s="258"/>
      <c r="Z13492" s="258"/>
    </row>
    <row r="13493" spans="1:26" ht="12.75" customHeight="1" x14ac:dyDescent="0.2">
      <c r="A13493" s="258"/>
      <c r="Z13493" s="258"/>
    </row>
    <row r="13494" spans="1:26" ht="12.75" customHeight="1" x14ac:dyDescent="0.2">
      <c r="A13494" s="258"/>
      <c r="Z13494" s="258"/>
    </row>
    <row r="13495" spans="1:26" ht="12.75" customHeight="1" x14ac:dyDescent="0.2">
      <c r="A13495" s="258"/>
      <c r="Z13495" s="258"/>
    </row>
    <row r="13496" spans="1:26" ht="12.75" customHeight="1" x14ac:dyDescent="0.2">
      <c r="A13496" s="258"/>
      <c r="Z13496" s="258"/>
    </row>
    <row r="13497" spans="1:26" ht="12.75" customHeight="1" x14ac:dyDescent="0.2">
      <c r="A13497" s="258"/>
      <c r="Z13497" s="258"/>
    </row>
    <row r="13498" spans="1:26" ht="12.75" customHeight="1" x14ac:dyDescent="0.2">
      <c r="A13498" s="258"/>
      <c r="Z13498" s="258"/>
    </row>
    <row r="13499" spans="1:26" ht="12.75" customHeight="1" x14ac:dyDescent="0.2">
      <c r="A13499" s="258"/>
      <c r="Z13499" s="258"/>
    </row>
    <row r="13500" spans="1:26" ht="12.75" customHeight="1" x14ac:dyDescent="0.2">
      <c r="A13500" s="258"/>
      <c r="Z13500" s="258"/>
    </row>
    <row r="13501" spans="1:26" ht="12.75" customHeight="1" x14ac:dyDescent="0.2">
      <c r="A13501" s="258"/>
      <c r="Z13501" s="258"/>
    </row>
    <row r="13502" spans="1:26" ht="12.75" customHeight="1" x14ac:dyDescent="0.2">
      <c r="A13502" s="258"/>
      <c r="Z13502" s="258"/>
    </row>
    <row r="13503" spans="1:26" ht="12.75" customHeight="1" x14ac:dyDescent="0.2">
      <c r="A13503" s="258"/>
      <c r="Z13503" s="258"/>
    </row>
    <row r="13504" spans="1:26" ht="12.75" customHeight="1" x14ac:dyDescent="0.2">
      <c r="A13504" s="258"/>
      <c r="Z13504" s="258"/>
    </row>
    <row r="13505" spans="1:26" ht="12.75" customHeight="1" x14ac:dyDescent="0.2">
      <c r="A13505" s="258"/>
      <c r="Z13505" s="258"/>
    </row>
    <row r="13506" spans="1:26" ht="12.75" customHeight="1" x14ac:dyDescent="0.2">
      <c r="A13506" s="258"/>
      <c r="Z13506" s="258"/>
    </row>
    <row r="13507" spans="1:26" ht="12.75" customHeight="1" x14ac:dyDescent="0.2">
      <c r="A13507" s="258"/>
      <c r="Z13507" s="258"/>
    </row>
    <row r="13508" spans="1:26" ht="12.75" customHeight="1" x14ac:dyDescent="0.2">
      <c r="A13508" s="258"/>
      <c r="Z13508" s="258"/>
    </row>
    <row r="13509" spans="1:26" ht="12.75" customHeight="1" x14ac:dyDescent="0.2">
      <c r="A13509" s="258"/>
      <c r="Z13509" s="258"/>
    </row>
    <row r="13510" spans="1:26" ht="12.75" customHeight="1" x14ac:dyDescent="0.2">
      <c r="A13510" s="258"/>
      <c r="Z13510" s="258"/>
    </row>
    <row r="13511" spans="1:26" ht="12.75" customHeight="1" x14ac:dyDescent="0.2">
      <c r="A13511" s="258"/>
      <c r="Z13511" s="258"/>
    </row>
    <row r="13512" spans="1:26" ht="12.75" customHeight="1" x14ac:dyDescent="0.2">
      <c r="A13512" s="258"/>
      <c r="Z13512" s="258"/>
    </row>
    <row r="13513" spans="1:26" ht="12.75" customHeight="1" x14ac:dyDescent="0.2">
      <c r="A13513" s="258"/>
      <c r="Z13513" s="258"/>
    </row>
    <row r="13514" spans="1:26" ht="12.75" customHeight="1" x14ac:dyDescent="0.2">
      <c r="A13514" s="258"/>
      <c r="Z13514" s="258"/>
    </row>
    <row r="13515" spans="1:26" ht="12.75" customHeight="1" x14ac:dyDescent="0.2">
      <c r="A13515" s="258"/>
      <c r="Z13515" s="258"/>
    </row>
    <row r="13516" spans="1:26" ht="12.75" customHeight="1" x14ac:dyDescent="0.2">
      <c r="A13516" s="258"/>
      <c r="Z13516" s="258"/>
    </row>
    <row r="13517" spans="1:26" ht="12.75" customHeight="1" x14ac:dyDescent="0.2">
      <c r="A13517" s="258"/>
      <c r="Z13517" s="258"/>
    </row>
    <row r="13518" spans="1:26" ht="12.75" customHeight="1" x14ac:dyDescent="0.2">
      <c r="A13518" s="258"/>
      <c r="Z13518" s="258"/>
    </row>
    <row r="13519" spans="1:26" ht="12.75" customHeight="1" x14ac:dyDescent="0.2">
      <c r="A13519" s="258"/>
      <c r="Z13519" s="258"/>
    </row>
    <row r="13520" spans="1:26" ht="12.75" customHeight="1" x14ac:dyDescent="0.2">
      <c r="A13520" s="258"/>
      <c r="Z13520" s="258"/>
    </row>
    <row r="13521" spans="1:26" ht="12.75" customHeight="1" x14ac:dyDescent="0.2">
      <c r="A13521" s="258"/>
      <c r="Z13521" s="258"/>
    </row>
    <row r="13522" spans="1:26" ht="12.75" customHeight="1" x14ac:dyDescent="0.2">
      <c r="A13522" s="258"/>
      <c r="Z13522" s="258"/>
    </row>
    <row r="13523" spans="1:26" ht="12.75" customHeight="1" x14ac:dyDescent="0.2">
      <c r="A13523" s="258"/>
      <c r="Z13523" s="258"/>
    </row>
    <row r="13524" spans="1:26" ht="12.75" customHeight="1" x14ac:dyDescent="0.2">
      <c r="A13524" s="258"/>
      <c r="Z13524" s="258"/>
    </row>
    <row r="13525" spans="1:26" ht="12.75" customHeight="1" x14ac:dyDescent="0.2">
      <c r="A13525" s="258"/>
      <c r="Z13525" s="258"/>
    </row>
    <row r="13526" spans="1:26" ht="12.75" customHeight="1" x14ac:dyDescent="0.2">
      <c r="A13526" s="258"/>
      <c r="Z13526" s="258"/>
    </row>
    <row r="13527" spans="1:26" ht="12.75" customHeight="1" x14ac:dyDescent="0.2">
      <c r="A13527" s="258"/>
      <c r="Z13527" s="258"/>
    </row>
    <row r="13528" spans="1:26" ht="12.75" customHeight="1" x14ac:dyDescent="0.2">
      <c r="A13528" s="258"/>
      <c r="Z13528" s="258"/>
    </row>
    <row r="13529" spans="1:26" ht="12.75" customHeight="1" x14ac:dyDescent="0.2">
      <c r="A13529" s="258"/>
      <c r="Z13529" s="258"/>
    </row>
    <row r="13530" spans="1:26" ht="12.75" customHeight="1" x14ac:dyDescent="0.2">
      <c r="A13530" s="258"/>
      <c r="Z13530" s="258"/>
    </row>
    <row r="13531" spans="1:26" ht="12.75" customHeight="1" x14ac:dyDescent="0.2">
      <c r="A13531" s="258"/>
      <c r="Z13531" s="258"/>
    </row>
    <row r="13532" spans="1:26" ht="12.75" customHeight="1" x14ac:dyDescent="0.2">
      <c r="A13532" s="258"/>
      <c r="Z13532" s="258"/>
    </row>
    <row r="13533" spans="1:26" ht="12.75" customHeight="1" x14ac:dyDescent="0.2">
      <c r="A13533" s="258"/>
      <c r="Z13533" s="258"/>
    </row>
    <row r="13534" spans="1:26" ht="12.75" customHeight="1" x14ac:dyDescent="0.2">
      <c r="A13534" s="258"/>
      <c r="Z13534" s="258"/>
    </row>
    <row r="13535" spans="1:26" ht="12.75" customHeight="1" x14ac:dyDescent="0.2">
      <c r="A13535" s="258"/>
      <c r="Z13535" s="258"/>
    </row>
    <row r="13536" spans="1:26" ht="12.75" customHeight="1" x14ac:dyDescent="0.2">
      <c r="A13536" s="258"/>
      <c r="Z13536" s="258"/>
    </row>
    <row r="13537" spans="1:26" ht="12.75" customHeight="1" x14ac:dyDescent="0.2">
      <c r="A13537" s="258"/>
      <c r="Z13537" s="258"/>
    </row>
    <row r="13538" spans="1:26" ht="12.75" customHeight="1" x14ac:dyDescent="0.2">
      <c r="A13538" s="258"/>
      <c r="Z13538" s="258"/>
    </row>
    <row r="13539" spans="1:26" ht="12.75" customHeight="1" x14ac:dyDescent="0.2">
      <c r="A13539" s="258"/>
      <c r="Z13539" s="258"/>
    </row>
    <row r="13540" spans="1:26" ht="12.75" customHeight="1" x14ac:dyDescent="0.2">
      <c r="A13540" s="258"/>
      <c r="Z13540" s="258"/>
    </row>
    <row r="13541" spans="1:26" ht="12.75" customHeight="1" x14ac:dyDescent="0.2">
      <c r="A13541" s="258"/>
      <c r="Z13541" s="258"/>
    </row>
    <row r="13542" spans="1:26" ht="12.75" customHeight="1" x14ac:dyDescent="0.2">
      <c r="A13542" s="258"/>
      <c r="Z13542" s="258"/>
    </row>
    <row r="13543" spans="1:26" ht="12.75" customHeight="1" x14ac:dyDescent="0.2">
      <c r="A13543" s="258"/>
      <c r="Z13543" s="258"/>
    </row>
    <row r="13544" spans="1:26" ht="12.75" customHeight="1" x14ac:dyDescent="0.2">
      <c r="A13544" s="258"/>
      <c r="Z13544" s="258"/>
    </row>
    <row r="13545" spans="1:26" ht="12.75" customHeight="1" x14ac:dyDescent="0.2">
      <c r="A13545" s="258"/>
      <c r="Z13545" s="258"/>
    </row>
    <row r="13546" spans="1:26" ht="12.75" customHeight="1" x14ac:dyDescent="0.2">
      <c r="A13546" s="258"/>
      <c r="Z13546" s="258"/>
    </row>
    <row r="13547" spans="1:26" ht="12.75" customHeight="1" x14ac:dyDescent="0.2">
      <c r="A13547" s="258"/>
      <c r="Z13547" s="258"/>
    </row>
    <row r="13548" spans="1:26" ht="12.75" customHeight="1" x14ac:dyDescent="0.2">
      <c r="A13548" s="258"/>
      <c r="Z13548" s="258"/>
    </row>
    <row r="13549" spans="1:26" ht="12.75" customHeight="1" x14ac:dyDescent="0.2">
      <c r="A13549" s="258"/>
      <c r="Z13549" s="258"/>
    </row>
    <row r="13550" spans="1:26" ht="12.75" customHeight="1" x14ac:dyDescent="0.2">
      <c r="A13550" s="258"/>
      <c r="Z13550" s="258"/>
    </row>
    <row r="13551" spans="1:26" ht="12.75" customHeight="1" x14ac:dyDescent="0.2">
      <c r="A13551" s="258"/>
      <c r="Z13551" s="258"/>
    </row>
    <row r="13552" spans="1:26" ht="12.75" customHeight="1" x14ac:dyDescent="0.2">
      <c r="A13552" s="258"/>
      <c r="Z13552" s="258"/>
    </row>
    <row r="13553" spans="1:26" ht="12.75" customHeight="1" x14ac:dyDescent="0.2">
      <c r="A13553" s="258"/>
      <c r="Z13553" s="258"/>
    </row>
    <row r="13554" spans="1:26" ht="12.75" customHeight="1" x14ac:dyDescent="0.2">
      <c r="A13554" s="258"/>
      <c r="Z13554" s="258"/>
    </row>
    <row r="13555" spans="1:26" ht="12.75" customHeight="1" x14ac:dyDescent="0.2">
      <c r="A13555" s="258"/>
      <c r="Z13555" s="258"/>
    </row>
    <row r="13556" spans="1:26" ht="12.75" customHeight="1" x14ac:dyDescent="0.2">
      <c r="A13556" s="258"/>
      <c r="Z13556" s="258"/>
    </row>
    <row r="13557" spans="1:26" ht="12.75" customHeight="1" x14ac:dyDescent="0.2">
      <c r="A13557" s="258"/>
      <c r="Z13557" s="258"/>
    </row>
    <row r="13558" spans="1:26" ht="12.75" customHeight="1" x14ac:dyDescent="0.2">
      <c r="A13558" s="258"/>
      <c r="Z13558" s="258"/>
    </row>
    <row r="13559" spans="1:26" ht="12.75" customHeight="1" x14ac:dyDescent="0.2">
      <c r="A13559" s="258"/>
      <c r="Z13559" s="258"/>
    </row>
    <row r="13560" spans="1:26" ht="12.75" customHeight="1" x14ac:dyDescent="0.2">
      <c r="A13560" s="258"/>
      <c r="Z13560" s="258"/>
    </row>
    <row r="13561" spans="1:26" ht="12.75" customHeight="1" x14ac:dyDescent="0.2">
      <c r="A13561" s="258"/>
      <c r="Z13561" s="258"/>
    </row>
    <row r="13562" spans="1:26" ht="12.75" customHeight="1" x14ac:dyDescent="0.2">
      <c r="A13562" s="258"/>
      <c r="Z13562" s="258"/>
    </row>
    <row r="13563" spans="1:26" ht="12.75" customHeight="1" x14ac:dyDescent="0.2">
      <c r="A13563" s="258"/>
      <c r="Z13563" s="258"/>
    </row>
    <row r="13564" spans="1:26" ht="12.75" customHeight="1" x14ac:dyDescent="0.2">
      <c r="A13564" s="258"/>
      <c r="Z13564" s="258"/>
    </row>
    <row r="13565" spans="1:26" ht="12.75" customHeight="1" x14ac:dyDescent="0.2">
      <c r="A13565" s="258"/>
      <c r="Z13565" s="258"/>
    </row>
    <row r="13566" spans="1:26" ht="12.75" customHeight="1" x14ac:dyDescent="0.2">
      <c r="A13566" s="258"/>
      <c r="Z13566" s="258"/>
    </row>
    <row r="13567" spans="1:26" ht="12.75" customHeight="1" x14ac:dyDescent="0.2">
      <c r="A13567" s="258"/>
      <c r="Z13567" s="258"/>
    </row>
    <row r="13568" spans="1:26" ht="12.75" customHeight="1" x14ac:dyDescent="0.2">
      <c r="A13568" s="258"/>
      <c r="Z13568" s="258"/>
    </row>
    <row r="13569" spans="1:26" ht="12.75" customHeight="1" x14ac:dyDescent="0.2">
      <c r="A13569" s="258"/>
      <c r="Z13569" s="258"/>
    </row>
    <row r="13570" spans="1:26" ht="12.75" customHeight="1" x14ac:dyDescent="0.2">
      <c r="A13570" s="258"/>
      <c r="Z13570" s="258"/>
    </row>
    <row r="13571" spans="1:26" ht="12.75" customHeight="1" x14ac:dyDescent="0.2">
      <c r="A13571" s="258"/>
      <c r="Z13571" s="258"/>
    </row>
    <row r="13572" spans="1:26" ht="12.75" customHeight="1" x14ac:dyDescent="0.2">
      <c r="A13572" s="258"/>
      <c r="Z13572" s="258"/>
    </row>
    <row r="13573" spans="1:26" ht="12.75" customHeight="1" x14ac:dyDescent="0.2">
      <c r="A13573" s="258"/>
      <c r="Z13573" s="258"/>
    </row>
    <row r="13574" spans="1:26" ht="12.75" customHeight="1" x14ac:dyDescent="0.2">
      <c r="A13574" s="258"/>
      <c r="Z13574" s="258"/>
    </row>
    <row r="13575" spans="1:26" ht="12.75" customHeight="1" x14ac:dyDescent="0.2">
      <c r="A13575" s="258"/>
      <c r="Z13575" s="258"/>
    </row>
    <row r="13576" spans="1:26" ht="12.75" customHeight="1" x14ac:dyDescent="0.2">
      <c r="A13576" s="258"/>
      <c r="Z13576" s="258"/>
    </row>
    <row r="13577" spans="1:26" ht="12.75" customHeight="1" x14ac:dyDescent="0.2">
      <c r="A13577" s="258"/>
      <c r="Z13577" s="258"/>
    </row>
    <row r="13578" spans="1:26" ht="12.75" customHeight="1" x14ac:dyDescent="0.2">
      <c r="A13578" s="258"/>
      <c r="Z13578" s="258"/>
    </row>
    <row r="13579" spans="1:26" ht="12.75" customHeight="1" x14ac:dyDescent="0.2">
      <c r="A13579" s="258"/>
      <c r="Z13579" s="258"/>
    </row>
    <row r="13580" spans="1:26" ht="12.75" customHeight="1" x14ac:dyDescent="0.2">
      <c r="A13580" s="258"/>
      <c r="Z13580" s="258"/>
    </row>
    <row r="13581" spans="1:26" ht="12.75" customHeight="1" x14ac:dyDescent="0.2">
      <c r="A13581" s="258"/>
      <c r="Z13581" s="258"/>
    </row>
    <row r="13582" spans="1:26" ht="12.75" customHeight="1" x14ac:dyDescent="0.2">
      <c r="A13582" s="258"/>
      <c r="Z13582" s="258"/>
    </row>
    <row r="13583" spans="1:26" ht="12.75" customHeight="1" x14ac:dyDescent="0.2">
      <c r="A13583" s="258"/>
      <c r="Z13583" s="258"/>
    </row>
    <row r="13584" spans="1:26" ht="12.75" customHeight="1" x14ac:dyDescent="0.2">
      <c r="A13584" s="258"/>
      <c r="Z13584" s="258"/>
    </row>
    <row r="13585" spans="1:26" ht="12.75" customHeight="1" x14ac:dyDescent="0.2">
      <c r="A13585" s="258"/>
      <c r="Z13585" s="258"/>
    </row>
    <row r="13586" spans="1:26" ht="12.75" customHeight="1" x14ac:dyDescent="0.2">
      <c r="A13586" s="258"/>
      <c r="Z13586" s="258"/>
    </row>
    <row r="13587" spans="1:26" ht="12.75" customHeight="1" x14ac:dyDescent="0.2">
      <c r="A13587" s="258"/>
      <c r="Z13587" s="258"/>
    </row>
    <row r="13588" spans="1:26" ht="12.75" customHeight="1" x14ac:dyDescent="0.2">
      <c r="A13588" s="258"/>
      <c r="Z13588" s="258"/>
    </row>
    <row r="13589" spans="1:26" ht="12.75" customHeight="1" x14ac:dyDescent="0.2">
      <c r="A13589" s="258"/>
      <c r="Z13589" s="258"/>
    </row>
    <row r="13590" spans="1:26" ht="12.75" customHeight="1" x14ac:dyDescent="0.2">
      <c r="A13590" s="258"/>
      <c r="Z13590" s="258"/>
    </row>
    <row r="13591" spans="1:26" ht="12.75" customHeight="1" x14ac:dyDescent="0.2">
      <c r="A13591" s="258"/>
      <c r="Z13591" s="258"/>
    </row>
    <row r="13592" spans="1:26" ht="12.75" customHeight="1" x14ac:dyDescent="0.2">
      <c r="A13592" s="258"/>
      <c r="Z13592" s="258"/>
    </row>
    <row r="13593" spans="1:26" ht="12.75" customHeight="1" x14ac:dyDescent="0.2">
      <c r="A13593" s="258"/>
      <c r="Z13593" s="258"/>
    </row>
    <row r="13594" spans="1:26" ht="12.75" customHeight="1" x14ac:dyDescent="0.2">
      <c r="A13594" s="258"/>
      <c r="Z13594" s="258"/>
    </row>
    <row r="13595" spans="1:26" ht="12.75" customHeight="1" x14ac:dyDescent="0.2">
      <c r="A13595" s="258"/>
      <c r="Z13595" s="258"/>
    </row>
    <row r="13596" spans="1:26" ht="12.75" customHeight="1" x14ac:dyDescent="0.2">
      <c r="A13596" s="258"/>
      <c r="Z13596" s="258"/>
    </row>
    <row r="13597" spans="1:26" ht="12.75" customHeight="1" x14ac:dyDescent="0.2">
      <c r="A13597" s="258"/>
      <c r="Z13597" s="258"/>
    </row>
    <row r="13598" spans="1:26" ht="12.75" customHeight="1" x14ac:dyDescent="0.2">
      <c r="A13598" s="258"/>
      <c r="Z13598" s="258"/>
    </row>
    <row r="13599" spans="1:26" ht="12.75" customHeight="1" x14ac:dyDescent="0.2">
      <c r="A13599" s="258"/>
      <c r="Z13599" s="258"/>
    </row>
    <row r="13600" spans="1:26" ht="12.75" customHeight="1" x14ac:dyDescent="0.2">
      <c r="A13600" s="258"/>
      <c r="Z13600" s="258"/>
    </row>
    <row r="13601" spans="1:26" ht="12.75" customHeight="1" x14ac:dyDescent="0.2">
      <c r="A13601" s="258"/>
      <c r="Z13601" s="258"/>
    </row>
    <row r="13602" spans="1:26" ht="12.75" customHeight="1" x14ac:dyDescent="0.2">
      <c r="A13602" s="258"/>
      <c r="Z13602" s="258"/>
    </row>
    <row r="13603" spans="1:26" ht="12.75" customHeight="1" x14ac:dyDescent="0.2">
      <c r="A13603" s="258"/>
      <c r="Z13603" s="258"/>
    </row>
    <row r="13604" spans="1:26" ht="12.75" customHeight="1" x14ac:dyDescent="0.2">
      <c r="A13604" s="258"/>
      <c r="Z13604" s="258"/>
    </row>
    <row r="13605" spans="1:26" ht="12.75" customHeight="1" x14ac:dyDescent="0.2">
      <c r="A13605" s="258"/>
      <c r="Z13605" s="258"/>
    </row>
    <row r="13606" spans="1:26" ht="12.75" customHeight="1" x14ac:dyDescent="0.2">
      <c r="A13606" s="258"/>
      <c r="Z13606" s="258"/>
    </row>
    <row r="13607" spans="1:26" ht="12.75" customHeight="1" x14ac:dyDescent="0.2">
      <c r="A13607" s="258"/>
      <c r="Z13607" s="258"/>
    </row>
    <row r="13608" spans="1:26" ht="12.75" customHeight="1" x14ac:dyDescent="0.2">
      <c r="A13608" s="258"/>
      <c r="Z13608" s="258"/>
    </row>
    <row r="13609" spans="1:26" ht="12.75" customHeight="1" x14ac:dyDescent="0.2">
      <c r="A13609" s="258"/>
      <c r="Z13609" s="258"/>
    </row>
    <row r="13610" spans="1:26" ht="12.75" customHeight="1" x14ac:dyDescent="0.2">
      <c r="A13610" s="258"/>
      <c r="Z13610" s="258"/>
    </row>
    <row r="13611" spans="1:26" ht="12.75" customHeight="1" x14ac:dyDescent="0.2">
      <c r="A13611" s="258"/>
      <c r="Z13611" s="258"/>
    </row>
    <row r="13612" spans="1:26" ht="12.75" customHeight="1" x14ac:dyDescent="0.2">
      <c r="A13612" s="258"/>
      <c r="Z13612" s="258"/>
    </row>
    <row r="13613" spans="1:26" ht="12.75" customHeight="1" x14ac:dyDescent="0.2">
      <c r="A13613" s="258"/>
      <c r="Z13613" s="258"/>
    </row>
    <row r="13614" spans="1:26" ht="12.75" customHeight="1" x14ac:dyDescent="0.2">
      <c r="A13614" s="258"/>
      <c r="Z13614" s="258"/>
    </row>
    <row r="13615" spans="1:26" ht="12.75" customHeight="1" x14ac:dyDescent="0.2">
      <c r="A13615" s="258"/>
      <c r="Z13615" s="258"/>
    </row>
    <row r="13616" spans="1:26" ht="12.75" customHeight="1" x14ac:dyDescent="0.2">
      <c r="A13616" s="258"/>
      <c r="Z13616" s="258"/>
    </row>
    <row r="13617" spans="1:26" ht="12.75" customHeight="1" x14ac:dyDescent="0.2">
      <c r="A13617" s="258"/>
      <c r="Z13617" s="258"/>
    </row>
    <row r="13618" spans="1:26" ht="12.75" customHeight="1" x14ac:dyDescent="0.2">
      <c r="A13618" s="258"/>
      <c r="Z13618" s="258"/>
    </row>
    <row r="13619" spans="1:26" ht="12.75" customHeight="1" x14ac:dyDescent="0.2">
      <c r="A13619" s="258"/>
      <c r="Z13619" s="258"/>
    </row>
    <row r="13620" spans="1:26" ht="12.75" customHeight="1" x14ac:dyDescent="0.2">
      <c r="A13620" s="258"/>
      <c r="Z13620" s="258"/>
    </row>
    <row r="13621" spans="1:26" ht="12.75" customHeight="1" x14ac:dyDescent="0.2">
      <c r="A13621" s="258"/>
      <c r="Z13621" s="258"/>
    </row>
    <row r="13622" spans="1:26" ht="12.75" customHeight="1" x14ac:dyDescent="0.2">
      <c r="A13622" s="258"/>
      <c r="Z13622" s="258"/>
    </row>
    <row r="13623" spans="1:26" ht="12.75" customHeight="1" x14ac:dyDescent="0.2">
      <c r="A13623" s="258"/>
      <c r="Z13623" s="258"/>
    </row>
    <row r="13624" spans="1:26" ht="12.75" customHeight="1" x14ac:dyDescent="0.2">
      <c r="A13624" s="258"/>
      <c r="Z13624" s="258"/>
    </row>
    <row r="13625" spans="1:26" ht="12.75" customHeight="1" x14ac:dyDescent="0.2">
      <c r="A13625" s="258"/>
      <c r="Z13625" s="258"/>
    </row>
    <row r="13626" spans="1:26" ht="12.75" customHeight="1" x14ac:dyDescent="0.2">
      <c r="A13626" s="258"/>
      <c r="Z13626" s="258"/>
    </row>
    <row r="13627" spans="1:26" ht="12.75" customHeight="1" x14ac:dyDescent="0.2">
      <c r="A13627" s="258"/>
      <c r="Z13627" s="258"/>
    </row>
    <row r="13628" spans="1:26" ht="12.75" customHeight="1" x14ac:dyDescent="0.2">
      <c r="A13628" s="258"/>
      <c r="Z13628" s="258"/>
    </row>
    <row r="13629" spans="1:26" ht="12.75" customHeight="1" x14ac:dyDescent="0.2">
      <c r="A13629" s="258"/>
      <c r="Z13629" s="258"/>
    </row>
    <row r="13630" spans="1:26" ht="12.75" customHeight="1" x14ac:dyDescent="0.2">
      <c r="A13630" s="258"/>
      <c r="Z13630" s="258"/>
    </row>
    <row r="13631" spans="1:26" ht="12.75" customHeight="1" x14ac:dyDescent="0.2">
      <c r="A13631" s="258"/>
      <c r="Z13631" s="258"/>
    </row>
    <row r="13632" spans="1:26" ht="12.75" customHeight="1" x14ac:dyDescent="0.2">
      <c r="A13632" s="258"/>
      <c r="Z13632" s="258"/>
    </row>
    <row r="13633" spans="1:26" ht="12.75" customHeight="1" x14ac:dyDescent="0.2">
      <c r="A13633" s="258"/>
      <c r="Z13633" s="258"/>
    </row>
    <row r="13634" spans="1:26" ht="12.75" customHeight="1" x14ac:dyDescent="0.2">
      <c r="A13634" s="258"/>
      <c r="Z13634" s="258"/>
    </row>
    <row r="13635" spans="1:26" ht="12.75" customHeight="1" x14ac:dyDescent="0.2">
      <c r="A13635" s="258"/>
      <c r="Z13635" s="258"/>
    </row>
    <row r="13636" spans="1:26" ht="12.75" customHeight="1" x14ac:dyDescent="0.2">
      <c r="A13636" s="258"/>
      <c r="Z13636" s="258"/>
    </row>
    <row r="13637" spans="1:26" ht="12.75" customHeight="1" x14ac:dyDescent="0.2">
      <c r="A13637" s="258"/>
      <c r="Z13637" s="258"/>
    </row>
    <row r="13638" spans="1:26" ht="12.75" customHeight="1" x14ac:dyDescent="0.2">
      <c r="A13638" s="258"/>
      <c r="Z13638" s="258"/>
    </row>
    <row r="13639" spans="1:26" ht="12.75" customHeight="1" x14ac:dyDescent="0.2">
      <c r="A13639" s="258"/>
      <c r="Z13639" s="258"/>
    </row>
    <row r="13640" spans="1:26" ht="12.75" customHeight="1" x14ac:dyDescent="0.2">
      <c r="A13640" s="258"/>
      <c r="Z13640" s="258"/>
    </row>
    <row r="13641" spans="1:26" ht="12.75" customHeight="1" x14ac:dyDescent="0.2">
      <c r="A13641" s="258"/>
      <c r="Z13641" s="258"/>
    </row>
    <row r="13642" spans="1:26" ht="12.75" customHeight="1" x14ac:dyDescent="0.2">
      <c r="A13642" s="258"/>
      <c r="Z13642" s="258"/>
    </row>
    <row r="13643" spans="1:26" ht="12.75" customHeight="1" x14ac:dyDescent="0.2">
      <c r="A13643" s="258"/>
      <c r="Z13643" s="258"/>
    </row>
    <row r="13644" spans="1:26" ht="12.75" customHeight="1" x14ac:dyDescent="0.2">
      <c r="A13644" s="258"/>
      <c r="Z13644" s="258"/>
    </row>
    <row r="13645" spans="1:26" ht="12.75" customHeight="1" x14ac:dyDescent="0.2">
      <c r="A13645" s="258"/>
      <c r="Z13645" s="258"/>
    </row>
    <row r="13646" spans="1:26" ht="12.75" customHeight="1" x14ac:dyDescent="0.2">
      <c r="A13646" s="258"/>
      <c r="Z13646" s="258"/>
    </row>
    <row r="13647" spans="1:26" ht="12.75" customHeight="1" x14ac:dyDescent="0.2">
      <c r="A13647" s="258"/>
      <c r="Z13647" s="258"/>
    </row>
    <row r="13648" spans="1:26" ht="12.75" customHeight="1" x14ac:dyDescent="0.2">
      <c r="A13648" s="258"/>
      <c r="Z13648" s="258"/>
    </row>
    <row r="13649" spans="1:26" ht="12.75" customHeight="1" x14ac:dyDescent="0.2">
      <c r="A13649" s="258"/>
      <c r="Z13649" s="258"/>
    </row>
    <row r="13650" spans="1:26" ht="12.75" customHeight="1" x14ac:dyDescent="0.2">
      <c r="A13650" s="258"/>
      <c r="Z13650" s="258"/>
    </row>
    <row r="13651" spans="1:26" ht="12.75" customHeight="1" x14ac:dyDescent="0.2">
      <c r="A13651" s="258"/>
      <c r="Z13651" s="258"/>
    </row>
    <row r="13652" spans="1:26" ht="12.75" customHeight="1" x14ac:dyDescent="0.2">
      <c r="A13652" s="258"/>
      <c r="Z13652" s="258"/>
    </row>
    <row r="13653" spans="1:26" ht="12.75" customHeight="1" x14ac:dyDescent="0.2">
      <c r="A13653" s="258"/>
      <c r="Z13653" s="258"/>
    </row>
    <row r="13654" spans="1:26" ht="12.75" customHeight="1" x14ac:dyDescent="0.2">
      <c r="A13654" s="258"/>
      <c r="Z13654" s="258"/>
    </row>
    <row r="13655" spans="1:26" ht="12.75" customHeight="1" x14ac:dyDescent="0.2">
      <c r="A13655" s="258"/>
      <c r="Z13655" s="258"/>
    </row>
    <row r="13656" spans="1:26" ht="12.75" customHeight="1" x14ac:dyDescent="0.2">
      <c r="A13656" s="258"/>
      <c r="Z13656" s="258"/>
    </row>
    <row r="13657" spans="1:26" ht="12.75" customHeight="1" x14ac:dyDescent="0.2">
      <c r="A13657" s="258"/>
      <c r="Z13657" s="258"/>
    </row>
    <row r="13658" spans="1:26" ht="12.75" customHeight="1" x14ac:dyDescent="0.2">
      <c r="A13658" s="258"/>
      <c r="Z13658" s="258"/>
    </row>
    <row r="13659" spans="1:26" ht="12.75" customHeight="1" x14ac:dyDescent="0.2">
      <c r="A13659" s="258"/>
      <c r="Z13659" s="258"/>
    </row>
    <row r="13660" spans="1:26" ht="12.75" customHeight="1" x14ac:dyDescent="0.2">
      <c r="A13660" s="258"/>
      <c r="Z13660" s="258"/>
    </row>
    <row r="13661" spans="1:26" ht="12.75" customHeight="1" x14ac:dyDescent="0.2">
      <c r="A13661" s="258"/>
      <c r="Z13661" s="258"/>
    </row>
    <row r="13662" spans="1:26" ht="12.75" customHeight="1" x14ac:dyDescent="0.2">
      <c r="A13662" s="258"/>
      <c r="Z13662" s="258"/>
    </row>
    <row r="13663" spans="1:26" ht="12.75" customHeight="1" x14ac:dyDescent="0.2">
      <c r="A13663" s="258"/>
      <c r="Z13663" s="258"/>
    </row>
    <row r="13664" spans="1:26" ht="12.75" customHeight="1" x14ac:dyDescent="0.2">
      <c r="A13664" s="258"/>
      <c r="Z13664" s="258"/>
    </row>
    <row r="13665" spans="1:26" ht="12.75" customHeight="1" x14ac:dyDescent="0.2">
      <c r="A13665" s="258"/>
      <c r="Z13665" s="258"/>
    </row>
    <row r="13666" spans="1:26" ht="12.75" customHeight="1" x14ac:dyDescent="0.2">
      <c r="A13666" s="258"/>
      <c r="Z13666" s="258"/>
    </row>
    <row r="13667" spans="1:26" ht="12.75" customHeight="1" x14ac:dyDescent="0.2">
      <c r="A13667" s="258"/>
      <c r="Z13667" s="258"/>
    </row>
    <row r="13668" spans="1:26" ht="12.75" customHeight="1" x14ac:dyDescent="0.2">
      <c r="A13668" s="258"/>
      <c r="Z13668" s="258"/>
    </row>
    <row r="13669" spans="1:26" ht="12.75" customHeight="1" x14ac:dyDescent="0.2">
      <c r="A13669" s="258"/>
      <c r="Z13669" s="258"/>
    </row>
    <row r="13670" spans="1:26" ht="12.75" customHeight="1" x14ac:dyDescent="0.2">
      <c r="A13670" s="258"/>
      <c r="Z13670" s="258"/>
    </row>
    <row r="13671" spans="1:26" ht="12.75" customHeight="1" x14ac:dyDescent="0.2">
      <c r="A13671" s="258"/>
      <c r="Z13671" s="258"/>
    </row>
    <row r="13672" spans="1:26" ht="12.75" customHeight="1" x14ac:dyDescent="0.2">
      <c r="A13672" s="258"/>
      <c r="Z13672" s="258"/>
    </row>
    <row r="13673" spans="1:26" ht="12.75" customHeight="1" x14ac:dyDescent="0.2">
      <c r="A13673" s="258"/>
      <c r="Z13673" s="258"/>
    </row>
    <row r="13674" spans="1:26" ht="12.75" customHeight="1" x14ac:dyDescent="0.2">
      <c r="A13674" s="258"/>
      <c r="Z13674" s="258"/>
    </row>
    <row r="13675" spans="1:26" ht="12.75" customHeight="1" x14ac:dyDescent="0.2">
      <c r="A13675" s="258"/>
      <c r="Z13675" s="258"/>
    </row>
    <row r="13676" spans="1:26" ht="12.75" customHeight="1" x14ac:dyDescent="0.2">
      <c r="A13676" s="258"/>
      <c r="Z13676" s="258"/>
    </row>
    <row r="13677" spans="1:26" ht="12.75" customHeight="1" x14ac:dyDescent="0.2">
      <c r="A13677" s="258"/>
      <c r="Z13677" s="258"/>
    </row>
    <row r="13678" spans="1:26" ht="12.75" customHeight="1" x14ac:dyDescent="0.2">
      <c r="A13678" s="258"/>
      <c r="Z13678" s="258"/>
    </row>
    <row r="13679" spans="1:26" ht="12.75" customHeight="1" x14ac:dyDescent="0.2">
      <c r="A13679" s="258"/>
      <c r="Z13679" s="258"/>
    </row>
    <row r="13680" spans="1:26" ht="12.75" customHeight="1" x14ac:dyDescent="0.2">
      <c r="A13680" s="258"/>
      <c r="Z13680" s="258"/>
    </row>
    <row r="13681" spans="1:26" ht="12.75" customHeight="1" x14ac:dyDescent="0.2">
      <c r="A13681" s="258"/>
      <c r="Z13681" s="258"/>
    </row>
    <row r="13682" spans="1:26" ht="12.75" customHeight="1" x14ac:dyDescent="0.2">
      <c r="A13682" s="258"/>
      <c r="Z13682" s="258"/>
    </row>
    <row r="13683" spans="1:26" ht="12.75" customHeight="1" x14ac:dyDescent="0.2">
      <c r="A13683" s="258"/>
      <c r="Z13683" s="258"/>
    </row>
    <row r="13684" spans="1:26" ht="12.75" customHeight="1" x14ac:dyDescent="0.2">
      <c r="A13684" s="258"/>
      <c r="Z13684" s="258"/>
    </row>
    <row r="13685" spans="1:26" ht="12.75" customHeight="1" x14ac:dyDescent="0.2">
      <c r="A13685" s="258"/>
      <c r="Z13685" s="258"/>
    </row>
    <row r="13686" spans="1:26" ht="12.75" customHeight="1" x14ac:dyDescent="0.2">
      <c r="A13686" s="258"/>
      <c r="Z13686" s="258"/>
    </row>
    <row r="13687" spans="1:26" ht="12.75" customHeight="1" x14ac:dyDescent="0.2">
      <c r="A13687" s="258"/>
      <c r="Z13687" s="258"/>
    </row>
    <row r="13688" spans="1:26" ht="12.75" customHeight="1" x14ac:dyDescent="0.2">
      <c r="A13688" s="258"/>
      <c r="Z13688" s="258"/>
    </row>
    <row r="13689" spans="1:26" ht="12.75" customHeight="1" x14ac:dyDescent="0.2">
      <c r="A13689" s="258"/>
      <c r="Z13689" s="258"/>
    </row>
    <row r="13690" spans="1:26" ht="12.75" customHeight="1" x14ac:dyDescent="0.2">
      <c r="A13690" s="258"/>
      <c r="Z13690" s="258"/>
    </row>
    <row r="13691" spans="1:26" ht="12.75" customHeight="1" x14ac:dyDescent="0.2">
      <c r="A13691" s="258"/>
      <c r="Z13691" s="258"/>
    </row>
    <row r="13692" spans="1:26" ht="12.75" customHeight="1" x14ac:dyDescent="0.2">
      <c r="A13692" s="258"/>
      <c r="Z13692" s="258"/>
    </row>
    <row r="13693" spans="1:26" ht="12.75" customHeight="1" x14ac:dyDescent="0.2">
      <c r="A13693" s="258"/>
      <c r="Z13693" s="258"/>
    </row>
    <row r="13694" spans="1:26" ht="12.75" customHeight="1" x14ac:dyDescent="0.2">
      <c r="A13694" s="258"/>
      <c r="Z13694" s="258"/>
    </row>
    <row r="13695" spans="1:26" ht="12.75" customHeight="1" x14ac:dyDescent="0.2">
      <c r="A13695" s="258"/>
      <c r="Z13695" s="258"/>
    </row>
    <row r="13696" spans="1:26" ht="12.75" customHeight="1" x14ac:dyDescent="0.2">
      <c r="A13696" s="258"/>
      <c r="Z13696" s="258"/>
    </row>
    <row r="13697" spans="1:26" ht="12.75" customHeight="1" x14ac:dyDescent="0.2">
      <c r="A13697" s="258"/>
      <c r="Z13697" s="258"/>
    </row>
    <row r="13698" spans="1:26" ht="12.75" customHeight="1" x14ac:dyDescent="0.2">
      <c r="A13698" s="258"/>
      <c r="Z13698" s="258"/>
    </row>
    <row r="13699" spans="1:26" ht="12.75" customHeight="1" x14ac:dyDescent="0.2">
      <c r="A13699" s="258"/>
      <c r="Z13699" s="258"/>
    </row>
    <row r="13700" spans="1:26" ht="12.75" customHeight="1" x14ac:dyDescent="0.2">
      <c r="A13700" s="258"/>
      <c r="Z13700" s="258"/>
    </row>
    <row r="13701" spans="1:26" ht="12.75" customHeight="1" x14ac:dyDescent="0.2">
      <c r="A13701" s="258"/>
      <c r="Z13701" s="258"/>
    </row>
    <row r="13702" spans="1:26" ht="12.75" customHeight="1" x14ac:dyDescent="0.2">
      <c r="A13702" s="258"/>
      <c r="Z13702" s="258"/>
    </row>
    <row r="13703" spans="1:26" ht="12.75" customHeight="1" x14ac:dyDescent="0.2">
      <c r="A13703" s="258"/>
      <c r="Z13703" s="258"/>
    </row>
    <row r="13704" spans="1:26" ht="12.75" customHeight="1" x14ac:dyDescent="0.2">
      <c r="A13704" s="258"/>
      <c r="Z13704" s="258"/>
    </row>
    <row r="13705" spans="1:26" ht="12.75" customHeight="1" x14ac:dyDescent="0.2">
      <c r="A13705" s="258"/>
      <c r="Z13705" s="258"/>
    </row>
    <row r="13706" spans="1:26" ht="12.75" customHeight="1" x14ac:dyDescent="0.2">
      <c r="A13706" s="258"/>
      <c r="Z13706" s="258"/>
    </row>
    <row r="13707" spans="1:26" ht="12.75" customHeight="1" x14ac:dyDescent="0.2">
      <c r="A13707" s="258"/>
      <c r="Z13707" s="258"/>
    </row>
    <row r="13708" spans="1:26" ht="12.75" customHeight="1" x14ac:dyDescent="0.2">
      <c r="A13708" s="258"/>
      <c r="Z13708" s="258"/>
    </row>
    <row r="13709" spans="1:26" ht="12.75" customHeight="1" x14ac:dyDescent="0.2">
      <c r="A13709" s="258"/>
      <c r="Z13709" s="258"/>
    </row>
    <row r="13710" spans="1:26" ht="12.75" customHeight="1" x14ac:dyDescent="0.2">
      <c r="A13710" s="258"/>
      <c r="Z13710" s="258"/>
    </row>
    <row r="13711" spans="1:26" ht="12.75" customHeight="1" x14ac:dyDescent="0.2">
      <c r="A13711" s="258"/>
      <c r="Z13711" s="258"/>
    </row>
    <row r="13712" spans="1:26" ht="12.75" customHeight="1" x14ac:dyDescent="0.2">
      <c r="A13712" s="258"/>
      <c r="Z13712" s="258"/>
    </row>
    <row r="13713" spans="1:26" ht="12.75" customHeight="1" x14ac:dyDescent="0.2">
      <c r="A13713" s="258"/>
      <c r="Z13713" s="258"/>
    </row>
    <row r="13714" spans="1:26" ht="12.75" customHeight="1" x14ac:dyDescent="0.2">
      <c r="A13714" s="258"/>
      <c r="Z13714" s="258"/>
    </row>
    <row r="13715" spans="1:26" ht="12.75" customHeight="1" x14ac:dyDescent="0.2">
      <c r="A13715" s="258"/>
      <c r="Z13715" s="258"/>
    </row>
    <row r="13716" spans="1:26" ht="12.75" customHeight="1" x14ac:dyDescent="0.2">
      <c r="A13716" s="258"/>
      <c r="Z13716" s="258"/>
    </row>
    <row r="13717" spans="1:26" ht="12.75" customHeight="1" x14ac:dyDescent="0.2">
      <c r="A13717" s="258"/>
      <c r="Z13717" s="258"/>
    </row>
    <row r="13718" spans="1:26" ht="12.75" customHeight="1" x14ac:dyDescent="0.2">
      <c r="A13718" s="258"/>
      <c r="Z13718" s="258"/>
    </row>
    <row r="13719" spans="1:26" ht="12.75" customHeight="1" x14ac:dyDescent="0.2">
      <c r="A13719" s="258"/>
      <c r="Z13719" s="258"/>
    </row>
    <row r="13720" spans="1:26" ht="12.75" customHeight="1" x14ac:dyDescent="0.2">
      <c r="A13720" s="258"/>
      <c r="Z13720" s="258"/>
    </row>
    <row r="13721" spans="1:26" ht="12.75" customHeight="1" x14ac:dyDescent="0.2">
      <c r="A13721" s="258"/>
      <c r="Z13721" s="258"/>
    </row>
    <row r="13722" spans="1:26" ht="12.75" customHeight="1" x14ac:dyDescent="0.2">
      <c r="A13722" s="258"/>
      <c r="Z13722" s="258"/>
    </row>
    <row r="13723" spans="1:26" ht="12.75" customHeight="1" x14ac:dyDescent="0.2">
      <c r="A13723" s="258"/>
      <c r="Z13723" s="258"/>
    </row>
    <row r="13724" spans="1:26" ht="12.75" customHeight="1" x14ac:dyDescent="0.2">
      <c r="A13724" s="258"/>
      <c r="Z13724" s="258"/>
    </row>
    <row r="13725" spans="1:26" ht="12.75" customHeight="1" x14ac:dyDescent="0.2">
      <c r="A13725" s="258"/>
      <c r="Z13725" s="258"/>
    </row>
    <row r="13726" spans="1:26" ht="12.75" customHeight="1" x14ac:dyDescent="0.2">
      <c r="A13726" s="258"/>
      <c r="Z13726" s="258"/>
    </row>
    <row r="13727" spans="1:26" ht="12.75" customHeight="1" x14ac:dyDescent="0.2">
      <c r="A13727" s="258"/>
      <c r="Z13727" s="258"/>
    </row>
    <row r="13728" spans="1:26" ht="12.75" customHeight="1" x14ac:dyDescent="0.2">
      <c r="A13728" s="258"/>
      <c r="Z13728" s="258"/>
    </row>
    <row r="13729" spans="1:26" ht="12.75" customHeight="1" x14ac:dyDescent="0.2">
      <c r="A13729" s="258"/>
      <c r="Z13729" s="258"/>
    </row>
    <row r="13730" spans="1:26" ht="12.75" customHeight="1" x14ac:dyDescent="0.2">
      <c r="A13730" s="258"/>
      <c r="Z13730" s="258"/>
    </row>
    <row r="13731" spans="1:26" ht="12.75" customHeight="1" x14ac:dyDescent="0.2">
      <c r="A13731" s="258"/>
      <c r="Z13731" s="258"/>
    </row>
    <row r="13732" spans="1:26" ht="12.75" customHeight="1" x14ac:dyDescent="0.2">
      <c r="A13732" s="258"/>
      <c r="Z13732" s="258"/>
    </row>
    <row r="13733" spans="1:26" ht="12.75" customHeight="1" x14ac:dyDescent="0.2">
      <c r="A13733" s="258"/>
      <c r="Z13733" s="258"/>
    </row>
    <row r="13734" spans="1:26" ht="12.75" customHeight="1" x14ac:dyDescent="0.2">
      <c r="A13734" s="258"/>
      <c r="Z13734" s="258"/>
    </row>
    <row r="13735" spans="1:26" ht="12.75" customHeight="1" x14ac:dyDescent="0.2">
      <c r="A13735" s="258"/>
      <c r="Z13735" s="258"/>
    </row>
    <row r="13736" spans="1:26" ht="12.75" customHeight="1" x14ac:dyDescent="0.2">
      <c r="A13736" s="258"/>
      <c r="Z13736" s="258"/>
    </row>
    <row r="13737" spans="1:26" ht="12.75" customHeight="1" x14ac:dyDescent="0.2">
      <c r="A13737" s="258"/>
      <c r="Z13737" s="258"/>
    </row>
    <row r="13738" spans="1:26" ht="12.75" customHeight="1" x14ac:dyDescent="0.2">
      <c r="A13738" s="258"/>
      <c r="Z13738" s="258"/>
    </row>
    <row r="13739" spans="1:26" ht="12.75" customHeight="1" x14ac:dyDescent="0.2">
      <c r="A13739" s="258"/>
      <c r="Z13739" s="258"/>
    </row>
    <row r="13740" spans="1:26" ht="12.75" customHeight="1" x14ac:dyDescent="0.2">
      <c r="A13740" s="258"/>
      <c r="Z13740" s="258"/>
    </row>
    <row r="13741" spans="1:26" ht="12.75" customHeight="1" x14ac:dyDescent="0.2">
      <c r="A13741" s="258"/>
      <c r="Z13741" s="258"/>
    </row>
    <row r="13742" spans="1:26" ht="12.75" customHeight="1" x14ac:dyDescent="0.2">
      <c r="A13742" s="258"/>
      <c r="Z13742" s="258"/>
    </row>
    <row r="13743" spans="1:26" ht="12.75" customHeight="1" x14ac:dyDescent="0.2">
      <c r="A13743" s="258"/>
      <c r="Z13743" s="258"/>
    </row>
    <row r="13744" spans="1:26" ht="12.75" customHeight="1" x14ac:dyDescent="0.2">
      <c r="A13744" s="258"/>
      <c r="Z13744" s="258"/>
    </row>
    <row r="13745" spans="1:26" ht="12.75" customHeight="1" x14ac:dyDescent="0.2">
      <c r="A13745" s="258"/>
      <c r="Z13745" s="258"/>
    </row>
    <row r="13746" spans="1:26" ht="12.75" customHeight="1" x14ac:dyDescent="0.2">
      <c r="A13746" s="258"/>
      <c r="Z13746" s="258"/>
    </row>
    <row r="13747" spans="1:26" ht="12.75" customHeight="1" x14ac:dyDescent="0.2">
      <c r="A13747" s="258"/>
      <c r="Z13747" s="258"/>
    </row>
    <row r="13748" spans="1:26" ht="12.75" customHeight="1" x14ac:dyDescent="0.2">
      <c r="A13748" s="258"/>
      <c r="Z13748" s="258"/>
    </row>
    <row r="13749" spans="1:26" ht="12.75" customHeight="1" x14ac:dyDescent="0.2">
      <c r="A13749" s="258"/>
      <c r="Z13749" s="258"/>
    </row>
    <row r="13750" spans="1:26" ht="12.75" customHeight="1" x14ac:dyDescent="0.2">
      <c r="A13750" s="258"/>
      <c r="Z13750" s="258"/>
    </row>
    <row r="13751" spans="1:26" ht="12.75" customHeight="1" x14ac:dyDescent="0.2">
      <c r="A13751" s="258"/>
      <c r="Z13751" s="258"/>
    </row>
    <row r="13752" spans="1:26" ht="12.75" customHeight="1" x14ac:dyDescent="0.2">
      <c r="A13752" s="258"/>
      <c r="Z13752" s="258"/>
    </row>
    <row r="13753" spans="1:26" ht="12.75" customHeight="1" x14ac:dyDescent="0.2">
      <c r="A13753" s="258"/>
      <c r="Z13753" s="258"/>
    </row>
    <row r="13754" spans="1:26" ht="12.75" customHeight="1" x14ac:dyDescent="0.2">
      <c r="A13754" s="258"/>
      <c r="Z13754" s="258"/>
    </row>
    <row r="13755" spans="1:26" ht="12.75" customHeight="1" x14ac:dyDescent="0.2">
      <c r="A13755" s="258"/>
      <c r="Z13755" s="258"/>
    </row>
    <row r="13756" spans="1:26" ht="12.75" customHeight="1" x14ac:dyDescent="0.2">
      <c r="A13756" s="258"/>
      <c r="Z13756" s="258"/>
    </row>
    <row r="13757" spans="1:26" ht="12.75" customHeight="1" x14ac:dyDescent="0.2">
      <c r="A13757" s="258"/>
      <c r="Z13757" s="258"/>
    </row>
    <row r="13758" spans="1:26" ht="12.75" customHeight="1" x14ac:dyDescent="0.2">
      <c r="A13758" s="258"/>
      <c r="Z13758" s="258"/>
    </row>
    <row r="13759" spans="1:26" ht="12.75" customHeight="1" x14ac:dyDescent="0.2">
      <c r="A13759" s="258"/>
      <c r="Z13759" s="258"/>
    </row>
    <row r="13760" spans="1:26" ht="12.75" customHeight="1" x14ac:dyDescent="0.2">
      <c r="A13760" s="258"/>
      <c r="Z13760" s="258"/>
    </row>
    <row r="13761" spans="1:26" ht="12.75" customHeight="1" x14ac:dyDescent="0.2">
      <c r="A13761" s="258"/>
      <c r="Z13761" s="258"/>
    </row>
    <row r="13762" spans="1:26" ht="12.75" customHeight="1" x14ac:dyDescent="0.2">
      <c r="A13762" s="258"/>
      <c r="Z13762" s="258"/>
    </row>
    <row r="13763" spans="1:26" ht="12.75" customHeight="1" x14ac:dyDescent="0.2">
      <c r="A13763" s="258"/>
      <c r="Z13763" s="258"/>
    </row>
    <row r="13764" spans="1:26" ht="12.75" customHeight="1" x14ac:dyDescent="0.2">
      <c r="A13764" s="258"/>
      <c r="Z13764" s="258"/>
    </row>
    <row r="13765" spans="1:26" ht="12.75" customHeight="1" x14ac:dyDescent="0.2">
      <c r="A13765" s="258"/>
      <c r="Z13765" s="258"/>
    </row>
    <row r="13766" spans="1:26" ht="12.75" customHeight="1" x14ac:dyDescent="0.2">
      <c r="A13766" s="258"/>
      <c r="Z13766" s="258"/>
    </row>
    <row r="13767" spans="1:26" ht="12.75" customHeight="1" x14ac:dyDescent="0.2">
      <c r="A13767" s="258"/>
      <c r="Z13767" s="258"/>
    </row>
    <row r="13768" spans="1:26" ht="12.75" customHeight="1" x14ac:dyDescent="0.2">
      <c r="A13768" s="258"/>
      <c r="Z13768" s="258"/>
    </row>
    <row r="13769" spans="1:26" ht="12.75" customHeight="1" x14ac:dyDescent="0.2">
      <c r="A13769" s="258"/>
      <c r="Z13769" s="258"/>
    </row>
    <row r="13770" spans="1:26" ht="12.75" customHeight="1" x14ac:dyDescent="0.2">
      <c r="A13770" s="258"/>
      <c r="Z13770" s="258"/>
    </row>
    <row r="13771" spans="1:26" ht="12.75" customHeight="1" x14ac:dyDescent="0.2">
      <c r="A13771" s="258"/>
      <c r="Z13771" s="258"/>
    </row>
    <row r="13772" spans="1:26" ht="12.75" customHeight="1" x14ac:dyDescent="0.2">
      <c r="A13772" s="258"/>
      <c r="Z13772" s="258"/>
    </row>
    <row r="13773" spans="1:26" ht="12.75" customHeight="1" x14ac:dyDescent="0.2">
      <c r="A13773" s="258"/>
      <c r="Z13773" s="258"/>
    </row>
    <row r="13774" spans="1:26" ht="12.75" customHeight="1" x14ac:dyDescent="0.2">
      <c r="A13774" s="258"/>
      <c r="Z13774" s="258"/>
    </row>
    <row r="13775" spans="1:26" ht="12.75" customHeight="1" x14ac:dyDescent="0.2">
      <c r="A13775" s="258"/>
      <c r="Z13775" s="258"/>
    </row>
    <row r="13776" spans="1:26" ht="12.75" customHeight="1" x14ac:dyDescent="0.2">
      <c r="A13776" s="258"/>
      <c r="Z13776" s="258"/>
    </row>
    <row r="13777" spans="1:26" ht="12.75" customHeight="1" x14ac:dyDescent="0.2">
      <c r="A13777" s="258"/>
      <c r="Z13777" s="258"/>
    </row>
    <row r="13778" spans="1:26" ht="12.75" customHeight="1" x14ac:dyDescent="0.2">
      <c r="A13778" s="258"/>
      <c r="Z13778" s="258"/>
    </row>
    <row r="13779" spans="1:26" ht="12.75" customHeight="1" x14ac:dyDescent="0.2">
      <c r="A13779" s="258"/>
      <c r="Z13779" s="258"/>
    </row>
    <row r="13780" spans="1:26" ht="12.75" customHeight="1" x14ac:dyDescent="0.2">
      <c r="A13780" s="258"/>
      <c r="Z13780" s="258"/>
    </row>
    <row r="13781" spans="1:26" ht="12.75" customHeight="1" x14ac:dyDescent="0.2">
      <c r="A13781" s="258"/>
      <c r="Z13781" s="258"/>
    </row>
    <row r="13782" spans="1:26" ht="12.75" customHeight="1" x14ac:dyDescent="0.2">
      <c r="A13782" s="258"/>
      <c r="Z13782" s="258"/>
    </row>
    <row r="13783" spans="1:26" ht="12.75" customHeight="1" x14ac:dyDescent="0.2">
      <c r="A13783" s="258"/>
      <c r="Z13783" s="258"/>
    </row>
    <row r="13784" spans="1:26" ht="12.75" customHeight="1" x14ac:dyDescent="0.2">
      <c r="A13784" s="258"/>
      <c r="Z13784" s="258"/>
    </row>
    <row r="13785" spans="1:26" ht="12.75" customHeight="1" x14ac:dyDescent="0.2">
      <c r="A13785" s="258"/>
      <c r="Z13785" s="258"/>
    </row>
    <row r="13786" spans="1:26" ht="12.75" customHeight="1" x14ac:dyDescent="0.2">
      <c r="A13786" s="258"/>
      <c r="Z13786" s="258"/>
    </row>
    <row r="13787" spans="1:26" ht="12.75" customHeight="1" x14ac:dyDescent="0.2">
      <c r="A13787" s="258"/>
      <c r="Z13787" s="258"/>
    </row>
    <row r="13788" spans="1:26" ht="12.75" customHeight="1" x14ac:dyDescent="0.2">
      <c r="A13788" s="258"/>
      <c r="Z13788" s="258"/>
    </row>
    <row r="13789" spans="1:26" ht="12.75" customHeight="1" x14ac:dyDescent="0.2">
      <c r="A13789" s="258"/>
      <c r="Z13789" s="258"/>
    </row>
    <row r="13790" spans="1:26" ht="12.75" customHeight="1" x14ac:dyDescent="0.2">
      <c r="A13790" s="258"/>
      <c r="Z13790" s="258"/>
    </row>
    <row r="13791" spans="1:26" ht="12.75" customHeight="1" x14ac:dyDescent="0.2">
      <c r="A13791" s="258"/>
      <c r="Z13791" s="258"/>
    </row>
    <row r="13792" spans="1:26" ht="12.75" customHeight="1" x14ac:dyDescent="0.2">
      <c r="A13792" s="258"/>
      <c r="Z13792" s="258"/>
    </row>
    <row r="13793" spans="1:26" ht="12.75" customHeight="1" x14ac:dyDescent="0.2">
      <c r="A13793" s="258"/>
      <c r="Z13793" s="258"/>
    </row>
    <row r="13794" spans="1:26" ht="12.75" customHeight="1" x14ac:dyDescent="0.2">
      <c r="A13794" s="258"/>
      <c r="Z13794" s="258"/>
    </row>
    <row r="13795" spans="1:26" ht="12.75" customHeight="1" x14ac:dyDescent="0.2">
      <c r="A13795" s="258"/>
      <c r="Z13795" s="258"/>
    </row>
    <row r="13796" spans="1:26" ht="12.75" customHeight="1" x14ac:dyDescent="0.2">
      <c r="A13796" s="258"/>
      <c r="Z13796" s="258"/>
    </row>
    <row r="13797" spans="1:26" ht="12.75" customHeight="1" x14ac:dyDescent="0.2">
      <c r="A13797" s="258"/>
      <c r="Z13797" s="258"/>
    </row>
    <row r="13798" spans="1:26" ht="12.75" customHeight="1" x14ac:dyDescent="0.2">
      <c r="A13798" s="258"/>
      <c r="Z13798" s="258"/>
    </row>
    <row r="13799" spans="1:26" ht="12.75" customHeight="1" x14ac:dyDescent="0.2">
      <c r="A13799" s="258"/>
      <c r="Z13799" s="258"/>
    </row>
    <row r="13800" spans="1:26" ht="12.75" customHeight="1" x14ac:dyDescent="0.2">
      <c r="A13800" s="258"/>
      <c r="Z13800" s="258"/>
    </row>
    <row r="13801" spans="1:26" ht="12.75" customHeight="1" x14ac:dyDescent="0.2">
      <c r="A13801" s="258"/>
      <c r="Z13801" s="258"/>
    </row>
    <row r="13802" spans="1:26" ht="12.75" customHeight="1" x14ac:dyDescent="0.2">
      <c r="A13802" s="258"/>
      <c r="Z13802" s="258"/>
    </row>
    <row r="13803" spans="1:26" ht="12.75" customHeight="1" x14ac:dyDescent="0.2">
      <c r="A13803" s="258"/>
      <c r="Z13803" s="258"/>
    </row>
    <row r="13804" spans="1:26" ht="12.75" customHeight="1" x14ac:dyDescent="0.2">
      <c r="A13804" s="258"/>
      <c r="Z13804" s="258"/>
    </row>
    <row r="13805" spans="1:26" ht="12.75" customHeight="1" x14ac:dyDescent="0.2">
      <c r="A13805" s="258"/>
      <c r="Z13805" s="258"/>
    </row>
    <row r="13806" spans="1:26" ht="12.75" customHeight="1" x14ac:dyDescent="0.2">
      <c r="A13806" s="258"/>
      <c r="Z13806" s="258"/>
    </row>
    <row r="13807" spans="1:26" ht="12.75" customHeight="1" x14ac:dyDescent="0.2">
      <c r="A13807" s="258"/>
      <c r="Z13807" s="258"/>
    </row>
    <row r="13808" spans="1:26" ht="12.75" customHeight="1" x14ac:dyDescent="0.2">
      <c r="A13808" s="258"/>
      <c r="Z13808" s="258"/>
    </row>
    <row r="13809" spans="1:26" ht="12.75" customHeight="1" x14ac:dyDescent="0.2">
      <c r="A13809" s="258"/>
      <c r="Z13809" s="258"/>
    </row>
    <row r="13810" spans="1:26" ht="12.75" customHeight="1" x14ac:dyDescent="0.2">
      <c r="A13810" s="258"/>
      <c r="Z13810" s="258"/>
    </row>
    <row r="13811" spans="1:26" ht="12.75" customHeight="1" x14ac:dyDescent="0.2">
      <c r="A13811" s="258"/>
      <c r="Z13811" s="258"/>
    </row>
    <row r="13812" spans="1:26" ht="12.75" customHeight="1" x14ac:dyDescent="0.2">
      <c r="A13812" s="258"/>
      <c r="Z13812" s="258"/>
    </row>
    <row r="13813" spans="1:26" ht="12.75" customHeight="1" x14ac:dyDescent="0.2">
      <c r="A13813" s="258"/>
      <c r="Z13813" s="258"/>
    </row>
    <row r="13814" spans="1:26" ht="12.75" customHeight="1" x14ac:dyDescent="0.2">
      <c r="A13814" s="258"/>
      <c r="Z13814" s="258"/>
    </row>
    <row r="13815" spans="1:26" ht="12.75" customHeight="1" x14ac:dyDescent="0.2">
      <c r="A13815" s="258"/>
      <c r="Z13815" s="258"/>
    </row>
    <row r="13816" spans="1:26" ht="12.75" customHeight="1" x14ac:dyDescent="0.2">
      <c r="A13816" s="258"/>
      <c r="Z13816" s="258"/>
    </row>
    <row r="13817" spans="1:26" ht="12.75" customHeight="1" x14ac:dyDescent="0.2">
      <c r="A13817" s="258"/>
      <c r="Z13817" s="258"/>
    </row>
    <row r="13818" spans="1:26" ht="12.75" customHeight="1" x14ac:dyDescent="0.2">
      <c r="A13818" s="258"/>
      <c r="Z13818" s="258"/>
    </row>
    <row r="13819" spans="1:26" ht="12.75" customHeight="1" x14ac:dyDescent="0.2">
      <c r="A13819" s="258"/>
      <c r="Z13819" s="258"/>
    </row>
    <row r="13820" spans="1:26" ht="12.75" customHeight="1" x14ac:dyDescent="0.2">
      <c r="A13820" s="258"/>
      <c r="Z13820" s="258"/>
    </row>
    <row r="13821" spans="1:26" ht="12.75" customHeight="1" x14ac:dyDescent="0.2">
      <c r="A13821" s="258"/>
      <c r="Z13821" s="258"/>
    </row>
    <row r="13822" spans="1:26" ht="12.75" customHeight="1" x14ac:dyDescent="0.2">
      <c r="A13822" s="258"/>
      <c r="Z13822" s="258"/>
    </row>
    <row r="13823" spans="1:26" ht="12.75" customHeight="1" x14ac:dyDescent="0.2">
      <c r="A13823" s="258"/>
      <c r="Z13823" s="258"/>
    </row>
    <row r="13824" spans="1:26" ht="12.75" customHeight="1" x14ac:dyDescent="0.2">
      <c r="A13824" s="258"/>
      <c r="Z13824" s="258"/>
    </row>
    <row r="13825" spans="1:26" ht="12.75" customHeight="1" x14ac:dyDescent="0.2">
      <c r="A13825" s="258"/>
      <c r="Z13825" s="258"/>
    </row>
    <row r="13826" spans="1:26" ht="12.75" customHeight="1" x14ac:dyDescent="0.2">
      <c r="A13826" s="258"/>
      <c r="Z13826" s="258"/>
    </row>
    <row r="13827" spans="1:26" ht="12.75" customHeight="1" x14ac:dyDescent="0.2">
      <c r="A13827" s="258"/>
      <c r="Z13827" s="258"/>
    </row>
    <row r="13828" spans="1:26" ht="12.75" customHeight="1" x14ac:dyDescent="0.2">
      <c r="A13828" s="258"/>
      <c r="Z13828" s="258"/>
    </row>
    <row r="13829" spans="1:26" ht="12.75" customHeight="1" x14ac:dyDescent="0.2">
      <c r="A13829" s="258"/>
      <c r="Z13829" s="258"/>
    </row>
    <row r="13830" spans="1:26" ht="12.75" customHeight="1" x14ac:dyDescent="0.2">
      <c r="A13830" s="258"/>
      <c r="Z13830" s="258"/>
    </row>
    <row r="13831" spans="1:26" ht="12.75" customHeight="1" x14ac:dyDescent="0.2">
      <c r="A13831" s="258"/>
      <c r="Z13831" s="258"/>
    </row>
    <row r="13832" spans="1:26" ht="12.75" customHeight="1" x14ac:dyDescent="0.2">
      <c r="A13832" s="258"/>
      <c r="Z13832" s="258"/>
    </row>
    <row r="13833" spans="1:26" ht="12.75" customHeight="1" x14ac:dyDescent="0.2">
      <c r="A13833" s="258"/>
      <c r="Z13833" s="258"/>
    </row>
    <row r="13834" spans="1:26" ht="12.75" customHeight="1" x14ac:dyDescent="0.2">
      <c r="A13834" s="258"/>
      <c r="Z13834" s="258"/>
    </row>
    <row r="13835" spans="1:26" ht="12.75" customHeight="1" x14ac:dyDescent="0.2">
      <c r="A13835" s="258"/>
      <c r="Z13835" s="258"/>
    </row>
    <row r="13836" spans="1:26" ht="12.75" customHeight="1" x14ac:dyDescent="0.2">
      <c r="A13836" s="258"/>
      <c r="Z13836" s="258"/>
    </row>
    <row r="13837" spans="1:26" ht="12.75" customHeight="1" x14ac:dyDescent="0.2">
      <c r="A13837" s="258"/>
      <c r="Z13837" s="258"/>
    </row>
    <row r="13838" spans="1:26" ht="12.75" customHeight="1" x14ac:dyDescent="0.2">
      <c r="A13838" s="258"/>
      <c r="Z13838" s="258"/>
    </row>
    <row r="13839" spans="1:26" ht="12.75" customHeight="1" x14ac:dyDescent="0.2">
      <c r="A13839" s="258"/>
      <c r="Z13839" s="258"/>
    </row>
    <row r="13840" spans="1:26" ht="12.75" customHeight="1" x14ac:dyDescent="0.2">
      <c r="A13840" s="258"/>
      <c r="Z13840" s="258"/>
    </row>
    <row r="13841" spans="1:26" ht="12.75" customHeight="1" x14ac:dyDescent="0.2">
      <c r="A13841" s="258"/>
      <c r="Z13841" s="258"/>
    </row>
    <row r="13842" spans="1:26" ht="12.75" customHeight="1" x14ac:dyDescent="0.2">
      <c r="A13842" s="258"/>
      <c r="Z13842" s="258"/>
    </row>
    <row r="13843" spans="1:26" ht="12.75" customHeight="1" x14ac:dyDescent="0.2">
      <c r="A13843" s="258"/>
      <c r="Z13843" s="258"/>
    </row>
    <row r="13844" spans="1:26" ht="12.75" customHeight="1" x14ac:dyDescent="0.2">
      <c r="A13844" s="258"/>
      <c r="Z13844" s="258"/>
    </row>
    <row r="13845" spans="1:26" ht="12.75" customHeight="1" x14ac:dyDescent="0.2">
      <c r="A13845" s="258"/>
      <c r="Z13845" s="258"/>
    </row>
    <row r="13846" spans="1:26" ht="12.75" customHeight="1" x14ac:dyDescent="0.2">
      <c r="A13846" s="258"/>
      <c r="Z13846" s="258"/>
    </row>
    <row r="13847" spans="1:26" ht="12.75" customHeight="1" x14ac:dyDescent="0.2">
      <c r="A13847" s="258"/>
      <c r="Z13847" s="258"/>
    </row>
    <row r="13848" spans="1:26" ht="12.75" customHeight="1" x14ac:dyDescent="0.2">
      <c r="A13848" s="258"/>
      <c r="Z13848" s="258"/>
    </row>
    <row r="13849" spans="1:26" ht="12.75" customHeight="1" x14ac:dyDescent="0.2">
      <c r="A13849" s="258"/>
      <c r="Z13849" s="258"/>
    </row>
    <row r="13850" spans="1:26" ht="12.75" customHeight="1" x14ac:dyDescent="0.2">
      <c r="A13850" s="258"/>
      <c r="Z13850" s="258"/>
    </row>
    <row r="13851" spans="1:26" ht="12.75" customHeight="1" x14ac:dyDescent="0.2">
      <c r="A13851" s="258"/>
      <c r="Z13851" s="258"/>
    </row>
    <row r="13852" spans="1:26" ht="12.75" customHeight="1" x14ac:dyDescent="0.2">
      <c r="A13852" s="258"/>
      <c r="Z13852" s="258"/>
    </row>
    <row r="13853" spans="1:26" ht="12.75" customHeight="1" x14ac:dyDescent="0.2">
      <c r="A13853" s="258"/>
      <c r="Z13853" s="258"/>
    </row>
    <row r="13854" spans="1:26" ht="12.75" customHeight="1" x14ac:dyDescent="0.2">
      <c r="A13854" s="258"/>
      <c r="Z13854" s="258"/>
    </row>
    <row r="13855" spans="1:26" ht="12.75" customHeight="1" x14ac:dyDescent="0.2">
      <c r="A13855" s="258"/>
      <c r="Z13855" s="258"/>
    </row>
    <row r="13856" spans="1:26" ht="12.75" customHeight="1" x14ac:dyDescent="0.2">
      <c r="A13856" s="258"/>
      <c r="Z13856" s="258"/>
    </row>
    <row r="13857" spans="1:26" ht="12.75" customHeight="1" x14ac:dyDescent="0.2">
      <c r="A13857" s="258"/>
      <c r="Z13857" s="258"/>
    </row>
    <row r="13858" spans="1:26" ht="12.75" customHeight="1" x14ac:dyDescent="0.2">
      <c r="A13858" s="258"/>
      <c r="Z13858" s="258"/>
    </row>
    <row r="13859" spans="1:26" ht="12.75" customHeight="1" x14ac:dyDescent="0.2">
      <c r="A13859" s="258"/>
      <c r="Z13859" s="258"/>
    </row>
    <row r="13860" spans="1:26" ht="12.75" customHeight="1" x14ac:dyDescent="0.2">
      <c r="A13860" s="258"/>
      <c r="Z13860" s="258"/>
    </row>
    <row r="13861" spans="1:26" ht="12.75" customHeight="1" x14ac:dyDescent="0.2">
      <c r="A13861" s="258"/>
      <c r="Z13861" s="258"/>
    </row>
    <row r="13862" spans="1:26" ht="12.75" customHeight="1" x14ac:dyDescent="0.2">
      <c r="A13862" s="258"/>
      <c r="Z13862" s="258"/>
    </row>
    <row r="13863" spans="1:26" ht="12.75" customHeight="1" x14ac:dyDescent="0.2">
      <c r="A13863" s="258"/>
      <c r="Z13863" s="258"/>
    </row>
    <row r="13864" spans="1:26" ht="12.75" customHeight="1" x14ac:dyDescent="0.2">
      <c r="A13864" s="258"/>
      <c r="Z13864" s="258"/>
    </row>
    <row r="13865" spans="1:26" ht="12.75" customHeight="1" x14ac:dyDescent="0.2">
      <c r="A13865" s="258"/>
      <c r="Z13865" s="258"/>
    </row>
    <row r="13866" spans="1:26" ht="12.75" customHeight="1" x14ac:dyDescent="0.2">
      <c r="A13866" s="258"/>
      <c r="Z13866" s="258"/>
    </row>
    <row r="13867" spans="1:26" ht="12.75" customHeight="1" x14ac:dyDescent="0.2">
      <c r="A13867" s="258"/>
      <c r="Z13867" s="258"/>
    </row>
    <row r="13868" spans="1:26" ht="12.75" customHeight="1" x14ac:dyDescent="0.2">
      <c r="A13868" s="258"/>
      <c r="Z13868" s="258"/>
    </row>
    <row r="13869" spans="1:26" ht="12.75" customHeight="1" x14ac:dyDescent="0.2">
      <c r="A13869" s="258"/>
      <c r="Z13869" s="258"/>
    </row>
    <row r="13870" spans="1:26" ht="12.75" customHeight="1" x14ac:dyDescent="0.2">
      <c r="A13870" s="258"/>
      <c r="Z13870" s="258"/>
    </row>
    <row r="13871" spans="1:26" ht="12.75" customHeight="1" x14ac:dyDescent="0.2">
      <c r="A13871" s="258"/>
      <c r="Z13871" s="258"/>
    </row>
    <row r="13872" spans="1:26" ht="12.75" customHeight="1" x14ac:dyDescent="0.2">
      <c r="A13872" s="258"/>
      <c r="Z13872" s="258"/>
    </row>
    <row r="13873" spans="1:26" ht="12.75" customHeight="1" x14ac:dyDescent="0.2">
      <c r="A13873" s="258"/>
      <c r="Z13873" s="258"/>
    </row>
    <row r="13874" spans="1:26" ht="12.75" customHeight="1" x14ac:dyDescent="0.2">
      <c r="A13874" s="258"/>
      <c r="Z13874" s="258"/>
    </row>
    <row r="13875" spans="1:26" ht="12.75" customHeight="1" x14ac:dyDescent="0.2">
      <c r="A13875" s="258"/>
      <c r="Z13875" s="258"/>
    </row>
    <row r="13876" spans="1:26" ht="12.75" customHeight="1" x14ac:dyDescent="0.2">
      <c r="A13876" s="258"/>
      <c r="Z13876" s="258"/>
    </row>
    <row r="13877" spans="1:26" ht="12.75" customHeight="1" x14ac:dyDescent="0.2">
      <c r="A13877" s="258"/>
      <c r="Z13877" s="258"/>
    </row>
    <row r="13878" spans="1:26" ht="12.75" customHeight="1" x14ac:dyDescent="0.2">
      <c r="A13878" s="258"/>
      <c r="Z13878" s="258"/>
    </row>
    <row r="13879" spans="1:26" ht="12.75" customHeight="1" x14ac:dyDescent="0.2">
      <c r="A13879" s="258"/>
      <c r="Z13879" s="258"/>
    </row>
    <row r="13880" spans="1:26" ht="12.75" customHeight="1" x14ac:dyDescent="0.2">
      <c r="A13880" s="258"/>
      <c r="Z13880" s="258"/>
    </row>
    <row r="13881" spans="1:26" ht="12.75" customHeight="1" x14ac:dyDescent="0.2">
      <c r="A13881" s="258"/>
      <c r="Z13881" s="258"/>
    </row>
    <row r="13882" spans="1:26" ht="12.75" customHeight="1" x14ac:dyDescent="0.2">
      <c r="A13882" s="258"/>
      <c r="Z13882" s="258"/>
    </row>
    <row r="13883" spans="1:26" ht="12.75" customHeight="1" x14ac:dyDescent="0.2">
      <c r="A13883" s="258"/>
      <c r="Z13883" s="258"/>
    </row>
    <row r="13884" spans="1:26" ht="12.75" customHeight="1" x14ac:dyDescent="0.2">
      <c r="A13884" s="258"/>
      <c r="Z13884" s="258"/>
    </row>
    <row r="13885" spans="1:26" ht="12.75" customHeight="1" x14ac:dyDescent="0.2">
      <c r="A13885" s="258"/>
      <c r="Z13885" s="258"/>
    </row>
    <row r="13886" spans="1:26" ht="12.75" customHeight="1" x14ac:dyDescent="0.2">
      <c r="A13886" s="258"/>
      <c r="Z13886" s="258"/>
    </row>
    <row r="13887" spans="1:26" ht="12.75" customHeight="1" x14ac:dyDescent="0.2">
      <c r="A13887" s="258"/>
      <c r="Z13887" s="258"/>
    </row>
    <row r="13888" spans="1:26" ht="12.75" customHeight="1" x14ac:dyDescent="0.2">
      <c r="A13888" s="258"/>
      <c r="Z13888" s="258"/>
    </row>
    <row r="13889" spans="1:26" ht="12.75" customHeight="1" x14ac:dyDescent="0.2">
      <c r="A13889" s="258"/>
      <c r="Z13889" s="258"/>
    </row>
    <row r="13890" spans="1:26" ht="12.75" customHeight="1" x14ac:dyDescent="0.2">
      <c r="A13890" s="258"/>
      <c r="Z13890" s="258"/>
    </row>
    <row r="13891" spans="1:26" ht="12.75" customHeight="1" x14ac:dyDescent="0.2">
      <c r="A13891" s="258"/>
      <c r="Z13891" s="258"/>
    </row>
    <row r="13892" spans="1:26" ht="12.75" customHeight="1" x14ac:dyDescent="0.2">
      <c r="A13892" s="258"/>
      <c r="Z13892" s="258"/>
    </row>
    <row r="13893" spans="1:26" ht="12.75" customHeight="1" x14ac:dyDescent="0.2">
      <c r="A13893" s="258"/>
      <c r="Z13893" s="258"/>
    </row>
    <row r="13894" spans="1:26" ht="12.75" customHeight="1" x14ac:dyDescent="0.2">
      <c r="A13894" s="258"/>
      <c r="Z13894" s="258"/>
    </row>
    <row r="13895" spans="1:26" ht="12.75" customHeight="1" x14ac:dyDescent="0.2">
      <c r="A13895" s="258"/>
      <c r="Z13895" s="258"/>
    </row>
    <row r="13896" spans="1:26" ht="12.75" customHeight="1" x14ac:dyDescent="0.2">
      <c r="A13896" s="258"/>
      <c r="Z13896" s="258"/>
    </row>
    <row r="13897" spans="1:26" ht="12.75" customHeight="1" x14ac:dyDescent="0.2">
      <c r="A13897" s="258"/>
      <c r="Z13897" s="258"/>
    </row>
    <row r="13898" spans="1:26" ht="12.75" customHeight="1" x14ac:dyDescent="0.2">
      <c r="A13898" s="258"/>
      <c r="Z13898" s="258"/>
    </row>
    <row r="13899" spans="1:26" ht="12.75" customHeight="1" x14ac:dyDescent="0.2">
      <c r="A13899" s="258"/>
      <c r="Z13899" s="258"/>
    </row>
    <row r="13900" spans="1:26" ht="12.75" customHeight="1" x14ac:dyDescent="0.2">
      <c r="A13900" s="258"/>
      <c r="Z13900" s="258"/>
    </row>
    <row r="13901" spans="1:26" ht="12.75" customHeight="1" x14ac:dyDescent="0.2">
      <c r="A13901" s="258"/>
      <c r="Z13901" s="258"/>
    </row>
    <row r="13902" spans="1:26" ht="12.75" customHeight="1" x14ac:dyDescent="0.2">
      <c r="A13902" s="258"/>
      <c r="Z13902" s="258"/>
    </row>
    <row r="13903" spans="1:26" ht="12.75" customHeight="1" x14ac:dyDescent="0.2">
      <c r="A13903" s="258"/>
      <c r="Z13903" s="258"/>
    </row>
    <row r="13904" spans="1:26" ht="12.75" customHeight="1" x14ac:dyDescent="0.2">
      <c r="A13904" s="258"/>
      <c r="Z13904" s="258"/>
    </row>
    <row r="13905" spans="1:26" ht="12.75" customHeight="1" x14ac:dyDescent="0.2">
      <c r="A13905" s="258"/>
      <c r="Z13905" s="258"/>
    </row>
    <row r="13906" spans="1:26" ht="12.75" customHeight="1" x14ac:dyDescent="0.2">
      <c r="A13906" s="258"/>
      <c r="Z13906" s="258"/>
    </row>
    <row r="13907" spans="1:26" ht="12.75" customHeight="1" x14ac:dyDescent="0.2">
      <c r="A13907" s="258"/>
      <c r="Z13907" s="258"/>
    </row>
    <row r="13908" spans="1:26" ht="12.75" customHeight="1" x14ac:dyDescent="0.2">
      <c r="A13908" s="258"/>
      <c r="Z13908" s="258"/>
    </row>
    <row r="13909" spans="1:26" ht="12.75" customHeight="1" x14ac:dyDescent="0.2">
      <c r="A13909" s="258"/>
      <c r="Z13909" s="258"/>
    </row>
    <row r="13910" spans="1:26" ht="12.75" customHeight="1" x14ac:dyDescent="0.2">
      <c r="A13910" s="258"/>
      <c r="Z13910" s="258"/>
    </row>
    <row r="13911" spans="1:26" ht="12.75" customHeight="1" x14ac:dyDescent="0.2">
      <c r="A13911" s="258"/>
      <c r="Z13911" s="258"/>
    </row>
    <row r="13912" spans="1:26" ht="12.75" customHeight="1" x14ac:dyDescent="0.2">
      <c r="A13912" s="258"/>
      <c r="Z13912" s="258"/>
    </row>
    <row r="13913" spans="1:26" ht="12.75" customHeight="1" x14ac:dyDescent="0.2">
      <c r="A13913" s="258"/>
      <c r="Z13913" s="258"/>
    </row>
    <row r="13914" spans="1:26" ht="12.75" customHeight="1" x14ac:dyDescent="0.2">
      <c r="A13914" s="258"/>
      <c r="Z13914" s="258"/>
    </row>
    <row r="13915" spans="1:26" ht="12.75" customHeight="1" x14ac:dyDescent="0.2">
      <c r="A13915" s="258"/>
      <c r="Z13915" s="258"/>
    </row>
    <row r="13916" spans="1:26" ht="12.75" customHeight="1" x14ac:dyDescent="0.2">
      <c r="A13916" s="258"/>
      <c r="Z13916" s="258"/>
    </row>
    <row r="13917" spans="1:26" ht="12.75" customHeight="1" x14ac:dyDescent="0.2">
      <c r="A13917" s="258"/>
      <c r="Z13917" s="258"/>
    </row>
    <row r="13918" spans="1:26" ht="12.75" customHeight="1" x14ac:dyDescent="0.2">
      <c r="A13918" s="258"/>
      <c r="Z13918" s="258"/>
    </row>
    <row r="13919" spans="1:26" ht="12.75" customHeight="1" x14ac:dyDescent="0.2">
      <c r="A13919" s="258"/>
      <c r="Z13919" s="258"/>
    </row>
    <row r="13920" spans="1:26" ht="12.75" customHeight="1" x14ac:dyDescent="0.2">
      <c r="A13920" s="258"/>
      <c r="Z13920" s="258"/>
    </row>
    <row r="13921" spans="1:26" ht="12.75" customHeight="1" x14ac:dyDescent="0.2">
      <c r="A13921" s="258"/>
      <c r="Z13921" s="258"/>
    </row>
    <row r="13922" spans="1:26" ht="12.75" customHeight="1" x14ac:dyDescent="0.2">
      <c r="A13922" s="258"/>
      <c r="Z13922" s="258"/>
    </row>
    <row r="13923" spans="1:26" ht="12.75" customHeight="1" x14ac:dyDescent="0.2">
      <c r="A13923" s="258"/>
      <c r="Z13923" s="258"/>
    </row>
    <row r="13924" spans="1:26" ht="12.75" customHeight="1" x14ac:dyDescent="0.2">
      <c r="A13924" s="258"/>
      <c r="Z13924" s="258"/>
    </row>
    <row r="13925" spans="1:26" ht="12.75" customHeight="1" x14ac:dyDescent="0.2">
      <c r="A13925" s="258"/>
      <c r="Z13925" s="258"/>
    </row>
    <row r="13926" spans="1:26" ht="12.75" customHeight="1" x14ac:dyDescent="0.2">
      <c r="A13926" s="258"/>
      <c r="Z13926" s="258"/>
    </row>
    <row r="13927" spans="1:26" ht="12.75" customHeight="1" x14ac:dyDescent="0.2">
      <c r="A13927" s="258"/>
      <c r="Z13927" s="258"/>
    </row>
    <row r="13928" spans="1:26" ht="12.75" customHeight="1" x14ac:dyDescent="0.2">
      <c r="A13928" s="258"/>
      <c r="Z13928" s="258"/>
    </row>
    <row r="13929" spans="1:26" ht="12.75" customHeight="1" x14ac:dyDescent="0.2">
      <c r="A13929" s="258"/>
      <c r="Z13929" s="258"/>
    </row>
    <row r="13930" spans="1:26" ht="12.75" customHeight="1" x14ac:dyDescent="0.2">
      <c r="A13930" s="258"/>
      <c r="Z13930" s="258"/>
    </row>
    <row r="13931" spans="1:26" ht="12.75" customHeight="1" x14ac:dyDescent="0.2">
      <c r="A13931" s="258"/>
      <c r="Z13931" s="258"/>
    </row>
    <row r="13932" spans="1:26" ht="12.75" customHeight="1" x14ac:dyDescent="0.2">
      <c r="A13932" s="258"/>
      <c r="Z13932" s="258"/>
    </row>
    <row r="13933" spans="1:26" ht="12.75" customHeight="1" x14ac:dyDescent="0.2">
      <c r="A13933" s="258"/>
      <c r="Z13933" s="258"/>
    </row>
    <row r="13934" spans="1:26" ht="12.75" customHeight="1" x14ac:dyDescent="0.2">
      <c r="A13934" s="258"/>
      <c r="Z13934" s="258"/>
    </row>
    <row r="13935" spans="1:26" ht="12.75" customHeight="1" x14ac:dyDescent="0.2">
      <c r="A13935" s="258"/>
      <c r="Z13935" s="258"/>
    </row>
    <row r="13936" spans="1:26" ht="12.75" customHeight="1" x14ac:dyDescent="0.2">
      <c r="A13936" s="258"/>
      <c r="Z13936" s="258"/>
    </row>
    <row r="13937" spans="1:26" ht="12.75" customHeight="1" x14ac:dyDescent="0.2">
      <c r="A13937" s="258"/>
      <c r="Z13937" s="258"/>
    </row>
    <row r="13938" spans="1:26" ht="12.75" customHeight="1" x14ac:dyDescent="0.2">
      <c r="A13938" s="258"/>
      <c r="Z13938" s="258"/>
    </row>
    <row r="13939" spans="1:26" ht="12.75" customHeight="1" x14ac:dyDescent="0.2">
      <c r="A13939" s="258"/>
      <c r="Z13939" s="258"/>
    </row>
    <row r="13940" spans="1:26" ht="12.75" customHeight="1" x14ac:dyDescent="0.2">
      <c r="A13940" s="258"/>
      <c r="Z13940" s="258"/>
    </row>
    <row r="13941" spans="1:26" ht="12.75" customHeight="1" x14ac:dyDescent="0.2">
      <c r="A13941" s="258"/>
      <c r="Z13941" s="258"/>
    </row>
    <row r="13942" spans="1:26" ht="12.75" customHeight="1" x14ac:dyDescent="0.2">
      <c r="A13942" s="258"/>
      <c r="Z13942" s="258"/>
    </row>
    <row r="13943" spans="1:26" ht="12.75" customHeight="1" x14ac:dyDescent="0.2">
      <c r="A13943" s="258"/>
      <c r="Z13943" s="258"/>
    </row>
    <row r="13944" spans="1:26" ht="12.75" customHeight="1" x14ac:dyDescent="0.2">
      <c r="A13944" s="258"/>
      <c r="Z13944" s="258"/>
    </row>
    <row r="13945" spans="1:26" ht="12.75" customHeight="1" x14ac:dyDescent="0.2">
      <c r="A13945" s="258"/>
      <c r="Z13945" s="258"/>
    </row>
    <row r="13946" spans="1:26" ht="12.75" customHeight="1" x14ac:dyDescent="0.2">
      <c r="A13946" s="258"/>
      <c r="Z13946" s="258"/>
    </row>
    <row r="13947" spans="1:26" ht="12.75" customHeight="1" x14ac:dyDescent="0.2">
      <c r="A13947" s="258"/>
      <c r="Z13947" s="258"/>
    </row>
    <row r="13948" spans="1:26" ht="12.75" customHeight="1" x14ac:dyDescent="0.2">
      <c r="A13948" s="258"/>
      <c r="Z13948" s="258"/>
    </row>
    <row r="13949" spans="1:26" ht="12.75" customHeight="1" x14ac:dyDescent="0.2">
      <c r="A13949" s="258"/>
      <c r="Z13949" s="258"/>
    </row>
    <row r="13950" spans="1:26" ht="12.75" customHeight="1" x14ac:dyDescent="0.2">
      <c r="A13950" s="258"/>
      <c r="Z13950" s="258"/>
    </row>
    <row r="13951" spans="1:26" ht="12.75" customHeight="1" x14ac:dyDescent="0.2">
      <c r="A13951" s="258"/>
      <c r="Z13951" s="258"/>
    </row>
    <row r="13952" spans="1:26" ht="12.75" customHeight="1" x14ac:dyDescent="0.2">
      <c r="A13952" s="258"/>
      <c r="Z13952" s="258"/>
    </row>
    <row r="13953" spans="1:26" ht="12.75" customHeight="1" x14ac:dyDescent="0.2">
      <c r="A13953" s="258"/>
      <c r="Z13953" s="258"/>
    </row>
    <row r="13954" spans="1:26" ht="12.75" customHeight="1" x14ac:dyDescent="0.2">
      <c r="A13954" s="258"/>
      <c r="Z13954" s="258"/>
    </row>
    <row r="13955" spans="1:26" ht="12.75" customHeight="1" x14ac:dyDescent="0.2">
      <c r="A13955" s="258"/>
      <c r="Z13955" s="258"/>
    </row>
    <row r="13956" spans="1:26" ht="12.75" customHeight="1" x14ac:dyDescent="0.2">
      <c r="A13956" s="258"/>
      <c r="Z13956" s="258"/>
    </row>
    <row r="13957" spans="1:26" ht="12.75" customHeight="1" x14ac:dyDescent="0.2">
      <c r="A13957" s="258"/>
      <c r="Z13957" s="258"/>
    </row>
    <row r="13958" spans="1:26" ht="12.75" customHeight="1" x14ac:dyDescent="0.2">
      <c r="A13958" s="258"/>
      <c r="Z13958" s="258"/>
    </row>
    <row r="13959" spans="1:26" ht="12.75" customHeight="1" x14ac:dyDescent="0.2">
      <c r="A13959" s="258"/>
      <c r="Z13959" s="258"/>
    </row>
    <row r="13960" spans="1:26" ht="12.75" customHeight="1" x14ac:dyDescent="0.2">
      <c r="A13960" s="258"/>
      <c r="Z13960" s="258"/>
    </row>
    <row r="13961" spans="1:26" ht="12.75" customHeight="1" x14ac:dyDescent="0.2">
      <c r="A13961" s="258"/>
      <c r="Z13961" s="258"/>
    </row>
    <row r="13962" spans="1:26" ht="12.75" customHeight="1" x14ac:dyDescent="0.2">
      <c r="A13962" s="258"/>
      <c r="Z13962" s="258"/>
    </row>
    <row r="13963" spans="1:26" ht="12.75" customHeight="1" x14ac:dyDescent="0.2">
      <c r="A13963" s="258"/>
      <c r="Z13963" s="258"/>
    </row>
    <row r="13964" spans="1:26" ht="12.75" customHeight="1" x14ac:dyDescent="0.2">
      <c r="A13964" s="258"/>
      <c r="Z13964" s="258"/>
    </row>
    <row r="13965" spans="1:26" ht="12.75" customHeight="1" x14ac:dyDescent="0.2">
      <c r="A13965" s="258"/>
      <c r="Z13965" s="258"/>
    </row>
    <row r="13966" spans="1:26" ht="12.75" customHeight="1" x14ac:dyDescent="0.2">
      <c r="A13966" s="258"/>
      <c r="Z13966" s="258"/>
    </row>
    <row r="13967" spans="1:26" ht="12.75" customHeight="1" x14ac:dyDescent="0.2">
      <c r="A13967" s="258"/>
      <c r="Z13967" s="258"/>
    </row>
    <row r="13968" spans="1:26" ht="12.75" customHeight="1" x14ac:dyDescent="0.2">
      <c r="A13968" s="258"/>
      <c r="Z13968" s="258"/>
    </row>
    <row r="13969" spans="1:26" ht="12.75" customHeight="1" x14ac:dyDescent="0.2">
      <c r="A13969" s="258"/>
      <c r="Z13969" s="258"/>
    </row>
    <row r="13970" spans="1:26" ht="12.75" customHeight="1" x14ac:dyDescent="0.2">
      <c r="A13970" s="258"/>
      <c r="Z13970" s="258"/>
    </row>
    <row r="13971" spans="1:26" ht="12.75" customHeight="1" x14ac:dyDescent="0.2">
      <c r="A13971" s="258"/>
      <c r="Z13971" s="258"/>
    </row>
    <row r="13972" spans="1:26" ht="12.75" customHeight="1" x14ac:dyDescent="0.2">
      <c r="A13972" s="258"/>
      <c r="Z13972" s="258"/>
    </row>
    <row r="13973" spans="1:26" ht="12.75" customHeight="1" x14ac:dyDescent="0.2">
      <c r="A13973" s="258"/>
      <c r="Z13973" s="258"/>
    </row>
    <row r="13974" spans="1:26" ht="12.75" customHeight="1" x14ac:dyDescent="0.2">
      <c r="A13974" s="258"/>
      <c r="Z13974" s="258"/>
    </row>
    <row r="13975" spans="1:26" ht="12.75" customHeight="1" x14ac:dyDescent="0.2">
      <c r="A13975" s="258"/>
      <c r="Z13975" s="258"/>
    </row>
    <row r="13976" spans="1:26" ht="12.75" customHeight="1" x14ac:dyDescent="0.2">
      <c r="A13976" s="258"/>
      <c r="Z13976" s="258"/>
    </row>
    <row r="13977" spans="1:26" ht="12.75" customHeight="1" x14ac:dyDescent="0.2">
      <c r="A13977" s="258"/>
      <c r="Z13977" s="258"/>
    </row>
    <row r="13978" spans="1:26" ht="12.75" customHeight="1" x14ac:dyDescent="0.2">
      <c r="A13978" s="258"/>
      <c r="Z13978" s="258"/>
    </row>
    <row r="13979" spans="1:26" ht="12.75" customHeight="1" x14ac:dyDescent="0.2">
      <c r="A13979" s="258"/>
      <c r="Z13979" s="258"/>
    </row>
    <row r="13980" spans="1:26" ht="12.75" customHeight="1" x14ac:dyDescent="0.2">
      <c r="A13980" s="258"/>
      <c r="Z13980" s="258"/>
    </row>
    <row r="13981" spans="1:26" ht="12.75" customHeight="1" x14ac:dyDescent="0.2">
      <c r="A13981" s="258"/>
      <c r="Z13981" s="258"/>
    </row>
    <row r="13982" spans="1:26" ht="12.75" customHeight="1" x14ac:dyDescent="0.2">
      <c r="A13982" s="258"/>
      <c r="Z13982" s="258"/>
    </row>
    <row r="13983" spans="1:26" ht="12.75" customHeight="1" x14ac:dyDescent="0.2">
      <c r="A13983" s="258"/>
      <c r="Z13983" s="258"/>
    </row>
    <row r="13984" spans="1:26" ht="12.75" customHeight="1" x14ac:dyDescent="0.2">
      <c r="A13984" s="258"/>
      <c r="Z13984" s="258"/>
    </row>
    <row r="13985" spans="1:26" ht="12.75" customHeight="1" x14ac:dyDescent="0.2">
      <c r="A13985" s="258"/>
      <c r="Z13985" s="258"/>
    </row>
    <row r="13986" spans="1:26" ht="12.75" customHeight="1" x14ac:dyDescent="0.2">
      <c r="A13986" s="258"/>
      <c r="Z13986" s="258"/>
    </row>
    <row r="13987" spans="1:26" ht="12.75" customHeight="1" x14ac:dyDescent="0.2">
      <c r="A13987" s="258"/>
      <c r="Z13987" s="258"/>
    </row>
    <row r="13988" spans="1:26" ht="12.75" customHeight="1" x14ac:dyDescent="0.2">
      <c r="A13988" s="258"/>
      <c r="Z13988" s="258"/>
    </row>
    <row r="13989" spans="1:26" ht="12.75" customHeight="1" x14ac:dyDescent="0.2">
      <c r="A13989" s="258"/>
      <c r="Z13989" s="258"/>
    </row>
    <row r="13990" spans="1:26" ht="12.75" customHeight="1" x14ac:dyDescent="0.2">
      <c r="A13990" s="258"/>
      <c r="Z13990" s="258"/>
    </row>
    <row r="13991" spans="1:26" ht="12.75" customHeight="1" x14ac:dyDescent="0.2">
      <c r="A13991" s="258"/>
      <c r="Z13991" s="258"/>
    </row>
    <row r="13992" spans="1:26" ht="12.75" customHeight="1" x14ac:dyDescent="0.2">
      <c r="A13992" s="258"/>
      <c r="Z13992" s="258"/>
    </row>
    <row r="13993" spans="1:26" ht="12.75" customHeight="1" x14ac:dyDescent="0.2">
      <c r="A13993" s="258"/>
      <c r="Z13993" s="258"/>
    </row>
    <row r="13994" spans="1:26" ht="12.75" customHeight="1" x14ac:dyDescent="0.2">
      <c r="A13994" s="258"/>
      <c r="Z13994" s="258"/>
    </row>
    <row r="13995" spans="1:26" ht="12.75" customHeight="1" x14ac:dyDescent="0.2">
      <c r="A13995" s="258"/>
      <c r="Z13995" s="258"/>
    </row>
    <row r="13996" spans="1:26" ht="12.75" customHeight="1" x14ac:dyDescent="0.2">
      <c r="A13996" s="258"/>
      <c r="Z13996" s="258"/>
    </row>
    <row r="13997" spans="1:26" ht="12.75" customHeight="1" x14ac:dyDescent="0.2">
      <c r="A13997" s="258"/>
      <c r="Z13997" s="258"/>
    </row>
    <row r="13998" spans="1:26" ht="12.75" customHeight="1" x14ac:dyDescent="0.2">
      <c r="A13998" s="258"/>
      <c r="Z13998" s="258"/>
    </row>
    <row r="13999" spans="1:26" ht="12.75" customHeight="1" x14ac:dyDescent="0.2">
      <c r="A13999" s="258"/>
      <c r="Z13999" s="258"/>
    </row>
    <row r="14000" spans="1:26" ht="12.75" customHeight="1" x14ac:dyDescent="0.2">
      <c r="A14000" s="258"/>
      <c r="Z14000" s="258"/>
    </row>
    <row r="14001" spans="1:26" ht="12.75" customHeight="1" x14ac:dyDescent="0.2">
      <c r="A14001" s="258"/>
      <c r="Z14001" s="258"/>
    </row>
    <row r="14002" spans="1:26" ht="12.75" customHeight="1" x14ac:dyDescent="0.2">
      <c r="A14002" s="258"/>
      <c r="Z14002" s="258"/>
    </row>
    <row r="14003" spans="1:26" ht="12.75" customHeight="1" x14ac:dyDescent="0.2">
      <c r="A14003" s="258"/>
      <c r="Z14003" s="258"/>
    </row>
    <row r="14004" spans="1:26" ht="12.75" customHeight="1" x14ac:dyDescent="0.2">
      <c r="A14004" s="258"/>
      <c r="Z14004" s="258"/>
    </row>
    <row r="14005" spans="1:26" ht="12.75" customHeight="1" x14ac:dyDescent="0.2">
      <c r="A14005" s="258"/>
      <c r="Z14005" s="258"/>
    </row>
    <row r="14006" spans="1:26" ht="12.75" customHeight="1" x14ac:dyDescent="0.2">
      <c r="A14006" s="258"/>
      <c r="Z14006" s="258"/>
    </row>
    <row r="14007" spans="1:26" ht="12.75" customHeight="1" x14ac:dyDescent="0.2">
      <c r="A14007" s="258"/>
      <c r="Z14007" s="258"/>
    </row>
    <row r="14008" spans="1:26" ht="12.75" customHeight="1" x14ac:dyDescent="0.2">
      <c r="A14008" s="258"/>
      <c r="Z14008" s="258"/>
    </row>
    <row r="14009" spans="1:26" ht="12.75" customHeight="1" x14ac:dyDescent="0.2">
      <c r="A14009" s="258"/>
      <c r="Z14009" s="258"/>
    </row>
    <row r="14010" spans="1:26" ht="12.75" customHeight="1" x14ac:dyDescent="0.2">
      <c r="A14010" s="258"/>
      <c r="Z14010" s="258"/>
    </row>
    <row r="14011" spans="1:26" ht="12.75" customHeight="1" x14ac:dyDescent="0.2">
      <c r="A14011" s="258"/>
      <c r="Z14011" s="258"/>
    </row>
    <row r="14012" spans="1:26" ht="12.75" customHeight="1" x14ac:dyDescent="0.2">
      <c r="A14012" s="258"/>
      <c r="Z14012" s="258"/>
    </row>
    <row r="14013" spans="1:26" ht="12.75" customHeight="1" x14ac:dyDescent="0.2">
      <c r="A14013" s="258"/>
      <c r="Z14013" s="258"/>
    </row>
    <row r="14014" spans="1:26" ht="12.75" customHeight="1" x14ac:dyDescent="0.2">
      <c r="A14014" s="258"/>
      <c r="Z14014" s="258"/>
    </row>
    <row r="14015" spans="1:26" ht="12.75" customHeight="1" x14ac:dyDescent="0.2">
      <c r="A14015" s="258"/>
      <c r="Z14015" s="258"/>
    </row>
    <row r="14016" spans="1:26" ht="12.75" customHeight="1" x14ac:dyDescent="0.2">
      <c r="A14016" s="258"/>
      <c r="Z14016" s="258"/>
    </row>
    <row r="14017" spans="1:26" ht="12.75" customHeight="1" x14ac:dyDescent="0.2">
      <c r="A14017" s="258"/>
      <c r="Z14017" s="258"/>
    </row>
    <row r="14018" spans="1:26" ht="12.75" customHeight="1" x14ac:dyDescent="0.2">
      <c r="A14018" s="258"/>
      <c r="Z14018" s="258"/>
    </row>
    <row r="14019" spans="1:26" ht="12.75" customHeight="1" x14ac:dyDescent="0.2">
      <c r="A14019" s="258"/>
      <c r="Z14019" s="258"/>
    </row>
    <row r="14020" spans="1:26" ht="12.75" customHeight="1" x14ac:dyDescent="0.2">
      <c r="A14020" s="258"/>
      <c r="Z14020" s="258"/>
    </row>
    <row r="14021" spans="1:26" ht="12.75" customHeight="1" x14ac:dyDescent="0.2">
      <c r="A14021" s="258"/>
      <c r="Z14021" s="258"/>
    </row>
    <row r="14022" spans="1:26" ht="12.75" customHeight="1" x14ac:dyDescent="0.2">
      <c r="A14022" s="258"/>
      <c r="Z14022" s="258"/>
    </row>
    <row r="14023" spans="1:26" ht="12.75" customHeight="1" x14ac:dyDescent="0.2">
      <c r="A14023" s="258"/>
      <c r="Z14023" s="258"/>
    </row>
    <row r="14024" spans="1:26" ht="12.75" customHeight="1" x14ac:dyDescent="0.2">
      <c r="A14024" s="258"/>
      <c r="Z14024" s="258"/>
    </row>
    <row r="14025" spans="1:26" ht="12.75" customHeight="1" x14ac:dyDescent="0.2">
      <c r="A14025" s="258"/>
      <c r="Z14025" s="258"/>
    </row>
    <row r="14026" spans="1:26" ht="12.75" customHeight="1" x14ac:dyDescent="0.2">
      <c r="A14026" s="258"/>
      <c r="Z14026" s="258"/>
    </row>
    <row r="14027" spans="1:26" ht="12.75" customHeight="1" x14ac:dyDescent="0.2">
      <c r="A14027" s="258"/>
      <c r="Z14027" s="258"/>
    </row>
    <row r="14028" spans="1:26" ht="12.75" customHeight="1" x14ac:dyDescent="0.2">
      <c r="A14028" s="258"/>
      <c r="Z14028" s="258"/>
    </row>
    <row r="14029" spans="1:26" ht="12.75" customHeight="1" x14ac:dyDescent="0.2">
      <c r="A14029" s="258"/>
      <c r="Z14029" s="258"/>
    </row>
    <row r="14030" spans="1:26" ht="12.75" customHeight="1" x14ac:dyDescent="0.2">
      <c r="A14030" s="258"/>
      <c r="Z14030" s="258"/>
    </row>
    <row r="14031" spans="1:26" ht="12.75" customHeight="1" x14ac:dyDescent="0.2">
      <c r="A14031" s="258"/>
      <c r="Z14031" s="258"/>
    </row>
    <row r="14032" spans="1:26" ht="12.75" customHeight="1" x14ac:dyDescent="0.2">
      <c r="A14032" s="258"/>
      <c r="Z14032" s="258"/>
    </row>
    <row r="14033" spans="1:26" ht="12.75" customHeight="1" x14ac:dyDescent="0.2">
      <c r="A14033" s="258"/>
      <c r="Z14033" s="258"/>
    </row>
    <row r="14034" spans="1:26" ht="12.75" customHeight="1" x14ac:dyDescent="0.2">
      <c r="A14034" s="258"/>
      <c r="Z14034" s="258"/>
    </row>
    <row r="14035" spans="1:26" ht="12.75" customHeight="1" x14ac:dyDescent="0.2">
      <c r="A14035" s="258"/>
      <c r="Z14035" s="258"/>
    </row>
    <row r="14036" spans="1:26" ht="12.75" customHeight="1" x14ac:dyDescent="0.2">
      <c r="A14036" s="258"/>
      <c r="Z14036" s="258"/>
    </row>
    <row r="14037" spans="1:26" ht="12.75" customHeight="1" x14ac:dyDescent="0.2">
      <c r="A14037" s="258"/>
      <c r="Z14037" s="258"/>
    </row>
    <row r="14038" spans="1:26" ht="12.75" customHeight="1" x14ac:dyDescent="0.2">
      <c r="A14038" s="258"/>
      <c r="Z14038" s="258"/>
    </row>
    <row r="14039" spans="1:26" ht="12.75" customHeight="1" x14ac:dyDescent="0.2">
      <c r="A14039" s="258"/>
      <c r="Z14039" s="258"/>
    </row>
    <row r="14040" spans="1:26" ht="12.75" customHeight="1" x14ac:dyDescent="0.2">
      <c r="A14040" s="258"/>
      <c r="Z14040" s="258"/>
    </row>
    <row r="14041" spans="1:26" ht="12.75" customHeight="1" x14ac:dyDescent="0.2">
      <c r="A14041" s="258"/>
      <c r="Z14041" s="258"/>
    </row>
    <row r="14042" spans="1:26" ht="12.75" customHeight="1" x14ac:dyDescent="0.2">
      <c r="A14042" s="258"/>
      <c r="Z14042" s="258"/>
    </row>
    <row r="14043" spans="1:26" ht="12.75" customHeight="1" x14ac:dyDescent="0.2">
      <c r="A14043" s="258"/>
      <c r="Z14043" s="258"/>
    </row>
    <row r="14044" spans="1:26" ht="12.75" customHeight="1" x14ac:dyDescent="0.2">
      <c r="A14044" s="258"/>
      <c r="Z14044" s="258"/>
    </row>
    <row r="14045" spans="1:26" ht="12.75" customHeight="1" x14ac:dyDescent="0.2">
      <c r="A14045" s="258"/>
      <c r="Z14045" s="258"/>
    </row>
    <row r="14046" spans="1:26" ht="12.75" customHeight="1" x14ac:dyDescent="0.2">
      <c r="A14046" s="258"/>
      <c r="Z14046" s="258"/>
    </row>
    <row r="14047" spans="1:26" ht="12.75" customHeight="1" x14ac:dyDescent="0.2">
      <c r="A14047" s="258"/>
      <c r="Z14047" s="258"/>
    </row>
    <row r="14048" spans="1:26" ht="12.75" customHeight="1" x14ac:dyDescent="0.2">
      <c r="A14048" s="258"/>
      <c r="Z14048" s="258"/>
    </row>
    <row r="14049" spans="1:26" ht="12.75" customHeight="1" x14ac:dyDescent="0.2">
      <c r="A14049" s="258"/>
      <c r="Z14049" s="258"/>
    </row>
    <row r="14050" spans="1:26" ht="12.75" customHeight="1" x14ac:dyDescent="0.2">
      <c r="A14050" s="258"/>
      <c r="Z14050" s="258"/>
    </row>
    <row r="14051" spans="1:26" ht="12.75" customHeight="1" x14ac:dyDescent="0.2">
      <c r="A14051" s="258"/>
      <c r="Z14051" s="258"/>
    </row>
    <row r="14052" spans="1:26" ht="12.75" customHeight="1" x14ac:dyDescent="0.2">
      <c r="A14052" s="258"/>
      <c r="Z14052" s="258"/>
    </row>
    <row r="14053" spans="1:26" ht="12.75" customHeight="1" x14ac:dyDescent="0.2">
      <c r="A14053" s="258"/>
      <c r="Z14053" s="258"/>
    </row>
    <row r="14054" spans="1:26" ht="12.75" customHeight="1" x14ac:dyDescent="0.2">
      <c r="A14054" s="258"/>
      <c r="Z14054" s="258"/>
    </row>
    <row r="14055" spans="1:26" ht="12.75" customHeight="1" x14ac:dyDescent="0.2">
      <c r="A14055" s="258"/>
      <c r="Z14055" s="258"/>
    </row>
    <row r="14056" spans="1:26" ht="12.75" customHeight="1" x14ac:dyDescent="0.2">
      <c r="A14056" s="258"/>
      <c r="Z14056" s="258"/>
    </row>
    <row r="14057" spans="1:26" ht="12.75" customHeight="1" x14ac:dyDescent="0.2">
      <c r="A14057" s="258"/>
      <c r="Z14057" s="258"/>
    </row>
    <row r="14058" spans="1:26" ht="12.75" customHeight="1" x14ac:dyDescent="0.2">
      <c r="A14058" s="258"/>
      <c r="Z14058" s="258"/>
    </row>
    <row r="14059" spans="1:26" ht="12.75" customHeight="1" x14ac:dyDescent="0.2">
      <c r="A14059" s="258"/>
      <c r="Z14059" s="258"/>
    </row>
    <row r="14060" spans="1:26" ht="12.75" customHeight="1" x14ac:dyDescent="0.2">
      <c r="A14060" s="258"/>
      <c r="Z14060" s="258"/>
    </row>
    <row r="14061" spans="1:26" ht="12.75" customHeight="1" x14ac:dyDescent="0.2">
      <c r="A14061" s="258"/>
      <c r="Z14061" s="258"/>
    </row>
    <row r="14062" spans="1:26" ht="12.75" customHeight="1" x14ac:dyDescent="0.2">
      <c r="A14062" s="258"/>
      <c r="Z14062" s="258"/>
    </row>
    <row r="14063" spans="1:26" ht="12.75" customHeight="1" x14ac:dyDescent="0.2">
      <c r="A14063" s="258"/>
      <c r="Z14063" s="258"/>
    </row>
    <row r="14064" spans="1:26" ht="12.75" customHeight="1" x14ac:dyDescent="0.2">
      <c r="A14064" s="258"/>
      <c r="Z14064" s="258"/>
    </row>
    <row r="14065" spans="1:26" ht="12.75" customHeight="1" x14ac:dyDescent="0.2">
      <c r="A14065" s="258"/>
      <c r="Z14065" s="258"/>
    </row>
    <row r="14066" spans="1:26" ht="12.75" customHeight="1" x14ac:dyDescent="0.2">
      <c r="A14066" s="258"/>
      <c r="Z14066" s="258"/>
    </row>
    <row r="14067" spans="1:26" ht="12.75" customHeight="1" x14ac:dyDescent="0.2">
      <c r="A14067" s="258"/>
      <c r="Z14067" s="258"/>
    </row>
    <row r="14068" spans="1:26" ht="12.75" customHeight="1" x14ac:dyDescent="0.2">
      <c r="A14068" s="258"/>
      <c r="Z14068" s="258"/>
    </row>
    <row r="14069" spans="1:26" ht="12.75" customHeight="1" x14ac:dyDescent="0.2">
      <c r="A14069" s="258"/>
      <c r="Z14069" s="258"/>
    </row>
    <row r="14070" spans="1:26" ht="12.75" customHeight="1" x14ac:dyDescent="0.2">
      <c r="A14070" s="258"/>
      <c r="Z14070" s="258"/>
    </row>
    <row r="14071" spans="1:26" ht="12.75" customHeight="1" x14ac:dyDescent="0.2">
      <c r="A14071" s="258"/>
      <c r="Z14071" s="258"/>
    </row>
    <row r="14072" spans="1:26" ht="12.75" customHeight="1" x14ac:dyDescent="0.2">
      <c r="A14072" s="258"/>
      <c r="Z14072" s="258"/>
    </row>
    <row r="14073" spans="1:26" ht="12.75" customHeight="1" x14ac:dyDescent="0.2">
      <c r="A14073" s="258"/>
      <c r="Z14073" s="258"/>
    </row>
    <row r="14074" spans="1:26" ht="12.75" customHeight="1" x14ac:dyDescent="0.2">
      <c r="A14074" s="258"/>
      <c r="Z14074" s="258"/>
    </row>
    <row r="14075" spans="1:26" ht="12.75" customHeight="1" x14ac:dyDescent="0.2">
      <c r="A14075" s="258"/>
      <c r="Z14075" s="258"/>
    </row>
    <row r="14076" spans="1:26" ht="12.75" customHeight="1" x14ac:dyDescent="0.2">
      <c r="A14076" s="258"/>
      <c r="Z14076" s="258"/>
    </row>
    <row r="14077" spans="1:26" ht="12.75" customHeight="1" x14ac:dyDescent="0.2">
      <c r="A14077" s="258"/>
      <c r="Z14077" s="258"/>
    </row>
    <row r="14078" spans="1:26" ht="12.75" customHeight="1" x14ac:dyDescent="0.2">
      <c r="A14078" s="258"/>
      <c r="Z14078" s="258"/>
    </row>
    <row r="14079" spans="1:26" ht="12.75" customHeight="1" x14ac:dyDescent="0.2">
      <c r="A14079" s="258"/>
      <c r="Z14079" s="258"/>
    </row>
    <row r="14080" spans="1:26" ht="12.75" customHeight="1" x14ac:dyDescent="0.2">
      <c r="A14080" s="258"/>
      <c r="Z14080" s="258"/>
    </row>
    <row r="14081" spans="1:26" ht="12.75" customHeight="1" x14ac:dyDescent="0.2">
      <c r="A14081" s="258"/>
      <c r="Z14081" s="258"/>
    </row>
    <row r="14082" spans="1:26" ht="12.75" customHeight="1" x14ac:dyDescent="0.2">
      <c r="A14082" s="258"/>
      <c r="Z14082" s="258"/>
    </row>
    <row r="14083" spans="1:26" ht="12.75" customHeight="1" x14ac:dyDescent="0.2">
      <c r="A14083" s="258"/>
      <c r="Z14083" s="258"/>
    </row>
    <row r="14084" spans="1:26" ht="12.75" customHeight="1" x14ac:dyDescent="0.2">
      <c r="A14084" s="258"/>
      <c r="Z14084" s="258"/>
    </row>
    <row r="14085" spans="1:26" ht="12.75" customHeight="1" x14ac:dyDescent="0.2">
      <c r="A14085" s="258"/>
      <c r="Z14085" s="258"/>
    </row>
    <row r="14086" spans="1:26" ht="12.75" customHeight="1" x14ac:dyDescent="0.2">
      <c r="A14086" s="258"/>
      <c r="Z14086" s="258"/>
    </row>
    <row r="14087" spans="1:26" ht="12.75" customHeight="1" x14ac:dyDescent="0.2">
      <c r="A14087" s="258"/>
      <c r="Z14087" s="258"/>
    </row>
    <row r="14088" spans="1:26" ht="12.75" customHeight="1" x14ac:dyDescent="0.2">
      <c r="A14088" s="258"/>
      <c r="Z14088" s="258"/>
    </row>
    <row r="14089" spans="1:26" ht="12.75" customHeight="1" x14ac:dyDescent="0.2">
      <c r="A14089" s="258"/>
      <c r="Z14089" s="258"/>
    </row>
    <row r="14090" spans="1:26" ht="12.75" customHeight="1" x14ac:dyDescent="0.2">
      <c r="A14090" s="258"/>
      <c r="Z14090" s="258"/>
    </row>
    <row r="14091" spans="1:26" ht="12.75" customHeight="1" x14ac:dyDescent="0.2">
      <c r="A14091" s="258"/>
      <c r="Z14091" s="258"/>
    </row>
    <row r="14092" spans="1:26" ht="12.75" customHeight="1" x14ac:dyDescent="0.2">
      <c r="A14092" s="258"/>
      <c r="Z14092" s="258"/>
    </row>
    <row r="14093" spans="1:26" ht="12.75" customHeight="1" x14ac:dyDescent="0.2">
      <c r="A14093" s="258"/>
      <c r="Z14093" s="258"/>
    </row>
    <row r="14094" spans="1:26" ht="12.75" customHeight="1" x14ac:dyDescent="0.2">
      <c r="A14094" s="258"/>
      <c r="Z14094" s="258"/>
    </row>
    <row r="14095" spans="1:26" ht="12.75" customHeight="1" x14ac:dyDescent="0.2">
      <c r="A14095" s="258"/>
      <c r="Z14095" s="258"/>
    </row>
    <row r="14096" spans="1:26" ht="12.75" customHeight="1" x14ac:dyDescent="0.2">
      <c r="A14096" s="258"/>
      <c r="Z14096" s="258"/>
    </row>
    <row r="14097" spans="1:26" ht="12.75" customHeight="1" x14ac:dyDescent="0.2">
      <c r="A14097" s="258"/>
      <c r="Z14097" s="258"/>
    </row>
    <row r="14098" spans="1:26" ht="12.75" customHeight="1" x14ac:dyDescent="0.2">
      <c r="A14098" s="258"/>
      <c r="Z14098" s="258"/>
    </row>
    <row r="14099" spans="1:26" ht="12.75" customHeight="1" x14ac:dyDescent="0.2">
      <c r="A14099" s="258"/>
      <c r="Z14099" s="258"/>
    </row>
    <row r="14100" spans="1:26" ht="12.75" customHeight="1" x14ac:dyDescent="0.2">
      <c r="A14100" s="258"/>
      <c r="Z14100" s="258"/>
    </row>
    <row r="14101" spans="1:26" ht="12.75" customHeight="1" x14ac:dyDescent="0.2">
      <c r="A14101" s="258"/>
      <c r="Z14101" s="258"/>
    </row>
    <row r="14102" spans="1:26" ht="12.75" customHeight="1" x14ac:dyDescent="0.2">
      <c r="A14102" s="258"/>
      <c r="Z14102" s="258"/>
    </row>
    <row r="14103" spans="1:26" ht="12.75" customHeight="1" x14ac:dyDescent="0.2">
      <c r="A14103" s="258"/>
      <c r="Z14103" s="258"/>
    </row>
    <row r="14104" spans="1:26" ht="12.75" customHeight="1" x14ac:dyDescent="0.2">
      <c r="A14104" s="258"/>
      <c r="Z14104" s="258"/>
    </row>
    <row r="14105" spans="1:26" ht="12.75" customHeight="1" x14ac:dyDescent="0.2">
      <c r="A14105" s="258"/>
      <c r="Z14105" s="258"/>
    </row>
    <row r="14106" spans="1:26" ht="12.75" customHeight="1" x14ac:dyDescent="0.2">
      <c r="A14106" s="258"/>
      <c r="Z14106" s="258"/>
    </row>
    <row r="14107" spans="1:26" ht="12.75" customHeight="1" x14ac:dyDescent="0.2">
      <c r="A14107" s="258"/>
      <c r="Z14107" s="258"/>
    </row>
    <row r="14108" spans="1:26" ht="12.75" customHeight="1" x14ac:dyDescent="0.2">
      <c r="A14108" s="258"/>
      <c r="Z14108" s="258"/>
    </row>
    <row r="14109" spans="1:26" ht="12.75" customHeight="1" x14ac:dyDescent="0.2">
      <c r="A14109" s="258"/>
      <c r="Z14109" s="258"/>
    </row>
    <row r="14110" spans="1:26" ht="12.75" customHeight="1" x14ac:dyDescent="0.2">
      <c r="A14110" s="258"/>
      <c r="Z14110" s="258"/>
    </row>
    <row r="14111" spans="1:26" ht="12.75" customHeight="1" x14ac:dyDescent="0.2">
      <c r="A14111" s="258"/>
      <c r="Z14111" s="258"/>
    </row>
    <row r="14112" spans="1:26" ht="12.75" customHeight="1" x14ac:dyDescent="0.2">
      <c r="A14112" s="258"/>
      <c r="Z14112" s="258"/>
    </row>
    <row r="14113" spans="1:26" ht="12.75" customHeight="1" x14ac:dyDescent="0.2">
      <c r="A14113" s="258"/>
      <c r="Z14113" s="258"/>
    </row>
    <row r="14114" spans="1:26" ht="12.75" customHeight="1" x14ac:dyDescent="0.2">
      <c r="A14114" s="258"/>
      <c r="Z14114" s="258"/>
    </row>
    <row r="14115" spans="1:26" ht="12.75" customHeight="1" x14ac:dyDescent="0.2">
      <c r="A14115" s="258"/>
      <c r="Z14115" s="258"/>
    </row>
    <row r="14116" spans="1:26" ht="12.75" customHeight="1" x14ac:dyDescent="0.2">
      <c r="A14116" s="258"/>
      <c r="Z14116" s="258"/>
    </row>
    <row r="14117" spans="1:26" ht="12.75" customHeight="1" x14ac:dyDescent="0.2">
      <c r="A14117" s="258"/>
      <c r="Z14117" s="258"/>
    </row>
    <row r="14118" spans="1:26" ht="12.75" customHeight="1" x14ac:dyDescent="0.2">
      <c r="A14118" s="258"/>
      <c r="Z14118" s="258"/>
    </row>
    <row r="14119" spans="1:26" ht="12.75" customHeight="1" x14ac:dyDescent="0.2">
      <c r="A14119" s="258"/>
      <c r="Z14119" s="258"/>
    </row>
    <row r="14120" spans="1:26" ht="12.75" customHeight="1" x14ac:dyDescent="0.2">
      <c r="A14120" s="258"/>
      <c r="Z14120" s="258"/>
    </row>
    <row r="14121" spans="1:26" ht="12.75" customHeight="1" x14ac:dyDescent="0.2">
      <c r="A14121" s="258"/>
      <c r="Z14121" s="258"/>
    </row>
    <row r="14122" spans="1:26" ht="12.75" customHeight="1" x14ac:dyDescent="0.2">
      <c r="A14122" s="258"/>
      <c r="Z14122" s="258"/>
    </row>
    <row r="14123" spans="1:26" ht="12.75" customHeight="1" x14ac:dyDescent="0.2">
      <c r="A14123" s="258"/>
      <c r="Z14123" s="258"/>
    </row>
    <row r="14124" spans="1:26" ht="12.75" customHeight="1" x14ac:dyDescent="0.2">
      <c r="A14124" s="258"/>
      <c r="Z14124" s="258"/>
    </row>
    <row r="14125" spans="1:26" ht="12.75" customHeight="1" x14ac:dyDescent="0.2">
      <c r="A14125" s="258"/>
      <c r="Z14125" s="258"/>
    </row>
    <row r="14126" spans="1:26" ht="12.75" customHeight="1" x14ac:dyDescent="0.2">
      <c r="A14126" s="258"/>
      <c r="Z14126" s="258"/>
    </row>
    <row r="14127" spans="1:26" ht="12.75" customHeight="1" x14ac:dyDescent="0.2">
      <c r="A14127" s="258"/>
      <c r="Z14127" s="258"/>
    </row>
    <row r="14128" spans="1:26" ht="12.75" customHeight="1" x14ac:dyDescent="0.2">
      <c r="A14128" s="258"/>
      <c r="Z14128" s="258"/>
    </row>
    <row r="14129" spans="1:26" ht="12.75" customHeight="1" x14ac:dyDescent="0.2">
      <c r="A14129" s="258"/>
      <c r="Z14129" s="258"/>
    </row>
    <row r="14130" spans="1:26" ht="12.75" customHeight="1" x14ac:dyDescent="0.2">
      <c r="A14130" s="258"/>
      <c r="Z14130" s="258"/>
    </row>
    <row r="14131" spans="1:26" ht="12.75" customHeight="1" x14ac:dyDescent="0.2">
      <c r="A14131" s="258"/>
      <c r="Z14131" s="258"/>
    </row>
    <row r="14132" spans="1:26" ht="12.75" customHeight="1" x14ac:dyDescent="0.2">
      <c r="A14132" s="258"/>
      <c r="Z14132" s="258"/>
    </row>
    <row r="14133" spans="1:26" ht="12.75" customHeight="1" x14ac:dyDescent="0.2">
      <c r="A14133" s="258"/>
      <c r="Z14133" s="258"/>
    </row>
    <row r="14134" spans="1:26" ht="12.75" customHeight="1" x14ac:dyDescent="0.2">
      <c r="A14134" s="258"/>
      <c r="Z14134" s="258"/>
    </row>
    <row r="14135" spans="1:26" ht="12.75" customHeight="1" x14ac:dyDescent="0.2">
      <c r="A14135" s="258"/>
      <c r="Z14135" s="258"/>
    </row>
    <row r="14136" spans="1:26" ht="12.75" customHeight="1" x14ac:dyDescent="0.2">
      <c r="A14136" s="258"/>
      <c r="Z14136" s="258"/>
    </row>
    <row r="14137" spans="1:26" ht="12.75" customHeight="1" x14ac:dyDescent="0.2">
      <c r="A14137" s="258"/>
      <c r="Z14137" s="258"/>
    </row>
    <row r="14138" spans="1:26" ht="12.75" customHeight="1" x14ac:dyDescent="0.2">
      <c r="A14138" s="258"/>
      <c r="Z14138" s="258"/>
    </row>
    <row r="14139" spans="1:26" ht="12.75" customHeight="1" x14ac:dyDescent="0.2">
      <c r="A14139" s="258"/>
      <c r="Z14139" s="258"/>
    </row>
    <row r="14140" spans="1:26" ht="12.75" customHeight="1" x14ac:dyDescent="0.2">
      <c r="A14140" s="258"/>
      <c r="Z14140" s="258"/>
    </row>
    <row r="14141" spans="1:26" ht="12.75" customHeight="1" x14ac:dyDescent="0.2">
      <c r="A14141" s="258"/>
      <c r="Z14141" s="258"/>
    </row>
    <row r="14142" spans="1:26" ht="12.75" customHeight="1" x14ac:dyDescent="0.2">
      <c r="A14142" s="258"/>
      <c r="Z14142" s="258"/>
    </row>
    <row r="14143" spans="1:26" ht="12.75" customHeight="1" x14ac:dyDescent="0.2">
      <c r="A14143" s="258"/>
      <c r="Z14143" s="258"/>
    </row>
    <row r="14144" spans="1:26" ht="12.75" customHeight="1" x14ac:dyDescent="0.2">
      <c r="A14144" s="258"/>
      <c r="Z14144" s="258"/>
    </row>
    <row r="14145" spans="1:26" ht="12.75" customHeight="1" x14ac:dyDescent="0.2">
      <c r="A14145" s="258"/>
      <c r="Z14145" s="258"/>
    </row>
    <row r="14146" spans="1:26" ht="12.75" customHeight="1" x14ac:dyDescent="0.2">
      <c r="A14146" s="258"/>
      <c r="Z14146" s="258"/>
    </row>
    <row r="14147" spans="1:26" ht="12.75" customHeight="1" x14ac:dyDescent="0.2">
      <c r="A14147" s="258"/>
      <c r="Z14147" s="258"/>
    </row>
    <row r="14148" spans="1:26" ht="12.75" customHeight="1" x14ac:dyDescent="0.2">
      <c r="A14148" s="258"/>
      <c r="Z14148" s="258"/>
    </row>
    <row r="14149" spans="1:26" ht="12.75" customHeight="1" x14ac:dyDescent="0.2">
      <c r="A14149" s="258"/>
      <c r="Z14149" s="258"/>
    </row>
    <row r="14150" spans="1:26" ht="12.75" customHeight="1" x14ac:dyDescent="0.2">
      <c r="A14150" s="258"/>
      <c r="Z14150" s="258"/>
    </row>
    <row r="14151" spans="1:26" ht="12.75" customHeight="1" x14ac:dyDescent="0.2">
      <c r="A14151" s="258"/>
      <c r="Z14151" s="258"/>
    </row>
    <row r="14152" spans="1:26" ht="12.75" customHeight="1" x14ac:dyDescent="0.2">
      <c r="A14152" s="258"/>
      <c r="Z14152" s="258"/>
    </row>
    <row r="14153" spans="1:26" ht="12.75" customHeight="1" x14ac:dyDescent="0.2">
      <c r="A14153" s="258"/>
      <c r="Z14153" s="258"/>
    </row>
    <row r="14154" spans="1:26" ht="12.75" customHeight="1" x14ac:dyDescent="0.2">
      <c r="A14154" s="258"/>
      <c r="Z14154" s="258"/>
    </row>
    <row r="14155" spans="1:26" ht="12.75" customHeight="1" x14ac:dyDescent="0.2">
      <c r="A14155" s="258"/>
      <c r="Z14155" s="258"/>
    </row>
    <row r="14156" spans="1:26" ht="12.75" customHeight="1" x14ac:dyDescent="0.2">
      <c r="A14156" s="258"/>
      <c r="Z14156" s="258"/>
    </row>
    <row r="14157" spans="1:26" ht="12.75" customHeight="1" x14ac:dyDescent="0.2">
      <c r="A14157" s="258"/>
      <c r="Z14157" s="258"/>
    </row>
    <row r="14158" spans="1:26" ht="12.75" customHeight="1" x14ac:dyDescent="0.2">
      <c r="A14158" s="258"/>
      <c r="Z14158" s="258"/>
    </row>
    <row r="14159" spans="1:26" ht="12.75" customHeight="1" x14ac:dyDescent="0.2">
      <c r="A14159" s="258"/>
      <c r="Z14159" s="258"/>
    </row>
    <row r="14160" spans="1:26" ht="12.75" customHeight="1" x14ac:dyDescent="0.2">
      <c r="A14160" s="258"/>
      <c r="Z14160" s="258"/>
    </row>
    <row r="14161" spans="1:26" ht="12.75" customHeight="1" x14ac:dyDescent="0.2">
      <c r="A14161" s="258"/>
      <c r="Z14161" s="258"/>
    </row>
    <row r="14162" spans="1:26" ht="12.75" customHeight="1" x14ac:dyDescent="0.2">
      <c r="A14162" s="258"/>
      <c r="Z14162" s="258"/>
    </row>
    <row r="14163" spans="1:26" ht="12.75" customHeight="1" x14ac:dyDescent="0.2">
      <c r="A14163" s="258"/>
      <c r="Z14163" s="258"/>
    </row>
    <row r="14164" spans="1:26" ht="12.75" customHeight="1" x14ac:dyDescent="0.2">
      <c r="A14164" s="258"/>
      <c r="Z14164" s="258"/>
    </row>
    <row r="14165" spans="1:26" ht="12.75" customHeight="1" x14ac:dyDescent="0.2">
      <c r="A14165" s="258"/>
      <c r="Z14165" s="258"/>
    </row>
    <row r="14166" spans="1:26" ht="12.75" customHeight="1" x14ac:dyDescent="0.2">
      <c r="A14166" s="258"/>
      <c r="Z14166" s="258"/>
    </row>
    <row r="14167" spans="1:26" ht="12.75" customHeight="1" x14ac:dyDescent="0.2">
      <c r="A14167" s="258"/>
      <c r="Z14167" s="258"/>
    </row>
    <row r="14168" spans="1:26" ht="12.75" customHeight="1" x14ac:dyDescent="0.2">
      <c r="A14168" s="258"/>
      <c r="Z14168" s="258"/>
    </row>
    <row r="14169" spans="1:26" ht="12.75" customHeight="1" x14ac:dyDescent="0.2">
      <c r="A14169" s="258"/>
      <c r="Z14169" s="258"/>
    </row>
    <row r="14170" spans="1:26" ht="12.75" customHeight="1" x14ac:dyDescent="0.2">
      <c r="A14170" s="258"/>
      <c r="Z14170" s="258"/>
    </row>
    <row r="14171" spans="1:26" ht="12.75" customHeight="1" x14ac:dyDescent="0.2">
      <c r="A14171" s="258"/>
      <c r="Z14171" s="258"/>
    </row>
    <row r="14172" spans="1:26" ht="12.75" customHeight="1" x14ac:dyDescent="0.2">
      <c r="A14172" s="258"/>
      <c r="Z14172" s="258"/>
    </row>
    <row r="14173" spans="1:26" ht="12.75" customHeight="1" x14ac:dyDescent="0.2">
      <c r="A14173" s="258"/>
      <c r="Z14173" s="258"/>
    </row>
    <row r="14174" spans="1:26" ht="12.75" customHeight="1" x14ac:dyDescent="0.2">
      <c r="A14174" s="258"/>
      <c r="Z14174" s="258"/>
    </row>
    <row r="14175" spans="1:26" ht="12.75" customHeight="1" x14ac:dyDescent="0.2">
      <c r="A14175" s="258"/>
      <c r="Z14175" s="258"/>
    </row>
    <row r="14176" spans="1:26" ht="12.75" customHeight="1" x14ac:dyDescent="0.2">
      <c r="A14176" s="258"/>
      <c r="Z14176" s="258"/>
    </row>
    <row r="14177" spans="1:26" ht="12.75" customHeight="1" x14ac:dyDescent="0.2">
      <c r="A14177" s="258"/>
      <c r="Z14177" s="258"/>
    </row>
    <row r="14178" spans="1:26" ht="12.75" customHeight="1" x14ac:dyDescent="0.2">
      <c r="A14178" s="258"/>
      <c r="Z14178" s="258"/>
    </row>
    <row r="14179" spans="1:26" ht="12.75" customHeight="1" x14ac:dyDescent="0.2">
      <c r="A14179" s="258"/>
      <c r="Z14179" s="258"/>
    </row>
    <row r="14180" spans="1:26" ht="12.75" customHeight="1" x14ac:dyDescent="0.2">
      <c r="A14180" s="258"/>
      <c r="Z14180" s="258"/>
    </row>
    <row r="14181" spans="1:26" ht="12.75" customHeight="1" x14ac:dyDescent="0.2">
      <c r="A14181" s="258"/>
      <c r="Z14181" s="258"/>
    </row>
    <row r="14182" spans="1:26" ht="12.75" customHeight="1" x14ac:dyDescent="0.2">
      <c r="A14182" s="258"/>
      <c r="Z14182" s="258"/>
    </row>
    <row r="14183" spans="1:26" ht="12.75" customHeight="1" x14ac:dyDescent="0.2">
      <c r="A14183" s="258"/>
      <c r="Z14183" s="258"/>
    </row>
    <row r="14184" spans="1:26" ht="12.75" customHeight="1" x14ac:dyDescent="0.2">
      <c r="A14184" s="258"/>
      <c r="Z14184" s="258"/>
    </row>
    <row r="14185" spans="1:26" ht="12.75" customHeight="1" x14ac:dyDescent="0.2">
      <c r="A14185" s="258"/>
      <c r="Z14185" s="258"/>
    </row>
    <row r="14186" spans="1:26" ht="12.75" customHeight="1" x14ac:dyDescent="0.2">
      <c r="A14186" s="258"/>
      <c r="Z14186" s="258"/>
    </row>
    <row r="14187" spans="1:26" ht="12.75" customHeight="1" x14ac:dyDescent="0.2">
      <c r="A14187" s="258"/>
      <c r="Z14187" s="258"/>
    </row>
    <row r="14188" spans="1:26" ht="12.75" customHeight="1" x14ac:dyDescent="0.2">
      <c r="A14188" s="258"/>
      <c r="Z14188" s="258"/>
    </row>
    <row r="14189" spans="1:26" ht="12.75" customHeight="1" x14ac:dyDescent="0.2">
      <c r="A14189" s="258"/>
      <c r="Z14189" s="258"/>
    </row>
    <row r="14190" spans="1:26" ht="12.75" customHeight="1" x14ac:dyDescent="0.2">
      <c r="A14190" s="258"/>
      <c r="Z14190" s="258"/>
    </row>
    <row r="14191" spans="1:26" ht="12.75" customHeight="1" x14ac:dyDescent="0.2">
      <c r="A14191" s="258"/>
      <c r="Z14191" s="258"/>
    </row>
    <row r="14192" spans="1:26" ht="12.75" customHeight="1" x14ac:dyDescent="0.2">
      <c r="A14192" s="258"/>
      <c r="Z14192" s="258"/>
    </row>
    <row r="14193" spans="1:26" ht="12.75" customHeight="1" x14ac:dyDescent="0.2">
      <c r="A14193" s="258"/>
      <c r="Z14193" s="258"/>
    </row>
    <row r="14194" spans="1:26" ht="12.75" customHeight="1" x14ac:dyDescent="0.2">
      <c r="A14194" s="258"/>
      <c r="Z14194" s="258"/>
    </row>
    <row r="14195" spans="1:26" ht="12.75" customHeight="1" x14ac:dyDescent="0.2">
      <c r="A14195" s="258"/>
      <c r="Z14195" s="258"/>
    </row>
    <row r="14196" spans="1:26" ht="12.75" customHeight="1" x14ac:dyDescent="0.2">
      <c r="A14196" s="258"/>
      <c r="Z14196" s="258"/>
    </row>
    <row r="14197" spans="1:26" ht="12.75" customHeight="1" x14ac:dyDescent="0.2">
      <c r="A14197" s="258"/>
      <c r="Z14197" s="258"/>
    </row>
    <row r="14198" spans="1:26" ht="12.75" customHeight="1" x14ac:dyDescent="0.2">
      <c r="A14198" s="258"/>
      <c r="Z14198" s="258"/>
    </row>
    <row r="14199" spans="1:26" ht="12.75" customHeight="1" x14ac:dyDescent="0.2">
      <c r="A14199" s="258"/>
      <c r="Z14199" s="258"/>
    </row>
    <row r="14200" spans="1:26" ht="12.75" customHeight="1" x14ac:dyDescent="0.2">
      <c r="A14200" s="258"/>
      <c r="Z14200" s="258"/>
    </row>
    <row r="14201" spans="1:26" ht="12.75" customHeight="1" x14ac:dyDescent="0.2">
      <c r="A14201" s="258"/>
      <c r="Z14201" s="258"/>
    </row>
    <row r="14202" spans="1:26" ht="12.75" customHeight="1" x14ac:dyDescent="0.2">
      <c r="A14202" s="258"/>
      <c r="Z14202" s="258"/>
    </row>
    <row r="14203" spans="1:26" ht="12.75" customHeight="1" x14ac:dyDescent="0.2">
      <c r="A14203" s="258"/>
      <c r="Z14203" s="258"/>
    </row>
    <row r="14204" spans="1:26" ht="12.75" customHeight="1" x14ac:dyDescent="0.2">
      <c r="A14204" s="258"/>
      <c r="Z14204" s="258"/>
    </row>
    <row r="14205" spans="1:26" ht="12.75" customHeight="1" x14ac:dyDescent="0.2">
      <c r="A14205" s="258"/>
      <c r="Z14205" s="258"/>
    </row>
    <row r="14206" spans="1:26" ht="12.75" customHeight="1" x14ac:dyDescent="0.2">
      <c r="A14206" s="258"/>
      <c r="Z14206" s="258"/>
    </row>
    <row r="14207" spans="1:26" ht="12.75" customHeight="1" x14ac:dyDescent="0.2">
      <c r="A14207" s="258"/>
      <c r="Z14207" s="258"/>
    </row>
    <row r="14208" spans="1:26" ht="12.75" customHeight="1" x14ac:dyDescent="0.2">
      <c r="A14208" s="258"/>
      <c r="Z14208" s="258"/>
    </row>
    <row r="14209" spans="1:26" ht="12.75" customHeight="1" x14ac:dyDescent="0.2">
      <c r="A14209" s="258"/>
      <c r="Z14209" s="258"/>
    </row>
    <row r="14210" spans="1:26" ht="12.75" customHeight="1" x14ac:dyDescent="0.2">
      <c r="A14210" s="258"/>
      <c r="Z14210" s="258"/>
    </row>
    <row r="14211" spans="1:26" ht="12.75" customHeight="1" x14ac:dyDescent="0.2">
      <c r="A14211" s="258"/>
      <c r="Z14211" s="258"/>
    </row>
    <row r="14212" spans="1:26" ht="12.75" customHeight="1" x14ac:dyDescent="0.2">
      <c r="A14212" s="258"/>
      <c r="Z14212" s="258"/>
    </row>
    <row r="14213" spans="1:26" ht="12.75" customHeight="1" x14ac:dyDescent="0.2">
      <c r="A14213" s="258"/>
      <c r="Z14213" s="258"/>
    </row>
    <row r="14214" spans="1:26" ht="12.75" customHeight="1" x14ac:dyDescent="0.2">
      <c r="A14214" s="258"/>
      <c r="Z14214" s="258"/>
    </row>
    <row r="14215" spans="1:26" ht="12.75" customHeight="1" x14ac:dyDescent="0.2">
      <c r="A14215" s="258"/>
      <c r="Z14215" s="258"/>
    </row>
    <row r="14216" spans="1:26" ht="12.75" customHeight="1" x14ac:dyDescent="0.2">
      <c r="A14216" s="258"/>
      <c r="Z14216" s="258"/>
    </row>
    <row r="14217" spans="1:26" ht="12.75" customHeight="1" x14ac:dyDescent="0.2">
      <c r="A14217" s="258"/>
      <c r="Z14217" s="258"/>
    </row>
    <row r="14218" spans="1:26" ht="12.75" customHeight="1" x14ac:dyDescent="0.2">
      <c r="A14218" s="258"/>
      <c r="Z14218" s="258"/>
    </row>
    <row r="14219" spans="1:26" ht="12.75" customHeight="1" x14ac:dyDescent="0.2">
      <c r="A14219" s="258"/>
      <c r="Z14219" s="258"/>
    </row>
    <row r="14220" spans="1:26" ht="12.75" customHeight="1" x14ac:dyDescent="0.2">
      <c r="A14220" s="258"/>
      <c r="Z14220" s="258"/>
    </row>
    <row r="14221" spans="1:26" ht="12.75" customHeight="1" x14ac:dyDescent="0.2">
      <c r="A14221" s="258"/>
      <c r="Z14221" s="258"/>
    </row>
    <row r="14222" spans="1:26" ht="12.75" customHeight="1" x14ac:dyDescent="0.2">
      <c r="A14222" s="258"/>
      <c r="Z14222" s="258"/>
    </row>
    <row r="14223" spans="1:26" ht="12.75" customHeight="1" x14ac:dyDescent="0.2">
      <c r="A14223" s="258"/>
      <c r="Z14223" s="258"/>
    </row>
    <row r="14224" spans="1:26" ht="12.75" customHeight="1" x14ac:dyDescent="0.2">
      <c r="A14224" s="258"/>
      <c r="Z14224" s="258"/>
    </row>
    <row r="14225" spans="1:26" ht="12.75" customHeight="1" x14ac:dyDescent="0.2">
      <c r="A14225" s="258"/>
      <c r="Z14225" s="258"/>
    </row>
    <row r="14226" spans="1:26" ht="12.75" customHeight="1" x14ac:dyDescent="0.2">
      <c r="A14226" s="258"/>
      <c r="Z14226" s="258"/>
    </row>
    <row r="14227" spans="1:26" ht="12.75" customHeight="1" x14ac:dyDescent="0.2">
      <c r="A14227" s="258"/>
      <c r="Z14227" s="258"/>
    </row>
    <row r="14228" spans="1:26" ht="12.75" customHeight="1" x14ac:dyDescent="0.2">
      <c r="A14228" s="258"/>
      <c r="Z14228" s="258"/>
    </row>
    <row r="14229" spans="1:26" ht="12.75" customHeight="1" x14ac:dyDescent="0.2">
      <c r="A14229" s="258"/>
      <c r="Z14229" s="258"/>
    </row>
    <row r="14230" spans="1:26" ht="12.75" customHeight="1" x14ac:dyDescent="0.2">
      <c r="A14230" s="258"/>
      <c r="Z14230" s="258"/>
    </row>
    <row r="14231" spans="1:26" ht="12.75" customHeight="1" x14ac:dyDescent="0.2">
      <c r="A14231" s="258"/>
      <c r="Z14231" s="258"/>
    </row>
    <row r="14232" spans="1:26" ht="12.75" customHeight="1" x14ac:dyDescent="0.2">
      <c r="A14232" s="258"/>
      <c r="Z14232" s="258"/>
    </row>
    <row r="14233" spans="1:26" ht="12.75" customHeight="1" x14ac:dyDescent="0.2">
      <c r="A14233" s="258"/>
      <c r="Z14233" s="258"/>
    </row>
    <row r="14234" spans="1:26" ht="12.75" customHeight="1" x14ac:dyDescent="0.2">
      <c r="A14234" s="258"/>
      <c r="Z14234" s="258"/>
    </row>
    <row r="14235" spans="1:26" ht="12.75" customHeight="1" x14ac:dyDescent="0.2">
      <c r="A14235" s="258"/>
      <c r="Z14235" s="258"/>
    </row>
    <row r="14236" spans="1:26" ht="12.75" customHeight="1" x14ac:dyDescent="0.2">
      <c r="A14236" s="258"/>
      <c r="Z14236" s="258"/>
    </row>
    <row r="14237" spans="1:26" ht="12.75" customHeight="1" x14ac:dyDescent="0.2">
      <c r="A14237" s="258"/>
      <c r="Z14237" s="258"/>
    </row>
    <row r="14238" spans="1:26" ht="12.75" customHeight="1" x14ac:dyDescent="0.2">
      <c r="A14238" s="258"/>
      <c r="Z14238" s="258"/>
    </row>
    <row r="14239" spans="1:26" ht="12.75" customHeight="1" x14ac:dyDescent="0.2">
      <c r="A14239" s="258"/>
      <c r="Z14239" s="258"/>
    </row>
    <row r="14240" spans="1:26" ht="12.75" customHeight="1" x14ac:dyDescent="0.2">
      <c r="A14240" s="258"/>
      <c r="Z14240" s="258"/>
    </row>
    <row r="14241" spans="1:26" ht="12.75" customHeight="1" x14ac:dyDescent="0.2">
      <c r="A14241" s="258"/>
      <c r="Z14241" s="258"/>
    </row>
    <row r="14242" spans="1:26" ht="12.75" customHeight="1" x14ac:dyDescent="0.2">
      <c r="A14242" s="258"/>
      <c r="Z14242" s="258"/>
    </row>
    <row r="14243" spans="1:26" ht="12.75" customHeight="1" x14ac:dyDescent="0.2">
      <c r="A14243" s="258"/>
      <c r="Z14243" s="258"/>
    </row>
    <row r="14244" spans="1:26" ht="12.75" customHeight="1" x14ac:dyDescent="0.2">
      <c r="A14244" s="258"/>
      <c r="Z14244" s="258"/>
    </row>
    <row r="14245" spans="1:26" ht="12.75" customHeight="1" x14ac:dyDescent="0.2">
      <c r="A14245" s="258"/>
      <c r="Z14245" s="258"/>
    </row>
    <row r="14246" spans="1:26" ht="12.75" customHeight="1" x14ac:dyDescent="0.2">
      <c r="A14246" s="258"/>
      <c r="Z14246" s="258"/>
    </row>
    <row r="14247" spans="1:26" ht="12.75" customHeight="1" x14ac:dyDescent="0.2">
      <c r="A14247" s="258"/>
      <c r="Z14247" s="258"/>
    </row>
    <row r="14248" spans="1:26" ht="12.75" customHeight="1" x14ac:dyDescent="0.2">
      <c r="A14248" s="258"/>
      <c r="Z14248" s="258"/>
    </row>
    <row r="14249" spans="1:26" ht="12.75" customHeight="1" x14ac:dyDescent="0.2">
      <c r="A14249" s="258"/>
      <c r="Z14249" s="258"/>
    </row>
    <row r="14250" spans="1:26" ht="12.75" customHeight="1" x14ac:dyDescent="0.2">
      <c r="A14250" s="258"/>
      <c r="Z14250" s="258"/>
    </row>
    <row r="14251" spans="1:26" ht="12.75" customHeight="1" x14ac:dyDescent="0.2">
      <c r="A14251" s="258"/>
      <c r="Z14251" s="258"/>
    </row>
    <row r="14252" spans="1:26" ht="12.75" customHeight="1" x14ac:dyDescent="0.2">
      <c r="A14252" s="258"/>
      <c r="Z14252" s="258"/>
    </row>
    <row r="14253" spans="1:26" ht="12.75" customHeight="1" x14ac:dyDescent="0.2">
      <c r="A14253" s="258"/>
      <c r="Z14253" s="258"/>
    </row>
    <row r="14254" spans="1:26" ht="12.75" customHeight="1" x14ac:dyDescent="0.2">
      <c r="A14254" s="258"/>
      <c r="Z14254" s="258"/>
    </row>
    <row r="14255" spans="1:26" ht="12.75" customHeight="1" x14ac:dyDescent="0.2">
      <c r="A14255" s="258"/>
      <c r="Z14255" s="258"/>
    </row>
    <row r="14256" spans="1:26" ht="12.75" customHeight="1" x14ac:dyDescent="0.2">
      <c r="A14256" s="258"/>
      <c r="Z14256" s="258"/>
    </row>
    <row r="14257" spans="1:26" ht="12.75" customHeight="1" x14ac:dyDescent="0.2">
      <c r="A14257" s="258"/>
      <c r="Z14257" s="258"/>
    </row>
    <row r="14258" spans="1:26" ht="12.75" customHeight="1" x14ac:dyDescent="0.2">
      <c r="A14258" s="258"/>
      <c r="Z14258" s="258"/>
    </row>
    <row r="14259" spans="1:26" ht="12.75" customHeight="1" x14ac:dyDescent="0.2">
      <c r="A14259" s="258"/>
      <c r="Z14259" s="258"/>
    </row>
    <row r="14260" spans="1:26" ht="12.75" customHeight="1" x14ac:dyDescent="0.2">
      <c r="A14260" s="258"/>
      <c r="Z14260" s="258"/>
    </row>
    <row r="14261" spans="1:26" ht="12.75" customHeight="1" x14ac:dyDescent="0.2">
      <c r="A14261" s="258"/>
      <c r="Z14261" s="258"/>
    </row>
    <row r="14262" spans="1:26" ht="12.75" customHeight="1" x14ac:dyDescent="0.2">
      <c r="A14262" s="258"/>
      <c r="Z14262" s="258"/>
    </row>
    <row r="14263" spans="1:26" ht="12.75" customHeight="1" x14ac:dyDescent="0.2">
      <c r="A14263" s="258"/>
      <c r="Z14263" s="258"/>
    </row>
    <row r="14264" spans="1:26" ht="12.75" customHeight="1" x14ac:dyDescent="0.2">
      <c r="A14264" s="258"/>
      <c r="Z14264" s="258"/>
    </row>
    <row r="14265" spans="1:26" ht="12.75" customHeight="1" x14ac:dyDescent="0.2">
      <c r="A14265" s="258"/>
      <c r="Z14265" s="258"/>
    </row>
    <row r="14266" spans="1:26" ht="12.75" customHeight="1" x14ac:dyDescent="0.2">
      <c r="A14266" s="258"/>
      <c r="Z14266" s="258"/>
    </row>
    <row r="14267" spans="1:26" ht="12.75" customHeight="1" x14ac:dyDescent="0.2">
      <c r="A14267" s="258"/>
      <c r="Z14267" s="258"/>
    </row>
    <row r="14268" spans="1:26" ht="12.75" customHeight="1" x14ac:dyDescent="0.2">
      <c r="A14268" s="258"/>
      <c r="Z14268" s="258"/>
    </row>
    <row r="14269" spans="1:26" ht="12.75" customHeight="1" x14ac:dyDescent="0.2">
      <c r="A14269" s="258"/>
      <c r="Z14269" s="258"/>
    </row>
    <row r="14270" spans="1:26" ht="12.75" customHeight="1" x14ac:dyDescent="0.2">
      <c r="A14270" s="258"/>
      <c r="Z14270" s="258"/>
    </row>
    <row r="14271" spans="1:26" ht="12.75" customHeight="1" x14ac:dyDescent="0.2">
      <c r="A14271" s="258"/>
      <c r="Z14271" s="258"/>
    </row>
    <row r="14272" spans="1:26" ht="12.75" customHeight="1" x14ac:dyDescent="0.2">
      <c r="A14272" s="258"/>
      <c r="Z14272" s="258"/>
    </row>
    <row r="14273" spans="1:26" ht="12.75" customHeight="1" x14ac:dyDescent="0.2">
      <c r="A14273" s="258"/>
      <c r="Z14273" s="258"/>
    </row>
    <row r="14274" spans="1:26" ht="12.75" customHeight="1" x14ac:dyDescent="0.2">
      <c r="A14274" s="258"/>
      <c r="Z14274" s="258"/>
    </row>
    <row r="14275" spans="1:26" ht="12.75" customHeight="1" x14ac:dyDescent="0.2">
      <c r="A14275" s="258"/>
      <c r="Z14275" s="258"/>
    </row>
    <row r="14276" spans="1:26" ht="12.75" customHeight="1" x14ac:dyDescent="0.2">
      <c r="A14276" s="258"/>
      <c r="Z14276" s="258"/>
    </row>
    <row r="14277" spans="1:26" ht="12.75" customHeight="1" x14ac:dyDescent="0.2">
      <c r="A14277" s="258"/>
      <c r="Z14277" s="258"/>
    </row>
    <row r="14278" spans="1:26" ht="12.75" customHeight="1" x14ac:dyDescent="0.2">
      <c r="A14278" s="258"/>
      <c r="Z14278" s="258"/>
    </row>
    <row r="14279" spans="1:26" ht="12.75" customHeight="1" x14ac:dyDescent="0.2">
      <c r="A14279" s="258"/>
      <c r="Z14279" s="258"/>
    </row>
    <row r="14280" spans="1:26" ht="12.75" customHeight="1" x14ac:dyDescent="0.2">
      <c r="A14280" s="258"/>
      <c r="Z14280" s="258"/>
    </row>
    <row r="14281" spans="1:26" ht="12.75" customHeight="1" x14ac:dyDescent="0.2">
      <c r="A14281" s="258"/>
      <c r="Z14281" s="258"/>
    </row>
    <row r="14282" spans="1:26" ht="12.75" customHeight="1" x14ac:dyDescent="0.2">
      <c r="A14282" s="258"/>
      <c r="Z14282" s="258"/>
    </row>
    <row r="14283" spans="1:26" ht="12.75" customHeight="1" x14ac:dyDescent="0.2">
      <c r="A14283" s="258"/>
      <c r="Z14283" s="258"/>
    </row>
    <row r="14284" spans="1:26" ht="12.75" customHeight="1" x14ac:dyDescent="0.2">
      <c r="A14284" s="258"/>
      <c r="Z14284" s="258"/>
    </row>
    <row r="14285" spans="1:26" ht="12.75" customHeight="1" x14ac:dyDescent="0.2">
      <c r="A14285" s="258"/>
      <c r="Z14285" s="258"/>
    </row>
    <row r="14286" spans="1:26" ht="12.75" customHeight="1" x14ac:dyDescent="0.2">
      <c r="A14286" s="258"/>
      <c r="Z14286" s="258"/>
    </row>
    <row r="14287" spans="1:26" ht="12.75" customHeight="1" x14ac:dyDescent="0.2">
      <c r="A14287" s="258"/>
      <c r="Z14287" s="258"/>
    </row>
    <row r="14288" spans="1:26" ht="12.75" customHeight="1" x14ac:dyDescent="0.2">
      <c r="A14288" s="258"/>
      <c r="Z14288" s="258"/>
    </row>
    <row r="14289" spans="1:26" ht="12.75" customHeight="1" x14ac:dyDescent="0.2">
      <c r="A14289" s="258"/>
      <c r="Z14289" s="258"/>
    </row>
    <row r="14290" spans="1:26" ht="12.75" customHeight="1" x14ac:dyDescent="0.2">
      <c r="A14290" s="258"/>
      <c r="Z14290" s="258"/>
    </row>
    <row r="14291" spans="1:26" ht="12.75" customHeight="1" x14ac:dyDescent="0.2">
      <c r="A14291" s="258"/>
      <c r="Z14291" s="258"/>
    </row>
    <row r="14292" spans="1:26" ht="12.75" customHeight="1" x14ac:dyDescent="0.2">
      <c r="A14292" s="258"/>
      <c r="Z14292" s="258"/>
    </row>
    <row r="14293" spans="1:26" ht="12.75" customHeight="1" x14ac:dyDescent="0.2">
      <c r="A14293" s="258"/>
      <c r="Z14293" s="258"/>
    </row>
    <row r="14294" spans="1:26" ht="12.75" customHeight="1" x14ac:dyDescent="0.2">
      <c r="A14294" s="258"/>
      <c r="Z14294" s="258"/>
    </row>
    <row r="14295" spans="1:26" ht="12.75" customHeight="1" x14ac:dyDescent="0.2">
      <c r="A14295" s="258"/>
      <c r="Z14295" s="258"/>
    </row>
    <row r="14296" spans="1:26" ht="12.75" customHeight="1" x14ac:dyDescent="0.2">
      <c r="A14296" s="258"/>
      <c r="Z14296" s="258"/>
    </row>
    <row r="14297" spans="1:26" ht="12.75" customHeight="1" x14ac:dyDescent="0.2">
      <c r="A14297" s="258"/>
      <c r="Z14297" s="258"/>
    </row>
    <row r="14298" spans="1:26" ht="12.75" customHeight="1" x14ac:dyDescent="0.2">
      <c r="A14298" s="258"/>
      <c r="Z14298" s="258"/>
    </row>
    <row r="14299" spans="1:26" ht="12.75" customHeight="1" x14ac:dyDescent="0.2">
      <c r="A14299" s="258"/>
      <c r="Z14299" s="258"/>
    </row>
    <row r="14300" spans="1:26" ht="12.75" customHeight="1" x14ac:dyDescent="0.2">
      <c r="A14300" s="258"/>
      <c r="Z14300" s="258"/>
    </row>
    <row r="14301" spans="1:26" ht="12.75" customHeight="1" x14ac:dyDescent="0.2">
      <c r="A14301" s="258"/>
      <c r="Z14301" s="258"/>
    </row>
    <row r="14302" spans="1:26" ht="12.75" customHeight="1" x14ac:dyDescent="0.2">
      <c r="A14302" s="258"/>
      <c r="Z14302" s="258"/>
    </row>
    <row r="14303" spans="1:26" ht="12.75" customHeight="1" x14ac:dyDescent="0.2">
      <c r="A14303" s="258"/>
      <c r="Z14303" s="258"/>
    </row>
    <row r="14304" spans="1:26" ht="12.75" customHeight="1" x14ac:dyDescent="0.2">
      <c r="A14304" s="258"/>
      <c r="Z14304" s="258"/>
    </row>
    <row r="14305" spans="1:26" ht="12.75" customHeight="1" x14ac:dyDescent="0.2">
      <c r="A14305" s="258"/>
      <c r="Z14305" s="258"/>
    </row>
    <row r="14306" spans="1:26" ht="12.75" customHeight="1" x14ac:dyDescent="0.2">
      <c r="A14306" s="258"/>
      <c r="Z14306" s="258"/>
    </row>
    <row r="14307" spans="1:26" ht="12.75" customHeight="1" x14ac:dyDescent="0.2">
      <c r="A14307" s="258"/>
      <c r="Z14307" s="258"/>
    </row>
    <row r="14308" spans="1:26" ht="12.75" customHeight="1" x14ac:dyDescent="0.2">
      <c r="A14308" s="258"/>
      <c r="Z14308" s="258"/>
    </row>
    <row r="14309" spans="1:26" ht="12.75" customHeight="1" x14ac:dyDescent="0.2">
      <c r="A14309" s="258"/>
      <c r="Z14309" s="258"/>
    </row>
    <row r="14310" spans="1:26" ht="12.75" customHeight="1" x14ac:dyDescent="0.2">
      <c r="A14310" s="258"/>
      <c r="Z14310" s="258"/>
    </row>
    <row r="14311" spans="1:26" ht="12.75" customHeight="1" x14ac:dyDescent="0.2">
      <c r="A14311" s="258"/>
      <c r="Z14311" s="258"/>
    </row>
    <row r="14312" spans="1:26" ht="12.75" customHeight="1" x14ac:dyDescent="0.2">
      <c r="A14312" s="258"/>
      <c r="Z14312" s="258"/>
    </row>
    <row r="14313" spans="1:26" ht="12.75" customHeight="1" x14ac:dyDescent="0.2">
      <c r="A14313" s="258"/>
      <c r="Z14313" s="258"/>
    </row>
    <row r="14314" spans="1:26" ht="12.75" customHeight="1" x14ac:dyDescent="0.2">
      <c r="A14314" s="258"/>
      <c r="Z14314" s="258"/>
    </row>
    <row r="14315" spans="1:26" ht="12.75" customHeight="1" x14ac:dyDescent="0.2">
      <c r="A14315" s="258"/>
      <c r="Z14315" s="258"/>
    </row>
    <row r="14316" spans="1:26" ht="12.75" customHeight="1" x14ac:dyDescent="0.2">
      <c r="A14316" s="258"/>
      <c r="Z14316" s="258"/>
    </row>
    <row r="14317" spans="1:26" ht="12.75" customHeight="1" x14ac:dyDescent="0.2">
      <c r="A14317" s="258"/>
      <c r="Z14317" s="258"/>
    </row>
    <row r="14318" spans="1:26" ht="12.75" customHeight="1" x14ac:dyDescent="0.2">
      <c r="A14318" s="258"/>
      <c r="Z14318" s="258"/>
    </row>
    <row r="14319" spans="1:26" ht="12.75" customHeight="1" x14ac:dyDescent="0.2">
      <c r="A14319" s="258"/>
      <c r="Z14319" s="258"/>
    </row>
    <row r="14320" spans="1:26" ht="12.75" customHeight="1" x14ac:dyDescent="0.2">
      <c r="A14320" s="258"/>
      <c r="Z14320" s="258"/>
    </row>
    <row r="14321" spans="1:26" ht="12.75" customHeight="1" x14ac:dyDescent="0.2">
      <c r="A14321" s="258"/>
      <c r="Z14321" s="258"/>
    </row>
    <row r="14322" spans="1:26" ht="12.75" customHeight="1" x14ac:dyDescent="0.2">
      <c r="A14322" s="258"/>
      <c r="Z14322" s="258"/>
    </row>
    <row r="14323" spans="1:26" ht="12.75" customHeight="1" x14ac:dyDescent="0.2">
      <c r="A14323" s="258"/>
      <c r="Z14323" s="258"/>
    </row>
    <row r="14324" spans="1:26" ht="12.75" customHeight="1" x14ac:dyDescent="0.2">
      <c r="A14324" s="258"/>
      <c r="Z14324" s="258"/>
    </row>
    <row r="14325" spans="1:26" ht="12.75" customHeight="1" x14ac:dyDescent="0.2">
      <c r="A14325" s="258"/>
      <c r="Z14325" s="258"/>
    </row>
    <row r="14326" spans="1:26" ht="12.75" customHeight="1" x14ac:dyDescent="0.2">
      <c r="A14326" s="258"/>
      <c r="Z14326" s="258"/>
    </row>
    <row r="14327" spans="1:26" ht="12.75" customHeight="1" x14ac:dyDescent="0.2">
      <c r="A14327" s="258"/>
      <c r="Z14327" s="258"/>
    </row>
    <row r="14328" spans="1:26" ht="12.75" customHeight="1" x14ac:dyDescent="0.2">
      <c r="A14328" s="258"/>
      <c r="Z14328" s="258"/>
    </row>
    <row r="14329" spans="1:26" ht="12.75" customHeight="1" x14ac:dyDescent="0.2">
      <c r="A14329" s="258"/>
      <c r="Z14329" s="258"/>
    </row>
    <row r="14330" spans="1:26" ht="12.75" customHeight="1" x14ac:dyDescent="0.2">
      <c r="A14330" s="258"/>
      <c r="Z14330" s="258"/>
    </row>
    <row r="14331" spans="1:26" ht="12.75" customHeight="1" x14ac:dyDescent="0.2">
      <c r="A14331" s="258"/>
      <c r="Z14331" s="258"/>
    </row>
    <row r="14332" spans="1:26" ht="12.75" customHeight="1" x14ac:dyDescent="0.2">
      <c r="A14332" s="258"/>
      <c r="Z14332" s="258"/>
    </row>
    <row r="14333" spans="1:26" ht="12.75" customHeight="1" x14ac:dyDescent="0.2">
      <c r="A14333" s="258"/>
      <c r="Z14333" s="258"/>
    </row>
    <row r="14334" spans="1:26" ht="12.75" customHeight="1" x14ac:dyDescent="0.2">
      <c r="A14334" s="258"/>
      <c r="Z14334" s="258"/>
    </row>
    <row r="14335" spans="1:26" ht="12.75" customHeight="1" x14ac:dyDescent="0.2">
      <c r="A14335" s="258"/>
      <c r="Z14335" s="258"/>
    </row>
    <row r="14336" spans="1:26" ht="12.75" customHeight="1" x14ac:dyDescent="0.2">
      <c r="A14336" s="258"/>
      <c r="Z14336" s="258"/>
    </row>
    <row r="14337" spans="1:26" ht="12.75" customHeight="1" x14ac:dyDescent="0.2">
      <c r="A14337" s="258"/>
      <c r="Z14337" s="258"/>
    </row>
    <row r="14338" spans="1:26" ht="12.75" customHeight="1" x14ac:dyDescent="0.2">
      <c r="A14338" s="258"/>
      <c r="Z14338" s="258"/>
    </row>
    <row r="14339" spans="1:26" ht="12.75" customHeight="1" x14ac:dyDescent="0.2">
      <c r="A14339" s="258"/>
      <c r="Z14339" s="258"/>
    </row>
    <row r="14340" spans="1:26" ht="12.75" customHeight="1" x14ac:dyDescent="0.2">
      <c r="A14340" s="258"/>
      <c r="Z14340" s="258"/>
    </row>
    <row r="14341" spans="1:26" ht="12.75" customHeight="1" x14ac:dyDescent="0.2">
      <c r="A14341" s="258"/>
      <c r="Z14341" s="258"/>
    </row>
    <row r="14342" spans="1:26" ht="12.75" customHeight="1" x14ac:dyDescent="0.2">
      <c r="A14342" s="258"/>
      <c r="Z14342" s="258"/>
    </row>
    <row r="14343" spans="1:26" ht="12.75" customHeight="1" x14ac:dyDescent="0.2">
      <c r="A14343" s="258"/>
      <c r="Z14343" s="258"/>
    </row>
    <row r="14344" spans="1:26" ht="12.75" customHeight="1" x14ac:dyDescent="0.2">
      <c r="A14344" s="258"/>
      <c r="Z14344" s="258"/>
    </row>
    <row r="14345" spans="1:26" ht="12.75" customHeight="1" x14ac:dyDescent="0.2">
      <c r="A14345" s="258"/>
      <c r="Z14345" s="258"/>
    </row>
    <row r="14346" spans="1:26" ht="12.75" customHeight="1" x14ac:dyDescent="0.2">
      <c r="A14346" s="258"/>
      <c r="Z14346" s="258"/>
    </row>
    <row r="14347" spans="1:26" ht="12.75" customHeight="1" x14ac:dyDescent="0.2">
      <c r="A14347" s="258"/>
      <c r="Z14347" s="258"/>
    </row>
    <row r="14348" spans="1:26" ht="12.75" customHeight="1" x14ac:dyDescent="0.2">
      <c r="A14348" s="258"/>
      <c r="Z14348" s="258"/>
    </row>
    <row r="14349" spans="1:26" ht="12.75" customHeight="1" x14ac:dyDescent="0.2">
      <c r="A14349" s="258"/>
      <c r="Z14349" s="258"/>
    </row>
    <row r="14350" spans="1:26" ht="12.75" customHeight="1" x14ac:dyDescent="0.2">
      <c r="A14350" s="258"/>
      <c r="Z14350" s="258"/>
    </row>
    <row r="14351" spans="1:26" ht="12.75" customHeight="1" x14ac:dyDescent="0.2">
      <c r="A14351" s="258"/>
      <c r="Z14351" s="258"/>
    </row>
    <row r="14352" spans="1:26" ht="12.75" customHeight="1" x14ac:dyDescent="0.2">
      <c r="A14352" s="258"/>
      <c r="Z14352" s="258"/>
    </row>
    <row r="14353" spans="1:26" ht="12.75" customHeight="1" x14ac:dyDescent="0.2">
      <c r="A14353" s="258"/>
      <c r="Z14353" s="258"/>
    </row>
    <row r="14354" spans="1:26" ht="12.75" customHeight="1" x14ac:dyDescent="0.2">
      <c r="A14354" s="258"/>
      <c r="Z14354" s="258"/>
    </row>
    <row r="14355" spans="1:26" ht="12.75" customHeight="1" x14ac:dyDescent="0.2">
      <c r="A14355" s="258"/>
      <c r="Z14355" s="258"/>
    </row>
    <row r="14356" spans="1:26" ht="12.75" customHeight="1" x14ac:dyDescent="0.2">
      <c r="A14356" s="258"/>
      <c r="Z14356" s="258"/>
    </row>
    <row r="14357" spans="1:26" ht="12.75" customHeight="1" x14ac:dyDescent="0.2">
      <c r="A14357" s="258"/>
      <c r="Z14357" s="258"/>
    </row>
    <row r="14358" spans="1:26" ht="12.75" customHeight="1" x14ac:dyDescent="0.2">
      <c r="A14358" s="258"/>
      <c r="Z14358" s="258"/>
    </row>
    <row r="14359" spans="1:26" ht="12.75" customHeight="1" x14ac:dyDescent="0.2">
      <c r="A14359" s="258"/>
      <c r="Z14359" s="258"/>
    </row>
    <row r="14360" spans="1:26" ht="12.75" customHeight="1" x14ac:dyDescent="0.2">
      <c r="A14360" s="258"/>
      <c r="Z14360" s="258"/>
    </row>
    <row r="14361" spans="1:26" ht="12.75" customHeight="1" x14ac:dyDescent="0.2">
      <c r="A14361" s="258"/>
      <c r="Z14361" s="258"/>
    </row>
    <row r="14362" spans="1:26" ht="12.75" customHeight="1" x14ac:dyDescent="0.2">
      <c r="A14362" s="258"/>
      <c r="Z14362" s="258"/>
    </row>
    <row r="14363" spans="1:26" ht="12.75" customHeight="1" x14ac:dyDescent="0.2">
      <c r="A14363" s="258"/>
      <c r="Z14363" s="258"/>
    </row>
    <row r="14364" spans="1:26" ht="12.75" customHeight="1" x14ac:dyDescent="0.2">
      <c r="A14364" s="258"/>
      <c r="Z14364" s="258"/>
    </row>
    <row r="14365" spans="1:26" ht="12.75" customHeight="1" x14ac:dyDescent="0.2">
      <c r="A14365" s="258"/>
      <c r="Z14365" s="258"/>
    </row>
    <row r="14366" spans="1:26" ht="12.75" customHeight="1" x14ac:dyDescent="0.2">
      <c r="A14366" s="258"/>
      <c r="Z14366" s="258"/>
    </row>
    <row r="14367" spans="1:26" ht="12.75" customHeight="1" x14ac:dyDescent="0.2">
      <c r="A14367" s="258"/>
      <c r="Z14367" s="258"/>
    </row>
    <row r="14368" spans="1:26" ht="12.75" customHeight="1" x14ac:dyDescent="0.2">
      <c r="A14368" s="258"/>
      <c r="Z14368" s="258"/>
    </row>
    <row r="14369" spans="1:26" ht="12.75" customHeight="1" x14ac:dyDescent="0.2">
      <c r="A14369" s="258"/>
      <c r="Z14369" s="258"/>
    </row>
    <row r="14370" spans="1:26" ht="12.75" customHeight="1" x14ac:dyDescent="0.2">
      <c r="A14370" s="258"/>
      <c r="Z14370" s="258"/>
    </row>
    <row r="14371" spans="1:26" ht="12.75" customHeight="1" x14ac:dyDescent="0.2">
      <c r="A14371" s="258"/>
      <c r="Z14371" s="258"/>
    </row>
    <row r="14372" spans="1:26" ht="12.75" customHeight="1" x14ac:dyDescent="0.2">
      <c r="A14372" s="258"/>
      <c r="Z14372" s="258"/>
    </row>
    <row r="14373" spans="1:26" ht="12.75" customHeight="1" x14ac:dyDescent="0.2">
      <c r="A14373" s="258"/>
      <c r="Z14373" s="258"/>
    </row>
    <row r="14374" spans="1:26" ht="12.75" customHeight="1" x14ac:dyDescent="0.2">
      <c r="A14374" s="258"/>
      <c r="Z14374" s="258"/>
    </row>
    <row r="14375" spans="1:26" ht="12.75" customHeight="1" x14ac:dyDescent="0.2">
      <c r="A14375" s="258"/>
      <c r="Z14375" s="258"/>
    </row>
    <row r="14376" spans="1:26" ht="12.75" customHeight="1" x14ac:dyDescent="0.2">
      <c r="A14376" s="258"/>
      <c r="Z14376" s="258"/>
    </row>
    <row r="14377" spans="1:26" ht="12.75" customHeight="1" x14ac:dyDescent="0.2">
      <c r="A14377" s="258"/>
      <c r="Z14377" s="258"/>
    </row>
    <row r="14378" spans="1:26" ht="12.75" customHeight="1" x14ac:dyDescent="0.2">
      <c r="A14378" s="258"/>
      <c r="Z14378" s="258"/>
    </row>
    <row r="14379" spans="1:26" ht="12.75" customHeight="1" x14ac:dyDescent="0.2">
      <c r="A14379" s="258"/>
      <c r="Z14379" s="258"/>
    </row>
    <row r="14380" spans="1:26" ht="12.75" customHeight="1" x14ac:dyDescent="0.2">
      <c r="A14380" s="258"/>
      <c r="Z14380" s="258"/>
    </row>
    <row r="14381" spans="1:26" ht="12.75" customHeight="1" x14ac:dyDescent="0.2">
      <c r="A14381" s="258"/>
      <c r="Z14381" s="258"/>
    </row>
    <row r="14382" spans="1:26" ht="12.75" customHeight="1" x14ac:dyDescent="0.2">
      <c r="A14382" s="258"/>
      <c r="Z14382" s="258"/>
    </row>
    <row r="14383" spans="1:26" ht="12.75" customHeight="1" x14ac:dyDescent="0.2">
      <c r="A14383" s="258"/>
      <c r="Z14383" s="258"/>
    </row>
    <row r="14384" spans="1:26" ht="12.75" customHeight="1" x14ac:dyDescent="0.2">
      <c r="A14384" s="258"/>
      <c r="Z14384" s="258"/>
    </row>
    <row r="14385" spans="1:26" ht="12.75" customHeight="1" x14ac:dyDescent="0.2">
      <c r="A14385" s="258"/>
      <c r="Z14385" s="258"/>
    </row>
    <row r="14386" spans="1:26" ht="12.75" customHeight="1" x14ac:dyDescent="0.2">
      <c r="A14386" s="258"/>
      <c r="Z14386" s="258"/>
    </row>
    <row r="14387" spans="1:26" ht="12.75" customHeight="1" x14ac:dyDescent="0.2">
      <c r="A14387" s="258"/>
      <c r="Z14387" s="258"/>
    </row>
    <row r="14388" spans="1:26" ht="12.75" customHeight="1" x14ac:dyDescent="0.2">
      <c r="A14388" s="258"/>
      <c r="Z14388" s="258"/>
    </row>
    <row r="14389" spans="1:26" ht="12.75" customHeight="1" x14ac:dyDescent="0.2">
      <c r="A14389" s="258"/>
      <c r="Z14389" s="258"/>
    </row>
    <row r="14390" spans="1:26" ht="12.75" customHeight="1" x14ac:dyDescent="0.2">
      <c r="A14390" s="258"/>
      <c r="Z14390" s="258"/>
    </row>
    <row r="14391" spans="1:26" ht="12.75" customHeight="1" x14ac:dyDescent="0.2">
      <c r="A14391" s="258"/>
      <c r="Z14391" s="258"/>
    </row>
    <row r="14392" spans="1:26" ht="12.75" customHeight="1" x14ac:dyDescent="0.2">
      <c r="A14392" s="258"/>
      <c r="Z14392" s="258"/>
    </row>
    <row r="14393" spans="1:26" ht="12.75" customHeight="1" x14ac:dyDescent="0.2">
      <c r="A14393" s="258"/>
      <c r="Z14393" s="258"/>
    </row>
    <row r="14394" spans="1:26" ht="12.75" customHeight="1" x14ac:dyDescent="0.2">
      <c r="A14394" s="258"/>
      <c r="Z14394" s="258"/>
    </row>
    <row r="14395" spans="1:26" ht="12.75" customHeight="1" x14ac:dyDescent="0.2">
      <c r="A14395" s="258"/>
      <c r="Z14395" s="258"/>
    </row>
    <row r="14396" spans="1:26" ht="12.75" customHeight="1" x14ac:dyDescent="0.2">
      <c r="A14396" s="258"/>
      <c r="Z14396" s="258"/>
    </row>
    <row r="14397" spans="1:26" ht="12.75" customHeight="1" x14ac:dyDescent="0.2">
      <c r="A14397" s="258"/>
      <c r="Z14397" s="258"/>
    </row>
    <row r="14398" spans="1:26" ht="12.75" customHeight="1" x14ac:dyDescent="0.2">
      <c r="A14398" s="258"/>
      <c r="Z14398" s="258"/>
    </row>
    <row r="14399" spans="1:26" ht="12.75" customHeight="1" x14ac:dyDescent="0.2">
      <c r="A14399" s="258"/>
      <c r="Z14399" s="258"/>
    </row>
    <row r="14400" spans="1:26" ht="12.75" customHeight="1" x14ac:dyDescent="0.2">
      <c r="A14400" s="258"/>
      <c r="Z14400" s="258"/>
    </row>
    <row r="14401" spans="1:26" ht="12.75" customHeight="1" x14ac:dyDescent="0.2">
      <c r="A14401" s="258"/>
      <c r="Z14401" s="258"/>
    </row>
    <row r="14402" spans="1:26" ht="12.75" customHeight="1" x14ac:dyDescent="0.2">
      <c r="A14402" s="258"/>
      <c r="Z14402" s="258"/>
    </row>
    <row r="14403" spans="1:26" ht="12.75" customHeight="1" x14ac:dyDescent="0.2">
      <c r="A14403" s="258"/>
      <c r="Z14403" s="258"/>
    </row>
    <row r="14404" spans="1:26" ht="12.75" customHeight="1" x14ac:dyDescent="0.2">
      <c r="A14404" s="258"/>
      <c r="Z14404" s="258"/>
    </row>
    <row r="14405" spans="1:26" ht="12.75" customHeight="1" x14ac:dyDescent="0.2">
      <c r="A14405" s="258"/>
      <c r="Z14405" s="258"/>
    </row>
    <row r="14406" spans="1:26" ht="12.75" customHeight="1" x14ac:dyDescent="0.2">
      <c r="A14406" s="258"/>
      <c r="Z14406" s="258"/>
    </row>
    <row r="14407" spans="1:26" ht="12.75" customHeight="1" x14ac:dyDescent="0.2">
      <c r="A14407" s="258"/>
      <c r="Z14407" s="258"/>
    </row>
    <row r="14408" spans="1:26" ht="12.75" customHeight="1" x14ac:dyDescent="0.2">
      <c r="A14408" s="258"/>
      <c r="Z14408" s="258"/>
    </row>
    <row r="14409" spans="1:26" ht="12.75" customHeight="1" x14ac:dyDescent="0.2">
      <c r="A14409" s="258"/>
      <c r="Z14409" s="258"/>
    </row>
    <row r="14410" spans="1:26" ht="12.75" customHeight="1" x14ac:dyDescent="0.2">
      <c r="A14410" s="258"/>
      <c r="Z14410" s="258"/>
    </row>
    <row r="14411" spans="1:26" ht="12.75" customHeight="1" x14ac:dyDescent="0.2">
      <c r="A14411" s="258"/>
      <c r="Z14411" s="258"/>
    </row>
    <row r="14412" spans="1:26" ht="12.75" customHeight="1" x14ac:dyDescent="0.2">
      <c r="A14412" s="258"/>
      <c r="Z14412" s="258"/>
    </row>
    <row r="14413" spans="1:26" ht="12.75" customHeight="1" x14ac:dyDescent="0.2">
      <c r="A14413" s="258"/>
      <c r="Z14413" s="258"/>
    </row>
    <row r="14414" spans="1:26" ht="12.75" customHeight="1" x14ac:dyDescent="0.2">
      <c r="A14414" s="258"/>
      <c r="Z14414" s="258"/>
    </row>
    <row r="14415" spans="1:26" ht="12.75" customHeight="1" x14ac:dyDescent="0.2">
      <c r="A14415" s="258"/>
      <c r="Z14415" s="258"/>
    </row>
    <row r="14416" spans="1:26" ht="12.75" customHeight="1" x14ac:dyDescent="0.2">
      <c r="A14416" s="258"/>
      <c r="Z14416" s="258"/>
    </row>
    <row r="14417" spans="1:26" ht="12.75" customHeight="1" x14ac:dyDescent="0.2">
      <c r="A14417" s="258"/>
      <c r="Z14417" s="258"/>
    </row>
    <row r="14418" spans="1:26" ht="12.75" customHeight="1" x14ac:dyDescent="0.2">
      <c r="A14418" s="258"/>
      <c r="Z14418" s="258"/>
    </row>
    <row r="14419" spans="1:26" ht="12.75" customHeight="1" x14ac:dyDescent="0.2">
      <c r="A14419" s="258"/>
      <c r="Z14419" s="258"/>
    </row>
    <row r="14420" spans="1:26" ht="12.75" customHeight="1" x14ac:dyDescent="0.2">
      <c r="A14420" s="258"/>
      <c r="Z14420" s="258"/>
    </row>
    <row r="14421" spans="1:26" ht="12.75" customHeight="1" x14ac:dyDescent="0.2">
      <c r="A14421" s="258"/>
      <c r="Z14421" s="258"/>
    </row>
    <row r="14422" spans="1:26" ht="12.75" customHeight="1" x14ac:dyDescent="0.2">
      <c r="A14422" s="258"/>
      <c r="Z14422" s="258"/>
    </row>
    <row r="14423" spans="1:26" ht="12.75" customHeight="1" x14ac:dyDescent="0.2">
      <c r="A14423" s="258"/>
      <c r="Z14423" s="258"/>
    </row>
    <row r="14424" spans="1:26" ht="12.75" customHeight="1" x14ac:dyDescent="0.2">
      <c r="A14424" s="258"/>
      <c r="Z14424" s="258"/>
    </row>
    <row r="14425" spans="1:26" ht="12.75" customHeight="1" x14ac:dyDescent="0.2">
      <c r="A14425" s="258"/>
      <c r="Z14425" s="258"/>
    </row>
    <row r="14426" spans="1:26" ht="12.75" customHeight="1" x14ac:dyDescent="0.2">
      <c r="A14426" s="258"/>
      <c r="Z14426" s="258"/>
    </row>
    <row r="14427" spans="1:26" ht="12.75" customHeight="1" x14ac:dyDescent="0.2">
      <c r="A14427" s="258"/>
      <c r="Z14427" s="258"/>
    </row>
    <row r="14428" spans="1:26" ht="12.75" customHeight="1" x14ac:dyDescent="0.2">
      <c r="A14428" s="258"/>
      <c r="Z14428" s="258"/>
    </row>
    <row r="14429" spans="1:26" ht="12.75" customHeight="1" x14ac:dyDescent="0.2">
      <c r="A14429" s="258"/>
      <c r="Z14429" s="258"/>
    </row>
    <row r="14430" spans="1:26" ht="12.75" customHeight="1" x14ac:dyDescent="0.2">
      <c r="A14430" s="258"/>
      <c r="Z14430" s="258"/>
    </row>
    <row r="14431" spans="1:26" ht="12.75" customHeight="1" x14ac:dyDescent="0.2">
      <c r="A14431" s="258"/>
      <c r="Z14431" s="258"/>
    </row>
    <row r="14432" spans="1:26" ht="12.75" customHeight="1" x14ac:dyDescent="0.2">
      <c r="A14432" s="258"/>
      <c r="Z14432" s="258"/>
    </row>
    <row r="14433" spans="1:26" ht="12.75" customHeight="1" x14ac:dyDescent="0.2">
      <c r="A14433" s="258"/>
      <c r="Z14433" s="258"/>
    </row>
    <row r="14434" spans="1:26" ht="12.75" customHeight="1" x14ac:dyDescent="0.2">
      <c r="A14434" s="258"/>
      <c r="Z14434" s="258"/>
    </row>
    <row r="14435" spans="1:26" ht="12.75" customHeight="1" x14ac:dyDescent="0.2">
      <c r="A14435" s="258"/>
      <c r="Z14435" s="258"/>
    </row>
    <row r="14436" spans="1:26" ht="12.75" customHeight="1" x14ac:dyDescent="0.2">
      <c r="A14436" s="258"/>
      <c r="Z14436" s="258"/>
    </row>
    <row r="14437" spans="1:26" ht="12.75" customHeight="1" x14ac:dyDescent="0.2">
      <c r="A14437" s="258"/>
      <c r="Z14437" s="258"/>
    </row>
    <row r="14438" spans="1:26" ht="12.75" customHeight="1" x14ac:dyDescent="0.2">
      <c r="A14438" s="258"/>
      <c r="Z14438" s="258"/>
    </row>
    <row r="14439" spans="1:26" ht="12.75" customHeight="1" x14ac:dyDescent="0.2">
      <c r="A14439" s="258"/>
      <c r="Z14439" s="258"/>
    </row>
    <row r="14440" spans="1:26" ht="12.75" customHeight="1" x14ac:dyDescent="0.2">
      <c r="A14440" s="258"/>
      <c r="Z14440" s="258"/>
    </row>
    <row r="14441" spans="1:26" ht="12.75" customHeight="1" x14ac:dyDescent="0.2">
      <c r="A14441" s="258"/>
      <c r="Z14441" s="258"/>
    </row>
    <row r="14442" spans="1:26" ht="12.75" customHeight="1" x14ac:dyDescent="0.2">
      <c r="A14442" s="258"/>
      <c r="Z14442" s="258"/>
    </row>
    <row r="14443" spans="1:26" ht="12.75" customHeight="1" x14ac:dyDescent="0.2">
      <c r="A14443" s="258"/>
      <c r="Z14443" s="258"/>
    </row>
    <row r="14444" spans="1:26" ht="12.75" customHeight="1" x14ac:dyDescent="0.2">
      <c r="A14444" s="258"/>
      <c r="Z14444" s="258"/>
    </row>
    <row r="14445" spans="1:26" ht="12.75" customHeight="1" x14ac:dyDescent="0.2">
      <c r="A14445" s="258"/>
      <c r="Z14445" s="258"/>
    </row>
    <row r="14446" spans="1:26" ht="12.75" customHeight="1" x14ac:dyDescent="0.2">
      <c r="A14446" s="258"/>
      <c r="Z14446" s="258"/>
    </row>
    <row r="14447" spans="1:26" ht="12.75" customHeight="1" x14ac:dyDescent="0.2">
      <c r="A14447" s="258"/>
      <c r="Z14447" s="258"/>
    </row>
    <row r="14448" spans="1:26" ht="12.75" customHeight="1" x14ac:dyDescent="0.2">
      <c r="A14448" s="258"/>
      <c r="Z14448" s="258"/>
    </row>
    <row r="14449" spans="1:26" ht="12.75" customHeight="1" x14ac:dyDescent="0.2">
      <c r="A14449" s="258"/>
      <c r="Z14449" s="258"/>
    </row>
    <row r="14450" spans="1:26" ht="12.75" customHeight="1" x14ac:dyDescent="0.2">
      <c r="A14450" s="258"/>
      <c r="Z14450" s="258"/>
    </row>
    <row r="14451" spans="1:26" ht="12.75" customHeight="1" x14ac:dyDescent="0.2">
      <c r="A14451" s="258"/>
      <c r="Z14451" s="258"/>
    </row>
    <row r="14452" spans="1:26" ht="12.75" customHeight="1" x14ac:dyDescent="0.2">
      <c r="A14452" s="258"/>
      <c r="Z14452" s="258"/>
    </row>
    <row r="14453" spans="1:26" ht="12.75" customHeight="1" x14ac:dyDescent="0.2">
      <c r="A14453" s="258"/>
      <c r="Z14453" s="258"/>
    </row>
    <row r="14454" spans="1:26" ht="12.75" customHeight="1" x14ac:dyDescent="0.2">
      <c r="A14454" s="258"/>
      <c r="Z14454" s="258"/>
    </row>
    <row r="14455" spans="1:26" ht="12.75" customHeight="1" x14ac:dyDescent="0.2">
      <c r="A14455" s="258"/>
      <c r="Z14455" s="258"/>
    </row>
    <row r="14456" spans="1:26" ht="12.75" customHeight="1" x14ac:dyDescent="0.2">
      <c r="A14456" s="258"/>
      <c r="Z14456" s="258"/>
    </row>
    <row r="14457" spans="1:26" ht="12.75" customHeight="1" x14ac:dyDescent="0.2">
      <c r="A14457" s="258"/>
      <c r="Z14457" s="258"/>
    </row>
    <row r="14458" spans="1:26" ht="12.75" customHeight="1" x14ac:dyDescent="0.2">
      <c r="A14458" s="258"/>
      <c r="Z14458" s="258"/>
    </row>
    <row r="14459" spans="1:26" ht="12.75" customHeight="1" x14ac:dyDescent="0.2">
      <c r="A14459" s="258"/>
      <c r="Z14459" s="258"/>
    </row>
    <row r="14460" spans="1:26" ht="12.75" customHeight="1" x14ac:dyDescent="0.2">
      <c r="A14460" s="258"/>
      <c r="Z14460" s="258"/>
    </row>
    <row r="14461" spans="1:26" ht="12.75" customHeight="1" x14ac:dyDescent="0.2">
      <c r="A14461" s="258"/>
      <c r="Z14461" s="258"/>
    </row>
    <row r="14462" spans="1:26" ht="12.75" customHeight="1" x14ac:dyDescent="0.2">
      <c r="A14462" s="258"/>
      <c r="Z14462" s="258"/>
    </row>
    <row r="14463" spans="1:26" ht="12.75" customHeight="1" x14ac:dyDescent="0.2">
      <c r="A14463" s="258"/>
      <c r="Z14463" s="258"/>
    </row>
    <row r="14464" spans="1:26" ht="12.75" customHeight="1" x14ac:dyDescent="0.2">
      <c r="A14464" s="258"/>
      <c r="Z14464" s="258"/>
    </row>
    <row r="14465" spans="1:26" ht="12.75" customHeight="1" x14ac:dyDescent="0.2">
      <c r="A14465" s="258"/>
      <c r="Z14465" s="258"/>
    </row>
    <row r="14466" spans="1:26" ht="12.75" customHeight="1" x14ac:dyDescent="0.2">
      <c r="A14466" s="258"/>
      <c r="Z14466" s="258"/>
    </row>
    <row r="14467" spans="1:26" ht="12.75" customHeight="1" x14ac:dyDescent="0.2">
      <c r="A14467" s="258"/>
      <c r="Z14467" s="258"/>
    </row>
    <row r="14468" spans="1:26" ht="12.75" customHeight="1" x14ac:dyDescent="0.2">
      <c r="A14468" s="258"/>
      <c r="Z14468" s="258"/>
    </row>
    <row r="14469" spans="1:26" ht="12.75" customHeight="1" x14ac:dyDescent="0.2">
      <c r="A14469" s="258"/>
      <c r="Z14469" s="258"/>
    </row>
    <row r="14470" spans="1:26" ht="12.75" customHeight="1" x14ac:dyDescent="0.2">
      <c r="A14470" s="258"/>
      <c r="Z14470" s="258"/>
    </row>
    <row r="14471" spans="1:26" ht="12.75" customHeight="1" x14ac:dyDescent="0.2">
      <c r="A14471" s="258"/>
      <c r="Z14471" s="258"/>
    </row>
    <row r="14472" spans="1:26" ht="12.75" customHeight="1" x14ac:dyDescent="0.2">
      <c r="A14472" s="258"/>
      <c r="Z14472" s="258"/>
    </row>
    <row r="14473" spans="1:26" ht="12.75" customHeight="1" x14ac:dyDescent="0.2">
      <c r="A14473" s="258"/>
      <c r="Z14473" s="258"/>
    </row>
    <row r="14474" spans="1:26" ht="12.75" customHeight="1" x14ac:dyDescent="0.2">
      <c r="A14474" s="258"/>
      <c r="Z14474" s="258"/>
    </row>
    <row r="14475" spans="1:26" ht="12.75" customHeight="1" x14ac:dyDescent="0.2">
      <c r="A14475" s="258"/>
      <c r="Z14475" s="258"/>
    </row>
    <row r="14476" spans="1:26" ht="12.75" customHeight="1" x14ac:dyDescent="0.2">
      <c r="A14476" s="258"/>
      <c r="Z14476" s="258"/>
    </row>
    <row r="14477" spans="1:26" ht="12.75" customHeight="1" x14ac:dyDescent="0.2">
      <c r="A14477" s="258"/>
      <c r="Z14477" s="258"/>
    </row>
    <row r="14478" spans="1:26" ht="12.75" customHeight="1" x14ac:dyDescent="0.2">
      <c r="A14478" s="258"/>
      <c r="Z14478" s="258"/>
    </row>
    <row r="14479" spans="1:26" ht="12.75" customHeight="1" x14ac:dyDescent="0.2">
      <c r="A14479" s="258"/>
      <c r="Z14479" s="258"/>
    </row>
    <row r="14480" spans="1:26" ht="12.75" customHeight="1" x14ac:dyDescent="0.2">
      <c r="A14480" s="258"/>
      <c r="Z14480" s="258"/>
    </row>
    <row r="14481" spans="1:26" ht="12.75" customHeight="1" x14ac:dyDescent="0.2">
      <c r="A14481" s="258"/>
      <c r="Z14481" s="258"/>
    </row>
    <row r="14482" spans="1:26" ht="12.75" customHeight="1" x14ac:dyDescent="0.2">
      <c r="A14482" s="258"/>
      <c r="Z14482" s="258"/>
    </row>
    <row r="14483" spans="1:26" ht="12.75" customHeight="1" x14ac:dyDescent="0.2">
      <c r="A14483" s="258"/>
      <c r="Z14483" s="258"/>
    </row>
    <row r="14484" spans="1:26" ht="12.75" customHeight="1" x14ac:dyDescent="0.2">
      <c r="A14484" s="258"/>
      <c r="Z14484" s="258"/>
    </row>
    <row r="14485" spans="1:26" ht="12.75" customHeight="1" x14ac:dyDescent="0.2">
      <c r="A14485" s="258"/>
      <c r="Z14485" s="258"/>
    </row>
    <row r="14486" spans="1:26" ht="12.75" customHeight="1" x14ac:dyDescent="0.2">
      <c r="A14486" s="258"/>
      <c r="Z14486" s="258"/>
    </row>
    <row r="14487" spans="1:26" ht="12.75" customHeight="1" x14ac:dyDescent="0.2">
      <c r="A14487" s="258"/>
      <c r="Z14487" s="258"/>
    </row>
    <row r="14488" spans="1:26" ht="12.75" customHeight="1" x14ac:dyDescent="0.2">
      <c r="A14488" s="258"/>
      <c r="Z14488" s="258"/>
    </row>
    <row r="14489" spans="1:26" ht="12.75" customHeight="1" x14ac:dyDescent="0.2">
      <c r="A14489" s="258"/>
      <c r="Z14489" s="258"/>
    </row>
    <row r="14490" spans="1:26" ht="12.75" customHeight="1" x14ac:dyDescent="0.2">
      <c r="A14490" s="258"/>
      <c r="Z14490" s="258"/>
    </row>
    <row r="14491" spans="1:26" ht="12.75" customHeight="1" x14ac:dyDescent="0.2">
      <c r="A14491" s="258"/>
      <c r="Z14491" s="258"/>
    </row>
    <row r="14492" spans="1:26" ht="12.75" customHeight="1" x14ac:dyDescent="0.2">
      <c r="A14492" s="258"/>
      <c r="Z14492" s="258"/>
    </row>
    <row r="14493" spans="1:26" ht="12.75" customHeight="1" x14ac:dyDescent="0.2">
      <c r="A14493" s="258"/>
      <c r="Z14493" s="258"/>
    </row>
    <row r="14494" spans="1:26" ht="12.75" customHeight="1" x14ac:dyDescent="0.2">
      <c r="A14494" s="258"/>
      <c r="Z14494" s="258"/>
    </row>
    <row r="14495" spans="1:26" ht="12.75" customHeight="1" x14ac:dyDescent="0.2">
      <c r="A14495" s="258"/>
      <c r="Z14495" s="258"/>
    </row>
    <row r="14496" spans="1:26" ht="12.75" customHeight="1" x14ac:dyDescent="0.2">
      <c r="A14496" s="258"/>
      <c r="Z14496" s="258"/>
    </row>
    <row r="14497" spans="1:26" ht="12.75" customHeight="1" x14ac:dyDescent="0.2">
      <c r="A14497" s="258"/>
      <c r="Z14497" s="258"/>
    </row>
    <row r="14498" spans="1:26" ht="12.75" customHeight="1" x14ac:dyDescent="0.2">
      <c r="A14498" s="258"/>
      <c r="Z14498" s="258"/>
    </row>
    <row r="14499" spans="1:26" ht="12.75" customHeight="1" x14ac:dyDescent="0.2">
      <c r="A14499" s="258"/>
      <c r="Z14499" s="258"/>
    </row>
    <row r="14500" spans="1:26" ht="12.75" customHeight="1" x14ac:dyDescent="0.2">
      <c r="A14500" s="258"/>
      <c r="Z14500" s="258"/>
    </row>
    <row r="14501" spans="1:26" ht="12.75" customHeight="1" x14ac:dyDescent="0.2">
      <c r="A14501" s="258"/>
      <c r="Z14501" s="258"/>
    </row>
    <row r="14502" spans="1:26" ht="12.75" customHeight="1" x14ac:dyDescent="0.2">
      <c r="A14502" s="258"/>
      <c r="Z14502" s="258"/>
    </row>
    <row r="14503" spans="1:26" ht="12.75" customHeight="1" x14ac:dyDescent="0.2">
      <c r="A14503" s="258"/>
      <c r="Z14503" s="258"/>
    </row>
    <row r="14504" spans="1:26" ht="12.75" customHeight="1" x14ac:dyDescent="0.2">
      <c r="A14504" s="258"/>
      <c r="Z14504" s="258"/>
    </row>
    <row r="14505" spans="1:26" ht="12.75" customHeight="1" x14ac:dyDescent="0.2">
      <c r="A14505" s="258"/>
      <c r="Z14505" s="258"/>
    </row>
    <row r="14506" spans="1:26" ht="12.75" customHeight="1" x14ac:dyDescent="0.2">
      <c r="A14506" s="258"/>
      <c r="Z14506" s="258"/>
    </row>
    <row r="14507" spans="1:26" ht="12.75" customHeight="1" x14ac:dyDescent="0.2">
      <c r="A14507" s="258"/>
      <c r="Z14507" s="258"/>
    </row>
    <row r="14508" spans="1:26" ht="12.75" customHeight="1" x14ac:dyDescent="0.2">
      <c r="A14508" s="258"/>
      <c r="Z14508" s="258"/>
    </row>
    <row r="14509" spans="1:26" ht="12.75" customHeight="1" x14ac:dyDescent="0.2">
      <c r="A14509" s="258"/>
      <c r="Z14509" s="258"/>
    </row>
    <row r="14510" spans="1:26" ht="12.75" customHeight="1" x14ac:dyDescent="0.2">
      <c r="A14510" s="258"/>
      <c r="Z14510" s="258"/>
    </row>
    <row r="14511" spans="1:26" ht="12.75" customHeight="1" x14ac:dyDescent="0.2">
      <c r="A14511" s="258"/>
      <c r="Z14511" s="258"/>
    </row>
    <row r="14512" spans="1:26" ht="12.75" customHeight="1" x14ac:dyDescent="0.2">
      <c r="A14512" s="258"/>
      <c r="Z14512" s="258"/>
    </row>
    <row r="14513" spans="1:26" ht="12.75" customHeight="1" x14ac:dyDescent="0.2">
      <c r="A14513" s="258"/>
      <c r="Z14513" s="258"/>
    </row>
    <row r="14514" spans="1:26" ht="12.75" customHeight="1" x14ac:dyDescent="0.2">
      <c r="A14514" s="258"/>
      <c r="Z14514" s="258"/>
    </row>
    <row r="14515" spans="1:26" ht="12.75" customHeight="1" x14ac:dyDescent="0.2">
      <c r="A14515" s="258"/>
      <c r="Z14515" s="258"/>
    </row>
    <row r="14516" spans="1:26" ht="12.75" customHeight="1" x14ac:dyDescent="0.2">
      <c r="A14516" s="258"/>
      <c r="Z14516" s="258"/>
    </row>
    <row r="14517" spans="1:26" ht="12.75" customHeight="1" x14ac:dyDescent="0.2">
      <c r="A14517" s="258"/>
      <c r="Z14517" s="258"/>
    </row>
    <row r="14518" spans="1:26" ht="12.75" customHeight="1" x14ac:dyDescent="0.2">
      <c r="A14518" s="258"/>
      <c r="Z14518" s="258"/>
    </row>
    <row r="14519" spans="1:26" ht="12.75" customHeight="1" x14ac:dyDescent="0.2">
      <c r="A14519" s="258"/>
      <c r="Z14519" s="258"/>
    </row>
    <row r="14520" spans="1:26" ht="12.75" customHeight="1" x14ac:dyDescent="0.2">
      <c r="A14520" s="258"/>
      <c r="Z14520" s="258"/>
    </row>
    <row r="14521" spans="1:26" ht="12.75" customHeight="1" x14ac:dyDescent="0.2">
      <c r="A14521" s="258"/>
      <c r="Z14521" s="258"/>
    </row>
    <row r="14522" spans="1:26" ht="12.75" customHeight="1" x14ac:dyDescent="0.2">
      <c r="A14522" s="258"/>
      <c r="Z14522" s="258"/>
    </row>
    <row r="14523" spans="1:26" ht="12.75" customHeight="1" x14ac:dyDescent="0.2">
      <c r="A14523" s="258"/>
      <c r="Z14523" s="258"/>
    </row>
    <row r="14524" spans="1:26" ht="12.75" customHeight="1" x14ac:dyDescent="0.2">
      <c r="A14524" s="258"/>
      <c r="Z14524" s="258"/>
    </row>
    <row r="14525" spans="1:26" ht="12.75" customHeight="1" x14ac:dyDescent="0.2">
      <c r="A14525" s="258"/>
      <c r="Z14525" s="258"/>
    </row>
    <row r="14526" spans="1:26" ht="12.75" customHeight="1" x14ac:dyDescent="0.2">
      <c r="A14526" s="258"/>
      <c r="Z14526" s="258"/>
    </row>
    <row r="14527" spans="1:26" ht="12.75" customHeight="1" x14ac:dyDescent="0.2">
      <c r="A14527" s="258"/>
      <c r="Z14527" s="258"/>
    </row>
    <row r="14528" spans="1:26" ht="12.75" customHeight="1" x14ac:dyDescent="0.2">
      <c r="A14528" s="258"/>
      <c r="Z14528" s="258"/>
    </row>
    <row r="14529" spans="1:26" ht="12.75" customHeight="1" x14ac:dyDescent="0.2">
      <c r="A14529" s="258"/>
      <c r="Z14529" s="258"/>
    </row>
    <row r="14530" spans="1:26" ht="12.75" customHeight="1" x14ac:dyDescent="0.2">
      <c r="A14530" s="258"/>
      <c r="Z14530" s="258"/>
    </row>
    <row r="14531" spans="1:26" ht="12.75" customHeight="1" x14ac:dyDescent="0.2">
      <c r="A14531" s="258"/>
      <c r="Z14531" s="258"/>
    </row>
    <row r="14532" spans="1:26" ht="12.75" customHeight="1" x14ac:dyDescent="0.2">
      <c r="A14532" s="258"/>
      <c r="Z14532" s="258"/>
    </row>
    <row r="14533" spans="1:26" ht="12.75" customHeight="1" x14ac:dyDescent="0.2">
      <c r="A14533" s="258"/>
      <c r="Z14533" s="258"/>
    </row>
    <row r="14534" spans="1:26" ht="12.75" customHeight="1" x14ac:dyDescent="0.2">
      <c r="A14534" s="258"/>
      <c r="Z14534" s="258"/>
    </row>
    <row r="14535" spans="1:26" ht="12.75" customHeight="1" x14ac:dyDescent="0.2">
      <c r="A14535" s="258"/>
      <c r="Z14535" s="258"/>
    </row>
    <row r="14536" spans="1:26" ht="12.75" customHeight="1" x14ac:dyDescent="0.2">
      <c r="A14536" s="258"/>
      <c r="Z14536" s="258"/>
    </row>
    <row r="14537" spans="1:26" ht="12.75" customHeight="1" x14ac:dyDescent="0.2">
      <c r="A14537" s="258"/>
      <c r="Z14537" s="258"/>
    </row>
    <row r="14538" spans="1:26" ht="12.75" customHeight="1" x14ac:dyDescent="0.2">
      <c r="A14538" s="258"/>
      <c r="Z14538" s="258"/>
    </row>
    <row r="14539" spans="1:26" ht="12.75" customHeight="1" x14ac:dyDescent="0.2">
      <c r="A14539" s="258"/>
      <c r="Z14539" s="258"/>
    </row>
    <row r="14540" spans="1:26" ht="12.75" customHeight="1" x14ac:dyDescent="0.2">
      <c r="A14540" s="258"/>
      <c r="Z14540" s="258"/>
    </row>
    <row r="14541" spans="1:26" ht="12.75" customHeight="1" x14ac:dyDescent="0.2">
      <c r="A14541" s="258"/>
      <c r="Z14541" s="258"/>
    </row>
    <row r="14542" spans="1:26" ht="12.75" customHeight="1" x14ac:dyDescent="0.2">
      <c r="A14542" s="258"/>
      <c r="Z14542" s="258"/>
    </row>
    <row r="14543" spans="1:26" ht="12.75" customHeight="1" x14ac:dyDescent="0.2">
      <c r="A14543" s="258"/>
      <c r="Z14543" s="258"/>
    </row>
    <row r="14544" spans="1:26" ht="12.75" customHeight="1" x14ac:dyDescent="0.2">
      <c r="A14544" s="258"/>
      <c r="Z14544" s="258"/>
    </row>
    <row r="14545" spans="1:26" ht="12.75" customHeight="1" x14ac:dyDescent="0.2">
      <c r="A14545" s="258"/>
      <c r="Z14545" s="258"/>
    </row>
    <row r="14546" spans="1:26" ht="12.75" customHeight="1" x14ac:dyDescent="0.2">
      <c r="A14546" s="258"/>
      <c r="Z14546" s="258"/>
    </row>
    <row r="14547" spans="1:26" ht="12.75" customHeight="1" x14ac:dyDescent="0.2">
      <c r="A14547" s="258"/>
      <c r="Z14547" s="258"/>
    </row>
    <row r="14548" spans="1:26" ht="12.75" customHeight="1" x14ac:dyDescent="0.2">
      <c r="A14548" s="258"/>
      <c r="Z14548" s="258"/>
    </row>
    <row r="14549" spans="1:26" ht="12.75" customHeight="1" x14ac:dyDescent="0.2">
      <c r="A14549" s="258"/>
      <c r="Z14549" s="258"/>
    </row>
    <row r="14550" spans="1:26" ht="12.75" customHeight="1" x14ac:dyDescent="0.2">
      <c r="A14550" s="258"/>
      <c r="Z14550" s="258"/>
    </row>
    <row r="14551" spans="1:26" ht="12.75" customHeight="1" x14ac:dyDescent="0.2">
      <c r="A14551" s="258"/>
      <c r="Z14551" s="258"/>
    </row>
    <row r="14552" spans="1:26" ht="12.75" customHeight="1" x14ac:dyDescent="0.2">
      <c r="A14552" s="258"/>
      <c r="Z14552" s="258"/>
    </row>
    <row r="14553" spans="1:26" ht="12.75" customHeight="1" x14ac:dyDescent="0.2">
      <c r="A14553" s="258"/>
      <c r="Z14553" s="258"/>
    </row>
    <row r="14554" spans="1:26" ht="12.75" customHeight="1" x14ac:dyDescent="0.2">
      <c r="A14554" s="258"/>
      <c r="Z14554" s="258"/>
    </row>
    <row r="14555" spans="1:26" ht="12.75" customHeight="1" x14ac:dyDescent="0.2">
      <c r="A14555" s="258"/>
      <c r="Z14555" s="258"/>
    </row>
    <row r="14556" spans="1:26" ht="12.75" customHeight="1" x14ac:dyDescent="0.2">
      <c r="A14556" s="258"/>
      <c r="Z14556" s="258"/>
    </row>
    <row r="14557" spans="1:26" ht="12.75" customHeight="1" x14ac:dyDescent="0.2">
      <c r="A14557" s="258"/>
      <c r="Z14557" s="258"/>
    </row>
    <row r="14558" spans="1:26" ht="12.75" customHeight="1" x14ac:dyDescent="0.2">
      <c r="A14558" s="258"/>
      <c r="Z14558" s="258"/>
    </row>
    <row r="14559" spans="1:26" ht="12.75" customHeight="1" x14ac:dyDescent="0.2">
      <c r="A14559" s="258"/>
      <c r="Z14559" s="258"/>
    </row>
    <row r="14560" spans="1:26" ht="12.75" customHeight="1" x14ac:dyDescent="0.2">
      <c r="A14560" s="258"/>
      <c r="Z14560" s="258"/>
    </row>
    <row r="14561" spans="1:26" ht="12.75" customHeight="1" x14ac:dyDescent="0.2">
      <c r="A14561" s="258"/>
      <c r="Z14561" s="258"/>
    </row>
    <row r="14562" spans="1:26" ht="12.75" customHeight="1" x14ac:dyDescent="0.2">
      <c r="A14562" s="258"/>
      <c r="Z14562" s="258"/>
    </row>
    <row r="14563" spans="1:26" ht="12.75" customHeight="1" x14ac:dyDescent="0.2">
      <c r="A14563" s="258"/>
      <c r="Z14563" s="258"/>
    </row>
    <row r="14564" spans="1:26" ht="12.75" customHeight="1" x14ac:dyDescent="0.2">
      <c r="A14564" s="258"/>
      <c r="Z14564" s="258"/>
    </row>
    <row r="14565" spans="1:26" ht="12.75" customHeight="1" x14ac:dyDescent="0.2">
      <c r="A14565" s="258"/>
      <c r="Z14565" s="258"/>
    </row>
    <row r="14566" spans="1:26" ht="12.75" customHeight="1" x14ac:dyDescent="0.2">
      <c r="A14566" s="258"/>
      <c r="Z14566" s="258"/>
    </row>
    <row r="14567" spans="1:26" ht="12.75" customHeight="1" x14ac:dyDescent="0.2">
      <c r="A14567" s="258"/>
      <c r="Z14567" s="258"/>
    </row>
    <row r="14568" spans="1:26" ht="12.75" customHeight="1" x14ac:dyDescent="0.2">
      <c r="A14568" s="258"/>
      <c r="Z14568" s="258"/>
    </row>
    <row r="14569" spans="1:26" ht="12.75" customHeight="1" x14ac:dyDescent="0.2">
      <c r="A14569" s="258"/>
      <c r="Z14569" s="258"/>
    </row>
    <row r="14570" spans="1:26" ht="12.75" customHeight="1" x14ac:dyDescent="0.2">
      <c r="A14570" s="258"/>
      <c r="Z14570" s="258"/>
    </row>
    <row r="14571" spans="1:26" ht="12.75" customHeight="1" x14ac:dyDescent="0.2">
      <c r="A14571" s="258"/>
      <c r="Z14571" s="258"/>
    </row>
    <row r="14572" spans="1:26" ht="12.75" customHeight="1" x14ac:dyDescent="0.2">
      <c r="A14572" s="258"/>
      <c r="Z14572" s="258"/>
    </row>
    <row r="14573" spans="1:26" ht="12.75" customHeight="1" x14ac:dyDescent="0.2">
      <c r="A14573" s="258"/>
      <c r="Z14573" s="258"/>
    </row>
    <row r="14574" spans="1:26" ht="12.75" customHeight="1" x14ac:dyDescent="0.2">
      <c r="A14574" s="258"/>
      <c r="Z14574" s="258"/>
    </row>
    <row r="14575" spans="1:26" ht="12.75" customHeight="1" x14ac:dyDescent="0.2">
      <c r="A14575" s="258"/>
      <c r="Z14575" s="258"/>
    </row>
    <row r="14576" spans="1:26" ht="12.75" customHeight="1" x14ac:dyDescent="0.2">
      <c r="A14576" s="258"/>
      <c r="Z14576" s="258"/>
    </row>
    <row r="14577" spans="1:26" ht="12.75" customHeight="1" x14ac:dyDescent="0.2">
      <c r="A14577" s="258"/>
      <c r="Z14577" s="258"/>
    </row>
    <row r="14578" spans="1:26" ht="12.75" customHeight="1" x14ac:dyDescent="0.2">
      <c r="A14578" s="258"/>
      <c r="Z14578" s="258"/>
    </row>
    <row r="14579" spans="1:26" ht="12.75" customHeight="1" x14ac:dyDescent="0.2">
      <c r="A14579" s="258"/>
      <c r="Z14579" s="258"/>
    </row>
    <row r="14580" spans="1:26" ht="12.75" customHeight="1" x14ac:dyDescent="0.2">
      <c r="A14580" s="258"/>
      <c r="Z14580" s="258"/>
    </row>
    <row r="14581" spans="1:26" ht="12.75" customHeight="1" x14ac:dyDescent="0.2">
      <c r="A14581" s="258"/>
      <c r="Z14581" s="258"/>
    </row>
    <row r="14582" spans="1:26" ht="12.75" customHeight="1" x14ac:dyDescent="0.2">
      <c r="A14582" s="258"/>
      <c r="Z14582" s="258"/>
    </row>
    <row r="14583" spans="1:26" ht="12.75" customHeight="1" x14ac:dyDescent="0.2">
      <c r="A14583" s="258"/>
      <c r="Z14583" s="258"/>
    </row>
    <row r="14584" spans="1:26" ht="12.75" customHeight="1" x14ac:dyDescent="0.2">
      <c r="A14584" s="258"/>
      <c r="Z14584" s="258"/>
    </row>
    <row r="14585" spans="1:26" ht="12.75" customHeight="1" x14ac:dyDescent="0.2">
      <c r="A14585" s="258"/>
      <c r="Z14585" s="258"/>
    </row>
    <row r="14586" spans="1:26" ht="12.75" customHeight="1" x14ac:dyDescent="0.2">
      <c r="A14586" s="258"/>
      <c r="Z14586" s="258"/>
    </row>
    <row r="14587" spans="1:26" ht="12.75" customHeight="1" x14ac:dyDescent="0.2">
      <c r="A14587" s="258"/>
      <c r="Z14587" s="258"/>
    </row>
    <row r="14588" spans="1:26" ht="12.75" customHeight="1" x14ac:dyDescent="0.2">
      <c r="A14588" s="258"/>
      <c r="Z14588" s="258"/>
    </row>
    <row r="14589" spans="1:26" ht="12.75" customHeight="1" x14ac:dyDescent="0.2">
      <c r="A14589" s="258"/>
      <c r="Z14589" s="258"/>
    </row>
    <row r="14590" spans="1:26" ht="12.75" customHeight="1" x14ac:dyDescent="0.2">
      <c r="A14590" s="258"/>
      <c r="Z14590" s="258"/>
    </row>
    <row r="14591" spans="1:26" ht="12.75" customHeight="1" x14ac:dyDescent="0.2">
      <c r="A14591" s="258"/>
      <c r="Z14591" s="258"/>
    </row>
    <row r="14592" spans="1:26" ht="12.75" customHeight="1" x14ac:dyDescent="0.2">
      <c r="A14592" s="258"/>
      <c r="Z14592" s="258"/>
    </row>
    <row r="14593" spans="1:26" ht="12.75" customHeight="1" x14ac:dyDescent="0.2">
      <c r="A14593" s="258"/>
      <c r="Z14593" s="258"/>
    </row>
    <row r="14594" spans="1:26" ht="12.75" customHeight="1" x14ac:dyDescent="0.2">
      <c r="A14594" s="258"/>
      <c r="Z14594" s="258"/>
    </row>
    <row r="14595" spans="1:26" ht="12.75" customHeight="1" x14ac:dyDescent="0.2">
      <c r="A14595" s="258"/>
      <c r="Z14595" s="258"/>
    </row>
    <row r="14596" spans="1:26" ht="12.75" customHeight="1" x14ac:dyDescent="0.2">
      <c r="A14596" s="258"/>
      <c r="Z14596" s="258"/>
    </row>
    <row r="14597" spans="1:26" ht="12.75" customHeight="1" x14ac:dyDescent="0.2">
      <c r="A14597" s="258"/>
      <c r="Z14597" s="258"/>
    </row>
    <row r="14598" spans="1:26" ht="12.75" customHeight="1" x14ac:dyDescent="0.2">
      <c r="A14598" s="258"/>
      <c r="Z14598" s="258"/>
    </row>
    <row r="14599" spans="1:26" ht="12.75" customHeight="1" x14ac:dyDescent="0.2">
      <c r="A14599" s="258"/>
      <c r="Z14599" s="258"/>
    </row>
    <row r="14600" spans="1:26" ht="12.75" customHeight="1" x14ac:dyDescent="0.2">
      <c r="A14600" s="258"/>
      <c r="Z14600" s="258"/>
    </row>
    <row r="14601" spans="1:26" ht="12.75" customHeight="1" x14ac:dyDescent="0.2">
      <c r="A14601" s="258"/>
      <c r="Z14601" s="258"/>
    </row>
    <row r="14602" spans="1:26" ht="12.75" customHeight="1" x14ac:dyDescent="0.2">
      <c r="A14602" s="258"/>
      <c r="Z14602" s="258"/>
    </row>
    <row r="14603" spans="1:26" ht="12.75" customHeight="1" x14ac:dyDescent="0.2">
      <c r="A14603" s="258"/>
      <c r="Z14603" s="258"/>
    </row>
    <row r="14604" spans="1:26" ht="12.75" customHeight="1" x14ac:dyDescent="0.2">
      <c r="A14604" s="258"/>
      <c r="Z14604" s="258"/>
    </row>
    <row r="14605" spans="1:26" ht="12.75" customHeight="1" x14ac:dyDescent="0.2">
      <c r="A14605" s="258"/>
      <c r="Z14605" s="258"/>
    </row>
    <row r="14606" spans="1:26" ht="12.75" customHeight="1" x14ac:dyDescent="0.2">
      <c r="A14606" s="258"/>
      <c r="Z14606" s="258"/>
    </row>
    <row r="14607" spans="1:26" ht="12.75" customHeight="1" x14ac:dyDescent="0.2">
      <c r="A14607" s="258"/>
      <c r="Z14607" s="258"/>
    </row>
    <row r="14608" spans="1:26" ht="12.75" customHeight="1" x14ac:dyDescent="0.2">
      <c r="A14608" s="258"/>
      <c r="Z14608" s="258"/>
    </row>
    <row r="14609" spans="1:26" ht="12.75" customHeight="1" x14ac:dyDescent="0.2">
      <c r="A14609" s="258"/>
      <c r="Z14609" s="258"/>
    </row>
    <row r="14610" spans="1:26" ht="12.75" customHeight="1" x14ac:dyDescent="0.2">
      <c r="A14610" s="258"/>
      <c r="Z14610" s="258"/>
    </row>
    <row r="14611" spans="1:26" ht="12.75" customHeight="1" x14ac:dyDescent="0.2">
      <c r="A14611" s="258"/>
      <c r="Z14611" s="258"/>
    </row>
    <row r="14612" spans="1:26" ht="12.75" customHeight="1" x14ac:dyDescent="0.2">
      <c r="A14612" s="258"/>
      <c r="Z14612" s="258"/>
    </row>
    <row r="14613" spans="1:26" ht="12.75" customHeight="1" x14ac:dyDescent="0.2">
      <c r="A14613" s="258"/>
      <c r="Z14613" s="258"/>
    </row>
    <row r="14614" spans="1:26" ht="12.75" customHeight="1" x14ac:dyDescent="0.2">
      <c r="A14614" s="258"/>
      <c r="Z14614" s="258"/>
    </row>
    <row r="14615" spans="1:26" ht="12.75" customHeight="1" x14ac:dyDescent="0.2">
      <c r="A14615" s="258"/>
      <c r="Z14615" s="258"/>
    </row>
    <row r="14616" spans="1:26" ht="12.75" customHeight="1" x14ac:dyDescent="0.2">
      <c r="A14616" s="258"/>
      <c r="Z14616" s="258"/>
    </row>
    <row r="14617" spans="1:26" ht="12.75" customHeight="1" x14ac:dyDescent="0.2">
      <c r="A14617" s="258"/>
      <c r="Z14617" s="258"/>
    </row>
    <row r="14618" spans="1:26" ht="12.75" customHeight="1" x14ac:dyDescent="0.2">
      <c r="A14618" s="258"/>
      <c r="Z14618" s="258"/>
    </row>
    <row r="14619" spans="1:26" ht="12.75" customHeight="1" x14ac:dyDescent="0.2">
      <c r="A14619" s="258"/>
      <c r="Z14619" s="258"/>
    </row>
    <row r="14620" spans="1:26" ht="12.75" customHeight="1" x14ac:dyDescent="0.2">
      <c r="A14620" s="258"/>
      <c r="Z14620" s="258"/>
    </row>
    <row r="14621" spans="1:26" ht="12.75" customHeight="1" x14ac:dyDescent="0.2">
      <c r="A14621" s="258"/>
      <c r="Z14621" s="258"/>
    </row>
    <row r="14622" spans="1:26" ht="12.75" customHeight="1" x14ac:dyDescent="0.2">
      <c r="A14622" s="258"/>
      <c r="Z14622" s="258"/>
    </row>
    <row r="14623" spans="1:26" ht="12.75" customHeight="1" x14ac:dyDescent="0.2">
      <c r="A14623" s="258"/>
      <c r="Z14623" s="258"/>
    </row>
    <row r="14624" spans="1:26" ht="12.75" customHeight="1" x14ac:dyDescent="0.2">
      <c r="A14624" s="258"/>
      <c r="Z14624" s="258"/>
    </row>
    <row r="14625" spans="1:26" ht="12.75" customHeight="1" x14ac:dyDescent="0.2">
      <c r="A14625" s="258"/>
      <c r="Z14625" s="258"/>
    </row>
    <row r="14626" spans="1:26" ht="12.75" customHeight="1" x14ac:dyDescent="0.2">
      <c r="A14626" s="258"/>
      <c r="Z14626" s="258"/>
    </row>
    <row r="14627" spans="1:26" ht="12.75" customHeight="1" x14ac:dyDescent="0.2">
      <c r="A14627" s="258"/>
      <c r="Z14627" s="258"/>
    </row>
    <row r="14628" spans="1:26" ht="12.75" customHeight="1" x14ac:dyDescent="0.2">
      <c r="A14628" s="258"/>
      <c r="Z14628" s="258"/>
    </row>
    <row r="14629" spans="1:26" ht="12.75" customHeight="1" x14ac:dyDescent="0.2">
      <c r="A14629" s="258"/>
      <c r="Z14629" s="258"/>
    </row>
    <row r="14630" spans="1:26" ht="12.75" customHeight="1" x14ac:dyDescent="0.2">
      <c r="A14630" s="258"/>
      <c r="Z14630" s="258"/>
    </row>
    <row r="14631" spans="1:26" ht="12.75" customHeight="1" x14ac:dyDescent="0.2">
      <c r="A14631" s="258"/>
      <c r="Z14631" s="258"/>
    </row>
    <row r="14632" spans="1:26" ht="12.75" customHeight="1" x14ac:dyDescent="0.2">
      <c r="A14632" s="258"/>
      <c r="Z14632" s="258"/>
    </row>
    <row r="14633" spans="1:26" ht="12.75" customHeight="1" x14ac:dyDescent="0.2">
      <c r="A14633" s="258"/>
      <c r="Z14633" s="258"/>
    </row>
    <row r="14634" spans="1:26" ht="12.75" customHeight="1" x14ac:dyDescent="0.2">
      <c r="A14634" s="258"/>
      <c r="Z14634" s="258"/>
    </row>
    <row r="14635" spans="1:26" ht="12.75" customHeight="1" x14ac:dyDescent="0.2">
      <c r="A14635" s="258"/>
      <c r="Z14635" s="258"/>
    </row>
    <row r="14636" spans="1:26" ht="12.75" customHeight="1" x14ac:dyDescent="0.2">
      <c r="A14636" s="258"/>
      <c r="Z14636" s="258"/>
    </row>
    <row r="14637" spans="1:26" ht="12.75" customHeight="1" x14ac:dyDescent="0.2">
      <c r="A14637" s="258"/>
      <c r="Z14637" s="258"/>
    </row>
    <row r="14638" spans="1:26" ht="12.75" customHeight="1" x14ac:dyDescent="0.2">
      <c r="A14638" s="258"/>
      <c r="Z14638" s="258"/>
    </row>
    <row r="14639" spans="1:26" ht="12.75" customHeight="1" x14ac:dyDescent="0.2">
      <c r="A14639" s="258"/>
      <c r="Z14639" s="258"/>
    </row>
    <row r="14640" spans="1:26" ht="12.75" customHeight="1" x14ac:dyDescent="0.2">
      <c r="A14640" s="258"/>
      <c r="Z14640" s="258"/>
    </row>
    <row r="14641" spans="1:26" ht="12.75" customHeight="1" x14ac:dyDescent="0.2">
      <c r="A14641" s="258"/>
      <c r="Z14641" s="258"/>
    </row>
    <row r="14642" spans="1:26" ht="12.75" customHeight="1" x14ac:dyDescent="0.2">
      <c r="A14642" s="258"/>
      <c r="Z14642" s="258"/>
    </row>
    <row r="14643" spans="1:26" ht="12.75" customHeight="1" x14ac:dyDescent="0.2">
      <c r="A14643" s="258"/>
      <c r="Z14643" s="258"/>
    </row>
    <row r="14644" spans="1:26" ht="12.75" customHeight="1" x14ac:dyDescent="0.2">
      <c r="A14644" s="258"/>
      <c r="Z14644" s="258"/>
    </row>
    <row r="14645" spans="1:26" ht="12.75" customHeight="1" x14ac:dyDescent="0.2">
      <c r="A14645" s="258"/>
      <c r="Z14645" s="258"/>
    </row>
    <row r="14646" spans="1:26" ht="12.75" customHeight="1" x14ac:dyDescent="0.2">
      <c r="A14646" s="258"/>
      <c r="Z14646" s="258"/>
    </row>
    <row r="14647" spans="1:26" ht="12.75" customHeight="1" x14ac:dyDescent="0.2">
      <c r="A14647" s="258"/>
      <c r="Z14647" s="258"/>
    </row>
    <row r="14648" spans="1:26" ht="12.75" customHeight="1" x14ac:dyDescent="0.2">
      <c r="A14648" s="258"/>
      <c r="Z14648" s="258"/>
    </row>
    <row r="14649" spans="1:26" ht="12.75" customHeight="1" x14ac:dyDescent="0.2">
      <c r="A14649" s="258"/>
      <c r="Z14649" s="258"/>
    </row>
    <row r="14650" spans="1:26" ht="12.75" customHeight="1" x14ac:dyDescent="0.2">
      <c r="A14650" s="258"/>
      <c r="Z14650" s="258"/>
    </row>
    <row r="14651" spans="1:26" ht="12.75" customHeight="1" x14ac:dyDescent="0.2">
      <c r="A14651" s="258"/>
      <c r="Z14651" s="258"/>
    </row>
    <row r="14652" spans="1:26" ht="12.75" customHeight="1" x14ac:dyDescent="0.2">
      <c r="A14652" s="258"/>
      <c r="Z14652" s="258"/>
    </row>
    <row r="14653" spans="1:26" ht="12.75" customHeight="1" x14ac:dyDescent="0.2">
      <c r="A14653" s="258"/>
      <c r="Z14653" s="258"/>
    </row>
    <row r="14654" spans="1:26" ht="12.75" customHeight="1" x14ac:dyDescent="0.2">
      <c r="A14654" s="258"/>
      <c r="Z14654" s="258"/>
    </row>
    <row r="14655" spans="1:26" ht="12.75" customHeight="1" x14ac:dyDescent="0.2">
      <c r="A14655" s="258"/>
      <c r="Z14655" s="258"/>
    </row>
    <row r="14656" spans="1:26" ht="12.75" customHeight="1" x14ac:dyDescent="0.2">
      <c r="A14656" s="258"/>
      <c r="Z14656" s="258"/>
    </row>
    <row r="14657" spans="1:26" ht="12.75" customHeight="1" x14ac:dyDescent="0.2">
      <c r="A14657" s="258"/>
      <c r="Z14657" s="258"/>
    </row>
    <row r="14658" spans="1:26" ht="12.75" customHeight="1" x14ac:dyDescent="0.2">
      <c r="A14658" s="258"/>
      <c r="Z14658" s="258"/>
    </row>
    <row r="14659" spans="1:26" ht="12.75" customHeight="1" x14ac:dyDescent="0.2">
      <c r="A14659" s="258"/>
      <c r="Z14659" s="258"/>
    </row>
    <row r="14660" spans="1:26" ht="12.75" customHeight="1" x14ac:dyDescent="0.2">
      <c r="A14660" s="258"/>
      <c r="Z14660" s="258"/>
    </row>
    <row r="14661" spans="1:26" ht="12.75" customHeight="1" x14ac:dyDescent="0.2">
      <c r="A14661" s="258"/>
      <c r="Z14661" s="258"/>
    </row>
    <row r="14662" spans="1:26" ht="12.75" customHeight="1" x14ac:dyDescent="0.2">
      <c r="A14662" s="258"/>
      <c r="Z14662" s="258"/>
    </row>
    <row r="14663" spans="1:26" ht="12.75" customHeight="1" x14ac:dyDescent="0.2">
      <c r="A14663" s="258"/>
      <c r="Z14663" s="258"/>
    </row>
    <row r="14664" spans="1:26" ht="12.75" customHeight="1" x14ac:dyDescent="0.2">
      <c r="A14664" s="258"/>
      <c r="Z14664" s="258"/>
    </row>
    <row r="14665" spans="1:26" ht="12.75" customHeight="1" x14ac:dyDescent="0.2">
      <c r="A14665" s="258"/>
      <c r="Z14665" s="258"/>
    </row>
    <row r="14666" spans="1:26" ht="12.75" customHeight="1" x14ac:dyDescent="0.2">
      <c r="A14666" s="258"/>
      <c r="Z14666" s="258"/>
    </row>
    <row r="14667" spans="1:26" ht="12.75" customHeight="1" x14ac:dyDescent="0.2">
      <c r="A14667" s="258"/>
      <c r="Z14667" s="258"/>
    </row>
    <row r="14668" spans="1:26" ht="12.75" customHeight="1" x14ac:dyDescent="0.2">
      <c r="A14668" s="258"/>
      <c r="Z14668" s="258"/>
    </row>
    <row r="14669" spans="1:26" ht="12.75" customHeight="1" x14ac:dyDescent="0.2">
      <c r="A14669" s="258"/>
      <c r="Z14669" s="258"/>
    </row>
    <row r="14670" spans="1:26" ht="12.75" customHeight="1" x14ac:dyDescent="0.2">
      <c r="A14670" s="258"/>
      <c r="Z14670" s="258"/>
    </row>
    <row r="14671" spans="1:26" ht="12.75" customHeight="1" x14ac:dyDescent="0.2">
      <c r="A14671" s="258"/>
      <c r="Z14671" s="258"/>
    </row>
    <row r="14672" spans="1:26" ht="12.75" customHeight="1" x14ac:dyDescent="0.2">
      <c r="A14672" s="258"/>
      <c r="Z14672" s="258"/>
    </row>
    <row r="14673" spans="1:26" ht="12.75" customHeight="1" x14ac:dyDescent="0.2">
      <c r="A14673" s="258"/>
      <c r="Z14673" s="258"/>
    </row>
    <row r="14674" spans="1:26" ht="12.75" customHeight="1" x14ac:dyDescent="0.2">
      <c r="A14674" s="258"/>
      <c r="Z14674" s="258"/>
    </row>
    <row r="14675" spans="1:26" ht="12.75" customHeight="1" x14ac:dyDescent="0.2">
      <c r="A14675" s="258"/>
      <c r="Z14675" s="258"/>
    </row>
    <row r="14676" spans="1:26" ht="12.75" customHeight="1" x14ac:dyDescent="0.2">
      <c r="A14676" s="258"/>
      <c r="Z14676" s="258"/>
    </row>
    <row r="14677" spans="1:26" ht="12.75" customHeight="1" x14ac:dyDescent="0.2">
      <c r="A14677" s="258"/>
      <c r="Z14677" s="258"/>
    </row>
    <row r="14678" spans="1:26" ht="12.75" customHeight="1" x14ac:dyDescent="0.2">
      <c r="A14678" s="258"/>
      <c r="Z14678" s="258"/>
    </row>
    <row r="14679" spans="1:26" ht="12.75" customHeight="1" x14ac:dyDescent="0.2">
      <c r="A14679" s="258"/>
      <c r="Z14679" s="258"/>
    </row>
    <row r="14680" spans="1:26" ht="12.75" customHeight="1" x14ac:dyDescent="0.2">
      <c r="A14680" s="258"/>
      <c r="Z14680" s="258"/>
    </row>
    <row r="14681" spans="1:26" ht="12.75" customHeight="1" x14ac:dyDescent="0.2">
      <c r="A14681" s="258"/>
      <c r="Z14681" s="258"/>
    </row>
    <row r="14682" spans="1:26" ht="12.75" customHeight="1" x14ac:dyDescent="0.2">
      <c r="A14682" s="258"/>
      <c r="Z14682" s="258"/>
    </row>
    <row r="14683" spans="1:26" ht="12.75" customHeight="1" x14ac:dyDescent="0.2">
      <c r="A14683" s="258"/>
      <c r="Z14683" s="258"/>
    </row>
    <row r="14684" spans="1:26" ht="12.75" customHeight="1" x14ac:dyDescent="0.2">
      <c r="A14684" s="258"/>
      <c r="Z14684" s="258"/>
    </row>
    <row r="14685" spans="1:26" ht="12.75" customHeight="1" x14ac:dyDescent="0.2">
      <c r="A14685" s="258"/>
      <c r="Z14685" s="258"/>
    </row>
    <row r="14686" spans="1:26" ht="12.75" customHeight="1" x14ac:dyDescent="0.2">
      <c r="A14686" s="258"/>
      <c r="Z14686" s="258"/>
    </row>
    <row r="14687" spans="1:26" ht="12.75" customHeight="1" x14ac:dyDescent="0.2">
      <c r="A14687" s="258"/>
      <c r="Z14687" s="258"/>
    </row>
    <row r="14688" spans="1:26" ht="12.75" customHeight="1" x14ac:dyDescent="0.2">
      <c r="A14688" s="258"/>
      <c r="Z14688" s="258"/>
    </row>
    <row r="14689" spans="1:26" ht="12.75" customHeight="1" x14ac:dyDescent="0.2">
      <c r="A14689" s="258"/>
      <c r="Z14689" s="258"/>
    </row>
    <row r="14690" spans="1:26" ht="12.75" customHeight="1" x14ac:dyDescent="0.2">
      <c r="A14690" s="258"/>
      <c r="Z14690" s="258"/>
    </row>
    <row r="14691" spans="1:26" ht="12.75" customHeight="1" x14ac:dyDescent="0.2">
      <c r="A14691" s="258"/>
      <c r="Z14691" s="258"/>
    </row>
    <row r="14692" spans="1:26" ht="12.75" customHeight="1" x14ac:dyDescent="0.2">
      <c r="A14692" s="258"/>
      <c r="Z14692" s="258"/>
    </row>
    <row r="14693" spans="1:26" ht="12.75" customHeight="1" x14ac:dyDescent="0.2">
      <c r="A14693" s="258"/>
      <c r="Z14693" s="258"/>
    </row>
    <row r="14694" spans="1:26" ht="12.75" customHeight="1" x14ac:dyDescent="0.2">
      <c r="A14694" s="258"/>
      <c r="Z14694" s="258"/>
    </row>
    <row r="14695" spans="1:26" ht="12.75" customHeight="1" x14ac:dyDescent="0.2">
      <c r="A14695" s="258"/>
      <c r="Z14695" s="258"/>
    </row>
    <row r="14696" spans="1:26" ht="12.75" customHeight="1" x14ac:dyDescent="0.2">
      <c r="A14696" s="258"/>
      <c r="Z14696" s="258"/>
    </row>
    <row r="14697" spans="1:26" ht="12.75" customHeight="1" x14ac:dyDescent="0.2">
      <c r="A14697" s="258"/>
      <c r="Z14697" s="258"/>
    </row>
    <row r="14698" spans="1:26" ht="12.75" customHeight="1" x14ac:dyDescent="0.2">
      <c r="A14698" s="258"/>
      <c r="Z14698" s="258"/>
    </row>
    <row r="14699" spans="1:26" ht="12.75" customHeight="1" x14ac:dyDescent="0.2">
      <c r="A14699" s="258"/>
      <c r="Z14699" s="258"/>
    </row>
    <row r="14700" spans="1:26" ht="12.75" customHeight="1" x14ac:dyDescent="0.2">
      <c r="A14700" s="258"/>
      <c r="Z14700" s="258"/>
    </row>
    <row r="14701" spans="1:26" ht="12.75" customHeight="1" x14ac:dyDescent="0.2">
      <c r="A14701" s="258"/>
      <c r="Z14701" s="258"/>
    </row>
    <row r="14702" spans="1:26" ht="12.75" customHeight="1" x14ac:dyDescent="0.2">
      <c r="A14702" s="258"/>
      <c r="Z14702" s="258"/>
    </row>
    <row r="14703" spans="1:26" ht="12.75" customHeight="1" x14ac:dyDescent="0.2">
      <c r="A14703" s="258"/>
      <c r="Z14703" s="258"/>
    </row>
    <row r="14704" spans="1:26" ht="12.75" customHeight="1" x14ac:dyDescent="0.2">
      <c r="A14704" s="258"/>
      <c r="Z14704" s="258"/>
    </row>
    <row r="14705" spans="1:26" ht="12.75" customHeight="1" x14ac:dyDescent="0.2">
      <c r="A14705" s="258"/>
      <c r="Z14705" s="258"/>
    </row>
    <row r="14706" spans="1:26" ht="12.75" customHeight="1" x14ac:dyDescent="0.2">
      <c r="A14706" s="258"/>
      <c r="Z14706" s="258"/>
    </row>
    <row r="14707" spans="1:26" ht="12.75" customHeight="1" x14ac:dyDescent="0.2">
      <c r="A14707" s="258"/>
      <c r="Z14707" s="258"/>
    </row>
    <row r="14708" spans="1:26" ht="12.75" customHeight="1" x14ac:dyDescent="0.2">
      <c r="A14708" s="258"/>
      <c r="Z14708" s="258"/>
    </row>
    <row r="14709" spans="1:26" ht="12.75" customHeight="1" x14ac:dyDescent="0.2">
      <c r="A14709" s="258"/>
      <c r="Z14709" s="258"/>
    </row>
    <row r="14710" spans="1:26" ht="12.75" customHeight="1" x14ac:dyDescent="0.2">
      <c r="A14710" s="258"/>
      <c r="Z14710" s="258"/>
    </row>
    <row r="14711" spans="1:26" ht="12.75" customHeight="1" x14ac:dyDescent="0.2">
      <c r="A14711" s="258"/>
      <c r="Z14711" s="258"/>
    </row>
    <row r="14712" spans="1:26" ht="12.75" customHeight="1" x14ac:dyDescent="0.2">
      <c r="A14712" s="258"/>
      <c r="Z14712" s="258"/>
    </row>
    <row r="14713" spans="1:26" ht="12.75" customHeight="1" x14ac:dyDescent="0.2">
      <c r="A14713" s="258"/>
      <c r="Z14713" s="258"/>
    </row>
    <row r="14714" spans="1:26" ht="12.75" customHeight="1" x14ac:dyDescent="0.2">
      <c r="A14714" s="258"/>
      <c r="Z14714" s="258"/>
    </row>
    <row r="14715" spans="1:26" ht="12.75" customHeight="1" x14ac:dyDescent="0.2">
      <c r="A14715" s="258"/>
      <c r="Z14715" s="258"/>
    </row>
    <row r="14716" spans="1:26" ht="12.75" customHeight="1" x14ac:dyDescent="0.2">
      <c r="A14716" s="258"/>
      <c r="Z14716" s="258"/>
    </row>
    <row r="14717" spans="1:26" ht="12.75" customHeight="1" x14ac:dyDescent="0.2">
      <c r="A14717" s="258"/>
      <c r="Z14717" s="258"/>
    </row>
    <row r="14718" spans="1:26" ht="12.75" customHeight="1" x14ac:dyDescent="0.2">
      <c r="A14718" s="258"/>
      <c r="Z14718" s="258"/>
    </row>
    <row r="14719" spans="1:26" ht="12.75" customHeight="1" x14ac:dyDescent="0.2">
      <c r="A14719" s="258"/>
      <c r="Z14719" s="258"/>
    </row>
    <row r="14720" spans="1:26" ht="12.75" customHeight="1" x14ac:dyDescent="0.2">
      <c r="A14720" s="258"/>
      <c r="Z14720" s="258"/>
    </row>
    <row r="14721" spans="1:26" ht="12.75" customHeight="1" x14ac:dyDescent="0.2">
      <c r="A14721" s="258"/>
      <c r="Z14721" s="258"/>
    </row>
    <row r="14722" spans="1:26" ht="12.75" customHeight="1" x14ac:dyDescent="0.2">
      <c r="A14722" s="258"/>
      <c r="Z14722" s="258"/>
    </row>
    <row r="14723" spans="1:26" ht="12.75" customHeight="1" x14ac:dyDescent="0.2">
      <c r="A14723" s="258"/>
      <c r="Z14723" s="258"/>
    </row>
    <row r="14724" spans="1:26" ht="12.75" customHeight="1" x14ac:dyDescent="0.2">
      <c r="A14724" s="258"/>
      <c r="Z14724" s="258"/>
    </row>
    <row r="14725" spans="1:26" ht="12.75" customHeight="1" x14ac:dyDescent="0.2">
      <c r="A14725" s="258"/>
      <c r="Z14725" s="258"/>
    </row>
    <row r="14726" spans="1:26" ht="12.75" customHeight="1" x14ac:dyDescent="0.2">
      <c r="A14726" s="258"/>
      <c r="Z14726" s="258"/>
    </row>
    <row r="14727" spans="1:26" ht="12.75" customHeight="1" x14ac:dyDescent="0.2">
      <c r="A14727" s="258"/>
      <c r="Z14727" s="258"/>
    </row>
    <row r="14728" spans="1:26" ht="12.75" customHeight="1" x14ac:dyDescent="0.2">
      <c r="A14728" s="258"/>
      <c r="Z14728" s="258"/>
    </row>
    <row r="14729" spans="1:26" ht="12.75" customHeight="1" x14ac:dyDescent="0.2">
      <c r="A14729" s="258"/>
      <c r="Z14729" s="258"/>
    </row>
    <row r="14730" spans="1:26" ht="12.75" customHeight="1" x14ac:dyDescent="0.2">
      <c r="A14730" s="258"/>
      <c r="Z14730" s="258"/>
    </row>
    <row r="14731" spans="1:26" ht="12.75" customHeight="1" x14ac:dyDescent="0.2">
      <c r="A14731" s="258"/>
      <c r="Z14731" s="258"/>
    </row>
    <row r="14732" spans="1:26" ht="12.75" customHeight="1" x14ac:dyDescent="0.2">
      <c r="A14732" s="258"/>
      <c r="Z14732" s="258"/>
    </row>
    <row r="14733" spans="1:26" ht="12.75" customHeight="1" x14ac:dyDescent="0.2">
      <c r="A14733" s="258"/>
      <c r="Z14733" s="258"/>
    </row>
    <row r="14734" spans="1:26" ht="12.75" customHeight="1" x14ac:dyDescent="0.2">
      <c r="A14734" s="258"/>
      <c r="Z14734" s="258"/>
    </row>
    <row r="14735" spans="1:26" ht="12.75" customHeight="1" x14ac:dyDescent="0.2">
      <c r="A14735" s="258"/>
      <c r="Z14735" s="258"/>
    </row>
    <row r="14736" spans="1:26" ht="12.75" customHeight="1" x14ac:dyDescent="0.2">
      <c r="A14736" s="258"/>
      <c r="Z14736" s="258"/>
    </row>
    <row r="14737" spans="1:26" ht="12.75" customHeight="1" x14ac:dyDescent="0.2">
      <c r="A14737" s="258"/>
      <c r="Z14737" s="258"/>
    </row>
    <row r="14738" spans="1:26" ht="12.75" customHeight="1" x14ac:dyDescent="0.2">
      <c r="A14738" s="258"/>
      <c r="Z14738" s="258"/>
    </row>
    <row r="14739" spans="1:26" ht="12.75" customHeight="1" x14ac:dyDescent="0.2">
      <c r="A14739" s="258"/>
      <c r="Z14739" s="258"/>
    </row>
    <row r="14740" spans="1:26" ht="12.75" customHeight="1" x14ac:dyDescent="0.2">
      <c r="A14740" s="258"/>
      <c r="Z14740" s="258"/>
    </row>
    <row r="14741" spans="1:26" ht="12.75" customHeight="1" x14ac:dyDescent="0.2">
      <c r="A14741" s="258"/>
      <c r="Z14741" s="258"/>
    </row>
    <row r="14742" spans="1:26" ht="12.75" customHeight="1" x14ac:dyDescent="0.2">
      <c r="A14742" s="258"/>
      <c r="Z14742" s="258"/>
    </row>
    <row r="14743" spans="1:26" ht="12.75" customHeight="1" x14ac:dyDescent="0.2">
      <c r="A14743" s="258"/>
      <c r="Z14743" s="258"/>
    </row>
    <row r="14744" spans="1:26" ht="12.75" customHeight="1" x14ac:dyDescent="0.2">
      <c r="A14744" s="258"/>
      <c r="Z14744" s="258"/>
    </row>
    <row r="14745" spans="1:26" ht="12.75" customHeight="1" x14ac:dyDescent="0.2">
      <c r="A14745" s="258"/>
      <c r="Z14745" s="258"/>
    </row>
    <row r="14746" spans="1:26" ht="12.75" customHeight="1" x14ac:dyDescent="0.2">
      <c r="A14746" s="258"/>
      <c r="Z14746" s="258"/>
    </row>
    <row r="14747" spans="1:26" ht="12.75" customHeight="1" x14ac:dyDescent="0.2">
      <c r="A14747" s="258"/>
      <c r="Z14747" s="258"/>
    </row>
    <row r="14748" spans="1:26" ht="12.75" customHeight="1" x14ac:dyDescent="0.2">
      <c r="A14748" s="258"/>
      <c r="Z14748" s="258"/>
    </row>
    <row r="14749" spans="1:26" ht="12.75" customHeight="1" x14ac:dyDescent="0.2">
      <c r="A14749" s="258"/>
      <c r="Z14749" s="258"/>
    </row>
    <row r="14750" spans="1:26" ht="12.75" customHeight="1" x14ac:dyDescent="0.2">
      <c r="A14750" s="258"/>
      <c r="Z14750" s="258"/>
    </row>
    <row r="14751" spans="1:26" ht="12.75" customHeight="1" x14ac:dyDescent="0.2">
      <c r="A14751" s="258"/>
      <c r="Z14751" s="258"/>
    </row>
    <row r="14752" spans="1:26" ht="12.75" customHeight="1" x14ac:dyDescent="0.2">
      <c r="A14752" s="258"/>
      <c r="Z14752" s="258"/>
    </row>
    <row r="14753" spans="1:26" ht="12.75" customHeight="1" x14ac:dyDescent="0.2">
      <c r="A14753" s="258"/>
      <c r="Z14753" s="258"/>
    </row>
    <row r="14754" spans="1:26" ht="12.75" customHeight="1" x14ac:dyDescent="0.2">
      <c r="A14754" s="258"/>
      <c r="Z14754" s="258"/>
    </row>
    <row r="14755" spans="1:26" ht="12.75" customHeight="1" x14ac:dyDescent="0.2">
      <c r="A14755" s="258"/>
      <c r="Z14755" s="258"/>
    </row>
    <row r="14756" spans="1:26" ht="12.75" customHeight="1" x14ac:dyDescent="0.2">
      <c r="A14756" s="258"/>
      <c r="Z14756" s="258"/>
    </row>
    <row r="14757" spans="1:26" ht="12.75" customHeight="1" x14ac:dyDescent="0.2">
      <c r="A14757" s="258"/>
      <c r="Z14757" s="258"/>
    </row>
    <row r="14758" spans="1:26" ht="12.75" customHeight="1" x14ac:dyDescent="0.2">
      <c r="A14758" s="258"/>
      <c r="Z14758" s="258"/>
    </row>
    <row r="14759" spans="1:26" ht="12.75" customHeight="1" x14ac:dyDescent="0.2">
      <c r="A14759" s="258"/>
      <c r="Z14759" s="258"/>
    </row>
    <row r="14760" spans="1:26" ht="12.75" customHeight="1" x14ac:dyDescent="0.2">
      <c r="A14760" s="258"/>
      <c r="Z14760" s="258"/>
    </row>
    <row r="14761" spans="1:26" ht="12.75" customHeight="1" x14ac:dyDescent="0.2">
      <c r="A14761" s="258"/>
      <c r="Z14761" s="258"/>
    </row>
    <row r="14762" spans="1:26" ht="12.75" customHeight="1" x14ac:dyDescent="0.2">
      <c r="A14762" s="258"/>
      <c r="Z14762" s="258"/>
    </row>
    <row r="14763" spans="1:26" ht="12.75" customHeight="1" x14ac:dyDescent="0.2">
      <c r="A14763" s="258"/>
      <c r="Z14763" s="258"/>
    </row>
    <row r="14764" spans="1:26" ht="12.75" customHeight="1" x14ac:dyDescent="0.2">
      <c r="A14764" s="258"/>
      <c r="Z14764" s="258"/>
    </row>
    <row r="14765" spans="1:26" ht="12.75" customHeight="1" x14ac:dyDescent="0.2">
      <c r="A14765" s="258"/>
      <c r="Z14765" s="258"/>
    </row>
    <row r="14766" spans="1:26" ht="12.75" customHeight="1" x14ac:dyDescent="0.2">
      <c r="A14766" s="258"/>
      <c r="Z14766" s="258"/>
    </row>
    <row r="14767" spans="1:26" ht="12.75" customHeight="1" x14ac:dyDescent="0.2">
      <c r="A14767" s="258"/>
      <c r="Z14767" s="258"/>
    </row>
    <row r="14768" spans="1:26" ht="12.75" customHeight="1" x14ac:dyDescent="0.2">
      <c r="A14768" s="258"/>
      <c r="Z14768" s="258"/>
    </row>
    <row r="14769" spans="1:26" ht="12.75" customHeight="1" x14ac:dyDescent="0.2">
      <c r="A14769" s="258"/>
      <c r="Z14769" s="258"/>
    </row>
    <row r="14770" spans="1:26" ht="12.75" customHeight="1" x14ac:dyDescent="0.2">
      <c r="A14770" s="258"/>
      <c r="Z14770" s="258"/>
    </row>
    <row r="14771" spans="1:26" ht="12.75" customHeight="1" x14ac:dyDescent="0.2">
      <c r="A14771" s="258"/>
      <c r="Z14771" s="258"/>
    </row>
    <row r="14772" spans="1:26" ht="12.75" customHeight="1" x14ac:dyDescent="0.2">
      <c r="A14772" s="258"/>
      <c r="Z14772" s="258"/>
    </row>
    <row r="14773" spans="1:26" ht="12.75" customHeight="1" x14ac:dyDescent="0.2">
      <c r="A14773" s="258"/>
      <c r="Z14773" s="258"/>
    </row>
    <row r="14774" spans="1:26" ht="12.75" customHeight="1" x14ac:dyDescent="0.2">
      <c r="A14774" s="258"/>
      <c r="Z14774" s="258"/>
    </row>
    <row r="14775" spans="1:26" ht="12.75" customHeight="1" x14ac:dyDescent="0.2">
      <c r="A14775" s="258"/>
      <c r="Z14775" s="258"/>
    </row>
    <row r="14776" spans="1:26" ht="12.75" customHeight="1" x14ac:dyDescent="0.2">
      <c r="A14776" s="258"/>
      <c r="Z14776" s="258"/>
    </row>
    <row r="14777" spans="1:26" ht="12.75" customHeight="1" x14ac:dyDescent="0.2">
      <c r="A14777" s="258"/>
      <c r="Z14777" s="258"/>
    </row>
    <row r="14778" spans="1:26" ht="12.75" customHeight="1" x14ac:dyDescent="0.2">
      <c r="A14778" s="258"/>
      <c r="Z14778" s="258"/>
    </row>
    <row r="14779" spans="1:26" ht="12.75" customHeight="1" x14ac:dyDescent="0.2">
      <c r="A14779" s="258"/>
      <c r="Z14779" s="258"/>
    </row>
    <row r="14780" spans="1:26" ht="12.75" customHeight="1" x14ac:dyDescent="0.2">
      <c r="A14780" s="258"/>
      <c r="Z14780" s="258"/>
    </row>
    <row r="14781" spans="1:26" ht="12.75" customHeight="1" x14ac:dyDescent="0.2">
      <c r="A14781" s="258"/>
      <c r="Z14781" s="258"/>
    </row>
    <row r="14782" spans="1:26" ht="12.75" customHeight="1" x14ac:dyDescent="0.2">
      <c r="A14782" s="258"/>
      <c r="Z14782" s="258"/>
    </row>
    <row r="14783" spans="1:26" ht="12.75" customHeight="1" x14ac:dyDescent="0.2">
      <c r="A14783" s="258"/>
      <c r="Z14783" s="258"/>
    </row>
    <row r="14784" spans="1:26" ht="12.75" customHeight="1" x14ac:dyDescent="0.2">
      <c r="A14784" s="258"/>
      <c r="Z14784" s="258"/>
    </row>
    <row r="14785" spans="1:26" ht="12.75" customHeight="1" x14ac:dyDescent="0.2">
      <c r="A14785" s="258"/>
      <c r="Z14785" s="258"/>
    </row>
    <row r="14786" spans="1:26" ht="12.75" customHeight="1" x14ac:dyDescent="0.2">
      <c r="A14786" s="258"/>
      <c r="Z14786" s="258"/>
    </row>
    <row r="14787" spans="1:26" ht="12.75" customHeight="1" x14ac:dyDescent="0.2">
      <c r="A14787" s="258"/>
      <c r="Z14787" s="258"/>
    </row>
    <row r="14788" spans="1:26" ht="12.75" customHeight="1" x14ac:dyDescent="0.2">
      <c r="A14788" s="258"/>
      <c r="Z14788" s="258"/>
    </row>
    <row r="14789" spans="1:26" ht="12.75" customHeight="1" x14ac:dyDescent="0.2">
      <c r="A14789" s="258"/>
      <c r="Z14789" s="258"/>
    </row>
    <row r="14790" spans="1:26" ht="12.75" customHeight="1" x14ac:dyDescent="0.2">
      <c r="A14790" s="258"/>
      <c r="Z14790" s="258"/>
    </row>
    <row r="14791" spans="1:26" ht="12.75" customHeight="1" x14ac:dyDescent="0.2">
      <c r="A14791" s="258"/>
      <c r="Z14791" s="258"/>
    </row>
    <row r="14792" spans="1:26" ht="12.75" customHeight="1" x14ac:dyDescent="0.2">
      <c r="A14792" s="258"/>
      <c r="Z14792" s="258"/>
    </row>
    <row r="14793" spans="1:26" ht="12.75" customHeight="1" x14ac:dyDescent="0.2">
      <c r="A14793" s="258"/>
      <c r="Z14793" s="258"/>
    </row>
    <row r="14794" spans="1:26" ht="12.75" customHeight="1" x14ac:dyDescent="0.2">
      <c r="A14794" s="258"/>
      <c r="Z14794" s="258"/>
    </row>
    <row r="14795" spans="1:26" ht="12.75" customHeight="1" x14ac:dyDescent="0.2">
      <c r="A14795" s="258"/>
      <c r="Z14795" s="258"/>
    </row>
    <row r="14796" spans="1:26" ht="12.75" customHeight="1" x14ac:dyDescent="0.2">
      <c r="A14796" s="258"/>
      <c r="Z14796" s="258"/>
    </row>
    <row r="14797" spans="1:26" ht="12.75" customHeight="1" x14ac:dyDescent="0.2">
      <c r="A14797" s="258"/>
      <c r="Z14797" s="258"/>
    </row>
    <row r="14798" spans="1:26" ht="12.75" customHeight="1" x14ac:dyDescent="0.2">
      <c r="A14798" s="258"/>
      <c r="Z14798" s="258"/>
    </row>
    <row r="14799" spans="1:26" ht="12.75" customHeight="1" x14ac:dyDescent="0.2">
      <c r="A14799" s="258"/>
      <c r="Z14799" s="258"/>
    </row>
    <row r="14800" spans="1:26" ht="12.75" customHeight="1" x14ac:dyDescent="0.2">
      <c r="A14800" s="258"/>
      <c r="Z14800" s="258"/>
    </row>
    <row r="14801" spans="1:26" ht="12.75" customHeight="1" x14ac:dyDescent="0.2">
      <c r="A14801" s="258"/>
      <c r="Z14801" s="258"/>
    </row>
    <row r="14802" spans="1:26" ht="12.75" customHeight="1" x14ac:dyDescent="0.2">
      <c r="A14802" s="258"/>
      <c r="Z14802" s="258"/>
    </row>
    <row r="14803" spans="1:26" ht="12.75" customHeight="1" x14ac:dyDescent="0.2">
      <c r="A14803" s="258"/>
      <c r="Z14803" s="258"/>
    </row>
    <row r="14804" spans="1:26" ht="12.75" customHeight="1" x14ac:dyDescent="0.2">
      <c r="A14804" s="258"/>
      <c r="Z14804" s="258"/>
    </row>
    <row r="14805" spans="1:26" ht="12.75" customHeight="1" x14ac:dyDescent="0.2">
      <c r="A14805" s="258"/>
      <c r="Z14805" s="258"/>
    </row>
    <row r="14806" spans="1:26" ht="12.75" customHeight="1" x14ac:dyDescent="0.2">
      <c r="A14806" s="258"/>
      <c r="Z14806" s="258"/>
    </row>
    <row r="14807" spans="1:26" ht="12.75" customHeight="1" x14ac:dyDescent="0.2">
      <c r="A14807" s="258"/>
      <c r="Z14807" s="258"/>
    </row>
    <row r="14808" spans="1:26" ht="12.75" customHeight="1" x14ac:dyDescent="0.2">
      <c r="A14808" s="258"/>
      <c r="Z14808" s="258"/>
    </row>
    <row r="14809" spans="1:26" ht="12.75" customHeight="1" x14ac:dyDescent="0.2">
      <c r="A14809" s="258"/>
      <c r="Z14809" s="258"/>
    </row>
    <row r="14810" spans="1:26" ht="12.75" customHeight="1" x14ac:dyDescent="0.2">
      <c r="A14810" s="258"/>
      <c r="Z14810" s="258"/>
    </row>
    <row r="14811" spans="1:26" ht="12.75" customHeight="1" x14ac:dyDescent="0.2">
      <c r="A14811" s="258"/>
      <c r="Z14811" s="258"/>
    </row>
    <row r="14812" spans="1:26" ht="12.75" customHeight="1" x14ac:dyDescent="0.2">
      <c r="A14812" s="258"/>
      <c r="Z14812" s="258"/>
    </row>
    <row r="14813" spans="1:26" ht="12.75" customHeight="1" x14ac:dyDescent="0.2">
      <c r="A14813" s="258"/>
      <c r="Z14813" s="258"/>
    </row>
    <row r="14814" spans="1:26" ht="12.75" customHeight="1" x14ac:dyDescent="0.2">
      <c r="A14814" s="258"/>
      <c r="Z14814" s="258"/>
    </row>
    <row r="14815" spans="1:26" ht="12.75" customHeight="1" x14ac:dyDescent="0.2">
      <c r="A14815" s="258"/>
      <c r="Z14815" s="258"/>
    </row>
    <row r="14816" spans="1:26" ht="12.75" customHeight="1" x14ac:dyDescent="0.2">
      <c r="A14816" s="258"/>
      <c r="Z14816" s="258"/>
    </row>
    <row r="14817" spans="1:26" ht="12.75" customHeight="1" x14ac:dyDescent="0.2">
      <c r="A14817" s="258"/>
      <c r="Z14817" s="258"/>
    </row>
    <row r="14818" spans="1:26" ht="12.75" customHeight="1" x14ac:dyDescent="0.2">
      <c r="A14818" s="258"/>
      <c r="Z14818" s="258"/>
    </row>
    <row r="14819" spans="1:26" ht="12.75" customHeight="1" x14ac:dyDescent="0.2">
      <c r="A14819" s="258"/>
      <c r="Z14819" s="258"/>
    </row>
    <row r="14820" spans="1:26" ht="12.75" customHeight="1" x14ac:dyDescent="0.2">
      <c r="A14820" s="258"/>
      <c r="Z14820" s="258"/>
    </row>
    <row r="14821" spans="1:26" ht="12.75" customHeight="1" x14ac:dyDescent="0.2">
      <c r="A14821" s="258"/>
      <c r="Z14821" s="258"/>
    </row>
    <row r="14822" spans="1:26" ht="12.75" customHeight="1" x14ac:dyDescent="0.2">
      <c r="A14822" s="258"/>
      <c r="Z14822" s="258"/>
    </row>
    <row r="14823" spans="1:26" ht="12.75" customHeight="1" x14ac:dyDescent="0.2">
      <c r="A14823" s="258"/>
      <c r="Z14823" s="258"/>
    </row>
    <row r="14824" spans="1:26" ht="12.75" customHeight="1" x14ac:dyDescent="0.2">
      <c r="A14824" s="258"/>
      <c r="Z14824" s="258"/>
    </row>
    <row r="14825" spans="1:26" ht="12.75" customHeight="1" x14ac:dyDescent="0.2">
      <c r="A14825" s="258"/>
      <c r="Z14825" s="258"/>
    </row>
    <row r="14826" spans="1:26" ht="12.75" customHeight="1" x14ac:dyDescent="0.2">
      <c r="A14826" s="258"/>
      <c r="Z14826" s="258"/>
    </row>
    <row r="14827" spans="1:26" ht="12.75" customHeight="1" x14ac:dyDescent="0.2">
      <c r="A14827" s="258"/>
      <c r="Z14827" s="258"/>
    </row>
    <row r="14828" spans="1:26" ht="12.75" customHeight="1" x14ac:dyDescent="0.2">
      <c r="A14828" s="258"/>
      <c r="Z14828" s="258"/>
    </row>
    <row r="14829" spans="1:26" ht="12.75" customHeight="1" x14ac:dyDescent="0.2">
      <c r="A14829" s="258"/>
      <c r="Z14829" s="258"/>
    </row>
    <row r="14830" spans="1:26" ht="12.75" customHeight="1" x14ac:dyDescent="0.2">
      <c r="A14830" s="258"/>
      <c r="Z14830" s="258"/>
    </row>
    <row r="14831" spans="1:26" ht="12.75" customHeight="1" x14ac:dyDescent="0.2">
      <c r="A14831" s="258"/>
      <c r="Z14831" s="258"/>
    </row>
    <row r="14832" spans="1:26" ht="12.75" customHeight="1" x14ac:dyDescent="0.2">
      <c r="A14832" s="258"/>
      <c r="Z14832" s="258"/>
    </row>
    <row r="14833" spans="1:26" ht="12.75" customHeight="1" x14ac:dyDescent="0.2">
      <c r="A14833" s="258"/>
      <c r="Z14833" s="258"/>
    </row>
    <row r="14834" spans="1:26" ht="12.75" customHeight="1" x14ac:dyDescent="0.2">
      <c r="A14834" s="258"/>
      <c r="Z14834" s="258"/>
    </row>
    <row r="14835" spans="1:26" ht="12.75" customHeight="1" x14ac:dyDescent="0.2">
      <c r="A14835" s="258"/>
      <c r="Z14835" s="258"/>
    </row>
    <row r="14836" spans="1:26" ht="12.75" customHeight="1" x14ac:dyDescent="0.2">
      <c r="A14836" s="258"/>
      <c r="Z14836" s="258"/>
    </row>
    <row r="14837" spans="1:26" ht="12.75" customHeight="1" x14ac:dyDescent="0.2">
      <c r="A14837" s="258"/>
      <c r="Z14837" s="258"/>
    </row>
    <row r="14838" spans="1:26" ht="12.75" customHeight="1" x14ac:dyDescent="0.2">
      <c r="A14838" s="258"/>
      <c r="Z14838" s="258"/>
    </row>
    <row r="14839" spans="1:26" ht="12.75" customHeight="1" x14ac:dyDescent="0.2">
      <c r="A14839" s="258"/>
      <c r="Z14839" s="258"/>
    </row>
    <row r="14840" spans="1:26" ht="12.75" customHeight="1" x14ac:dyDescent="0.2">
      <c r="A14840" s="258"/>
      <c r="Z14840" s="258"/>
    </row>
    <row r="14841" spans="1:26" ht="12.75" customHeight="1" x14ac:dyDescent="0.2">
      <c r="A14841" s="258"/>
      <c r="Z14841" s="258"/>
    </row>
    <row r="14842" spans="1:26" ht="12.75" customHeight="1" x14ac:dyDescent="0.2">
      <c r="A14842" s="258"/>
      <c r="Z14842" s="258"/>
    </row>
    <row r="14843" spans="1:26" ht="12.75" customHeight="1" x14ac:dyDescent="0.2">
      <c r="A14843" s="258"/>
      <c r="Z14843" s="258"/>
    </row>
    <row r="14844" spans="1:26" ht="12.75" customHeight="1" x14ac:dyDescent="0.2">
      <c r="A14844" s="258"/>
      <c r="Z14844" s="258"/>
    </row>
    <row r="14845" spans="1:26" ht="12.75" customHeight="1" x14ac:dyDescent="0.2">
      <c r="A14845" s="258"/>
      <c r="Z14845" s="258"/>
    </row>
    <row r="14846" spans="1:26" ht="12.75" customHeight="1" x14ac:dyDescent="0.2">
      <c r="A14846" s="258"/>
      <c r="Z14846" s="258"/>
    </row>
    <row r="14847" spans="1:26" ht="12.75" customHeight="1" x14ac:dyDescent="0.2">
      <c r="A14847" s="258"/>
      <c r="Z14847" s="258"/>
    </row>
    <row r="14848" spans="1:26" ht="12.75" customHeight="1" x14ac:dyDescent="0.2">
      <c r="A14848" s="258"/>
      <c r="Z14848" s="258"/>
    </row>
    <row r="14849" spans="1:26" ht="12.75" customHeight="1" x14ac:dyDescent="0.2">
      <c r="A14849" s="258"/>
      <c r="Z14849" s="258"/>
    </row>
    <row r="14850" spans="1:26" ht="12.75" customHeight="1" x14ac:dyDescent="0.2">
      <c r="A14850" s="258"/>
      <c r="Z14850" s="258"/>
    </row>
    <row r="14851" spans="1:26" ht="12.75" customHeight="1" x14ac:dyDescent="0.2">
      <c r="A14851" s="258"/>
      <c r="Z14851" s="258"/>
    </row>
    <row r="14852" spans="1:26" ht="12.75" customHeight="1" x14ac:dyDescent="0.2">
      <c r="A14852" s="258"/>
      <c r="Z14852" s="258"/>
    </row>
    <row r="14853" spans="1:26" ht="12.75" customHeight="1" x14ac:dyDescent="0.2">
      <c r="A14853" s="258"/>
      <c r="Z14853" s="258"/>
    </row>
    <row r="14854" spans="1:26" ht="12.75" customHeight="1" x14ac:dyDescent="0.2">
      <c r="A14854" s="258"/>
      <c r="Z14854" s="258"/>
    </row>
    <row r="14855" spans="1:26" ht="12.75" customHeight="1" x14ac:dyDescent="0.2">
      <c r="A14855" s="258"/>
      <c r="Z14855" s="258"/>
    </row>
    <row r="14856" spans="1:26" ht="12.75" customHeight="1" x14ac:dyDescent="0.2">
      <c r="A14856" s="258"/>
      <c r="Z14856" s="258"/>
    </row>
    <row r="14857" spans="1:26" ht="12.75" customHeight="1" x14ac:dyDescent="0.2">
      <c r="A14857" s="258"/>
      <c r="Z14857" s="258"/>
    </row>
    <row r="14858" spans="1:26" ht="12.75" customHeight="1" x14ac:dyDescent="0.2">
      <c r="A14858" s="258"/>
      <c r="Z14858" s="258"/>
    </row>
    <row r="14859" spans="1:26" ht="12.75" customHeight="1" x14ac:dyDescent="0.2">
      <c r="A14859" s="258"/>
      <c r="Z14859" s="258"/>
    </row>
    <row r="14860" spans="1:26" ht="12.75" customHeight="1" x14ac:dyDescent="0.2">
      <c r="A14860" s="258"/>
      <c r="Z14860" s="258"/>
    </row>
    <row r="14861" spans="1:26" ht="12.75" customHeight="1" x14ac:dyDescent="0.2">
      <c r="A14861" s="258"/>
      <c r="Z14861" s="258"/>
    </row>
    <row r="14862" spans="1:26" ht="12.75" customHeight="1" x14ac:dyDescent="0.2">
      <c r="A14862" s="258"/>
      <c r="Z14862" s="258"/>
    </row>
    <row r="14863" spans="1:26" ht="12.75" customHeight="1" x14ac:dyDescent="0.2">
      <c r="A14863" s="258"/>
      <c r="Z14863" s="258"/>
    </row>
    <row r="14864" spans="1:26" ht="12.75" customHeight="1" x14ac:dyDescent="0.2">
      <c r="A14864" s="258"/>
      <c r="Z14864" s="258"/>
    </row>
    <row r="14865" spans="1:26" ht="12.75" customHeight="1" x14ac:dyDescent="0.2">
      <c r="A14865" s="258"/>
      <c r="Z14865" s="258"/>
    </row>
    <row r="14866" spans="1:26" ht="12.75" customHeight="1" x14ac:dyDescent="0.2">
      <c r="A14866" s="258"/>
      <c r="Z14866" s="258"/>
    </row>
    <row r="14867" spans="1:26" ht="12.75" customHeight="1" x14ac:dyDescent="0.2">
      <c r="A14867" s="258"/>
      <c r="Z14867" s="258"/>
    </row>
    <row r="14868" spans="1:26" ht="12.75" customHeight="1" x14ac:dyDescent="0.2">
      <c r="A14868" s="258"/>
      <c r="Z14868" s="258"/>
    </row>
    <row r="14869" spans="1:26" ht="12.75" customHeight="1" x14ac:dyDescent="0.2">
      <c r="A14869" s="258"/>
      <c r="Z14869" s="258"/>
    </row>
    <row r="14870" spans="1:26" ht="12.75" customHeight="1" x14ac:dyDescent="0.2">
      <c r="A14870" s="258"/>
      <c r="Z14870" s="258"/>
    </row>
    <row r="14871" spans="1:26" ht="12.75" customHeight="1" x14ac:dyDescent="0.2">
      <c r="A14871" s="258"/>
      <c r="Z14871" s="258"/>
    </row>
    <row r="14872" spans="1:26" ht="12.75" customHeight="1" x14ac:dyDescent="0.2">
      <c r="A14872" s="258"/>
      <c r="Z14872" s="258"/>
    </row>
    <row r="14873" spans="1:26" ht="12.75" customHeight="1" x14ac:dyDescent="0.2">
      <c r="A14873" s="258"/>
      <c r="Z14873" s="258"/>
    </row>
    <row r="14874" spans="1:26" ht="12.75" customHeight="1" x14ac:dyDescent="0.2">
      <c r="A14874" s="258"/>
      <c r="Z14874" s="258"/>
    </row>
    <row r="14875" spans="1:26" ht="12.75" customHeight="1" x14ac:dyDescent="0.2">
      <c r="A14875" s="258"/>
      <c r="Z14875" s="258"/>
    </row>
    <row r="14876" spans="1:26" ht="12.75" customHeight="1" x14ac:dyDescent="0.2">
      <c r="A14876" s="258"/>
      <c r="Z14876" s="258"/>
    </row>
    <row r="14877" spans="1:26" ht="12.75" customHeight="1" x14ac:dyDescent="0.2">
      <c r="A14877" s="258"/>
      <c r="Z14877" s="258"/>
    </row>
    <row r="14878" spans="1:26" ht="12.75" customHeight="1" x14ac:dyDescent="0.2">
      <c r="A14878" s="258"/>
      <c r="Z14878" s="258"/>
    </row>
    <row r="14879" spans="1:26" ht="12.75" customHeight="1" x14ac:dyDescent="0.2">
      <c r="A14879" s="258"/>
      <c r="Z14879" s="258"/>
    </row>
    <row r="14880" spans="1:26" ht="12.75" customHeight="1" x14ac:dyDescent="0.2">
      <c r="A14880" s="258"/>
      <c r="Z14880" s="258"/>
    </row>
    <row r="14881" spans="1:26" ht="12.75" customHeight="1" x14ac:dyDescent="0.2">
      <c r="A14881" s="258"/>
      <c r="Z14881" s="258"/>
    </row>
    <row r="14882" spans="1:26" ht="12.75" customHeight="1" x14ac:dyDescent="0.2">
      <c r="A14882" s="258"/>
      <c r="Z14882" s="258"/>
    </row>
    <row r="14883" spans="1:26" ht="12.75" customHeight="1" x14ac:dyDescent="0.2">
      <c r="A14883" s="258"/>
      <c r="Z14883" s="258"/>
    </row>
    <row r="14884" spans="1:26" ht="12.75" customHeight="1" x14ac:dyDescent="0.2">
      <c r="A14884" s="258"/>
      <c r="Z14884" s="258"/>
    </row>
    <row r="14885" spans="1:26" ht="12.75" customHeight="1" x14ac:dyDescent="0.2">
      <c r="A14885" s="258"/>
      <c r="Z14885" s="258"/>
    </row>
    <row r="14886" spans="1:26" ht="12.75" customHeight="1" x14ac:dyDescent="0.2">
      <c r="A14886" s="258"/>
      <c r="Z14886" s="258"/>
    </row>
    <row r="14887" spans="1:26" ht="12.75" customHeight="1" x14ac:dyDescent="0.2">
      <c r="A14887" s="258"/>
      <c r="Z14887" s="258"/>
    </row>
    <row r="14888" spans="1:26" ht="12.75" customHeight="1" x14ac:dyDescent="0.2">
      <c r="A14888" s="258"/>
      <c r="Z14888" s="258"/>
    </row>
    <row r="14889" spans="1:26" ht="12.75" customHeight="1" x14ac:dyDescent="0.2">
      <c r="A14889" s="258"/>
      <c r="Z14889" s="258"/>
    </row>
    <row r="14890" spans="1:26" ht="12.75" customHeight="1" x14ac:dyDescent="0.2">
      <c r="A14890" s="258"/>
      <c r="Z14890" s="258"/>
    </row>
    <row r="14891" spans="1:26" ht="12.75" customHeight="1" x14ac:dyDescent="0.2">
      <c r="A14891" s="258"/>
      <c r="Z14891" s="258"/>
    </row>
    <row r="14892" spans="1:26" ht="12.75" customHeight="1" x14ac:dyDescent="0.2">
      <c r="A14892" s="258"/>
      <c r="Z14892" s="258"/>
    </row>
    <row r="14893" spans="1:26" ht="12.75" customHeight="1" x14ac:dyDescent="0.2">
      <c r="A14893" s="258"/>
      <c r="Z14893" s="258"/>
    </row>
    <row r="14894" spans="1:26" ht="12.75" customHeight="1" x14ac:dyDescent="0.2">
      <c r="A14894" s="258"/>
      <c r="Z14894" s="258"/>
    </row>
    <row r="14895" spans="1:26" ht="12.75" customHeight="1" x14ac:dyDescent="0.2">
      <c r="A14895" s="258"/>
      <c r="Z14895" s="258"/>
    </row>
    <row r="14896" spans="1:26" ht="12.75" customHeight="1" x14ac:dyDescent="0.2">
      <c r="A14896" s="258"/>
      <c r="Z14896" s="258"/>
    </row>
    <row r="14897" spans="1:26" ht="12.75" customHeight="1" x14ac:dyDescent="0.2">
      <c r="A14897" s="258"/>
      <c r="Z14897" s="258"/>
    </row>
    <row r="14898" spans="1:26" ht="12.75" customHeight="1" x14ac:dyDescent="0.2">
      <c r="A14898" s="258"/>
      <c r="Z14898" s="258"/>
    </row>
    <row r="14899" spans="1:26" ht="12.75" customHeight="1" x14ac:dyDescent="0.2">
      <c r="A14899" s="258"/>
      <c r="Z14899" s="258"/>
    </row>
    <row r="14900" spans="1:26" ht="12.75" customHeight="1" x14ac:dyDescent="0.2">
      <c r="A14900" s="258"/>
      <c r="Z14900" s="258"/>
    </row>
    <row r="14901" spans="1:26" ht="12.75" customHeight="1" x14ac:dyDescent="0.2">
      <c r="A14901" s="258"/>
      <c r="Z14901" s="258"/>
    </row>
    <row r="14902" spans="1:26" ht="12.75" customHeight="1" x14ac:dyDescent="0.2">
      <c r="A14902" s="258"/>
      <c r="Z14902" s="258"/>
    </row>
    <row r="14903" spans="1:26" ht="12.75" customHeight="1" x14ac:dyDescent="0.2">
      <c r="A14903" s="258"/>
      <c r="Z14903" s="258"/>
    </row>
    <row r="14904" spans="1:26" ht="12.75" customHeight="1" x14ac:dyDescent="0.2">
      <c r="A14904" s="258"/>
      <c r="Z14904" s="258"/>
    </row>
    <row r="14905" spans="1:26" ht="12.75" customHeight="1" x14ac:dyDescent="0.2">
      <c r="A14905" s="258"/>
      <c r="Z14905" s="258"/>
    </row>
    <row r="14906" spans="1:26" ht="12.75" customHeight="1" x14ac:dyDescent="0.2">
      <c r="A14906" s="258"/>
      <c r="Z14906" s="258"/>
    </row>
    <row r="14907" spans="1:26" ht="12.75" customHeight="1" x14ac:dyDescent="0.2">
      <c r="A14907" s="258"/>
      <c r="Z14907" s="258"/>
    </row>
    <row r="14908" spans="1:26" ht="12.75" customHeight="1" x14ac:dyDescent="0.2">
      <c r="A14908" s="258"/>
      <c r="Z14908" s="258"/>
    </row>
    <row r="14909" spans="1:26" ht="12.75" customHeight="1" x14ac:dyDescent="0.2">
      <c r="A14909" s="258"/>
      <c r="Z14909" s="258"/>
    </row>
    <row r="14910" spans="1:26" ht="12.75" customHeight="1" x14ac:dyDescent="0.2">
      <c r="A14910" s="258"/>
      <c r="Z14910" s="258"/>
    </row>
    <row r="14911" spans="1:26" ht="12.75" customHeight="1" x14ac:dyDescent="0.2">
      <c r="A14911" s="258"/>
      <c r="Z14911" s="258"/>
    </row>
    <row r="14912" spans="1:26" ht="12.75" customHeight="1" x14ac:dyDescent="0.2">
      <c r="A14912" s="258"/>
      <c r="Z14912" s="258"/>
    </row>
    <row r="14913" spans="1:26" ht="12.75" customHeight="1" x14ac:dyDescent="0.2">
      <c r="A14913" s="258"/>
      <c r="Z14913" s="258"/>
    </row>
    <row r="14914" spans="1:26" ht="12.75" customHeight="1" x14ac:dyDescent="0.2">
      <c r="A14914" s="258"/>
      <c r="Z14914" s="258"/>
    </row>
    <row r="14915" spans="1:26" ht="12.75" customHeight="1" x14ac:dyDescent="0.2">
      <c r="A14915" s="258"/>
      <c r="Z14915" s="258"/>
    </row>
    <row r="14916" spans="1:26" ht="12.75" customHeight="1" x14ac:dyDescent="0.2">
      <c r="A14916" s="258"/>
      <c r="Z14916" s="258"/>
    </row>
    <row r="14917" spans="1:26" ht="12.75" customHeight="1" x14ac:dyDescent="0.2">
      <c r="A14917" s="258"/>
      <c r="Z14917" s="258"/>
    </row>
    <row r="14918" spans="1:26" ht="12.75" customHeight="1" x14ac:dyDescent="0.2">
      <c r="A14918" s="258"/>
      <c r="Z14918" s="258"/>
    </row>
    <row r="14919" spans="1:26" ht="12.75" customHeight="1" x14ac:dyDescent="0.2">
      <c r="A14919" s="258"/>
      <c r="Z14919" s="258"/>
    </row>
    <row r="14920" spans="1:26" ht="12.75" customHeight="1" x14ac:dyDescent="0.2">
      <c r="A14920" s="258"/>
      <c r="Z14920" s="258"/>
    </row>
    <row r="14921" spans="1:26" ht="12.75" customHeight="1" x14ac:dyDescent="0.2">
      <c r="A14921" s="258"/>
      <c r="Z14921" s="258"/>
    </row>
    <row r="14922" spans="1:26" ht="12.75" customHeight="1" x14ac:dyDescent="0.2">
      <c r="A14922" s="258"/>
      <c r="Z14922" s="258"/>
    </row>
    <row r="14923" spans="1:26" ht="12.75" customHeight="1" x14ac:dyDescent="0.2">
      <c r="A14923" s="258"/>
      <c r="Z14923" s="258"/>
    </row>
    <row r="14924" spans="1:26" ht="12.75" customHeight="1" x14ac:dyDescent="0.2">
      <c r="A14924" s="258"/>
      <c r="Z14924" s="258"/>
    </row>
    <row r="14925" spans="1:26" ht="12.75" customHeight="1" x14ac:dyDescent="0.2">
      <c r="A14925" s="258"/>
      <c r="Z14925" s="258"/>
    </row>
    <row r="14926" spans="1:26" ht="12.75" customHeight="1" x14ac:dyDescent="0.2">
      <c r="A14926" s="258"/>
      <c r="Z14926" s="258"/>
    </row>
    <row r="14927" spans="1:26" ht="12.75" customHeight="1" x14ac:dyDescent="0.2">
      <c r="A14927" s="258"/>
      <c r="Z14927" s="258"/>
    </row>
    <row r="14928" spans="1:26" ht="12.75" customHeight="1" x14ac:dyDescent="0.2">
      <c r="A14928" s="258"/>
      <c r="Z14928" s="258"/>
    </row>
    <row r="14929" spans="1:26" ht="12.75" customHeight="1" x14ac:dyDescent="0.2">
      <c r="A14929" s="258"/>
      <c r="Z14929" s="258"/>
    </row>
    <row r="14930" spans="1:26" ht="12.75" customHeight="1" x14ac:dyDescent="0.2">
      <c r="A14930" s="258"/>
      <c r="Z14930" s="258"/>
    </row>
    <row r="14931" spans="1:26" ht="12.75" customHeight="1" x14ac:dyDescent="0.2">
      <c r="A14931" s="258"/>
      <c r="Z14931" s="258"/>
    </row>
    <row r="14932" spans="1:26" ht="12.75" customHeight="1" x14ac:dyDescent="0.2">
      <c r="A14932" s="258"/>
      <c r="Z14932" s="258"/>
    </row>
    <row r="14933" spans="1:26" ht="12.75" customHeight="1" x14ac:dyDescent="0.2">
      <c r="A14933" s="258"/>
      <c r="Z14933" s="258"/>
    </row>
    <row r="14934" spans="1:26" ht="12.75" customHeight="1" x14ac:dyDescent="0.2">
      <c r="A14934" s="258"/>
      <c r="Z14934" s="258"/>
    </row>
    <row r="14935" spans="1:26" ht="12.75" customHeight="1" x14ac:dyDescent="0.2">
      <c r="A14935" s="258"/>
      <c r="Z14935" s="258"/>
    </row>
    <row r="14936" spans="1:26" ht="12.75" customHeight="1" x14ac:dyDescent="0.2">
      <c r="A14936" s="258"/>
      <c r="Z14936" s="258"/>
    </row>
    <row r="14937" spans="1:26" ht="12.75" customHeight="1" x14ac:dyDescent="0.2">
      <c r="A14937" s="258"/>
      <c r="Z14937" s="258"/>
    </row>
    <row r="14938" spans="1:26" ht="12.75" customHeight="1" x14ac:dyDescent="0.2">
      <c r="A14938" s="258"/>
      <c r="Z14938" s="258"/>
    </row>
    <row r="14939" spans="1:26" ht="12.75" customHeight="1" x14ac:dyDescent="0.2">
      <c r="A14939" s="258"/>
      <c r="Z14939" s="258"/>
    </row>
    <row r="14940" spans="1:26" ht="12.75" customHeight="1" x14ac:dyDescent="0.2">
      <c r="A14940" s="258"/>
      <c r="Z14940" s="258"/>
    </row>
    <row r="14941" spans="1:26" ht="12.75" customHeight="1" x14ac:dyDescent="0.2">
      <c r="A14941" s="258"/>
      <c r="Z14941" s="258"/>
    </row>
    <row r="14942" spans="1:26" ht="12.75" customHeight="1" x14ac:dyDescent="0.2">
      <c r="A14942" s="258"/>
      <c r="Z14942" s="258"/>
    </row>
    <row r="14943" spans="1:26" ht="12.75" customHeight="1" x14ac:dyDescent="0.2">
      <c r="A14943" s="258"/>
      <c r="Z14943" s="258"/>
    </row>
    <row r="14944" spans="1:26" ht="12.75" customHeight="1" x14ac:dyDescent="0.2">
      <c r="A14944" s="258"/>
      <c r="Z14944" s="258"/>
    </row>
    <row r="14945" spans="1:26" ht="12.75" customHeight="1" x14ac:dyDescent="0.2">
      <c r="A14945" s="258"/>
      <c r="Z14945" s="258"/>
    </row>
    <row r="14946" spans="1:26" ht="12.75" customHeight="1" x14ac:dyDescent="0.2">
      <c r="A14946" s="258"/>
      <c r="Z14946" s="258"/>
    </row>
    <row r="14947" spans="1:26" ht="12.75" customHeight="1" x14ac:dyDescent="0.2">
      <c r="A14947" s="258"/>
      <c r="Z14947" s="258"/>
    </row>
    <row r="14948" spans="1:26" ht="12.75" customHeight="1" x14ac:dyDescent="0.2">
      <c r="A14948" s="258"/>
      <c r="Z14948" s="258"/>
    </row>
    <row r="14949" spans="1:26" ht="12.75" customHeight="1" x14ac:dyDescent="0.2">
      <c r="A14949" s="258"/>
      <c r="Z14949" s="258"/>
    </row>
    <row r="14950" spans="1:26" ht="12.75" customHeight="1" x14ac:dyDescent="0.2">
      <c r="A14950" s="258"/>
      <c r="Z14950" s="258"/>
    </row>
    <row r="14951" spans="1:26" ht="12.75" customHeight="1" x14ac:dyDescent="0.2">
      <c r="A14951" s="258"/>
      <c r="Z14951" s="258"/>
    </row>
    <row r="14952" spans="1:26" ht="12.75" customHeight="1" x14ac:dyDescent="0.2">
      <c r="A14952" s="258"/>
      <c r="Z14952" s="258"/>
    </row>
    <row r="14953" spans="1:26" ht="12.75" customHeight="1" x14ac:dyDescent="0.2">
      <c r="A14953" s="258"/>
      <c r="Z14953" s="258"/>
    </row>
    <row r="14954" spans="1:26" ht="12.75" customHeight="1" x14ac:dyDescent="0.2">
      <c r="A14954" s="258"/>
      <c r="Z14954" s="258"/>
    </row>
    <row r="14955" spans="1:26" ht="12.75" customHeight="1" x14ac:dyDescent="0.2">
      <c r="A14955" s="258"/>
      <c r="Z14955" s="258"/>
    </row>
    <row r="14956" spans="1:26" ht="12.75" customHeight="1" x14ac:dyDescent="0.2">
      <c r="A14956" s="258"/>
      <c r="Z14956" s="258"/>
    </row>
    <row r="14957" spans="1:26" ht="12.75" customHeight="1" x14ac:dyDescent="0.2">
      <c r="A14957" s="258"/>
      <c r="Z14957" s="258"/>
    </row>
    <row r="14958" spans="1:26" ht="12.75" customHeight="1" x14ac:dyDescent="0.2">
      <c r="A14958" s="258"/>
      <c r="Z14958" s="258"/>
    </row>
    <row r="14959" spans="1:26" ht="12.75" customHeight="1" x14ac:dyDescent="0.2">
      <c r="A14959" s="258"/>
      <c r="Z14959" s="258"/>
    </row>
    <row r="14960" spans="1:26" ht="12.75" customHeight="1" x14ac:dyDescent="0.2">
      <c r="A14960" s="258"/>
      <c r="Z14960" s="258"/>
    </row>
    <row r="14961" spans="1:26" ht="12.75" customHeight="1" x14ac:dyDescent="0.2">
      <c r="A14961" s="258"/>
      <c r="Z14961" s="258"/>
    </row>
    <row r="14962" spans="1:26" ht="12.75" customHeight="1" x14ac:dyDescent="0.2">
      <c r="A14962" s="258"/>
      <c r="Z14962" s="258"/>
    </row>
    <row r="14963" spans="1:26" ht="12.75" customHeight="1" x14ac:dyDescent="0.2">
      <c r="A14963" s="258"/>
      <c r="Z14963" s="258"/>
    </row>
    <row r="14964" spans="1:26" ht="12.75" customHeight="1" x14ac:dyDescent="0.2">
      <c r="A14964" s="258"/>
      <c r="Z14964" s="258"/>
    </row>
    <row r="14965" spans="1:26" ht="12.75" customHeight="1" x14ac:dyDescent="0.2">
      <c r="A14965" s="258"/>
      <c r="Z14965" s="258"/>
    </row>
    <row r="14966" spans="1:26" ht="12.75" customHeight="1" x14ac:dyDescent="0.2">
      <c r="A14966" s="258"/>
      <c r="Z14966" s="258"/>
    </row>
    <row r="14967" spans="1:26" ht="12.75" customHeight="1" x14ac:dyDescent="0.2">
      <c r="A14967" s="258"/>
      <c r="Z14967" s="258"/>
    </row>
    <row r="14968" spans="1:26" ht="12.75" customHeight="1" x14ac:dyDescent="0.2">
      <c r="A14968" s="258"/>
      <c r="Z14968" s="258"/>
    </row>
    <row r="14969" spans="1:26" ht="12.75" customHeight="1" x14ac:dyDescent="0.2">
      <c r="A14969" s="258"/>
      <c r="Z14969" s="258"/>
    </row>
    <row r="14970" spans="1:26" ht="12.75" customHeight="1" x14ac:dyDescent="0.2">
      <c r="A14970" s="258"/>
      <c r="Z14970" s="258"/>
    </row>
    <row r="14971" spans="1:26" ht="12.75" customHeight="1" x14ac:dyDescent="0.2">
      <c r="A14971" s="258"/>
      <c r="Z14971" s="258"/>
    </row>
    <row r="14972" spans="1:26" ht="12.75" customHeight="1" x14ac:dyDescent="0.2">
      <c r="A14972" s="258"/>
      <c r="Z14972" s="258"/>
    </row>
    <row r="14973" spans="1:26" ht="12.75" customHeight="1" x14ac:dyDescent="0.2">
      <c r="A14973" s="258"/>
      <c r="Z14973" s="258"/>
    </row>
    <row r="14974" spans="1:26" ht="12.75" customHeight="1" x14ac:dyDescent="0.2">
      <c r="A14974" s="258"/>
      <c r="Z14974" s="258"/>
    </row>
    <row r="14975" spans="1:26" ht="12.75" customHeight="1" x14ac:dyDescent="0.2">
      <c r="A14975" s="258"/>
      <c r="Z14975" s="258"/>
    </row>
    <row r="14976" spans="1:26" ht="12.75" customHeight="1" x14ac:dyDescent="0.2">
      <c r="A14976" s="258"/>
      <c r="Z14976" s="258"/>
    </row>
    <row r="14977" spans="1:26" ht="12.75" customHeight="1" x14ac:dyDescent="0.2">
      <c r="A14977" s="258"/>
      <c r="Z14977" s="258"/>
    </row>
    <row r="14978" spans="1:26" ht="12.75" customHeight="1" x14ac:dyDescent="0.2">
      <c r="A14978" s="258"/>
      <c r="Z14978" s="258"/>
    </row>
    <row r="14979" spans="1:26" ht="12.75" customHeight="1" x14ac:dyDescent="0.2">
      <c r="A14979" s="258"/>
      <c r="Z14979" s="258"/>
    </row>
    <row r="14980" spans="1:26" ht="12.75" customHeight="1" x14ac:dyDescent="0.2">
      <c r="A14980" s="258"/>
      <c r="Z14980" s="258"/>
    </row>
    <row r="14981" spans="1:26" ht="12.75" customHeight="1" x14ac:dyDescent="0.2">
      <c r="A14981" s="258"/>
      <c r="Z14981" s="258"/>
    </row>
    <row r="14982" spans="1:26" ht="12.75" customHeight="1" x14ac:dyDescent="0.2">
      <c r="A14982" s="258"/>
      <c r="Z14982" s="258"/>
    </row>
    <row r="14983" spans="1:26" ht="12.75" customHeight="1" x14ac:dyDescent="0.2">
      <c r="A14983" s="258"/>
      <c r="Z14983" s="258"/>
    </row>
    <row r="14984" spans="1:26" ht="12.75" customHeight="1" x14ac:dyDescent="0.2">
      <c r="A14984" s="258"/>
      <c r="Z14984" s="258"/>
    </row>
    <row r="14985" spans="1:26" ht="12.75" customHeight="1" x14ac:dyDescent="0.2">
      <c r="A14985" s="258"/>
      <c r="Z14985" s="258"/>
    </row>
    <row r="14986" spans="1:26" ht="12.75" customHeight="1" x14ac:dyDescent="0.2">
      <c r="A14986" s="258"/>
      <c r="Z14986" s="258"/>
    </row>
    <row r="14987" spans="1:26" ht="12.75" customHeight="1" x14ac:dyDescent="0.2">
      <c r="A14987" s="258"/>
      <c r="Z14987" s="258"/>
    </row>
    <row r="14988" spans="1:26" ht="12.75" customHeight="1" x14ac:dyDescent="0.2">
      <c r="A14988" s="258"/>
      <c r="Z14988" s="258"/>
    </row>
    <row r="14989" spans="1:26" ht="12.75" customHeight="1" x14ac:dyDescent="0.2">
      <c r="A14989" s="258"/>
      <c r="Z14989" s="258"/>
    </row>
    <row r="14990" spans="1:26" ht="12.75" customHeight="1" x14ac:dyDescent="0.2">
      <c r="A14990" s="258"/>
      <c r="Z14990" s="258"/>
    </row>
    <row r="14991" spans="1:26" ht="12.75" customHeight="1" x14ac:dyDescent="0.2">
      <c r="A14991" s="258"/>
      <c r="Z14991" s="258"/>
    </row>
    <row r="14992" spans="1:26" ht="12.75" customHeight="1" x14ac:dyDescent="0.2">
      <c r="A14992" s="258"/>
      <c r="Z14992" s="258"/>
    </row>
    <row r="14993" spans="1:26" ht="12.75" customHeight="1" x14ac:dyDescent="0.2">
      <c r="A14993" s="258"/>
      <c r="Z14993" s="258"/>
    </row>
    <row r="14994" spans="1:26" ht="12.75" customHeight="1" x14ac:dyDescent="0.2">
      <c r="A14994" s="258"/>
      <c r="Z14994" s="258"/>
    </row>
    <row r="14995" spans="1:26" ht="12.75" customHeight="1" x14ac:dyDescent="0.2">
      <c r="A14995" s="258"/>
      <c r="Z14995" s="258"/>
    </row>
    <row r="14996" spans="1:26" ht="12.75" customHeight="1" x14ac:dyDescent="0.2">
      <c r="A14996" s="258"/>
      <c r="Z14996" s="258"/>
    </row>
    <row r="14997" spans="1:26" ht="12.75" customHeight="1" x14ac:dyDescent="0.2">
      <c r="A14997" s="258"/>
      <c r="Z14997" s="258"/>
    </row>
    <row r="14998" spans="1:26" ht="12.75" customHeight="1" x14ac:dyDescent="0.2">
      <c r="A14998" s="258"/>
      <c r="Z14998" s="258"/>
    </row>
    <row r="14999" spans="1:26" ht="12.75" customHeight="1" x14ac:dyDescent="0.2">
      <c r="A14999" s="258"/>
      <c r="Z14999" s="258"/>
    </row>
    <row r="15000" spans="1:26" ht="12.75" customHeight="1" x14ac:dyDescent="0.2">
      <c r="A15000" s="258"/>
      <c r="Z15000" s="258"/>
    </row>
    <row r="15001" spans="1:26" ht="12.75" customHeight="1" x14ac:dyDescent="0.2">
      <c r="A15001" s="258"/>
      <c r="Z15001" s="258"/>
    </row>
    <row r="15002" spans="1:26" ht="12.75" customHeight="1" x14ac:dyDescent="0.2">
      <c r="A15002" s="258"/>
      <c r="Z15002" s="258"/>
    </row>
    <row r="15003" spans="1:26" ht="12.75" customHeight="1" x14ac:dyDescent="0.2">
      <c r="A15003" s="258"/>
      <c r="Z15003" s="258"/>
    </row>
    <row r="15004" spans="1:26" ht="12.75" customHeight="1" x14ac:dyDescent="0.2">
      <c r="A15004" s="258"/>
      <c r="Z15004" s="258"/>
    </row>
    <row r="15005" spans="1:26" ht="12.75" customHeight="1" x14ac:dyDescent="0.2">
      <c r="A15005" s="258"/>
      <c r="Z15005" s="258"/>
    </row>
    <row r="15006" spans="1:26" ht="12.75" customHeight="1" x14ac:dyDescent="0.2">
      <c r="A15006" s="258"/>
      <c r="Z15006" s="258"/>
    </row>
    <row r="15007" spans="1:26" ht="12.75" customHeight="1" x14ac:dyDescent="0.2">
      <c r="A15007" s="258"/>
      <c r="Z15007" s="258"/>
    </row>
    <row r="15008" spans="1:26" ht="12.75" customHeight="1" x14ac:dyDescent="0.2">
      <c r="A15008" s="258"/>
      <c r="Z15008" s="258"/>
    </row>
    <row r="15009" spans="1:26" ht="12.75" customHeight="1" x14ac:dyDescent="0.2">
      <c r="A15009" s="258"/>
      <c r="Z15009" s="258"/>
    </row>
    <row r="15010" spans="1:26" ht="12.75" customHeight="1" x14ac:dyDescent="0.2">
      <c r="A15010" s="258"/>
      <c r="Z15010" s="258"/>
    </row>
    <row r="15011" spans="1:26" ht="12.75" customHeight="1" x14ac:dyDescent="0.2">
      <c r="A15011" s="258"/>
      <c r="Z15011" s="258"/>
    </row>
    <row r="15012" spans="1:26" ht="12.75" customHeight="1" x14ac:dyDescent="0.2">
      <c r="A15012" s="258"/>
      <c r="Z15012" s="258"/>
    </row>
    <row r="15013" spans="1:26" ht="12.75" customHeight="1" x14ac:dyDescent="0.2">
      <c r="A15013" s="258"/>
      <c r="Z15013" s="258"/>
    </row>
    <row r="15014" spans="1:26" ht="12.75" customHeight="1" x14ac:dyDescent="0.2">
      <c r="A15014" s="258"/>
      <c r="Z15014" s="258"/>
    </row>
    <row r="15015" spans="1:26" ht="12.75" customHeight="1" x14ac:dyDescent="0.2">
      <c r="A15015" s="258"/>
      <c r="Z15015" s="258"/>
    </row>
    <row r="15016" spans="1:26" ht="12.75" customHeight="1" x14ac:dyDescent="0.2">
      <c r="A15016" s="258"/>
      <c r="Z15016" s="258"/>
    </row>
    <row r="15017" spans="1:26" ht="12.75" customHeight="1" x14ac:dyDescent="0.2">
      <c r="A15017" s="258"/>
      <c r="Z15017" s="258"/>
    </row>
    <row r="15018" spans="1:26" ht="12.75" customHeight="1" x14ac:dyDescent="0.2">
      <c r="A15018" s="258"/>
      <c r="Z15018" s="258"/>
    </row>
    <row r="15019" spans="1:26" ht="12.75" customHeight="1" x14ac:dyDescent="0.2">
      <c r="A15019" s="258"/>
      <c r="Z15019" s="258"/>
    </row>
    <row r="15020" spans="1:26" ht="12.75" customHeight="1" x14ac:dyDescent="0.2">
      <c r="A15020" s="258"/>
      <c r="Z15020" s="258"/>
    </row>
    <row r="15021" spans="1:26" ht="12.75" customHeight="1" x14ac:dyDescent="0.2">
      <c r="A15021" s="258"/>
      <c r="Z15021" s="258"/>
    </row>
    <row r="15022" spans="1:26" ht="12.75" customHeight="1" x14ac:dyDescent="0.2">
      <c r="A15022" s="258"/>
      <c r="Z15022" s="258"/>
    </row>
    <row r="15023" spans="1:26" ht="12.75" customHeight="1" x14ac:dyDescent="0.2">
      <c r="A15023" s="258"/>
      <c r="Z15023" s="258"/>
    </row>
    <row r="15024" spans="1:26" ht="12.75" customHeight="1" x14ac:dyDescent="0.2">
      <c r="A15024" s="258"/>
      <c r="Z15024" s="258"/>
    </row>
    <row r="15025" spans="1:26" ht="12.75" customHeight="1" x14ac:dyDescent="0.2">
      <c r="A15025" s="258"/>
      <c r="Z15025" s="258"/>
    </row>
    <row r="15026" spans="1:26" ht="12.75" customHeight="1" x14ac:dyDescent="0.2">
      <c r="A15026" s="258"/>
      <c r="Z15026" s="258"/>
    </row>
    <row r="15027" spans="1:26" ht="12.75" customHeight="1" x14ac:dyDescent="0.2">
      <c r="A15027" s="258"/>
      <c r="Z15027" s="258"/>
    </row>
    <row r="15028" spans="1:26" ht="12.75" customHeight="1" x14ac:dyDescent="0.2">
      <c r="A15028" s="258"/>
      <c r="Z15028" s="258"/>
    </row>
    <row r="15029" spans="1:26" ht="12.75" customHeight="1" x14ac:dyDescent="0.2">
      <c r="A15029" s="258"/>
      <c r="Z15029" s="258"/>
    </row>
    <row r="15030" spans="1:26" ht="12.75" customHeight="1" x14ac:dyDescent="0.2">
      <c r="A15030" s="258"/>
      <c r="Z15030" s="258"/>
    </row>
    <row r="15031" spans="1:26" ht="12.75" customHeight="1" x14ac:dyDescent="0.2">
      <c r="A15031" s="258"/>
      <c r="Z15031" s="258"/>
    </row>
    <row r="15032" spans="1:26" ht="12.75" customHeight="1" x14ac:dyDescent="0.2">
      <c r="A15032" s="258"/>
      <c r="Z15032" s="258"/>
    </row>
    <row r="15033" spans="1:26" ht="12.75" customHeight="1" x14ac:dyDescent="0.2">
      <c r="A15033" s="258"/>
      <c r="Z15033" s="258"/>
    </row>
    <row r="15034" spans="1:26" ht="12.75" customHeight="1" x14ac:dyDescent="0.2">
      <c r="A15034" s="258"/>
      <c r="Z15034" s="258"/>
    </row>
    <row r="15035" spans="1:26" ht="12.75" customHeight="1" x14ac:dyDescent="0.2">
      <c r="A15035" s="258"/>
      <c r="Z15035" s="258"/>
    </row>
    <row r="15036" spans="1:26" ht="12.75" customHeight="1" x14ac:dyDescent="0.2">
      <c r="A15036" s="258"/>
      <c r="Z15036" s="258"/>
    </row>
    <row r="15037" spans="1:26" ht="12.75" customHeight="1" x14ac:dyDescent="0.2">
      <c r="A15037" s="258"/>
      <c r="Z15037" s="258"/>
    </row>
    <row r="15038" spans="1:26" ht="12.75" customHeight="1" x14ac:dyDescent="0.2">
      <c r="A15038" s="258"/>
      <c r="Z15038" s="258"/>
    </row>
    <row r="15039" spans="1:26" ht="12.75" customHeight="1" x14ac:dyDescent="0.2">
      <c r="A15039" s="258"/>
      <c r="Z15039" s="258"/>
    </row>
    <row r="15040" spans="1:26" ht="12.75" customHeight="1" x14ac:dyDescent="0.2">
      <c r="A15040" s="258"/>
      <c r="Z15040" s="258"/>
    </row>
    <row r="15041" spans="1:26" ht="12.75" customHeight="1" x14ac:dyDescent="0.2">
      <c r="A15041" s="258"/>
      <c r="Z15041" s="258"/>
    </row>
    <row r="15042" spans="1:26" ht="12.75" customHeight="1" x14ac:dyDescent="0.2">
      <c r="A15042" s="258"/>
      <c r="Z15042" s="258"/>
    </row>
    <row r="15043" spans="1:26" ht="12.75" customHeight="1" x14ac:dyDescent="0.2">
      <c r="A15043" s="258"/>
      <c r="Z15043" s="258"/>
    </row>
    <row r="15044" spans="1:26" ht="12.75" customHeight="1" x14ac:dyDescent="0.2">
      <c r="A15044" s="258"/>
      <c r="Z15044" s="258"/>
    </row>
    <row r="15045" spans="1:26" ht="12.75" customHeight="1" x14ac:dyDescent="0.2">
      <c r="A15045" s="258"/>
      <c r="Z15045" s="258"/>
    </row>
    <row r="15046" spans="1:26" ht="12.75" customHeight="1" x14ac:dyDescent="0.2">
      <c r="A15046" s="258"/>
      <c r="Z15046" s="258"/>
    </row>
    <row r="15047" spans="1:26" ht="12.75" customHeight="1" x14ac:dyDescent="0.2">
      <c r="A15047" s="258"/>
      <c r="Z15047" s="258"/>
    </row>
    <row r="15048" spans="1:26" ht="12.75" customHeight="1" x14ac:dyDescent="0.2">
      <c r="A15048" s="258"/>
      <c r="Z15048" s="258"/>
    </row>
    <row r="15049" spans="1:26" ht="12.75" customHeight="1" x14ac:dyDescent="0.2">
      <c r="A15049" s="258"/>
      <c r="Z15049" s="258"/>
    </row>
    <row r="15050" spans="1:26" ht="12.75" customHeight="1" x14ac:dyDescent="0.2">
      <c r="A15050" s="258"/>
      <c r="Z15050" s="258"/>
    </row>
    <row r="15051" spans="1:26" ht="12.75" customHeight="1" x14ac:dyDescent="0.2">
      <c r="A15051" s="258"/>
      <c r="Z15051" s="258"/>
    </row>
    <row r="15052" spans="1:26" ht="12.75" customHeight="1" x14ac:dyDescent="0.2">
      <c r="A15052" s="258"/>
      <c r="Z15052" s="258"/>
    </row>
    <row r="15053" spans="1:26" ht="12.75" customHeight="1" x14ac:dyDescent="0.2">
      <c r="A15053" s="258"/>
      <c r="Z15053" s="258"/>
    </row>
    <row r="15054" spans="1:26" ht="12.75" customHeight="1" x14ac:dyDescent="0.2">
      <c r="A15054" s="258"/>
      <c r="Z15054" s="258"/>
    </row>
    <row r="15055" spans="1:26" ht="12.75" customHeight="1" x14ac:dyDescent="0.2">
      <c r="A15055" s="258"/>
      <c r="Z15055" s="258"/>
    </row>
    <row r="15056" spans="1:26" ht="12.75" customHeight="1" x14ac:dyDescent="0.2">
      <c r="A15056" s="258"/>
      <c r="Z15056" s="258"/>
    </row>
    <row r="15057" spans="1:26" ht="12.75" customHeight="1" x14ac:dyDescent="0.2">
      <c r="A15057" s="258"/>
      <c r="Z15057" s="258"/>
    </row>
    <row r="15058" spans="1:26" ht="12.75" customHeight="1" x14ac:dyDescent="0.2">
      <c r="A15058" s="258"/>
      <c r="Z15058" s="258"/>
    </row>
    <row r="15059" spans="1:26" ht="12.75" customHeight="1" x14ac:dyDescent="0.2">
      <c r="A15059" s="258"/>
      <c r="Z15059" s="258"/>
    </row>
    <row r="15060" spans="1:26" ht="12.75" customHeight="1" x14ac:dyDescent="0.2">
      <c r="A15060" s="258"/>
      <c r="Z15060" s="258"/>
    </row>
    <row r="15061" spans="1:26" ht="12.75" customHeight="1" x14ac:dyDescent="0.2">
      <c r="A15061" s="258"/>
      <c r="Z15061" s="258"/>
    </row>
    <row r="15062" spans="1:26" ht="12.75" customHeight="1" x14ac:dyDescent="0.2">
      <c r="A15062" s="258"/>
      <c r="Z15062" s="258"/>
    </row>
    <row r="15063" spans="1:26" ht="12.75" customHeight="1" x14ac:dyDescent="0.2">
      <c r="A15063" s="258"/>
      <c r="Z15063" s="258"/>
    </row>
    <row r="15064" spans="1:26" ht="12.75" customHeight="1" x14ac:dyDescent="0.2">
      <c r="A15064" s="258"/>
      <c r="Z15064" s="258"/>
    </row>
    <row r="15065" spans="1:26" ht="12.75" customHeight="1" x14ac:dyDescent="0.2">
      <c r="A15065" s="258"/>
      <c r="Z15065" s="258"/>
    </row>
    <row r="15066" spans="1:26" ht="12.75" customHeight="1" x14ac:dyDescent="0.2">
      <c r="A15066" s="258"/>
      <c r="Z15066" s="258"/>
    </row>
    <row r="15067" spans="1:26" ht="12.75" customHeight="1" x14ac:dyDescent="0.2">
      <c r="A15067" s="258"/>
      <c r="Z15067" s="258"/>
    </row>
    <row r="15068" spans="1:26" ht="12.75" customHeight="1" x14ac:dyDescent="0.2">
      <c r="A15068" s="258"/>
      <c r="Z15068" s="258"/>
    </row>
    <row r="15069" spans="1:26" ht="12.75" customHeight="1" x14ac:dyDescent="0.2">
      <c r="A15069" s="258"/>
      <c r="Z15069" s="258"/>
    </row>
    <row r="15070" spans="1:26" ht="12.75" customHeight="1" x14ac:dyDescent="0.2">
      <c r="A15070" s="258"/>
      <c r="Z15070" s="258"/>
    </row>
    <row r="15071" spans="1:26" ht="12.75" customHeight="1" x14ac:dyDescent="0.2">
      <c r="A15071" s="258"/>
      <c r="Z15071" s="258"/>
    </row>
    <row r="15072" spans="1:26" ht="12.75" customHeight="1" x14ac:dyDescent="0.2">
      <c r="A15072" s="258"/>
      <c r="Z15072" s="258"/>
    </row>
    <row r="15073" spans="1:26" ht="12.75" customHeight="1" x14ac:dyDescent="0.2">
      <c r="A15073" s="258"/>
      <c r="Z15073" s="258"/>
    </row>
    <row r="15074" spans="1:26" ht="12.75" customHeight="1" x14ac:dyDescent="0.2">
      <c r="A15074" s="258"/>
      <c r="Z15074" s="258"/>
    </row>
    <row r="15075" spans="1:26" ht="12.75" customHeight="1" x14ac:dyDescent="0.2">
      <c r="A15075" s="258"/>
      <c r="Z15075" s="258"/>
    </row>
    <row r="15076" spans="1:26" ht="12.75" customHeight="1" x14ac:dyDescent="0.2">
      <c r="A15076" s="258"/>
      <c r="Z15076" s="258"/>
    </row>
    <row r="15077" spans="1:26" ht="12.75" customHeight="1" x14ac:dyDescent="0.2">
      <c r="A15077" s="258"/>
      <c r="Z15077" s="258"/>
    </row>
    <row r="15078" spans="1:26" ht="12.75" customHeight="1" x14ac:dyDescent="0.2">
      <c r="A15078" s="258"/>
      <c r="Z15078" s="258"/>
    </row>
    <row r="15079" spans="1:26" ht="12.75" customHeight="1" x14ac:dyDescent="0.2">
      <c r="A15079" s="258"/>
      <c r="Z15079" s="258"/>
    </row>
    <row r="15080" spans="1:26" ht="12.75" customHeight="1" x14ac:dyDescent="0.2">
      <c r="A15080" s="258"/>
      <c r="Z15080" s="258"/>
    </row>
    <row r="15081" spans="1:26" ht="12.75" customHeight="1" x14ac:dyDescent="0.2">
      <c r="A15081" s="258"/>
      <c r="Z15081" s="258"/>
    </row>
    <row r="15082" spans="1:26" ht="12.75" customHeight="1" x14ac:dyDescent="0.2">
      <c r="A15082" s="258"/>
      <c r="Z15082" s="258"/>
    </row>
    <row r="15083" spans="1:26" ht="12.75" customHeight="1" x14ac:dyDescent="0.2">
      <c r="A15083" s="258"/>
      <c r="Z15083" s="258"/>
    </row>
    <row r="15084" spans="1:26" ht="12.75" customHeight="1" x14ac:dyDescent="0.2">
      <c r="A15084" s="258"/>
      <c r="Z15084" s="258"/>
    </row>
    <row r="15085" spans="1:26" ht="12.75" customHeight="1" x14ac:dyDescent="0.2">
      <c r="A15085" s="258"/>
      <c r="Z15085" s="258"/>
    </row>
    <row r="15086" spans="1:26" ht="12.75" customHeight="1" x14ac:dyDescent="0.2">
      <c r="A15086" s="258"/>
      <c r="Z15086" s="258"/>
    </row>
    <row r="15087" spans="1:26" ht="12.75" customHeight="1" x14ac:dyDescent="0.2">
      <c r="A15087" s="258"/>
      <c r="Z15087" s="258"/>
    </row>
    <row r="15088" spans="1:26" ht="12.75" customHeight="1" x14ac:dyDescent="0.2">
      <c r="A15088" s="258"/>
      <c r="Z15088" s="258"/>
    </row>
    <row r="15089" spans="1:26" ht="12.75" customHeight="1" x14ac:dyDescent="0.2">
      <c r="A15089" s="258"/>
      <c r="Z15089" s="258"/>
    </row>
    <row r="15090" spans="1:26" ht="12.75" customHeight="1" x14ac:dyDescent="0.2">
      <c r="A15090" s="258"/>
      <c r="Z15090" s="258"/>
    </row>
    <row r="15091" spans="1:26" ht="12.75" customHeight="1" x14ac:dyDescent="0.2">
      <c r="A15091" s="258"/>
      <c r="Z15091" s="258"/>
    </row>
    <row r="15092" spans="1:26" ht="12.75" customHeight="1" x14ac:dyDescent="0.2">
      <c r="A15092" s="258"/>
      <c r="Z15092" s="258"/>
    </row>
    <row r="15093" spans="1:26" ht="12.75" customHeight="1" x14ac:dyDescent="0.2">
      <c r="A15093" s="258"/>
      <c r="Z15093" s="258"/>
    </row>
    <row r="15094" spans="1:26" ht="12.75" customHeight="1" x14ac:dyDescent="0.2">
      <c r="A15094" s="258"/>
      <c r="Z15094" s="258"/>
    </row>
    <row r="15095" spans="1:26" ht="12.75" customHeight="1" x14ac:dyDescent="0.2">
      <c r="A15095" s="258"/>
      <c r="Z15095" s="258"/>
    </row>
    <row r="15096" spans="1:26" ht="12.75" customHeight="1" x14ac:dyDescent="0.2">
      <c r="A15096" s="258"/>
      <c r="Z15096" s="258"/>
    </row>
    <row r="15097" spans="1:26" ht="12.75" customHeight="1" x14ac:dyDescent="0.2">
      <c r="A15097" s="258"/>
      <c r="Z15097" s="258"/>
    </row>
    <row r="15098" spans="1:26" ht="12.75" customHeight="1" x14ac:dyDescent="0.2">
      <c r="A15098" s="258"/>
      <c r="Z15098" s="258"/>
    </row>
    <row r="15099" spans="1:26" ht="12.75" customHeight="1" x14ac:dyDescent="0.2">
      <c r="A15099" s="258"/>
      <c r="Z15099" s="258"/>
    </row>
    <row r="15100" spans="1:26" ht="12.75" customHeight="1" x14ac:dyDescent="0.2">
      <c r="A15100" s="258"/>
      <c r="Z15100" s="258"/>
    </row>
    <row r="15101" spans="1:26" ht="12.75" customHeight="1" x14ac:dyDescent="0.2">
      <c r="A15101" s="258"/>
      <c r="Z15101" s="258"/>
    </row>
    <row r="15102" spans="1:26" ht="12.75" customHeight="1" x14ac:dyDescent="0.2">
      <c r="A15102" s="258"/>
      <c r="Z15102" s="258"/>
    </row>
    <row r="15103" spans="1:26" ht="12.75" customHeight="1" x14ac:dyDescent="0.2">
      <c r="A15103" s="258"/>
      <c r="Z15103" s="258"/>
    </row>
    <row r="15104" spans="1:26" ht="12.75" customHeight="1" x14ac:dyDescent="0.2">
      <c r="A15104" s="258"/>
      <c r="Z15104" s="258"/>
    </row>
    <row r="15105" spans="1:26" ht="12.75" customHeight="1" x14ac:dyDescent="0.2">
      <c r="A15105" s="258"/>
      <c r="Z15105" s="258"/>
    </row>
    <row r="15106" spans="1:26" ht="12.75" customHeight="1" x14ac:dyDescent="0.2">
      <c r="A15106" s="258"/>
      <c r="Z15106" s="258"/>
    </row>
    <row r="15107" spans="1:26" ht="12.75" customHeight="1" x14ac:dyDescent="0.2">
      <c r="A15107" s="258"/>
      <c r="Z15107" s="258"/>
    </row>
    <row r="15108" spans="1:26" ht="12.75" customHeight="1" x14ac:dyDescent="0.2">
      <c r="A15108" s="258"/>
      <c r="Z15108" s="258"/>
    </row>
    <row r="15109" spans="1:26" ht="12.75" customHeight="1" x14ac:dyDescent="0.2">
      <c r="A15109" s="258"/>
      <c r="Z15109" s="258"/>
    </row>
    <row r="15110" spans="1:26" ht="12.75" customHeight="1" x14ac:dyDescent="0.2">
      <c r="A15110" s="258"/>
      <c r="Z15110" s="258"/>
    </row>
    <row r="15111" spans="1:26" ht="12.75" customHeight="1" x14ac:dyDescent="0.2">
      <c r="A15111" s="258"/>
      <c r="Z15111" s="258"/>
    </row>
    <row r="15112" spans="1:26" ht="12.75" customHeight="1" x14ac:dyDescent="0.2">
      <c r="A15112" s="258"/>
      <c r="Z15112" s="258"/>
    </row>
    <row r="15113" spans="1:26" ht="12.75" customHeight="1" x14ac:dyDescent="0.2">
      <c r="A15113" s="258"/>
      <c r="Z15113" s="258"/>
    </row>
    <row r="15114" spans="1:26" ht="12.75" customHeight="1" x14ac:dyDescent="0.2">
      <c r="A15114" s="258"/>
      <c r="Z15114" s="258"/>
    </row>
    <row r="15115" spans="1:26" ht="12.75" customHeight="1" x14ac:dyDescent="0.2">
      <c r="A15115" s="258"/>
      <c r="Z15115" s="258"/>
    </row>
    <row r="15116" spans="1:26" ht="12.75" customHeight="1" x14ac:dyDescent="0.2">
      <c r="A15116" s="258"/>
      <c r="Z15116" s="258"/>
    </row>
    <row r="15117" spans="1:26" ht="12.75" customHeight="1" x14ac:dyDescent="0.2">
      <c r="A15117" s="258"/>
      <c r="Z15117" s="258"/>
    </row>
    <row r="15118" spans="1:26" ht="12.75" customHeight="1" x14ac:dyDescent="0.2">
      <c r="A15118" s="258"/>
      <c r="Z15118" s="258"/>
    </row>
    <row r="15119" spans="1:26" ht="12.75" customHeight="1" x14ac:dyDescent="0.2">
      <c r="A15119" s="258"/>
      <c r="Z15119" s="258"/>
    </row>
    <row r="15120" spans="1:26" ht="12.75" customHeight="1" x14ac:dyDescent="0.2">
      <c r="A15120" s="258"/>
      <c r="Z15120" s="258"/>
    </row>
    <row r="15121" spans="1:26" ht="12.75" customHeight="1" x14ac:dyDescent="0.2">
      <c r="A15121" s="258"/>
      <c r="Z15121" s="258"/>
    </row>
    <row r="15122" spans="1:26" ht="12.75" customHeight="1" x14ac:dyDescent="0.2">
      <c r="A15122" s="258"/>
      <c r="Z15122" s="258"/>
    </row>
    <row r="15123" spans="1:26" ht="12.75" customHeight="1" x14ac:dyDescent="0.2">
      <c r="A15123" s="258"/>
      <c r="Z15123" s="258"/>
    </row>
    <row r="15124" spans="1:26" ht="12.75" customHeight="1" x14ac:dyDescent="0.2">
      <c r="A15124" s="258"/>
      <c r="Z15124" s="258"/>
    </row>
    <row r="15125" spans="1:26" ht="12.75" customHeight="1" x14ac:dyDescent="0.2">
      <c r="A15125" s="258"/>
      <c r="Z15125" s="258"/>
    </row>
    <row r="15126" spans="1:26" ht="12.75" customHeight="1" x14ac:dyDescent="0.2">
      <c r="A15126" s="258"/>
      <c r="Z15126" s="258"/>
    </row>
    <row r="15127" spans="1:26" ht="12.75" customHeight="1" x14ac:dyDescent="0.2">
      <c r="A15127" s="258"/>
      <c r="Z15127" s="258"/>
    </row>
    <row r="15128" spans="1:26" ht="12.75" customHeight="1" x14ac:dyDescent="0.2">
      <c r="A15128" s="258"/>
      <c r="Z15128" s="258"/>
    </row>
    <row r="15129" spans="1:26" ht="12.75" customHeight="1" x14ac:dyDescent="0.2">
      <c r="A15129" s="258"/>
      <c r="Z15129" s="258"/>
    </row>
    <row r="15130" spans="1:26" ht="12.75" customHeight="1" x14ac:dyDescent="0.2">
      <c r="A15130" s="258"/>
      <c r="Z15130" s="258"/>
    </row>
    <row r="15131" spans="1:26" ht="12.75" customHeight="1" x14ac:dyDescent="0.2">
      <c r="A15131" s="258"/>
      <c r="Z15131" s="258"/>
    </row>
    <row r="15132" spans="1:26" ht="12.75" customHeight="1" x14ac:dyDescent="0.2">
      <c r="A15132" s="258"/>
      <c r="Z15132" s="258"/>
    </row>
    <row r="15133" spans="1:26" ht="12.75" customHeight="1" x14ac:dyDescent="0.2">
      <c r="A15133" s="258"/>
      <c r="Z15133" s="258"/>
    </row>
    <row r="15134" spans="1:26" ht="12.75" customHeight="1" x14ac:dyDescent="0.2">
      <c r="A15134" s="258"/>
      <c r="Z15134" s="258"/>
    </row>
    <row r="15135" spans="1:26" ht="12.75" customHeight="1" x14ac:dyDescent="0.2">
      <c r="A15135" s="258"/>
      <c r="Z15135" s="258"/>
    </row>
    <row r="15136" spans="1:26" ht="12.75" customHeight="1" x14ac:dyDescent="0.2">
      <c r="A15136" s="258"/>
      <c r="Z15136" s="258"/>
    </row>
    <row r="15137" spans="1:26" ht="12.75" customHeight="1" x14ac:dyDescent="0.2">
      <c r="A15137" s="258"/>
      <c r="Z15137" s="258"/>
    </row>
    <row r="15138" spans="1:26" ht="12.75" customHeight="1" x14ac:dyDescent="0.2">
      <c r="A15138" s="258"/>
      <c r="Z15138" s="258"/>
    </row>
    <row r="15139" spans="1:26" ht="12.75" customHeight="1" x14ac:dyDescent="0.2">
      <c r="A15139" s="258"/>
      <c r="Z15139" s="258"/>
    </row>
    <row r="15140" spans="1:26" ht="12.75" customHeight="1" x14ac:dyDescent="0.2">
      <c r="A15140" s="258"/>
      <c r="Z15140" s="258"/>
    </row>
    <row r="15141" spans="1:26" ht="12.75" customHeight="1" x14ac:dyDescent="0.2">
      <c r="A15141" s="258"/>
      <c r="Z15141" s="258"/>
    </row>
    <row r="15142" spans="1:26" ht="12.75" customHeight="1" x14ac:dyDescent="0.2">
      <c r="A15142" s="258"/>
      <c r="Z15142" s="258"/>
    </row>
    <row r="15143" spans="1:26" ht="12.75" customHeight="1" x14ac:dyDescent="0.2">
      <c r="A15143" s="258"/>
      <c r="Z15143" s="258"/>
    </row>
    <row r="15144" spans="1:26" ht="12.75" customHeight="1" x14ac:dyDescent="0.2">
      <c r="A15144" s="258"/>
      <c r="Z15144" s="258"/>
    </row>
    <row r="15145" spans="1:26" ht="12.75" customHeight="1" x14ac:dyDescent="0.2">
      <c r="A15145" s="258"/>
      <c r="Z15145" s="258"/>
    </row>
    <row r="15146" spans="1:26" ht="12.75" customHeight="1" x14ac:dyDescent="0.2">
      <c r="A15146" s="258"/>
      <c r="Z15146" s="258"/>
    </row>
    <row r="15147" spans="1:26" ht="12.75" customHeight="1" x14ac:dyDescent="0.2">
      <c r="A15147" s="258"/>
      <c r="Z15147" s="258"/>
    </row>
    <row r="15148" spans="1:26" ht="12.75" customHeight="1" x14ac:dyDescent="0.2">
      <c r="A15148" s="258"/>
      <c r="Z15148" s="258"/>
    </row>
    <row r="15149" spans="1:26" ht="12.75" customHeight="1" x14ac:dyDescent="0.2">
      <c r="A15149" s="258"/>
      <c r="Z15149" s="258"/>
    </row>
    <row r="15150" spans="1:26" ht="12.75" customHeight="1" x14ac:dyDescent="0.2">
      <c r="A15150" s="258"/>
      <c r="Z15150" s="258"/>
    </row>
    <row r="15151" spans="1:26" ht="12.75" customHeight="1" x14ac:dyDescent="0.2">
      <c r="A15151" s="258"/>
      <c r="Z15151" s="258"/>
    </row>
    <row r="15152" spans="1:26" ht="12.75" customHeight="1" x14ac:dyDescent="0.2">
      <c r="A15152" s="258"/>
      <c r="Z15152" s="258"/>
    </row>
    <row r="15153" spans="1:26" ht="12.75" customHeight="1" x14ac:dyDescent="0.2">
      <c r="A15153" s="258"/>
      <c r="Z15153" s="258"/>
    </row>
    <row r="15154" spans="1:26" ht="12.75" customHeight="1" x14ac:dyDescent="0.2">
      <c r="A15154" s="258"/>
      <c r="Z15154" s="258"/>
    </row>
    <row r="15155" spans="1:26" ht="12.75" customHeight="1" x14ac:dyDescent="0.2">
      <c r="A15155" s="258"/>
      <c r="Z15155" s="258"/>
    </row>
    <row r="15156" spans="1:26" ht="12.75" customHeight="1" x14ac:dyDescent="0.2">
      <c r="A15156" s="258"/>
      <c r="Z15156" s="258"/>
    </row>
    <row r="15157" spans="1:26" ht="12.75" customHeight="1" x14ac:dyDescent="0.2">
      <c r="A15157" s="258"/>
      <c r="Z15157" s="258"/>
    </row>
    <row r="15158" spans="1:26" ht="12.75" customHeight="1" x14ac:dyDescent="0.2">
      <c r="A15158" s="258"/>
      <c r="Z15158" s="258"/>
    </row>
    <row r="15159" spans="1:26" ht="12.75" customHeight="1" x14ac:dyDescent="0.2">
      <c r="A15159" s="258"/>
      <c r="Z15159" s="258"/>
    </row>
    <row r="15160" spans="1:26" ht="12.75" customHeight="1" x14ac:dyDescent="0.2">
      <c r="A15160" s="258"/>
      <c r="Z15160" s="258"/>
    </row>
    <row r="15161" spans="1:26" ht="12.75" customHeight="1" x14ac:dyDescent="0.2">
      <c r="A15161" s="258"/>
      <c r="Z15161" s="258"/>
    </row>
    <row r="15162" spans="1:26" ht="12.75" customHeight="1" x14ac:dyDescent="0.2">
      <c r="A15162" s="258"/>
      <c r="Z15162" s="258"/>
    </row>
    <row r="15163" spans="1:26" ht="12.75" customHeight="1" x14ac:dyDescent="0.2">
      <c r="A15163" s="258"/>
      <c r="Z15163" s="258"/>
    </row>
    <row r="15164" spans="1:26" ht="12.75" customHeight="1" x14ac:dyDescent="0.2">
      <c r="A15164" s="258"/>
      <c r="Z15164" s="258"/>
    </row>
    <row r="15165" spans="1:26" ht="12.75" customHeight="1" x14ac:dyDescent="0.2">
      <c r="A15165" s="258"/>
      <c r="Z15165" s="258"/>
    </row>
    <row r="15166" spans="1:26" ht="12.75" customHeight="1" x14ac:dyDescent="0.2">
      <c r="A15166" s="258"/>
      <c r="Z15166" s="258"/>
    </row>
    <row r="15167" spans="1:26" ht="12.75" customHeight="1" x14ac:dyDescent="0.2">
      <c r="A15167" s="258"/>
      <c r="Z15167" s="258"/>
    </row>
    <row r="15168" spans="1:26" ht="12.75" customHeight="1" x14ac:dyDescent="0.2">
      <c r="A15168" s="258"/>
      <c r="Z15168" s="258"/>
    </row>
    <row r="15169" spans="1:26" ht="12.75" customHeight="1" x14ac:dyDescent="0.2">
      <c r="A15169" s="258"/>
      <c r="Z15169" s="258"/>
    </row>
    <row r="15170" spans="1:26" ht="12.75" customHeight="1" x14ac:dyDescent="0.2">
      <c r="A15170" s="258"/>
      <c r="Z15170" s="258"/>
    </row>
    <row r="15171" spans="1:26" ht="12.75" customHeight="1" x14ac:dyDescent="0.2">
      <c r="A15171" s="258"/>
      <c r="Z15171" s="258"/>
    </row>
    <row r="15172" spans="1:26" ht="12.75" customHeight="1" x14ac:dyDescent="0.2">
      <c r="A15172" s="258"/>
      <c r="Z15172" s="258"/>
    </row>
    <row r="15173" spans="1:26" ht="12.75" customHeight="1" x14ac:dyDescent="0.2">
      <c r="A15173" s="258"/>
      <c r="Z15173" s="258"/>
    </row>
    <row r="15174" spans="1:26" ht="12.75" customHeight="1" x14ac:dyDescent="0.2">
      <c r="A15174" s="258"/>
      <c r="Z15174" s="258"/>
    </row>
    <row r="15175" spans="1:26" ht="12.75" customHeight="1" x14ac:dyDescent="0.2">
      <c r="A15175" s="258"/>
      <c r="Z15175" s="258"/>
    </row>
    <row r="15176" spans="1:26" ht="12.75" customHeight="1" x14ac:dyDescent="0.2">
      <c r="A15176" s="258"/>
      <c r="Z15176" s="258"/>
    </row>
    <row r="15177" spans="1:26" ht="12.75" customHeight="1" x14ac:dyDescent="0.2">
      <c r="A15177" s="258"/>
      <c r="Z15177" s="258"/>
    </row>
    <row r="15178" spans="1:26" ht="12.75" customHeight="1" x14ac:dyDescent="0.2">
      <c r="A15178" s="258"/>
      <c r="Z15178" s="258"/>
    </row>
    <row r="15179" spans="1:26" ht="12.75" customHeight="1" x14ac:dyDescent="0.2">
      <c r="A15179" s="258"/>
      <c r="Z15179" s="258"/>
    </row>
    <row r="15180" spans="1:26" ht="12.75" customHeight="1" x14ac:dyDescent="0.2">
      <c r="A15180" s="258"/>
      <c r="Z15180" s="258"/>
    </row>
    <row r="15181" spans="1:26" ht="12.75" customHeight="1" x14ac:dyDescent="0.2">
      <c r="A15181" s="258"/>
      <c r="Z15181" s="258"/>
    </row>
    <row r="15182" spans="1:26" ht="12.75" customHeight="1" x14ac:dyDescent="0.2">
      <c r="A15182" s="258"/>
      <c r="Z15182" s="258"/>
    </row>
    <row r="15183" spans="1:26" ht="12.75" customHeight="1" x14ac:dyDescent="0.2">
      <c r="A15183" s="258"/>
      <c r="Z15183" s="258"/>
    </row>
    <row r="15184" spans="1:26" ht="12.75" customHeight="1" x14ac:dyDescent="0.2">
      <c r="A15184" s="258"/>
      <c r="Z15184" s="258"/>
    </row>
    <row r="15185" spans="1:26" ht="12.75" customHeight="1" x14ac:dyDescent="0.2">
      <c r="A15185" s="258"/>
      <c r="Z15185" s="258"/>
    </row>
    <row r="15186" spans="1:26" ht="12.75" customHeight="1" x14ac:dyDescent="0.2">
      <c r="A15186" s="258"/>
      <c r="Z15186" s="258"/>
    </row>
    <row r="15187" spans="1:26" ht="12.75" customHeight="1" x14ac:dyDescent="0.2">
      <c r="A15187" s="258"/>
      <c r="Z15187" s="258"/>
    </row>
    <row r="15188" spans="1:26" ht="12.75" customHeight="1" x14ac:dyDescent="0.2">
      <c r="A15188" s="258"/>
      <c r="Z15188" s="258"/>
    </row>
    <row r="15189" spans="1:26" ht="12.75" customHeight="1" x14ac:dyDescent="0.2">
      <c r="A15189" s="258"/>
      <c r="Z15189" s="258"/>
    </row>
    <row r="15190" spans="1:26" ht="12.75" customHeight="1" x14ac:dyDescent="0.2">
      <c r="A15190" s="258"/>
      <c r="Z15190" s="258"/>
    </row>
    <row r="15191" spans="1:26" ht="12.75" customHeight="1" x14ac:dyDescent="0.2">
      <c r="A15191" s="258"/>
      <c r="Z15191" s="258"/>
    </row>
    <row r="15192" spans="1:26" ht="12.75" customHeight="1" x14ac:dyDescent="0.2">
      <c r="A15192" s="258"/>
      <c r="Z15192" s="258"/>
    </row>
    <row r="15193" spans="1:26" ht="12.75" customHeight="1" x14ac:dyDescent="0.2">
      <c r="A15193" s="258"/>
      <c r="Z15193" s="258"/>
    </row>
    <row r="15194" spans="1:26" ht="12.75" customHeight="1" x14ac:dyDescent="0.2">
      <c r="A15194" s="258"/>
      <c r="Z15194" s="258"/>
    </row>
    <row r="15195" spans="1:26" ht="12.75" customHeight="1" x14ac:dyDescent="0.2">
      <c r="A15195" s="258"/>
      <c r="Z15195" s="258"/>
    </row>
    <row r="15196" spans="1:26" ht="12.75" customHeight="1" x14ac:dyDescent="0.2">
      <c r="A15196" s="258"/>
      <c r="Z15196" s="258"/>
    </row>
    <row r="15197" spans="1:26" ht="12.75" customHeight="1" x14ac:dyDescent="0.2">
      <c r="A15197" s="258"/>
      <c r="Z15197" s="258"/>
    </row>
    <row r="15198" spans="1:26" ht="12.75" customHeight="1" x14ac:dyDescent="0.2">
      <c r="A15198" s="258"/>
      <c r="Z15198" s="258"/>
    </row>
    <row r="15199" spans="1:26" ht="12.75" customHeight="1" x14ac:dyDescent="0.2">
      <c r="A15199" s="258"/>
      <c r="Z15199" s="258"/>
    </row>
    <row r="15200" spans="1:26" ht="12.75" customHeight="1" x14ac:dyDescent="0.2">
      <c r="A15200" s="258"/>
      <c r="Z15200" s="258"/>
    </row>
    <row r="15201" spans="1:26" ht="12.75" customHeight="1" x14ac:dyDescent="0.2">
      <c r="A15201" s="258"/>
      <c r="Z15201" s="258"/>
    </row>
    <row r="15202" spans="1:26" ht="12.75" customHeight="1" x14ac:dyDescent="0.2">
      <c r="A15202" s="258"/>
      <c r="Z15202" s="258"/>
    </row>
    <row r="15203" spans="1:26" ht="12.75" customHeight="1" x14ac:dyDescent="0.2">
      <c r="A15203" s="258"/>
      <c r="Z15203" s="258"/>
    </row>
    <row r="15204" spans="1:26" ht="12.75" customHeight="1" x14ac:dyDescent="0.2">
      <c r="A15204" s="258"/>
      <c r="Z15204" s="258"/>
    </row>
    <row r="15205" spans="1:26" ht="12.75" customHeight="1" x14ac:dyDescent="0.2">
      <c r="A15205" s="258"/>
      <c r="Z15205" s="258"/>
    </row>
    <row r="15206" spans="1:26" ht="12.75" customHeight="1" x14ac:dyDescent="0.2">
      <c r="A15206" s="258"/>
      <c r="Z15206" s="258"/>
    </row>
    <row r="15207" spans="1:26" ht="12.75" customHeight="1" x14ac:dyDescent="0.2">
      <c r="A15207" s="258"/>
      <c r="Z15207" s="258"/>
    </row>
    <row r="15208" spans="1:26" ht="12.75" customHeight="1" x14ac:dyDescent="0.2">
      <c r="A15208" s="258"/>
      <c r="Z15208" s="258"/>
    </row>
    <row r="15209" spans="1:26" ht="12.75" customHeight="1" x14ac:dyDescent="0.2">
      <c r="A15209" s="258"/>
      <c r="Z15209" s="258"/>
    </row>
    <row r="15210" spans="1:26" ht="12.75" customHeight="1" x14ac:dyDescent="0.2">
      <c r="A15210" s="258"/>
      <c r="Z15210" s="258"/>
    </row>
    <row r="15211" spans="1:26" ht="12.75" customHeight="1" x14ac:dyDescent="0.2">
      <c r="A15211" s="258"/>
      <c r="Z15211" s="258"/>
    </row>
    <row r="15212" spans="1:26" ht="12.75" customHeight="1" x14ac:dyDescent="0.2">
      <c r="A15212" s="258"/>
      <c r="Z15212" s="258"/>
    </row>
    <row r="15213" spans="1:26" ht="12.75" customHeight="1" x14ac:dyDescent="0.2">
      <c r="A15213" s="258"/>
      <c r="Z15213" s="258"/>
    </row>
    <row r="15214" spans="1:26" ht="12.75" customHeight="1" x14ac:dyDescent="0.2">
      <c r="A15214" s="258"/>
      <c r="Z15214" s="258"/>
    </row>
    <row r="15215" spans="1:26" ht="12.75" customHeight="1" x14ac:dyDescent="0.2">
      <c r="A15215" s="258"/>
      <c r="Z15215" s="258"/>
    </row>
    <row r="15216" spans="1:26" ht="12.75" customHeight="1" x14ac:dyDescent="0.2">
      <c r="A15216" s="258"/>
      <c r="Z15216" s="258"/>
    </row>
    <row r="15217" spans="1:26" ht="12.75" customHeight="1" x14ac:dyDescent="0.2">
      <c r="A15217" s="258"/>
      <c r="Z15217" s="258"/>
    </row>
    <row r="15218" spans="1:26" ht="12.75" customHeight="1" x14ac:dyDescent="0.2">
      <c r="A15218" s="258"/>
      <c r="Z15218" s="258"/>
    </row>
    <row r="15219" spans="1:26" ht="12.75" customHeight="1" x14ac:dyDescent="0.2">
      <c r="A15219" s="258"/>
      <c r="Z15219" s="258"/>
    </row>
    <row r="15220" spans="1:26" ht="12.75" customHeight="1" x14ac:dyDescent="0.2">
      <c r="A15220" s="258"/>
      <c r="Z15220" s="258"/>
    </row>
    <row r="15221" spans="1:26" ht="12.75" customHeight="1" x14ac:dyDescent="0.2">
      <c r="A15221" s="258"/>
      <c r="Z15221" s="258"/>
    </row>
    <row r="15222" spans="1:26" ht="12.75" customHeight="1" x14ac:dyDescent="0.2">
      <c r="A15222" s="258"/>
      <c r="Z15222" s="258"/>
    </row>
    <row r="15223" spans="1:26" ht="12.75" customHeight="1" x14ac:dyDescent="0.2">
      <c r="A15223" s="258"/>
      <c r="Z15223" s="258"/>
    </row>
    <row r="15224" spans="1:26" ht="12.75" customHeight="1" x14ac:dyDescent="0.2">
      <c r="A15224" s="258"/>
      <c r="Z15224" s="258"/>
    </row>
    <row r="15225" spans="1:26" ht="12.75" customHeight="1" x14ac:dyDescent="0.2">
      <c r="A15225" s="258"/>
      <c r="Z15225" s="258"/>
    </row>
    <row r="15226" spans="1:26" ht="12.75" customHeight="1" x14ac:dyDescent="0.2">
      <c r="A15226" s="258"/>
      <c r="Z15226" s="258"/>
    </row>
    <row r="15227" spans="1:26" ht="12.75" customHeight="1" x14ac:dyDescent="0.2">
      <c r="A15227" s="258"/>
      <c r="Z15227" s="258"/>
    </row>
    <row r="15228" spans="1:26" ht="12.75" customHeight="1" x14ac:dyDescent="0.2">
      <c r="A15228" s="258"/>
      <c r="Z15228" s="258"/>
    </row>
    <row r="15229" spans="1:26" ht="12.75" customHeight="1" x14ac:dyDescent="0.2">
      <c r="A15229" s="258"/>
      <c r="Z15229" s="258"/>
    </row>
    <row r="15230" spans="1:26" ht="12.75" customHeight="1" x14ac:dyDescent="0.2">
      <c r="A15230" s="258"/>
      <c r="Z15230" s="258"/>
    </row>
    <row r="15231" spans="1:26" ht="12.75" customHeight="1" x14ac:dyDescent="0.2">
      <c r="A15231" s="258"/>
      <c r="Z15231" s="258"/>
    </row>
    <row r="15232" spans="1:26" ht="12.75" customHeight="1" x14ac:dyDescent="0.2">
      <c r="A15232" s="258"/>
      <c r="Z15232" s="258"/>
    </row>
    <row r="15233" spans="1:26" ht="12.75" customHeight="1" x14ac:dyDescent="0.2">
      <c r="A15233" s="258"/>
      <c r="Z15233" s="258"/>
    </row>
    <row r="15234" spans="1:26" ht="12.75" customHeight="1" x14ac:dyDescent="0.2">
      <c r="A15234" s="258"/>
      <c r="Z15234" s="258"/>
    </row>
    <row r="15235" spans="1:26" ht="12.75" customHeight="1" x14ac:dyDescent="0.2">
      <c r="A15235" s="258"/>
      <c r="Z15235" s="258"/>
    </row>
    <row r="15236" spans="1:26" ht="12.75" customHeight="1" x14ac:dyDescent="0.2">
      <c r="A15236" s="258"/>
      <c r="Z15236" s="258"/>
    </row>
    <row r="15237" spans="1:26" ht="12.75" customHeight="1" x14ac:dyDescent="0.2">
      <c r="A15237" s="258"/>
      <c r="Z15237" s="258"/>
    </row>
    <row r="15238" spans="1:26" ht="12.75" customHeight="1" x14ac:dyDescent="0.2">
      <c r="A15238" s="258"/>
      <c r="Z15238" s="258"/>
    </row>
    <row r="15239" spans="1:26" ht="12.75" customHeight="1" x14ac:dyDescent="0.2">
      <c r="A15239" s="258"/>
      <c r="Z15239" s="258"/>
    </row>
    <row r="15240" spans="1:26" ht="12.75" customHeight="1" x14ac:dyDescent="0.2">
      <c r="A15240" s="258"/>
      <c r="Z15240" s="258"/>
    </row>
    <row r="15241" spans="1:26" ht="12.75" customHeight="1" x14ac:dyDescent="0.2">
      <c r="A15241" s="258"/>
      <c r="Z15241" s="258"/>
    </row>
    <row r="15242" spans="1:26" ht="12.75" customHeight="1" x14ac:dyDescent="0.2">
      <c r="A15242" s="258"/>
      <c r="Z15242" s="258"/>
    </row>
    <row r="15243" spans="1:26" ht="12.75" customHeight="1" x14ac:dyDescent="0.2">
      <c r="A15243" s="258"/>
      <c r="Z15243" s="258"/>
    </row>
    <row r="15244" spans="1:26" ht="12.75" customHeight="1" x14ac:dyDescent="0.2">
      <c r="A15244" s="258"/>
      <c r="Z15244" s="258"/>
    </row>
    <row r="15245" spans="1:26" ht="12.75" customHeight="1" x14ac:dyDescent="0.2">
      <c r="A15245" s="258"/>
      <c r="Z15245" s="258"/>
    </row>
    <row r="15246" spans="1:26" ht="12.75" customHeight="1" x14ac:dyDescent="0.2">
      <c r="A15246" s="258"/>
      <c r="Z15246" s="258"/>
    </row>
    <row r="15247" spans="1:26" ht="12.75" customHeight="1" x14ac:dyDescent="0.2">
      <c r="A15247" s="258"/>
      <c r="Z15247" s="258"/>
    </row>
    <row r="15248" spans="1:26" ht="12.75" customHeight="1" x14ac:dyDescent="0.2">
      <c r="A15248" s="258"/>
      <c r="Z15248" s="258"/>
    </row>
    <row r="15249" spans="1:26" ht="12.75" customHeight="1" x14ac:dyDescent="0.2">
      <c r="A15249" s="258"/>
      <c r="Z15249" s="258"/>
    </row>
    <row r="15250" spans="1:26" ht="12.75" customHeight="1" x14ac:dyDescent="0.2">
      <c r="A15250" s="258"/>
      <c r="Z15250" s="258"/>
    </row>
    <row r="15251" spans="1:26" ht="12.75" customHeight="1" x14ac:dyDescent="0.2">
      <c r="A15251" s="258"/>
      <c r="Z15251" s="258"/>
    </row>
    <row r="15252" spans="1:26" ht="12.75" customHeight="1" x14ac:dyDescent="0.2">
      <c r="A15252" s="258"/>
      <c r="Z15252" s="258"/>
    </row>
    <row r="15253" spans="1:26" ht="12.75" customHeight="1" x14ac:dyDescent="0.2">
      <c r="A15253" s="258"/>
      <c r="Z15253" s="258"/>
    </row>
    <row r="15254" spans="1:26" ht="12.75" customHeight="1" x14ac:dyDescent="0.2">
      <c r="A15254" s="258"/>
      <c r="Z15254" s="258"/>
    </row>
    <row r="15255" spans="1:26" ht="12.75" customHeight="1" x14ac:dyDescent="0.2">
      <c r="A15255" s="258"/>
      <c r="Z15255" s="258"/>
    </row>
    <row r="15256" spans="1:26" ht="12.75" customHeight="1" x14ac:dyDescent="0.2">
      <c r="A15256" s="258"/>
      <c r="Z15256" s="258"/>
    </row>
    <row r="15257" spans="1:26" ht="12.75" customHeight="1" x14ac:dyDescent="0.2">
      <c r="A15257" s="258"/>
      <c r="Z15257" s="258"/>
    </row>
    <row r="15258" spans="1:26" ht="12.75" customHeight="1" x14ac:dyDescent="0.2">
      <c r="A15258" s="258"/>
      <c r="Z15258" s="258"/>
    </row>
    <row r="15259" spans="1:26" ht="12.75" customHeight="1" x14ac:dyDescent="0.2">
      <c r="A15259" s="258"/>
      <c r="Z15259" s="258"/>
    </row>
    <row r="15260" spans="1:26" ht="12.75" customHeight="1" x14ac:dyDescent="0.2">
      <c r="A15260" s="258"/>
      <c r="Z15260" s="258"/>
    </row>
    <row r="15261" spans="1:26" ht="12.75" customHeight="1" x14ac:dyDescent="0.2">
      <c r="A15261" s="258"/>
      <c r="Z15261" s="258"/>
    </row>
    <row r="15262" spans="1:26" ht="12.75" customHeight="1" x14ac:dyDescent="0.2">
      <c r="A15262" s="258"/>
      <c r="Z15262" s="258"/>
    </row>
    <row r="15263" spans="1:26" ht="12.75" customHeight="1" x14ac:dyDescent="0.2">
      <c r="A15263" s="258"/>
      <c r="Z15263" s="258"/>
    </row>
    <row r="15264" spans="1:26" ht="12.75" customHeight="1" x14ac:dyDescent="0.2">
      <c r="A15264" s="258"/>
      <c r="Z15264" s="258"/>
    </row>
    <row r="15265" spans="1:26" ht="12.75" customHeight="1" x14ac:dyDescent="0.2">
      <c r="A15265" s="258"/>
      <c r="Z15265" s="258"/>
    </row>
    <row r="15266" spans="1:26" ht="12.75" customHeight="1" x14ac:dyDescent="0.2">
      <c r="A15266" s="258"/>
      <c r="Z15266" s="258"/>
    </row>
    <row r="15267" spans="1:26" ht="12.75" customHeight="1" x14ac:dyDescent="0.2">
      <c r="A15267" s="258"/>
      <c r="Z15267" s="258"/>
    </row>
    <row r="15268" spans="1:26" ht="12.75" customHeight="1" x14ac:dyDescent="0.2">
      <c r="A15268" s="258"/>
      <c r="Z15268" s="258"/>
    </row>
    <row r="15269" spans="1:26" ht="12.75" customHeight="1" x14ac:dyDescent="0.2">
      <c r="A15269" s="258"/>
      <c r="Z15269" s="258"/>
    </row>
    <row r="15270" spans="1:26" ht="12.75" customHeight="1" x14ac:dyDescent="0.2">
      <c r="A15270" s="258"/>
      <c r="Z15270" s="258"/>
    </row>
    <row r="15271" spans="1:26" ht="12.75" customHeight="1" x14ac:dyDescent="0.2">
      <c r="A15271" s="258"/>
      <c r="Z15271" s="258"/>
    </row>
    <row r="15272" spans="1:26" ht="12.75" customHeight="1" x14ac:dyDescent="0.2">
      <c r="A15272" s="258"/>
      <c r="Z15272" s="258"/>
    </row>
    <row r="15273" spans="1:26" ht="12.75" customHeight="1" x14ac:dyDescent="0.2">
      <c r="A15273" s="258"/>
      <c r="Z15273" s="258"/>
    </row>
    <row r="15274" spans="1:26" ht="12.75" customHeight="1" x14ac:dyDescent="0.2">
      <c r="A15274" s="258"/>
      <c r="Z15274" s="258"/>
    </row>
    <row r="15275" spans="1:26" ht="12.75" customHeight="1" x14ac:dyDescent="0.2">
      <c r="A15275" s="258"/>
      <c r="Z15275" s="258"/>
    </row>
    <row r="15276" spans="1:26" ht="12.75" customHeight="1" x14ac:dyDescent="0.2">
      <c r="A15276" s="258"/>
      <c r="Z15276" s="258"/>
    </row>
    <row r="15277" spans="1:26" ht="12.75" customHeight="1" x14ac:dyDescent="0.2">
      <c r="A15277" s="258"/>
      <c r="Z15277" s="258"/>
    </row>
    <row r="15278" spans="1:26" ht="12.75" customHeight="1" x14ac:dyDescent="0.2">
      <c r="A15278" s="258"/>
      <c r="Z15278" s="258"/>
    </row>
    <row r="15279" spans="1:26" ht="12.75" customHeight="1" x14ac:dyDescent="0.2">
      <c r="A15279" s="258"/>
      <c r="Z15279" s="258"/>
    </row>
    <row r="15280" spans="1:26" ht="12.75" customHeight="1" x14ac:dyDescent="0.2">
      <c r="A15280" s="258"/>
      <c r="Z15280" s="258"/>
    </row>
    <row r="15281" spans="1:26" ht="12.75" customHeight="1" x14ac:dyDescent="0.2">
      <c r="A15281" s="258"/>
      <c r="Z15281" s="258"/>
    </row>
    <row r="15282" spans="1:26" ht="12.75" customHeight="1" x14ac:dyDescent="0.2">
      <c r="A15282" s="258"/>
      <c r="Z15282" s="258"/>
    </row>
    <row r="15283" spans="1:26" ht="12.75" customHeight="1" x14ac:dyDescent="0.2">
      <c r="A15283" s="258"/>
      <c r="Z15283" s="258"/>
    </row>
    <row r="15284" spans="1:26" ht="12.75" customHeight="1" x14ac:dyDescent="0.2">
      <c r="A15284" s="258"/>
      <c r="Z15284" s="258"/>
    </row>
    <row r="15285" spans="1:26" ht="12.75" customHeight="1" x14ac:dyDescent="0.2">
      <c r="A15285" s="258"/>
      <c r="Z15285" s="258"/>
    </row>
    <row r="15286" spans="1:26" ht="12.75" customHeight="1" x14ac:dyDescent="0.2">
      <c r="A15286" s="258"/>
      <c r="Z15286" s="258"/>
    </row>
    <row r="15287" spans="1:26" ht="12.75" customHeight="1" x14ac:dyDescent="0.2">
      <c r="A15287" s="258"/>
      <c r="Z15287" s="258"/>
    </row>
    <row r="15288" spans="1:26" ht="12.75" customHeight="1" x14ac:dyDescent="0.2">
      <c r="A15288" s="258"/>
      <c r="Z15288" s="258"/>
    </row>
    <row r="15289" spans="1:26" ht="12.75" customHeight="1" x14ac:dyDescent="0.2">
      <c r="A15289" s="258"/>
      <c r="Z15289" s="258"/>
    </row>
    <row r="15290" spans="1:26" ht="12.75" customHeight="1" x14ac:dyDescent="0.2">
      <c r="A15290" s="258"/>
      <c r="Z15290" s="258"/>
    </row>
    <row r="15291" spans="1:26" ht="12.75" customHeight="1" x14ac:dyDescent="0.2">
      <c r="A15291" s="258"/>
      <c r="Z15291" s="258"/>
    </row>
    <row r="15292" spans="1:26" ht="12.75" customHeight="1" x14ac:dyDescent="0.2">
      <c r="A15292" s="258"/>
      <c r="Z15292" s="258"/>
    </row>
    <row r="15293" spans="1:26" ht="12.75" customHeight="1" x14ac:dyDescent="0.2">
      <c r="A15293" s="258"/>
      <c r="Z15293" s="258"/>
    </row>
    <row r="15294" spans="1:26" ht="12.75" customHeight="1" x14ac:dyDescent="0.2">
      <c r="A15294" s="258"/>
      <c r="Z15294" s="258"/>
    </row>
    <row r="15295" spans="1:26" ht="12.75" customHeight="1" x14ac:dyDescent="0.2">
      <c r="A15295" s="258"/>
      <c r="Z15295" s="258"/>
    </row>
    <row r="15296" spans="1:26" ht="12.75" customHeight="1" x14ac:dyDescent="0.2">
      <c r="A15296" s="258"/>
      <c r="Z15296" s="258"/>
    </row>
    <row r="15297" spans="1:26" ht="12.75" customHeight="1" x14ac:dyDescent="0.2">
      <c r="A15297" s="258"/>
      <c r="Z15297" s="258"/>
    </row>
    <row r="15298" spans="1:26" ht="12.75" customHeight="1" x14ac:dyDescent="0.2">
      <c r="A15298" s="258"/>
      <c r="Z15298" s="258"/>
    </row>
    <row r="15299" spans="1:26" ht="12.75" customHeight="1" x14ac:dyDescent="0.2">
      <c r="A15299" s="258"/>
      <c r="Z15299" s="258"/>
    </row>
    <row r="15300" spans="1:26" ht="12.75" customHeight="1" x14ac:dyDescent="0.2">
      <c r="A15300" s="258"/>
      <c r="Z15300" s="258"/>
    </row>
    <row r="15301" spans="1:26" ht="12.75" customHeight="1" x14ac:dyDescent="0.2">
      <c r="A15301" s="258"/>
      <c r="Z15301" s="258"/>
    </row>
    <row r="15302" spans="1:26" ht="12.75" customHeight="1" x14ac:dyDescent="0.2">
      <c r="A15302" s="258"/>
      <c r="Z15302" s="258"/>
    </row>
    <row r="15303" spans="1:26" ht="12.75" customHeight="1" x14ac:dyDescent="0.2">
      <c r="A15303" s="258"/>
      <c r="Z15303" s="258"/>
    </row>
    <row r="15304" spans="1:26" ht="12.75" customHeight="1" x14ac:dyDescent="0.2">
      <c r="A15304" s="258"/>
      <c r="Z15304" s="258"/>
    </row>
    <row r="15305" spans="1:26" ht="12.75" customHeight="1" x14ac:dyDescent="0.2">
      <c r="A15305" s="258"/>
      <c r="Z15305" s="258"/>
    </row>
    <row r="15306" spans="1:26" ht="12.75" customHeight="1" x14ac:dyDescent="0.2">
      <c r="A15306" s="258"/>
      <c r="Z15306" s="258"/>
    </row>
    <row r="15307" spans="1:26" ht="12.75" customHeight="1" x14ac:dyDescent="0.2">
      <c r="A15307" s="258"/>
      <c r="Z15307" s="258"/>
    </row>
    <row r="15308" spans="1:26" ht="12.75" customHeight="1" x14ac:dyDescent="0.2">
      <c r="A15308" s="258"/>
      <c r="Z15308" s="258"/>
    </row>
    <row r="15309" spans="1:26" ht="12.75" customHeight="1" x14ac:dyDescent="0.2">
      <c r="A15309" s="258"/>
      <c r="Z15309" s="258"/>
    </row>
    <row r="15310" spans="1:26" ht="12.75" customHeight="1" x14ac:dyDescent="0.2">
      <c r="A15310" s="258"/>
      <c r="Z15310" s="258"/>
    </row>
    <row r="15311" spans="1:26" ht="12.75" customHeight="1" x14ac:dyDescent="0.2">
      <c r="A15311" s="258"/>
      <c r="Z15311" s="258"/>
    </row>
    <row r="15312" spans="1:26" ht="12.75" customHeight="1" x14ac:dyDescent="0.2">
      <c r="A15312" s="258"/>
      <c r="Z15312" s="258"/>
    </row>
    <row r="15313" spans="1:26" ht="12.75" customHeight="1" x14ac:dyDescent="0.2">
      <c r="A15313" s="258"/>
      <c r="Z15313" s="258"/>
    </row>
    <row r="15314" spans="1:26" ht="12.75" customHeight="1" x14ac:dyDescent="0.2">
      <c r="A15314" s="258"/>
      <c r="Z15314" s="258"/>
    </row>
    <row r="15315" spans="1:26" ht="12.75" customHeight="1" x14ac:dyDescent="0.2">
      <c r="A15315" s="258"/>
      <c r="Z15315" s="258"/>
    </row>
    <row r="15316" spans="1:26" ht="12.75" customHeight="1" x14ac:dyDescent="0.2">
      <c r="A15316" s="258"/>
      <c r="Z15316" s="258"/>
    </row>
    <row r="15317" spans="1:26" ht="12.75" customHeight="1" x14ac:dyDescent="0.2">
      <c r="A15317" s="258"/>
      <c r="Z15317" s="258"/>
    </row>
    <row r="15318" spans="1:26" ht="12.75" customHeight="1" x14ac:dyDescent="0.2">
      <c r="A15318" s="258"/>
      <c r="Z15318" s="258"/>
    </row>
    <row r="15319" spans="1:26" ht="12.75" customHeight="1" x14ac:dyDescent="0.2">
      <c r="A15319" s="258"/>
      <c r="Z15319" s="258"/>
    </row>
    <row r="15320" spans="1:26" ht="12.75" customHeight="1" x14ac:dyDescent="0.2">
      <c r="A15320" s="258"/>
      <c r="Z15320" s="258"/>
    </row>
    <row r="15321" spans="1:26" ht="12.75" customHeight="1" x14ac:dyDescent="0.2">
      <c r="A15321" s="258"/>
      <c r="Z15321" s="258"/>
    </row>
    <row r="15322" spans="1:26" ht="12.75" customHeight="1" x14ac:dyDescent="0.2">
      <c r="A15322" s="258"/>
      <c r="Z15322" s="258"/>
    </row>
    <row r="15323" spans="1:26" ht="12.75" customHeight="1" x14ac:dyDescent="0.2">
      <c r="A15323" s="258"/>
      <c r="Z15323" s="258"/>
    </row>
    <row r="15324" spans="1:26" ht="12.75" customHeight="1" x14ac:dyDescent="0.2">
      <c r="A15324" s="258"/>
      <c r="Z15324" s="258"/>
    </row>
    <row r="15325" spans="1:26" ht="12.75" customHeight="1" x14ac:dyDescent="0.2">
      <c r="A15325" s="258"/>
      <c r="Z15325" s="258"/>
    </row>
    <row r="15326" spans="1:26" ht="12.75" customHeight="1" x14ac:dyDescent="0.2">
      <c r="A15326" s="258"/>
      <c r="Z15326" s="258"/>
    </row>
    <row r="15327" spans="1:26" ht="12.75" customHeight="1" x14ac:dyDescent="0.2">
      <c r="A15327" s="258"/>
      <c r="Z15327" s="258"/>
    </row>
    <row r="15328" spans="1:26" ht="12.75" customHeight="1" x14ac:dyDescent="0.2">
      <c r="A15328" s="258"/>
      <c r="Z15328" s="258"/>
    </row>
    <row r="15329" spans="1:26" ht="12.75" customHeight="1" x14ac:dyDescent="0.2">
      <c r="A15329" s="258"/>
      <c r="Z15329" s="258"/>
    </row>
    <row r="15330" spans="1:26" ht="12.75" customHeight="1" x14ac:dyDescent="0.2">
      <c r="A15330" s="258"/>
      <c r="Z15330" s="258"/>
    </row>
    <row r="15331" spans="1:26" ht="12.75" customHeight="1" x14ac:dyDescent="0.2">
      <c r="A15331" s="258"/>
      <c r="Z15331" s="258"/>
    </row>
    <row r="15332" spans="1:26" ht="12.75" customHeight="1" x14ac:dyDescent="0.2">
      <c r="A15332" s="258"/>
      <c r="Z15332" s="258"/>
    </row>
    <row r="15333" spans="1:26" ht="12.75" customHeight="1" x14ac:dyDescent="0.2">
      <c r="A15333" s="258"/>
      <c r="Z15333" s="258"/>
    </row>
    <row r="15334" spans="1:26" ht="12.75" customHeight="1" x14ac:dyDescent="0.2">
      <c r="A15334" s="258"/>
      <c r="Z15334" s="258"/>
    </row>
    <row r="15335" spans="1:26" ht="12.75" customHeight="1" x14ac:dyDescent="0.2">
      <c r="A15335" s="258"/>
      <c r="Z15335" s="258"/>
    </row>
    <row r="15336" spans="1:26" ht="12.75" customHeight="1" x14ac:dyDescent="0.2">
      <c r="A15336" s="258"/>
      <c r="Z15336" s="258"/>
    </row>
    <row r="15337" spans="1:26" ht="12.75" customHeight="1" x14ac:dyDescent="0.2">
      <c r="A15337" s="258"/>
      <c r="Z15337" s="258"/>
    </row>
    <row r="15338" spans="1:26" ht="12.75" customHeight="1" x14ac:dyDescent="0.2">
      <c r="A15338" s="258"/>
      <c r="Z15338" s="258"/>
    </row>
    <row r="15339" spans="1:26" ht="12.75" customHeight="1" x14ac:dyDescent="0.2">
      <c r="A15339" s="258"/>
      <c r="Z15339" s="258"/>
    </row>
    <row r="15340" spans="1:26" ht="12.75" customHeight="1" x14ac:dyDescent="0.2">
      <c r="A15340" s="258"/>
      <c r="Z15340" s="258"/>
    </row>
    <row r="15341" spans="1:26" ht="12.75" customHeight="1" x14ac:dyDescent="0.2">
      <c r="A15341" s="258"/>
      <c r="Z15341" s="258"/>
    </row>
    <row r="15342" spans="1:26" ht="12.75" customHeight="1" x14ac:dyDescent="0.2">
      <c r="A15342" s="258"/>
      <c r="Z15342" s="258"/>
    </row>
    <row r="15343" spans="1:26" ht="12.75" customHeight="1" x14ac:dyDescent="0.2">
      <c r="A15343" s="258"/>
      <c r="Z15343" s="258"/>
    </row>
    <row r="15344" spans="1:26" ht="12.75" customHeight="1" x14ac:dyDescent="0.2">
      <c r="A15344" s="258"/>
      <c r="Z15344" s="258"/>
    </row>
    <row r="15345" spans="1:26" ht="12.75" customHeight="1" x14ac:dyDescent="0.2">
      <c r="A15345" s="258"/>
      <c r="Z15345" s="258"/>
    </row>
    <row r="15346" spans="1:26" ht="12.75" customHeight="1" x14ac:dyDescent="0.2">
      <c r="A15346" s="258"/>
      <c r="Z15346" s="258"/>
    </row>
    <row r="15347" spans="1:26" ht="12.75" customHeight="1" x14ac:dyDescent="0.2">
      <c r="A15347" s="258"/>
      <c r="Z15347" s="258"/>
    </row>
    <row r="15348" spans="1:26" ht="12.75" customHeight="1" x14ac:dyDescent="0.2">
      <c r="A15348" s="258"/>
      <c r="Z15348" s="258"/>
    </row>
    <row r="15349" spans="1:26" ht="12.75" customHeight="1" x14ac:dyDescent="0.2">
      <c r="A15349" s="258"/>
      <c r="Z15349" s="258"/>
    </row>
    <row r="15350" spans="1:26" ht="12.75" customHeight="1" x14ac:dyDescent="0.2">
      <c r="A15350" s="258"/>
      <c r="Z15350" s="258"/>
    </row>
    <row r="15351" spans="1:26" ht="12.75" customHeight="1" x14ac:dyDescent="0.2">
      <c r="A15351" s="258"/>
      <c r="Z15351" s="258"/>
    </row>
    <row r="15352" spans="1:26" ht="12.75" customHeight="1" x14ac:dyDescent="0.2">
      <c r="A15352" s="258"/>
      <c r="Z15352" s="258"/>
    </row>
    <row r="15353" spans="1:26" ht="12.75" customHeight="1" x14ac:dyDescent="0.2">
      <c r="A15353" s="258"/>
      <c r="Z15353" s="258"/>
    </row>
    <row r="15354" spans="1:26" ht="12.75" customHeight="1" x14ac:dyDescent="0.2">
      <c r="A15354" s="258"/>
      <c r="Z15354" s="258"/>
    </row>
    <row r="15355" spans="1:26" ht="12.75" customHeight="1" x14ac:dyDescent="0.2">
      <c r="A15355" s="258"/>
      <c r="Z15355" s="258"/>
    </row>
    <row r="15356" spans="1:26" ht="12.75" customHeight="1" x14ac:dyDescent="0.2">
      <c r="A15356" s="258"/>
      <c r="Z15356" s="258"/>
    </row>
    <row r="15357" spans="1:26" ht="12.75" customHeight="1" x14ac:dyDescent="0.2">
      <c r="A15357" s="258"/>
      <c r="Z15357" s="258"/>
    </row>
    <row r="15358" spans="1:26" ht="12.75" customHeight="1" x14ac:dyDescent="0.2">
      <c r="A15358" s="258"/>
      <c r="Z15358" s="258"/>
    </row>
    <row r="15359" spans="1:26" ht="12.75" customHeight="1" x14ac:dyDescent="0.2">
      <c r="A15359" s="258"/>
      <c r="Z15359" s="258"/>
    </row>
    <row r="15360" spans="1:26" ht="12.75" customHeight="1" x14ac:dyDescent="0.2">
      <c r="A15360" s="258"/>
      <c r="Z15360" s="258"/>
    </row>
    <row r="15361" spans="1:26" ht="12.75" customHeight="1" x14ac:dyDescent="0.2">
      <c r="A15361" s="258"/>
      <c r="Z15361" s="258"/>
    </row>
    <row r="15362" spans="1:26" ht="12.75" customHeight="1" x14ac:dyDescent="0.2">
      <c r="A15362" s="258"/>
      <c r="Z15362" s="258"/>
    </row>
    <row r="15363" spans="1:26" ht="12.75" customHeight="1" x14ac:dyDescent="0.2">
      <c r="A15363" s="258"/>
      <c r="Z15363" s="258"/>
    </row>
    <row r="15364" spans="1:26" ht="12.75" customHeight="1" x14ac:dyDescent="0.2">
      <c r="A15364" s="258"/>
      <c r="Z15364" s="258"/>
    </row>
    <row r="15365" spans="1:26" ht="12.75" customHeight="1" x14ac:dyDescent="0.2">
      <c r="A15365" s="258"/>
      <c r="Z15365" s="258"/>
    </row>
    <row r="15366" spans="1:26" ht="12.75" customHeight="1" x14ac:dyDescent="0.2">
      <c r="A15366" s="258"/>
      <c r="Z15366" s="258"/>
    </row>
    <row r="15367" spans="1:26" ht="12.75" customHeight="1" x14ac:dyDescent="0.2">
      <c r="A15367" s="258"/>
      <c r="Z15367" s="258"/>
    </row>
    <row r="15368" spans="1:26" ht="12.75" customHeight="1" x14ac:dyDescent="0.2">
      <c r="A15368" s="258"/>
      <c r="Z15368" s="258"/>
    </row>
    <row r="15369" spans="1:26" ht="12.75" customHeight="1" x14ac:dyDescent="0.2">
      <c r="A15369" s="258"/>
      <c r="Z15369" s="258"/>
    </row>
    <row r="15370" spans="1:26" ht="12.75" customHeight="1" x14ac:dyDescent="0.2">
      <c r="A15370" s="258"/>
      <c r="Z15370" s="258"/>
    </row>
    <row r="15371" spans="1:26" ht="12.75" customHeight="1" x14ac:dyDescent="0.2">
      <c r="A15371" s="258"/>
      <c r="Z15371" s="258"/>
    </row>
    <row r="15372" spans="1:26" ht="12.75" customHeight="1" x14ac:dyDescent="0.2">
      <c r="A15372" s="258"/>
      <c r="Z15372" s="258"/>
    </row>
    <row r="15373" spans="1:26" ht="12.75" customHeight="1" x14ac:dyDescent="0.2">
      <c r="A15373" s="258"/>
      <c r="Z15373" s="258"/>
    </row>
    <row r="15374" spans="1:26" ht="12.75" customHeight="1" x14ac:dyDescent="0.2">
      <c r="A15374" s="258"/>
      <c r="Z15374" s="258"/>
    </row>
    <row r="15375" spans="1:26" ht="12.75" customHeight="1" x14ac:dyDescent="0.2">
      <c r="A15375" s="258"/>
      <c r="Z15375" s="258"/>
    </row>
    <row r="15376" spans="1:26" ht="12.75" customHeight="1" x14ac:dyDescent="0.2">
      <c r="A15376" s="258"/>
      <c r="Z15376" s="258"/>
    </row>
    <row r="15377" spans="1:26" ht="12.75" customHeight="1" x14ac:dyDescent="0.2">
      <c r="A15377" s="258"/>
      <c r="Z15377" s="258"/>
    </row>
    <row r="15378" spans="1:26" ht="12.75" customHeight="1" x14ac:dyDescent="0.2">
      <c r="A15378" s="258"/>
      <c r="Z15378" s="258"/>
    </row>
    <row r="15379" spans="1:26" ht="12.75" customHeight="1" x14ac:dyDescent="0.2">
      <c r="A15379" s="258"/>
      <c r="Z15379" s="258"/>
    </row>
    <row r="15380" spans="1:26" ht="12.75" customHeight="1" x14ac:dyDescent="0.2">
      <c r="A15380" s="258"/>
      <c r="Z15380" s="258"/>
    </row>
    <row r="15381" spans="1:26" ht="12.75" customHeight="1" x14ac:dyDescent="0.2">
      <c r="A15381" s="258"/>
      <c r="Z15381" s="258"/>
    </row>
    <row r="15382" spans="1:26" ht="12.75" customHeight="1" x14ac:dyDescent="0.2">
      <c r="A15382" s="258"/>
      <c r="Z15382" s="258"/>
    </row>
    <row r="15383" spans="1:26" ht="12.75" customHeight="1" x14ac:dyDescent="0.2">
      <c r="A15383" s="258"/>
      <c r="Z15383" s="258"/>
    </row>
    <row r="15384" spans="1:26" ht="12.75" customHeight="1" x14ac:dyDescent="0.2">
      <c r="A15384" s="258"/>
      <c r="Z15384" s="258"/>
    </row>
    <row r="15385" spans="1:26" ht="12.75" customHeight="1" x14ac:dyDescent="0.2">
      <c r="A15385" s="258"/>
      <c r="Z15385" s="258"/>
    </row>
    <row r="15386" spans="1:26" ht="12.75" customHeight="1" x14ac:dyDescent="0.2">
      <c r="A15386" s="258"/>
      <c r="Z15386" s="258"/>
    </row>
    <row r="15387" spans="1:26" ht="12.75" customHeight="1" x14ac:dyDescent="0.2">
      <c r="A15387" s="258"/>
      <c r="Z15387" s="258"/>
    </row>
    <row r="15388" spans="1:26" ht="12.75" customHeight="1" x14ac:dyDescent="0.2">
      <c r="A15388" s="258"/>
      <c r="Z15388" s="258"/>
    </row>
    <row r="15389" spans="1:26" ht="12.75" customHeight="1" x14ac:dyDescent="0.2">
      <c r="A15389" s="258"/>
      <c r="Z15389" s="258"/>
    </row>
    <row r="15390" spans="1:26" ht="12.75" customHeight="1" x14ac:dyDescent="0.2">
      <c r="A15390" s="258"/>
      <c r="Z15390" s="258"/>
    </row>
    <row r="15391" spans="1:26" ht="12.75" customHeight="1" x14ac:dyDescent="0.2">
      <c r="A15391" s="258"/>
      <c r="Z15391" s="258"/>
    </row>
    <row r="15392" spans="1:26" ht="12.75" customHeight="1" x14ac:dyDescent="0.2">
      <c r="A15392" s="258"/>
      <c r="Z15392" s="258"/>
    </row>
    <row r="15393" spans="1:26" ht="12.75" customHeight="1" x14ac:dyDescent="0.2">
      <c r="A15393" s="258"/>
      <c r="Z15393" s="258"/>
    </row>
    <row r="15394" spans="1:26" ht="12.75" customHeight="1" x14ac:dyDescent="0.2">
      <c r="A15394" s="258"/>
      <c r="Z15394" s="258"/>
    </row>
    <row r="15395" spans="1:26" ht="12.75" customHeight="1" x14ac:dyDescent="0.2">
      <c r="A15395" s="258"/>
      <c r="Z15395" s="258"/>
    </row>
    <row r="15396" spans="1:26" ht="12.75" customHeight="1" x14ac:dyDescent="0.2">
      <c r="A15396" s="258"/>
      <c r="Z15396" s="258"/>
    </row>
    <row r="15397" spans="1:26" ht="12.75" customHeight="1" x14ac:dyDescent="0.2">
      <c r="A15397" s="258"/>
      <c r="Z15397" s="258"/>
    </row>
    <row r="15398" spans="1:26" ht="12.75" customHeight="1" x14ac:dyDescent="0.2">
      <c r="A15398" s="258"/>
      <c r="Z15398" s="258"/>
    </row>
    <row r="15399" spans="1:26" ht="12.75" customHeight="1" x14ac:dyDescent="0.2">
      <c r="A15399" s="258"/>
      <c r="Z15399" s="258"/>
    </row>
    <row r="15400" spans="1:26" ht="12.75" customHeight="1" x14ac:dyDescent="0.2">
      <c r="A15400" s="258"/>
      <c r="Z15400" s="258"/>
    </row>
    <row r="15401" spans="1:26" ht="12.75" customHeight="1" x14ac:dyDescent="0.2">
      <c r="A15401" s="258"/>
      <c r="Z15401" s="258"/>
    </row>
    <row r="15402" spans="1:26" ht="12.75" customHeight="1" x14ac:dyDescent="0.2">
      <c r="A15402" s="258"/>
      <c r="Z15402" s="258"/>
    </row>
    <row r="15403" spans="1:26" ht="12.75" customHeight="1" x14ac:dyDescent="0.2">
      <c r="A15403" s="258"/>
      <c r="Z15403" s="258"/>
    </row>
    <row r="15404" spans="1:26" ht="12.75" customHeight="1" x14ac:dyDescent="0.2">
      <c r="A15404" s="258"/>
      <c r="Z15404" s="258"/>
    </row>
    <row r="15405" spans="1:26" ht="12.75" customHeight="1" x14ac:dyDescent="0.2">
      <c r="A15405" s="258"/>
      <c r="Z15405" s="258"/>
    </row>
    <row r="15406" spans="1:26" ht="12.75" customHeight="1" x14ac:dyDescent="0.2">
      <c r="A15406" s="258"/>
      <c r="Z15406" s="258"/>
    </row>
    <row r="15407" spans="1:26" ht="12.75" customHeight="1" x14ac:dyDescent="0.2">
      <c r="A15407" s="258"/>
      <c r="Z15407" s="258"/>
    </row>
    <row r="15408" spans="1:26" ht="12.75" customHeight="1" x14ac:dyDescent="0.2">
      <c r="A15408" s="258"/>
      <c r="Z15408" s="258"/>
    </row>
    <row r="15409" spans="1:26" ht="12.75" customHeight="1" x14ac:dyDescent="0.2">
      <c r="A15409" s="258"/>
      <c r="Z15409" s="258"/>
    </row>
    <row r="15410" spans="1:26" ht="12.75" customHeight="1" x14ac:dyDescent="0.2">
      <c r="A15410" s="258"/>
      <c r="Z15410" s="258"/>
    </row>
    <row r="15411" spans="1:26" ht="12.75" customHeight="1" x14ac:dyDescent="0.2">
      <c r="A15411" s="258"/>
      <c r="Z15411" s="258"/>
    </row>
    <row r="15412" spans="1:26" ht="12.75" customHeight="1" x14ac:dyDescent="0.2">
      <c r="A15412" s="258"/>
      <c r="Z15412" s="258"/>
    </row>
    <row r="15413" spans="1:26" ht="12.75" customHeight="1" x14ac:dyDescent="0.2">
      <c r="A15413" s="258"/>
      <c r="Z15413" s="258"/>
    </row>
    <row r="15414" spans="1:26" ht="12.75" customHeight="1" x14ac:dyDescent="0.2">
      <c r="A15414" s="258"/>
      <c r="Z15414" s="258"/>
    </row>
    <row r="15415" spans="1:26" ht="12.75" customHeight="1" x14ac:dyDescent="0.2">
      <c r="A15415" s="258"/>
      <c r="Z15415" s="258"/>
    </row>
    <row r="15416" spans="1:26" ht="12.75" customHeight="1" x14ac:dyDescent="0.2">
      <c r="A15416" s="258"/>
      <c r="Z15416" s="258"/>
    </row>
    <row r="15417" spans="1:26" ht="12.75" customHeight="1" x14ac:dyDescent="0.2">
      <c r="A15417" s="258"/>
      <c r="Z15417" s="258"/>
    </row>
    <row r="15418" spans="1:26" ht="12.75" customHeight="1" x14ac:dyDescent="0.2">
      <c r="A15418" s="258"/>
      <c r="Z15418" s="258"/>
    </row>
    <row r="15419" spans="1:26" ht="12.75" customHeight="1" x14ac:dyDescent="0.2">
      <c r="A15419" s="258"/>
      <c r="Z15419" s="258"/>
    </row>
    <row r="15420" spans="1:26" ht="12.75" customHeight="1" x14ac:dyDescent="0.2">
      <c r="A15420" s="258"/>
      <c r="Z15420" s="258"/>
    </row>
    <row r="15421" spans="1:26" ht="12.75" customHeight="1" x14ac:dyDescent="0.2">
      <c r="A15421" s="258"/>
      <c r="Z15421" s="258"/>
    </row>
    <row r="15422" spans="1:26" ht="12.75" customHeight="1" x14ac:dyDescent="0.2">
      <c r="A15422" s="258"/>
      <c r="Z15422" s="258"/>
    </row>
    <row r="15423" spans="1:26" ht="12.75" customHeight="1" x14ac:dyDescent="0.2">
      <c r="A15423" s="258"/>
      <c r="Z15423" s="258"/>
    </row>
    <row r="15424" spans="1:26" ht="12.75" customHeight="1" x14ac:dyDescent="0.2">
      <c r="A15424" s="258"/>
      <c r="Z15424" s="258"/>
    </row>
    <row r="15425" spans="1:26" ht="12.75" customHeight="1" x14ac:dyDescent="0.2">
      <c r="A15425" s="258"/>
      <c r="Z15425" s="258"/>
    </row>
    <row r="15426" spans="1:26" ht="12.75" customHeight="1" x14ac:dyDescent="0.2">
      <c r="A15426" s="258"/>
      <c r="Z15426" s="258"/>
    </row>
    <row r="15427" spans="1:26" ht="12.75" customHeight="1" x14ac:dyDescent="0.2">
      <c r="A15427" s="258"/>
      <c r="Z15427" s="258"/>
    </row>
    <row r="15428" spans="1:26" ht="12.75" customHeight="1" x14ac:dyDescent="0.2">
      <c r="A15428" s="258"/>
      <c r="Z15428" s="258"/>
    </row>
    <row r="15429" spans="1:26" ht="12.75" customHeight="1" x14ac:dyDescent="0.2">
      <c r="A15429" s="258"/>
      <c r="Z15429" s="258"/>
    </row>
    <row r="15430" spans="1:26" ht="12.75" customHeight="1" x14ac:dyDescent="0.2">
      <c r="A15430" s="258"/>
      <c r="Z15430" s="258"/>
    </row>
    <row r="15431" spans="1:26" ht="12.75" customHeight="1" x14ac:dyDescent="0.2">
      <c r="A15431" s="258"/>
      <c r="Z15431" s="258"/>
    </row>
    <row r="15432" spans="1:26" ht="12.75" customHeight="1" x14ac:dyDescent="0.2">
      <c r="A15432" s="258"/>
      <c r="Z15432" s="258"/>
    </row>
    <row r="15433" spans="1:26" ht="12.75" customHeight="1" x14ac:dyDescent="0.2">
      <c r="A15433" s="258"/>
      <c r="Z15433" s="258"/>
    </row>
    <row r="15434" spans="1:26" ht="12.75" customHeight="1" x14ac:dyDescent="0.2">
      <c r="A15434" s="258"/>
      <c r="Z15434" s="258"/>
    </row>
    <row r="15435" spans="1:26" ht="12.75" customHeight="1" x14ac:dyDescent="0.2">
      <c r="A15435" s="258"/>
      <c r="Z15435" s="258"/>
    </row>
    <row r="15436" spans="1:26" ht="12.75" customHeight="1" x14ac:dyDescent="0.2">
      <c r="A15436" s="258"/>
      <c r="Z15436" s="258"/>
    </row>
    <row r="15437" spans="1:26" ht="12.75" customHeight="1" x14ac:dyDescent="0.2">
      <c r="A15437" s="258"/>
      <c r="Z15437" s="258"/>
    </row>
    <row r="15438" spans="1:26" ht="12.75" customHeight="1" x14ac:dyDescent="0.2">
      <c r="A15438" s="258"/>
      <c r="Z15438" s="258"/>
    </row>
    <row r="15439" spans="1:26" ht="12.75" customHeight="1" x14ac:dyDescent="0.2">
      <c r="A15439" s="258"/>
      <c r="Z15439" s="258"/>
    </row>
    <row r="15440" spans="1:26" ht="12.75" customHeight="1" x14ac:dyDescent="0.2">
      <c r="A15440" s="258"/>
      <c r="Z15440" s="258"/>
    </row>
    <row r="15441" spans="1:26" ht="12.75" customHeight="1" x14ac:dyDescent="0.2">
      <c r="A15441" s="258"/>
      <c r="Z15441" s="258"/>
    </row>
    <row r="15442" spans="1:26" ht="12.75" customHeight="1" x14ac:dyDescent="0.2">
      <c r="A15442" s="258"/>
      <c r="Z15442" s="258"/>
    </row>
    <row r="15443" spans="1:26" ht="12.75" customHeight="1" x14ac:dyDescent="0.2">
      <c r="A15443" s="258"/>
      <c r="Z15443" s="258"/>
    </row>
    <row r="15444" spans="1:26" ht="12.75" customHeight="1" x14ac:dyDescent="0.2">
      <c r="A15444" s="258"/>
      <c r="Z15444" s="258"/>
    </row>
    <row r="15445" spans="1:26" ht="12.75" customHeight="1" x14ac:dyDescent="0.2">
      <c r="A15445" s="258"/>
      <c r="Z15445" s="258"/>
    </row>
    <row r="15446" spans="1:26" ht="12.75" customHeight="1" x14ac:dyDescent="0.2">
      <c r="A15446" s="258"/>
      <c r="Z15446" s="258"/>
    </row>
    <row r="15447" spans="1:26" ht="12.75" customHeight="1" x14ac:dyDescent="0.2">
      <c r="A15447" s="258"/>
      <c r="Z15447" s="258"/>
    </row>
    <row r="15448" spans="1:26" ht="12.75" customHeight="1" x14ac:dyDescent="0.2">
      <c r="A15448" s="258"/>
      <c r="Z15448" s="258"/>
    </row>
    <row r="15449" spans="1:26" ht="12.75" customHeight="1" x14ac:dyDescent="0.2">
      <c r="A15449" s="258"/>
      <c r="Z15449" s="258"/>
    </row>
    <row r="15450" spans="1:26" ht="12.75" customHeight="1" x14ac:dyDescent="0.2">
      <c r="A15450" s="258"/>
      <c r="Z15450" s="258"/>
    </row>
    <row r="15451" spans="1:26" ht="12.75" customHeight="1" x14ac:dyDescent="0.2">
      <c r="A15451" s="258"/>
      <c r="Z15451" s="258"/>
    </row>
    <row r="15452" spans="1:26" ht="12.75" customHeight="1" x14ac:dyDescent="0.2">
      <c r="A15452" s="258"/>
      <c r="Z15452" s="258"/>
    </row>
    <row r="15453" spans="1:26" ht="12.75" customHeight="1" x14ac:dyDescent="0.2">
      <c r="A15453" s="258"/>
      <c r="Z15453" s="258"/>
    </row>
    <row r="15454" spans="1:26" ht="12.75" customHeight="1" x14ac:dyDescent="0.2">
      <c r="A15454" s="258"/>
      <c r="Z15454" s="258"/>
    </row>
    <row r="15455" spans="1:26" ht="12.75" customHeight="1" x14ac:dyDescent="0.2">
      <c r="A15455" s="258"/>
      <c r="Z15455" s="258"/>
    </row>
    <row r="15456" spans="1:26" ht="12.75" customHeight="1" x14ac:dyDescent="0.2">
      <c r="A15456" s="258"/>
      <c r="Z15456" s="258"/>
    </row>
    <row r="15457" spans="1:26" ht="12.75" customHeight="1" x14ac:dyDescent="0.2">
      <c r="A15457" s="258"/>
      <c r="Z15457" s="258"/>
    </row>
    <row r="15458" spans="1:26" ht="12.75" customHeight="1" x14ac:dyDescent="0.2">
      <c r="A15458" s="258"/>
      <c r="Z15458" s="258"/>
    </row>
    <row r="15459" spans="1:26" ht="12.75" customHeight="1" x14ac:dyDescent="0.2">
      <c r="A15459" s="258"/>
      <c r="Z15459" s="258"/>
    </row>
    <row r="15460" spans="1:26" ht="12.75" customHeight="1" x14ac:dyDescent="0.2">
      <c r="A15460" s="258"/>
      <c r="Z15460" s="258"/>
    </row>
    <row r="15461" spans="1:26" ht="12.75" customHeight="1" x14ac:dyDescent="0.2">
      <c r="A15461" s="258"/>
      <c r="Z15461" s="258"/>
    </row>
    <row r="15462" spans="1:26" ht="12.75" customHeight="1" x14ac:dyDescent="0.2">
      <c r="A15462" s="258"/>
      <c r="Z15462" s="258"/>
    </row>
    <row r="15463" spans="1:26" ht="12.75" customHeight="1" x14ac:dyDescent="0.2">
      <c r="A15463" s="258"/>
      <c r="Z15463" s="258"/>
    </row>
    <row r="15464" spans="1:26" ht="12.75" customHeight="1" x14ac:dyDescent="0.2">
      <c r="A15464" s="258"/>
      <c r="Z15464" s="258"/>
    </row>
    <row r="15465" spans="1:26" ht="12.75" customHeight="1" x14ac:dyDescent="0.2">
      <c r="A15465" s="258"/>
      <c r="Z15465" s="258"/>
    </row>
    <row r="15466" spans="1:26" ht="12.75" customHeight="1" x14ac:dyDescent="0.2">
      <c r="A15466" s="258"/>
      <c r="Z15466" s="258"/>
    </row>
    <row r="15467" spans="1:26" ht="12.75" customHeight="1" x14ac:dyDescent="0.2">
      <c r="A15467" s="258"/>
      <c r="Z15467" s="258"/>
    </row>
    <row r="15468" spans="1:26" ht="12.75" customHeight="1" x14ac:dyDescent="0.2">
      <c r="A15468" s="258"/>
      <c r="Z15468" s="258"/>
    </row>
    <row r="15469" spans="1:26" ht="12.75" customHeight="1" x14ac:dyDescent="0.2">
      <c r="A15469" s="258"/>
      <c r="Z15469" s="258"/>
    </row>
    <row r="15470" spans="1:26" ht="12.75" customHeight="1" x14ac:dyDescent="0.2">
      <c r="A15470" s="258"/>
      <c r="Z15470" s="258"/>
    </row>
    <row r="15471" spans="1:26" ht="12.75" customHeight="1" x14ac:dyDescent="0.2">
      <c r="A15471" s="258"/>
      <c r="Z15471" s="258"/>
    </row>
    <row r="15472" spans="1:26" ht="12.75" customHeight="1" x14ac:dyDescent="0.2">
      <c r="A15472" s="258"/>
      <c r="Z15472" s="258"/>
    </row>
    <row r="15473" spans="1:26" ht="12.75" customHeight="1" x14ac:dyDescent="0.2">
      <c r="A15473" s="258"/>
      <c r="Z15473" s="258"/>
    </row>
    <row r="15474" spans="1:26" ht="12.75" customHeight="1" x14ac:dyDescent="0.2">
      <c r="A15474" s="258"/>
      <c r="Z15474" s="258"/>
    </row>
    <row r="15475" spans="1:26" ht="12.75" customHeight="1" x14ac:dyDescent="0.2">
      <c r="A15475" s="258"/>
      <c r="Z15475" s="258"/>
    </row>
    <row r="15476" spans="1:26" ht="12.75" customHeight="1" x14ac:dyDescent="0.2">
      <c r="A15476" s="258"/>
      <c r="Z15476" s="258"/>
    </row>
    <row r="15477" spans="1:26" ht="12.75" customHeight="1" x14ac:dyDescent="0.2">
      <c r="A15477" s="258"/>
      <c r="Z15477" s="258"/>
    </row>
    <row r="15478" spans="1:26" ht="12.75" customHeight="1" x14ac:dyDescent="0.2">
      <c r="A15478" s="258"/>
      <c r="Z15478" s="258"/>
    </row>
    <row r="15479" spans="1:26" ht="12.75" customHeight="1" x14ac:dyDescent="0.2">
      <c r="A15479" s="258"/>
      <c r="Z15479" s="258"/>
    </row>
    <row r="15480" spans="1:26" ht="12.75" customHeight="1" x14ac:dyDescent="0.2">
      <c r="A15480" s="258"/>
      <c r="Z15480" s="258"/>
    </row>
    <row r="15481" spans="1:26" ht="12.75" customHeight="1" x14ac:dyDescent="0.2">
      <c r="A15481" s="258"/>
      <c r="Z15481" s="258"/>
    </row>
    <row r="15482" spans="1:26" ht="12.75" customHeight="1" x14ac:dyDescent="0.2">
      <c r="A15482" s="258"/>
      <c r="Z15482" s="258"/>
    </row>
    <row r="15483" spans="1:26" ht="12.75" customHeight="1" x14ac:dyDescent="0.2">
      <c r="A15483" s="258"/>
      <c r="Z15483" s="258"/>
    </row>
    <row r="15484" spans="1:26" ht="12.75" customHeight="1" x14ac:dyDescent="0.2">
      <c r="A15484" s="258"/>
      <c r="Z15484" s="258"/>
    </row>
    <row r="15485" spans="1:26" ht="12.75" customHeight="1" x14ac:dyDescent="0.2">
      <c r="A15485" s="258"/>
      <c r="Z15485" s="258"/>
    </row>
    <row r="15486" spans="1:26" ht="12.75" customHeight="1" x14ac:dyDescent="0.2">
      <c r="A15486" s="258"/>
      <c r="Z15486" s="258"/>
    </row>
    <row r="15487" spans="1:26" ht="12.75" customHeight="1" x14ac:dyDescent="0.2">
      <c r="A15487" s="258"/>
      <c r="Z15487" s="258"/>
    </row>
    <row r="15488" spans="1:26" ht="12.75" customHeight="1" x14ac:dyDescent="0.2">
      <c r="A15488" s="258"/>
      <c r="Z15488" s="258"/>
    </row>
    <row r="15489" spans="1:26" ht="12.75" customHeight="1" x14ac:dyDescent="0.2">
      <c r="A15489" s="258"/>
      <c r="Z15489" s="258"/>
    </row>
    <row r="15490" spans="1:26" ht="12.75" customHeight="1" x14ac:dyDescent="0.2">
      <c r="A15490" s="258"/>
      <c r="Z15490" s="258"/>
    </row>
    <row r="15491" spans="1:26" ht="12.75" customHeight="1" x14ac:dyDescent="0.2">
      <c r="A15491" s="258"/>
      <c r="Z15491" s="258"/>
    </row>
    <row r="15492" spans="1:26" ht="12.75" customHeight="1" x14ac:dyDescent="0.2">
      <c r="A15492" s="258"/>
      <c r="Z15492" s="258"/>
    </row>
    <row r="15493" spans="1:26" ht="12.75" customHeight="1" x14ac:dyDescent="0.2">
      <c r="A15493" s="258"/>
      <c r="Z15493" s="258"/>
    </row>
    <row r="15494" spans="1:26" ht="12.75" customHeight="1" x14ac:dyDescent="0.2">
      <c r="A15494" s="258"/>
      <c r="Z15494" s="258"/>
    </row>
    <row r="15495" spans="1:26" ht="12.75" customHeight="1" x14ac:dyDescent="0.2">
      <c r="A15495" s="258"/>
      <c r="Z15495" s="258"/>
    </row>
    <row r="15496" spans="1:26" ht="12.75" customHeight="1" x14ac:dyDescent="0.2">
      <c r="A15496" s="258"/>
      <c r="Z15496" s="258"/>
    </row>
    <row r="15497" spans="1:26" ht="12.75" customHeight="1" x14ac:dyDescent="0.2">
      <c r="A15497" s="258"/>
      <c r="Z15497" s="258"/>
    </row>
    <row r="15498" spans="1:26" ht="12.75" customHeight="1" x14ac:dyDescent="0.2">
      <c r="A15498" s="258"/>
      <c r="Z15498" s="258"/>
    </row>
    <row r="15499" spans="1:26" ht="12.75" customHeight="1" x14ac:dyDescent="0.2">
      <c r="A15499" s="258"/>
      <c r="Z15499" s="258"/>
    </row>
    <row r="15500" spans="1:26" ht="12.75" customHeight="1" x14ac:dyDescent="0.2">
      <c r="A15500" s="258"/>
      <c r="Z15500" s="258"/>
    </row>
    <row r="15501" spans="1:26" ht="12.75" customHeight="1" x14ac:dyDescent="0.2">
      <c r="A15501" s="258"/>
      <c r="Z15501" s="258"/>
    </row>
    <row r="15502" spans="1:26" ht="12.75" customHeight="1" x14ac:dyDescent="0.2">
      <c r="A15502" s="258"/>
      <c r="Z15502" s="258"/>
    </row>
    <row r="15503" spans="1:26" ht="12.75" customHeight="1" x14ac:dyDescent="0.2">
      <c r="A15503" s="258"/>
      <c r="Z15503" s="258"/>
    </row>
    <row r="15504" spans="1:26" ht="12.75" customHeight="1" x14ac:dyDescent="0.2">
      <c r="A15504" s="258"/>
      <c r="Z15504" s="258"/>
    </row>
    <row r="15505" spans="1:26" ht="12.75" customHeight="1" x14ac:dyDescent="0.2">
      <c r="A15505" s="258"/>
      <c r="Z15505" s="258"/>
    </row>
    <row r="15506" spans="1:26" ht="12.75" customHeight="1" x14ac:dyDescent="0.2">
      <c r="A15506" s="258"/>
      <c r="Z15506" s="258"/>
    </row>
    <row r="15507" spans="1:26" ht="12.75" customHeight="1" x14ac:dyDescent="0.2">
      <c r="A15507" s="258"/>
      <c r="Z15507" s="258"/>
    </row>
    <row r="15508" spans="1:26" ht="12.75" customHeight="1" x14ac:dyDescent="0.2">
      <c r="A15508" s="258"/>
      <c r="Z15508" s="258"/>
    </row>
    <row r="15509" spans="1:26" ht="12.75" customHeight="1" x14ac:dyDescent="0.2">
      <c r="A15509" s="258"/>
      <c r="Z15509" s="258"/>
    </row>
    <row r="15510" spans="1:26" ht="12.75" customHeight="1" x14ac:dyDescent="0.2">
      <c r="A15510" s="258"/>
      <c r="Z15510" s="258"/>
    </row>
    <row r="15511" spans="1:26" ht="12.75" customHeight="1" x14ac:dyDescent="0.2">
      <c r="A15511" s="258"/>
      <c r="Z15511" s="258"/>
    </row>
    <row r="15512" spans="1:26" ht="12.75" customHeight="1" x14ac:dyDescent="0.2">
      <c r="A15512" s="258"/>
      <c r="Z15512" s="258"/>
    </row>
    <row r="15513" spans="1:26" ht="12.75" customHeight="1" x14ac:dyDescent="0.2">
      <c r="A15513" s="258"/>
      <c r="Z15513" s="258"/>
    </row>
    <row r="15514" spans="1:26" ht="12.75" customHeight="1" x14ac:dyDescent="0.2">
      <c r="A15514" s="258"/>
      <c r="Z15514" s="258"/>
    </row>
    <row r="15515" spans="1:26" ht="12.75" customHeight="1" x14ac:dyDescent="0.2">
      <c r="A15515" s="258"/>
      <c r="Z15515" s="258"/>
    </row>
    <row r="15516" spans="1:26" ht="12.75" customHeight="1" x14ac:dyDescent="0.2">
      <c r="A15516" s="258"/>
      <c r="Z15516" s="258"/>
    </row>
    <row r="15517" spans="1:26" ht="12.75" customHeight="1" x14ac:dyDescent="0.2">
      <c r="A15517" s="258"/>
      <c r="Z15517" s="258"/>
    </row>
    <row r="15518" spans="1:26" ht="12.75" customHeight="1" x14ac:dyDescent="0.2">
      <c r="A15518" s="258"/>
      <c r="Z15518" s="258"/>
    </row>
    <row r="15519" spans="1:26" ht="12.75" customHeight="1" x14ac:dyDescent="0.2">
      <c r="A15519" s="258"/>
      <c r="Z15519" s="258"/>
    </row>
    <row r="15520" spans="1:26" ht="12.75" customHeight="1" x14ac:dyDescent="0.2">
      <c r="A15520" s="258"/>
      <c r="Z15520" s="258"/>
    </row>
    <row r="15521" spans="1:26" ht="12.75" customHeight="1" x14ac:dyDescent="0.2">
      <c r="A15521" s="258"/>
      <c r="Z15521" s="258"/>
    </row>
    <row r="15522" spans="1:26" ht="12.75" customHeight="1" x14ac:dyDescent="0.2">
      <c r="A15522" s="258"/>
      <c r="Z15522" s="258"/>
    </row>
    <row r="15523" spans="1:26" ht="12.75" customHeight="1" x14ac:dyDescent="0.2">
      <c r="A15523" s="258"/>
      <c r="Z15523" s="258"/>
    </row>
    <row r="15524" spans="1:26" ht="12.75" customHeight="1" x14ac:dyDescent="0.2">
      <c r="A15524" s="258"/>
      <c r="Z15524" s="258"/>
    </row>
    <row r="15525" spans="1:26" ht="12.75" customHeight="1" x14ac:dyDescent="0.2">
      <c r="A15525" s="258"/>
      <c r="Z15525" s="258"/>
    </row>
    <row r="15526" spans="1:26" ht="12.75" customHeight="1" x14ac:dyDescent="0.2">
      <c r="A15526" s="258"/>
      <c r="Z15526" s="258"/>
    </row>
    <row r="15527" spans="1:26" ht="12.75" customHeight="1" x14ac:dyDescent="0.2">
      <c r="A15527" s="258"/>
      <c r="Z15527" s="258"/>
    </row>
    <row r="15528" spans="1:26" ht="12.75" customHeight="1" x14ac:dyDescent="0.2">
      <c r="A15528" s="258"/>
      <c r="Z15528" s="258"/>
    </row>
    <row r="15529" spans="1:26" ht="12.75" customHeight="1" x14ac:dyDescent="0.2">
      <c r="A15529" s="258"/>
      <c r="Z15529" s="258"/>
    </row>
    <row r="15530" spans="1:26" ht="12.75" customHeight="1" x14ac:dyDescent="0.2">
      <c r="A15530" s="258"/>
      <c r="Z15530" s="258"/>
    </row>
    <row r="15531" spans="1:26" ht="12.75" customHeight="1" x14ac:dyDescent="0.2">
      <c r="A15531" s="258"/>
      <c r="Z15531" s="258"/>
    </row>
    <row r="15532" spans="1:26" ht="12.75" customHeight="1" x14ac:dyDescent="0.2">
      <c r="A15532" s="258"/>
      <c r="Z15532" s="258"/>
    </row>
    <row r="15533" spans="1:26" ht="12.75" customHeight="1" x14ac:dyDescent="0.2">
      <c r="A15533" s="258"/>
      <c r="Z15533" s="258"/>
    </row>
    <row r="15534" spans="1:26" ht="12.75" customHeight="1" x14ac:dyDescent="0.2">
      <c r="A15534" s="258"/>
      <c r="Z15534" s="258"/>
    </row>
    <row r="15535" spans="1:26" ht="12.75" customHeight="1" x14ac:dyDescent="0.2">
      <c r="A15535" s="258"/>
      <c r="Z15535" s="258"/>
    </row>
    <row r="15536" spans="1:26" ht="12.75" customHeight="1" x14ac:dyDescent="0.2">
      <c r="A15536" s="258"/>
      <c r="Z15536" s="258"/>
    </row>
    <row r="15537" spans="1:26" ht="12.75" customHeight="1" x14ac:dyDescent="0.2">
      <c r="A15537" s="258"/>
      <c r="Z15537" s="258"/>
    </row>
    <row r="15538" spans="1:26" ht="12.75" customHeight="1" x14ac:dyDescent="0.2">
      <c r="A15538" s="258"/>
      <c r="Z15538" s="258"/>
    </row>
    <row r="15539" spans="1:26" ht="12.75" customHeight="1" x14ac:dyDescent="0.2">
      <c r="A15539" s="258"/>
      <c r="Z15539" s="258"/>
    </row>
    <row r="15540" spans="1:26" ht="12.75" customHeight="1" x14ac:dyDescent="0.2">
      <c r="A15540" s="258"/>
      <c r="Z15540" s="258"/>
    </row>
    <row r="15541" spans="1:26" ht="12.75" customHeight="1" x14ac:dyDescent="0.2">
      <c r="A15541" s="258"/>
      <c r="Z15541" s="258"/>
    </row>
    <row r="15542" spans="1:26" ht="12.75" customHeight="1" x14ac:dyDescent="0.2">
      <c r="A15542" s="258"/>
      <c r="Z15542" s="258"/>
    </row>
    <row r="15543" spans="1:26" ht="12.75" customHeight="1" x14ac:dyDescent="0.2">
      <c r="A15543" s="258"/>
      <c r="Z15543" s="258"/>
    </row>
    <row r="15544" spans="1:26" ht="12.75" customHeight="1" x14ac:dyDescent="0.2">
      <c r="A15544" s="258"/>
      <c r="Z15544" s="258"/>
    </row>
    <row r="15545" spans="1:26" ht="12.75" customHeight="1" x14ac:dyDescent="0.2">
      <c r="A15545" s="258"/>
      <c r="Z15545" s="258"/>
    </row>
    <row r="15546" spans="1:26" ht="12.75" customHeight="1" x14ac:dyDescent="0.2">
      <c r="A15546" s="258"/>
      <c r="Z15546" s="258"/>
    </row>
    <row r="15547" spans="1:26" ht="12.75" customHeight="1" x14ac:dyDescent="0.2">
      <c r="A15547" s="258"/>
      <c r="Z15547" s="258"/>
    </row>
    <row r="15548" spans="1:26" ht="12.75" customHeight="1" x14ac:dyDescent="0.2">
      <c r="A15548" s="258"/>
      <c r="Z15548" s="258"/>
    </row>
    <row r="15549" spans="1:26" ht="12.75" customHeight="1" x14ac:dyDescent="0.2">
      <c r="A15549" s="258"/>
      <c r="Z15549" s="258"/>
    </row>
    <row r="15550" spans="1:26" ht="12.75" customHeight="1" x14ac:dyDescent="0.2">
      <c r="A15550" s="258"/>
      <c r="Z15550" s="258"/>
    </row>
    <row r="15551" spans="1:26" ht="12.75" customHeight="1" x14ac:dyDescent="0.2">
      <c r="A15551" s="258"/>
      <c r="Z15551" s="258"/>
    </row>
    <row r="15552" spans="1:26" ht="12.75" customHeight="1" x14ac:dyDescent="0.2">
      <c r="A15552" s="258"/>
      <c r="Z15552" s="258"/>
    </row>
    <row r="15553" spans="1:26" ht="12.75" customHeight="1" x14ac:dyDescent="0.2">
      <c r="A15553" s="258"/>
      <c r="Z15553" s="258"/>
    </row>
    <row r="15554" spans="1:26" ht="12.75" customHeight="1" x14ac:dyDescent="0.2">
      <c r="A15554" s="258"/>
      <c r="Z15554" s="258"/>
    </row>
    <row r="15555" spans="1:26" ht="12.75" customHeight="1" x14ac:dyDescent="0.2">
      <c r="A15555" s="258"/>
      <c r="Z15555" s="258"/>
    </row>
    <row r="15556" spans="1:26" ht="12.75" customHeight="1" x14ac:dyDescent="0.2">
      <c r="A15556" s="258"/>
      <c r="Z15556" s="258"/>
    </row>
    <row r="15557" spans="1:26" ht="12.75" customHeight="1" x14ac:dyDescent="0.2">
      <c r="A15557" s="258"/>
      <c r="Z15557" s="258"/>
    </row>
    <row r="15558" spans="1:26" ht="12.75" customHeight="1" x14ac:dyDescent="0.2">
      <c r="A15558" s="258"/>
      <c r="Z15558" s="258"/>
    </row>
    <row r="15559" spans="1:26" ht="12.75" customHeight="1" x14ac:dyDescent="0.2">
      <c r="A15559" s="258"/>
      <c r="Z15559" s="258"/>
    </row>
    <row r="15560" spans="1:26" ht="12.75" customHeight="1" x14ac:dyDescent="0.2">
      <c r="A15560" s="258"/>
      <c r="Z15560" s="258"/>
    </row>
    <row r="15561" spans="1:26" ht="12.75" customHeight="1" x14ac:dyDescent="0.2">
      <c r="A15561" s="258"/>
      <c r="Z15561" s="258"/>
    </row>
    <row r="15562" spans="1:26" ht="12.75" customHeight="1" x14ac:dyDescent="0.2">
      <c r="A15562" s="258"/>
      <c r="Z15562" s="258"/>
    </row>
    <row r="15563" spans="1:26" ht="12.75" customHeight="1" x14ac:dyDescent="0.2">
      <c r="A15563" s="258"/>
      <c r="Z15563" s="258"/>
    </row>
    <row r="15564" spans="1:26" ht="12.75" customHeight="1" x14ac:dyDescent="0.2">
      <c r="A15564" s="258"/>
      <c r="Z15564" s="258"/>
    </row>
    <row r="15565" spans="1:26" ht="12.75" customHeight="1" x14ac:dyDescent="0.2">
      <c r="A15565" s="258"/>
      <c r="Z15565" s="258"/>
    </row>
    <row r="15566" spans="1:26" ht="12.75" customHeight="1" x14ac:dyDescent="0.2">
      <c r="A15566" s="258"/>
      <c r="Z15566" s="258"/>
    </row>
    <row r="15567" spans="1:26" ht="12.75" customHeight="1" x14ac:dyDescent="0.2">
      <c r="A15567" s="258"/>
      <c r="Z15567" s="258"/>
    </row>
    <row r="15568" spans="1:26" ht="12.75" customHeight="1" x14ac:dyDescent="0.2">
      <c r="A15568" s="258"/>
      <c r="Z15568" s="258"/>
    </row>
    <row r="15569" spans="1:26" ht="12.75" customHeight="1" x14ac:dyDescent="0.2">
      <c r="A15569" s="258"/>
      <c r="Z15569" s="258"/>
    </row>
    <row r="15570" spans="1:26" ht="12.75" customHeight="1" x14ac:dyDescent="0.2">
      <c r="A15570" s="258"/>
      <c r="Z15570" s="258"/>
    </row>
    <row r="15571" spans="1:26" ht="12.75" customHeight="1" x14ac:dyDescent="0.2">
      <c r="A15571" s="258"/>
      <c r="Z15571" s="258"/>
    </row>
    <row r="15572" spans="1:26" ht="12.75" customHeight="1" x14ac:dyDescent="0.2">
      <c r="A15572" s="258"/>
      <c r="Z15572" s="258"/>
    </row>
    <row r="15573" spans="1:26" ht="12.75" customHeight="1" x14ac:dyDescent="0.2">
      <c r="A15573" s="258"/>
      <c r="Z15573" s="258"/>
    </row>
    <row r="15574" spans="1:26" ht="12.75" customHeight="1" x14ac:dyDescent="0.2">
      <c r="A15574" s="258"/>
      <c r="Z15574" s="258"/>
    </row>
    <row r="15575" spans="1:26" ht="12.75" customHeight="1" x14ac:dyDescent="0.2">
      <c r="A15575" s="258"/>
      <c r="Z15575" s="258"/>
    </row>
    <row r="15576" spans="1:26" ht="12.75" customHeight="1" x14ac:dyDescent="0.2">
      <c r="A15576" s="258"/>
      <c r="Z15576" s="258"/>
    </row>
    <row r="15577" spans="1:26" ht="12.75" customHeight="1" x14ac:dyDescent="0.2">
      <c r="A15577" s="258"/>
      <c r="Z15577" s="258"/>
    </row>
    <row r="15578" spans="1:26" ht="12.75" customHeight="1" x14ac:dyDescent="0.2">
      <c r="A15578" s="258"/>
      <c r="Z15578" s="258"/>
    </row>
    <row r="15579" spans="1:26" ht="12.75" customHeight="1" x14ac:dyDescent="0.2">
      <c r="A15579" s="258"/>
      <c r="Z15579" s="258"/>
    </row>
    <row r="15580" spans="1:26" ht="12.75" customHeight="1" x14ac:dyDescent="0.2">
      <c r="A15580" s="258"/>
      <c r="Z15580" s="258"/>
    </row>
    <row r="15581" spans="1:26" ht="12.75" customHeight="1" x14ac:dyDescent="0.2">
      <c r="A15581" s="258"/>
      <c r="Z15581" s="258"/>
    </row>
    <row r="15582" spans="1:26" ht="12.75" customHeight="1" x14ac:dyDescent="0.2">
      <c r="A15582" s="258"/>
      <c r="Z15582" s="258"/>
    </row>
    <row r="15583" spans="1:26" ht="12.75" customHeight="1" x14ac:dyDescent="0.2">
      <c r="A15583" s="258"/>
      <c r="Z15583" s="258"/>
    </row>
    <row r="15584" spans="1:26" ht="12.75" customHeight="1" x14ac:dyDescent="0.2">
      <c r="A15584" s="258"/>
      <c r="Z15584" s="258"/>
    </row>
    <row r="15585" spans="1:26" ht="12.75" customHeight="1" x14ac:dyDescent="0.2">
      <c r="A15585" s="258"/>
      <c r="Z15585" s="258"/>
    </row>
    <row r="15586" spans="1:26" ht="12.75" customHeight="1" x14ac:dyDescent="0.2">
      <c r="A15586" s="258"/>
      <c r="Z15586" s="258"/>
    </row>
    <row r="15587" spans="1:26" ht="12.75" customHeight="1" x14ac:dyDescent="0.2">
      <c r="A15587" s="258"/>
      <c r="Z15587" s="258"/>
    </row>
    <row r="15588" spans="1:26" ht="12.75" customHeight="1" x14ac:dyDescent="0.2">
      <c r="A15588" s="258"/>
      <c r="Z15588" s="258"/>
    </row>
    <row r="15589" spans="1:26" ht="12.75" customHeight="1" x14ac:dyDescent="0.2">
      <c r="A15589" s="258"/>
      <c r="Z15589" s="258"/>
    </row>
    <row r="15590" spans="1:26" ht="12.75" customHeight="1" x14ac:dyDescent="0.2">
      <c r="A15590" s="258"/>
      <c r="Z15590" s="258"/>
    </row>
    <row r="15591" spans="1:26" ht="12.75" customHeight="1" x14ac:dyDescent="0.2">
      <c r="A15591" s="258"/>
      <c r="Z15591" s="258"/>
    </row>
    <row r="15592" spans="1:26" ht="12.75" customHeight="1" x14ac:dyDescent="0.2">
      <c r="A15592" s="258"/>
      <c r="Z15592" s="258"/>
    </row>
    <row r="15593" spans="1:26" ht="12.75" customHeight="1" x14ac:dyDescent="0.2">
      <c r="A15593" s="258"/>
      <c r="Z15593" s="258"/>
    </row>
    <row r="15594" spans="1:26" ht="12.75" customHeight="1" x14ac:dyDescent="0.2">
      <c r="A15594" s="258"/>
      <c r="Z15594" s="258"/>
    </row>
    <row r="15595" spans="1:26" ht="12.75" customHeight="1" x14ac:dyDescent="0.2">
      <c r="A15595" s="258"/>
      <c r="Z15595" s="258"/>
    </row>
    <row r="15596" spans="1:26" ht="12.75" customHeight="1" x14ac:dyDescent="0.2">
      <c r="A15596" s="258"/>
      <c r="Z15596" s="258"/>
    </row>
    <row r="15597" spans="1:26" ht="12.75" customHeight="1" x14ac:dyDescent="0.2">
      <c r="A15597" s="258"/>
      <c r="Z15597" s="258"/>
    </row>
    <row r="15598" spans="1:26" ht="12.75" customHeight="1" x14ac:dyDescent="0.2">
      <c r="A15598" s="258"/>
      <c r="Z15598" s="258"/>
    </row>
    <row r="15599" spans="1:26" ht="12.75" customHeight="1" x14ac:dyDescent="0.2">
      <c r="A15599" s="258"/>
      <c r="Z15599" s="258"/>
    </row>
    <row r="15600" spans="1:26" ht="12.75" customHeight="1" x14ac:dyDescent="0.2">
      <c r="A15600" s="258"/>
      <c r="Z15600" s="258"/>
    </row>
    <row r="15601" spans="1:26" ht="12.75" customHeight="1" x14ac:dyDescent="0.2">
      <c r="A15601" s="258"/>
      <c r="Z15601" s="258"/>
    </row>
    <row r="15602" spans="1:26" ht="12.75" customHeight="1" x14ac:dyDescent="0.2">
      <c r="A15602" s="258"/>
      <c r="Z15602" s="258"/>
    </row>
    <row r="15603" spans="1:26" ht="12.75" customHeight="1" x14ac:dyDescent="0.2">
      <c r="A15603" s="258"/>
      <c r="Z15603" s="258"/>
    </row>
    <row r="15604" spans="1:26" ht="12.75" customHeight="1" x14ac:dyDescent="0.2">
      <c r="A15604" s="258"/>
      <c r="Z15604" s="258"/>
    </row>
    <row r="15605" spans="1:26" ht="12.75" customHeight="1" x14ac:dyDescent="0.2">
      <c r="A15605" s="258"/>
      <c r="Z15605" s="258"/>
    </row>
    <row r="15606" spans="1:26" ht="12.75" customHeight="1" x14ac:dyDescent="0.2">
      <c r="A15606" s="258"/>
      <c r="Z15606" s="258"/>
    </row>
    <row r="15607" spans="1:26" ht="12.75" customHeight="1" x14ac:dyDescent="0.2">
      <c r="A15607" s="258"/>
      <c r="Z15607" s="258"/>
    </row>
    <row r="15608" spans="1:26" ht="12.75" customHeight="1" x14ac:dyDescent="0.2">
      <c r="A15608" s="258"/>
      <c r="Z15608" s="258"/>
    </row>
    <row r="15609" spans="1:26" ht="12.75" customHeight="1" x14ac:dyDescent="0.2">
      <c r="A15609" s="258"/>
      <c r="Z15609" s="258"/>
    </row>
    <row r="15610" spans="1:26" ht="12.75" customHeight="1" x14ac:dyDescent="0.2">
      <c r="A15610" s="258"/>
      <c r="Z15610" s="258"/>
    </row>
    <row r="15611" spans="1:26" ht="12.75" customHeight="1" x14ac:dyDescent="0.2">
      <c r="A15611" s="258"/>
      <c r="Z15611" s="258"/>
    </row>
    <row r="15612" spans="1:26" ht="12.75" customHeight="1" x14ac:dyDescent="0.2">
      <c r="A15612" s="258"/>
      <c r="Z15612" s="258"/>
    </row>
    <row r="15613" spans="1:26" ht="12.75" customHeight="1" x14ac:dyDescent="0.2">
      <c r="A15613" s="258"/>
      <c r="Z15613" s="258"/>
    </row>
    <row r="15614" spans="1:26" ht="12.75" customHeight="1" x14ac:dyDescent="0.2">
      <c r="A15614" s="258"/>
      <c r="Z15614" s="258"/>
    </row>
    <row r="15615" spans="1:26" ht="12.75" customHeight="1" x14ac:dyDescent="0.2">
      <c r="A15615" s="258"/>
      <c r="Z15615" s="258"/>
    </row>
    <row r="15616" spans="1:26" ht="12.75" customHeight="1" x14ac:dyDescent="0.2">
      <c r="A15616" s="258"/>
      <c r="Z15616" s="258"/>
    </row>
    <row r="15617" spans="1:26" ht="12.75" customHeight="1" x14ac:dyDescent="0.2">
      <c r="A15617" s="258"/>
      <c r="Z15617" s="258"/>
    </row>
    <row r="15618" spans="1:26" ht="12.75" customHeight="1" x14ac:dyDescent="0.2">
      <c r="A15618" s="258"/>
      <c r="Z15618" s="258"/>
    </row>
    <row r="15619" spans="1:26" ht="12.75" customHeight="1" x14ac:dyDescent="0.2">
      <c r="A15619" s="258"/>
      <c r="Z15619" s="258"/>
    </row>
    <row r="15620" spans="1:26" ht="12.75" customHeight="1" x14ac:dyDescent="0.2">
      <c r="A15620" s="258"/>
      <c r="Z15620" s="258"/>
    </row>
    <row r="15621" spans="1:26" ht="12.75" customHeight="1" x14ac:dyDescent="0.2">
      <c r="A15621" s="258"/>
      <c r="Z15621" s="258"/>
    </row>
    <row r="15622" spans="1:26" ht="12.75" customHeight="1" x14ac:dyDescent="0.2">
      <c r="A15622" s="258"/>
      <c r="Z15622" s="258"/>
    </row>
    <row r="15623" spans="1:26" ht="12.75" customHeight="1" x14ac:dyDescent="0.2">
      <c r="A15623" s="258"/>
      <c r="Z15623" s="258"/>
    </row>
    <row r="15624" spans="1:26" ht="12.75" customHeight="1" x14ac:dyDescent="0.2">
      <c r="A15624" s="258"/>
      <c r="Z15624" s="258"/>
    </row>
    <row r="15625" spans="1:26" ht="12.75" customHeight="1" x14ac:dyDescent="0.2">
      <c r="A15625" s="258"/>
      <c r="Z15625" s="258"/>
    </row>
    <row r="15626" spans="1:26" ht="12.75" customHeight="1" x14ac:dyDescent="0.2">
      <c r="A15626" s="258"/>
      <c r="Z15626" s="258"/>
    </row>
    <row r="15627" spans="1:26" ht="12.75" customHeight="1" x14ac:dyDescent="0.2">
      <c r="A15627" s="258"/>
      <c r="Z15627" s="258"/>
    </row>
    <row r="15628" spans="1:26" ht="12.75" customHeight="1" x14ac:dyDescent="0.2">
      <c r="A15628" s="258"/>
      <c r="Z15628" s="258"/>
    </row>
    <row r="15629" spans="1:26" ht="12.75" customHeight="1" x14ac:dyDescent="0.2">
      <c r="A15629" s="258"/>
      <c r="Z15629" s="258"/>
    </row>
    <row r="15630" spans="1:26" ht="12.75" customHeight="1" x14ac:dyDescent="0.2">
      <c r="A15630" s="258"/>
      <c r="Z15630" s="258"/>
    </row>
    <row r="15631" spans="1:26" ht="12.75" customHeight="1" x14ac:dyDescent="0.2">
      <c r="A15631" s="258"/>
      <c r="Z15631" s="258"/>
    </row>
    <row r="15632" spans="1:26" ht="12.75" customHeight="1" x14ac:dyDescent="0.2">
      <c r="A15632" s="258"/>
      <c r="Z15632" s="258"/>
    </row>
    <row r="15633" spans="1:26" ht="12.75" customHeight="1" x14ac:dyDescent="0.2">
      <c r="A15633" s="258"/>
      <c r="Z15633" s="258"/>
    </row>
    <row r="15634" spans="1:26" ht="12.75" customHeight="1" x14ac:dyDescent="0.2">
      <c r="A15634" s="258"/>
      <c r="Z15634" s="258"/>
    </row>
    <row r="15635" spans="1:26" ht="12.75" customHeight="1" x14ac:dyDescent="0.2">
      <c r="A15635" s="258"/>
      <c r="Z15635" s="258"/>
    </row>
    <row r="15636" spans="1:26" ht="12.75" customHeight="1" x14ac:dyDescent="0.2">
      <c r="A15636" s="258"/>
      <c r="Z15636" s="258"/>
    </row>
    <row r="15637" spans="1:26" ht="12.75" customHeight="1" x14ac:dyDescent="0.2">
      <c r="A15637" s="258"/>
      <c r="Z15637" s="258"/>
    </row>
    <row r="15638" spans="1:26" ht="12.75" customHeight="1" x14ac:dyDescent="0.2">
      <c r="A15638" s="258"/>
      <c r="Z15638" s="258"/>
    </row>
    <row r="15639" spans="1:26" ht="12.75" customHeight="1" x14ac:dyDescent="0.2">
      <c r="A15639" s="258"/>
      <c r="Z15639" s="258"/>
    </row>
    <row r="15640" spans="1:26" ht="12.75" customHeight="1" x14ac:dyDescent="0.2">
      <c r="A15640" s="258"/>
      <c r="Z15640" s="258"/>
    </row>
    <row r="15641" spans="1:26" ht="12.75" customHeight="1" x14ac:dyDescent="0.2">
      <c r="A15641" s="258"/>
      <c r="Z15641" s="258"/>
    </row>
    <row r="15642" spans="1:26" ht="12.75" customHeight="1" x14ac:dyDescent="0.2">
      <c r="A15642" s="258"/>
      <c r="Z15642" s="258"/>
    </row>
    <row r="15643" spans="1:26" ht="12.75" customHeight="1" x14ac:dyDescent="0.2">
      <c r="A15643" s="258"/>
      <c r="Z15643" s="258"/>
    </row>
    <row r="15644" spans="1:26" ht="12.75" customHeight="1" x14ac:dyDescent="0.2">
      <c r="A15644" s="258"/>
      <c r="Z15644" s="258"/>
    </row>
    <row r="15645" spans="1:26" ht="12.75" customHeight="1" x14ac:dyDescent="0.2">
      <c r="A15645" s="258"/>
      <c r="Z15645" s="258"/>
    </row>
    <row r="15646" spans="1:26" ht="12.75" customHeight="1" x14ac:dyDescent="0.2">
      <c r="A15646" s="258"/>
      <c r="Z15646" s="258"/>
    </row>
    <row r="15647" spans="1:26" ht="12.75" customHeight="1" x14ac:dyDescent="0.2">
      <c r="A15647" s="258"/>
      <c r="Z15647" s="258"/>
    </row>
    <row r="15648" spans="1:26" ht="12.75" customHeight="1" x14ac:dyDescent="0.2">
      <c r="A15648" s="258"/>
      <c r="Z15648" s="258"/>
    </row>
    <row r="15649" spans="1:26" ht="12.75" customHeight="1" x14ac:dyDescent="0.2">
      <c r="A15649" s="258"/>
      <c r="Z15649" s="258"/>
    </row>
    <row r="15650" spans="1:26" ht="12.75" customHeight="1" x14ac:dyDescent="0.2">
      <c r="A15650" s="258"/>
      <c r="Z15650" s="258"/>
    </row>
    <row r="15651" spans="1:26" ht="12.75" customHeight="1" x14ac:dyDescent="0.2">
      <c r="A15651" s="258"/>
      <c r="Z15651" s="258"/>
    </row>
    <row r="15652" spans="1:26" ht="12.75" customHeight="1" x14ac:dyDescent="0.2">
      <c r="A15652" s="258"/>
      <c r="Z15652" s="258"/>
    </row>
    <row r="15653" spans="1:26" ht="12.75" customHeight="1" x14ac:dyDescent="0.2">
      <c r="A15653" s="258"/>
      <c r="Z15653" s="258"/>
    </row>
    <row r="15654" spans="1:26" ht="12.75" customHeight="1" x14ac:dyDescent="0.2">
      <c r="A15654" s="258"/>
      <c r="Z15654" s="258"/>
    </row>
    <row r="15655" spans="1:26" ht="12.75" customHeight="1" x14ac:dyDescent="0.2">
      <c r="A15655" s="258"/>
      <c r="Z15655" s="258"/>
    </row>
    <row r="15656" spans="1:26" ht="12.75" customHeight="1" x14ac:dyDescent="0.2">
      <c r="A15656" s="258"/>
      <c r="Z15656" s="258"/>
    </row>
    <row r="15657" spans="1:26" ht="12.75" customHeight="1" x14ac:dyDescent="0.2">
      <c r="A15657" s="258"/>
      <c r="Z15657" s="258"/>
    </row>
    <row r="15658" spans="1:26" ht="12.75" customHeight="1" x14ac:dyDescent="0.2">
      <c r="A15658" s="258"/>
      <c r="Z15658" s="258"/>
    </row>
    <row r="15659" spans="1:26" ht="12.75" customHeight="1" x14ac:dyDescent="0.2">
      <c r="A15659" s="258"/>
      <c r="Z15659" s="258"/>
    </row>
    <row r="15660" spans="1:26" ht="12.75" customHeight="1" x14ac:dyDescent="0.2">
      <c r="A15660" s="258"/>
      <c r="Z15660" s="258"/>
    </row>
    <row r="15661" spans="1:26" ht="12.75" customHeight="1" x14ac:dyDescent="0.2">
      <c r="A15661" s="258"/>
      <c r="Z15661" s="258"/>
    </row>
    <row r="15662" spans="1:26" ht="12.75" customHeight="1" x14ac:dyDescent="0.2">
      <c r="A15662" s="258"/>
      <c r="Z15662" s="258"/>
    </row>
    <row r="15663" spans="1:26" ht="12.75" customHeight="1" x14ac:dyDescent="0.2">
      <c r="A15663" s="258"/>
      <c r="Z15663" s="258"/>
    </row>
    <row r="15664" spans="1:26" ht="12.75" customHeight="1" x14ac:dyDescent="0.2">
      <c r="A15664" s="258"/>
      <c r="Z15664" s="258"/>
    </row>
    <row r="15665" spans="1:26" ht="12.75" customHeight="1" x14ac:dyDescent="0.2">
      <c r="A15665" s="258"/>
      <c r="Z15665" s="258"/>
    </row>
    <row r="15666" spans="1:26" ht="12.75" customHeight="1" x14ac:dyDescent="0.2">
      <c r="A15666" s="258"/>
      <c r="Z15666" s="258"/>
    </row>
    <row r="15667" spans="1:26" ht="12.75" customHeight="1" x14ac:dyDescent="0.2">
      <c r="A15667" s="258"/>
      <c r="Z15667" s="258"/>
    </row>
    <row r="15668" spans="1:26" ht="12.75" customHeight="1" x14ac:dyDescent="0.2">
      <c r="A15668" s="258"/>
      <c r="Z15668" s="258"/>
    </row>
    <row r="15669" spans="1:26" ht="12.75" customHeight="1" x14ac:dyDescent="0.2">
      <c r="A15669" s="258"/>
      <c r="Z15669" s="258"/>
    </row>
    <row r="15670" spans="1:26" ht="12.75" customHeight="1" x14ac:dyDescent="0.2">
      <c r="A15670" s="258"/>
      <c r="Z15670" s="258"/>
    </row>
    <row r="15671" spans="1:26" ht="12.75" customHeight="1" x14ac:dyDescent="0.2">
      <c r="A15671" s="258"/>
      <c r="Z15671" s="258"/>
    </row>
    <row r="15672" spans="1:26" ht="12.75" customHeight="1" x14ac:dyDescent="0.2">
      <c r="A15672" s="258"/>
      <c r="Z15672" s="258"/>
    </row>
    <row r="15673" spans="1:26" ht="12.75" customHeight="1" x14ac:dyDescent="0.2">
      <c r="A15673" s="258"/>
      <c r="Z15673" s="258"/>
    </row>
    <row r="15674" spans="1:26" ht="12.75" customHeight="1" x14ac:dyDescent="0.2">
      <c r="A15674" s="258"/>
      <c r="Z15674" s="258"/>
    </row>
    <row r="15675" spans="1:26" ht="12.75" customHeight="1" x14ac:dyDescent="0.2">
      <c r="A15675" s="258"/>
      <c r="Z15675" s="258"/>
    </row>
    <row r="15676" spans="1:26" ht="12.75" customHeight="1" x14ac:dyDescent="0.2">
      <c r="A15676" s="258"/>
      <c r="Z15676" s="258"/>
    </row>
    <row r="15677" spans="1:26" ht="12.75" customHeight="1" x14ac:dyDescent="0.2">
      <c r="A15677" s="258"/>
      <c r="Z15677" s="258"/>
    </row>
    <row r="15678" spans="1:26" ht="12.75" customHeight="1" x14ac:dyDescent="0.2">
      <c r="A15678" s="258"/>
      <c r="Z15678" s="258"/>
    </row>
    <row r="15679" spans="1:26" ht="12.75" customHeight="1" x14ac:dyDescent="0.2">
      <c r="A15679" s="258"/>
      <c r="Z15679" s="258"/>
    </row>
    <row r="15680" spans="1:26" ht="12.75" customHeight="1" x14ac:dyDescent="0.2">
      <c r="A15680" s="258"/>
      <c r="Z15680" s="258"/>
    </row>
    <row r="15681" spans="1:26" ht="12.75" customHeight="1" x14ac:dyDescent="0.2">
      <c r="A15681" s="258"/>
      <c r="Z15681" s="258"/>
    </row>
    <row r="15682" spans="1:26" ht="12.75" customHeight="1" x14ac:dyDescent="0.2">
      <c r="A15682" s="258"/>
      <c r="Z15682" s="258"/>
    </row>
    <row r="15683" spans="1:26" ht="12.75" customHeight="1" x14ac:dyDescent="0.2">
      <c r="A15683" s="258"/>
      <c r="Z15683" s="258"/>
    </row>
    <row r="15684" spans="1:26" ht="12.75" customHeight="1" x14ac:dyDescent="0.2">
      <c r="A15684" s="258"/>
      <c r="Z15684" s="258"/>
    </row>
    <row r="15685" spans="1:26" ht="12.75" customHeight="1" x14ac:dyDescent="0.2">
      <c r="A15685" s="258"/>
      <c r="Z15685" s="258"/>
    </row>
    <row r="15686" spans="1:26" ht="12.75" customHeight="1" x14ac:dyDescent="0.2">
      <c r="A15686" s="258"/>
      <c r="Z15686" s="258"/>
    </row>
    <row r="15687" spans="1:26" ht="12.75" customHeight="1" x14ac:dyDescent="0.2">
      <c r="A15687" s="258"/>
      <c r="Z15687" s="258"/>
    </row>
    <row r="15688" spans="1:26" ht="12.75" customHeight="1" x14ac:dyDescent="0.2">
      <c r="A15688" s="258"/>
      <c r="Z15688" s="258"/>
    </row>
    <row r="15689" spans="1:26" ht="12.75" customHeight="1" x14ac:dyDescent="0.2">
      <c r="A15689" s="258"/>
      <c r="Z15689" s="258"/>
    </row>
    <row r="15690" spans="1:26" ht="12.75" customHeight="1" x14ac:dyDescent="0.2">
      <c r="A15690" s="258"/>
      <c r="Z15690" s="258"/>
    </row>
    <row r="15691" spans="1:26" ht="12.75" customHeight="1" x14ac:dyDescent="0.2">
      <c r="A15691" s="258"/>
      <c r="Z15691" s="258"/>
    </row>
    <row r="15692" spans="1:26" ht="12.75" customHeight="1" x14ac:dyDescent="0.2">
      <c r="A15692" s="258"/>
      <c r="Z15692" s="258"/>
    </row>
    <row r="15693" spans="1:26" ht="12.75" customHeight="1" x14ac:dyDescent="0.2">
      <c r="A15693" s="258"/>
      <c r="Z15693" s="258"/>
    </row>
    <row r="15694" spans="1:26" ht="12.75" customHeight="1" x14ac:dyDescent="0.2">
      <c r="A15694" s="258"/>
      <c r="Z15694" s="258"/>
    </row>
    <row r="15695" spans="1:26" ht="12.75" customHeight="1" x14ac:dyDescent="0.2">
      <c r="A15695" s="258"/>
      <c r="Z15695" s="258"/>
    </row>
    <row r="15696" spans="1:26" ht="12.75" customHeight="1" x14ac:dyDescent="0.2">
      <c r="A15696" s="258"/>
      <c r="Z15696" s="258"/>
    </row>
    <row r="15697" spans="1:26" ht="12.75" customHeight="1" x14ac:dyDescent="0.2">
      <c r="A15697" s="258"/>
      <c r="Z15697" s="258"/>
    </row>
    <row r="15698" spans="1:26" ht="12.75" customHeight="1" x14ac:dyDescent="0.2">
      <c r="A15698" s="258"/>
      <c r="Z15698" s="258"/>
    </row>
    <row r="15699" spans="1:26" ht="12.75" customHeight="1" x14ac:dyDescent="0.2">
      <c r="A15699" s="258"/>
      <c r="Z15699" s="258"/>
    </row>
    <row r="15700" spans="1:26" ht="12.75" customHeight="1" x14ac:dyDescent="0.2">
      <c r="A15700" s="258"/>
      <c r="Z15700" s="258"/>
    </row>
    <row r="15701" spans="1:26" ht="12.75" customHeight="1" x14ac:dyDescent="0.2">
      <c r="A15701" s="258"/>
      <c r="Z15701" s="258"/>
    </row>
    <row r="15702" spans="1:26" ht="12.75" customHeight="1" x14ac:dyDescent="0.2">
      <c r="A15702" s="258"/>
      <c r="Z15702" s="258"/>
    </row>
    <row r="15703" spans="1:26" ht="12.75" customHeight="1" x14ac:dyDescent="0.2">
      <c r="A15703" s="258"/>
      <c r="Z15703" s="258"/>
    </row>
    <row r="15704" spans="1:26" ht="12.75" customHeight="1" x14ac:dyDescent="0.2">
      <c r="A15704" s="258"/>
      <c r="Z15704" s="258"/>
    </row>
    <row r="15705" spans="1:26" ht="12.75" customHeight="1" x14ac:dyDescent="0.2">
      <c r="A15705" s="258"/>
      <c r="Z15705" s="258"/>
    </row>
    <row r="15706" spans="1:26" ht="12.75" customHeight="1" x14ac:dyDescent="0.2">
      <c r="A15706" s="258"/>
      <c r="Z15706" s="258"/>
    </row>
    <row r="15707" spans="1:26" ht="12.75" customHeight="1" x14ac:dyDescent="0.2">
      <c r="A15707" s="258"/>
      <c r="Z15707" s="258"/>
    </row>
    <row r="15708" spans="1:26" ht="12.75" customHeight="1" x14ac:dyDescent="0.2">
      <c r="A15708" s="258"/>
      <c r="Z15708" s="258"/>
    </row>
    <row r="15709" spans="1:26" ht="12.75" customHeight="1" x14ac:dyDescent="0.2">
      <c r="A15709" s="258"/>
      <c r="Z15709" s="258"/>
    </row>
    <row r="15710" spans="1:26" ht="12.75" customHeight="1" x14ac:dyDescent="0.2">
      <c r="A15710" s="258"/>
      <c r="Z15710" s="258"/>
    </row>
    <row r="15711" spans="1:26" ht="12.75" customHeight="1" x14ac:dyDescent="0.2">
      <c r="A15711" s="258"/>
      <c r="Z15711" s="258"/>
    </row>
    <row r="15712" spans="1:26" ht="12.75" customHeight="1" x14ac:dyDescent="0.2">
      <c r="A15712" s="258"/>
      <c r="Z15712" s="258"/>
    </row>
    <row r="15713" spans="1:26" ht="12.75" customHeight="1" x14ac:dyDescent="0.2">
      <c r="A15713" s="258"/>
      <c r="Z15713" s="258"/>
    </row>
    <row r="15714" spans="1:26" ht="12.75" customHeight="1" x14ac:dyDescent="0.2">
      <c r="A15714" s="258"/>
      <c r="Z15714" s="258"/>
    </row>
    <row r="15715" spans="1:26" ht="12.75" customHeight="1" x14ac:dyDescent="0.2">
      <c r="A15715" s="258"/>
      <c r="Z15715" s="258"/>
    </row>
    <row r="15716" spans="1:26" ht="12.75" customHeight="1" x14ac:dyDescent="0.2">
      <c r="A15716" s="258"/>
      <c r="Z15716" s="258"/>
    </row>
    <row r="15717" spans="1:26" ht="12.75" customHeight="1" x14ac:dyDescent="0.2">
      <c r="A15717" s="258"/>
      <c r="Z15717" s="258"/>
    </row>
    <row r="15718" spans="1:26" ht="12.75" customHeight="1" x14ac:dyDescent="0.2">
      <c r="A15718" s="258"/>
      <c r="Z15718" s="258"/>
    </row>
    <row r="15719" spans="1:26" ht="12.75" customHeight="1" x14ac:dyDescent="0.2">
      <c r="A15719" s="258"/>
      <c r="Z15719" s="258"/>
    </row>
    <row r="15720" spans="1:26" ht="12.75" customHeight="1" x14ac:dyDescent="0.2">
      <c r="A15720" s="258"/>
      <c r="Z15720" s="258"/>
    </row>
    <row r="15721" spans="1:26" ht="12.75" customHeight="1" x14ac:dyDescent="0.2">
      <c r="A15721" s="258"/>
      <c r="Z15721" s="258"/>
    </row>
    <row r="15722" spans="1:26" ht="12.75" customHeight="1" x14ac:dyDescent="0.2">
      <c r="A15722" s="258"/>
      <c r="Z15722" s="258"/>
    </row>
    <row r="15723" spans="1:26" ht="12.75" customHeight="1" x14ac:dyDescent="0.2">
      <c r="A15723" s="258"/>
      <c r="Z15723" s="258"/>
    </row>
    <row r="15724" spans="1:26" ht="12.75" customHeight="1" x14ac:dyDescent="0.2">
      <c r="A15724" s="258"/>
      <c r="Z15724" s="258"/>
    </row>
    <row r="15725" spans="1:26" ht="12.75" customHeight="1" x14ac:dyDescent="0.2">
      <c r="A15725" s="258"/>
      <c r="Z15725" s="258"/>
    </row>
    <row r="15726" spans="1:26" ht="12.75" customHeight="1" x14ac:dyDescent="0.2">
      <c r="A15726" s="258"/>
      <c r="Z15726" s="258"/>
    </row>
    <row r="15727" spans="1:26" ht="12.75" customHeight="1" x14ac:dyDescent="0.2">
      <c r="A15727" s="258"/>
      <c r="Z15727" s="258"/>
    </row>
    <row r="15728" spans="1:26" ht="12.75" customHeight="1" x14ac:dyDescent="0.2">
      <c r="A15728" s="258"/>
      <c r="Z15728" s="258"/>
    </row>
    <row r="15729" spans="1:26" ht="12.75" customHeight="1" x14ac:dyDescent="0.2">
      <c r="A15729" s="258"/>
      <c r="Z15729" s="258"/>
    </row>
    <row r="15730" spans="1:26" ht="12.75" customHeight="1" x14ac:dyDescent="0.2">
      <c r="A15730" s="258"/>
      <c r="Z15730" s="258"/>
    </row>
    <row r="15731" spans="1:26" ht="12.75" customHeight="1" x14ac:dyDescent="0.2">
      <c r="A15731" s="258"/>
      <c r="Z15731" s="258"/>
    </row>
    <row r="15732" spans="1:26" ht="12.75" customHeight="1" x14ac:dyDescent="0.2">
      <c r="A15732" s="258"/>
      <c r="Z15732" s="258"/>
    </row>
    <row r="15733" spans="1:26" ht="12.75" customHeight="1" x14ac:dyDescent="0.2">
      <c r="A15733" s="258"/>
      <c r="Z15733" s="258"/>
    </row>
    <row r="15734" spans="1:26" ht="12.75" customHeight="1" x14ac:dyDescent="0.2">
      <c r="A15734" s="258"/>
      <c r="Z15734" s="258"/>
    </row>
    <row r="15735" spans="1:26" ht="12.75" customHeight="1" x14ac:dyDescent="0.2">
      <c r="A15735" s="258"/>
      <c r="Z15735" s="258"/>
    </row>
    <row r="15736" spans="1:26" ht="12.75" customHeight="1" x14ac:dyDescent="0.2">
      <c r="A15736" s="258"/>
      <c r="Z15736" s="258"/>
    </row>
    <row r="15737" spans="1:26" ht="12.75" customHeight="1" x14ac:dyDescent="0.2">
      <c r="A15737" s="258"/>
      <c r="Z15737" s="258"/>
    </row>
    <row r="15738" spans="1:26" ht="12.75" customHeight="1" x14ac:dyDescent="0.2">
      <c r="A15738" s="258"/>
      <c r="Z15738" s="258"/>
    </row>
    <row r="15739" spans="1:26" ht="12.75" customHeight="1" x14ac:dyDescent="0.2">
      <c r="A15739" s="258"/>
      <c r="Z15739" s="258"/>
    </row>
    <row r="15740" spans="1:26" ht="12.75" customHeight="1" x14ac:dyDescent="0.2">
      <c r="A15740" s="258"/>
      <c r="Z15740" s="258"/>
    </row>
    <row r="15741" spans="1:26" ht="12.75" customHeight="1" x14ac:dyDescent="0.2">
      <c r="A15741" s="258"/>
      <c r="Z15741" s="258"/>
    </row>
    <row r="15742" spans="1:26" ht="12.75" customHeight="1" x14ac:dyDescent="0.2">
      <c r="A15742" s="258"/>
      <c r="Z15742" s="258"/>
    </row>
    <row r="15743" spans="1:26" ht="12.75" customHeight="1" x14ac:dyDescent="0.2">
      <c r="A15743" s="258"/>
      <c r="Z15743" s="258"/>
    </row>
    <row r="15744" spans="1:26" ht="12.75" customHeight="1" x14ac:dyDescent="0.2">
      <c r="A15744" s="258"/>
      <c r="Z15744" s="258"/>
    </row>
    <row r="15745" spans="1:26" ht="12.75" customHeight="1" x14ac:dyDescent="0.2">
      <c r="A15745" s="258"/>
      <c r="Z15745" s="258"/>
    </row>
    <row r="15746" spans="1:26" ht="12.75" customHeight="1" x14ac:dyDescent="0.2">
      <c r="A15746" s="258"/>
      <c r="Z15746" s="258"/>
    </row>
    <row r="15747" spans="1:26" ht="12.75" customHeight="1" x14ac:dyDescent="0.2">
      <c r="A15747" s="258"/>
      <c r="Z15747" s="258"/>
    </row>
    <row r="15748" spans="1:26" ht="12.75" customHeight="1" x14ac:dyDescent="0.2">
      <c r="A15748" s="258"/>
      <c r="Z15748" s="258"/>
    </row>
    <row r="15749" spans="1:26" ht="12.75" customHeight="1" x14ac:dyDescent="0.2">
      <c r="A15749" s="258"/>
      <c r="Z15749" s="258"/>
    </row>
    <row r="15750" spans="1:26" ht="12.75" customHeight="1" x14ac:dyDescent="0.2">
      <c r="A15750" s="258"/>
      <c r="Z15750" s="258"/>
    </row>
    <row r="15751" spans="1:26" ht="12.75" customHeight="1" x14ac:dyDescent="0.2">
      <c r="A15751" s="258"/>
      <c r="Z15751" s="258"/>
    </row>
    <row r="15752" spans="1:26" ht="12.75" customHeight="1" x14ac:dyDescent="0.2">
      <c r="A15752" s="258"/>
      <c r="Z15752" s="258"/>
    </row>
    <row r="15753" spans="1:26" ht="12.75" customHeight="1" x14ac:dyDescent="0.2">
      <c r="A15753" s="258"/>
      <c r="Z15753" s="258"/>
    </row>
    <row r="15754" spans="1:26" ht="12.75" customHeight="1" x14ac:dyDescent="0.2">
      <c r="A15754" s="258"/>
      <c r="Z15754" s="258"/>
    </row>
    <row r="15755" spans="1:26" ht="12.75" customHeight="1" x14ac:dyDescent="0.2">
      <c r="A15755" s="258"/>
      <c r="Z15755" s="258"/>
    </row>
    <row r="15756" spans="1:26" ht="12.75" customHeight="1" x14ac:dyDescent="0.2">
      <c r="A15756" s="258"/>
      <c r="Z15756" s="258"/>
    </row>
    <row r="15757" spans="1:26" ht="12.75" customHeight="1" x14ac:dyDescent="0.2">
      <c r="A15757" s="258"/>
      <c r="Z15757" s="258"/>
    </row>
    <row r="15758" spans="1:26" ht="12.75" customHeight="1" x14ac:dyDescent="0.2">
      <c r="A15758" s="258"/>
      <c r="Z15758" s="258"/>
    </row>
    <row r="15759" spans="1:26" ht="12.75" customHeight="1" x14ac:dyDescent="0.2">
      <c r="A15759" s="258"/>
      <c r="Z15759" s="258"/>
    </row>
    <row r="15760" spans="1:26" ht="12.75" customHeight="1" x14ac:dyDescent="0.2">
      <c r="A15760" s="258"/>
      <c r="Z15760" s="258"/>
    </row>
    <row r="15761" spans="1:26" ht="12.75" customHeight="1" x14ac:dyDescent="0.2">
      <c r="A15761" s="258"/>
      <c r="Z15761" s="258"/>
    </row>
    <row r="15762" spans="1:26" ht="12.75" customHeight="1" x14ac:dyDescent="0.2">
      <c r="A15762" s="258"/>
      <c r="Z15762" s="258"/>
    </row>
    <row r="15763" spans="1:26" ht="12.75" customHeight="1" x14ac:dyDescent="0.2">
      <c r="A15763" s="258"/>
      <c r="Z15763" s="258"/>
    </row>
    <row r="15764" spans="1:26" ht="12.75" customHeight="1" x14ac:dyDescent="0.2">
      <c r="A15764" s="258"/>
      <c r="Z15764" s="258"/>
    </row>
    <row r="15765" spans="1:26" ht="12.75" customHeight="1" x14ac:dyDescent="0.2">
      <c r="A15765" s="258"/>
      <c r="Z15765" s="258"/>
    </row>
    <row r="15766" spans="1:26" ht="12.75" customHeight="1" x14ac:dyDescent="0.2">
      <c r="A15766" s="258"/>
      <c r="Z15766" s="258"/>
    </row>
    <row r="15767" spans="1:26" ht="12.75" customHeight="1" x14ac:dyDescent="0.2">
      <c r="A15767" s="258"/>
      <c r="Z15767" s="258"/>
    </row>
    <row r="15768" spans="1:26" ht="12.75" customHeight="1" x14ac:dyDescent="0.2">
      <c r="A15768" s="258"/>
      <c r="Z15768" s="258"/>
    </row>
    <row r="15769" spans="1:26" ht="12.75" customHeight="1" x14ac:dyDescent="0.2">
      <c r="A15769" s="258"/>
      <c r="Z15769" s="258"/>
    </row>
    <row r="15770" spans="1:26" ht="12.75" customHeight="1" x14ac:dyDescent="0.2">
      <c r="A15770" s="258"/>
      <c r="Z15770" s="258"/>
    </row>
    <row r="15771" spans="1:26" ht="12.75" customHeight="1" x14ac:dyDescent="0.2">
      <c r="A15771" s="258"/>
      <c r="Z15771" s="258"/>
    </row>
    <row r="15772" spans="1:26" ht="12.75" customHeight="1" x14ac:dyDescent="0.2">
      <c r="A15772" s="258"/>
      <c r="Z15772" s="258"/>
    </row>
    <row r="15773" spans="1:26" ht="12.75" customHeight="1" x14ac:dyDescent="0.2">
      <c r="A15773" s="258"/>
      <c r="Z15773" s="258"/>
    </row>
    <row r="15774" spans="1:26" ht="12.75" customHeight="1" x14ac:dyDescent="0.2">
      <c r="A15774" s="258"/>
      <c r="Z15774" s="258"/>
    </row>
    <row r="15775" spans="1:26" ht="12.75" customHeight="1" x14ac:dyDescent="0.2">
      <c r="A15775" s="258"/>
      <c r="Z15775" s="258"/>
    </row>
    <row r="15776" spans="1:26" ht="12.75" customHeight="1" x14ac:dyDescent="0.2">
      <c r="A15776" s="258"/>
      <c r="Z15776" s="258"/>
    </row>
    <row r="15777" spans="1:26" ht="12.75" customHeight="1" x14ac:dyDescent="0.2">
      <c r="A15777" s="258"/>
      <c r="Z15777" s="258"/>
    </row>
    <row r="15778" spans="1:26" ht="12.75" customHeight="1" x14ac:dyDescent="0.2">
      <c r="A15778" s="258"/>
      <c r="Z15778" s="258"/>
    </row>
    <row r="15779" spans="1:26" ht="12.75" customHeight="1" x14ac:dyDescent="0.2">
      <c r="A15779" s="258"/>
      <c r="Z15779" s="258"/>
    </row>
    <row r="15780" spans="1:26" ht="12.75" customHeight="1" x14ac:dyDescent="0.2">
      <c r="A15780" s="258"/>
      <c r="Z15780" s="258"/>
    </row>
    <row r="15781" spans="1:26" ht="12.75" customHeight="1" x14ac:dyDescent="0.2">
      <c r="A15781" s="258"/>
      <c r="Z15781" s="258"/>
    </row>
    <row r="15782" spans="1:26" ht="12.75" customHeight="1" x14ac:dyDescent="0.2">
      <c r="A15782" s="258"/>
      <c r="Z15782" s="258"/>
    </row>
    <row r="15783" spans="1:26" ht="12.75" customHeight="1" x14ac:dyDescent="0.2">
      <c r="A15783" s="258"/>
      <c r="Z15783" s="258"/>
    </row>
    <row r="15784" spans="1:26" ht="12.75" customHeight="1" x14ac:dyDescent="0.2">
      <c r="A15784" s="258"/>
      <c r="Z15784" s="258"/>
    </row>
    <row r="15785" spans="1:26" ht="12.75" customHeight="1" x14ac:dyDescent="0.2">
      <c r="A15785" s="258"/>
      <c r="Z15785" s="258"/>
    </row>
    <row r="15786" spans="1:26" ht="12.75" customHeight="1" x14ac:dyDescent="0.2">
      <c r="A15786" s="258"/>
      <c r="Z15786" s="258"/>
    </row>
    <row r="15787" spans="1:26" ht="12.75" customHeight="1" x14ac:dyDescent="0.2">
      <c r="A15787" s="258"/>
      <c r="Z15787" s="258"/>
    </row>
    <row r="15788" spans="1:26" ht="12.75" customHeight="1" x14ac:dyDescent="0.2">
      <c r="A15788" s="258"/>
      <c r="Z15788" s="258"/>
    </row>
    <row r="15789" spans="1:26" ht="12.75" customHeight="1" x14ac:dyDescent="0.2">
      <c r="A15789" s="258"/>
      <c r="Z15789" s="258"/>
    </row>
    <row r="15790" spans="1:26" ht="12.75" customHeight="1" x14ac:dyDescent="0.2">
      <c r="A15790" s="258"/>
      <c r="Z15790" s="258"/>
    </row>
    <row r="15791" spans="1:26" ht="12.75" customHeight="1" x14ac:dyDescent="0.2">
      <c r="A15791" s="258"/>
      <c r="Z15791" s="258"/>
    </row>
    <row r="15792" spans="1:26" ht="12.75" customHeight="1" x14ac:dyDescent="0.2">
      <c r="A15792" s="258"/>
      <c r="Z15792" s="258"/>
    </row>
    <row r="15793" spans="1:26" ht="12.75" customHeight="1" x14ac:dyDescent="0.2">
      <c r="A15793" s="258"/>
      <c r="Z15793" s="258"/>
    </row>
    <row r="15794" spans="1:26" ht="12.75" customHeight="1" x14ac:dyDescent="0.2">
      <c r="A15794" s="258"/>
      <c r="Z15794" s="258"/>
    </row>
    <row r="15795" spans="1:26" ht="12.75" customHeight="1" x14ac:dyDescent="0.2">
      <c r="A15795" s="258"/>
      <c r="Z15795" s="258"/>
    </row>
    <row r="15796" spans="1:26" ht="12.75" customHeight="1" x14ac:dyDescent="0.2">
      <c r="A15796" s="258"/>
      <c r="Z15796" s="258"/>
    </row>
    <row r="15797" spans="1:26" ht="12.75" customHeight="1" x14ac:dyDescent="0.2">
      <c r="A15797" s="258"/>
      <c r="Z15797" s="258"/>
    </row>
    <row r="15798" spans="1:26" ht="12.75" customHeight="1" x14ac:dyDescent="0.2">
      <c r="A15798" s="258"/>
      <c r="Z15798" s="258"/>
    </row>
    <row r="15799" spans="1:26" ht="12.75" customHeight="1" x14ac:dyDescent="0.2">
      <c r="A15799" s="258"/>
      <c r="Z15799" s="258"/>
    </row>
    <row r="15800" spans="1:26" ht="12.75" customHeight="1" x14ac:dyDescent="0.2">
      <c r="A15800" s="258"/>
      <c r="Z15800" s="258"/>
    </row>
    <row r="15801" spans="1:26" ht="12.75" customHeight="1" x14ac:dyDescent="0.2">
      <c r="A15801" s="258"/>
      <c r="Z15801" s="258"/>
    </row>
    <row r="15802" spans="1:26" ht="12.75" customHeight="1" x14ac:dyDescent="0.2">
      <c r="A15802" s="258"/>
      <c r="Z15802" s="258"/>
    </row>
    <row r="15803" spans="1:26" ht="12.75" customHeight="1" x14ac:dyDescent="0.2">
      <c r="A15803" s="258"/>
      <c r="Z15803" s="258"/>
    </row>
    <row r="15804" spans="1:26" ht="12.75" customHeight="1" x14ac:dyDescent="0.2">
      <c r="A15804" s="258"/>
      <c r="Z15804" s="258"/>
    </row>
    <row r="15805" spans="1:26" ht="12.75" customHeight="1" x14ac:dyDescent="0.2">
      <c r="A15805" s="258"/>
      <c r="Z15805" s="258"/>
    </row>
    <row r="15806" spans="1:26" ht="12.75" customHeight="1" x14ac:dyDescent="0.2">
      <c r="A15806" s="258"/>
      <c r="Z15806" s="258"/>
    </row>
    <row r="15807" spans="1:26" ht="12.75" customHeight="1" x14ac:dyDescent="0.2">
      <c r="A15807" s="258"/>
      <c r="Z15807" s="258"/>
    </row>
    <row r="15808" spans="1:26" ht="12.75" customHeight="1" x14ac:dyDescent="0.2">
      <c r="A15808" s="258"/>
      <c r="Z15808" s="258"/>
    </row>
    <row r="15809" spans="1:26" ht="12.75" customHeight="1" x14ac:dyDescent="0.2">
      <c r="A15809" s="258"/>
      <c r="Z15809" s="258"/>
    </row>
    <row r="15810" spans="1:26" ht="12.75" customHeight="1" x14ac:dyDescent="0.2">
      <c r="A15810" s="258"/>
      <c r="Z15810" s="258"/>
    </row>
    <row r="15811" spans="1:26" ht="12.75" customHeight="1" x14ac:dyDescent="0.2">
      <c r="A15811" s="258"/>
      <c r="Z15811" s="258"/>
    </row>
    <row r="15812" spans="1:26" ht="12.75" customHeight="1" x14ac:dyDescent="0.2">
      <c r="A15812" s="258"/>
      <c r="Z15812" s="258"/>
    </row>
    <row r="15813" spans="1:26" ht="12.75" customHeight="1" x14ac:dyDescent="0.2">
      <c r="A15813" s="258"/>
      <c r="Z15813" s="258"/>
    </row>
    <row r="15814" spans="1:26" ht="12.75" customHeight="1" x14ac:dyDescent="0.2">
      <c r="A15814" s="258"/>
      <c r="Z15814" s="258"/>
    </row>
    <row r="15815" spans="1:26" ht="12.75" customHeight="1" x14ac:dyDescent="0.2">
      <c r="A15815" s="258"/>
      <c r="Z15815" s="258"/>
    </row>
    <row r="15816" spans="1:26" ht="12.75" customHeight="1" x14ac:dyDescent="0.2">
      <c r="A15816" s="258"/>
      <c r="Z15816" s="258"/>
    </row>
    <row r="15817" spans="1:26" ht="12.75" customHeight="1" x14ac:dyDescent="0.2">
      <c r="A15817" s="258"/>
      <c r="Z15817" s="258"/>
    </row>
    <row r="15818" spans="1:26" ht="12.75" customHeight="1" x14ac:dyDescent="0.2">
      <c r="A15818" s="258"/>
      <c r="Z15818" s="258"/>
    </row>
    <row r="15819" spans="1:26" ht="12.75" customHeight="1" x14ac:dyDescent="0.2">
      <c r="A15819" s="258"/>
      <c r="Z15819" s="258"/>
    </row>
    <row r="15820" spans="1:26" ht="12.75" customHeight="1" x14ac:dyDescent="0.2">
      <c r="A15820" s="258"/>
      <c r="Z15820" s="258"/>
    </row>
    <row r="15821" spans="1:26" ht="12.75" customHeight="1" x14ac:dyDescent="0.2">
      <c r="A15821" s="258"/>
      <c r="Z15821" s="258"/>
    </row>
    <row r="15822" spans="1:26" ht="12.75" customHeight="1" x14ac:dyDescent="0.2">
      <c r="A15822" s="258"/>
      <c r="Z15822" s="258"/>
    </row>
    <row r="15823" spans="1:26" ht="12.75" customHeight="1" x14ac:dyDescent="0.2">
      <c r="A15823" s="258"/>
      <c r="Z15823" s="258"/>
    </row>
    <row r="15824" spans="1:26" ht="12.75" customHeight="1" x14ac:dyDescent="0.2">
      <c r="A15824" s="258"/>
      <c r="Z15824" s="258"/>
    </row>
    <row r="15825" spans="1:26" ht="12.75" customHeight="1" x14ac:dyDescent="0.2">
      <c r="A15825" s="258"/>
      <c r="Z15825" s="258"/>
    </row>
    <row r="15826" spans="1:26" ht="12.75" customHeight="1" x14ac:dyDescent="0.2">
      <c r="A15826" s="258"/>
      <c r="Z15826" s="258"/>
    </row>
    <row r="15827" spans="1:26" ht="12.75" customHeight="1" x14ac:dyDescent="0.2">
      <c r="A15827" s="258"/>
      <c r="Z15827" s="258"/>
    </row>
    <row r="15828" spans="1:26" ht="12.75" customHeight="1" x14ac:dyDescent="0.2">
      <c r="A15828" s="258"/>
      <c r="Z15828" s="258"/>
    </row>
    <row r="15829" spans="1:26" ht="12.75" customHeight="1" x14ac:dyDescent="0.2">
      <c r="A15829" s="258"/>
      <c r="Z15829" s="258"/>
    </row>
    <row r="15830" spans="1:26" ht="12.75" customHeight="1" x14ac:dyDescent="0.2">
      <c r="A15830" s="258"/>
      <c r="Z15830" s="258"/>
    </row>
    <row r="15831" spans="1:26" ht="12.75" customHeight="1" x14ac:dyDescent="0.2">
      <c r="A15831" s="258"/>
      <c r="Z15831" s="258"/>
    </row>
    <row r="15832" spans="1:26" ht="12.75" customHeight="1" x14ac:dyDescent="0.2">
      <c r="A15832" s="258"/>
      <c r="Z15832" s="258"/>
    </row>
    <row r="15833" spans="1:26" ht="12.75" customHeight="1" x14ac:dyDescent="0.2">
      <c r="A15833" s="258"/>
      <c r="Z15833" s="258"/>
    </row>
    <row r="15834" spans="1:26" ht="12.75" customHeight="1" x14ac:dyDescent="0.2">
      <c r="A15834" s="258"/>
      <c r="Z15834" s="258"/>
    </row>
    <row r="15835" spans="1:26" ht="12.75" customHeight="1" x14ac:dyDescent="0.2">
      <c r="A15835" s="258"/>
      <c r="Z15835" s="258"/>
    </row>
    <row r="15836" spans="1:26" ht="12.75" customHeight="1" x14ac:dyDescent="0.2">
      <c r="A15836" s="258"/>
      <c r="Z15836" s="258"/>
    </row>
    <row r="15837" spans="1:26" ht="12.75" customHeight="1" x14ac:dyDescent="0.2">
      <c r="A15837" s="258"/>
      <c r="Z15837" s="258"/>
    </row>
    <row r="15838" spans="1:26" ht="12.75" customHeight="1" x14ac:dyDescent="0.2">
      <c r="A15838" s="258"/>
      <c r="Z15838" s="258"/>
    </row>
    <row r="15839" spans="1:26" ht="12.75" customHeight="1" x14ac:dyDescent="0.2">
      <c r="A15839" s="258"/>
      <c r="Z15839" s="258"/>
    </row>
    <row r="15840" spans="1:26" ht="12.75" customHeight="1" x14ac:dyDescent="0.2">
      <c r="A15840" s="258"/>
      <c r="Z15840" s="258"/>
    </row>
    <row r="15841" spans="1:26" ht="12.75" customHeight="1" x14ac:dyDescent="0.2">
      <c r="A15841" s="258"/>
      <c r="Z15841" s="258"/>
    </row>
    <row r="15842" spans="1:26" ht="12.75" customHeight="1" x14ac:dyDescent="0.2">
      <c r="A15842" s="258"/>
      <c r="Z15842" s="258"/>
    </row>
    <row r="15843" spans="1:26" ht="12.75" customHeight="1" x14ac:dyDescent="0.2">
      <c r="A15843" s="258"/>
      <c r="Z15843" s="258"/>
    </row>
    <row r="15844" spans="1:26" ht="12.75" customHeight="1" x14ac:dyDescent="0.2">
      <c r="A15844" s="258"/>
      <c r="Z15844" s="258"/>
    </row>
    <row r="15845" spans="1:26" ht="12.75" customHeight="1" x14ac:dyDescent="0.2">
      <c r="A15845" s="258"/>
      <c r="Z15845" s="258"/>
    </row>
    <row r="15846" spans="1:26" ht="12.75" customHeight="1" x14ac:dyDescent="0.2">
      <c r="A15846" s="258"/>
      <c r="Z15846" s="258"/>
    </row>
    <row r="15847" spans="1:26" ht="12.75" customHeight="1" x14ac:dyDescent="0.2">
      <c r="A15847" s="258"/>
      <c r="Z15847" s="258"/>
    </row>
    <row r="15848" spans="1:26" ht="12.75" customHeight="1" x14ac:dyDescent="0.2">
      <c r="A15848" s="258"/>
      <c r="Z15848" s="258"/>
    </row>
    <row r="15849" spans="1:26" ht="12.75" customHeight="1" x14ac:dyDescent="0.2">
      <c r="A15849" s="258"/>
      <c r="Z15849" s="258"/>
    </row>
    <row r="15850" spans="1:26" ht="12.75" customHeight="1" x14ac:dyDescent="0.2">
      <c r="A15850" s="258"/>
      <c r="Z15850" s="258"/>
    </row>
    <row r="15851" spans="1:26" ht="12.75" customHeight="1" x14ac:dyDescent="0.2">
      <c r="A15851" s="258"/>
      <c r="Z15851" s="258"/>
    </row>
    <row r="15852" spans="1:26" ht="12.75" customHeight="1" x14ac:dyDescent="0.2">
      <c r="A15852" s="258"/>
      <c r="Z15852" s="258"/>
    </row>
    <row r="15853" spans="1:26" ht="12.75" customHeight="1" x14ac:dyDescent="0.2">
      <c r="A15853" s="258"/>
      <c r="Z15853" s="258"/>
    </row>
    <row r="15854" spans="1:26" ht="12.75" customHeight="1" x14ac:dyDescent="0.2">
      <c r="A15854" s="258"/>
      <c r="Z15854" s="258"/>
    </row>
    <row r="15855" spans="1:26" ht="12.75" customHeight="1" x14ac:dyDescent="0.2">
      <c r="A15855" s="258"/>
      <c r="Z15855" s="258"/>
    </row>
    <row r="15856" spans="1:26" ht="12.75" customHeight="1" x14ac:dyDescent="0.2">
      <c r="A15856" s="258"/>
      <c r="Z15856" s="258"/>
    </row>
    <row r="15857" spans="1:26" ht="12.75" customHeight="1" x14ac:dyDescent="0.2">
      <c r="A15857" s="258"/>
      <c r="Z15857" s="258"/>
    </row>
    <row r="15858" spans="1:26" ht="12.75" customHeight="1" x14ac:dyDescent="0.2">
      <c r="A15858" s="258"/>
      <c r="Z15858" s="258"/>
    </row>
    <row r="15859" spans="1:26" ht="12.75" customHeight="1" x14ac:dyDescent="0.2">
      <c r="A15859" s="258"/>
      <c r="Z15859" s="258"/>
    </row>
    <row r="15860" spans="1:26" ht="12.75" customHeight="1" x14ac:dyDescent="0.2">
      <c r="A15860" s="258"/>
      <c r="Z15860" s="258"/>
    </row>
    <row r="15861" spans="1:26" ht="12.75" customHeight="1" x14ac:dyDescent="0.2">
      <c r="A15861" s="258"/>
      <c r="Z15861" s="258"/>
    </row>
    <row r="15862" spans="1:26" ht="12.75" customHeight="1" x14ac:dyDescent="0.2">
      <c r="A15862" s="258"/>
      <c r="Z15862" s="258"/>
    </row>
    <row r="15863" spans="1:26" ht="12.75" customHeight="1" x14ac:dyDescent="0.2">
      <c r="A15863" s="258"/>
      <c r="Z15863" s="258"/>
    </row>
    <row r="15864" spans="1:26" ht="12.75" customHeight="1" x14ac:dyDescent="0.2">
      <c r="A15864" s="258"/>
      <c r="Z15864" s="258"/>
    </row>
    <row r="15865" spans="1:26" ht="12.75" customHeight="1" x14ac:dyDescent="0.2">
      <c r="A15865" s="258"/>
      <c r="Z15865" s="258"/>
    </row>
    <row r="15866" spans="1:26" ht="12.75" customHeight="1" x14ac:dyDescent="0.2">
      <c r="A15866" s="258"/>
      <c r="Z15866" s="258"/>
    </row>
    <row r="15867" spans="1:26" ht="12.75" customHeight="1" x14ac:dyDescent="0.2">
      <c r="A15867" s="258"/>
      <c r="Z15867" s="258"/>
    </row>
    <row r="15868" spans="1:26" ht="12.75" customHeight="1" x14ac:dyDescent="0.2">
      <c r="A15868" s="258"/>
      <c r="Z15868" s="258"/>
    </row>
    <row r="15869" spans="1:26" ht="12.75" customHeight="1" x14ac:dyDescent="0.2">
      <c r="A15869" s="258"/>
      <c r="Z15869" s="258"/>
    </row>
    <row r="15870" spans="1:26" ht="12.75" customHeight="1" x14ac:dyDescent="0.2">
      <c r="A15870" s="258"/>
      <c r="Z15870" s="258"/>
    </row>
    <row r="15871" spans="1:26" ht="12.75" customHeight="1" x14ac:dyDescent="0.2">
      <c r="A15871" s="258"/>
      <c r="Z15871" s="258"/>
    </row>
    <row r="15872" spans="1:26" ht="12.75" customHeight="1" x14ac:dyDescent="0.2">
      <c r="A15872" s="258"/>
      <c r="Z15872" s="258"/>
    </row>
    <row r="15873" spans="1:26" ht="12.75" customHeight="1" x14ac:dyDescent="0.2">
      <c r="A15873" s="258"/>
      <c r="Z15873" s="258"/>
    </row>
    <row r="15874" spans="1:26" ht="12.75" customHeight="1" x14ac:dyDescent="0.2">
      <c r="A15874" s="258"/>
      <c r="Z15874" s="258"/>
    </row>
    <row r="15875" spans="1:26" ht="12.75" customHeight="1" x14ac:dyDescent="0.2">
      <c r="A15875" s="258"/>
      <c r="Z15875" s="258"/>
    </row>
    <row r="15876" spans="1:26" ht="12.75" customHeight="1" x14ac:dyDescent="0.2">
      <c r="A15876" s="258"/>
      <c r="Z15876" s="258"/>
    </row>
    <row r="15877" spans="1:26" ht="12.75" customHeight="1" x14ac:dyDescent="0.2">
      <c r="A15877" s="258"/>
      <c r="Z15877" s="258"/>
    </row>
    <row r="15878" spans="1:26" ht="12.75" customHeight="1" x14ac:dyDescent="0.2">
      <c r="A15878" s="258"/>
      <c r="Z15878" s="258"/>
    </row>
    <row r="15879" spans="1:26" ht="12.75" customHeight="1" x14ac:dyDescent="0.2">
      <c r="A15879" s="258"/>
      <c r="Z15879" s="258"/>
    </row>
    <row r="15880" spans="1:26" ht="12.75" customHeight="1" x14ac:dyDescent="0.2">
      <c r="A15880" s="258"/>
      <c r="Z15880" s="258"/>
    </row>
    <row r="15881" spans="1:26" ht="12.75" customHeight="1" x14ac:dyDescent="0.2">
      <c r="A15881" s="258"/>
      <c r="Z15881" s="258"/>
    </row>
    <row r="15882" spans="1:26" ht="12.75" customHeight="1" x14ac:dyDescent="0.2">
      <c r="A15882" s="258"/>
      <c r="Z15882" s="258"/>
    </row>
    <row r="15883" spans="1:26" ht="12.75" customHeight="1" x14ac:dyDescent="0.2">
      <c r="A15883" s="258"/>
      <c r="Z15883" s="258"/>
    </row>
    <row r="15884" spans="1:26" ht="12.75" customHeight="1" x14ac:dyDescent="0.2">
      <c r="A15884" s="258"/>
      <c r="Z15884" s="258"/>
    </row>
    <row r="15885" spans="1:26" ht="12.75" customHeight="1" x14ac:dyDescent="0.2">
      <c r="A15885" s="258"/>
      <c r="Z15885" s="258"/>
    </row>
    <row r="15886" spans="1:26" ht="12.75" customHeight="1" x14ac:dyDescent="0.2">
      <c r="A15886" s="258"/>
      <c r="Z15886" s="258"/>
    </row>
    <row r="15887" spans="1:26" ht="12.75" customHeight="1" x14ac:dyDescent="0.2">
      <c r="A15887" s="258"/>
      <c r="Z15887" s="258"/>
    </row>
    <row r="15888" spans="1:26" ht="12.75" customHeight="1" x14ac:dyDescent="0.2">
      <c r="A15888" s="258"/>
      <c r="Z15888" s="258"/>
    </row>
    <row r="15889" spans="1:26" ht="12.75" customHeight="1" x14ac:dyDescent="0.2">
      <c r="A15889" s="258"/>
      <c r="Z15889" s="258"/>
    </row>
    <row r="15890" spans="1:26" ht="12.75" customHeight="1" x14ac:dyDescent="0.2">
      <c r="A15890" s="258"/>
      <c r="Z15890" s="258"/>
    </row>
    <row r="15891" spans="1:26" ht="12.75" customHeight="1" x14ac:dyDescent="0.2">
      <c r="A15891" s="258"/>
      <c r="Z15891" s="258"/>
    </row>
    <row r="15892" spans="1:26" ht="12.75" customHeight="1" x14ac:dyDescent="0.2">
      <c r="A15892" s="258"/>
      <c r="Z15892" s="258"/>
    </row>
    <row r="15893" spans="1:26" ht="12.75" customHeight="1" x14ac:dyDescent="0.2">
      <c r="A15893" s="258"/>
      <c r="Z15893" s="258"/>
    </row>
    <row r="15894" spans="1:26" ht="12.75" customHeight="1" x14ac:dyDescent="0.2">
      <c r="A15894" s="258"/>
      <c r="Z15894" s="258"/>
    </row>
    <row r="15895" spans="1:26" ht="12.75" customHeight="1" x14ac:dyDescent="0.2">
      <c r="A15895" s="258"/>
      <c r="Z15895" s="258"/>
    </row>
    <row r="15896" spans="1:26" ht="12.75" customHeight="1" x14ac:dyDescent="0.2">
      <c r="A15896" s="258"/>
      <c r="Z15896" s="258"/>
    </row>
    <row r="15897" spans="1:26" ht="12.75" customHeight="1" x14ac:dyDescent="0.2">
      <c r="A15897" s="258"/>
      <c r="Z15897" s="258"/>
    </row>
    <row r="15898" spans="1:26" ht="12.75" customHeight="1" x14ac:dyDescent="0.2">
      <c r="A15898" s="258"/>
      <c r="Z15898" s="258"/>
    </row>
    <row r="15899" spans="1:26" ht="12.75" customHeight="1" x14ac:dyDescent="0.2">
      <c r="A15899" s="258"/>
      <c r="Z15899" s="258"/>
    </row>
    <row r="15900" spans="1:26" ht="12.75" customHeight="1" x14ac:dyDescent="0.2">
      <c r="A15900" s="258"/>
      <c r="Z15900" s="258"/>
    </row>
    <row r="15901" spans="1:26" ht="12.75" customHeight="1" x14ac:dyDescent="0.2">
      <c r="A15901" s="258"/>
      <c r="Z15901" s="258"/>
    </row>
    <row r="15902" spans="1:26" ht="12.75" customHeight="1" x14ac:dyDescent="0.2">
      <c r="A15902" s="258"/>
      <c r="Z15902" s="258"/>
    </row>
    <row r="15903" spans="1:26" ht="12.75" customHeight="1" x14ac:dyDescent="0.2">
      <c r="A15903" s="258"/>
      <c r="Z15903" s="258"/>
    </row>
    <row r="15904" spans="1:26" ht="12.75" customHeight="1" x14ac:dyDescent="0.2">
      <c r="A15904" s="258"/>
      <c r="Z15904" s="258"/>
    </row>
    <row r="15905" spans="1:26" ht="12.75" customHeight="1" x14ac:dyDescent="0.2">
      <c r="A15905" s="258"/>
      <c r="Z15905" s="258"/>
    </row>
    <row r="15906" spans="1:26" ht="12.75" customHeight="1" x14ac:dyDescent="0.2">
      <c r="A15906" s="258"/>
      <c r="Z15906" s="258"/>
    </row>
    <row r="15907" spans="1:26" ht="12.75" customHeight="1" x14ac:dyDescent="0.2">
      <c r="A15907" s="258"/>
      <c r="Z15907" s="258"/>
    </row>
    <row r="15908" spans="1:26" ht="12.75" customHeight="1" x14ac:dyDescent="0.2">
      <c r="A15908" s="258"/>
      <c r="Z15908" s="258"/>
    </row>
    <row r="15909" spans="1:26" ht="12.75" customHeight="1" x14ac:dyDescent="0.2">
      <c r="A15909" s="258"/>
      <c r="Z15909" s="258"/>
    </row>
    <row r="15910" spans="1:26" ht="12.75" customHeight="1" x14ac:dyDescent="0.2">
      <c r="A15910" s="258"/>
      <c r="Z15910" s="258"/>
    </row>
    <row r="15911" spans="1:26" ht="12.75" customHeight="1" x14ac:dyDescent="0.2">
      <c r="A15911" s="258"/>
      <c r="Z15911" s="258"/>
    </row>
    <row r="15912" spans="1:26" ht="12.75" customHeight="1" x14ac:dyDescent="0.2">
      <c r="A15912" s="258"/>
      <c r="Z15912" s="258"/>
    </row>
    <row r="15913" spans="1:26" ht="12.75" customHeight="1" x14ac:dyDescent="0.2">
      <c r="A15913" s="258"/>
      <c r="Z15913" s="258"/>
    </row>
    <row r="15914" spans="1:26" ht="12.75" customHeight="1" x14ac:dyDescent="0.2">
      <c r="A15914" s="258"/>
      <c r="Z15914" s="258"/>
    </row>
    <row r="15915" spans="1:26" ht="12.75" customHeight="1" x14ac:dyDescent="0.2">
      <c r="A15915" s="258"/>
      <c r="Z15915" s="258"/>
    </row>
    <row r="15916" spans="1:26" ht="12.75" customHeight="1" x14ac:dyDescent="0.2">
      <c r="A15916" s="258"/>
      <c r="Z15916" s="258"/>
    </row>
    <row r="15917" spans="1:26" ht="12.75" customHeight="1" x14ac:dyDescent="0.2">
      <c r="A15917" s="258"/>
      <c r="Z15917" s="258"/>
    </row>
    <row r="15918" spans="1:26" ht="12.75" customHeight="1" x14ac:dyDescent="0.2">
      <c r="A15918" s="258"/>
      <c r="Z15918" s="258"/>
    </row>
    <row r="15919" spans="1:26" ht="12.75" customHeight="1" x14ac:dyDescent="0.2">
      <c r="A15919" s="258"/>
      <c r="Z15919" s="258"/>
    </row>
    <row r="15920" spans="1:26" ht="12.75" customHeight="1" x14ac:dyDescent="0.2">
      <c r="A15920" s="258"/>
      <c r="Z15920" s="258"/>
    </row>
    <row r="15921" spans="1:26" ht="12.75" customHeight="1" x14ac:dyDescent="0.2">
      <c r="A15921" s="258"/>
      <c r="Z15921" s="258"/>
    </row>
    <row r="15922" spans="1:26" ht="12.75" customHeight="1" x14ac:dyDescent="0.2">
      <c r="A15922" s="258"/>
      <c r="Z15922" s="258"/>
    </row>
    <row r="15923" spans="1:26" ht="12.75" customHeight="1" x14ac:dyDescent="0.2">
      <c r="A15923" s="258"/>
      <c r="Z15923" s="258"/>
    </row>
    <row r="15924" spans="1:26" ht="12.75" customHeight="1" x14ac:dyDescent="0.2">
      <c r="A15924" s="258"/>
      <c r="Z15924" s="258"/>
    </row>
    <row r="15925" spans="1:26" ht="12.75" customHeight="1" x14ac:dyDescent="0.2">
      <c r="A15925" s="258"/>
      <c r="Z15925" s="258"/>
    </row>
    <row r="15926" spans="1:26" ht="12.75" customHeight="1" x14ac:dyDescent="0.2">
      <c r="A15926" s="258"/>
      <c r="Z15926" s="258"/>
    </row>
    <row r="15927" spans="1:26" ht="12.75" customHeight="1" x14ac:dyDescent="0.2">
      <c r="A15927" s="258"/>
      <c r="Z15927" s="258"/>
    </row>
    <row r="15928" spans="1:26" ht="12.75" customHeight="1" x14ac:dyDescent="0.2">
      <c r="A15928" s="258"/>
      <c r="Z15928" s="258"/>
    </row>
    <row r="15929" spans="1:26" ht="12.75" customHeight="1" x14ac:dyDescent="0.2">
      <c r="A15929" s="258"/>
      <c r="Z15929" s="258"/>
    </row>
    <row r="15930" spans="1:26" ht="12.75" customHeight="1" x14ac:dyDescent="0.2">
      <c r="A15930" s="258"/>
      <c r="Z15930" s="258"/>
    </row>
    <row r="15931" spans="1:26" ht="12.75" customHeight="1" x14ac:dyDescent="0.2">
      <c r="A15931" s="258"/>
      <c r="Z15931" s="258"/>
    </row>
    <row r="15932" spans="1:26" ht="12.75" customHeight="1" x14ac:dyDescent="0.2">
      <c r="A15932" s="258"/>
      <c r="Z15932" s="258"/>
    </row>
    <row r="15933" spans="1:26" ht="12.75" customHeight="1" x14ac:dyDescent="0.2">
      <c r="A15933" s="258"/>
      <c r="Z15933" s="258"/>
    </row>
    <row r="15934" spans="1:26" ht="12.75" customHeight="1" x14ac:dyDescent="0.2">
      <c r="A15934" s="258"/>
      <c r="Z15934" s="258"/>
    </row>
    <row r="15935" spans="1:26" ht="12.75" customHeight="1" x14ac:dyDescent="0.2">
      <c r="A15935" s="258"/>
      <c r="Z15935" s="258"/>
    </row>
    <row r="15936" spans="1:26" ht="12.75" customHeight="1" x14ac:dyDescent="0.2">
      <c r="A15936" s="258"/>
      <c r="Z15936" s="258"/>
    </row>
    <row r="15937" spans="1:26" ht="12.75" customHeight="1" x14ac:dyDescent="0.2">
      <c r="A15937" s="258"/>
      <c r="Z15937" s="258"/>
    </row>
    <row r="15938" spans="1:26" ht="12.75" customHeight="1" x14ac:dyDescent="0.2">
      <c r="A15938" s="258"/>
      <c r="Z15938" s="258"/>
    </row>
    <row r="15939" spans="1:26" ht="12.75" customHeight="1" x14ac:dyDescent="0.2">
      <c r="A15939" s="258"/>
      <c r="Z15939" s="258"/>
    </row>
    <row r="15940" spans="1:26" ht="12.75" customHeight="1" x14ac:dyDescent="0.2">
      <c r="A15940" s="258"/>
      <c r="Z15940" s="258"/>
    </row>
    <row r="15941" spans="1:26" ht="12.75" customHeight="1" x14ac:dyDescent="0.2">
      <c r="A15941" s="258"/>
      <c r="Z15941" s="258"/>
    </row>
    <row r="15942" spans="1:26" ht="12.75" customHeight="1" x14ac:dyDescent="0.2">
      <c r="A15942" s="258"/>
      <c r="Z15942" s="258"/>
    </row>
    <row r="15943" spans="1:26" ht="12.75" customHeight="1" x14ac:dyDescent="0.2">
      <c r="A15943" s="258"/>
      <c r="Z15943" s="258"/>
    </row>
    <row r="15944" spans="1:26" ht="12.75" customHeight="1" x14ac:dyDescent="0.2">
      <c r="A15944" s="258"/>
      <c r="Z15944" s="258"/>
    </row>
    <row r="15945" spans="1:26" ht="12.75" customHeight="1" x14ac:dyDescent="0.2">
      <c r="A15945" s="258"/>
      <c r="Z15945" s="258"/>
    </row>
    <row r="15946" spans="1:26" ht="12.75" customHeight="1" x14ac:dyDescent="0.2">
      <c r="A15946" s="258"/>
      <c r="Z15946" s="258"/>
    </row>
    <row r="15947" spans="1:26" ht="12.75" customHeight="1" x14ac:dyDescent="0.2">
      <c r="A15947" s="258"/>
      <c r="Z15947" s="258"/>
    </row>
    <row r="15948" spans="1:26" ht="12.75" customHeight="1" x14ac:dyDescent="0.2">
      <c r="A15948" s="258"/>
      <c r="Z15948" s="258"/>
    </row>
    <row r="15949" spans="1:26" ht="12.75" customHeight="1" x14ac:dyDescent="0.2">
      <c r="A15949" s="258"/>
      <c r="Z15949" s="258"/>
    </row>
    <row r="15950" spans="1:26" ht="12.75" customHeight="1" x14ac:dyDescent="0.2">
      <c r="A15950" s="258"/>
      <c r="Z15950" s="258"/>
    </row>
    <row r="15951" spans="1:26" ht="12.75" customHeight="1" x14ac:dyDescent="0.2">
      <c r="A15951" s="258"/>
      <c r="Z15951" s="258"/>
    </row>
    <row r="15952" spans="1:26" ht="12.75" customHeight="1" x14ac:dyDescent="0.2">
      <c r="A15952" s="258"/>
      <c r="Z15952" s="258"/>
    </row>
    <row r="15953" spans="1:26" ht="12.75" customHeight="1" x14ac:dyDescent="0.2">
      <c r="A15953" s="258"/>
      <c r="Z15953" s="258"/>
    </row>
    <row r="15954" spans="1:26" ht="12.75" customHeight="1" x14ac:dyDescent="0.2">
      <c r="A15954" s="258"/>
      <c r="Z15954" s="258"/>
    </row>
    <row r="15955" spans="1:26" ht="12.75" customHeight="1" x14ac:dyDescent="0.2">
      <c r="A15955" s="258"/>
      <c r="Z15955" s="258"/>
    </row>
    <row r="15956" spans="1:26" ht="12.75" customHeight="1" x14ac:dyDescent="0.2">
      <c r="A15956" s="258"/>
      <c r="Z15956" s="258"/>
    </row>
    <row r="15957" spans="1:26" ht="12.75" customHeight="1" x14ac:dyDescent="0.2">
      <c r="A15957" s="258"/>
      <c r="Z15957" s="258"/>
    </row>
    <row r="15958" spans="1:26" ht="12.75" customHeight="1" x14ac:dyDescent="0.2">
      <c r="A15958" s="258"/>
      <c r="Z15958" s="258"/>
    </row>
    <row r="15959" spans="1:26" ht="12.75" customHeight="1" x14ac:dyDescent="0.2">
      <c r="A15959" s="258"/>
      <c r="Z15959" s="258"/>
    </row>
    <row r="15960" spans="1:26" ht="12.75" customHeight="1" x14ac:dyDescent="0.2">
      <c r="A15960" s="258"/>
      <c r="Z15960" s="258"/>
    </row>
    <row r="15961" spans="1:26" ht="12.75" customHeight="1" x14ac:dyDescent="0.2">
      <c r="A15961" s="258"/>
      <c r="Z15961" s="258"/>
    </row>
    <row r="15962" spans="1:26" ht="12.75" customHeight="1" x14ac:dyDescent="0.2">
      <c r="A15962" s="258"/>
      <c r="Z15962" s="258"/>
    </row>
    <row r="15963" spans="1:26" ht="12.75" customHeight="1" x14ac:dyDescent="0.2">
      <c r="A15963" s="258"/>
      <c r="Z15963" s="258"/>
    </row>
    <row r="15964" spans="1:26" ht="12.75" customHeight="1" x14ac:dyDescent="0.2">
      <c r="A15964" s="258"/>
      <c r="Z15964" s="258"/>
    </row>
    <row r="15965" spans="1:26" ht="12.75" customHeight="1" x14ac:dyDescent="0.2">
      <c r="A15965" s="258"/>
      <c r="Z15965" s="258"/>
    </row>
    <row r="15966" spans="1:26" ht="12.75" customHeight="1" x14ac:dyDescent="0.2">
      <c r="A15966" s="258"/>
      <c r="Z15966" s="258"/>
    </row>
    <row r="15967" spans="1:26" ht="12.75" customHeight="1" x14ac:dyDescent="0.2">
      <c r="A15967" s="258"/>
      <c r="Z15967" s="258"/>
    </row>
    <row r="15968" spans="1:26" ht="12.75" customHeight="1" x14ac:dyDescent="0.2">
      <c r="A15968" s="258"/>
      <c r="Z15968" s="258"/>
    </row>
    <row r="15969" spans="1:26" ht="12.75" customHeight="1" x14ac:dyDescent="0.2">
      <c r="A15969" s="258"/>
      <c r="Z15969" s="258"/>
    </row>
    <row r="15970" spans="1:26" ht="12.75" customHeight="1" x14ac:dyDescent="0.2">
      <c r="A15970" s="258"/>
      <c r="Z15970" s="258"/>
    </row>
    <row r="15971" spans="1:26" ht="12.75" customHeight="1" x14ac:dyDescent="0.2">
      <c r="A15971" s="258"/>
      <c r="Z15971" s="258"/>
    </row>
    <row r="15972" spans="1:26" ht="12.75" customHeight="1" x14ac:dyDescent="0.2">
      <c r="A15972" s="258"/>
      <c r="Z15972" s="258"/>
    </row>
    <row r="15973" spans="1:26" ht="12.75" customHeight="1" x14ac:dyDescent="0.2">
      <c r="A15973" s="258"/>
      <c r="Z15973" s="258"/>
    </row>
    <row r="15974" spans="1:26" ht="12.75" customHeight="1" x14ac:dyDescent="0.2">
      <c r="A15974" s="258"/>
      <c r="Z15974" s="258"/>
    </row>
    <row r="15975" spans="1:26" ht="12.75" customHeight="1" x14ac:dyDescent="0.2">
      <c r="A15975" s="258"/>
      <c r="Z15975" s="258"/>
    </row>
    <row r="15976" spans="1:26" ht="12.75" customHeight="1" x14ac:dyDescent="0.2">
      <c r="A15976" s="258"/>
      <c r="Z15976" s="258"/>
    </row>
    <row r="15977" spans="1:26" ht="12.75" customHeight="1" x14ac:dyDescent="0.2">
      <c r="A15977" s="258"/>
      <c r="Z15977" s="258"/>
    </row>
    <row r="15978" spans="1:26" ht="12.75" customHeight="1" x14ac:dyDescent="0.2">
      <c r="A15978" s="258"/>
      <c r="Z15978" s="258"/>
    </row>
    <row r="15979" spans="1:26" ht="12.75" customHeight="1" x14ac:dyDescent="0.2">
      <c r="A15979" s="258"/>
      <c r="Z15979" s="258"/>
    </row>
    <row r="15980" spans="1:26" ht="12.75" customHeight="1" x14ac:dyDescent="0.2">
      <c r="A15980" s="258"/>
      <c r="Z15980" s="258"/>
    </row>
    <row r="15981" spans="1:26" ht="12.75" customHeight="1" x14ac:dyDescent="0.2">
      <c r="A15981" s="258"/>
      <c r="Z15981" s="258"/>
    </row>
    <row r="15982" spans="1:26" ht="12.75" customHeight="1" x14ac:dyDescent="0.2">
      <c r="A15982" s="258"/>
      <c r="Z15982" s="258"/>
    </row>
    <row r="15983" spans="1:26" ht="12.75" customHeight="1" x14ac:dyDescent="0.2">
      <c r="A15983" s="258"/>
      <c r="Z15983" s="258"/>
    </row>
    <row r="15984" spans="1:26" ht="12.75" customHeight="1" x14ac:dyDescent="0.2">
      <c r="A15984" s="258"/>
      <c r="Z15984" s="258"/>
    </row>
    <row r="15985" spans="1:26" ht="12.75" customHeight="1" x14ac:dyDescent="0.2">
      <c r="A15985" s="258"/>
      <c r="Z15985" s="258"/>
    </row>
    <row r="15986" spans="1:26" ht="12.75" customHeight="1" x14ac:dyDescent="0.2">
      <c r="A15986" s="258"/>
      <c r="Z15986" s="258"/>
    </row>
    <row r="15987" spans="1:26" ht="12.75" customHeight="1" x14ac:dyDescent="0.2">
      <c r="A15987" s="258"/>
      <c r="Z15987" s="258"/>
    </row>
    <row r="15988" spans="1:26" ht="12.75" customHeight="1" x14ac:dyDescent="0.2">
      <c r="A15988" s="258"/>
      <c r="Z15988" s="258"/>
    </row>
    <row r="15989" spans="1:26" ht="12.75" customHeight="1" x14ac:dyDescent="0.2">
      <c r="A15989" s="258"/>
      <c r="Z15989" s="258"/>
    </row>
    <row r="15990" spans="1:26" ht="12.75" customHeight="1" x14ac:dyDescent="0.2">
      <c r="A15990" s="258"/>
      <c r="Z15990" s="258"/>
    </row>
    <row r="15991" spans="1:26" ht="12.75" customHeight="1" x14ac:dyDescent="0.2">
      <c r="A15991" s="258"/>
      <c r="Z15991" s="258"/>
    </row>
    <row r="15992" spans="1:26" ht="12.75" customHeight="1" x14ac:dyDescent="0.2">
      <c r="A15992" s="258"/>
      <c r="Z15992" s="258"/>
    </row>
    <row r="15993" spans="1:26" ht="12.75" customHeight="1" x14ac:dyDescent="0.2">
      <c r="A15993" s="258"/>
      <c r="Z15993" s="258"/>
    </row>
    <row r="15994" spans="1:26" ht="12.75" customHeight="1" x14ac:dyDescent="0.2">
      <c r="A15994" s="258"/>
      <c r="Z15994" s="258"/>
    </row>
    <row r="15995" spans="1:26" ht="12.75" customHeight="1" x14ac:dyDescent="0.2">
      <c r="A15995" s="258"/>
      <c r="Z15995" s="258"/>
    </row>
    <row r="15996" spans="1:26" ht="12.75" customHeight="1" x14ac:dyDescent="0.2">
      <c r="A15996" s="258"/>
      <c r="Z15996" s="258"/>
    </row>
    <row r="15997" spans="1:26" ht="12.75" customHeight="1" x14ac:dyDescent="0.2">
      <c r="A15997" s="258"/>
      <c r="Z15997" s="258"/>
    </row>
    <row r="15998" spans="1:26" ht="12.75" customHeight="1" x14ac:dyDescent="0.2">
      <c r="A15998" s="258"/>
      <c r="Z15998" s="258"/>
    </row>
    <row r="15999" spans="1:26" ht="12.75" customHeight="1" x14ac:dyDescent="0.2">
      <c r="A15999" s="258"/>
      <c r="Z15999" s="258"/>
    </row>
    <row r="16000" spans="1:26" ht="12.75" customHeight="1" x14ac:dyDescent="0.2">
      <c r="A16000" s="258"/>
      <c r="Z16000" s="258"/>
    </row>
    <row r="16001" spans="1:26" ht="12.75" customHeight="1" x14ac:dyDescent="0.2">
      <c r="A16001" s="258"/>
      <c r="Z16001" s="258"/>
    </row>
    <row r="16002" spans="1:26" ht="12.75" customHeight="1" x14ac:dyDescent="0.2">
      <c r="A16002" s="258"/>
      <c r="Z16002" s="258"/>
    </row>
    <row r="16003" spans="1:26" ht="12.75" customHeight="1" x14ac:dyDescent="0.2">
      <c r="A16003" s="258"/>
      <c r="Z16003" s="258"/>
    </row>
    <row r="16004" spans="1:26" ht="12.75" customHeight="1" x14ac:dyDescent="0.2">
      <c r="A16004" s="258"/>
      <c r="Z16004" s="258"/>
    </row>
    <row r="16005" spans="1:26" ht="12.75" customHeight="1" x14ac:dyDescent="0.2">
      <c r="A16005" s="258"/>
      <c r="Z16005" s="258"/>
    </row>
    <row r="16006" spans="1:26" ht="12.75" customHeight="1" x14ac:dyDescent="0.2">
      <c r="A16006" s="258"/>
      <c r="Z16006" s="258"/>
    </row>
    <row r="16007" spans="1:26" ht="12.75" customHeight="1" x14ac:dyDescent="0.2">
      <c r="A16007" s="258"/>
      <c r="Z16007" s="258"/>
    </row>
    <row r="16008" spans="1:26" ht="12.75" customHeight="1" x14ac:dyDescent="0.2">
      <c r="A16008" s="258"/>
      <c r="Z16008" s="258"/>
    </row>
    <row r="16009" spans="1:26" ht="12.75" customHeight="1" x14ac:dyDescent="0.2">
      <c r="A16009" s="258"/>
      <c r="Z16009" s="258"/>
    </row>
    <row r="16010" spans="1:26" ht="12.75" customHeight="1" x14ac:dyDescent="0.2">
      <c r="A16010" s="258"/>
      <c r="Z16010" s="258"/>
    </row>
    <row r="16011" spans="1:26" ht="12.75" customHeight="1" x14ac:dyDescent="0.2">
      <c r="A16011" s="258"/>
      <c r="Z16011" s="258"/>
    </row>
    <row r="16012" spans="1:26" ht="12.75" customHeight="1" x14ac:dyDescent="0.2">
      <c r="A16012" s="258"/>
      <c r="Z16012" s="258"/>
    </row>
    <row r="16013" spans="1:26" ht="12.75" customHeight="1" x14ac:dyDescent="0.2">
      <c r="A16013" s="258"/>
      <c r="Z16013" s="258"/>
    </row>
    <row r="16014" spans="1:26" ht="12.75" customHeight="1" x14ac:dyDescent="0.2">
      <c r="A16014" s="258"/>
      <c r="Z16014" s="258"/>
    </row>
    <row r="16015" spans="1:26" ht="12.75" customHeight="1" x14ac:dyDescent="0.2">
      <c r="A16015" s="258"/>
      <c r="Z16015" s="258"/>
    </row>
    <row r="16016" spans="1:26" ht="12.75" customHeight="1" x14ac:dyDescent="0.2">
      <c r="A16016" s="258"/>
      <c r="Z16016" s="258"/>
    </row>
    <row r="16017" spans="1:26" ht="12.75" customHeight="1" x14ac:dyDescent="0.2">
      <c r="A16017" s="258"/>
      <c r="Z16017" s="258"/>
    </row>
    <row r="16018" spans="1:26" ht="12.75" customHeight="1" x14ac:dyDescent="0.2">
      <c r="A16018" s="258"/>
      <c r="Z16018" s="258"/>
    </row>
    <row r="16019" spans="1:26" ht="12.75" customHeight="1" x14ac:dyDescent="0.2">
      <c r="A16019" s="258"/>
      <c r="Z16019" s="258"/>
    </row>
    <row r="16020" spans="1:26" ht="12.75" customHeight="1" x14ac:dyDescent="0.2">
      <c r="A16020" s="258"/>
      <c r="Z16020" s="258"/>
    </row>
    <row r="16021" spans="1:26" ht="12.75" customHeight="1" x14ac:dyDescent="0.2">
      <c r="A16021" s="258"/>
      <c r="Z16021" s="258"/>
    </row>
    <row r="16022" spans="1:26" ht="12.75" customHeight="1" x14ac:dyDescent="0.2">
      <c r="A16022" s="258"/>
      <c r="Z16022" s="258"/>
    </row>
    <row r="16023" spans="1:26" ht="12.75" customHeight="1" x14ac:dyDescent="0.2">
      <c r="A16023" s="258"/>
      <c r="Z16023" s="258"/>
    </row>
    <row r="16024" spans="1:26" ht="12.75" customHeight="1" x14ac:dyDescent="0.2">
      <c r="A16024" s="258"/>
      <c r="Z16024" s="258"/>
    </row>
    <row r="16025" spans="1:26" ht="12.75" customHeight="1" x14ac:dyDescent="0.2">
      <c r="A16025" s="258"/>
      <c r="Z16025" s="258"/>
    </row>
    <row r="16026" spans="1:26" ht="12.75" customHeight="1" x14ac:dyDescent="0.2">
      <c r="A16026" s="258"/>
      <c r="Z16026" s="258"/>
    </row>
    <row r="16027" spans="1:26" ht="12.75" customHeight="1" x14ac:dyDescent="0.2">
      <c r="A16027" s="258"/>
      <c r="Z16027" s="258"/>
    </row>
    <row r="16028" spans="1:26" ht="12.75" customHeight="1" x14ac:dyDescent="0.2">
      <c r="A16028" s="258"/>
      <c r="Z16028" s="258"/>
    </row>
    <row r="16029" spans="1:26" ht="12.75" customHeight="1" x14ac:dyDescent="0.2">
      <c r="A16029" s="258"/>
      <c r="Z16029" s="258"/>
    </row>
    <row r="16030" spans="1:26" ht="12.75" customHeight="1" x14ac:dyDescent="0.2">
      <c r="A16030" s="258"/>
      <c r="Z16030" s="258"/>
    </row>
    <row r="16031" spans="1:26" ht="12.75" customHeight="1" x14ac:dyDescent="0.2">
      <c r="A16031" s="258"/>
      <c r="Z16031" s="258"/>
    </row>
    <row r="16032" spans="1:26" ht="12.75" customHeight="1" x14ac:dyDescent="0.2">
      <c r="A16032" s="258"/>
      <c r="Z16032" s="258"/>
    </row>
    <row r="16033" spans="1:26" ht="12.75" customHeight="1" x14ac:dyDescent="0.2">
      <c r="A16033" s="258"/>
      <c r="Z16033" s="258"/>
    </row>
    <row r="16034" spans="1:26" ht="12.75" customHeight="1" x14ac:dyDescent="0.2">
      <c r="A16034" s="258"/>
      <c r="Z16034" s="258"/>
    </row>
    <row r="16035" spans="1:26" ht="12.75" customHeight="1" x14ac:dyDescent="0.2">
      <c r="A16035" s="258"/>
      <c r="Z16035" s="258"/>
    </row>
    <row r="16036" spans="1:26" ht="12.75" customHeight="1" x14ac:dyDescent="0.2">
      <c r="A16036" s="258"/>
      <c r="Z16036" s="258"/>
    </row>
    <row r="16037" spans="1:26" ht="12.75" customHeight="1" x14ac:dyDescent="0.2">
      <c r="A16037" s="258"/>
      <c r="Z16037" s="258"/>
    </row>
    <row r="16038" spans="1:26" ht="12.75" customHeight="1" x14ac:dyDescent="0.2">
      <c r="A16038" s="258"/>
      <c r="Z16038" s="258"/>
    </row>
    <row r="16039" spans="1:26" ht="12.75" customHeight="1" x14ac:dyDescent="0.2">
      <c r="A16039" s="258"/>
      <c r="Z16039" s="258"/>
    </row>
    <row r="16040" spans="1:26" ht="12.75" customHeight="1" x14ac:dyDescent="0.2">
      <c r="A16040" s="258"/>
      <c r="Z16040" s="258"/>
    </row>
    <row r="16041" spans="1:26" ht="12.75" customHeight="1" x14ac:dyDescent="0.2">
      <c r="A16041" s="258"/>
      <c r="Z16041" s="258"/>
    </row>
    <row r="16042" spans="1:26" ht="12.75" customHeight="1" x14ac:dyDescent="0.2">
      <c r="A16042" s="258"/>
      <c r="Z16042" s="258"/>
    </row>
    <row r="16043" spans="1:26" ht="12.75" customHeight="1" x14ac:dyDescent="0.2">
      <c r="A16043" s="258"/>
      <c r="Z16043" s="258"/>
    </row>
    <row r="16044" spans="1:26" ht="12.75" customHeight="1" x14ac:dyDescent="0.2">
      <c r="A16044" s="258"/>
      <c r="Z16044" s="258"/>
    </row>
    <row r="16045" spans="1:26" ht="12.75" customHeight="1" x14ac:dyDescent="0.2">
      <c r="A16045" s="258"/>
      <c r="Z16045" s="258"/>
    </row>
    <row r="16046" spans="1:26" ht="12.75" customHeight="1" x14ac:dyDescent="0.2">
      <c r="A16046" s="258"/>
      <c r="Z16046" s="258"/>
    </row>
    <row r="16047" spans="1:26" ht="12.75" customHeight="1" x14ac:dyDescent="0.2">
      <c r="A16047" s="258"/>
      <c r="Z16047" s="258"/>
    </row>
    <row r="16048" spans="1:26" ht="12.75" customHeight="1" x14ac:dyDescent="0.2">
      <c r="A16048" s="258"/>
      <c r="Z16048" s="258"/>
    </row>
    <row r="16049" spans="1:26" ht="12.75" customHeight="1" x14ac:dyDescent="0.2">
      <c r="A16049" s="258"/>
      <c r="Z16049" s="258"/>
    </row>
    <row r="16050" spans="1:26" ht="12.75" customHeight="1" x14ac:dyDescent="0.2">
      <c r="A16050" s="258"/>
      <c r="Z16050" s="258"/>
    </row>
    <row r="16051" spans="1:26" ht="12.75" customHeight="1" x14ac:dyDescent="0.2">
      <c r="A16051" s="258"/>
      <c r="Z16051" s="258"/>
    </row>
    <row r="16052" spans="1:26" ht="12.75" customHeight="1" x14ac:dyDescent="0.2">
      <c r="A16052" s="258"/>
      <c r="Z16052" s="258"/>
    </row>
    <row r="16053" spans="1:26" ht="12.75" customHeight="1" x14ac:dyDescent="0.2">
      <c r="A16053" s="258"/>
      <c r="Z16053" s="258"/>
    </row>
    <row r="16054" spans="1:26" ht="12.75" customHeight="1" x14ac:dyDescent="0.2">
      <c r="A16054" s="258"/>
      <c r="Z16054" s="258"/>
    </row>
    <row r="16055" spans="1:26" ht="12.75" customHeight="1" x14ac:dyDescent="0.2">
      <c r="A16055" s="258"/>
      <c r="Z16055" s="258"/>
    </row>
    <row r="16056" spans="1:26" ht="12.75" customHeight="1" x14ac:dyDescent="0.2">
      <c r="A16056" s="258"/>
      <c r="Z16056" s="258"/>
    </row>
    <row r="16057" spans="1:26" ht="12.75" customHeight="1" x14ac:dyDescent="0.2">
      <c r="A16057" s="258"/>
      <c r="Z16057" s="258"/>
    </row>
    <row r="16058" spans="1:26" ht="12.75" customHeight="1" x14ac:dyDescent="0.2">
      <c r="A16058" s="258"/>
      <c r="Z16058" s="258"/>
    </row>
    <row r="16059" spans="1:26" ht="12.75" customHeight="1" x14ac:dyDescent="0.2">
      <c r="A16059" s="258"/>
      <c r="Z16059" s="258"/>
    </row>
    <row r="16060" spans="1:26" ht="12.75" customHeight="1" x14ac:dyDescent="0.2">
      <c r="A16060" s="258"/>
      <c r="Z16060" s="258"/>
    </row>
    <row r="16061" spans="1:26" ht="12.75" customHeight="1" x14ac:dyDescent="0.2">
      <c r="A16061" s="258"/>
      <c r="Z16061" s="258"/>
    </row>
    <row r="16062" spans="1:26" ht="12.75" customHeight="1" x14ac:dyDescent="0.2">
      <c r="A16062" s="258"/>
      <c r="Z16062" s="258"/>
    </row>
    <row r="16063" spans="1:26" ht="12.75" customHeight="1" x14ac:dyDescent="0.2">
      <c r="A16063" s="258"/>
      <c r="Z16063" s="258"/>
    </row>
    <row r="16064" spans="1:26" ht="12.75" customHeight="1" x14ac:dyDescent="0.2">
      <c r="A16064" s="258"/>
      <c r="Z16064" s="258"/>
    </row>
    <row r="16065" spans="1:26" ht="12.75" customHeight="1" x14ac:dyDescent="0.2">
      <c r="A16065" s="258"/>
      <c r="Z16065" s="258"/>
    </row>
    <row r="16066" spans="1:26" ht="12.75" customHeight="1" x14ac:dyDescent="0.2">
      <c r="A16066" s="258"/>
      <c r="Z16066" s="258"/>
    </row>
    <row r="16067" spans="1:26" ht="12.75" customHeight="1" x14ac:dyDescent="0.2">
      <c r="A16067" s="258"/>
      <c r="Z16067" s="258"/>
    </row>
    <row r="16068" spans="1:26" ht="12.75" customHeight="1" x14ac:dyDescent="0.2">
      <c r="A16068" s="258"/>
      <c r="Z16068" s="258"/>
    </row>
    <row r="16069" spans="1:26" ht="12.75" customHeight="1" x14ac:dyDescent="0.2">
      <c r="A16069" s="258"/>
      <c r="Z16069" s="258"/>
    </row>
    <row r="16070" spans="1:26" ht="12.75" customHeight="1" x14ac:dyDescent="0.2">
      <c r="A16070" s="258"/>
      <c r="Z16070" s="258"/>
    </row>
    <row r="16071" spans="1:26" ht="12.75" customHeight="1" x14ac:dyDescent="0.2">
      <c r="A16071" s="258"/>
      <c r="Z16071" s="258"/>
    </row>
    <row r="16072" spans="1:26" ht="12.75" customHeight="1" x14ac:dyDescent="0.2">
      <c r="A16072" s="258"/>
      <c r="Z16072" s="258"/>
    </row>
    <row r="16073" spans="1:26" ht="12.75" customHeight="1" x14ac:dyDescent="0.2">
      <c r="A16073" s="258"/>
      <c r="Z16073" s="258"/>
    </row>
    <row r="16074" spans="1:26" ht="12.75" customHeight="1" x14ac:dyDescent="0.2">
      <c r="A16074" s="258"/>
      <c r="Z16074" s="258"/>
    </row>
    <row r="16075" spans="1:26" ht="12.75" customHeight="1" x14ac:dyDescent="0.2">
      <c r="A16075" s="258"/>
      <c r="Z16075" s="258"/>
    </row>
    <row r="16076" spans="1:26" ht="12.75" customHeight="1" x14ac:dyDescent="0.2">
      <c r="A16076" s="258"/>
      <c r="Z16076" s="258"/>
    </row>
    <row r="16077" spans="1:26" ht="12.75" customHeight="1" x14ac:dyDescent="0.2">
      <c r="A16077" s="258"/>
      <c r="Z16077" s="258"/>
    </row>
    <row r="16078" spans="1:26" ht="12.75" customHeight="1" x14ac:dyDescent="0.2">
      <c r="A16078" s="258"/>
      <c r="Z16078" s="258"/>
    </row>
    <row r="16079" spans="1:26" ht="12.75" customHeight="1" x14ac:dyDescent="0.2">
      <c r="A16079" s="258"/>
      <c r="Z16079" s="258"/>
    </row>
    <row r="16080" spans="1:26" ht="12.75" customHeight="1" x14ac:dyDescent="0.2">
      <c r="A16080" s="258"/>
      <c r="Z16080" s="258"/>
    </row>
    <row r="16081" spans="1:26" ht="12.75" customHeight="1" x14ac:dyDescent="0.2">
      <c r="A16081" s="258"/>
      <c r="Z16081" s="258"/>
    </row>
    <row r="16082" spans="1:26" ht="12.75" customHeight="1" x14ac:dyDescent="0.2">
      <c r="A16082" s="258"/>
      <c r="Z16082" s="258"/>
    </row>
    <row r="16083" spans="1:26" ht="12.75" customHeight="1" x14ac:dyDescent="0.2">
      <c r="A16083" s="258"/>
      <c r="Z16083" s="258"/>
    </row>
    <row r="16084" spans="1:26" ht="12.75" customHeight="1" x14ac:dyDescent="0.2">
      <c r="A16084" s="258"/>
      <c r="Z16084" s="258"/>
    </row>
    <row r="16085" spans="1:26" ht="12.75" customHeight="1" x14ac:dyDescent="0.2">
      <c r="A16085" s="258"/>
      <c r="Z16085" s="258"/>
    </row>
    <row r="16086" spans="1:26" ht="12.75" customHeight="1" x14ac:dyDescent="0.2">
      <c r="A16086" s="258"/>
      <c r="Z16086" s="258"/>
    </row>
    <row r="16087" spans="1:26" ht="12.75" customHeight="1" x14ac:dyDescent="0.2">
      <c r="A16087" s="258"/>
      <c r="Z16087" s="258"/>
    </row>
    <row r="16088" spans="1:26" ht="12.75" customHeight="1" x14ac:dyDescent="0.2">
      <c r="A16088" s="258"/>
      <c r="Z16088" s="258"/>
    </row>
    <row r="16089" spans="1:26" ht="12.75" customHeight="1" x14ac:dyDescent="0.2">
      <c r="A16089" s="258"/>
      <c r="Z16089" s="258"/>
    </row>
    <row r="16090" spans="1:26" ht="12.75" customHeight="1" x14ac:dyDescent="0.2">
      <c r="A16090" s="258"/>
      <c r="Z16090" s="258"/>
    </row>
    <row r="16091" spans="1:26" ht="12.75" customHeight="1" x14ac:dyDescent="0.2">
      <c r="A16091" s="258"/>
      <c r="Z16091" s="258"/>
    </row>
    <row r="16092" spans="1:26" ht="12.75" customHeight="1" x14ac:dyDescent="0.2">
      <c r="A16092" s="258"/>
      <c r="Z16092" s="258"/>
    </row>
    <row r="16093" spans="1:26" ht="12.75" customHeight="1" x14ac:dyDescent="0.2">
      <c r="A16093" s="258"/>
      <c r="Z16093" s="258"/>
    </row>
    <row r="16094" spans="1:26" ht="12.75" customHeight="1" x14ac:dyDescent="0.2">
      <c r="A16094" s="258"/>
      <c r="Z16094" s="258"/>
    </row>
    <row r="16095" spans="1:26" ht="12.75" customHeight="1" x14ac:dyDescent="0.2">
      <c r="A16095" s="258"/>
      <c r="Z16095" s="258"/>
    </row>
    <row r="16096" spans="1:26" ht="12.75" customHeight="1" x14ac:dyDescent="0.2">
      <c r="A16096" s="258"/>
      <c r="Z16096" s="258"/>
    </row>
    <row r="16097" spans="1:26" ht="12.75" customHeight="1" x14ac:dyDescent="0.2">
      <c r="A16097" s="258"/>
      <c r="Z16097" s="258"/>
    </row>
    <row r="16098" spans="1:26" ht="12.75" customHeight="1" x14ac:dyDescent="0.2">
      <c r="A16098" s="258"/>
      <c r="Z16098" s="258"/>
    </row>
    <row r="16099" spans="1:26" ht="12.75" customHeight="1" x14ac:dyDescent="0.2">
      <c r="A16099" s="258"/>
      <c r="Z16099" s="258"/>
    </row>
    <row r="16100" spans="1:26" ht="12.75" customHeight="1" x14ac:dyDescent="0.2">
      <c r="A16100" s="258"/>
      <c r="Z16100" s="258"/>
    </row>
    <row r="16101" spans="1:26" ht="12.75" customHeight="1" x14ac:dyDescent="0.2">
      <c r="A16101" s="258"/>
      <c r="Z16101" s="258"/>
    </row>
    <row r="16102" spans="1:26" ht="12.75" customHeight="1" x14ac:dyDescent="0.2">
      <c r="A16102" s="258"/>
      <c r="Z16102" s="258"/>
    </row>
    <row r="16103" spans="1:26" ht="12.75" customHeight="1" x14ac:dyDescent="0.2">
      <c r="A16103" s="258"/>
      <c r="Z16103" s="258"/>
    </row>
    <row r="16104" spans="1:26" ht="12.75" customHeight="1" x14ac:dyDescent="0.2">
      <c r="A16104" s="258"/>
      <c r="Z16104" s="258"/>
    </row>
    <row r="16105" spans="1:26" ht="12.75" customHeight="1" x14ac:dyDescent="0.2">
      <c r="A16105" s="258"/>
      <c r="Z16105" s="258"/>
    </row>
    <row r="16106" spans="1:26" ht="12.75" customHeight="1" x14ac:dyDescent="0.2">
      <c r="A16106" s="258"/>
      <c r="Z16106" s="258"/>
    </row>
    <row r="16107" spans="1:26" ht="12.75" customHeight="1" x14ac:dyDescent="0.2">
      <c r="A16107" s="258"/>
      <c r="Z16107" s="258"/>
    </row>
    <row r="16108" spans="1:26" ht="12.75" customHeight="1" x14ac:dyDescent="0.2">
      <c r="A16108" s="258"/>
      <c r="Z16108" s="258"/>
    </row>
    <row r="16109" spans="1:26" ht="12.75" customHeight="1" x14ac:dyDescent="0.2">
      <c r="A16109" s="258"/>
      <c r="Z16109" s="258"/>
    </row>
    <row r="16110" spans="1:26" ht="12.75" customHeight="1" x14ac:dyDescent="0.2">
      <c r="A16110" s="258"/>
      <c r="Z16110" s="258"/>
    </row>
    <row r="16111" spans="1:26" ht="12.75" customHeight="1" x14ac:dyDescent="0.2">
      <c r="A16111" s="258"/>
      <c r="Z16111" s="258"/>
    </row>
    <row r="16112" spans="1:26" ht="12.75" customHeight="1" x14ac:dyDescent="0.2">
      <c r="A16112" s="258"/>
      <c r="Z16112" s="258"/>
    </row>
    <row r="16113" spans="1:26" ht="12.75" customHeight="1" x14ac:dyDescent="0.2">
      <c r="A16113" s="258"/>
      <c r="Z16113" s="258"/>
    </row>
    <row r="16114" spans="1:26" ht="12.75" customHeight="1" x14ac:dyDescent="0.2">
      <c r="A16114" s="258"/>
      <c r="Z16114" s="258"/>
    </row>
    <row r="16115" spans="1:26" ht="12.75" customHeight="1" x14ac:dyDescent="0.2">
      <c r="A16115" s="258"/>
      <c r="Z16115" s="258"/>
    </row>
    <row r="16116" spans="1:26" ht="12.75" customHeight="1" x14ac:dyDescent="0.2">
      <c r="A16116" s="258"/>
      <c r="Z16116" s="258"/>
    </row>
    <row r="16117" spans="1:26" ht="12.75" customHeight="1" x14ac:dyDescent="0.2">
      <c r="A16117" s="258"/>
      <c r="Z16117" s="258"/>
    </row>
    <row r="16118" spans="1:26" ht="12.75" customHeight="1" x14ac:dyDescent="0.2">
      <c r="A16118" s="258"/>
      <c r="Z16118" s="258"/>
    </row>
    <row r="16119" spans="1:26" ht="12.75" customHeight="1" x14ac:dyDescent="0.2">
      <c r="A16119" s="258"/>
      <c r="Z16119" s="258"/>
    </row>
    <row r="16120" spans="1:26" ht="12.75" customHeight="1" x14ac:dyDescent="0.2">
      <c r="A16120" s="258"/>
      <c r="Z16120" s="258"/>
    </row>
    <row r="16121" spans="1:26" ht="12.75" customHeight="1" x14ac:dyDescent="0.2">
      <c r="A16121" s="258"/>
      <c r="Z16121" s="258"/>
    </row>
    <row r="16122" spans="1:26" ht="12.75" customHeight="1" x14ac:dyDescent="0.2">
      <c r="A16122" s="258"/>
      <c r="Z16122" s="258"/>
    </row>
    <row r="16123" spans="1:26" ht="12.75" customHeight="1" x14ac:dyDescent="0.2">
      <c r="A16123" s="258"/>
      <c r="Z16123" s="258"/>
    </row>
    <row r="16124" spans="1:26" ht="12.75" customHeight="1" x14ac:dyDescent="0.2">
      <c r="A16124" s="258"/>
      <c r="Z16124" s="258"/>
    </row>
    <row r="16125" spans="1:26" ht="12.75" customHeight="1" x14ac:dyDescent="0.2">
      <c r="A16125" s="258"/>
      <c r="Z16125" s="258"/>
    </row>
    <row r="16126" spans="1:26" ht="12.75" customHeight="1" x14ac:dyDescent="0.2">
      <c r="A16126" s="258"/>
      <c r="Z16126" s="258"/>
    </row>
    <row r="16127" spans="1:26" ht="12.75" customHeight="1" x14ac:dyDescent="0.2">
      <c r="A16127" s="258"/>
      <c r="Z16127" s="258"/>
    </row>
    <row r="16128" spans="1:26" ht="12.75" customHeight="1" x14ac:dyDescent="0.2">
      <c r="A16128" s="258"/>
      <c r="Z16128" s="258"/>
    </row>
    <row r="16129" spans="1:26" ht="12.75" customHeight="1" x14ac:dyDescent="0.2">
      <c r="A16129" s="258"/>
      <c r="Z16129" s="258"/>
    </row>
    <row r="16130" spans="1:26" ht="12.75" customHeight="1" x14ac:dyDescent="0.2">
      <c r="A16130" s="258"/>
      <c r="Z16130" s="258"/>
    </row>
    <row r="16131" spans="1:26" ht="12.75" customHeight="1" x14ac:dyDescent="0.2">
      <c r="A16131" s="258"/>
      <c r="Z16131" s="258"/>
    </row>
    <row r="16132" spans="1:26" ht="12.75" customHeight="1" x14ac:dyDescent="0.2">
      <c r="A16132" s="258"/>
      <c r="Z16132" s="258"/>
    </row>
    <row r="16133" spans="1:26" ht="12.75" customHeight="1" x14ac:dyDescent="0.2">
      <c r="A16133" s="258"/>
      <c r="Z16133" s="258"/>
    </row>
    <row r="16134" spans="1:26" ht="12.75" customHeight="1" x14ac:dyDescent="0.2">
      <c r="A16134" s="258"/>
      <c r="Z16134" s="258"/>
    </row>
    <row r="16135" spans="1:26" ht="12.75" customHeight="1" x14ac:dyDescent="0.2">
      <c r="A16135" s="258"/>
      <c r="Z16135" s="258"/>
    </row>
    <row r="16136" spans="1:26" ht="12.75" customHeight="1" x14ac:dyDescent="0.2">
      <c r="A16136" s="258"/>
      <c r="Z16136" s="258"/>
    </row>
    <row r="16137" spans="1:26" ht="12.75" customHeight="1" x14ac:dyDescent="0.2">
      <c r="A16137" s="258"/>
      <c r="Z16137" s="258"/>
    </row>
    <row r="16138" spans="1:26" ht="12.75" customHeight="1" x14ac:dyDescent="0.2">
      <c r="A16138" s="258"/>
      <c r="Z16138" s="258"/>
    </row>
    <row r="16139" spans="1:26" ht="12.75" customHeight="1" x14ac:dyDescent="0.2">
      <c r="A16139" s="258"/>
      <c r="Z16139" s="258"/>
    </row>
    <row r="16140" spans="1:26" ht="12.75" customHeight="1" x14ac:dyDescent="0.2">
      <c r="A16140" s="258"/>
      <c r="Z16140" s="258"/>
    </row>
    <row r="16141" spans="1:26" ht="12.75" customHeight="1" x14ac:dyDescent="0.2">
      <c r="A16141" s="258"/>
      <c r="Z16141" s="258"/>
    </row>
    <row r="16142" spans="1:26" ht="12.75" customHeight="1" x14ac:dyDescent="0.2">
      <c r="A16142" s="258"/>
      <c r="Z16142" s="258"/>
    </row>
    <row r="16143" spans="1:26" ht="12.75" customHeight="1" x14ac:dyDescent="0.2">
      <c r="A16143" s="258"/>
      <c r="Z16143" s="258"/>
    </row>
    <row r="16144" spans="1:26" ht="12.75" customHeight="1" x14ac:dyDescent="0.2">
      <c r="A16144" s="258"/>
      <c r="Z16144" s="258"/>
    </row>
    <row r="16145" spans="1:26" ht="12.75" customHeight="1" x14ac:dyDescent="0.2">
      <c r="A16145" s="258"/>
      <c r="Z16145" s="258"/>
    </row>
    <row r="16146" spans="1:26" ht="12.75" customHeight="1" x14ac:dyDescent="0.2">
      <c r="A16146" s="258"/>
      <c r="Z16146" s="258"/>
    </row>
    <row r="16147" spans="1:26" ht="12.75" customHeight="1" x14ac:dyDescent="0.2">
      <c r="A16147" s="258"/>
      <c r="Z16147" s="258"/>
    </row>
    <row r="16148" spans="1:26" ht="12.75" customHeight="1" x14ac:dyDescent="0.2">
      <c r="A16148" s="258"/>
      <c r="Z16148" s="258"/>
    </row>
    <row r="16149" spans="1:26" ht="12.75" customHeight="1" x14ac:dyDescent="0.2">
      <c r="A16149" s="258"/>
      <c r="Z16149" s="258"/>
    </row>
    <row r="16150" spans="1:26" ht="12.75" customHeight="1" x14ac:dyDescent="0.2">
      <c r="A16150" s="258"/>
      <c r="Z16150" s="258"/>
    </row>
    <row r="16151" spans="1:26" ht="12.75" customHeight="1" x14ac:dyDescent="0.2">
      <c r="A16151" s="258"/>
      <c r="Z16151" s="258"/>
    </row>
    <row r="16152" spans="1:26" ht="12.75" customHeight="1" x14ac:dyDescent="0.2">
      <c r="A16152" s="258"/>
      <c r="Z16152" s="258"/>
    </row>
    <row r="16153" spans="1:26" ht="12.75" customHeight="1" x14ac:dyDescent="0.2">
      <c r="A16153" s="258"/>
      <c r="Z16153" s="258"/>
    </row>
    <row r="16154" spans="1:26" ht="12.75" customHeight="1" x14ac:dyDescent="0.2">
      <c r="A16154" s="258"/>
      <c r="Z16154" s="258"/>
    </row>
    <row r="16155" spans="1:26" ht="12.75" customHeight="1" x14ac:dyDescent="0.2">
      <c r="A16155" s="258"/>
      <c r="Z16155" s="258"/>
    </row>
    <row r="16156" spans="1:26" ht="12.75" customHeight="1" x14ac:dyDescent="0.2">
      <c r="A16156" s="258"/>
      <c r="Z16156" s="258"/>
    </row>
    <row r="16157" spans="1:26" ht="12.75" customHeight="1" x14ac:dyDescent="0.2">
      <c r="A16157" s="258"/>
      <c r="Z16157" s="258"/>
    </row>
    <row r="16158" spans="1:26" ht="12.75" customHeight="1" x14ac:dyDescent="0.2">
      <c r="A16158" s="258"/>
      <c r="Z16158" s="258"/>
    </row>
    <row r="16159" spans="1:26" ht="12.75" customHeight="1" x14ac:dyDescent="0.2">
      <c r="A16159" s="258"/>
      <c r="Z16159" s="258"/>
    </row>
    <row r="16160" spans="1:26" ht="12.75" customHeight="1" x14ac:dyDescent="0.2">
      <c r="A16160" s="258"/>
      <c r="Z16160" s="258"/>
    </row>
    <row r="16161" spans="1:26" ht="12.75" customHeight="1" x14ac:dyDescent="0.2">
      <c r="A16161" s="258"/>
      <c r="Z16161" s="258"/>
    </row>
    <row r="16162" spans="1:26" ht="12.75" customHeight="1" x14ac:dyDescent="0.2">
      <c r="A16162" s="258"/>
      <c r="Z16162" s="258"/>
    </row>
    <row r="16163" spans="1:26" ht="12.75" customHeight="1" x14ac:dyDescent="0.2">
      <c r="A16163" s="258"/>
      <c r="Z16163" s="258"/>
    </row>
    <row r="16164" spans="1:26" ht="12.75" customHeight="1" x14ac:dyDescent="0.2">
      <c r="A16164" s="258"/>
      <c r="Z16164" s="258"/>
    </row>
    <row r="16165" spans="1:26" ht="12.75" customHeight="1" x14ac:dyDescent="0.2">
      <c r="A16165" s="258"/>
      <c r="Z16165" s="258"/>
    </row>
    <row r="16166" spans="1:26" ht="12.75" customHeight="1" x14ac:dyDescent="0.2">
      <c r="A16166" s="258"/>
      <c r="Z16166" s="258"/>
    </row>
    <row r="16167" spans="1:26" ht="12.75" customHeight="1" x14ac:dyDescent="0.2">
      <c r="A16167" s="258"/>
      <c r="Z16167" s="258"/>
    </row>
    <row r="16168" spans="1:26" ht="12.75" customHeight="1" x14ac:dyDescent="0.2">
      <c r="A16168" s="258"/>
      <c r="Z16168" s="258"/>
    </row>
    <row r="16169" spans="1:26" ht="12.75" customHeight="1" x14ac:dyDescent="0.2">
      <c r="A16169" s="258"/>
      <c r="Z16169" s="258"/>
    </row>
    <row r="16170" spans="1:26" ht="12.75" customHeight="1" x14ac:dyDescent="0.2">
      <c r="A16170" s="258"/>
      <c r="Z16170" s="258"/>
    </row>
    <row r="16171" spans="1:26" ht="12.75" customHeight="1" x14ac:dyDescent="0.2">
      <c r="A16171" s="258"/>
      <c r="Z16171" s="258"/>
    </row>
    <row r="16172" spans="1:26" ht="12.75" customHeight="1" x14ac:dyDescent="0.2">
      <c r="A16172" s="258"/>
      <c r="Z16172" s="258"/>
    </row>
    <row r="16173" spans="1:26" ht="12.75" customHeight="1" x14ac:dyDescent="0.2">
      <c r="A16173" s="258"/>
      <c r="Z16173" s="258"/>
    </row>
    <row r="16174" spans="1:26" ht="12.75" customHeight="1" x14ac:dyDescent="0.2">
      <c r="A16174" s="258"/>
      <c r="Z16174" s="258"/>
    </row>
    <row r="16175" spans="1:26" ht="12.75" customHeight="1" x14ac:dyDescent="0.2">
      <c r="A16175" s="258"/>
      <c r="Z16175" s="258"/>
    </row>
    <row r="16176" spans="1:26" ht="12.75" customHeight="1" x14ac:dyDescent="0.2">
      <c r="A16176" s="258"/>
      <c r="Z16176" s="258"/>
    </row>
    <row r="16177" spans="1:26" ht="12.75" customHeight="1" x14ac:dyDescent="0.2">
      <c r="A16177" s="258"/>
      <c r="Z16177" s="258"/>
    </row>
    <row r="16178" spans="1:26" ht="12.75" customHeight="1" x14ac:dyDescent="0.2">
      <c r="A16178" s="258"/>
      <c r="Z16178" s="258"/>
    </row>
    <row r="16179" spans="1:26" ht="12.75" customHeight="1" x14ac:dyDescent="0.2">
      <c r="A16179" s="258"/>
      <c r="Z16179" s="258"/>
    </row>
    <row r="16180" spans="1:26" ht="12.75" customHeight="1" x14ac:dyDescent="0.2">
      <c r="A16180" s="258"/>
      <c r="Z16180" s="258"/>
    </row>
    <row r="16181" spans="1:26" ht="12.75" customHeight="1" x14ac:dyDescent="0.2">
      <c r="A16181" s="258"/>
      <c r="Z16181" s="258"/>
    </row>
    <row r="16182" spans="1:26" ht="12.75" customHeight="1" x14ac:dyDescent="0.2">
      <c r="A16182" s="258"/>
      <c r="Z16182" s="258"/>
    </row>
    <row r="16183" spans="1:26" ht="12.75" customHeight="1" x14ac:dyDescent="0.2">
      <c r="A16183" s="258"/>
      <c r="Z16183" s="258"/>
    </row>
    <row r="16184" spans="1:26" ht="12.75" customHeight="1" x14ac:dyDescent="0.2">
      <c r="A16184" s="258"/>
      <c r="Z16184" s="258"/>
    </row>
    <row r="16185" spans="1:26" ht="12.75" customHeight="1" x14ac:dyDescent="0.2">
      <c r="A16185" s="258"/>
      <c r="Z16185" s="258"/>
    </row>
    <row r="16186" spans="1:26" ht="12.75" customHeight="1" x14ac:dyDescent="0.2">
      <c r="A16186" s="258"/>
      <c r="Z16186" s="258"/>
    </row>
    <row r="16187" spans="1:26" ht="12.75" customHeight="1" x14ac:dyDescent="0.2">
      <c r="A16187" s="258"/>
      <c r="Z16187" s="258"/>
    </row>
    <row r="16188" spans="1:26" ht="12.75" customHeight="1" x14ac:dyDescent="0.2">
      <c r="A16188" s="258"/>
      <c r="Z16188" s="258"/>
    </row>
    <row r="16189" spans="1:26" ht="12.75" customHeight="1" x14ac:dyDescent="0.2">
      <c r="A16189" s="258"/>
      <c r="Z16189" s="258"/>
    </row>
    <row r="16190" spans="1:26" ht="12.75" customHeight="1" x14ac:dyDescent="0.2">
      <c r="A16190" s="258"/>
      <c r="Z16190" s="258"/>
    </row>
    <row r="16191" spans="1:26" ht="12.75" customHeight="1" x14ac:dyDescent="0.2">
      <c r="A16191" s="258"/>
      <c r="Z16191" s="258"/>
    </row>
    <row r="16192" spans="1:26" ht="12.75" customHeight="1" x14ac:dyDescent="0.2">
      <c r="A16192" s="258"/>
      <c r="Z16192" s="258"/>
    </row>
    <row r="16193" spans="1:26" ht="12.75" customHeight="1" x14ac:dyDescent="0.2">
      <c r="A16193" s="258"/>
      <c r="Z16193" s="258"/>
    </row>
    <row r="16194" spans="1:26" ht="12.75" customHeight="1" x14ac:dyDescent="0.2">
      <c r="A16194" s="258"/>
      <c r="Z16194" s="258"/>
    </row>
    <row r="16195" spans="1:26" ht="12.75" customHeight="1" x14ac:dyDescent="0.2">
      <c r="A16195" s="258"/>
      <c r="Z16195" s="258"/>
    </row>
    <row r="16196" spans="1:26" ht="12.75" customHeight="1" x14ac:dyDescent="0.2">
      <c r="A16196" s="258"/>
      <c r="Z16196" s="258"/>
    </row>
    <row r="16197" spans="1:26" ht="12.75" customHeight="1" x14ac:dyDescent="0.2">
      <c r="A16197" s="258"/>
      <c r="Z16197" s="258"/>
    </row>
    <row r="16198" spans="1:26" ht="12.75" customHeight="1" x14ac:dyDescent="0.2">
      <c r="A16198" s="258"/>
      <c r="Z16198" s="258"/>
    </row>
    <row r="16199" spans="1:26" ht="12.75" customHeight="1" x14ac:dyDescent="0.2">
      <c r="A16199" s="258"/>
      <c r="Z16199" s="258"/>
    </row>
    <row r="16200" spans="1:26" ht="12.75" customHeight="1" x14ac:dyDescent="0.2">
      <c r="A16200" s="258"/>
      <c r="Z16200" s="258"/>
    </row>
    <row r="16201" spans="1:26" ht="12.75" customHeight="1" x14ac:dyDescent="0.2">
      <c r="A16201" s="258"/>
      <c r="Z16201" s="258"/>
    </row>
    <row r="16202" spans="1:26" ht="12.75" customHeight="1" x14ac:dyDescent="0.2">
      <c r="A16202" s="258"/>
      <c r="Z16202" s="258"/>
    </row>
    <row r="16203" spans="1:26" ht="12.75" customHeight="1" x14ac:dyDescent="0.2">
      <c r="A16203" s="258"/>
      <c r="Z16203" s="258"/>
    </row>
    <row r="16204" spans="1:26" ht="12.75" customHeight="1" x14ac:dyDescent="0.2">
      <c r="A16204" s="258"/>
      <c r="Z16204" s="258"/>
    </row>
    <row r="16205" spans="1:26" ht="12.75" customHeight="1" x14ac:dyDescent="0.2">
      <c r="A16205" s="258"/>
      <c r="Z16205" s="258"/>
    </row>
    <row r="16206" spans="1:26" ht="12.75" customHeight="1" x14ac:dyDescent="0.2">
      <c r="A16206" s="258"/>
      <c r="Z16206" s="258"/>
    </row>
    <row r="16207" spans="1:26" ht="12.75" customHeight="1" x14ac:dyDescent="0.2">
      <c r="A16207" s="258"/>
      <c r="Z16207" s="258"/>
    </row>
    <row r="16208" spans="1:26" ht="12.75" customHeight="1" x14ac:dyDescent="0.2">
      <c r="A16208" s="258"/>
      <c r="Z16208" s="258"/>
    </row>
    <row r="16209" spans="1:26" ht="12.75" customHeight="1" x14ac:dyDescent="0.2">
      <c r="A16209" s="258"/>
      <c r="Z16209" s="258"/>
    </row>
    <row r="16210" spans="1:26" ht="12.75" customHeight="1" x14ac:dyDescent="0.2">
      <c r="A16210" s="258"/>
      <c r="Z16210" s="258"/>
    </row>
    <row r="16211" spans="1:26" ht="12.75" customHeight="1" x14ac:dyDescent="0.2">
      <c r="A16211" s="258"/>
      <c r="Z16211" s="258"/>
    </row>
    <row r="16212" spans="1:26" ht="12.75" customHeight="1" x14ac:dyDescent="0.2">
      <c r="A16212" s="258"/>
      <c r="Z16212" s="258"/>
    </row>
    <row r="16213" spans="1:26" ht="12.75" customHeight="1" x14ac:dyDescent="0.2">
      <c r="A16213" s="258"/>
      <c r="Z16213" s="258"/>
    </row>
    <row r="16214" spans="1:26" ht="12.75" customHeight="1" x14ac:dyDescent="0.2">
      <c r="A16214" s="258"/>
      <c r="Z16214" s="258"/>
    </row>
    <row r="16215" spans="1:26" ht="12.75" customHeight="1" x14ac:dyDescent="0.2">
      <c r="A16215" s="258"/>
      <c r="Z16215" s="258"/>
    </row>
    <row r="16216" spans="1:26" ht="12.75" customHeight="1" x14ac:dyDescent="0.2">
      <c r="A16216" s="258"/>
      <c r="Z16216" s="258"/>
    </row>
    <row r="16217" spans="1:26" ht="12.75" customHeight="1" x14ac:dyDescent="0.2">
      <c r="A16217" s="258"/>
      <c r="Z16217" s="258"/>
    </row>
    <row r="16218" spans="1:26" ht="12.75" customHeight="1" x14ac:dyDescent="0.2">
      <c r="A16218" s="258"/>
      <c r="Z16218" s="258"/>
    </row>
    <row r="16219" spans="1:26" ht="12.75" customHeight="1" x14ac:dyDescent="0.2">
      <c r="A16219" s="258"/>
      <c r="Z16219" s="258"/>
    </row>
    <row r="16220" spans="1:26" ht="12.75" customHeight="1" x14ac:dyDescent="0.2">
      <c r="A16220" s="258"/>
      <c r="Z16220" s="258"/>
    </row>
    <row r="16221" spans="1:26" ht="12.75" customHeight="1" x14ac:dyDescent="0.2">
      <c r="A16221" s="258"/>
      <c r="Z16221" s="258"/>
    </row>
    <row r="16222" spans="1:26" ht="12.75" customHeight="1" x14ac:dyDescent="0.2">
      <c r="A16222" s="258"/>
      <c r="Z16222" s="258"/>
    </row>
    <row r="16223" spans="1:26" ht="12.75" customHeight="1" x14ac:dyDescent="0.2">
      <c r="A16223" s="258"/>
      <c r="Z16223" s="258"/>
    </row>
    <row r="16224" spans="1:26" ht="12.75" customHeight="1" x14ac:dyDescent="0.2">
      <c r="A16224" s="258"/>
      <c r="Z16224" s="258"/>
    </row>
    <row r="16225" spans="1:26" ht="12.75" customHeight="1" x14ac:dyDescent="0.2">
      <c r="A16225" s="258"/>
      <c r="Z16225" s="258"/>
    </row>
    <row r="16226" spans="1:26" ht="12.75" customHeight="1" x14ac:dyDescent="0.2">
      <c r="A16226" s="258"/>
      <c r="Z16226" s="258"/>
    </row>
    <row r="16227" spans="1:26" ht="12.75" customHeight="1" x14ac:dyDescent="0.2">
      <c r="A16227" s="258"/>
      <c r="Z16227" s="258"/>
    </row>
    <row r="16228" spans="1:26" ht="12.75" customHeight="1" x14ac:dyDescent="0.2">
      <c r="A16228" s="258"/>
      <c r="Z16228" s="258"/>
    </row>
    <row r="16229" spans="1:26" ht="12.75" customHeight="1" x14ac:dyDescent="0.2">
      <c r="A16229" s="258"/>
      <c r="Z16229" s="258"/>
    </row>
    <row r="16230" spans="1:26" ht="12.75" customHeight="1" x14ac:dyDescent="0.2">
      <c r="A16230" s="258"/>
      <c r="Z16230" s="258"/>
    </row>
    <row r="16231" spans="1:26" ht="12.75" customHeight="1" x14ac:dyDescent="0.2">
      <c r="A16231" s="258"/>
      <c r="Z16231" s="258"/>
    </row>
    <row r="16232" spans="1:26" ht="12.75" customHeight="1" x14ac:dyDescent="0.2">
      <c r="A16232" s="258"/>
      <c r="Z16232" s="258"/>
    </row>
    <row r="16233" spans="1:26" ht="12.75" customHeight="1" x14ac:dyDescent="0.2">
      <c r="A16233" s="258"/>
      <c r="Z16233" s="258"/>
    </row>
    <row r="16234" spans="1:26" ht="12.75" customHeight="1" x14ac:dyDescent="0.2">
      <c r="A16234" s="258"/>
      <c r="Z16234" s="258"/>
    </row>
    <row r="16235" spans="1:26" ht="12.75" customHeight="1" x14ac:dyDescent="0.2">
      <c r="A16235" s="258"/>
      <c r="Z16235" s="258"/>
    </row>
    <row r="16236" spans="1:26" ht="12.75" customHeight="1" x14ac:dyDescent="0.2">
      <c r="A16236" s="258"/>
      <c r="Z16236" s="258"/>
    </row>
    <row r="16237" spans="1:26" ht="12.75" customHeight="1" x14ac:dyDescent="0.2">
      <c r="A16237" s="258"/>
      <c r="Z16237" s="258"/>
    </row>
    <row r="16238" spans="1:26" ht="12.75" customHeight="1" x14ac:dyDescent="0.2">
      <c r="A16238" s="258"/>
      <c r="Z16238" s="258"/>
    </row>
    <row r="16239" spans="1:26" ht="12.75" customHeight="1" x14ac:dyDescent="0.2">
      <c r="A16239" s="258"/>
      <c r="Z16239" s="258"/>
    </row>
    <row r="16240" spans="1:26" ht="12.75" customHeight="1" x14ac:dyDescent="0.2">
      <c r="A16240" s="258"/>
      <c r="Z16240" s="258"/>
    </row>
    <row r="16241" spans="1:26" ht="12.75" customHeight="1" x14ac:dyDescent="0.2">
      <c r="A16241" s="258"/>
      <c r="Z16241" s="258"/>
    </row>
    <row r="16242" spans="1:26" ht="12.75" customHeight="1" x14ac:dyDescent="0.2">
      <c r="A16242" s="258"/>
      <c r="Z16242" s="258"/>
    </row>
    <row r="16243" spans="1:26" ht="12.75" customHeight="1" x14ac:dyDescent="0.2">
      <c r="A16243" s="258"/>
      <c r="Z16243" s="258"/>
    </row>
    <row r="16244" spans="1:26" ht="12.75" customHeight="1" x14ac:dyDescent="0.2">
      <c r="A16244" s="258"/>
      <c r="Z16244" s="258"/>
    </row>
    <row r="16245" spans="1:26" ht="12.75" customHeight="1" x14ac:dyDescent="0.2">
      <c r="A16245" s="258"/>
      <c r="Z16245" s="258"/>
    </row>
    <row r="16246" spans="1:26" ht="12.75" customHeight="1" x14ac:dyDescent="0.2">
      <c r="A16246" s="258"/>
      <c r="Z16246" s="258"/>
    </row>
    <row r="16247" spans="1:26" ht="12.75" customHeight="1" x14ac:dyDescent="0.2">
      <c r="A16247" s="258"/>
      <c r="Z16247" s="258"/>
    </row>
    <row r="16248" spans="1:26" ht="12.75" customHeight="1" x14ac:dyDescent="0.2">
      <c r="A16248" s="258"/>
      <c r="Z16248" s="258"/>
    </row>
    <row r="16249" spans="1:26" ht="12.75" customHeight="1" x14ac:dyDescent="0.2">
      <c r="A16249" s="258"/>
      <c r="Z16249" s="258"/>
    </row>
    <row r="16250" spans="1:26" ht="12.75" customHeight="1" x14ac:dyDescent="0.2">
      <c r="A16250" s="258"/>
      <c r="Z16250" s="258"/>
    </row>
    <row r="16251" spans="1:26" ht="12.75" customHeight="1" x14ac:dyDescent="0.2">
      <c r="A16251" s="258"/>
      <c r="Z16251" s="258"/>
    </row>
    <row r="16252" spans="1:26" ht="12.75" customHeight="1" x14ac:dyDescent="0.2">
      <c r="A16252" s="258"/>
      <c r="Z16252" s="258"/>
    </row>
    <row r="16253" spans="1:26" ht="12.75" customHeight="1" x14ac:dyDescent="0.2">
      <c r="A16253" s="258"/>
      <c r="Z16253" s="258"/>
    </row>
    <row r="16254" spans="1:26" ht="12.75" customHeight="1" x14ac:dyDescent="0.2">
      <c r="A16254" s="258"/>
      <c r="Z16254" s="258"/>
    </row>
    <row r="16255" spans="1:26" ht="12.75" customHeight="1" x14ac:dyDescent="0.2">
      <c r="A16255" s="258"/>
      <c r="Z16255" s="258"/>
    </row>
    <row r="16256" spans="1:26" ht="12.75" customHeight="1" x14ac:dyDescent="0.2">
      <c r="A16256" s="258"/>
      <c r="Z16256" s="258"/>
    </row>
    <row r="16257" spans="1:26" ht="12.75" customHeight="1" x14ac:dyDescent="0.2">
      <c r="A16257" s="258"/>
      <c r="Z16257" s="258"/>
    </row>
    <row r="16258" spans="1:26" ht="12.75" customHeight="1" x14ac:dyDescent="0.2">
      <c r="A16258" s="258"/>
      <c r="Z16258" s="258"/>
    </row>
    <row r="16259" spans="1:26" ht="12.75" customHeight="1" x14ac:dyDescent="0.2">
      <c r="A16259" s="258"/>
      <c r="Z16259" s="258"/>
    </row>
    <row r="16260" spans="1:26" ht="12.75" customHeight="1" x14ac:dyDescent="0.2">
      <c r="A16260" s="258"/>
      <c r="Z16260" s="258"/>
    </row>
    <row r="16261" spans="1:26" ht="12.75" customHeight="1" x14ac:dyDescent="0.2">
      <c r="A16261" s="258"/>
      <c r="Z16261" s="258"/>
    </row>
    <row r="16262" spans="1:26" ht="12.75" customHeight="1" x14ac:dyDescent="0.2">
      <c r="A16262" s="258"/>
      <c r="Z16262" s="258"/>
    </row>
    <row r="16263" spans="1:26" ht="12.75" customHeight="1" x14ac:dyDescent="0.2">
      <c r="A16263" s="258"/>
      <c r="Z16263" s="258"/>
    </row>
    <row r="16264" spans="1:26" ht="12.75" customHeight="1" x14ac:dyDescent="0.2">
      <c r="A16264" s="258"/>
      <c r="Z16264" s="258"/>
    </row>
    <row r="16265" spans="1:26" ht="12.75" customHeight="1" x14ac:dyDescent="0.2">
      <c r="A16265" s="258"/>
      <c r="Z16265" s="258"/>
    </row>
    <row r="16266" spans="1:26" ht="12.75" customHeight="1" x14ac:dyDescent="0.2">
      <c r="A16266" s="258"/>
      <c r="Z16266" s="258"/>
    </row>
    <row r="16267" spans="1:26" ht="12.75" customHeight="1" x14ac:dyDescent="0.2">
      <c r="A16267" s="258"/>
      <c r="Z16267" s="258"/>
    </row>
    <row r="16268" spans="1:26" ht="12.75" customHeight="1" x14ac:dyDescent="0.2">
      <c r="A16268" s="258"/>
      <c r="Z16268" s="258"/>
    </row>
    <row r="16269" spans="1:26" ht="12.75" customHeight="1" x14ac:dyDescent="0.2">
      <c r="A16269" s="258"/>
      <c r="Z16269" s="258"/>
    </row>
    <row r="16270" spans="1:26" ht="12.75" customHeight="1" x14ac:dyDescent="0.2">
      <c r="A16270" s="258"/>
      <c r="Z16270" s="258"/>
    </row>
    <row r="16271" spans="1:26" ht="12.75" customHeight="1" x14ac:dyDescent="0.2">
      <c r="A16271" s="258"/>
      <c r="Z16271" s="258"/>
    </row>
    <row r="16272" spans="1:26" ht="12.75" customHeight="1" x14ac:dyDescent="0.2">
      <c r="A16272" s="258"/>
      <c r="Z16272" s="258"/>
    </row>
    <row r="16273" spans="1:26" ht="12.75" customHeight="1" x14ac:dyDescent="0.2">
      <c r="A16273" s="258"/>
      <c r="Z16273" s="258"/>
    </row>
    <row r="16274" spans="1:26" ht="12.75" customHeight="1" x14ac:dyDescent="0.2">
      <c r="A16274" s="258"/>
      <c r="Z16274" s="258"/>
    </row>
    <row r="16275" spans="1:26" ht="12.75" customHeight="1" x14ac:dyDescent="0.2">
      <c r="A16275" s="258"/>
      <c r="Z16275" s="258"/>
    </row>
    <row r="16276" spans="1:26" ht="12.75" customHeight="1" x14ac:dyDescent="0.2">
      <c r="A16276" s="258"/>
      <c r="Z16276" s="258"/>
    </row>
    <row r="16277" spans="1:26" ht="12.75" customHeight="1" x14ac:dyDescent="0.2">
      <c r="A16277" s="258"/>
      <c r="Z16277" s="258"/>
    </row>
    <row r="16278" spans="1:26" ht="12.75" customHeight="1" x14ac:dyDescent="0.2">
      <c r="A16278" s="258"/>
      <c r="Z16278" s="258"/>
    </row>
    <row r="16279" spans="1:26" ht="12.75" customHeight="1" x14ac:dyDescent="0.2">
      <c r="A16279" s="258"/>
      <c r="Z16279" s="258"/>
    </row>
    <row r="16280" spans="1:26" ht="12.75" customHeight="1" x14ac:dyDescent="0.2">
      <c r="A16280" s="258"/>
      <c r="Z16280" s="258"/>
    </row>
    <row r="16281" spans="1:26" ht="12.75" customHeight="1" x14ac:dyDescent="0.2">
      <c r="A16281" s="258"/>
      <c r="Z16281" s="258"/>
    </row>
    <row r="16282" spans="1:26" ht="12.75" customHeight="1" x14ac:dyDescent="0.2">
      <c r="A16282" s="258"/>
      <c r="Z16282" s="258"/>
    </row>
    <row r="16283" spans="1:26" ht="12.75" customHeight="1" x14ac:dyDescent="0.2">
      <c r="A16283" s="258"/>
      <c r="Z16283" s="258"/>
    </row>
    <row r="16284" spans="1:26" ht="12.75" customHeight="1" x14ac:dyDescent="0.2">
      <c r="A16284" s="258"/>
      <c r="Z16284" s="258"/>
    </row>
    <row r="16285" spans="1:26" ht="12.75" customHeight="1" x14ac:dyDescent="0.2">
      <c r="A16285" s="258"/>
      <c r="Z16285" s="258"/>
    </row>
    <row r="16286" spans="1:26" ht="12.75" customHeight="1" x14ac:dyDescent="0.2">
      <c r="A16286" s="258"/>
      <c r="Z16286" s="258"/>
    </row>
    <row r="16287" spans="1:26" ht="12.75" customHeight="1" x14ac:dyDescent="0.2">
      <c r="A16287" s="258"/>
      <c r="Z16287" s="258"/>
    </row>
    <row r="16288" spans="1:26" ht="12.75" customHeight="1" x14ac:dyDescent="0.2">
      <c r="A16288" s="258"/>
      <c r="Z16288" s="258"/>
    </row>
    <row r="16289" spans="1:26" ht="12.75" customHeight="1" x14ac:dyDescent="0.2">
      <c r="A16289" s="258"/>
      <c r="Z16289" s="258"/>
    </row>
    <row r="16290" spans="1:26" ht="12.75" customHeight="1" x14ac:dyDescent="0.2">
      <c r="A16290" s="258"/>
      <c r="Z16290" s="258"/>
    </row>
    <row r="16291" spans="1:26" ht="12.75" customHeight="1" x14ac:dyDescent="0.2">
      <c r="A16291" s="258"/>
      <c r="Z16291" s="258"/>
    </row>
    <row r="16292" spans="1:26" ht="12.75" customHeight="1" x14ac:dyDescent="0.2">
      <c r="A16292" s="258"/>
      <c r="Z16292" s="258"/>
    </row>
    <row r="16293" spans="1:26" ht="12.75" customHeight="1" x14ac:dyDescent="0.2">
      <c r="A16293" s="258"/>
      <c r="Z16293" s="258"/>
    </row>
    <row r="16294" spans="1:26" ht="12.75" customHeight="1" x14ac:dyDescent="0.2">
      <c r="A16294" s="258"/>
      <c r="Z16294" s="258"/>
    </row>
    <row r="16295" spans="1:26" ht="12.75" customHeight="1" x14ac:dyDescent="0.2">
      <c r="A16295" s="258"/>
      <c r="Z16295" s="258"/>
    </row>
    <row r="16296" spans="1:26" ht="12.75" customHeight="1" x14ac:dyDescent="0.2">
      <c r="A16296" s="258"/>
      <c r="Z16296" s="258"/>
    </row>
    <row r="16297" spans="1:26" ht="12.75" customHeight="1" x14ac:dyDescent="0.2">
      <c r="A16297" s="258"/>
      <c r="Z16297" s="258"/>
    </row>
    <row r="16298" spans="1:26" ht="12.75" customHeight="1" x14ac:dyDescent="0.2">
      <c r="A16298" s="258"/>
      <c r="Z16298" s="258"/>
    </row>
    <row r="16299" spans="1:26" ht="12.75" customHeight="1" x14ac:dyDescent="0.2">
      <c r="A16299" s="258"/>
      <c r="Z16299" s="258"/>
    </row>
    <row r="16300" spans="1:26" ht="12.75" customHeight="1" x14ac:dyDescent="0.2">
      <c r="A16300" s="258"/>
      <c r="Z16300" s="258"/>
    </row>
    <row r="16301" spans="1:26" ht="12.75" customHeight="1" x14ac:dyDescent="0.2">
      <c r="A16301" s="258"/>
      <c r="Z16301" s="258"/>
    </row>
    <row r="16302" spans="1:26" ht="12.75" customHeight="1" x14ac:dyDescent="0.2">
      <c r="A16302" s="258"/>
      <c r="Z16302" s="258"/>
    </row>
    <row r="16303" spans="1:26" ht="12.75" customHeight="1" x14ac:dyDescent="0.2">
      <c r="A16303" s="258"/>
      <c r="Z16303" s="258"/>
    </row>
    <row r="16304" spans="1:26" ht="12.75" customHeight="1" x14ac:dyDescent="0.2">
      <c r="A16304" s="258"/>
      <c r="Z16304" s="258"/>
    </row>
    <row r="16305" spans="1:26" ht="12.75" customHeight="1" x14ac:dyDescent="0.2">
      <c r="A16305" s="258"/>
      <c r="Z16305" s="258"/>
    </row>
    <row r="16306" spans="1:26" ht="12.75" customHeight="1" x14ac:dyDescent="0.2">
      <c r="A16306" s="258"/>
      <c r="Z16306" s="258"/>
    </row>
    <row r="16307" spans="1:26" ht="12.75" customHeight="1" x14ac:dyDescent="0.2">
      <c r="A16307" s="258"/>
      <c r="Z16307" s="258"/>
    </row>
    <row r="16308" spans="1:26" ht="12.75" customHeight="1" x14ac:dyDescent="0.2">
      <c r="A16308" s="258"/>
      <c r="Z16308" s="258"/>
    </row>
    <row r="16309" spans="1:26" ht="12.75" customHeight="1" x14ac:dyDescent="0.2">
      <c r="A16309" s="258"/>
      <c r="Z16309" s="258"/>
    </row>
    <row r="16310" spans="1:26" ht="12.75" customHeight="1" x14ac:dyDescent="0.2">
      <c r="A16310" s="258"/>
      <c r="Z16310" s="258"/>
    </row>
    <row r="16311" spans="1:26" ht="12.75" customHeight="1" x14ac:dyDescent="0.2">
      <c r="A16311" s="258"/>
      <c r="Z16311" s="258"/>
    </row>
    <row r="16312" spans="1:26" ht="12.75" customHeight="1" x14ac:dyDescent="0.2">
      <c r="A16312" s="258"/>
      <c r="Z16312" s="258"/>
    </row>
    <row r="16313" spans="1:26" ht="12.75" customHeight="1" x14ac:dyDescent="0.2">
      <c r="A16313" s="258"/>
      <c r="Z16313" s="258"/>
    </row>
    <row r="16314" spans="1:26" ht="12.75" customHeight="1" x14ac:dyDescent="0.2">
      <c r="A16314" s="258"/>
      <c r="Z16314" s="258"/>
    </row>
    <row r="16315" spans="1:26" ht="12.75" customHeight="1" x14ac:dyDescent="0.2">
      <c r="A16315" s="258"/>
      <c r="Z16315" s="258"/>
    </row>
    <row r="16316" spans="1:26" ht="12.75" customHeight="1" x14ac:dyDescent="0.2">
      <c r="A16316" s="258"/>
      <c r="Z16316" s="258"/>
    </row>
    <row r="16317" spans="1:26" ht="12.75" customHeight="1" x14ac:dyDescent="0.2">
      <c r="A16317" s="258"/>
      <c r="Z16317" s="258"/>
    </row>
    <row r="16318" spans="1:26" ht="12.75" customHeight="1" x14ac:dyDescent="0.2">
      <c r="A16318" s="258"/>
      <c r="Z16318" s="258"/>
    </row>
    <row r="16319" spans="1:26" ht="12.75" customHeight="1" x14ac:dyDescent="0.2">
      <c r="A16319" s="258"/>
      <c r="Z16319" s="258"/>
    </row>
    <row r="16320" spans="1:26" ht="12.75" customHeight="1" x14ac:dyDescent="0.2">
      <c r="A16320" s="258"/>
      <c r="Z16320" s="258"/>
    </row>
    <row r="16321" spans="1:26" ht="12.75" customHeight="1" x14ac:dyDescent="0.2">
      <c r="A16321" s="258"/>
      <c r="Z16321" s="258"/>
    </row>
    <row r="16322" spans="1:26" ht="12.75" customHeight="1" x14ac:dyDescent="0.2">
      <c r="A16322" s="258"/>
      <c r="Z16322" s="258"/>
    </row>
    <row r="16323" spans="1:26" ht="12.75" customHeight="1" x14ac:dyDescent="0.2">
      <c r="A16323" s="258"/>
      <c r="Z16323" s="258"/>
    </row>
    <row r="16324" spans="1:26" ht="12.75" customHeight="1" x14ac:dyDescent="0.2">
      <c r="A16324" s="258"/>
      <c r="Z16324" s="258"/>
    </row>
    <row r="16325" spans="1:26" ht="12.75" customHeight="1" x14ac:dyDescent="0.2">
      <c r="A16325" s="258"/>
      <c r="Z16325" s="258"/>
    </row>
    <row r="16326" spans="1:26" ht="12.75" customHeight="1" x14ac:dyDescent="0.2">
      <c r="A16326" s="258"/>
      <c r="Z16326" s="258"/>
    </row>
    <row r="16327" spans="1:26" ht="12.75" customHeight="1" x14ac:dyDescent="0.2">
      <c r="A16327" s="258"/>
      <c r="Z16327" s="258"/>
    </row>
    <row r="16328" spans="1:26" ht="12.75" customHeight="1" x14ac:dyDescent="0.2">
      <c r="A16328" s="258"/>
      <c r="Z16328" s="258"/>
    </row>
    <row r="16329" spans="1:26" ht="12.75" customHeight="1" x14ac:dyDescent="0.2">
      <c r="A16329" s="258"/>
      <c r="Z16329" s="258"/>
    </row>
    <row r="16330" spans="1:26" ht="12.75" customHeight="1" x14ac:dyDescent="0.2">
      <c r="A16330" s="258"/>
      <c r="Z16330" s="258"/>
    </row>
    <row r="16331" spans="1:26" ht="12.75" customHeight="1" x14ac:dyDescent="0.2">
      <c r="A16331" s="258"/>
      <c r="Z16331" s="258"/>
    </row>
    <row r="16332" spans="1:26" ht="12.75" customHeight="1" x14ac:dyDescent="0.2">
      <c r="A16332" s="258"/>
      <c r="Z16332" s="258"/>
    </row>
    <row r="16333" spans="1:26" ht="12.75" customHeight="1" x14ac:dyDescent="0.2">
      <c r="A16333" s="258"/>
      <c r="Z16333" s="258"/>
    </row>
    <row r="16334" spans="1:26" ht="12.75" customHeight="1" x14ac:dyDescent="0.2">
      <c r="A16334" s="258"/>
      <c r="Z16334" s="258"/>
    </row>
    <row r="16335" spans="1:26" ht="12.75" customHeight="1" x14ac:dyDescent="0.2">
      <c r="A16335" s="258"/>
      <c r="Z16335" s="258"/>
    </row>
    <row r="16336" spans="1:26" ht="12.75" customHeight="1" x14ac:dyDescent="0.2">
      <c r="A16336" s="258"/>
      <c r="Z16336" s="258"/>
    </row>
    <row r="16337" spans="1:26" ht="12.75" customHeight="1" x14ac:dyDescent="0.2">
      <c r="A16337" s="258"/>
      <c r="Z16337" s="258"/>
    </row>
    <row r="16338" spans="1:26" ht="12.75" customHeight="1" x14ac:dyDescent="0.2">
      <c r="A16338" s="258"/>
      <c r="Z16338" s="258"/>
    </row>
    <row r="16339" spans="1:26" ht="12.75" customHeight="1" x14ac:dyDescent="0.2">
      <c r="A16339" s="258"/>
      <c r="Z16339" s="258"/>
    </row>
    <row r="16340" spans="1:26" ht="12.75" customHeight="1" x14ac:dyDescent="0.2">
      <c r="A16340" s="258"/>
      <c r="Z16340" s="258"/>
    </row>
    <row r="16341" spans="1:26" ht="12.75" customHeight="1" x14ac:dyDescent="0.2">
      <c r="A16341" s="258"/>
      <c r="Z16341" s="258"/>
    </row>
    <row r="16342" spans="1:26" ht="12.75" customHeight="1" x14ac:dyDescent="0.2">
      <c r="A16342" s="258"/>
      <c r="Z16342" s="258"/>
    </row>
    <row r="16343" spans="1:26" ht="12.75" customHeight="1" x14ac:dyDescent="0.2">
      <c r="A16343" s="258"/>
      <c r="Z16343" s="258"/>
    </row>
    <row r="16344" spans="1:26" ht="12.75" customHeight="1" x14ac:dyDescent="0.2">
      <c r="A16344" s="258"/>
      <c r="Z16344" s="258"/>
    </row>
    <row r="16345" spans="1:26" ht="12.75" customHeight="1" x14ac:dyDescent="0.2">
      <c r="A16345" s="258"/>
      <c r="Z16345" s="258"/>
    </row>
    <row r="16346" spans="1:26" ht="12.75" customHeight="1" x14ac:dyDescent="0.2">
      <c r="A16346" s="258"/>
      <c r="Z16346" s="258"/>
    </row>
    <row r="16347" spans="1:26" ht="12.75" customHeight="1" x14ac:dyDescent="0.2">
      <c r="A16347" s="258"/>
      <c r="Z16347" s="258"/>
    </row>
    <row r="16348" spans="1:26" ht="12.75" customHeight="1" x14ac:dyDescent="0.2">
      <c r="A16348" s="258"/>
      <c r="Z16348" s="258"/>
    </row>
    <row r="16349" spans="1:26" ht="12.75" customHeight="1" x14ac:dyDescent="0.2">
      <c r="A16349" s="258"/>
      <c r="Z16349" s="258"/>
    </row>
    <row r="16350" spans="1:26" ht="12.75" customHeight="1" x14ac:dyDescent="0.2">
      <c r="A16350" s="258"/>
      <c r="Z16350" s="258"/>
    </row>
    <row r="16351" spans="1:26" ht="12.75" customHeight="1" x14ac:dyDescent="0.2">
      <c r="A16351" s="258"/>
      <c r="Z16351" s="258"/>
    </row>
    <row r="16352" spans="1:26" ht="12.75" customHeight="1" x14ac:dyDescent="0.2">
      <c r="A16352" s="258"/>
      <c r="Z16352" s="258"/>
    </row>
    <row r="16353" spans="1:26" ht="12.75" customHeight="1" x14ac:dyDescent="0.2">
      <c r="A16353" s="258"/>
      <c r="Z16353" s="258"/>
    </row>
    <row r="16354" spans="1:26" ht="12.75" customHeight="1" x14ac:dyDescent="0.2">
      <c r="A16354" s="258"/>
      <c r="Z16354" s="258"/>
    </row>
    <row r="16355" spans="1:26" ht="12.75" customHeight="1" x14ac:dyDescent="0.2">
      <c r="A16355" s="258"/>
      <c r="Z16355" s="258"/>
    </row>
    <row r="16356" spans="1:26" ht="12.75" customHeight="1" x14ac:dyDescent="0.2">
      <c r="A16356" s="258"/>
      <c r="Z16356" s="258"/>
    </row>
    <row r="16357" spans="1:26" ht="12.75" customHeight="1" x14ac:dyDescent="0.2">
      <c r="A16357" s="258"/>
      <c r="Z16357" s="258"/>
    </row>
    <row r="16358" spans="1:26" ht="12.75" customHeight="1" x14ac:dyDescent="0.2">
      <c r="A16358" s="258"/>
      <c r="Z16358" s="258"/>
    </row>
    <row r="16359" spans="1:26" ht="12.75" customHeight="1" x14ac:dyDescent="0.2">
      <c r="A16359" s="258"/>
      <c r="Z16359" s="258"/>
    </row>
    <row r="16360" spans="1:26" ht="12.75" customHeight="1" x14ac:dyDescent="0.2">
      <c r="A16360" s="258"/>
      <c r="Z16360" s="258"/>
    </row>
    <row r="16361" spans="1:26" ht="12.75" customHeight="1" x14ac:dyDescent="0.2">
      <c r="A16361" s="258"/>
      <c r="Z16361" s="258"/>
    </row>
    <row r="16362" spans="1:26" ht="12.75" customHeight="1" x14ac:dyDescent="0.2">
      <c r="A16362" s="258"/>
      <c r="Z16362" s="258"/>
    </row>
    <row r="16363" spans="1:26" ht="12.75" customHeight="1" x14ac:dyDescent="0.2">
      <c r="A16363" s="258"/>
      <c r="Z16363" s="258"/>
    </row>
    <row r="16364" spans="1:26" ht="12.75" customHeight="1" x14ac:dyDescent="0.2">
      <c r="A16364" s="258"/>
      <c r="Z16364" s="258"/>
    </row>
    <row r="16365" spans="1:26" ht="12.75" customHeight="1" x14ac:dyDescent="0.2">
      <c r="A16365" s="258"/>
      <c r="Z16365" s="258"/>
    </row>
    <row r="16366" spans="1:26" ht="12.75" customHeight="1" x14ac:dyDescent="0.2">
      <c r="A16366" s="258"/>
      <c r="Z16366" s="258"/>
    </row>
    <row r="16367" spans="1:26" ht="12.75" customHeight="1" x14ac:dyDescent="0.2">
      <c r="A16367" s="258"/>
      <c r="Z16367" s="258"/>
    </row>
    <row r="16368" spans="1:26" ht="12.75" customHeight="1" x14ac:dyDescent="0.2">
      <c r="A16368" s="258"/>
      <c r="Z16368" s="258"/>
    </row>
    <row r="16369" spans="1:26" ht="12.75" customHeight="1" x14ac:dyDescent="0.2">
      <c r="A16369" s="258"/>
      <c r="Z16369" s="258"/>
    </row>
    <row r="16370" spans="1:26" ht="12.75" customHeight="1" x14ac:dyDescent="0.2">
      <c r="A16370" s="258"/>
      <c r="Z16370" s="258"/>
    </row>
    <row r="16371" spans="1:26" ht="12.75" customHeight="1" x14ac:dyDescent="0.2">
      <c r="A16371" s="258"/>
      <c r="Z16371" s="258"/>
    </row>
    <row r="16372" spans="1:26" ht="12.75" customHeight="1" x14ac:dyDescent="0.2">
      <c r="A16372" s="258"/>
      <c r="Z16372" s="258"/>
    </row>
    <row r="16373" spans="1:26" ht="12.75" customHeight="1" x14ac:dyDescent="0.2">
      <c r="A16373" s="258"/>
      <c r="Z16373" s="258"/>
    </row>
    <row r="16374" spans="1:26" ht="12.75" customHeight="1" x14ac:dyDescent="0.2">
      <c r="A16374" s="258"/>
      <c r="Z16374" s="258"/>
    </row>
    <row r="16375" spans="1:26" ht="12.75" customHeight="1" x14ac:dyDescent="0.2">
      <c r="A16375" s="258"/>
      <c r="Z16375" s="258"/>
    </row>
    <row r="16376" spans="1:26" ht="12.75" customHeight="1" x14ac:dyDescent="0.2">
      <c r="A16376" s="258"/>
      <c r="Z16376" s="258"/>
    </row>
    <row r="16377" spans="1:26" ht="12.75" customHeight="1" x14ac:dyDescent="0.2">
      <c r="A16377" s="258"/>
      <c r="Z16377" s="258"/>
    </row>
    <row r="16378" spans="1:26" ht="12.75" customHeight="1" x14ac:dyDescent="0.2">
      <c r="A16378" s="258"/>
      <c r="Z16378" s="258"/>
    </row>
    <row r="16379" spans="1:26" ht="12.75" customHeight="1" x14ac:dyDescent="0.2">
      <c r="A16379" s="258"/>
      <c r="Z16379" s="258"/>
    </row>
    <row r="16380" spans="1:26" ht="12.75" customHeight="1" x14ac:dyDescent="0.2">
      <c r="A16380" s="258"/>
      <c r="Z16380" s="258"/>
    </row>
    <row r="16381" spans="1:26" ht="12.75" customHeight="1" x14ac:dyDescent="0.2">
      <c r="A16381" s="258"/>
      <c r="Z16381" s="258"/>
    </row>
    <row r="16382" spans="1:26" ht="12.75" customHeight="1" x14ac:dyDescent="0.2">
      <c r="A16382" s="258"/>
      <c r="Z16382" s="258"/>
    </row>
    <row r="16383" spans="1:26" ht="12.75" customHeight="1" x14ac:dyDescent="0.2">
      <c r="A16383" s="258"/>
      <c r="Z16383" s="258"/>
    </row>
    <row r="16384" spans="1:26" ht="12.75" customHeight="1" x14ac:dyDescent="0.2">
      <c r="A16384" s="258"/>
      <c r="Z16384" s="258"/>
    </row>
    <row r="16385" spans="1:26" ht="12.75" customHeight="1" x14ac:dyDescent="0.2">
      <c r="A16385" s="258"/>
      <c r="Z16385" s="258"/>
    </row>
    <row r="16386" spans="1:26" ht="12.75" customHeight="1" x14ac:dyDescent="0.2">
      <c r="A16386" s="258"/>
      <c r="Z16386" s="258"/>
    </row>
    <row r="16387" spans="1:26" ht="12.75" customHeight="1" x14ac:dyDescent="0.2">
      <c r="A16387" s="258"/>
      <c r="Z16387" s="258"/>
    </row>
    <row r="16388" spans="1:26" ht="12.75" customHeight="1" x14ac:dyDescent="0.2">
      <c r="A16388" s="258"/>
      <c r="Z16388" s="258"/>
    </row>
    <row r="16389" spans="1:26" ht="12.75" customHeight="1" x14ac:dyDescent="0.2">
      <c r="A16389" s="258"/>
      <c r="Z16389" s="258"/>
    </row>
    <row r="16390" spans="1:26" ht="12.75" customHeight="1" x14ac:dyDescent="0.2">
      <c r="A16390" s="258"/>
      <c r="Z16390" s="258"/>
    </row>
    <row r="16391" spans="1:26" ht="12.75" customHeight="1" x14ac:dyDescent="0.2">
      <c r="A16391" s="258"/>
      <c r="Z16391" s="258"/>
    </row>
    <row r="16392" spans="1:26" ht="12.75" customHeight="1" x14ac:dyDescent="0.2">
      <c r="A16392" s="258"/>
      <c r="Z16392" s="258"/>
    </row>
    <row r="16393" spans="1:26" ht="12.75" customHeight="1" x14ac:dyDescent="0.2">
      <c r="A16393" s="258"/>
      <c r="Z16393" s="258"/>
    </row>
    <row r="16394" spans="1:26" ht="12.75" customHeight="1" x14ac:dyDescent="0.2">
      <c r="A16394" s="258"/>
      <c r="Z16394" s="258"/>
    </row>
    <row r="16395" spans="1:26" ht="12.75" customHeight="1" x14ac:dyDescent="0.2">
      <c r="A16395" s="258"/>
      <c r="Z16395" s="258"/>
    </row>
    <row r="16396" spans="1:26" ht="12.75" customHeight="1" x14ac:dyDescent="0.2">
      <c r="A16396" s="258"/>
      <c r="Z16396" s="258"/>
    </row>
    <row r="16397" spans="1:26" ht="12.75" customHeight="1" x14ac:dyDescent="0.2">
      <c r="A16397" s="258"/>
      <c r="Z16397" s="258"/>
    </row>
    <row r="16398" spans="1:26" ht="12.75" customHeight="1" x14ac:dyDescent="0.2">
      <c r="A16398" s="258"/>
      <c r="Z16398" s="258"/>
    </row>
    <row r="16399" spans="1:26" ht="12.75" customHeight="1" x14ac:dyDescent="0.2">
      <c r="A16399" s="258"/>
      <c r="Z16399" s="258"/>
    </row>
    <row r="16400" spans="1:26" ht="12.75" customHeight="1" x14ac:dyDescent="0.2">
      <c r="A16400" s="258"/>
      <c r="Z16400" s="258"/>
    </row>
    <row r="16401" spans="1:26" ht="12.75" customHeight="1" x14ac:dyDescent="0.2">
      <c r="A16401" s="258"/>
      <c r="Z16401" s="258"/>
    </row>
    <row r="16402" spans="1:26" ht="12.75" customHeight="1" x14ac:dyDescent="0.2">
      <c r="A16402" s="258"/>
      <c r="Z16402" s="258"/>
    </row>
    <row r="16403" spans="1:26" ht="12.75" customHeight="1" x14ac:dyDescent="0.2">
      <c r="A16403" s="258"/>
      <c r="Z16403" s="258"/>
    </row>
    <row r="16404" spans="1:26" ht="12.75" customHeight="1" x14ac:dyDescent="0.2">
      <c r="A16404" s="258"/>
      <c r="Z16404" s="258"/>
    </row>
    <row r="16405" spans="1:26" ht="12.75" customHeight="1" x14ac:dyDescent="0.2">
      <c r="A16405" s="258"/>
      <c r="Z16405" s="258"/>
    </row>
    <row r="16406" spans="1:26" ht="12.75" customHeight="1" x14ac:dyDescent="0.2">
      <c r="A16406" s="258"/>
      <c r="Z16406" s="258"/>
    </row>
    <row r="16407" spans="1:26" ht="12.75" customHeight="1" x14ac:dyDescent="0.2">
      <c r="A16407" s="258"/>
      <c r="Z16407" s="258"/>
    </row>
    <row r="16408" spans="1:26" ht="12.75" customHeight="1" x14ac:dyDescent="0.2">
      <c r="A16408" s="258"/>
      <c r="Z16408" s="258"/>
    </row>
    <row r="16409" spans="1:26" ht="12.75" customHeight="1" x14ac:dyDescent="0.2">
      <c r="A16409" s="258"/>
      <c r="Z16409" s="258"/>
    </row>
    <row r="16410" spans="1:26" ht="12.75" customHeight="1" x14ac:dyDescent="0.2">
      <c r="A16410" s="258"/>
      <c r="Z16410" s="258"/>
    </row>
    <row r="16411" spans="1:26" ht="12.75" customHeight="1" x14ac:dyDescent="0.2">
      <c r="A16411" s="258"/>
      <c r="Z16411" s="258"/>
    </row>
    <row r="16412" spans="1:26" ht="12.75" customHeight="1" x14ac:dyDescent="0.2">
      <c r="A16412" s="258"/>
      <c r="Z16412" s="258"/>
    </row>
    <row r="16413" spans="1:26" ht="12.75" customHeight="1" x14ac:dyDescent="0.2">
      <c r="A16413" s="258"/>
      <c r="Z16413" s="258"/>
    </row>
    <row r="16414" spans="1:26" ht="12.75" customHeight="1" x14ac:dyDescent="0.2">
      <c r="A16414" s="258"/>
      <c r="Z16414" s="258"/>
    </row>
    <row r="16415" spans="1:26" ht="12.75" customHeight="1" x14ac:dyDescent="0.2">
      <c r="A16415" s="258"/>
      <c r="Z16415" s="258"/>
    </row>
    <row r="16416" spans="1:26" ht="12.75" customHeight="1" x14ac:dyDescent="0.2">
      <c r="A16416" s="258"/>
      <c r="Z16416" s="258"/>
    </row>
    <row r="16417" spans="1:26" ht="12.75" customHeight="1" x14ac:dyDescent="0.2">
      <c r="A16417" s="258"/>
      <c r="Z16417" s="258"/>
    </row>
    <row r="16418" spans="1:26" ht="12.75" customHeight="1" x14ac:dyDescent="0.2">
      <c r="A16418" s="258"/>
      <c r="Z16418" s="258"/>
    </row>
    <row r="16419" spans="1:26" ht="12.75" customHeight="1" x14ac:dyDescent="0.2">
      <c r="A16419" s="258"/>
      <c r="Z16419" s="258"/>
    </row>
    <row r="16420" spans="1:26" ht="12.75" customHeight="1" x14ac:dyDescent="0.2">
      <c r="A16420" s="258"/>
      <c r="Z16420" s="258"/>
    </row>
    <row r="16421" spans="1:26" ht="12.75" customHeight="1" x14ac:dyDescent="0.2">
      <c r="A16421" s="258"/>
      <c r="Z16421" s="258"/>
    </row>
    <row r="16422" spans="1:26" ht="12.75" customHeight="1" x14ac:dyDescent="0.2">
      <c r="A16422" s="258"/>
      <c r="Z16422" s="258"/>
    </row>
    <row r="16423" spans="1:26" ht="12.75" customHeight="1" x14ac:dyDescent="0.2">
      <c r="A16423" s="258"/>
      <c r="Z16423" s="258"/>
    </row>
    <row r="16424" spans="1:26" ht="12.75" customHeight="1" x14ac:dyDescent="0.2">
      <c r="A16424" s="258"/>
      <c r="Z16424" s="258"/>
    </row>
    <row r="16425" spans="1:26" ht="12.75" customHeight="1" x14ac:dyDescent="0.2">
      <c r="A16425" s="258"/>
      <c r="Z16425" s="258"/>
    </row>
    <row r="16426" spans="1:26" ht="12.75" customHeight="1" x14ac:dyDescent="0.2">
      <c r="A16426" s="258"/>
      <c r="Z16426" s="258"/>
    </row>
    <row r="16427" spans="1:26" ht="12.75" customHeight="1" x14ac:dyDescent="0.2">
      <c r="A16427" s="258"/>
      <c r="Z16427" s="258"/>
    </row>
    <row r="16428" spans="1:26" ht="12.75" customHeight="1" x14ac:dyDescent="0.2">
      <c r="A16428" s="258"/>
      <c r="Z16428" s="258"/>
    </row>
    <row r="16429" spans="1:26" ht="12.75" customHeight="1" x14ac:dyDescent="0.2">
      <c r="A16429" s="258"/>
      <c r="Z16429" s="258"/>
    </row>
    <row r="16430" spans="1:26" ht="12.75" customHeight="1" x14ac:dyDescent="0.2">
      <c r="A16430" s="258"/>
      <c r="Z16430" s="258"/>
    </row>
    <row r="16431" spans="1:26" ht="12.75" customHeight="1" x14ac:dyDescent="0.2">
      <c r="A16431" s="258"/>
      <c r="Z16431" s="258"/>
    </row>
    <row r="16432" spans="1:26" ht="12.75" customHeight="1" x14ac:dyDescent="0.2">
      <c r="A16432" s="258"/>
      <c r="Z16432" s="258"/>
    </row>
    <row r="16433" spans="1:26" ht="12.75" customHeight="1" x14ac:dyDescent="0.2">
      <c r="A16433" s="258"/>
      <c r="Z16433" s="258"/>
    </row>
    <row r="16434" spans="1:26" ht="12.75" customHeight="1" x14ac:dyDescent="0.2">
      <c r="A16434" s="258"/>
      <c r="Z16434" s="258"/>
    </row>
    <row r="16435" spans="1:26" ht="12.75" customHeight="1" x14ac:dyDescent="0.2">
      <c r="A16435" s="258"/>
      <c r="Z16435" s="258"/>
    </row>
    <row r="16436" spans="1:26" ht="12.75" customHeight="1" x14ac:dyDescent="0.2">
      <c r="A16436" s="258"/>
      <c r="Z16436" s="258"/>
    </row>
    <row r="16437" spans="1:26" ht="12.75" customHeight="1" x14ac:dyDescent="0.2">
      <c r="A16437" s="258"/>
      <c r="Z16437" s="258"/>
    </row>
    <row r="16438" spans="1:26" ht="12.75" customHeight="1" x14ac:dyDescent="0.2">
      <c r="A16438" s="258"/>
      <c r="Z16438" s="258"/>
    </row>
    <row r="16439" spans="1:26" ht="12.75" customHeight="1" x14ac:dyDescent="0.2">
      <c r="A16439" s="258"/>
      <c r="Z16439" s="258"/>
    </row>
    <row r="16440" spans="1:26" ht="12.75" customHeight="1" x14ac:dyDescent="0.2">
      <c r="A16440" s="258"/>
      <c r="Z16440" s="258"/>
    </row>
    <row r="16441" spans="1:26" ht="12.75" customHeight="1" x14ac:dyDescent="0.2">
      <c r="A16441" s="258"/>
      <c r="Z16441" s="258"/>
    </row>
    <row r="16442" spans="1:26" ht="12.75" customHeight="1" x14ac:dyDescent="0.2">
      <c r="A16442" s="258"/>
      <c r="Z16442" s="258"/>
    </row>
    <row r="16443" spans="1:26" ht="12.75" customHeight="1" x14ac:dyDescent="0.2">
      <c r="A16443" s="258"/>
      <c r="Z16443" s="258"/>
    </row>
    <row r="16444" spans="1:26" ht="12.75" customHeight="1" x14ac:dyDescent="0.2">
      <c r="A16444" s="258"/>
      <c r="Z16444" s="258"/>
    </row>
    <row r="16445" spans="1:26" ht="12.75" customHeight="1" x14ac:dyDescent="0.2">
      <c r="A16445" s="258"/>
      <c r="Z16445" s="258"/>
    </row>
    <row r="16446" spans="1:26" ht="12.75" customHeight="1" x14ac:dyDescent="0.2">
      <c r="A16446" s="258"/>
      <c r="Z16446" s="258"/>
    </row>
    <row r="16447" spans="1:26" ht="12.75" customHeight="1" x14ac:dyDescent="0.2">
      <c r="A16447" s="258"/>
      <c r="Z16447" s="258"/>
    </row>
    <row r="16448" spans="1:26" ht="12.75" customHeight="1" x14ac:dyDescent="0.2">
      <c r="A16448" s="258"/>
      <c r="Z16448" s="258"/>
    </row>
    <row r="16449" spans="1:26" ht="12.75" customHeight="1" x14ac:dyDescent="0.2">
      <c r="A16449" s="258"/>
      <c r="Z16449" s="258"/>
    </row>
    <row r="16450" spans="1:26" ht="12.75" customHeight="1" x14ac:dyDescent="0.2">
      <c r="A16450" s="258"/>
      <c r="Z16450" s="258"/>
    </row>
    <row r="16451" spans="1:26" ht="12.75" customHeight="1" x14ac:dyDescent="0.2">
      <c r="A16451" s="258"/>
      <c r="Z16451" s="258"/>
    </row>
    <row r="16452" spans="1:26" ht="12.75" customHeight="1" x14ac:dyDescent="0.2">
      <c r="A16452" s="258"/>
      <c r="Z16452" s="258"/>
    </row>
    <row r="16453" spans="1:26" ht="12.75" customHeight="1" x14ac:dyDescent="0.2">
      <c r="A16453" s="258"/>
      <c r="Z16453" s="258"/>
    </row>
    <row r="16454" spans="1:26" ht="12.75" customHeight="1" x14ac:dyDescent="0.2">
      <c r="A16454" s="258"/>
      <c r="Z16454" s="258"/>
    </row>
    <row r="16455" spans="1:26" ht="12.75" customHeight="1" x14ac:dyDescent="0.2">
      <c r="A16455" s="258"/>
      <c r="Z16455" s="258"/>
    </row>
    <row r="16456" spans="1:26" ht="12.75" customHeight="1" x14ac:dyDescent="0.2">
      <c r="A16456" s="258"/>
      <c r="Z16456" s="258"/>
    </row>
    <row r="16457" spans="1:26" ht="12.75" customHeight="1" x14ac:dyDescent="0.2">
      <c r="A16457" s="258"/>
      <c r="Z16457" s="258"/>
    </row>
    <row r="16458" spans="1:26" ht="12.75" customHeight="1" x14ac:dyDescent="0.2">
      <c r="A16458" s="258"/>
      <c r="Z16458" s="258"/>
    </row>
    <row r="16459" spans="1:26" ht="12.75" customHeight="1" x14ac:dyDescent="0.2">
      <c r="A16459" s="258"/>
      <c r="Z16459" s="258"/>
    </row>
    <row r="16460" spans="1:26" ht="12.75" customHeight="1" x14ac:dyDescent="0.2">
      <c r="A16460" s="258"/>
      <c r="Z16460" s="258"/>
    </row>
    <row r="16461" spans="1:26" ht="12.75" customHeight="1" x14ac:dyDescent="0.2">
      <c r="A16461" s="258"/>
      <c r="Z16461" s="258"/>
    </row>
    <row r="16462" spans="1:26" ht="12.75" customHeight="1" x14ac:dyDescent="0.2">
      <c r="A16462" s="258"/>
      <c r="Z16462" s="258"/>
    </row>
    <row r="16463" spans="1:26" ht="12.75" customHeight="1" x14ac:dyDescent="0.2">
      <c r="A16463" s="258"/>
      <c r="Z16463" s="258"/>
    </row>
    <row r="16464" spans="1:26" ht="12.75" customHeight="1" x14ac:dyDescent="0.2">
      <c r="A16464" s="258"/>
      <c r="Z16464" s="258"/>
    </row>
    <row r="16465" spans="1:26" ht="12.75" customHeight="1" x14ac:dyDescent="0.2">
      <c r="A16465" s="258"/>
      <c r="Z16465" s="258"/>
    </row>
    <row r="16466" spans="1:26" ht="12.75" customHeight="1" x14ac:dyDescent="0.2">
      <c r="A16466" s="258"/>
      <c r="Z16466" s="258"/>
    </row>
    <row r="16467" spans="1:26" ht="12.75" customHeight="1" x14ac:dyDescent="0.2">
      <c r="A16467" s="258"/>
      <c r="Z16467" s="258"/>
    </row>
    <row r="16468" spans="1:26" ht="12.75" customHeight="1" x14ac:dyDescent="0.2">
      <c r="A16468" s="258"/>
      <c r="Z16468" s="258"/>
    </row>
    <row r="16469" spans="1:26" ht="12.75" customHeight="1" x14ac:dyDescent="0.2">
      <c r="A16469" s="258"/>
      <c r="Z16469" s="258"/>
    </row>
    <row r="16470" spans="1:26" ht="12.75" customHeight="1" x14ac:dyDescent="0.2">
      <c r="A16470" s="258"/>
      <c r="Z16470" s="258"/>
    </row>
    <row r="16471" spans="1:26" ht="12.75" customHeight="1" x14ac:dyDescent="0.2">
      <c r="A16471" s="258"/>
      <c r="Z16471" s="258"/>
    </row>
    <row r="16472" spans="1:26" ht="12.75" customHeight="1" x14ac:dyDescent="0.2">
      <c r="A16472" s="258"/>
      <c r="Z16472" s="258"/>
    </row>
    <row r="16473" spans="1:26" ht="12.75" customHeight="1" x14ac:dyDescent="0.2">
      <c r="A16473" s="258"/>
      <c r="Z16473" s="258"/>
    </row>
    <row r="16474" spans="1:26" ht="12.75" customHeight="1" x14ac:dyDescent="0.2">
      <c r="A16474" s="258"/>
      <c r="Z16474" s="258"/>
    </row>
    <row r="16475" spans="1:26" ht="12.75" customHeight="1" x14ac:dyDescent="0.2">
      <c r="A16475" s="258"/>
      <c r="Z16475" s="258"/>
    </row>
    <row r="16476" spans="1:26" ht="12.75" customHeight="1" x14ac:dyDescent="0.2">
      <c r="A16476" s="258"/>
      <c r="Z16476" s="258"/>
    </row>
    <row r="16477" spans="1:26" ht="12.75" customHeight="1" x14ac:dyDescent="0.2">
      <c r="A16477" s="258"/>
      <c r="Z16477" s="258"/>
    </row>
    <row r="16478" spans="1:26" ht="12.75" customHeight="1" x14ac:dyDescent="0.2">
      <c r="A16478" s="258"/>
      <c r="Z16478" s="258"/>
    </row>
    <row r="16479" spans="1:26" ht="12.75" customHeight="1" x14ac:dyDescent="0.2">
      <c r="A16479" s="258"/>
      <c r="Z16479" s="258"/>
    </row>
    <row r="16480" spans="1:26" ht="12.75" customHeight="1" x14ac:dyDescent="0.2">
      <c r="A16480" s="258"/>
      <c r="Z16480" s="258"/>
    </row>
    <row r="16481" spans="1:26" ht="12.75" customHeight="1" x14ac:dyDescent="0.2">
      <c r="A16481" s="258"/>
      <c r="Z16481" s="258"/>
    </row>
    <row r="16482" spans="1:26" ht="12.75" customHeight="1" x14ac:dyDescent="0.2">
      <c r="A16482" s="258"/>
      <c r="Z16482" s="258"/>
    </row>
    <row r="16483" spans="1:26" ht="12.75" customHeight="1" x14ac:dyDescent="0.2">
      <c r="A16483" s="258"/>
      <c r="Z16483" s="258"/>
    </row>
    <row r="16484" spans="1:26" ht="12.75" customHeight="1" x14ac:dyDescent="0.2">
      <c r="A16484" s="258"/>
      <c r="Z16484" s="258"/>
    </row>
    <row r="16485" spans="1:26" ht="12.75" customHeight="1" x14ac:dyDescent="0.2">
      <c r="A16485" s="258"/>
      <c r="Z16485" s="258"/>
    </row>
    <row r="16486" spans="1:26" ht="12.75" customHeight="1" x14ac:dyDescent="0.2">
      <c r="A16486" s="258"/>
      <c r="Z16486" s="258"/>
    </row>
    <row r="16487" spans="1:26" ht="12.75" customHeight="1" x14ac:dyDescent="0.2">
      <c r="A16487" s="258"/>
      <c r="Z16487" s="258"/>
    </row>
    <row r="16488" spans="1:26" ht="12.75" customHeight="1" x14ac:dyDescent="0.2">
      <c r="A16488" s="258"/>
      <c r="Z16488" s="258"/>
    </row>
    <row r="16489" spans="1:26" ht="12.75" customHeight="1" x14ac:dyDescent="0.2">
      <c r="A16489" s="258"/>
      <c r="Z16489" s="258"/>
    </row>
    <row r="16490" spans="1:26" ht="12.75" customHeight="1" x14ac:dyDescent="0.2">
      <c r="A16490" s="258"/>
      <c r="Z16490" s="258"/>
    </row>
    <row r="16491" spans="1:26" ht="12.75" customHeight="1" x14ac:dyDescent="0.2">
      <c r="A16491" s="258"/>
      <c r="Z16491" s="258"/>
    </row>
    <row r="16492" spans="1:26" ht="12.75" customHeight="1" x14ac:dyDescent="0.2">
      <c r="A16492" s="258"/>
      <c r="Z16492" s="258"/>
    </row>
    <row r="16493" spans="1:26" ht="12.75" customHeight="1" x14ac:dyDescent="0.2">
      <c r="A16493" s="258"/>
      <c r="Z16493" s="258"/>
    </row>
    <row r="16494" spans="1:26" ht="12.75" customHeight="1" x14ac:dyDescent="0.2">
      <c r="A16494" s="258"/>
      <c r="Z16494" s="258"/>
    </row>
    <row r="16495" spans="1:26" ht="12.75" customHeight="1" x14ac:dyDescent="0.2">
      <c r="A16495" s="258"/>
      <c r="Z16495" s="258"/>
    </row>
    <row r="16496" spans="1:26" ht="12.75" customHeight="1" x14ac:dyDescent="0.2">
      <c r="A16496" s="258"/>
      <c r="Z16496" s="258"/>
    </row>
    <row r="16497" spans="1:26" ht="12.75" customHeight="1" x14ac:dyDescent="0.2">
      <c r="A16497" s="258"/>
      <c r="Z16497" s="258"/>
    </row>
    <row r="16498" spans="1:26" ht="12.75" customHeight="1" x14ac:dyDescent="0.2">
      <c r="A16498" s="258"/>
      <c r="Z16498" s="258"/>
    </row>
    <row r="16499" spans="1:26" ht="12.75" customHeight="1" x14ac:dyDescent="0.2">
      <c r="A16499" s="258"/>
      <c r="Z16499" s="258"/>
    </row>
    <row r="16500" spans="1:26" ht="12.75" customHeight="1" x14ac:dyDescent="0.2">
      <c r="A16500" s="258"/>
      <c r="Z16500" s="258"/>
    </row>
    <row r="16501" spans="1:26" ht="12.75" customHeight="1" x14ac:dyDescent="0.2">
      <c r="A16501" s="258"/>
      <c r="Z16501" s="258"/>
    </row>
    <row r="16502" spans="1:26" ht="12.75" customHeight="1" x14ac:dyDescent="0.2">
      <c r="A16502" s="258"/>
      <c r="Z16502" s="258"/>
    </row>
    <row r="16503" spans="1:26" ht="12.75" customHeight="1" x14ac:dyDescent="0.2">
      <c r="A16503" s="258"/>
      <c r="Z16503" s="258"/>
    </row>
    <row r="16504" spans="1:26" ht="12.75" customHeight="1" x14ac:dyDescent="0.2">
      <c r="A16504" s="258"/>
      <c r="Z16504" s="258"/>
    </row>
    <row r="16505" spans="1:26" ht="12.75" customHeight="1" x14ac:dyDescent="0.2">
      <c r="A16505" s="258"/>
      <c r="Z16505" s="258"/>
    </row>
    <row r="16506" spans="1:26" ht="12.75" customHeight="1" x14ac:dyDescent="0.2">
      <c r="A16506" s="258"/>
      <c r="Z16506" s="258"/>
    </row>
    <row r="16507" spans="1:26" ht="12.75" customHeight="1" x14ac:dyDescent="0.2">
      <c r="A16507" s="258"/>
      <c r="Z16507" s="258"/>
    </row>
    <row r="16508" spans="1:26" ht="12.75" customHeight="1" x14ac:dyDescent="0.2">
      <c r="A16508" s="258"/>
      <c r="Z16508" s="258"/>
    </row>
    <row r="16509" spans="1:26" ht="12.75" customHeight="1" x14ac:dyDescent="0.2">
      <c r="A16509" s="258"/>
      <c r="Z16509" s="258"/>
    </row>
    <row r="16510" spans="1:26" ht="12.75" customHeight="1" x14ac:dyDescent="0.2">
      <c r="A16510" s="258"/>
      <c r="Z16510" s="258"/>
    </row>
    <row r="16511" spans="1:26" ht="12.75" customHeight="1" x14ac:dyDescent="0.2">
      <c r="A16511" s="258"/>
      <c r="Z16511" s="258"/>
    </row>
    <row r="16512" spans="1:26" ht="12.75" customHeight="1" x14ac:dyDescent="0.2">
      <c r="A16512" s="258"/>
      <c r="Z16512" s="258"/>
    </row>
    <row r="16513" spans="1:26" ht="12.75" customHeight="1" x14ac:dyDescent="0.2">
      <c r="A16513" s="258"/>
      <c r="Z16513" s="258"/>
    </row>
    <row r="16514" spans="1:26" ht="12.75" customHeight="1" x14ac:dyDescent="0.2">
      <c r="A16514" s="258"/>
      <c r="Z16514" s="258"/>
    </row>
    <row r="16515" spans="1:26" ht="12.75" customHeight="1" x14ac:dyDescent="0.2">
      <c r="A16515" s="258"/>
      <c r="Z16515" s="258"/>
    </row>
    <row r="16516" spans="1:26" ht="12.75" customHeight="1" x14ac:dyDescent="0.2">
      <c r="A16516" s="258"/>
      <c r="Z16516" s="258"/>
    </row>
    <row r="16517" spans="1:26" ht="12.75" customHeight="1" x14ac:dyDescent="0.2">
      <c r="A16517" s="258"/>
      <c r="Z16517" s="258"/>
    </row>
    <row r="16518" spans="1:26" ht="12.75" customHeight="1" x14ac:dyDescent="0.2">
      <c r="A16518" s="258"/>
      <c r="Z16518" s="258"/>
    </row>
    <row r="16519" spans="1:26" ht="12.75" customHeight="1" x14ac:dyDescent="0.2">
      <c r="A16519" s="258"/>
      <c r="Z16519" s="258"/>
    </row>
    <row r="16520" spans="1:26" ht="12.75" customHeight="1" x14ac:dyDescent="0.2">
      <c r="A16520" s="258"/>
      <c r="Z16520" s="258"/>
    </row>
    <row r="16521" spans="1:26" ht="12.75" customHeight="1" x14ac:dyDescent="0.2">
      <c r="A16521" s="258"/>
      <c r="Z16521" s="258"/>
    </row>
    <row r="16522" spans="1:26" ht="12.75" customHeight="1" x14ac:dyDescent="0.2">
      <c r="A16522" s="258"/>
      <c r="Z16522" s="258"/>
    </row>
    <row r="16523" spans="1:26" ht="12.75" customHeight="1" x14ac:dyDescent="0.2">
      <c r="A16523" s="258"/>
      <c r="Z16523" s="258"/>
    </row>
    <row r="16524" spans="1:26" ht="12.75" customHeight="1" x14ac:dyDescent="0.2">
      <c r="A16524" s="258"/>
      <c r="Z16524" s="258"/>
    </row>
    <row r="16525" spans="1:26" ht="12.75" customHeight="1" x14ac:dyDescent="0.2">
      <c r="A16525" s="258"/>
      <c r="Z16525" s="258"/>
    </row>
    <row r="16526" spans="1:26" ht="12.75" customHeight="1" x14ac:dyDescent="0.2">
      <c r="A16526" s="258"/>
      <c r="Z16526" s="258"/>
    </row>
    <row r="16527" spans="1:26" ht="12.75" customHeight="1" x14ac:dyDescent="0.2">
      <c r="A16527" s="258"/>
      <c r="Z16527" s="258"/>
    </row>
    <row r="16528" spans="1:26" ht="12.75" customHeight="1" x14ac:dyDescent="0.2">
      <c r="A16528" s="258"/>
      <c r="Z16528" s="258"/>
    </row>
    <row r="16529" spans="1:26" ht="12.75" customHeight="1" x14ac:dyDescent="0.2">
      <c r="A16529" s="258"/>
      <c r="Z16529" s="258"/>
    </row>
    <row r="16530" spans="1:26" ht="12.75" customHeight="1" x14ac:dyDescent="0.2">
      <c r="A16530" s="258"/>
      <c r="Z16530" s="258"/>
    </row>
    <row r="16531" spans="1:26" ht="12.75" customHeight="1" x14ac:dyDescent="0.2">
      <c r="A16531" s="258"/>
      <c r="Z16531" s="258"/>
    </row>
    <row r="16532" spans="1:26" ht="12.75" customHeight="1" x14ac:dyDescent="0.2">
      <c r="A16532" s="258"/>
      <c r="Z16532" s="258"/>
    </row>
    <row r="16533" spans="1:26" ht="12.75" customHeight="1" x14ac:dyDescent="0.2">
      <c r="A16533" s="258"/>
      <c r="Z16533" s="258"/>
    </row>
    <row r="16534" spans="1:26" ht="12.75" customHeight="1" x14ac:dyDescent="0.2">
      <c r="A16534" s="258"/>
      <c r="Z16534" s="258"/>
    </row>
    <row r="16535" spans="1:26" ht="12.75" customHeight="1" x14ac:dyDescent="0.2">
      <c r="A16535" s="258"/>
      <c r="Z16535" s="258"/>
    </row>
    <row r="16536" spans="1:26" ht="12.75" customHeight="1" x14ac:dyDescent="0.2">
      <c r="A16536" s="258"/>
      <c r="Z16536" s="258"/>
    </row>
    <row r="16537" spans="1:26" ht="12.75" customHeight="1" x14ac:dyDescent="0.2">
      <c r="A16537" s="258"/>
      <c r="Z16537" s="258"/>
    </row>
    <row r="16538" spans="1:26" ht="12.75" customHeight="1" x14ac:dyDescent="0.2">
      <c r="A16538" s="258"/>
      <c r="Z16538" s="258"/>
    </row>
    <row r="16539" spans="1:26" ht="12.75" customHeight="1" x14ac:dyDescent="0.2">
      <c r="A16539" s="258"/>
      <c r="Z16539" s="258"/>
    </row>
    <row r="16540" spans="1:26" ht="12.75" customHeight="1" x14ac:dyDescent="0.2">
      <c r="A16540" s="258"/>
      <c r="Z16540" s="258"/>
    </row>
    <row r="16541" spans="1:26" ht="12.75" customHeight="1" x14ac:dyDescent="0.2">
      <c r="A16541" s="258"/>
      <c r="Z16541" s="258"/>
    </row>
    <row r="16542" spans="1:26" ht="12.75" customHeight="1" x14ac:dyDescent="0.2">
      <c r="A16542" s="258"/>
      <c r="Z16542" s="258"/>
    </row>
    <row r="16543" spans="1:26" ht="12.75" customHeight="1" x14ac:dyDescent="0.2">
      <c r="A16543" s="258"/>
      <c r="Z16543" s="258"/>
    </row>
    <row r="16544" spans="1:26" ht="12.75" customHeight="1" x14ac:dyDescent="0.2">
      <c r="A16544" s="258"/>
      <c r="Z16544" s="258"/>
    </row>
    <row r="16545" spans="1:26" ht="12.75" customHeight="1" x14ac:dyDescent="0.2">
      <c r="A16545" s="258"/>
      <c r="Z16545" s="258"/>
    </row>
    <row r="16546" spans="1:26" ht="12.75" customHeight="1" x14ac:dyDescent="0.2">
      <c r="A16546" s="258"/>
      <c r="Z16546" s="258"/>
    </row>
    <row r="16547" spans="1:26" ht="12.75" customHeight="1" x14ac:dyDescent="0.2">
      <c r="A16547" s="258"/>
      <c r="Z16547" s="258"/>
    </row>
    <row r="16548" spans="1:26" ht="12.75" customHeight="1" x14ac:dyDescent="0.2">
      <c r="A16548" s="258"/>
      <c r="Z16548" s="258"/>
    </row>
    <row r="16549" spans="1:26" ht="12.75" customHeight="1" x14ac:dyDescent="0.2">
      <c r="A16549" s="258"/>
      <c r="Z16549" s="258"/>
    </row>
    <row r="16550" spans="1:26" ht="12.75" customHeight="1" x14ac:dyDescent="0.2">
      <c r="A16550" s="258"/>
      <c r="Z16550" s="258"/>
    </row>
    <row r="16551" spans="1:26" ht="12.75" customHeight="1" x14ac:dyDescent="0.2">
      <c r="A16551" s="258"/>
      <c r="Z16551" s="258"/>
    </row>
    <row r="16552" spans="1:26" ht="12.75" customHeight="1" x14ac:dyDescent="0.2">
      <c r="A16552" s="258"/>
      <c r="Z16552" s="258"/>
    </row>
    <row r="16553" spans="1:26" ht="12.75" customHeight="1" x14ac:dyDescent="0.2">
      <c r="A16553" s="258"/>
      <c r="Z16553" s="258"/>
    </row>
    <row r="16554" spans="1:26" ht="12.75" customHeight="1" x14ac:dyDescent="0.2">
      <c r="A16554" s="258"/>
      <c r="Z16554" s="258"/>
    </row>
    <row r="16555" spans="1:26" ht="12.75" customHeight="1" x14ac:dyDescent="0.2">
      <c r="A16555" s="258"/>
      <c r="Z16555" s="258"/>
    </row>
    <row r="16556" spans="1:26" ht="12.75" customHeight="1" x14ac:dyDescent="0.2">
      <c r="A16556" s="258"/>
      <c r="Z16556" s="258"/>
    </row>
    <row r="16557" spans="1:26" ht="12.75" customHeight="1" x14ac:dyDescent="0.2">
      <c r="A16557" s="258"/>
      <c r="Z16557" s="258"/>
    </row>
    <row r="16558" spans="1:26" ht="12.75" customHeight="1" x14ac:dyDescent="0.2">
      <c r="A16558" s="258"/>
      <c r="Z16558" s="258"/>
    </row>
    <row r="16559" spans="1:26" ht="12.75" customHeight="1" x14ac:dyDescent="0.2">
      <c r="A16559" s="258"/>
      <c r="Z16559" s="258"/>
    </row>
    <row r="16560" spans="1:26" ht="12.75" customHeight="1" x14ac:dyDescent="0.2">
      <c r="A16560" s="258"/>
      <c r="Z16560" s="258"/>
    </row>
    <row r="16561" spans="1:26" ht="12.75" customHeight="1" x14ac:dyDescent="0.2">
      <c r="A16561" s="258"/>
      <c r="Z16561" s="258"/>
    </row>
    <row r="16562" spans="1:26" ht="12.75" customHeight="1" x14ac:dyDescent="0.2">
      <c r="A16562" s="258"/>
      <c r="Z16562" s="258"/>
    </row>
    <row r="16563" spans="1:26" ht="12.75" customHeight="1" x14ac:dyDescent="0.2">
      <c r="A16563" s="258"/>
      <c r="Z16563" s="258"/>
    </row>
    <row r="16564" spans="1:26" ht="12.75" customHeight="1" x14ac:dyDescent="0.2">
      <c r="A16564" s="258"/>
      <c r="Z16564" s="258"/>
    </row>
    <row r="16565" spans="1:26" ht="12.75" customHeight="1" x14ac:dyDescent="0.2">
      <c r="A16565" s="258"/>
      <c r="Z16565" s="258"/>
    </row>
    <row r="16566" spans="1:26" ht="12.75" customHeight="1" x14ac:dyDescent="0.2">
      <c r="A16566" s="258"/>
      <c r="Z16566" s="258"/>
    </row>
    <row r="16567" spans="1:26" ht="12.75" customHeight="1" x14ac:dyDescent="0.2">
      <c r="A16567" s="258"/>
      <c r="Z16567" s="258"/>
    </row>
    <row r="16568" spans="1:26" ht="12.75" customHeight="1" x14ac:dyDescent="0.2">
      <c r="A16568" s="258"/>
      <c r="Z16568" s="258"/>
    </row>
    <row r="16569" spans="1:26" ht="12.75" customHeight="1" x14ac:dyDescent="0.2">
      <c r="A16569" s="258"/>
      <c r="Z16569" s="258"/>
    </row>
    <row r="16570" spans="1:26" ht="12.75" customHeight="1" x14ac:dyDescent="0.2">
      <c r="A16570" s="258"/>
      <c r="Z16570" s="258"/>
    </row>
    <row r="16571" spans="1:26" ht="12.75" customHeight="1" x14ac:dyDescent="0.2">
      <c r="A16571" s="258"/>
      <c r="Z16571" s="258"/>
    </row>
    <row r="16572" spans="1:26" ht="12.75" customHeight="1" x14ac:dyDescent="0.2">
      <c r="A16572" s="258"/>
      <c r="Z16572" s="258"/>
    </row>
    <row r="16573" spans="1:26" ht="12.75" customHeight="1" x14ac:dyDescent="0.2">
      <c r="A16573" s="258"/>
      <c r="Z16573" s="258"/>
    </row>
    <row r="16574" spans="1:26" ht="12.75" customHeight="1" x14ac:dyDescent="0.2">
      <c r="A16574" s="258"/>
      <c r="Z16574" s="258"/>
    </row>
    <row r="16575" spans="1:26" ht="12.75" customHeight="1" x14ac:dyDescent="0.2">
      <c r="A16575" s="258"/>
      <c r="Z16575" s="258"/>
    </row>
    <row r="16576" spans="1:26" ht="12.75" customHeight="1" x14ac:dyDescent="0.2">
      <c r="A16576" s="258"/>
      <c r="Z16576" s="258"/>
    </row>
    <row r="16577" spans="1:26" ht="12.75" customHeight="1" x14ac:dyDescent="0.2">
      <c r="A16577" s="258"/>
      <c r="Z16577" s="258"/>
    </row>
    <row r="16578" spans="1:26" ht="12.75" customHeight="1" x14ac:dyDescent="0.2">
      <c r="A16578" s="258"/>
      <c r="Z16578" s="258"/>
    </row>
    <row r="16579" spans="1:26" ht="12.75" customHeight="1" x14ac:dyDescent="0.2">
      <c r="A16579" s="258"/>
      <c r="Z16579" s="258"/>
    </row>
    <row r="16580" spans="1:26" ht="12.75" customHeight="1" x14ac:dyDescent="0.2">
      <c r="A16580" s="258"/>
      <c r="Z16580" s="258"/>
    </row>
    <row r="16581" spans="1:26" ht="12.75" customHeight="1" x14ac:dyDescent="0.2">
      <c r="A16581" s="258"/>
      <c r="Z16581" s="258"/>
    </row>
    <row r="16582" spans="1:26" ht="12.75" customHeight="1" x14ac:dyDescent="0.2">
      <c r="A16582" s="258"/>
      <c r="Z16582" s="258"/>
    </row>
    <row r="16583" spans="1:26" ht="12.75" customHeight="1" x14ac:dyDescent="0.2">
      <c r="A16583" s="258"/>
      <c r="Z16583" s="258"/>
    </row>
    <row r="16584" spans="1:26" ht="12.75" customHeight="1" x14ac:dyDescent="0.2">
      <c r="A16584" s="258"/>
      <c r="Z16584" s="258"/>
    </row>
    <row r="16585" spans="1:26" ht="12.75" customHeight="1" x14ac:dyDescent="0.2">
      <c r="A16585" s="258"/>
      <c r="Z16585" s="258"/>
    </row>
    <row r="16586" spans="1:26" ht="12.75" customHeight="1" x14ac:dyDescent="0.2">
      <c r="A16586" s="258"/>
      <c r="Z16586" s="258"/>
    </row>
    <row r="16587" spans="1:26" ht="12.75" customHeight="1" x14ac:dyDescent="0.2">
      <c r="A16587" s="258"/>
      <c r="Z16587" s="258"/>
    </row>
    <row r="16588" spans="1:26" ht="12.75" customHeight="1" x14ac:dyDescent="0.2">
      <c r="A16588" s="258"/>
      <c r="Z16588" s="258"/>
    </row>
    <row r="16589" spans="1:26" ht="12.75" customHeight="1" x14ac:dyDescent="0.2">
      <c r="A16589" s="258"/>
      <c r="Z16589" s="258"/>
    </row>
    <row r="16590" spans="1:26" ht="12.75" customHeight="1" x14ac:dyDescent="0.2">
      <c r="A16590" s="258"/>
      <c r="Z16590" s="258"/>
    </row>
    <row r="16591" spans="1:26" ht="12.75" customHeight="1" x14ac:dyDescent="0.2">
      <c r="A16591" s="258"/>
      <c r="Z16591" s="258"/>
    </row>
    <row r="16592" spans="1:26" ht="12.75" customHeight="1" x14ac:dyDescent="0.2">
      <c r="A16592" s="258"/>
      <c r="Z16592" s="258"/>
    </row>
    <row r="16593" spans="1:26" ht="12.75" customHeight="1" x14ac:dyDescent="0.2">
      <c r="A16593" s="258"/>
      <c r="Z16593" s="258"/>
    </row>
    <row r="16594" spans="1:26" ht="12.75" customHeight="1" x14ac:dyDescent="0.2">
      <c r="A16594" s="258"/>
      <c r="Z16594" s="258"/>
    </row>
    <row r="16595" spans="1:26" ht="12.75" customHeight="1" x14ac:dyDescent="0.2">
      <c r="A16595" s="258"/>
      <c r="Z16595" s="258"/>
    </row>
    <row r="16596" spans="1:26" ht="12.75" customHeight="1" x14ac:dyDescent="0.2">
      <c r="A16596" s="258"/>
      <c r="Z16596" s="258"/>
    </row>
    <row r="16597" spans="1:26" ht="12.75" customHeight="1" x14ac:dyDescent="0.2">
      <c r="A16597" s="258"/>
      <c r="Z16597" s="258"/>
    </row>
    <row r="16598" spans="1:26" ht="12.75" customHeight="1" x14ac:dyDescent="0.2">
      <c r="A16598" s="258"/>
      <c r="Z16598" s="258"/>
    </row>
    <row r="16599" spans="1:26" ht="12.75" customHeight="1" x14ac:dyDescent="0.2">
      <c r="A16599" s="258"/>
      <c r="Z16599" s="258"/>
    </row>
    <row r="16600" spans="1:26" ht="12.75" customHeight="1" x14ac:dyDescent="0.2">
      <c r="A16600" s="258"/>
      <c r="Z16600" s="258"/>
    </row>
    <row r="16601" spans="1:26" ht="12.75" customHeight="1" x14ac:dyDescent="0.2">
      <c r="A16601" s="258"/>
      <c r="Z16601" s="258"/>
    </row>
    <row r="16602" spans="1:26" ht="12.75" customHeight="1" x14ac:dyDescent="0.2">
      <c r="A16602" s="258"/>
      <c r="Z16602" s="258"/>
    </row>
    <row r="16603" spans="1:26" ht="12.75" customHeight="1" x14ac:dyDescent="0.2">
      <c r="A16603" s="258"/>
      <c r="Z16603" s="258"/>
    </row>
    <row r="16604" spans="1:26" ht="12.75" customHeight="1" x14ac:dyDescent="0.2">
      <c r="A16604" s="258"/>
      <c r="Z16604" s="258"/>
    </row>
    <row r="16605" spans="1:26" ht="12.75" customHeight="1" x14ac:dyDescent="0.2">
      <c r="A16605" s="258"/>
      <c r="Z16605" s="258"/>
    </row>
    <row r="16606" spans="1:26" ht="12.75" customHeight="1" x14ac:dyDescent="0.2">
      <c r="A16606" s="258"/>
      <c r="Z16606" s="258"/>
    </row>
    <row r="16607" spans="1:26" ht="12.75" customHeight="1" x14ac:dyDescent="0.2">
      <c r="A16607" s="258"/>
      <c r="Z16607" s="258"/>
    </row>
    <row r="16608" spans="1:26" ht="12.75" customHeight="1" x14ac:dyDescent="0.2">
      <c r="A16608" s="258"/>
      <c r="Z16608" s="258"/>
    </row>
    <row r="16609" spans="1:26" ht="12.75" customHeight="1" x14ac:dyDescent="0.2">
      <c r="A16609" s="258"/>
      <c r="Z16609" s="258"/>
    </row>
    <row r="16610" spans="1:26" ht="12.75" customHeight="1" x14ac:dyDescent="0.2">
      <c r="A16610" s="258"/>
      <c r="Z16610" s="258"/>
    </row>
    <row r="16611" spans="1:26" ht="12.75" customHeight="1" x14ac:dyDescent="0.2">
      <c r="A16611" s="258"/>
      <c r="Z16611" s="258"/>
    </row>
    <row r="16612" spans="1:26" ht="12.75" customHeight="1" x14ac:dyDescent="0.2">
      <c r="A16612" s="258"/>
      <c r="Z16612" s="258"/>
    </row>
    <row r="16613" spans="1:26" ht="12.75" customHeight="1" x14ac:dyDescent="0.2">
      <c r="A16613" s="258"/>
      <c r="Z16613" s="258"/>
    </row>
    <row r="16614" spans="1:26" ht="12.75" customHeight="1" x14ac:dyDescent="0.2">
      <c r="A16614" s="258"/>
      <c r="Z16614" s="258"/>
    </row>
    <row r="16615" spans="1:26" ht="12.75" customHeight="1" x14ac:dyDescent="0.2">
      <c r="A16615" s="258"/>
      <c r="Z16615" s="258"/>
    </row>
    <row r="16616" spans="1:26" ht="12.75" customHeight="1" x14ac:dyDescent="0.2">
      <c r="A16616" s="258"/>
      <c r="Z16616" s="258"/>
    </row>
    <row r="16617" spans="1:26" ht="12.75" customHeight="1" x14ac:dyDescent="0.2">
      <c r="A16617" s="258"/>
      <c r="Z16617" s="258"/>
    </row>
    <row r="16618" spans="1:26" ht="12.75" customHeight="1" x14ac:dyDescent="0.2">
      <c r="A16618" s="258"/>
      <c r="Z16618" s="258"/>
    </row>
    <row r="16619" spans="1:26" ht="12.75" customHeight="1" x14ac:dyDescent="0.2">
      <c r="A16619" s="258"/>
      <c r="Z16619" s="258"/>
    </row>
    <row r="16620" spans="1:26" ht="12.75" customHeight="1" x14ac:dyDescent="0.2">
      <c r="A16620" s="258"/>
      <c r="Z16620" s="258"/>
    </row>
    <row r="16621" spans="1:26" ht="12.75" customHeight="1" x14ac:dyDescent="0.2">
      <c r="A16621" s="258"/>
      <c r="Z16621" s="258"/>
    </row>
    <row r="16622" spans="1:26" ht="12.75" customHeight="1" x14ac:dyDescent="0.2">
      <c r="A16622" s="258"/>
      <c r="Z16622" s="258"/>
    </row>
    <row r="16623" spans="1:26" ht="12.75" customHeight="1" x14ac:dyDescent="0.2">
      <c r="A16623" s="258"/>
      <c r="Z16623" s="258"/>
    </row>
    <row r="16624" spans="1:26" ht="12.75" customHeight="1" x14ac:dyDescent="0.2">
      <c r="A16624" s="258"/>
      <c r="Z16624" s="258"/>
    </row>
    <row r="16625" spans="1:26" ht="12.75" customHeight="1" x14ac:dyDescent="0.2">
      <c r="A16625" s="258"/>
      <c r="Z16625" s="258"/>
    </row>
    <row r="16626" spans="1:26" ht="12.75" customHeight="1" x14ac:dyDescent="0.2">
      <c r="A16626" s="258"/>
      <c r="Z16626" s="258"/>
    </row>
    <row r="16627" spans="1:26" ht="12.75" customHeight="1" x14ac:dyDescent="0.2">
      <c r="A16627" s="258"/>
      <c r="Z16627" s="258"/>
    </row>
    <row r="16628" spans="1:26" ht="12.75" customHeight="1" x14ac:dyDescent="0.2">
      <c r="A16628" s="258"/>
      <c r="Z16628" s="258"/>
    </row>
    <row r="16629" spans="1:26" ht="12.75" customHeight="1" x14ac:dyDescent="0.2">
      <c r="A16629" s="258"/>
      <c r="Z16629" s="258"/>
    </row>
    <row r="16630" spans="1:26" ht="12.75" customHeight="1" x14ac:dyDescent="0.2">
      <c r="A16630" s="258"/>
      <c r="Z16630" s="258"/>
    </row>
    <row r="16631" spans="1:26" ht="12.75" customHeight="1" x14ac:dyDescent="0.2">
      <c r="A16631" s="258"/>
      <c r="Z16631" s="258"/>
    </row>
    <row r="16632" spans="1:26" ht="12.75" customHeight="1" x14ac:dyDescent="0.2">
      <c r="A16632" s="258"/>
      <c r="Z16632" s="258"/>
    </row>
    <row r="16633" spans="1:26" ht="12.75" customHeight="1" x14ac:dyDescent="0.2">
      <c r="A16633" s="258"/>
      <c r="Z16633" s="258"/>
    </row>
    <row r="16634" spans="1:26" ht="12.75" customHeight="1" x14ac:dyDescent="0.2">
      <c r="A16634" s="258"/>
      <c r="Z16634" s="258"/>
    </row>
    <row r="16635" spans="1:26" ht="12.75" customHeight="1" x14ac:dyDescent="0.2">
      <c r="A16635" s="258"/>
      <c r="Z16635" s="258"/>
    </row>
    <row r="16636" spans="1:26" ht="12.75" customHeight="1" x14ac:dyDescent="0.2">
      <c r="A16636" s="258"/>
      <c r="Z16636" s="258"/>
    </row>
    <row r="16637" spans="1:26" ht="12.75" customHeight="1" x14ac:dyDescent="0.2">
      <c r="A16637" s="258"/>
      <c r="Z16637" s="258"/>
    </row>
    <row r="16638" spans="1:26" ht="12.75" customHeight="1" x14ac:dyDescent="0.2">
      <c r="A16638" s="258"/>
      <c r="Z16638" s="258"/>
    </row>
    <row r="16639" spans="1:26" ht="12.75" customHeight="1" x14ac:dyDescent="0.2">
      <c r="A16639" s="258"/>
      <c r="Z16639" s="258"/>
    </row>
    <row r="16640" spans="1:26" ht="12.75" customHeight="1" x14ac:dyDescent="0.2">
      <c r="A16640" s="258"/>
      <c r="Z16640" s="258"/>
    </row>
    <row r="16641" spans="1:26" ht="12.75" customHeight="1" x14ac:dyDescent="0.2">
      <c r="A16641" s="258"/>
      <c r="Z16641" s="258"/>
    </row>
    <row r="16642" spans="1:26" ht="12.75" customHeight="1" x14ac:dyDescent="0.2">
      <c r="A16642" s="258"/>
      <c r="Z16642" s="258"/>
    </row>
    <row r="16643" spans="1:26" ht="12.75" customHeight="1" x14ac:dyDescent="0.2">
      <c r="A16643" s="258"/>
      <c r="Z16643" s="258"/>
    </row>
    <row r="16644" spans="1:26" ht="12.75" customHeight="1" x14ac:dyDescent="0.2">
      <c r="A16644" s="258"/>
      <c r="Z16644" s="258"/>
    </row>
    <row r="16645" spans="1:26" ht="12.75" customHeight="1" x14ac:dyDescent="0.2">
      <c r="A16645" s="258"/>
      <c r="Z16645" s="258"/>
    </row>
    <row r="16646" spans="1:26" ht="12.75" customHeight="1" x14ac:dyDescent="0.2">
      <c r="A16646" s="258"/>
      <c r="Z16646" s="258"/>
    </row>
    <row r="16647" spans="1:26" ht="12.75" customHeight="1" x14ac:dyDescent="0.2">
      <c r="A16647" s="258"/>
      <c r="Z16647" s="258"/>
    </row>
    <row r="16648" spans="1:26" ht="12.75" customHeight="1" x14ac:dyDescent="0.2">
      <c r="A16648" s="258"/>
      <c r="Z16648" s="258"/>
    </row>
    <row r="16649" spans="1:26" ht="12.75" customHeight="1" x14ac:dyDescent="0.2">
      <c r="A16649" s="258"/>
      <c r="Z16649" s="258"/>
    </row>
    <row r="16650" spans="1:26" ht="12.75" customHeight="1" x14ac:dyDescent="0.2">
      <c r="A16650" s="258"/>
      <c r="Z16650" s="258"/>
    </row>
    <row r="16651" spans="1:26" ht="12.75" customHeight="1" x14ac:dyDescent="0.2">
      <c r="A16651" s="258"/>
      <c r="Z16651" s="258"/>
    </row>
    <row r="16652" spans="1:26" ht="12.75" customHeight="1" x14ac:dyDescent="0.2">
      <c r="A16652" s="258"/>
      <c r="Z16652" s="258"/>
    </row>
    <row r="16653" spans="1:26" ht="12.75" customHeight="1" x14ac:dyDescent="0.2">
      <c r="A16653" s="258"/>
      <c r="Z16653" s="258"/>
    </row>
    <row r="16654" spans="1:26" ht="12.75" customHeight="1" x14ac:dyDescent="0.2">
      <c r="A16654" s="258"/>
      <c r="Z16654" s="258"/>
    </row>
    <row r="16655" spans="1:26" ht="12.75" customHeight="1" x14ac:dyDescent="0.2">
      <c r="A16655" s="258"/>
      <c r="Z16655" s="258"/>
    </row>
    <row r="16656" spans="1:26" ht="12.75" customHeight="1" x14ac:dyDescent="0.2">
      <c r="A16656" s="258"/>
      <c r="Z16656" s="258"/>
    </row>
    <row r="16657" spans="1:26" ht="12.75" customHeight="1" x14ac:dyDescent="0.2">
      <c r="A16657" s="258"/>
      <c r="Z16657" s="258"/>
    </row>
    <row r="16658" spans="1:26" ht="12.75" customHeight="1" x14ac:dyDescent="0.2">
      <c r="A16658" s="258"/>
      <c r="Z16658" s="258"/>
    </row>
    <row r="16659" spans="1:26" ht="12.75" customHeight="1" x14ac:dyDescent="0.2">
      <c r="A16659" s="258"/>
      <c r="Z16659" s="258"/>
    </row>
    <row r="16660" spans="1:26" ht="12.75" customHeight="1" x14ac:dyDescent="0.2">
      <c r="A16660" s="258"/>
      <c r="Z16660" s="258"/>
    </row>
    <row r="16661" spans="1:26" ht="12.75" customHeight="1" x14ac:dyDescent="0.2">
      <c r="A16661" s="258"/>
      <c r="Z16661" s="258"/>
    </row>
    <row r="16662" spans="1:26" ht="12.75" customHeight="1" x14ac:dyDescent="0.2">
      <c r="A16662" s="258"/>
      <c r="Z16662" s="258"/>
    </row>
    <row r="16663" spans="1:26" ht="12.75" customHeight="1" x14ac:dyDescent="0.2">
      <c r="A16663" s="258"/>
      <c r="Z16663" s="258"/>
    </row>
    <row r="16664" spans="1:26" ht="12.75" customHeight="1" x14ac:dyDescent="0.2">
      <c r="A16664" s="258"/>
      <c r="Z16664" s="258"/>
    </row>
    <row r="16665" spans="1:26" ht="12.75" customHeight="1" x14ac:dyDescent="0.2">
      <c r="A16665" s="258"/>
      <c r="Z16665" s="258"/>
    </row>
    <row r="16666" spans="1:26" ht="12.75" customHeight="1" x14ac:dyDescent="0.2">
      <c r="A16666" s="258"/>
      <c r="Z16666" s="258"/>
    </row>
    <row r="16667" spans="1:26" ht="12.75" customHeight="1" x14ac:dyDescent="0.2">
      <c r="A16667" s="258"/>
      <c r="Z16667" s="258"/>
    </row>
    <row r="16668" spans="1:26" ht="12.75" customHeight="1" x14ac:dyDescent="0.2">
      <c r="A16668" s="258"/>
      <c r="Z16668" s="258"/>
    </row>
    <row r="16669" spans="1:26" ht="12.75" customHeight="1" x14ac:dyDescent="0.2">
      <c r="A16669" s="258"/>
      <c r="Z16669" s="258"/>
    </row>
    <row r="16670" spans="1:26" ht="12.75" customHeight="1" x14ac:dyDescent="0.2">
      <c r="A16670" s="258"/>
      <c r="Z16670" s="258"/>
    </row>
    <row r="16671" spans="1:26" ht="12.75" customHeight="1" x14ac:dyDescent="0.2">
      <c r="A16671" s="258"/>
      <c r="Z16671" s="258"/>
    </row>
    <row r="16672" spans="1:26" ht="12.75" customHeight="1" x14ac:dyDescent="0.2">
      <c r="A16672" s="258"/>
      <c r="Z16672" s="258"/>
    </row>
    <row r="16673" spans="1:26" ht="12.75" customHeight="1" x14ac:dyDescent="0.2">
      <c r="A16673" s="258"/>
      <c r="Z16673" s="258"/>
    </row>
    <row r="16674" spans="1:26" ht="12.75" customHeight="1" x14ac:dyDescent="0.2">
      <c r="A16674" s="258"/>
      <c r="Z16674" s="258"/>
    </row>
    <row r="16675" spans="1:26" ht="12.75" customHeight="1" x14ac:dyDescent="0.2">
      <c r="A16675" s="258"/>
      <c r="Z16675" s="258"/>
    </row>
    <row r="16676" spans="1:26" ht="12.75" customHeight="1" x14ac:dyDescent="0.2">
      <c r="A16676" s="258"/>
      <c r="Z16676" s="258"/>
    </row>
    <row r="16677" spans="1:26" ht="12.75" customHeight="1" x14ac:dyDescent="0.2">
      <c r="A16677" s="258"/>
      <c r="Z16677" s="258"/>
    </row>
    <row r="16678" spans="1:26" ht="12.75" customHeight="1" x14ac:dyDescent="0.2">
      <c r="A16678" s="258"/>
      <c r="Z16678" s="258"/>
    </row>
    <row r="16679" spans="1:26" ht="12.75" customHeight="1" x14ac:dyDescent="0.2">
      <c r="A16679" s="258"/>
      <c r="Z16679" s="258"/>
    </row>
    <row r="16680" spans="1:26" ht="12.75" customHeight="1" x14ac:dyDescent="0.2">
      <c r="A16680" s="258"/>
      <c r="Z16680" s="258"/>
    </row>
    <row r="16681" spans="1:26" ht="12.75" customHeight="1" x14ac:dyDescent="0.2">
      <c r="A16681" s="258"/>
      <c r="Z16681" s="258"/>
    </row>
    <row r="16682" spans="1:26" ht="12.75" customHeight="1" x14ac:dyDescent="0.2">
      <c r="A16682" s="258"/>
      <c r="Z16682" s="258"/>
    </row>
    <row r="16683" spans="1:26" ht="12.75" customHeight="1" x14ac:dyDescent="0.2">
      <c r="A16683" s="258"/>
      <c r="Z16683" s="258"/>
    </row>
    <row r="16684" spans="1:26" ht="12.75" customHeight="1" x14ac:dyDescent="0.2">
      <c r="A16684" s="258"/>
      <c r="Z16684" s="258"/>
    </row>
    <row r="16685" spans="1:26" ht="12.75" customHeight="1" x14ac:dyDescent="0.2">
      <c r="A16685" s="258"/>
      <c r="Z16685" s="258"/>
    </row>
    <row r="16686" spans="1:26" ht="12.75" customHeight="1" x14ac:dyDescent="0.2">
      <c r="A16686" s="258"/>
      <c r="Z16686" s="258"/>
    </row>
    <row r="16687" spans="1:26" ht="12.75" customHeight="1" x14ac:dyDescent="0.2">
      <c r="A16687" s="258"/>
      <c r="Z16687" s="258"/>
    </row>
    <row r="16688" spans="1:26" ht="12.75" customHeight="1" x14ac:dyDescent="0.2">
      <c r="A16688" s="258"/>
      <c r="Z16688" s="258"/>
    </row>
    <row r="16689" spans="1:26" ht="12.75" customHeight="1" x14ac:dyDescent="0.2">
      <c r="A16689" s="258"/>
      <c r="Z16689" s="258"/>
    </row>
    <row r="16690" spans="1:26" ht="12.75" customHeight="1" x14ac:dyDescent="0.2">
      <c r="A16690" s="258"/>
      <c r="Z16690" s="258"/>
    </row>
    <row r="16691" spans="1:26" ht="12.75" customHeight="1" x14ac:dyDescent="0.2">
      <c r="A16691" s="258"/>
      <c r="Z16691" s="258"/>
    </row>
    <row r="16692" spans="1:26" ht="12.75" customHeight="1" x14ac:dyDescent="0.2">
      <c r="A16692" s="258"/>
      <c r="Z16692" s="258"/>
    </row>
    <row r="16693" spans="1:26" ht="12.75" customHeight="1" x14ac:dyDescent="0.2">
      <c r="A16693" s="258"/>
      <c r="Z16693" s="258"/>
    </row>
    <row r="16694" spans="1:26" ht="12.75" customHeight="1" x14ac:dyDescent="0.2">
      <c r="A16694" s="258"/>
      <c r="Z16694" s="258"/>
    </row>
    <row r="16695" spans="1:26" ht="12.75" customHeight="1" x14ac:dyDescent="0.2">
      <c r="A16695" s="258"/>
      <c r="Z16695" s="258"/>
    </row>
    <row r="16696" spans="1:26" ht="12.75" customHeight="1" x14ac:dyDescent="0.2">
      <c r="A16696" s="258"/>
      <c r="Z16696" s="258"/>
    </row>
    <row r="16697" spans="1:26" ht="12.75" customHeight="1" x14ac:dyDescent="0.2">
      <c r="A16697" s="258"/>
      <c r="Z16697" s="258"/>
    </row>
    <row r="16698" spans="1:26" ht="12.75" customHeight="1" x14ac:dyDescent="0.2">
      <c r="A16698" s="258"/>
      <c r="Z16698" s="258"/>
    </row>
    <row r="16699" spans="1:26" ht="12.75" customHeight="1" x14ac:dyDescent="0.2">
      <c r="A16699" s="258"/>
      <c r="Z16699" s="258"/>
    </row>
    <row r="16700" spans="1:26" ht="12.75" customHeight="1" x14ac:dyDescent="0.2">
      <c r="A16700" s="258"/>
      <c r="Z16700" s="258"/>
    </row>
    <row r="16701" spans="1:26" ht="12.75" customHeight="1" x14ac:dyDescent="0.2">
      <c r="A16701" s="258"/>
      <c r="Z16701" s="258"/>
    </row>
    <row r="16702" spans="1:26" ht="12.75" customHeight="1" x14ac:dyDescent="0.2">
      <c r="A16702" s="258"/>
      <c r="Z16702" s="258"/>
    </row>
    <row r="16703" spans="1:26" ht="12.75" customHeight="1" x14ac:dyDescent="0.2">
      <c r="A16703" s="258"/>
      <c r="Z16703" s="258"/>
    </row>
    <row r="16704" spans="1:26" ht="12.75" customHeight="1" x14ac:dyDescent="0.2">
      <c r="A16704" s="258"/>
      <c r="Z16704" s="258"/>
    </row>
    <row r="16705" spans="1:26" ht="12.75" customHeight="1" x14ac:dyDescent="0.2">
      <c r="A16705" s="258"/>
      <c r="Z16705" s="258"/>
    </row>
    <row r="16706" spans="1:26" ht="12.75" customHeight="1" x14ac:dyDescent="0.2">
      <c r="A16706" s="258"/>
      <c r="Z16706" s="258"/>
    </row>
    <row r="16707" spans="1:26" ht="12.75" customHeight="1" x14ac:dyDescent="0.2">
      <c r="A16707" s="258"/>
      <c r="Z16707" s="258"/>
    </row>
    <row r="16708" spans="1:26" ht="12.75" customHeight="1" x14ac:dyDescent="0.2">
      <c r="A16708" s="258"/>
      <c r="Z16708" s="258"/>
    </row>
    <row r="16709" spans="1:26" ht="12.75" customHeight="1" x14ac:dyDescent="0.2">
      <c r="A16709" s="258"/>
      <c r="Z16709" s="258"/>
    </row>
    <row r="16710" spans="1:26" ht="12.75" customHeight="1" x14ac:dyDescent="0.2">
      <c r="A16710" s="258"/>
      <c r="Z16710" s="258"/>
    </row>
    <row r="16711" spans="1:26" ht="12.75" customHeight="1" x14ac:dyDescent="0.2">
      <c r="A16711" s="258"/>
      <c r="Z16711" s="258"/>
    </row>
    <row r="16712" spans="1:26" ht="12.75" customHeight="1" x14ac:dyDescent="0.2">
      <c r="A16712" s="258"/>
      <c r="Z16712" s="258"/>
    </row>
    <row r="16713" spans="1:26" ht="12.75" customHeight="1" x14ac:dyDescent="0.2">
      <c r="A16713" s="258"/>
      <c r="Z16713" s="258"/>
    </row>
    <row r="16714" spans="1:26" ht="12.75" customHeight="1" x14ac:dyDescent="0.2">
      <c r="A16714" s="258"/>
      <c r="Z16714" s="258"/>
    </row>
    <row r="16715" spans="1:26" ht="12.75" customHeight="1" x14ac:dyDescent="0.2">
      <c r="A16715" s="258"/>
      <c r="Z16715" s="258"/>
    </row>
    <row r="16716" spans="1:26" ht="12.75" customHeight="1" x14ac:dyDescent="0.2">
      <c r="A16716" s="258"/>
      <c r="Z16716" s="258"/>
    </row>
    <row r="16717" spans="1:26" ht="12.75" customHeight="1" x14ac:dyDescent="0.2">
      <c r="A16717" s="258"/>
      <c r="Z16717" s="258"/>
    </row>
    <row r="16718" spans="1:26" ht="12.75" customHeight="1" x14ac:dyDescent="0.2">
      <c r="A16718" s="258"/>
      <c r="Z16718" s="258"/>
    </row>
    <row r="16719" spans="1:26" ht="12.75" customHeight="1" x14ac:dyDescent="0.2">
      <c r="A16719" s="258"/>
      <c r="Z16719" s="258"/>
    </row>
    <row r="16720" spans="1:26" ht="12.75" customHeight="1" x14ac:dyDescent="0.2">
      <c r="A16720" s="258"/>
      <c r="Z16720" s="258"/>
    </row>
    <row r="16721" spans="1:26" ht="12.75" customHeight="1" x14ac:dyDescent="0.2">
      <c r="A16721" s="258"/>
      <c r="Z16721" s="258"/>
    </row>
    <row r="16722" spans="1:26" ht="12.75" customHeight="1" x14ac:dyDescent="0.2">
      <c r="A16722" s="258"/>
      <c r="Z16722" s="258"/>
    </row>
    <row r="16723" spans="1:26" ht="12.75" customHeight="1" x14ac:dyDescent="0.2">
      <c r="A16723" s="258"/>
      <c r="Z16723" s="258"/>
    </row>
    <row r="16724" spans="1:26" ht="12.75" customHeight="1" x14ac:dyDescent="0.2">
      <c r="A16724" s="258"/>
      <c r="Z16724" s="258"/>
    </row>
    <row r="16725" spans="1:26" ht="12.75" customHeight="1" x14ac:dyDescent="0.2">
      <c r="A16725" s="258"/>
      <c r="Z16725" s="258"/>
    </row>
    <row r="16726" spans="1:26" ht="12.75" customHeight="1" x14ac:dyDescent="0.2">
      <c r="A16726" s="258"/>
      <c r="Z16726" s="258"/>
    </row>
    <row r="16727" spans="1:26" ht="12.75" customHeight="1" x14ac:dyDescent="0.2">
      <c r="A16727" s="258"/>
      <c r="Z16727" s="258"/>
    </row>
    <row r="16728" spans="1:26" ht="12.75" customHeight="1" x14ac:dyDescent="0.2">
      <c r="A16728" s="258"/>
      <c r="Z16728" s="258"/>
    </row>
    <row r="16729" spans="1:26" ht="12.75" customHeight="1" x14ac:dyDescent="0.2">
      <c r="A16729" s="258"/>
      <c r="Z16729" s="258"/>
    </row>
    <row r="16730" spans="1:26" ht="12.75" customHeight="1" x14ac:dyDescent="0.2">
      <c r="A16730" s="258"/>
      <c r="Z16730" s="258"/>
    </row>
    <row r="16731" spans="1:26" ht="12.75" customHeight="1" x14ac:dyDescent="0.2">
      <c r="A16731" s="258"/>
      <c r="Z16731" s="258"/>
    </row>
    <row r="16732" spans="1:26" ht="12.75" customHeight="1" x14ac:dyDescent="0.2">
      <c r="A16732" s="258"/>
      <c r="Z16732" s="258"/>
    </row>
    <row r="16733" spans="1:26" ht="12.75" customHeight="1" x14ac:dyDescent="0.2">
      <c r="A16733" s="258"/>
      <c r="Z16733" s="258"/>
    </row>
    <row r="16734" spans="1:26" ht="12.75" customHeight="1" x14ac:dyDescent="0.2">
      <c r="A16734" s="258"/>
      <c r="Z16734" s="258"/>
    </row>
    <row r="16735" spans="1:26" ht="12.75" customHeight="1" x14ac:dyDescent="0.2">
      <c r="A16735" s="258"/>
      <c r="Z16735" s="258"/>
    </row>
    <row r="16736" spans="1:26" ht="12.75" customHeight="1" x14ac:dyDescent="0.2">
      <c r="A16736" s="258"/>
      <c r="Z16736" s="258"/>
    </row>
    <row r="16737" spans="1:26" ht="12.75" customHeight="1" x14ac:dyDescent="0.2">
      <c r="A16737" s="258"/>
      <c r="Z16737" s="258"/>
    </row>
    <row r="16738" spans="1:26" ht="12.75" customHeight="1" x14ac:dyDescent="0.2">
      <c r="A16738" s="258"/>
      <c r="Z16738" s="258"/>
    </row>
    <row r="16739" spans="1:26" ht="12.75" customHeight="1" x14ac:dyDescent="0.2">
      <c r="A16739" s="258"/>
      <c r="Z16739" s="258"/>
    </row>
    <row r="16740" spans="1:26" ht="12.75" customHeight="1" x14ac:dyDescent="0.2">
      <c r="A16740" s="258"/>
      <c r="Z16740" s="258"/>
    </row>
    <row r="16741" spans="1:26" ht="12.75" customHeight="1" x14ac:dyDescent="0.2">
      <c r="A16741" s="258"/>
      <c r="Z16741" s="258"/>
    </row>
    <row r="16742" spans="1:26" ht="12.75" customHeight="1" x14ac:dyDescent="0.2">
      <c r="A16742" s="258"/>
      <c r="Z16742" s="258"/>
    </row>
    <row r="16743" spans="1:26" ht="12.75" customHeight="1" x14ac:dyDescent="0.2">
      <c r="A16743" s="258"/>
      <c r="Z16743" s="258"/>
    </row>
    <row r="16744" spans="1:26" ht="12.75" customHeight="1" x14ac:dyDescent="0.2">
      <c r="A16744" s="258"/>
      <c r="Z16744" s="258"/>
    </row>
    <row r="16745" spans="1:26" ht="12.75" customHeight="1" x14ac:dyDescent="0.2">
      <c r="A16745" s="258"/>
      <c r="Z16745" s="258"/>
    </row>
    <row r="16746" spans="1:26" ht="12.75" customHeight="1" x14ac:dyDescent="0.2">
      <c r="A16746" s="258"/>
      <c r="Z16746" s="258"/>
    </row>
    <row r="16747" spans="1:26" ht="12.75" customHeight="1" x14ac:dyDescent="0.2">
      <c r="A16747" s="258"/>
      <c r="Z16747" s="258"/>
    </row>
    <row r="16748" spans="1:26" ht="12.75" customHeight="1" x14ac:dyDescent="0.2">
      <c r="A16748" s="258"/>
      <c r="Z16748" s="258"/>
    </row>
    <row r="16749" spans="1:26" ht="12.75" customHeight="1" x14ac:dyDescent="0.2">
      <c r="A16749" s="258"/>
      <c r="Z16749" s="258"/>
    </row>
    <row r="16750" spans="1:26" ht="12.75" customHeight="1" x14ac:dyDescent="0.2">
      <c r="A16750" s="258"/>
      <c r="Z16750" s="258"/>
    </row>
    <row r="16751" spans="1:26" ht="12.75" customHeight="1" x14ac:dyDescent="0.2">
      <c r="A16751" s="258"/>
      <c r="Z16751" s="258"/>
    </row>
    <row r="16752" spans="1:26" ht="12.75" customHeight="1" x14ac:dyDescent="0.2">
      <c r="A16752" s="258"/>
      <c r="Z16752" s="258"/>
    </row>
    <row r="16753" spans="1:26" ht="12.75" customHeight="1" x14ac:dyDescent="0.2">
      <c r="A16753" s="258"/>
      <c r="Z16753" s="258"/>
    </row>
    <row r="16754" spans="1:26" ht="12.75" customHeight="1" x14ac:dyDescent="0.2">
      <c r="A16754" s="258"/>
      <c r="Z16754" s="258"/>
    </row>
    <row r="16755" spans="1:26" ht="12.75" customHeight="1" x14ac:dyDescent="0.2">
      <c r="A16755" s="258"/>
      <c r="Z16755" s="258"/>
    </row>
    <row r="16756" spans="1:26" ht="12.75" customHeight="1" x14ac:dyDescent="0.2">
      <c r="A16756" s="258"/>
      <c r="Z16756" s="258"/>
    </row>
    <row r="16757" spans="1:26" ht="12.75" customHeight="1" x14ac:dyDescent="0.2">
      <c r="A16757" s="258"/>
      <c r="Z16757" s="258"/>
    </row>
    <row r="16758" spans="1:26" ht="12.75" customHeight="1" x14ac:dyDescent="0.2">
      <c r="A16758" s="258"/>
      <c r="Z16758" s="258"/>
    </row>
    <row r="16759" spans="1:26" ht="12.75" customHeight="1" x14ac:dyDescent="0.2">
      <c r="A16759" s="258"/>
      <c r="Z16759" s="258"/>
    </row>
    <row r="16760" spans="1:26" ht="12.75" customHeight="1" x14ac:dyDescent="0.2">
      <c r="A16760" s="258"/>
      <c r="Z16760" s="258"/>
    </row>
    <row r="16761" spans="1:26" ht="12.75" customHeight="1" x14ac:dyDescent="0.2">
      <c r="A16761" s="258"/>
      <c r="Z16761" s="258"/>
    </row>
    <row r="16762" spans="1:26" ht="12.75" customHeight="1" x14ac:dyDescent="0.2">
      <c r="A16762" s="258"/>
      <c r="Z16762" s="258"/>
    </row>
    <row r="16763" spans="1:26" ht="12.75" customHeight="1" x14ac:dyDescent="0.2">
      <c r="A16763" s="258"/>
      <c r="Z16763" s="258"/>
    </row>
    <row r="16764" spans="1:26" ht="12.75" customHeight="1" x14ac:dyDescent="0.2">
      <c r="A16764" s="258"/>
      <c r="Z16764" s="258"/>
    </row>
    <row r="16765" spans="1:26" ht="12.75" customHeight="1" x14ac:dyDescent="0.2">
      <c r="A16765" s="258"/>
      <c r="Z16765" s="258"/>
    </row>
    <row r="16766" spans="1:26" ht="12.75" customHeight="1" x14ac:dyDescent="0.2">
      <c r="A16766" s="258"/>
      <c r="Z16766" s="258"/>
    </row>
    <row r="16767" spans="1:26" ht="12.75" customHeight="1" x14ac:dyDescent="0.2">
      <c r="A16767" s="258"/>
      <c r="Z16767" s="258"/>
    </row>
    <row r="16768" spans="1:26" ht="12.75" customHeight="1" x14ac:dyDescent="0.2">
      <c r="A16768" s="258"/>
      <c r="Z16768" s="258"/>
    </row>
    <row r="16769" spans="1:26" ht="12.75" customHeight="1" x14ac:dyDescent="0.2">
      <c r="A16769" s="258"/>
      <c r="Z16769" s="258"/>
    </row>
    <row r="16770" spans="1:26" ht="12.75" customHeight="1" x14ac:dyDescent="0.2">
      <c r="A16770" s="258"/>
      <c r="Z16770" s="258"/>
    </row>
    <row r="16771" spans="1:26" ht="12.75" customHeight="1" x14ac:dyDescent="0.2">
      <c r="A16771" s="258"/>
      <c r="Z16771" s="258"/>
    </row>
    <row r="16772" spans="1:26" ht="12.75" customHeight="1" x14ac:dyDescent="0.2">
      <c r="A16772" s="258"/>
      <c r="Z16772" s="258"/>
    </row>
    <row r="16773" spans="1:26" ht="12.75" customHeight="1" x14ac:dyDescent="0.2">
      <c r="A16773" s="258"/>
      <c r="Z16773" s="258"/>
    </row>
    <row r="16774" spans="1:26" ht="12.75" customHeight="1" x14ac:dyDescent="0.2">
      <c r="A16774" s="258"/>
      <c r="Z16774" s="258"/>
    </row>
    <row r="16775" spans="1:26" ht="12.75" customHeight="1" x14ac:dyDescent="0.2">
      <c r="A16775" s="258"/>
      <c r="Z16775" s="258"/>
    </row>
    <row r="16776" spans="1:26" ht="12.75" customHeight="1" x14ac:dyDescent="0.2">
      <c r="A16776" s="258"/>
      <c r="Z16776" s="258"/>
    </row>
    <row r="16777" spans="1:26" ht="12.75" customHeight="1" x14ac:dyDescent="0.2">
      <c r="A16777" s="258"/>
      <c r="Z16777" s="258"/>
    </row>
    <row r="16778" spans="1:26" ht="12.75" customHeight="1" x14ac:dyDescent="0.2">
      <c r="A16778" s="258"/>
      <c r="Z16778" s="258"/>
    </row>
    <row r="16779" spans="1:26" ht="12.75" customHeight="1" x14ac:dyDescent="0.2">
      <c r="A16779" s="258"/>
      <c r="Z16779" s="258"/>
    </row>
    <row r="16780" spans="1:26" ht="12.75" customHeight="1" x14ac:dyDescent="0.2">
      <c r="A16780" s="258"/>
      <c r="Z16780" s="258"/>
    </row>
    <row r="16781" spans="1:26" ht="12.75" customHeight="1" x14ac:dyDescent="0.2">
      <c r="A16781" s="258"/>
      <c r="Z16781" s="258"/>
    </row>
    <row r="16782" spans="1:26" ht="12.75" customHeight="1" x14ac:dyDescent="0.2">
      <c r="A16782" s="258"/>
      <c r="Z16782" s="258"/>
    </row>
    <row r="16783" spans="1:26" ht="12.75" customHeight="1" x14ac:dyDescent="0.2">
      <c r="A16783" s="258"/>
      <c r="Z16783" s="258"/>
    </row>
    <row r="16784" spans="1:26" ht="12.75" customHeight="1" x14ac:dyDescent="0.2">
      <c r="A16784" s="258"/>
      <c r="Z16784" s="258"/>
    </row>
    <row r="16785" spans="1:26" ht="12.75" customHeight="1" x14ac:dyDescent="0.2">
      <c r="A16785" s="258"/>
      <c r="Z16785" s="258"/>
    </row>
    <row r="16786" spans="1:26" ht="12.75" customHeight="1" x14ac:dyDescent="0.2">
      <c r="A16786" s="258"/>
      <c r="Z16786" s="258"/>
    </row>
    <row r="16787" spans="1:26" ht="12.75" customHeight="1" x14ac:dyDescent="0.2">
      <c r="A16787" s="258"/>
      <c r="Z16787" s="258"/>
    </row>
    <row r="16788" spans="1:26" ht="12.75" customHeight="1" x14ac:dyDescent="0.2">
      <c r="A16788" s="258"/>
      <c r="Z16788" s="258"/>
    </row>
    <row r="16789" spans="1:26" ht="12.75" customHeight="1" x14ac:dyDescent="0.2">
      <c r="A16789" s="258"/>
      <c r="Z16789" s="258"/>
    </row>
    <row r="16790" spans="1:26" ht="12.75" customHeight="1" x14ac:dyDescent="0.2">
      <c r="A16790" s="258"/>
      <c r="Z16790" s="258"/>
    </row>
    <row r="16791" spans="1:26" ht="12.75" customHeight="1" x14ac:dyDescent="0.2">
      <c r="A16791" s="258"/>
      <c r="Z16791" s="258"/>
    </row>
    <row r="16792" spans="1:26" ht="12.75" customHeight="1" x14ac:dyDescent="0.2">
      <c r="A16792" s="258"/>
      <c r="Z16792" s="258"/>
    </row>
    <row r="16793" spans="1:26" ht="12.75" customHeight="1" x14ac:dyDescent="0.2">
      <c r="A16793" s="258"/>
      <c r="Z16793" s="258"/>
    </row>
    <row r="16794" spans="1:26" ht="12.75" customHeight="1" x14ac:dyDescent="0.2">
      <c r="A16794" s="258"/>
      <c r="Z16794" s="258"/>
    </row>
    <row r="16795" spans="1:26" ht="12.75" customHeight="1" x14ac:dyDescent="0.2">
      <c r="A16795" s="258"/>
      <c r="Z16795" s="258"/>
    </row>
    <row r="16796" spans="1:26" ht="12.75" customHeight="1" x14ac:dyDescent="0.2">
      <c r="A16796" s="258"/>
      <c r="Z16796" s="258"/>
    </row>
    <row r="16797" spans="1:26" ht="12.75" customHeight="1" x14ac:dyDescent="0.2">
      <c r="A16797" s="258"/>
      <c r="Z16797" s="258"/>
    </row>
    <row r="16798" spans="1:26" ht="12.75" customHeight="1" x14ac:dyDescent="0.2">
      <c r="A16798" s="258"/>
      <c r="Z16798" s="258"/>
    </row>
    <row r="16799" spans="1:26" ht="12.75" customHeight="1" x14ac:dyDescent="0.2">
      <c r="A16799" s="258"/>
      <c r="Z16799" s="258"/>
    </row>
    <row r="16800" spans="1:26" ht="12.75" customHeight="1" x14ac:dyDescent="0.2">
      <c r="A16800" s="258"/>
      <c r="Z16800" s="258"/>
    </row>
    <row r="16801" spans="1:26" ht="12.75" customHeight="1" x14ac:dyDescent="0.2">
      <c r="A16801" s="258"/>
      <c r="Z16801" s="258"/>
    </row>
    <row r="16802" spans="1:26" ht="12.75" customHeight="1" x14ac:dyDescent="0.2">
      <c r="A16802" s="258"/>
      <c r="Z16802" s="258"/>
    </row>
    <row r="16803" spans="1:26" ht="12.75" customHeight="1" x14ac:dyDescent="0.2">
      <c r="A16803" s="258"/>
      <c r="Z16803" s="258"/>
    </row>
    <row r="16804" spans="1:26" ht="12.75" customHeight="1" x14ac:dyDescent="0.2">
      <c r="A16804" s="258"/>
      <c r="Z16804" s="258"/>
    </row>
    <row r="16805" spans="1:26" ht="12.75" customHeight="1" x14ac:dyDescent="0.2">
      <c r="A16805" s="258"/>
      <c r="Z16805" s="258"/>
    </row>
    <row r="16806" spans="1:26" ht="12.75" customHeight="1" x14ac:dyDescent="0.2">
      <c r="A16806" s="258"/>
      <c r="Z16806" s="258"/>
    </row>
    <row r="16807" spans="1:26" ht="12.75" customHeight="1" x14ac:dyDescent="0.2">
      <c r="A16807" s="258"/>
      <c r="Z16807" s="258"/>
    </row>
    <row r="16808" spans="1:26" ht="12.75" customHeight="1" x14ac:dyDescent="0.2">
      <c r="A16808" s="258"/>
      <c r="Z16808" s="258"/>
    </row>
    <row r="16809" spans="1:26" ht="12.75" customHeight="1" x14ac:dyDescent="0.2">
      <c r="A16809" s="258"/>
      <c r="Z16809" s="258"/>
    </row>
    <row r="16810" spans="1:26" ht="12.75" customHeight="1" x14ac:dyDescent="0.2">
      <c r="A16810" s="258"/>
      <c r="Z16810" s="258"/>
    </row>
    <row r="16811" spans="1:26" ht="12.75" customHeight="1" x14ac:dyDescent="0.2">
      <c r="A16811" s="258"/>
      <c r="Z16811" s="258"/>
    </row>
    <row r="16812" spans="1:26" ht="12.75" customHeight="1" x14ac:dyDescent="0.2">
      <c r="A16812" s="258"/>
      <c r="Z16812" s="258"/>
    </row>
    <row r="16813" spans="1:26" ht="12.75" customHeight="1" x14ac:dyDescent="0.2">
      <c r="A16813" s="258"/>
      <c r="Z16813" s="258"/>
    </row>
    <row r="16814" spans="1:26" ht="12.75" customHeight="1" x14ac:dyDescent="0.2">
      <c r="A16814" s="258"/>
      <c r="Z16814" s="258"/>
    </row>
    <row r="16815" spans="1:26" ht="12.75" customHeight="1" x14ac:dyDescent="0.2">
      <c r="A16815" s="258"/>
      <c r="Z16815" s="258"/>
    </row>
    <row r="16816" spans="1:26" ht="12.75" customHeight="1" x14ac:dyDescent="0.2">
      <c r="A16816" s="258"/>
      <c r="Z16816" s="258"/>
    </row>
    <row r="16817" spans="1:26" ht="12.75" customHeight="1" x14ac:dyDescent="0.2">
      <c r="A16817" s="258"/>
      <c r="Z16817" s="258"/>
    </row>
    <row r="16818" spans="1:26" ht="12.75" customHeight="1" x14ac:dyDescent="0.2">
      <c r="A16818" s="258"/>
      <c r="Z16818" s="258"/>
    </row>
    <row r="16819" spans="1:26" ht="12.75" customHeight="1" x14ac:dyDescent="0.2">
      <c r="A16819" s="258"/>
      <c r="Z16819" s="258"/>
    </row>
    <row r="16820" spans="1:26" ht="12.75" customHeight="1" x14ac:dyDescent="0.2">
      <c r="A16820" s="258"/>
      <c r="Z16820" s="258"/>
    </row>
    <row r="16821" spans="1:26" ht="12.75" customHeight="1" x14ac:dyDescent="0.2">
      <c r="A16821" s="258"/>
      <c r="Z16821" s="258"/>
    </row>
    <row r="16822" spans="1:26" ht="12.75" customHeight="1" x14ac:dyDescent="0.2">
      <c r="A16822" s="258"/>
      <c r="Z16822" s="258"/>
    </row>
    <row r="16823" spans="1:26" ht="12.75" customHeight="1" x14ac:dyDescent="0.2">
      <c r="A16823" s="258"/>
      <c r="Z16823" s="258"/>
    </row>
    <row r="16824" spans="1:26" ht="12.75" customHeight="1" x14ac:dyDescent="0.2">
      <c r="A16824" s="258"/>
      <c r="Z16824" s="258"/>
    </row>
    <row r="16825" spans="1:26" ht="12.75" customHeight="1" x14ac:dyDescent="0.2">
      <c r="A16825" s="258"/>
      <c r="Z16825" s="258"/>
    </row>
    <row r="16826" spans="1:26" ht="12.75" customHeight="1" x14ac:dyDescent="0.2">
      <c r="A16826" s="258"/>
      <c r="Z16826" s="258"/>
    </row>
    <row r="16827" spans="1:26" ht="12.75" customHeight="1" x14ac:dyDescent="0.2">
      <c r="A16827" s="258"/>
      <c r="Z16827" s="258"/>
    </row>
    <row r="16828" spans="1:26" ht="12.75" customHeight="1" x14ac:dyDescent="0.2">
      <c r="A16828" s="258"/>
      <c r="Z16828" s="258"/>
    </row>
    <row r="16829" spans="1:26" ht="12.75" customHeight="1" x14ac:dyDescent="0.2">
      <c r="A16829" s="258"/>
      <c r="Z16829" s="258"/>
    </row>
    <row r="16830" spans="1:26" ht="12.75" customHeight="1" x14ac:dyDescent="0.2">
      <c r="A16830" s="258"/>
      <c r="Z16830" s="258"/>
    </row>
    <row r="16831" spans="1:26" ht="12.75" customHeight="1" x14ac:dyDescent="0.2">
      <c r="A16831" s="258"/>
      <c r="Z16831" s="258"/>
    </row>
    <row r="16832" spans="1:26" ht="12.75" customHeight="1" x14ac:dyDescent="0.2">
      <c r="A16832" s="258"/>
      <c r="Z16832" s="258"/>
    </row>
    <row r="16833" spans="1:26" ht="12.75" customHeight="1" x14ac:dyDescent="0.2">
      <c r="A16833" s="258"/>
      <c r="Z16833" s="258"/>
    </row>
    <row r="16834" spans="1:26" ht="12.75" customHeight="1" x14ac:dyDescent="0.2">
      <c r="A16834" s="258"/>
      <c r="Z16834" s="258"/>
    </row>
    <row r="16835" spans="1:26" ht="12.75" customHeight="1" x14ac:dyDescent="0.2">
      <c r="A16835" s="258"/>
      <c r="Z16835" s="258"/>
    </row>
    <row r="16836" spans="1:26" ht="12.75" customHeight="1" x14ac:dyDescent="0.2">
      <c r="A16836" s="258"/>
      <c r="Z16836" s="258"/>
    </row>
    <row r="16837" spans="1:26" ht="12.75" customHeight="1" x14ac:dyDescent="0.2">
      <c r="A16837" s="258"/>
      <c r="Z16837" s="258"/>
    </row>
    <row r="16838" spans="1:26" ht="12.75" customHeight="1" x14ac:dyDescent="0.2">
      <c r="A16838" s="258"/>
      <c r="Z16838" s="258"/>
    </row>
    <row r="16839" spans="1:26" ht="12.75" customHeight="1" x14ac:dyDescent="0.2">
      <c r="A16839" s="258"/>
      <c r="Z16839" s="258"/>
    </row>
    <row r="16840" spans="1:26" ht="12.75" customHeight="1" x14ac:dyDescent="0.2">
      <c r="A16840" s="258"/>
      <c r="Z16840" s="258"/>
    </row>
    <row r="16841" spans="1:26" ht="12.75" customHeight="1" x14ac:dyDescent="0.2">
      <c r="A16841" s="258"/>
      <c r="Z16841" s="258"/>
    </row>
    <row r="16842" spans="1:26" ht="12.75" customHeight="1" x14ac:dyDescent="0.2">
      <c r="A16842" s="258"/>
      <c r="Z16842" s="258"/>
    </row>
    <row r="16843" spans="1:26" ht="12.75" customHeight="1" x14ac:dyDescent="0.2">
      <c r="A16843" s="258"/>
      <c r="Z16843" s="258"/>
    </row>
    <row r="16844" spans="1:26" ht="12.75" customHeight="1" x14ac:dyDescent="0.2">
      <c r="A16844" s="258"/>
      <c r="Z16844" s="258"/>
    </row>
    <row r="16845" spans="1:26" ht="12.75" customHeight="1" x14ac:dyDescent="0.2">
      <c r="A16845" s="258"/>
      <c r="Z16845" s="258"/>
    </row>
    <row r="16846" spans="1:26" ht="12.75" customHeight="1" x14ac:dyDescent="0.2">
      <c r="A16846" s="258"/>
      <c r="Z16846" s="258"/>
    </row>
    <row r="16847" spans="1:26" ht="12.75" customHeight="1" x14ac:dyDescent="0.2">
      <c r="A16847" s="258"/>
      <c r="Z16847" s="258"/>
    </row>
    <row r="16848" spans="1:26" ht="12.75" customHeight="1" x14ac:dyDescent="0.2">
      <c r="A16848" s="258"/>
      <c r="Z16848" s="258"/>
    </row>
    <row r="16849" spans="1:26" ht="12.75" customHeight="1" x14ac:dyDescent="0.2">
      <c r="A16849" s="258"/>
      <c r="Z16849" s="258"/>
    </row>
    <row r="16850" spans="1:26" ht="12.75" customHeight="1" x14ac:dyDescent="0.2">
      <c r="A16850" s="258"/>
      <c r="Z16850" s="258"/>
    </row>
    <row r="16851" spans="1:26" ht="12.75" customHeight="1" x14ac:dyDescent="0.2">
      <c r="A16851" s="258"/>
      <c r="Z16851" s="258"/>
    </row>
    <row r="16852" spans="1:26" ht="12.75" customHeight="1" x14ac:dyDescent="0.2">
      <c r="A16852" s="258"/>
      <c r="Z16852" s="258"/>
    </row>
    <row r="16853" spans="1:26" ht="12.75" customHeight="1" x14ac:dyDescent="0.2">
      <c r="A16853" s="258"/>
      <c r="Z16853" s="258"/>
    </row>
    <row r="16854" spans="1:26" ht="12.75" customHeight="1" x14ac:dyDescent="0.2">
      <c r="A16854" s="258"/>
      <c r="Z16854" s="258"/>
    </row>
    <row r="16855" spans="1:26" ht="12.75" customHeight="1" x14ac:dyDescent="0.2">
      <c r="A16855" s="258"/>
      <c r="Z16855" s="258"/>
    </row>
    <row r="16856" spans="1:26" ht="12.75" customHeight="1" x14ac:dyDescent="0.2">
      <c r="A16856" s="258"/>
      <c r="Z16856" s="258"/>
    </row>
    <row r="16857" spans="1:26" ht="12.75" customHeight="1" x14ac:dyDescent="0.2">
      <c r="A16857" s="258"/>
      <c r="Z16857" s="258"/>
    </row>
    <row r="16858" spans="1:26" ht="12.75" customHeight="1" x14ac:dyDescent="0.2">
      <c r="A16858" s="258"/>
      <c r="Z16858" s="258"/>
    </row>
    <row r="16859" spans="1:26" ht="12.75" customHeight="1" x14ac:dyDescent="0.2">
      <c r="A16859" s="258"/>
      <c r="Z16859" s="258"/>
    </row>
    <row r="16860" spans="1:26" ht="12.75" customHeight="1" x14ac:dyDescent="0.2">
      <c r="A16860" s="258"/>
      <c r="Z16860" s="258"/>
    </row>
    <row r="16861" spans="1:26" ht="12.75" customHeight="1" x14ac:dyDescent="0.2">
      <c r="A16861" s="258"/>
      <c r="Z16861" s="258"/>
    </row>
    <row r="16862" spans="1:26" ht="12.75" customHeight="1" x14ac:dyDescent="0.2">
      <c r="A16862" s="258"/>
      <c r="Z16862" s="258"/>
    </row>
    <row r="16863" spans="1:26" ht="12.75" customHeight="1" x14ac:dyDescent="0.2">
      <c r="A16863" s="258"/>
      <c r="Z16863" s="258"/>
    </row>
    <row r="16864" spans="1:26" ht="12.75" customHeight="1" x14ac:dyDescent="0.2">
      <c r="A16864" s="258"/>
      <c r="Z16864" s="258"/>
    </row>
    <row r="16865" spans="1:26" ht="12.75" customHeight="1" x14ac:dyDescent="0.2">
      <c r="A16865" s="258"/>
      <c r="Z16865" s="258"/>
    </row>
    <row r="16866" spans="1:26" ht="12.75" customHeight="1" x14ac:dyDescent="0.2">
      <c r="A16866" s="258"/>
      <c r="Z16866" s="258"/>
    </row>
    <row r="16867" spans="1:26" ht="12.75" customHeight="1" x14ac:dyDescent="0.2">
      <c r="A16867" s="258"/>
      <c r="Z16867" s="258"/>
    </row>
    <row r="16868" spans="1:26" ht="12.75" customHeight="1" x14ac:dyDescent="0.2">
      <c r="A16868" s="258"/>
      <c r="Z16868" s="258"/>
    </row>
    <row r="16869" spans="1:26" ht="12.75" customHeight="1" x14ac:dyDescent="0.2">
      <c r="A16869" s="258"/>
      <c r="Z16869" s="258"/>
    </row>
    <row r="16870" spans="1:26" ht="12.75" customHeight="1" x14ac:dyDescent="0.2">
      <c r="A16870" s="258"/>
      <c r="Z16870" s="258"/>
    </row>
    <row r="16871" spans="1:26" ht="12.75" customHeight="1" x14ac:dyDescent="0.2">
      <c r="A16871" s="258"/>
      <c r="Z16871" s="258"/>
    </row>
    <row r="16872" spans="1:26" ht="12.75" customHeight="1" x14ac:dyDescent="0.2">
      <c r="A16872" s="258"/>
      <c r="Z16872" s="258"/>
    </row>
    <row r="16873" spans="1:26" ht="12.75" customHeight="1" x14ac:dyDescent="0.2">
      <c r="A16873" s="258"/>
      <c r="Z16873" s="258"/>
    </row>
    <row r="16874" spans="1:26" ht="12.75" customHeight="1" x14ac:dyDescent="0.2">
      <c r="A16874" s="258"/>
      <c r="Z16874" s="258"/>
    </row>
    <row r="16875" spans="1:26" ht="12.75" customHeight="1" x14ac:dyDescent="0.2">
      <c r="A16875" s="258"/>
      <c r="Z16875" s="258"/>
    </row>
    <row r="16876" spans="1:26" ht="12.75" customHeight="1" x14ac:dyDescent="0.2">
      <c r="A16876" s="258"/>
      <c r="Z16876" s="258"/>
    </row>
    <row r="16877" spans="1:26" ht="12.75" customHeight="1" x14ac:dyDescent="0.2">
      <c r="A16877" s="258"/>
      <c r="Z16877" s="258"/>
    </row>
    <row r="16878" spans="1:26" ht="12.75" customHeight="1" x14ac:dyDescent="0.2">
      <c r="A16878" s="258"/>
      <c r="Z16878" s="258"/>
    </row>
    <row r="16879" spans="1:26" ht="12.75" customHeight="1" x14ac:dyDescent="0.2">
      <c r="A16879" s="258"/>
      <c r="Z16879" s="258"/>
    </row>
    <row r="16880" spans="1:26" ht="12.75" customHeight="1" x14ac:dyDescent="0.2">
      <c r="A16880" s="258"/>
      <c r="Z16880" s="258"/>
    </row>
    <row r="16881" spans="1:26" ht="12.75" customHeight="1" x14ac:dyDescent="0.2">
      <c r="A16881" s="258"/>
      <c r="Z16881" s="258"/>
    </row>
    <row r="16882" spans="1:26" ht="12.75" customHeight="1" x14ac:dyDescent="0.2">
      <c r="A16882" s="258"/>
      <c r="Z16882" s="258"/>
    </row>
    <row r="16883" spans="1:26" ht="12.75" customHeight="1" x14ac:dyDescent="0.2">
      <c r="A16883" s="258"/>
      <c r="Z16883" s="258"/>
    </row>
    <row r="16884" spans="1:26" ht="12.75" customHeight="1" x14ac:dyDescent="0.2">
      <c r="A16884" s="258"/>
      <c r="Z16884" s="258"/>
    </row>
    <row r="16885" spans="1:26" ht="12.75" customHeight="1" x14ac:dyDescent="0.2">
      <c r="A16885" s="258"/>
      <c r="Z16885" s="258"/>
    </row>
    <row r="16886" spans="1:26" ht="12.75" customHeight="1" x14ac:dyDescent="0.2">
      <c r="A16886" s="258"/>
      <c r="Z16886" s="258"/>
    </row>
    <row r="16887" spans="1:26" ht="12.75" customHeight="1" x14ac:dyDescent="0.2">
      <c r="A16887" s="258"/>
      <c r="Z16887" s="258"/>
    </row>
    <row r="16888" spans="1:26" ht="12.75" customHeight="1" x14ac:dyDescent="0.2">
      <c r="A16888" s="258"/>
      <c r="Z16888" s="258"/>
    </row>
    <row r="16889" spans="1:26" ht="12.75" customHeight="1" x14ac:dyDescent="0.2">
      <c r="A16889" s="258"/>
      <c r="Z16889" s="258"/>
    </row>
    <row r="16890" spans="1:26" ht="12.75" customHeight="1" x14ac:dyDescent="0.2">
      <c r="A16890" s="258"/>
      <c r="Z16890" s="258"/>
    </row>
    <row r="16891" spans="1:26" ht="12.75" customHeight="1" x14ac:dyDescent="0.2">
      <c r="A16891" s="258"/>
      <c r="Z16891" s="258"/>
    </row>
    <row r="16892" spans="1:26" ht="12.75" customHeight="1" x14ac:dyDescent="0.2">
      <c r="A16892" s="258"/>
      <c r="Z16892" s="258"/>
    </row>
    <row r="16893" spans="1:26" ht="12.75" customHeight="1" x14ac:dyDescent="0.2">
      <c r="A16893" s="258"/>
      <c r="Z16893" s="258"/>
    </row>
    <row r="16894" spans="1:26" ht="12.75" customHeight="1" x14ac:dyDescent="0.2">
      <c r="A16894" s="258"/>
      <c r="Z16894" s="258"/>
    </row>
    <row r="16895" spans="1:26" ht="12.75" customHeight="1" x14ac:dyDescent="0.2">
      <c r="A16895" s="258"/>
      <c r="Z16895" s="258"/>
    </row>
    <row r="16896" spans="1:26" ht="12.75" customHeight="1" x14ac:dyDescent="0.2">
      <c r="A16896" s="258"/>
      <c r="Z16896" s="258"/>
    </row>
    <row r="16897" spans="1:26" ht="12.75" customHeight="1" x14ac:dyDescent="0.2">
      <c r="A16897" s="258"/>
      <c r="Z16897" s="258"/>
    </row>
    <row r="16898" spans="1:26" ht="12.75" customHeight="1" x14ac:dyDescent="0.2">
      <c r="A16898" s="258"/>
      <c r="Z16898" s="258"/>
    </row>
    <row r="16899" spans="1:26" ht="12.75" customHeight="1" x14ac:dyDescent="0.2">
      <c r="A16899" s="258"/>
      <c r="Z16899" s="258"/>
    </row>
    <row r="16900" spans="1:26" ht="12.75" customHeight="1" x14ac:dyDescent="0.2">
      <c r="A16900" s="258"/>
      <c r="Z16900" s="258"/>
    </row>
    <row r="16901" spans="1:26" ht="12.75" customHeight="1" x14ac:dyDescent="0.2">
      <c r="A16901" s="258"/>
      <c r="Z16901" s="258"/>
    </row>
    <row r="16902" spans="1:26" ht="12.75" customHeight="1" x14ac:dyDescent="0.2">
      <c r="A16902" s="258"/>
      <c r="Z16902" s="258"/>
    </row>
    <row r="16903" spans="1:26" ht="12.75" customHeight="1" x14ac:dyDescent="0.2">
      <c r="A16903" s="258"/>
      <c r="Z16903" s="258"/>
    </row>
    <row r="16904" spans="1:26" ht="12.75" customHeight="1" x14ac:dyDescent="0.2">
      <c r="A16904" s="258"/>
      <c r="Z16904" s="258"/>
    </row>
    <row r="16905" spans="1:26" ht="12.75" customHeight="1" x14ac:dyDescent="0.2">
      <c r="A16905" s="258"/>
      <c r="Z16905" s="258"/>
    </row>
    <row r="16906" spans="1:26" ht="12.75" customHeight="1" x14ac:dyDescent="0.2">
      <c r="A16906" s="258"/>
      <c r="Z16906" s="258"/>
    </row>
    <row r="16907" spans="1:26" ht="12.75" customHeight="1" x14ac:dyDescent="0.2">
      <c r="A16907" s="258"/>
      <c r="Z16907" s="258"/>
    </row>
    <row r="16908" spans="1:26" ht="12.75" customHeight="1" x14ac:dyDescent="0.2">
      <c r="A16908" s="258"/>
      <c r="Z16908" s="258"/>
    </row>
    <row r="16909" spans="1:26" ht="12.75" customHeight="1" x14ac:dyDescent="0.2">
      <c r="A16909" s="258"/>
      <c r="Z16909" s="258"/>
    </row>
    <row r="16910" spans="1:26" ht="12.75" customHeight="1" x14ac:dyDescent="0.2">
      <c r="A16910" s="258"/>
      <c r="Z16910" s="258"/>
    </row>
    <row r="16911" spans="1:26" ht="12.75" customHeight="1" x14ac:dyDescent="0.2">
      <c r="A16911" s="258"/>
      <c r="Z16911" s="258"/>
    </row>
    <row r="16912" spans="1:26" ht="12.75" customHeight="1" x14ac:dyDescent="0.2">
      <c r="A16912" s="258"/>
      <c r="Z16912" s="258"/>
    </row>
    <row r="16913" spans="1:26" ht="12.75" customHeight="1" x14ac:dyDescent="0.2">
      <c r="A16913" s="258"/>
      <c r="Z16913" s="258"/>
    </row>
    <row r="16914" spans="1:26" ht="12.75" customHeight="1" x14ac:dyDescent="0.2">
      <c r="A16914" s="258"/>
      <c r="Z16914" s="258"/>
    </row>
    <row r="16915" spans="1:26" ht="12.75" customHeight="1" x14ac:dyDescent="0.2">
      <c r="A16915" s="258"/>
      <c r="Z16915" s="258"/>
    </row>
    <row r="16916" spans="1:26" ht="12.75" customHeight="1" x14ac:dyDescent="0.2">
      <c r="A16916" s="258"/>
      <c r="Z16916" s="258"/>
    </row>
    <row r="16917" spans="1:26" ht="12.75" customHeight="1" x14ac:dyDescent="0.2">
      <c r="A16917" s="258"/>
      <c r="Z16917" s="258"/>
    </row>
    <row r="16918" spans="1:26" ht="12.75" customHeight="1" x14ac:dyDescent="0.2">
      <c r="A16918" s="258"/>
      <c r="Z16918" s="258"/>
    </row>
    <row r="16919" spans="1:26" ht="12.75" customHeight="1" x14ac:dyDescent="0.2">
      <c r="A16919" s="258"/>
      <c r="Z16919" s="258"/>
    </row>
    <row r="16920" spans="1:26" ht="12.75" customHeight="1" x14ac:dyDescent="0.2">
      <c r="A16920" s="258"/>
      <c r="Z16920" s="258"/>
    </row>
    <row r="16921" spans="1:26" ht="12.75" customHeight="1" x14ac:dyDescent="0.2">
      <c r="A16921" s="258"/>
      <c r="Z16921" s="258"/>
    </row>
    <row r="16922" spans="1:26" ht="12.75" customHeight="1" x14ac:dyDescent="0.2">
      <c r="A16922" s="258"/>
      <c r="Z16922" s="258"/>
    </row>
    <row r="16923" spans="1:26" ht="12.75" customHeight="1" x14ac:dyDescent="0.2">
      <c r="A16923" s="258"/>
      <c r="Z16923" s="258"/>
    </row>
    <row r="16924" spans="1:26" ht="12.75" customHeight="1" x14ac:dyDescent="0.2">
      <c r="A16924" s="258"/>
      <c r="Z16924" s="258"/>
    </row>
    <row r="16925" spans="1:26" ht="12.75" customHeight="1" x14ac:dyDescent="0.2">
      <c r="A16925" s="258"/>
      <c r="Z16925" s="258"/>
    </row>
    <row r="16926" spans="1:26" ht="12.75" customHeight="1" x14ac:dyDescent="0.2">
      <c r="A16926" s="258"/>
      <c r="Z16926" s="258"/>
    </row>
    <row r="16927" spans="1:26" ht="12.75" customHeight="1" x14ac:dyDescent="0.2">
      <c r="A16927" s="258"/>
      <c r="Z16927" s="258"/>
    </row>
    <row r="16928" spans="1:26" ht="12.75" customHeight="1" x14ac:dyDescent="0.2">
      <c r="A16928" s="258"/>
      <c r="Z16928" s="258"/>
    </row>
    <row r="16929" spans="1:26" ht="12.75" customHeight="1" x14ac:dyDescent="0.2">
      <c r="A16929" s="258"/>
      <c r="Z16929" s="258"/>
    </row>
    <row r="16930" spans="1:26" ht="12.75" customHeight="1" x14ac:dyDescent="0.2">
      <c r="A16930" s="258"/>
      <c r="Z16930" s="258"/>
    </row>
    <row r="16931" spans="1:26" ht="12.75" customHeight="1" x14ac:dyDescent="0.2">
      <c r="A16931" s="258"/>
      <c r="Z16931" s="258"/>
    </row>
    <row r="16932" spans="1:26" ht="12.75" customHeight="1" x14ac:dyDescent="0.2">
      <c r="A16932" s="258"/>
      <c r="Z16932" s="258"/>
    </row>
    <row r="16933" spans="1:26" ht="12.75" customHeight="1" x14ac:dyDescent="0.2">
      <c r="A16933" s="258"/>
      <c r="Z16933" s="258"/>
    </row>
    <row r="16934" spans="1:26" ht="12.75" customHeight="1" x14ac:dyDescent="0.2">
      <c r="A16934" s="258"/>
      <c r="Z16934" s="258"/>
    </row>
    <row r="16935" spans="1:26" ht="12.75" customHeight="1" x14ac:dyDescent="0.2">
      <c r="A16935" s="258"/>
      <c r="Z16935" s="258"/>
    </row>
    <row r="16936" spans="1:26" ht="12.75" customHeight="1" x14ac:dyDescent="0.2">
      <c r="A16936" s="258"/>
      <c r="Z16936" s="258"/>
    </row>
    <row r="16937" spans="1:26" ht="12.75" customHeight="1" x14ac:dyDescent="0.2">
      <c r="A16937" s="258"/>
      <c r="Z16937" s="258"/>
    </row>
    <row r="16938" spans="1:26" ht="12.75" customHeight="1" x14ac:dyDescent="0.2">
      <c r="A16938" s="258"/>
      <c r="Z16938" s="258"/>
    </row>
    <row r="16939" spans="1:26" ht="12.75" customHeight="1" x14ac:dyDescent="0.2">
      <c r="A16939" s="258"/>
      <c r="Z16939" s="258"/>
    </row>
    <row r="16940" spans="1:26" ht="12.75" customHeight="1" x14ac:dyDescent="0.2">
      <c r="A16940" s="258"/>
      <c r="Z16940" s="258"/>
    </row>
    <row r="16941" spans="1:26" ht="12.75" customHeight="1" x14ac:dyDescent="0.2">
      <c r="A16941" s="258"/>
      <c r="Z16941" s="258"/>
    </row>
    <row r="16942" spans="1:26" ht="12.75" customHeight="1" x14ac:dyDescent="0.2">
      <c r="A16942" s="258"/>
      <c r="Z16942" s="258"/>
    </row>
    <row r="16943" spans="1:26" ht="12.75" customHeight="1" x14ac:dyDescent="0.2">
      <c r="A16943" s="258"/>
      <c r="Z16943" s="258"/>
    </row>
    <row r="16944" spans="1:26" ht="12.75" customHeight="1" x14ac:dyDescent="0.2">
      <c r="A16944" s="258"/>
      <c r="Z16944" s="258"/>
    </row>
    <row r="16945" spans="1:26" ht="12.75" customHeight="1" x14ac:dyDescent="0.2">
      <c r="A16945" s="258"/>
      <c r="Z16945" s="258"/>
    </row>
    <row r="16946" spans="1:26" ht="12.75" customHeight="1" x14ac:dyDescent="0.2">
      <c r="A16946" s="258"/>
      <c r="Z16946" s="258"/>
    </row>
    <row r="16947" spans="1:26" ht="12.75" customHeight="1" x14ac:dyDescent="0.2">
      <c r="A16947" s="258"/>
      <c r="Z16947" s="258"/>
    </row>
    <row r="16948" spans="1:26" ht="12.75" customHeight="1" x14ac:dyDescent="0.2">
      <c r="A16948" s="258"/>
      <c r="Z16948" s="258"/>
    </row>
    <row r="16949" spans="1:26" ht="12.75" customHeight="1" x14ac:dyDescent="0.2">
      <c r="A16949" s="258"/>
      <c r="Z16949" s="258"/>
    </row>
    <row r="16950" spans="1:26" ht="12.75" customHeight="1" x14ac:dyDescent="0.2">
      <c r="A16950" s="258"/>
      <c r="Z16950" s="258"/>
    </row>
    <row r="16951" spans="1:26" ht="12.75" customHeight="1" x14ac:dyDescent="0.2">
      <c r="A16951" s="258"/>
      <c r="Z16951" s="258"/>
    </row>
    <row r="16952" spans="1:26" ht="12.75" customHeight="1" x14ac:dyDescent="0.2">
      <c r="A16952" s="258"/>
      <c r="Z16952" s="258"/>
    </row>
    <row r="16953" spans="1:26" ht="12.75" customHeight="1" x14ac:dyDescent="0.2">
      <c r="A16953" s="258"/>
      <c r="Z16953" s="258"/>
    </row>
    <row r="16954" spans="1:26" ht="12.75" customHeight="1" x14ac:dyDescent="0.2">
      <c r="A16954" s="258"/>
      <c r="Z16954" s="258"/>
    </row>
    <row r="16955" spans="1:26" ht="12.75" customHeight="1" x14ac:dyDescent="0.2">
      <c r="A16955" s="258"/>
      <c r="Z16955" s="258"/>
    </row>
    <row r="16956" spans="1:26" ht="12.75" customHeight="1" x14ac:dyDescent="0.2">
      <c r="A16956" s="258"/>
      <c r="Z16956" s="258"/>
    </row>
    <row r="16957" spans="1:26" ht="12.75" customHeight="1" x14ac:dyDescent="0.2">
      <c r="A16957" s="258"/>
      <c r="Z16957" s="258"/>
    </row>
    <row r="16958" spans="1:26" ht="12.75" customHeight="1" x14ac:dyDescent="0.2">
      <c r="A16958" s="258"/>
      <c r="Z16958" s="258"/>
    </row>
    <row r="16959" spans="1:26" ht="12.75" customHeight="1" x14ac:dyDescent="0.2">
      <c r="A16959" s="258"/>
      <c r="Z16959" s="258"/>
    </row>
    <row r="16960" spans="1:26" ht="12.75" customHeight="1" x14ac:dyDescent="0.2">
      <c r="A16960" s="258"/>
      <c r="Z16960" s="258"/>
    </row>
    <row r="16961" spans="1:26" ht="12.75" customHeight="1" x14ac:dyDescent="0.2">
      <c r="A16961" s="258"/>
      <c r="Z16961" s="258"/>
    </row>
    <row r="16962" spans="1:26" ht="12.75" customHeight="1" x14ac:dyDescent="0.2">
      <c r="A16962" s="258"/>
      <c r="Z16962" s="258"/>
    </row>
    <row r="16963" spans="1:26" ht="12.75" customHeight="1" x14ac:dyDescent="0.2">
      <c r="A16963" s="258"/>
      <c r="Z16963" s="258"/>
    </row>
    <row r="16964" spans="1:26" ht="12.75" customHeight="1" x14ac:dyDescent="0.2">
      <c r="A16964" s="258"/>
      <c r="Z16964" s="258"/>
    </row>
    <row r="16965" spans="1:26" ht="12.75" customHeight="1" x14ac:dyDescent="0.2">
      <c r="A16965" s="258"/>
      <c r="Z16965" s="258"/>
    </row>
    <row r="16966" spans="1:26" ht="12.75" customHeight="1" x14ac:dyDescent="0.2">
      <c r="A16966" s="258"/>
      <c r="Z16966" s="258"/>
    </row>
    <row r="16967" spans="1:26" ht="12.75" customHeight="1" x14ac:dyDescent="0.2">
      <c r="A16967" s="258"/>
      <c r="Z16967" s="258"/>
    </row>
    <row r="16968" spans="1:26" ht="12.75" customHeight="1" x14ac:dyDescent="0.2">
      <c r="A16968" s="258"/>
      <c r="Z16968" s="258"/>
    </row>
    <row r="16969" spans="1:26" ht="12.75" customHeight="1" x14ac:dyDescent="0.2">
      <c r="A16969" s="258"/>
      <c r="Z16969" s="258"/>
    </row>
    <row r="16970" spans="1:26" ht="12.75" customHeight="1" x14ac:dyDescent="0.2">
      <c r="A16970" s="258"/>
      <c r="Z16970" s="258"/>
    </row>
    <row r="16971" spans="1:26" ht="12.75" customHeight="1" x14ac:dyDescent="0.2">
      <c r="A16971" s="258"/>
      <c r="Z16971" s="258"/>
    </row>
    <row r="16972" spans="1:26" ht="12.75" customHeight="1" x14ac:dyDescent="0.2">
      <c r="A16972" s="258"/>
      <c r="Z16972" s="258"/>
    </row>
    <row r="16973" spans="1:26" ht="12.75" customHeight="1" x14ac:dyDescent="0.2">
      <c r="A16973" s="258"/>
      <c r="Z16973" s="258"/>
    </row>
    <row r="16974" spans="1:26" ht="12.75" customHeight="1" x14ac:dyDescent="0.2">
      <c r="A16974" s="258"/>
      <c r="Z16974" s="258"/>
    </row>
    <row r="16975" spans="1:26" ht="12.75" customHeight="1" x14ac:dyDescent="0.2">
      <c r="A16975" s="258"/>
      <c r="Z16975" s="258"/>
    </row>
    <row r="16976" spans="1:26" ht="12.75" customHeight="1" x14ac:dyDescent="0.2">
      <c r="A16976" s="258"/>
      <c r="Z16976" s="258"/>
    </row>
    <row r="16977" spans="1:26" ht="12.75" customHeight="1" x14ac:dyDescent="0.2">
      <c r="A16977" s="258"/>
      <c r="Z16977" s="258"/>
    </row>
    <row r="16978" spans="1:26" ht="12.75" customHeight="1" x14ac:dyDescent="0.2">
      <c r="A16978" s="258"/>
      <c r="Z16978" s="258"/>
    </row>
    <row r="16979" spans="1:26" ht="12.75" customHeight="1" x14ac:dyDescent="0.2">
      <c r="A16979" s="258"/>
      <c r="Z16979" s="258"/>
    </row>
    <row r="16980" spans="1:26" ht="12.75" customHeight="1" x14ac:dyDescent="0.2">
      <c r="A16980" s="258"/>
      <c r="Z16980" s="258"/>
    </row>
    <row r="16981" spans="1:26" ht="12.75" customHeight="1" x14ac:dyDescent="0.2">
      <c r="A16981" s="258"/>
      <c r="Z16981" s="258"/>
    </row>
    <row r="16982" spans="1:26" ht="12.75" customHeight="1" x14ac:dyDescent="0.2">
      <c r="A16982" s="258"/>
      <c r="Z16982" s="258"/>
    </row>
    <row r="16983" spans="1:26" ht="12.75" customHeight="1" x14ac:dyDescent="0.2">
      <c r="A16983" s="258"/>
      <c r="Z16983" s="258"/>
    </row>
    <row r="16984" spans="1:26" ht="12.75" customHeight="1" x14ac:dyDescent="0.2">
      <c r="A16984" s="258"/>
      <c r="Z16984" s="258"/>
    </row>
    <row r="16985" spans="1:26" ht="12.75" customHeight="1" x14ac:dyDescent="0.2">
      <c r="A16985" s="258"/>
      <c r="Z16985" s="258"/>
    </row>
    <row r="16986" spans="1:26" ht="12.75" customHeight="1" x14ac:dyDescent="0.2">
      <c r="A16986" s="258"/>
      <c r="Z16986" s="258"/>
    </row>
    <row r="16987" spans="1:26" ht="12.75" customHeight="1" x14ac:dyDescent="0.2">
      <c r="A16987" s="258"/>
      <c r="Z16987" s="258"/>
    </row>
    <row r="16988" spans="1:26" ht="12.75" customHeight="1" x14ac:dyDescent="0.2">
      <c r="A16988" s="258"/>
      <c r="Z16988" s="258"/>
    </row>
    <row r="16989" spans="1:26" ht="12.75" customHeight="1" x14ac:dyDescent="0.2">
      <c r="A16989" s="258"/>
      <c r="Z16989" s="258"/>
    </row>
    <row r="16990" spans="1:26" ht="12.75" customHeight="1" x14ac:dyDescent="0.2">
      <c r="A16990" s="258"/>
      <c r="Z16990" s="258"/>
    </row>
    <row r="16991" spans="1:26" ht="12.75" customHeight="1" x14ac:dyDescent="0.2">
      <c r="A16991" s="258"/>
      <c r="Z16991" s="258"/>
    </row>
    <row r="16992" spans="1:26" ht="12.75" customHeight="1" x14ac:dyDescent="0.2">
      <c r="A16992" s="258"/>
      <c r="Z16992" s="258"/>
    </row>
    <row r="16993" spans="1:26" ht="12.75" customHeight="1" x14ac:dyDescent="0.2">
      <c r="A16993" s="258"/>
      <c r="Z16993" s="258"/>
    </row>
    <row r="16994" spans="1:26" ht="12.75" customHeight="1" x14ac:dyDescent="0.2">
      <c r="A16994" s="258"/>
      <c r="Z16994" s="258"/>
    </row>
    <row r="16995" spans="1:26" ht="12.75" customHeight="1" x14ac:dyDescent="0.2">
      <c r="A16995" s="258"/>
      <c r="Z16995" s="258"/>
    </row>
    <row r="16996" spans="1:26" ht="12.75" customHeight="1" x14ac:dyDescent="0.2">
      <c r="A16996" s="258"/>
      <c r="Z16996" s="258"/>
    </row>
    <row r="16997" spans="1:26" ht="12.75" customHeight="1" x14ac:dyDescent="0.2">
      <c r="A16997" s="258"/>
      <c r="Z16997" s="258"/>
    </row>
    <row r="16998" spans="1:26" ht="12.75" customHeight="1" x14ac:dyDescent="0.2">
      <c r="A16998" s="258"/>
      <c r="Z16998" s="258"/>
    </row>
    <row r="16999" spans="1:26" ht="12.75" customHeight="1" x14ac:dyDescent="0.2">
      <c r="A16999" s="258"/>
      <c r="Z16999" s="258"/>
    </row>
    <row r="17000" spans="1:26" ht="12.75" customHeight="1" x14ac:dyDescent="0.2">
      <c r="A17000" s="258"/>
      <c r="Z17000" s="258"/>
    </row>
    <row r="17001" spans="1:26" ht="12.75" customHeight="1" x14ac:dyDescent="0.2">
      <c r="A17001" s="258"/>
      <c r="Z17001" s="258"/>
    </row>
    <row r="17002" spans="1:26" ht="12.75" customHeight="1" x14ac:dyDescent="0.2">
      <c r="A17002" s="258"/>
      <c r="Z17002" s="258"/>
    </row>
    <row r="17003" spans="1:26" ht="12.75" customHeight="1" x14ac:dyDescent="0.2">
      <c r="A17003" s="258"/>
      <c r="Z17003" s="258"/>
    </row>
    <row r="17004" spans="1:26" ht="12.75" customHeight="1" x14ac:dyDescent="0.2">
      <c r="A17004" s="258"/>
      <c r="Z17004" s="258"/>
    </row>
    <row r="17005" spans="1:26" ht="12.75" customHeight="1" x14ac:dyDescent="0.2">
      <c r="A17005" s="258"/>
      <c r="Z17005" s="258"/>
    </row>
    <row r="17006" spans="1:26" ht="12.75" customHeight="1" x14ac:dyDescent="0.2">
      <c r="A17006" s="258"/>
      <c r="Z17006" s="258"/>
    </row>
    <row r="17007" spans="1:26" ht="12.75" customHeight="1" x14ac:dyDescent="0.2">
      <c r="A17007" s="258"/>
      <c r="Z17007" s="258"/>
    </row>
    <row r="17008" spans="1:26" ht="12.75" customHeight="1" x14ac:dyDescent="0.2">
      <c r="A17008" s="258"/>
      <c r="Z17008" s="258"/>
    </row>
    <row r="17009" spans="1:26" ht="12.75" customHeight="1" x14ac:dyDescent="0.2">
      <c r="A17009" s="258"/>
      <c r="Z17009" s="258"/>
    </row>
    <row r="17010" spans="1:26" ht="12.75" customHeight="1" x14ac:dyDescent="0.2">
      <c r="A17010" s="258"/>
      <c r="Z17010" s="258"/>
    </row>
    <row r="17011" spans="1:26" ht="12.75" customHeight="1" x14ac:dyDescent="0.2">
      <c r="A17011" s="258"/>
      <c r="Z17011" s="258"/>
    </row>
    <row r="17012" spans="1:26" ht="12.75" customHeight="1" x14ac:dyDescent="0.2">
      <c r="A17012" s="258"/>
      <c r="Z17012" s="258"/>
    </row>
    <row r="17013" spans="1:26" ht="12.75" customHeight="1" x14ac:dyDescent="0.2">
      <c r="A17013" s="258"/>
      <c r="Z17013" s="258"/>
    </row>
    <row r="17014" spans="1:26" ht="12.75" customHeight="1" x14ac:dyDescent="0.2">
      <c r="A17014" s="258"/>
      <c r="Z17014" s="258"/>
    </row>
    <row r="17015" spans="1:26" ht="12.75" customHeight="1" x14ac:dyDescent="0.2">
      <c r="A17015" s="258"/>
      <c r="Z17015" s="258"/>
    </row>
    <row r="17016" spans="1:26" ht="12.75" customHeight="1" x14ac:dyDescent="0.2">
      <c r="A17016" s="258"/>
      <c r="Z17016" s="258"/>
    </row>
    <row r="17017" spans="1:26" ht="12.75" customHeight="1" x14ac:dyDescent="0.2">
      <c r="A17017" s="258"/>
      <c r="Z17017" s="258"/>
    </row>
    <row r="17018" spans="1:26" ht="12.75" customHeight="1" x14ac:dyDescent="0.2">
      <c r="A17018" s="258"/>
      <c r="Z17018" s="258"/>
    </row>
    <row r="17019" spans="1:26" ht="12.75" customHeight="1" x14ac:dyDescent="0.2">
      <c r="A17019" s="258"/>
      <c r="Z17019" s="258"/>
    </row>
    <row r="17020" spans="1:26" ht="12.75" customHeight="1" x14ac:dyDescent="0.2">
      <c r="A17020" s="258"/>
      <c r="Z17020" s="258"/>
    </row>
    <row r="17021" spans="1:26" ht="12.75" customHeight="1" x14ac:dyDescent="0.2">
      <c r="A17021" s="258"/>
      <c r="Z17021" s="258"/>
    </row>
    <row r="17022" spans="1:26" ht="12.75" customHeight="1" x14ac:dyDescent="0.2">
      <c r="A17022" s="258"/>
      <c r="Z17022" s="258"/>
    </row>
    <row r="17023" spans="1:26" ht="12.75" customHeight="1" x14ac:dyDescent="0.2">
      <c r="A17023" s="258"/>
      <c r="Z17023" s="258"/>
    </row>
    <row r="17024" spans="1:26" ht="12.75" customHeight="1" x14ac:dyDescent="0.2">
      <c r="A17024" s="258"/>
      <c r="Z17024" s="258"/>
    </row>
    <row r="17025" spans="1:26" ht="12.75" customHeight="1" x14ac:dyDescent="0.2">
      <c r="A17025" s="258"/>
      <c r="Z17025" s="258"/>
    </row>
    <row r="17026" spans="1:26" ht="12.75" customHeight="1" x14ac:dyDescent="0.2">
      <c r="A17026" s="258"/>
      <c r="Z17026" s="258"/>
    </row>
    <row r="17027" spans="1:26" ht="12.75" customHeight="1" x14ac:dyDescent="0.2">
      <c r="A17027" s="258"/>
      <c r="Z17027" s="258"/>
    </row>
    <row r="17028" spans="1:26" ht="12.75" customHeight="1" x14ac:dyDescent="0.2">
      <c r="A17028" s="258"/>
      <c r="Z17028" s="258"/>
    </row>
    <row r="17029" spans="1:26" ht="12.75" customHeight="1" x14ac:dyDescent="0.2">
      <c r="A17029" s="258"/>
      <c r="Z17029" s="258"/>
    </row>
    <row r="17030" spans="1:26" ht="12.75" customHeight="1" x14ac:dyDescent="0.2">
      <c r="A17030" s="258"/>
      <c r="Z17030" s="258"/>
    </row>
    <row r="17031" spans="1:26" ht="12.75" customHeight="1" x14ac:dyDescent="0.2">
      <c r="A17031" s="258"/>
      <c r="Z17031" s="258"/>
    </row>
    <row r="17032" spans="1:26" ht="12.75" customHeight="1" x14ac:dyDescent="0.2">
      <c r="A17032" s="258"/>
      <c r="Z17032" s="258"/>
    </row>
    <row r="17033" spans="1:26" ht="12.75" customHeight="1" x14ac:dyDescent="0.2">
      <c r="A17033" s="258"/>
      <c r="Z17033" s="258"/>
    </row>
    <row r="17034" spans="1:26" ht="12.75" customHeight="1" x14ac:dyDescent="0.2">
      <c r="A17034" s="258"/>
      <c r="Z17034" s="258"/>
    </row>
    <row r="17035" spans="1:26" ht="12.75" customHeight="1" x14ac:dyDescent="0.2">
      <c r="A17035" s="258"/>
      <c r="Z17035" s="258"/>
    </row>
    <row r="17036" spans="1:26" ht="12.75" customHeight="1" x14ac:dyDescent="0.2">
      <c r="A17036" s="258"/>
      <c r="Z17036" s="258"/>
    </row>
    <row r="17037" spans="1:26" ht="12.75" customHeight="1" x14ac:dyDescent="0.2">
      <c r="A17037" s="258"/>
      <c r="Z17037" s="258"/>
    </row>
    <row r="17038" spans="1:26" ht="12.75" customHeight="1" x14ac:dyDescent="0.2">
      <c r="A17038" s="258"/>
      <c r="Z17038" s="258"/>
    </row>
    <row r="17039" spans="1:26" ht="12.75" customHeight="1" x14ac:dyDescent="0.2">
      <c r="A17039" s="258"/>
      <c r="Z17039" s="258"/>
    </row>
    <row r="17040" spans="1:26" ht="12.75" customHeight="1" x14ac:dyDescent="0.2">
      <c r="A17040" s="258"/>
      <c r="Z17040" s="258"/>
    </row>
    <row r="17041" spans="1:26" ht="12.75" customHeight="1" x14ac:dyDescent="0.2">
      <c r="A17041" s="258"/>
      <c r="Z17041" s="258"/>
    </row>
    <row r="17042" spans="1:26" ht="12.75" customHeight="1" x14ac:dyDescent="0.2">
      <c r="A17042" s="258"/>
      <c r="Z17042" s="258"/>
    </row>
    <row r="17043" spans="1:26" ht="12.75" customHeight="1" x14ac:dyDescent="0.2">
      <c r="A17043" s="258"/>
      <c r="Z17043" s="258"/>
    </row>
    <row r="17044" spans="1:26" ht="12.75" customHeight="1" x14ac:dyDescent="0.2">
      <c r="A17044" s="258"/>
      <c r="Z17044" s="258"/>
    </row>
    <row r="17045" spans="1:26" ht="12.75" customHeight="1" x14ac:dyDescent="0.2">
      <c r="A17045" s="258"/>
      <c r="Z17045" s="258"/>
    </row>
    <row r="17046" spans="1:26" ht="12.75" customHeight="1" x14ac:dyDescent="0.2">
      <c r="A17046" s="258"/>
      <c r="Z17046" s="258"/>
    </row>
    <row r="17047" spans="1:26" ht="12.75" customHeight="1" x14ac:dyDescent="0.2">
      <c r="A17047" s="258"/>
      <c r="Z17047" s="258"/>
    </row>
    <row r="17048" spans="1:26" ht="12.75" customHeight="1" x14ac:dyDescent="0.2">
      <c r="A17048" s="258"/>
      <c r="Z17048" s="258"/>
    </row>
    <row r="17049" spans="1:26" ht="12.75" customHeight="1" x14ac:dyDescent="0.2">
      <c r="A17049" s="258"/>
      <c r="Z17049" s="258"/>
    </row>
    <row r="17050" spans="1:26" ht="12.75" customHeight="1" x14ac:dyDescent="0.2">
      <c r="A17050" s="258"/>
      <c r="Z17050" s="258"/>
    </row>
    <row r="17051" spans="1:26" ht="12.75" customHeight="1" x14ac:dyDescent="0.2">
      <c r="A17051" s="258"/>
      <c r="Z17051" s="258"/>
    </row>
    <row r="17052" spans="1:26" ht="12.75" customHeight="1" x14ac:dyDescent="0.2">
      <c r="A17052" s="258"/>
      <c r="Z17052" s="258"/>
    </row>
    <row r="17053" spans="1:26" ht="12.75" customHeight="1" x14ac:dyDescent="0.2">
      <c r="A17053" s="258"/>
      <c r="Z17053" s="258"/>
    </row>
    <row r="17054" spans="1:26" ht="12.75" customHeight="1" x14ac:dyDescent="0.2">
      <c r="A17054" s="258"/>
      <c r="Z17054" s="258"/>
    </row>
    <row r="17055" spans="1:26" ht="12.75" customHeight="1" x14ac:dyDescent="0.2">
      <c r="A17055" s="258"/>
      <c r="Z17055" s="258"/>
    </row>
    <row r="17056" spans="1:26" ht="12.75" customHeight="1" x14ac:dyDescent="0.2">
      <c r="A17056" s="258"/>
      <c r="Z17056" s="258"/>
    </row>
    <row r="17057" spans="1:26" ht="12.75" customHeight="1" x14ac:dyDescent="0.2">
      <c r="A17057" s="258"/>
      <c r="Z17057" s="258"/>
    </row>
    <row r="17058" spans="1:26" ht="12.75" customHeight="1" x14ac:dyDescent="0.2">
      <c r="A17058" s="258"/>
      <c r="Z17058" s="258"/>
    </row>
    <row r="17059" spans="1:26" ht="12.75" customHeight="1" x14ac:dyDescent="0.2">
      <c r="A17059" s="258"/>
      <c r="Z17059" s="258"/>
    </row>
    <row r="17060" spans="1:26" ht="12.75" customHeight="1" x14ac:dyDescent="0.2">
      <c r="A17060" s="258"/>
      <c r="Z17060" s="258"/>
    </row>
    <row r="17061" spans="1:26" ht="12.75" customHeight="1" x14ac:dyDescent="0.2">
      <c r="A17061" s="258"/>
      <c r="Z17061" s="258"/>
    </row>
    <row r="17062" spans="1:26" ht="12.75" customHeight="1" x14ac:dyDescent="0.2">
      <c r="A17062" s="258"/>
      <c r="Z17062" s="258"/>
    </row>
    <row r="17063" spans="1:26" ht="12.75" customHeight="1" x14ac:dyDescent="0.2">
      <c r="A17063" s="258"/>
      <c r="Z17063" s="258"/>
    </row>
    <row r="17064" spans="1:26" ht="12.75" customHeight="1" x14ac:dyDescent="0.2">
      <c r="A17064" s="258"/>
      <c r="Z17064" s="258"/>
    </row>
    <row r="17065" spans="1:26" ht="12.75" customHeight="1" x14ac:dyDescent="0.2">
      <c r="A17065" s="258"/>
      <c r="Z17065" s="258"/>
    </row>
    <row r="17066" spans="1:26" ht="12.75" customHeight="1" x14ac:dyDescent="0.2">
      <c r="A17066" s="258"/>
      <c r="Z17066" s="258"/>
    </row>
    <row r="17067" spans="1:26" ht="12.75" customHeight="1" x14ac:dyDescent="0.2">
      <c r="A17067" s="258"/>
      <c r="Z17067" s="258"/>
    </row>
    <row r="17068" spans="1:26" ht="12.75" customHeight="1" x14ac:dyDescent="0.2">
      <c r="A17068" s="258"/>
      <c r="Z17068" s="258"/>
    </row>
    <row r="17069" spans="1:26" ht="12.75" customHeight="1" x14ac:dyDescent="0.2">
      <c r="A17069" s="258"/>
      <c r="Z17069" s="258"/>
    </row>
    <row r="17070" spans="1:26" ht="12.75" customHeight="1" x14ac:dyDescent="0.2">
      <c r="A17070" s="258"/>
      <c r="Z17070" s="258"/>
    </row>
    <row r="17071" spans="1:26" ht="12.75" customHeight="1" x14ac:dyDescent="0.2">
      <c r="A17071" s="258"/>
      <c r="Z17071" s="258"/>
    </row>
    <row r="17072" spans="1:26" ht="12.75" customHeight="1" x14ac:dyDescent="0.2">
      <c r="A17072" s="258"/>
      <c r="Z17072" s="258"/>
    </row>
    <row r="17073" spans="1:26" ht="12.75" customHeight="1" x14ac:dyDescent="0.2">
      <c r="A17073" s="258"/>
      <c r="Z17073" s="258"/>
    </row>
    <row r="17074" spans="1:26" ht="12.75" customHeight="1" x14ac:dyDescent="0.2">
      <c r="A17074" s="258"/>
      <c r="Z17074" s="258"/>
    </row>
    <row r="17075" spans="1:26" ht="12.75" customHeight="1" x14ac:dyDescent="0.2">
      <c r="A17075" s="258"/>
      <c r="Z17075" s="258"/>
    </row>
    <row r="17076" spans="1:26" ht="12.75" customHeight="1" x14ac:dyDescent="0.2">
      <c r="A17076" s="258"/>
      <c r="Z17076" s="258"/>
    </row>
    <row r="17077" spans="1:26" ht="12.75" customHeight="1" x14ac:dyDescent="0.2">
      <c r="A17077" s="258"/>
      <c r="Z17077" s="258"/>
    </row>
    <row r="17078" spans="1:26" ht="12.75" customHeight="1" x14ac:dyDescent="0.2">
      <c r="A17078" s="258"/>
      <c r="Z17078" s="258"/>
    </row>
    <row r="17079" spans="1:26" ht="12.75" customHeight="1" x14ac:dyDescent="0.2">
      <c r="A17079" s="258"/>
      <c r="Z17079" s="258"/>
    </row>
    <row r="17080" spans="1:26" ht="12.75" customHeight="1" x14ac:dyDescent="0.2">
      <c r="A17080" s="258"/>
      <c r="Z17080" s="258"/>
    </row>
    <row r="17081" spans="1:26" ht="12.75" customHeight="1" x14ac:dyDescent="0.2">
      <c r="A17081" s="258"/>
      <c r="Z17081" s="258"/>
    </row>
    <row r="17082" spans="1:26" ht="12.75" customHeight="1" x14ac:dyDescent="0.2">
      <c r="A17082" s="258"/>
      <c r="Z17082" s="258"/>
    </row>
    <row r="17083" spans="1:26" ht="12.75" customHeight="1" x14ac:dyDescent="0.2">
      <c r="A17083" s="258"/>
      <c r="Z17083" s="258"/>
    </row>
    <row r="17084" spans="1:26" ht="12.75" customHeight="1" x14ac:dyDescent="0.2">
      <c r="A17084" s="258"/>
      <c r="Z17084" s="258"/>
    </row>
    <row r="17085" spans="1:26" ht="12.75" customHeight="1" x14ac:dyDescent="0.2">
      <c r="A17085" s="258"/>
      <c r="Z17085" s="258"/>
    </row>
    <row r="17086" spans="1:26" ht="12.75" customHeight="1" x14ac:dyDescent="0.2">
      <c r="A17086" s="258"/>
      <c r="Z17086" s="258"/>
    </row>
    <row r="17087" spans="1:26" ht="12.75" customHeight="1" x14ac:dyDescent="0.2">
      <c r="A17087" s="258"/>
      <c r="Z17087" s="258"/>
    </row>
    <row r="17088" spans="1:26" ht="12.75" customHeight="1" x14ac:dyDescent="0.2">
      <c r="A17088" s="258"/>
      <c r="Z17088" s="258"/>
    </row>
    <row r="17089" spans="1:26" ht="12.75" customHeight="1" x14ac:dyDescent="0.2">
      <c r="A17089" s="258"/>
      <c r="Z17089" s="258"/>
    </row>
    <row r="17090" spans="1:26" ht="12.75" customHeight="1" x14ac:dyDescent="0.2">
      <c r="A17090" s="258"/>
      <c r="Z17090" s="258"/>
    </row>
    <row r="17091" spans="1:26" ht="12.75" customHeight="1" x14ac:dyDescent="0.2">
      <c r="A17091" s="258"/>
      <c r="Z17091" s="258"/>
    </row>
    <row r="17092" spans="1:26" ht="12.75" customHeight="1" x14ac:dyDescent="0.2">
      <c r="A17092" s="258"/>
      <c r="Z17092" s="258"/>
    </row>
    <row r="17093" spans="1:26" ht="12.75" customHeight="1" x14ac:dyDescent="0.2">
      <c r="A17093" s="258"/>
      <c r="Z17093" s="258"/>
    </row>
    <row r="17094" spans="1:26" ht="12.75" customHeight="1" x14ac:dyDescent="0.2">
      <c r="A17094" s="258"/>
      <c r="Z17094" s="258"/>
    </row>
    <row r="17095" spans="1:26" ht="12.75" customHeight="1" x14ac:dyDescent="0.2">
      <c r="A17095" s="258"/>
      <c r="Z17095" s="258"/>
    </row>
    <row r="17096" spans="1:26" ht="12.75" customHeight="1" x14ac:dyDescent="0.2">
      <c r="A17096" s="258"/>
      <c r="Z17096" s="258"/>
    </row>
    <row r="17097" spans="1:26" ht="12.75" customHeight="1" x14ac:dyDescent="0.2">
      <c r="A17097" s="258"/>
      <c r="Z17097" s="258"/>
    </row>
    <row r="17098" spans="1:26" ht="12.75" customHeight="1" x14ac:dyDescent="0.2">
      <c r="A17098" s="258"/>
      <c r="Z17098" s="258"/>
    </row>
    <row r="17099" spans="1:26" ht="12.75" customHeight="1" x14ac:dyDescent="0.2">
      <c r="A17099" s="258"/>
      <c r="Z17099" s="258"/>
    </row>
    <row r="17100" spans="1:26" ht="12.75" customHeight="1" x14ac:dyDescent="0.2">
      <c r="A17100" s="258"/>
      <c r="Z17100" s="258"/>
    </row>
    <row r="17101" spans="1:26" ht="12.75" customHeight="1" x14ac:dyDescent="0.2">
      <c r="A17101" s="258"/>
      <c r="Z17101" s="258"/>
    </row>
    <row r="17102" spans="1:26" ht="12.75" customHeight="1" x14ac:dyDescent="0.2">
      <c r="A17102" s="258"/>
      <c r="Z17102" s="258"/>
    </row>
    <row r="17103" spans="1:26" ht="12.75" customHeight="1" x14ac:dyDescent="0.2">
      <c r="A17103" s="258"/>
      <c r="Z17103" s="258"/>
    </row>
    <row r="17104" spans="1:26" ht="12.75" customHeight="1" x14ac:dyDescent="0.2">
      <c r="A17104" s="258"/>
      <c r="Z17104" s="258"/>
    </row>
    <row r="17105" spans="1:26" ht="12.75" customHeight="1" x14ac:dyDescent="0.2">
      <c r="A17105" s="258"/>
      <c r="Z17105" s="258"/>
    </row>
    <row r="17106" spans="1:26" ht="12.75" customHeight="1" x14ac:dyDescent="0.2">
      <c r="A17106" s="258"/>
      <c r="Z17106" s="258"/>
    </row>
    <row r="17107" spans="1:26" ht="12.75" customHeight="1" x14ac:dyDescent="0.2">
      <c r="A17107" s="258"/>
      <c r="Z17107" s="258"/>
    </row>
    <row r="17108" spans="1:26" ht="12.75" customHeight="1" x14ac:dyDescent="0.2">
      <c r="A17108" s="258"/>
      <c r="Z17108" s="258"/>
    </row>
    <row r="17109" spans="1:26" ht="12.75" customHeight="1" x14ac:dyDescent="0.2">
      <c r="A17109" s="258"/>
      <c r="Z17109" s="258"/>
    </row>
    <row r="17110" spans="1:26" ht="12.75" customHeight="1" x14ac:dyDescent="0.2">
      <c r="A17110" s="258"/>
      <c r="Z17110" s="258"/>
    </row>
    <row r="17111" spans="1:26" ht="12.75" customHeight="1" x14ac:dyDescent="0.2">
      <c r="A17111" s="258"/>
      <c r="Z17111" s="258"/>
    </row>
    <row r="17112" spans="1:26" ht="12.75" customHeight="1" x14ac:dyDescent="0.2">
      <c r="A17112" s="258"/>
      <c r="Z17112" s="258"/>
    </row>
    <row r="17113" spans="1:26" ht="12.75" customHeight="1" x14ac:dyDescent="0.2">
      <c r="A17113" s="258"/>
      <c r="Z17113" s="258"/>
    </row>
    <row r="17114" spans="1:26" ht="12.75" customHeight="1" x14ac:dyDescent="0.2">
      <c r="A17114" s="258"/>
      <c r="Z17114" s="258"/>
    </row>
    <row r="17115" spans="1:26" ht="12.75" customHeight="1" x14ac:dyDescent="0.2">
      <c r="A17115" s="258"/>
      <c r="Z17115" s="258"/>
    </row>
    <row r="17116" spans="1:26" ht="12.75" customHeight="1" x14ac:dyDescent="0.2">
      <c r="A17116" s="258"/>
      <c r="Z17116" s="258"/>
    </row>
    <row r="17117" spans="1:26" ht="12.75" customHeight="1" x14ac:dyDescent="0.2">
      <c r="A17117" s="258"/>
      <c r="Z17117" s="258"/>
    </row>
    <row r="17118" spans="1:26" ht="12.75" customHeight="1" x14ac:dyDescent="0.2">
      <c r="A17118" s="258"/>
      <c r="Z17118" s="258"/>
    </row>
    <row r="17119" spans="1:26" ht="12.75" customHeight="1" x14ac:dyDescent="0.2">
      <c r="A17119" s="258"/>
      <c r="Z17119" s="258"/>
    </row>
    <row r="17120" spans="1:26" ht="12.75" customHeight="1" x14ac:dyDescent="0.2">
      <c r="A17120" s="258"/>
      <c r="Z17120" s="258"/>
    </row>
    <row r="17121" spans="1:26" ht="12.75" customHeight="1" x14ac:dyDescent="0.2">
      <c r="A17121" s="258"/>
      <c r="Z17121" s="258"/>
    </row>
    <row r="17122" spans="1:26" ht="12.75" customHeight="1" x14ac:dyDescent="0.2">
      <c r="A17122" s="258"/>
      <c r="Z17122" s="258"/>
    </row>
    <row r="17123" spans="1:26" ht="12.75" customHeight="1" x14ac:dyDescent="0.2">
      <c r="A17123" s="258"/>
      <c r="Z17123" s="258"/>
    </row>
    <row r="17124" spans="1:26" ht="12.75" customHeight="1" x14ac:dyDescent="0.2">
      <c r="A17124" s="258"/>
      <c r="Z17124" s="258"/>
    </row>
    <row r="17125" spans="1:26" ht="12.75" customHeight="1" x14ac:dyDescent="0.2">
      <c r="A17125" s="258"/>
      <c r="Z17125" s="258"/>
    </row>
    <row r="17126" spans="1:26" ht="12.75" customHeight="1" x14ac:dyDescent="0.2">
      <c r="A17126" s="258"/>
      <c r="Z17126" s="258"/>
    </row>
    <row r="17127" spans="1:26" ht="12.75" customHeight="1" x14ac:dyDescent="0.2">
      <c r="A17127" s="258"/>
      <c r="Z17127" s="258"/>
    </row>
    <row r="17128" spans="1:26" ht="12.75" customHeight="1" x14ac:dyDescent="0.2">
      <c r="A17128" s="258"/>
      <c r="Z17128" s="258"/>
    </row>
    <row r="17129" spans="1:26" ht="12.75" customHeight="1" x14ac:dyDescent="0.2">
      <c r="A17129" s="258"/>
      <c r="Z17129" s="258"/>
    </row>
    <row r="17130" spans="1:26" ht="12.75" customHeight="1" x14ac:dyDescent="0.2">
      <c r="A17130" s="258"/>
      <c r="Z17130" s="258"/>
    </row>
    <row r="17131" spans="1:26" ht="12.75" customHeight="1" x14ac:dyDescent="0.2">
      <c r="A17131" s="258"/>
      <c r="Z17131" s="258"/>
    </row>
    <row r="17132" spans="1:26" ht="12.75" customHeight="1" x14ac:dyDescent="0.2">
      <c r="A17132" s="258"/>
      <c r="Z17132" s="258"/>
    </row>
    <row r="17133" spans="1:26" ht="12.75" customHeight="1" x14ac:dyDescent="0.2">
      <c r="A17133" s="258"/>
      <c r="Z17133" s="258"/>
    </row>
    <row r="17134" spans="1:26" ht="12.75" customHeight="1" x14ac:dyDescent="0.2">
      <c r="A17134" s="258"/>
      <c r="Z17134" s="258"/>
    </row>
    <row r="17135" spans="1:26" ht="12.75" customHeight="1" x14ac:dyDescent="0.2">
      <c r="A17135" s="258"/>
      <c r="Z17135" s="258"/>
    </row>
    <row r="17136" spans="1:26" ht="12.75" customHeight="1" x14ac:dyDescent="0.2">
      <c r="A17136" s="258"/>
      <c r="Z17136" s="258"/>
    </row>
    <row r="17137" spans="1:26" ht="12.75" customHeight="1" x14ac:dyDescent="0.2">
      <c r="A17137" s="258"/>
      <c r="Z17137" s="258"/>
    </row>
    <row r="17138" spans="1:26" ht="12.75" customHeight="1" x14ac:dyDescent="0.2">
      <c r="A17138" s="258"/>
      <c r="Z17138" s="258"/>
    </row>
    <row r="17139" spans="1:26" ht="12.75" customHeight="1" x14ac:dyDescent="0.2">
      <c r="A17139" s="258"/>
      <c r="Z17139" s="258"/>
    </row>
    <row r="17140" spans="1:26" ht="12.75" customHeight="1" x14ac:dyDescent="0.2">
      <c r="A17140" s="258"/>
      <c r="Z17140" s="258"/>
    </row>
    <row r="17141" spans="1:26" ht="12.75" customHeight="1" x14ac:dyDescent="0.2">
      <c r="A17141" s="258"/>
      <c r="Z17141" s="258"/>
    </row>
    <row r="17142" spans="1:26" ht="12.75" customHeight="1" x14ac:dyDescent="0.2">
      <c r="A17142" s="258"/>
      <c r="Z17142" s="258"/>
    </row>
    <row r="17143" spans="1:26" ht="12.75" customHeight="1" x14ac:dyDescent="0.2">
      <c r="A17143" s="258"/>
      <c r="Z17143" s="258"/>
    </row>
    <row r="17144" spans="1:26" ht="12.75" customHeight="1" x14ac:dyDescent="0.2">
      <c r="A17144" s="258"/>
      <c r="Z17144" s="258"/>
    </row>
    <row r="17145" spans="1:26" ht="12.75" customHeight="1" x14ac:dyDescent="0.2">
      <c r="A17145" s="258"/>
      <c r="Z17145" s="258"/>
    </row>
    <row r="17146" spans="1:26" ht="12.75" customHeight="1" x14ac:dyDescent="0.2">
      <c r="A17146" s="258"/>
      <c r="Z17146" s="258"/>
    </row>
    <row r="17147" spans="1:26" ht="12.75" customHeight="1" x14ac:dyDescent="0.2">
      <c r="A17147" s="258"/>
      <c r="Z17147" s="258"/>
    </row>
    <row r="17148" spans="1:26" ht="12.75" customHeight="1" x14ac:dyDescent="0.2">
      <c r="A17148" s="258"/>
      <c r="Z17148" s="258"/>
    </row>
    <row r="17149" spans="1:26" ht="12.75" customHeight="1" x14ac:dyDescent="0.2">
      <c r="A17149" s="258"/>
      <c r="Z17149" s="258"/>
    </row>
    <row r="17150" spans="1:26" ht="12.75" customHeight="1" x14ac:dyDescent="0.2">
      <c r="A17150" s="258"/>
      <c r="Z17150" s="258"/>
    </row>
    <row r="17151" spans="1:26" ht="12.75" customHeight="1" x14ac:dyDescent="0.2">
      <c r="A17151" s="258"/>
      <c r="Z17151" s="258"/>
    </row>
    <row r="17152" spans="1:26" ht="12.75" customHeight="1" x14ac:dyDescent="0.2">
      <c r="A17152" s="258"/>
      <c r="Z17152" s="258"/>
    </row>
    <row r="17153" spans="1:26" ht="12.75" customHeight="1" x14ac:dyDescent="0.2">
      <c r="A17153" s="258"/>
      <c r="Z17153" s="258"/>
    </row>
    <row r="17154" spans="1:26" ht="12.75" customHeight="1" x14ac:dyDescent="0.2">
      <c r="A17154" s="258"/>
      <c r="Z17154" s="258"/>
    </row>
    <row r="17155" spans="1:26" ht="12.75" customHeight="1" x14ac:dyDescent="0.2">
      <c r="A17155" s="258"/>
      <c r="Z17155" s="258"/>
    </row>
    <row r="17156" spans="1:26" ht="12.75" customHeight="1" x14ac:dyDescent="0.2">
      <c r="A17156" s="258"/>
      <c r="Z17156" s="258"/>
    </row>
    <row r="17157" spans="1:26" ht="12.75" customHeight="1" x14ac:dyDescent="0.2">
      <c r="A17157" s="258"/>
      <c r="Z17157" s="258"/>
    </row>
    <row r="17158" spans="1:26" ht="12.75" customHeight="1" x14ac:dyDescent="0.2">
      <c r="A17158" s="258"/>
      <c r="Z17158" s="258"/>
    </row>
    <row r="17159" spans="1:26" ht="12.75" customHeight="1" x14ac:dyDescent="0.2">
      <c r="A17159" s="258"/>
      <c r="Z17159" s="258"/>
    </row>
    <row r="17160" spans="1:26" ht="12.75" customHeight="1" x14ac:dyDescent="0.2">
      <c r="A17160" s="258"/>
      <c r="Z17160" s="258"/>
    </row>
    <row r="17161" spans="1:26" ht="12.75" customHeight="1" x14ac:dyDescent="0.2">
      <c r="A17161" s="258"/>
      <c r="Z17161" s="258"/>
    </row>
    <row r="17162" spans="1:26" ht="12.75" customHeight="1" x14ac:dyDescent="0.2">
      <c r="A17162" s="258"/>
      <c r="Z17162" s="258"/>
    </row>
    <row r="17163" spans="1:26" ht="12.75" customHeight="1" x14ac:dyDescent="0.2">
      <c r="A17163" s="258"/>
      <c r="Z17163" s="258"/>
    </row>
    <row r="17164" spans="1:26" ht="12.75" customHeight="1" x14ac:dyDescent="0.2">
      <c r="A17164" s="258"/>
      <c r="Z17164" s="258"/>
    </row>
    <row r="17165" spans="1:26" ht="12.75" customHeight="1" x14ac:dyDescent="0.2">
      <c r="A17165" s="258"/>
      <c r="Z17165" s="258"/>
    </row>
    <row r="17166" spans="1:26" ht="12.75" customHeight="1" x14ac:dyDescent="0.2">
      <c r="A17166" s="258"/>
      <c r="Z17166" s="258"/>
    </row>
    <row r="17167" spans="1:26" ht="12.75" customHeight="1" x14ac:dyDescent="0.2">
      <c r="A17167" s="258"/>
      <c r="Z17167" s="258"/>
    </row>
    <row r="17168" spans="1:26" ht="12.75" customHeight="1" x14ac:dyDescent="0.2">
      <c r="A17168" s="258"/>
      <c r="Z17168" s="258"/>
    </row>
    <row r="17169" spans="1:26" ht="12.75" customHeight="1" x14ac:dyDescent="0.2">
      <c r="A17169" s="258"/>
      <c r="Z17169" s="258"/>
    </row>
    <row r="17170" spans="1:26" ht="12.75" customHeight="1" x14ac:dyDescent="0.2">
      <c r="A17170" s="258"/>
      <c r="Z17170" s="258"/>
    </row>
    <row r="17171" spans="1:26" ht="12.75" customHeight="1" x14ac:dyDescent="0.2">
      <c r="A17171" s="258"/>
      <c r="Z17171" s="258"/>
    </row>
    <row r="17172" spans="1:26" ht="12.75" customHeight="1" x14ac:dyDescent="0.2">
      <c r="A17172" s="258"/>
      <c r="Z17172" s="258"/>
    </row>
    <row r="17173" spans="1:26" ht="12.75" customHeight="1" x14ac:dyDescent="0.2">
      <c r="A17173" s="258"/>
      <c r="Z17173" s="258"/>
    </row>
    <row r="17174" spans="1:26" ht="12.75" customHeight="1" x14ac:dyDescent="0.2">
      <c r="A17174" s="258"/>
      <c r="Z17174" s="258"/>
    </row>
    <row r="17175" spans="1:26" ht="12.75" customHeight="1" x14ac:dyDescent="0.2">
      <c r="A17175" s="258"/>
      <c r="Z17175" s="258"/>
    </row>
    <row r="17176" spans="1:26" ht="12.75" customHeight="1" x14ac:dyDescent="0.2">
      <c r="A17176" s="258"/>
      <c r="Z17176" s="258"/>
    </row>
    <row r="17177" spans="1:26" ht="12.75" customHeight="1" x14ac:dyDescent="0.2">
      <c r="A17177" s="258"/>
      <c r="Z17177" s="258"/>
    </row>
    <row r="17178" spans="1:26" ht="12.75" customHeight="1" x14ac:dyDescent="0.2">
      <c r="A17178" s="258"/>
      <c r="Z17178" s="258"/>
    </row>
    <row r="17179" spans="1:26" ht="12.75" customHeight="1" x14ac:dyDescent="0.2">
      <c r="A17179" s="258"/>
      <c r="Z17179" s="258"/>
    </row>
    <row r="17180" spans="1:26" ht="12.75" customHeight="1" x14ac:dyDescent="0.2">
      <c r="A17180" s="258"/>
      <c r="Z17180" s="258"/>
    </row>
    <row r="17181" spans="1:26" ht="12.75" customHeight="1" x14ac:dyDescent="0.2">
      <c r="A17181" s="258"/>
      <c r="Z17181" s="258"/>
    </row>
    <row r="17182" spans="1:26" ht="12.75" customHeight="1" x14ac:dyDescent="0.2">
      <c r="A17182" s="258"/>
      <c r="Z17182" s="258"/>
    </row>
    <row r="17183" spans="1:26" ht="12.75" customHeight="1" x14ac:dyDescent="0.2">
      <c r="A17183" s="258"/>
      <c r="Z17183" s="258"/>
    </row>
    <row r="17184" spans="1:26" ht="12.75" customHeight="1" x14ac:dyDescent="0.2">
      <c r="A17184" s="258"/>
      <c r="Z17184" s="258"/>
    </row>
    <row r="17185" spans="1:26" ht="12.75" customHeight="1" x14ac:dyDescent="0.2">
      <c r="A17185" s="258"/>
      <c r="Z17185" s="258"/>
    </row>
    <row r="17186" spans="1:26" ht="12.75" customHeight="1" x14ac:dyDescent="0.2">
      <c r="A17186" s="258"/>
      <c r="Z17186" s="258"/>
    </row>
    <row r="17187" spans="1:26" ht="12.75" customHeight="1" x14ac:dyDescent="0.2">
      <c r="A17187" s="258"/>
      <c r="Z17187" s="258"/>
    </row>
    <row r="17188" spans="1:26" ht="12.75" customHeight="1" x14ac:dyDescent="0.2">
      <c r="A17188" s="258"/>
      <c r="Z17188" s="258"/>
    </row>
    <row r="17189" spans="1:26" ht="12.75" customHeight="1" x14ac:dyDescent="0.2">
      <c r="A17189" s="258"/>
      <c r="Z17189" s="258"/>
    </row>
    <row r="17190" spans="1:26" ht="12.75" customHeight="1" x14ac:dyDescent="0.2">
      <c r="A17190" s="258"/>
      <c r="Z17190" s="258"/>
    </row>
    <row r="17191" spans="1:26" ht="12.75" customHeight="1" x14ac:dyDescent="0.2">
      <c r="A17191" s="258"/>
      <c r="Z17191" s="258"/>
    </row>
    <row r="17192" spans="1:26" ht="12.75" customHeight="1" x14ac:dyDescent="0.2">
      <c r="A17192" s="258"/>
      <c r="Z17192" s="258"/>
    </row>
    <row r="17193" spans="1:26" ht="12.75" customHeight="1" x14ac:dyDescent="0.2">
      <c r="A17193" s="258"/>
      <c r="Z17193" s="258"/>
    </row>
    <row r="17194" spans="1:26" ht="12.75" customHeight="1" x14ac:dyDescent="0.2">
      <c r="A17194" s="258"/>
      <c r="Z17194" s="258"/>
    </row>
    <row r="17195" spans="1:26" ht="12.75" customHeight="1" x14ac:dyDescent="0.2">
      <c r="A17195" s="258"/>
      <c r="Z17195" s="258"/>
    </row>
    <row r="17196" spans="1:26" ht="12.75" customHeight="1" x14ac:dyDescent="0.2">
      <c r="A17196" s="258"/>
      <c r="Z17196" s="258"/>
    </row>
    <row r="17197" spans="1:26" ht="12.75" customHeight="1" x14ac:dyDescent="0.2">
      <c r="A17197" s="258"/>
      <c r="Z17197" s="258"/>
    </row>
    <row r="17198" spans="1:26" ht="12.75" customHeight="1" x14ac:dyDescent="0.2">
      <c r="A17198" s="258"/>
      <c r="Z17198" s="258"/>
    </row>
    <row r="17199" spans="1:26" ht="12.75" customHeight="1" x14ac:dyDescent="0.2">
      <c r="A17199" s="258"/>
      <c r="Z17199" s="258"/>
    </row>
    <row r="17200" spans="1:26" ht="12.75" customHeight="1" x14ac:dyDescent="0.2">
      <c r="A17200" s="258"/>
      <c r="Z17200" s="258"/>
    </row>
    <row r="17201" spans="1:26" ht="12.75" customHeight="1" x14ac:dyDescent="0.2">
      <c r="A17201" s="258"/>
      <c r="Z17201" s="258"/>
    </row>
    <row r="17202" spans="1:26" ht="12.75" customHeight="1" x14ac:dyDescent="0.2">
      <c r="A17202" s="258"/>
      <c r="Z17202" s="258"/>
    </row>
    <row r="17203" spans="1:26" ht="12.75" customHeight="1" x14ac:dyDescent="0.2">
      <c r="A17203" s="258"/>
      <c r="Z17203" s="258"/>
    </row>
    <row r="17204" spans="1:26" ht="12.75" customHeight="1" x14ac:dyDescent="0.2">
      <c r="A17204" s="258"/>
      <c r="Z17204" s="258"/>
    </row>
    <row r="17205" spans="1:26" ht="12.75" customHeight="1" x14ac:dyDescent="0.2">
      <c r="A17205" s="258"/>
      <c r="Z17205" s="258"/>
    </row>
    <row r="17206" spans="1:26" ht="12.75" customHeight="1" x14ac:dyDescent="0.2">
      <c r="A17206" s="258"/>
      <c r="Z17206" s="258"/>
    </row>
    <row r="17207" spans="1:26" ht="12.75" customHeight="1" x14ac:dyDescent="0.2">
      <c r="A17207" s="258"/>
      <c r="Z17207" s="258"/>
    </row>
    <row r="17208" spans="1:26" ht="12.75" customHeight="1" x14ac:dyDescent="0.2">
      <c r="A17208" s="258"/>
      <c r="Z17208" s="258"/>
    </row>
    <row r="17209" spans="1:26" ht="12.75" customHeight="1" x14ac:dyDescent="0.2">
      <c r="A17209" s="258"/>
      <c r="Z17209" s="258"/>
    </row>
    <row r="17210" spans="1:26" ht="12.75" customHeight="1" x14ac:dyDescent="0.2">
      <c r="A17210" s="258"/>
      <c r="Z17210" s="258"/>
    </row>
    <row r="17211" spans="1:26" ht="12.75" customHeight="1" x14ac:dyDescent="0.2">
      <c r="A17211" s="258"/>
      <c r="Z17211" s="258"/>
    </row>
    <row r="17212" spans="1:26" ht="12.75" customHeight="1" x14ac:dyDescent="0.2">
      <c r="A17212" s="258"/>
      <c r="Z17212" s="258"/>
    </row>
    <row r="17213" spans="1:26" ht="12.75" customHeight="1" x14ac:dyDescent="0.2">
      <c r="A17213" s="258"/>
      <c r="Z17213" s="258"/>
    </row>
    <row r="17214" spans="1:26" ht="12.75" customHeight="1" x14ac:dyDescent="0.2">
      <c r="A17214" s="258"/>
      <c r="Z17214" s="258"/>
    </row>
    <row r="17215" spans="1:26" ht="12.75" customHeight="1" x14ac:dyDescent="0.2">
      <c r="A17215" s="258"/>
      <c r="Z17215" s="258"/>
    </row>
    <row r="17216" spans="1:26" ht="12.75" customHeight="1" x14ac:dyDescent="0.2">
      <c r="A17216" s="258"/>
      <c r="Z17216" s="258"/>
    </row>
    <row r="17217" spans="1:26" ht="12.75" customHeight="1" x14ac:dyDescent="0.2">
      <c r="A17217" s="258"/>
      <c r="Z17217" s="258"/>
    </row>
    <row r="17218" spans="1:26" ht="12.75" customHeight="1" x14ac:dyDescent="0.2">
      <c r="A17218" s="258"/>
      <c r="Z17218" s="258"/>
    </row>
    <row r="17219" spans="1:26" ht="12.75" customHeight="1" x14ac:dyDescent="0.2">
      <c r="A17219" s="258"/>
      <c r="Z17219" s="258"/>
    </row>
    <row r="17220" spans="1:26" ht="12.75" customHeight="1" x14ac:dyDescent="0.2">
      <c r="A17220" s="258"/>
      <c r="Z17220" s="258"/>
    </row>
    <row r="17221" spans="1:26" ht="12.75" customHeight="1" x14ac:dyDescent="0.2">
      <c r="A17221" s="258"/>
      <c r="Z17221" s="258"/>
    </row>
    <row r="17222" spans="1:26" ht="12.75" customHeight="1" x14ac:dyDescent="0.2">
      <c r="A17222" s="258"/>
      <c r="Z17222" s="258"/>
    </row>
    <row r="17223" spans="1:26" ht="12.75" customHeight="1" x14ac:dyDescent="0.2">
      <c r="A17223" s="258"/>
      <c r="Z17223" s="258"/>
    </row>
    <row r="17224" spans="1:26" ht="12.75" customHeight="1" x14ac:dyDescent="0.2">
      <c r="A17224" s="258"/>
      <c r="Z17224" s="258"/>
    </row>
    <row r="17225" spans="1:26" ht="12.75" customHeight="1" x14ac:dyDescent="0.2">
      <c r="A17225" s="258"/>
      <c r="Z17225" s="258"/>
    </row>
    <row r="17226" spans="1:26" ht="12.75" customHeight="1" x14ac:dyDescent="0.2">
      <c r="A17226" s="258"/>
      <c r="Z17226" s="258"/>
    </row>
    <row r="17227" spans="1:26" ht="12.75" customHeight="1" x14ac:dyDescent="0.2">
      <c r="A17227" s="258"/>
      <c r="Z17227" s="258"/>
    </row>
    <row r="17228" spans="1:26" ht="12.75" customHeight="1" x14ac:dyDescent="0.2">
      <c r="A17228" s="258"/>
      <c r="Z17228" s="258"/>
    </row>
    <row r="17229" spans="1:26" ht="12.75" customHeight="1" x14ac:dyDescent="0.2">
      <c r="A17229" s="258"/>
      <c r="Z17229" s="258"/>
    </row>
    <row r="17230" spans="1:26" ht="12.75" customHeight="1" x14ac:dyDescent="0.2">
      <c r="A17230" s="258"/>
      <c r="Z17230" s="258"/>
    </row>
    <row r="17231" spans="1:26" ht="12.75" customHeight="1" x14ac:dyDescent="0.2">
      <c r="A17231" s="258"/>
      <c r="Z17231" s="258"/>
    </row>
    <row r="17232" spans="1:26" ht="12.75" customHeight="1" x14ac:dyDescent="0.2">
      <c r="A17232" s="258"/>
      <c r="Z17232" s="258"/>
    </row>
    <row r="17233" spans="1:26" ht="12.75" customHeight="1" x14ac:dyDescent="0.2">
      <c r="A17233" s="258"/>
      <c r="Z17233" s="258"/>
    </row>
    <row r="17234" spans="1:26" ht="12.75" customHeight="1" x14ac:dyDescent="0.2">
      <c r="A17234" s="258"/>
      <c r="Z17234" s="258"/>
    </row>
    <row r="17235" spans="1:26" ht="12.75" customHeight="1" x14ac:dyDescent="0.2">
      <c r="A17235" s="258"/>
      <c r="Z17235" s="258"/>
    </row>
    <row r="17236" spans="1:26" ht="12.75" customHeight="1" x14ac:dyDescent="0.2">
      <c r="A17236" s="258"/>
      <c r="Z17236" s="258"/>
    </row>
    <row r="17237" spans="1:26" ht="12.75" customHeight="1" x14ac:dyDescent="0.2">
      <c r="A17237" s="258"/>
      <c r="Z17237" s="258"/>
    </row>
    <row r="17238" spans="1:26" ht="12.75" customHeight="1" x14ac:dyDescent="0.2">
      <c r="A17238" s="258"/>
      <c r="Z17238" s="258"/>
    </row>
    <row r="17239" spans="1:26" ht="12.75" customHeight="1" x14ac:dyDescent="0.2">
      <c r="A17239" s="258"/>
      <c r="Z17239" s="258"/>
    </row>
    <row r="17240" spans="1:26" ht="12.75" customHeight="1" x14ac:dyDescent="0.2">
      <c r="A17240" s="258"/>
      <c r="Z17240" s="258"/>
    </row>
    <row r="17241" spans="1:26" ht="12.75" customHeight="1" x14ac:dyDescent="0.2">
      <c r="A17241" s="258"/>
      <c r="Z17241" s="258"/>
    </row>
    <row r="17242" spans="1:26" ht="12.75" customHeight="1" x14ac:dyDescent="0.2">
      <c r="A17242" s="258"/>
      <c r="Z17242" s="258"/>
    </row>
    <row r="17243" spans="1:26" ht="12.75" customHeight="1" x14ac:dyDescent="0.2">
      <c r="A17243" s="258"/>
      <c r="Z17243" s="258"/>
    </row>
    <row r="17244" spans="1:26" ht="12.75" customHeight="1" x14ac:dyDescent="0.2">
      <c r="A17244" s="258"/>
      <c r="Z17244" s="258"/>
    </row>
    <row r="17245" spans="1:26" ht="12.75" customHeight="1" x14ac:dyDescent="0.2">
      <c r="A17245" s="258"/>
      <c r="Z17245" s="258"/>
    </row>
    <row r="17246" spans="1:26" ht="12.75" customHeight="1" x14ac:dyDescent="0.2">
      <c r="A17246" s="258"/>
      <c r="Z17246" s="258"/>
    </row>
    <row r="17247" spans="1:26" ht="12.75" customHeight="1" x14ac:dyDescent="0.2">
      <c r="A17247" s="258"/>
      <c r="Z17247" s="258"/>
    </row>
    <row r="17248" spans="1:26" ht="12.75" customHeight="1" x14ac:dyDescent="0.2">
      <c r="A17248" s="258"/>
      <c r="Z17248" s="258"/>
    </row>
    <row r="17249" spans="1:26" ht="12.75" customHeight="1" x14ac:dyDescent="0.2">
      <c r="A17249" s="258"/>
      <c r="Z17249" s="258"/>
    </row>
    <row r="17250" spans="1:26" ht="12.75" customHeight="1" x14ac:dyDescent="0.2">
      <c r="A17250" s="258"/>
      <c r="Z17250" s="258"/>
    </row>
    <row r="17251" spans="1:26" ht="12.75" customHeight="1" x14ac:dyDescent="0.2">
      <c r="A17251" s="258"/>
      <c r="Z17251" s="258"/>
    </row>
    <row r="17252" spans="1:26" ht="12.75" customHeight="1" x14ac:dyDescent="0.2">
      <c r="A17252" s="258"/>
      <c r="Z17252" s="258"/>
    </row>
    <row r="17253" spans="1:26" ht="12.75" customHeight="1" x14ac:dyDescent="0.2">
      <c r="A17253" s="258"/>
      <c r="Z17253" s="258"/>
    </row>
    <row r="17254" spans="1:26" ht="12.75" customHeight="1" x14ac:dyDescent="0.2">
      <c r="A17254" s="258"/>
      <c r="Z17254" s="258"/>
    </row>
    <row r="17255" spans="1:26" ht="12.75" customHeight="1" x14ac:dyDescent="0.2">
      <c r="A17255" s="258"/>
      <c r="Z17255" s="258"/>
    </row>
    <row r="17256" spans="1:26" ht="12.75" customHeight="1" x14ac:dyDescent="0.2">
      <c r="A17256" s="258"/>
      <c r="Z17256" s="258"/>
    </row>
    <row r="17257" spans="1:26" ht="12.75" customHeight="1" x14ac:dyDescent="0.2">
      <c r="A17257" s="258"/>
      <c r="Z17257" s="258"/>
    </row>
    <row r="17258" spans="1:26" ht="12.75" customHeight="1" x14ac:dyDescent="0.2">
      <c r="A17258" s="258"/>
      <c r="Z17258" s="258"/>
    </row>
    <row r="17259" spans="1:26" ht="12.75" customHeight="1" x14ac:dyDescent="0.2">
      <c r="A17259" s="258"/>
      <c r="Z17259" s="258"/>
    </row>
    <row r="17260" spans="1:26" ht="12.75" customHeight="1" x14ac:dyDescent="0.2">
      <c r="A17260" s="258"/>
      <c r="Z17260" s="258"/>
    </row>
    <row r="17261" spans="1:26" ht="12.75" customHeight="1" x14ac:dyDescent="0.2">
      <c r="A17261" s="258"/>
      <c r="Z17261" s="258"/>
    </row>
    <row r="17262" spans="1:26" ht="12.75" customHeight="1" x14ac:dyDescent="0.2">
      <c r="A17262" s="258"/>
      <c r="Z17262" s="258"/>
    </row>
    <row r="17263" spans="1:26" ht="12.75" customHeight="1" x14ac:dyDescent="0.2">
      <c r="A17263" s="258"/>
      <c r="Z17263" s="258"/>
    </row>
    <row r="17264" spans="1:26" ht="12.75" customHeight="1" x14ac:dyDescent="0.2">
      <c r="A17264" s="258"/>
      <c r="Z17264" s="258"/>
    </row>
    <row r="17265" spans="1:26" ht="12.75" customHeight="1" x14ac:dyDescent="0.2">
      <c r="A17265" s="258"/>
      <c r="Z17265" s="258"/>
    </row>
    <row r="17266" spans="1:26" ht="12.75" customHeight="1" x14ac:dyDescent="0.2">
      <c r="A17266" s="258"/>
      <c r="Z17266" s="258"/>
    </row>
    <row r="17267" spans="1:26" ht="12.75" customHeight="1" x14ac:dyDescent="0.2">
      <c r="A17267" s="258"/>
      <c r="Z17267" s="258"/>
    </row>
    <row r="17268" spans="1:26" ht="12.75" customHeight="1" x14ac:dyDescent="0.2">
      <c r="A17268" s="258"/>
      <c r="Z17268" s="258"/>
    </row>
    <row r="17269" spans="1:26" ht="12.75" customHeight="1" x14ac:dyDescent="0.2">
      <c r="A17269" s="258"/>
      <c r="Z17269" s="258"/>
    </row>
    <row r="17270" spans="1:26" ht="12.75" customHeight="1" x14ac:dyDescent="0.2">
      <c r="A17270" s="258"/>
      <c r="Z17270" s="258"/>
    </row>
    <row r="17271" spans="1:26" ht="12.75" customHeight="1" x14ac:dyDescent="0.2">
      <c r="A17271" s="258"/>
      <c r="Z17271" s="258"/>
    </row>
    <row r="17272" spans="1:26" ht="12.75" customHeight="1" x14ac:dyDescent="0.2">
      <c r="A17272" s="258"/>
      <c r="Z17272" s="258"/>
    </row>
    <row r="17273" spans="1:26" ht="12.75" customHeight="1" x14ac:dyDescent="0.2">
      <c r="A17273" s="258"/>
      <c r="Z17273" s="258"/>
    </row>
    <row r="17274" spans="1:26" ht="12.75" customHeight="1" x14ac:dyDescent="0.2">
      <c r="A17274" s="258"/>
      <c r="Z17274" s="258"/>
    </row>
    <row r="17275" spans="1:26" ht="12.75" customHeight="1" x14ac:dyDescent="0.2">
      <c r="A17275" s="258"/>
      <c r="Z17275" s="258"/>
    </row>
    <row r="17276" spans="1:26" ht="12.75" customHeight="1" x14ac:dyDescent="0.2">
      <c r="A17276" s="258"/>
      <c r="Z17276" s="258"/>
    </row>
    <row r="17277" spans="1:26" ht="12.75" customHeight="1" x14ac:dyDescent="0.2">
      <c r="A17277" s="258"/>
      <c r="Z17277" s="258"/>
    </row>
    <row r="17278" spans="1:26" ht="12.75" customHeight="1" x14ac:dyDescent="0.2">
      <c r="A17278" s="258"/>
      <c r="Z17278" s="258"/>
    </row>
    <row r="17279" spans="1:26" ht="12.75" customHeight="1" x14ac:dyDescent="0.2">
      <c r="A17279" s="258"/>
      <c r="Z17279" s="258"/>
    </row>
    <row r="17280" spans="1:26" ht="12.75" customHeight="1" x14ac:dyDescent="0.2">
      <c r="A17280" s="258"/>
      <c r="Z17280" s="258"/>
    </row>
    <row r="17281" spans="1:26" ht="12.75" customHeight="1" x14ac:dyDescent="0.2">
      <c r="A17281" s="258"/>
      <c r="Z17281" s="258"/>
    </row>
    <row r="17282" spans="1:26" ht="12.75" customHeight="1" x14ac:dyDescent="0.2">
      <c r="A17282" s="258"/>
      <c r="Z17282" s="258"/>
    </row>
    <row r="17283" spans="1:26" ht="12.75" customHeight="1" x14ac:dyDescent="0.2">
      <c r="A17283" s="258"/>
      <c r="Z17283" s="258"/>
    </row>
    <row r="17284" spans="1:26" ht="12.75" customHeight="1" x14ac:dyDescent="0.2">
      <c r="A17284" s="258"/>
      <c r="Z17284" s="258"/>
    </row>
    <row r="17285" spans="1:26" ht="12.75" customHeight="1" x14ac:dyDescent="0.2">
      <c r="A17285" s="258"/>
      <c r="Z17285" s="258"/>
    </row>
    <row r="17286" spans="1:26" ht="12.75" customHeight="1" x14ac:dyDescent="0.2">
      <c r="A17286" s="258"/>
      <c r="Z17286" s="258"/>
    </row>
    <row r="17287" spans="1:26" ht="12.75" customHeight="1" x14ac:dyDescent="0.2">
      <c r="A17287" s="258"/>
      <c r="Z17287" s="258"/>
    </row>
    <row r="17288" spans="1:26" ht="12.75" customHeight="1" x14ac:dyDescent="0.2">
      <c r="A17288" s="258"/>
      <c r="Z17288" s="258"/>
    </row>
    <row r="17289" spans="1:26" ht="12.75" customHeight="1" x14ac:dyDescent="0.2">
      <c r="A17289" s="258"/>
      <c r="Z17289" s="258"/>
    </row>
    <row r="17290" spans="1:26" ht="12.75" customHeight="1" x14ac:dyDescent="0.2">
      <c r="A17290" s="258"/>
      <c r="Z17290" s="258"/>
    </row>
    <row r="17291" spans="1:26" ht="12.75" customHeight="1" x14ac:dyDescent="0.2">
      <c r="A17291" s="258"/>
      <c r="Z17291" s="258"/>
    </row>
    <row r="17292" spans="1:26" ht="12.75" customHeight="1" x14ac:dyDescent="0.2">
      <c r="A17292" s="258"/>
      <c r="Z17292" s="258"/>
    </row>
    <row r="17293" spans="1:26" ht="12.75" customHeight="1" x14ac:dyDescent="0.2">
      <c r="A17293" s="258"/>
      <c r="Z17293" s="258"/>
    </row>
    <row r="17294" spans="1:26" ht="12.75" customHeight="1" x14ac:dyDescent="0.2">
      <c r="A17294" s="258"/>
      <c r="Z17294" s="258"/>
    </row>
    <row r="17295" spans="1:26" ht="12.75" customHeight="1" x14ac:dyDescent="0.2">
      <c r="A17295" s="258"/>
      <c r="Z17295" s="258"/>
    </row>
    <row r="17296" spans="1:26" ht="12.75" customHeight="1" x14ac:dyDescent="0.2">
      <c r="A17296" s="258"/>
      <c r="Z17296" s="258"/>
    </row>
    <row r="17297" spans="1:26" ht="12.75" customHeight="1" x14ac:dyDescent="0.2">
      <c r="A17297" s="258"/>
      <c r="Z17297" s="258"/>
    </row>
    <row r="17298" spans="1:26" ht="12.75" customHeight="1" x14ac:dyDescent="0.2">
      <c r="A17298" s="258"/>
      <c r="Z17298" s="258"/>
    </row>
    <row r="17299" spans="1:26" ht="12.75" customHeight="1" x14ac:dyDescent="0.2">
      <c r="A17299" s="258"/>
      <c r="Z17299" s="258"/>
    </row>
    <row r="17300" spans="1:26" ht="12.75" customHeight="1" x14ac:dyDescent="0.2">
      <c r="A17300" s="258"/>
      <c r="Z17300" s="258"/>
    </row>
    <row r="17301" spans="1:26" ht="12.75" customHeight="1" x14ac:dyDescent="0.2">
      <c r="A17301" s="258"/>
      <c r="Z17301" s="258"/>
    </row>
    <row r="17302" spans="1:26" ht="12.75" customHeight="1" x14ac:dyDescent="0.2">
      <c r="A17302" s="258"/>
      <c r="Z17302" s="258"/>
    </row>
    <row r="17303" spans="1:26" ht="12.75" customHeight="1" x14ac:dyDescent="0.2">
      <c r="A17303" s="258"/>
      <c r="Z17303" s="258"/>
    </row>
    <row r="17304" spans="1:26" ht="12.75" customHeight="1" x14ac:dyDescent="0.2">
      <c r="A17304" s="258"/>
      <c r="Z17304" s="258"/>
    </row>
    <row r="17305" spans="1:26" ht="12.75" customHeight="1" x14ac:dyDescent="0.2">
      <c r="A17305" s="258"/>
      <c r="Z17305" s="258"/>
    </row>
    <row r="17306" spans="1:26" ht="12.75" customHeight="1" x14ac:dyDescent="0.2">
      <c r="A17306" s="258"/>
      <c r="Z17306" s="258"/>
    </row>
    <row r="17307" spans="1:26" ht="12.75" customHeight="1" x14ac:dyDescent="0.2">
      <c r="A17307" s="258"/>
      <c r="Z17307" s="258"/>
    </row>
    <row r="17308" spans="1:26" ht="12.75" customHeight="1" x14ac:dyDescent="0.2">
      <c r="A17308" s="258"/>
      <c r="Z17308" s="258"/>
    </row>
    <row r="17309" spans="1:26" ht="12.75" customHeight="1" x14ac:dyDescent="0.2">
      <c r="A17309" s="258"/>
      <c r="Z17309" s="258"/>
    </row>
    <row r="17310" spans="1:26" ht="12.75" customHeight="1" x14ac:dyDescent="0.2">
      <c r="A17310" s="258"/>
      <c r="Z17310" s="258"/>
    </row>
    <row r="17311" spans="1:26" ht="12.75" customHeight="1" x14ac:dyDescent="0.2">
      <c r="A17311" s="258"/>
      <c r="Z17311" s="258"/>
    </row>
    <row r="17312" spans="1:26" ht="12.75" customHeight="1" x14ac:dyDescent="0.2">
      <c r="A17312" s="258"/>
      <c r="Z17312" s="258"/>
    </row>
    <row r="17313" spans="1:26" ht="12.75" customHeight="1" x14ac:dyDescent="0.2">
      <c r="A17313" s="258"/>
      <c r="Z17313" s="258"/>
    </row>
    <row r="17314" spans="1:26" ht="12.75" customHeight="1" x14ac:dyDescent="0.2">
      <c r="A17314" s="258"/>
      <c r="Z17314" s="258"/>
    </row>
    <row r="17315" spans="1:26" ht="12.75" customHeight="1" x14ac:dyDescent="0.2">
      <c r="A17315" s="258"/>
      <c r="Z17315" s="258"/>
    </row>
    <row r="17316" spans="1:26" ht="12.75" customHeight="1" x14ac:dyDescent="0.2">
      <c r="A17316" s="258"/>
      <c r="Z17316" s="258"/>
    </row>
    <row r="17317" spans="1:26" ht="12.75" customHeight="1" x14ac:dyDescent="0.2">
      <c r="A17317" s="258"/>
      <c r="Z17317" s="258"/>
    </row>
    <row r="17318" spans="1:26" ht="12.75" customHeight="1" x14ac:dyDescent="0.2">
      <c r="A17318" s="258"/>
      <c r="Z17318" s="258"/>
    </row>
    <row r="17319" spans="1:26" ht="12.75" customHeight="1" x14ac:dyDescent="0.2">
      <c r="A17319" s="258"/>
      <c r="Z17319" s="258"/>
    </row>
    <row r="17320" spans="1:26" ht="12.75" customHeight="1" x14ac:dyDescent="0.2">
      <c r="A17320" s="258"/>
      <c r="Z17320" s="258"/>
    </row>
    <row r="17321" spans="1:26" ht="12.75" customHeight="1" x14ac:dyDescent="0.2">
      <c r="A17321" s="258"/>
      <c r="Z17321" s="258"/>
    </row>
    <row r="17322" spans="1:26" ht="12.75" customHeight="1" x14ac:dyDescent="0.2">
      <c r="A17322" s="258"/>
      <c r="Z17322" s="258"/>
    </row>
    <row r="17323" spans="1:26" ht="12.75" customHeight="1" x14ac:dyDescent="0.2">
      <c r="A17323" s="258"/>
      <c r="Z17323" s="258"/>
    </row>
    <row r="17324" spans="1:26" ht="12.75" customHeight="1" x14ac:dyDescent="0.2">
      <c r="A17324" s="258"/>
      <c r="Z17324" s="258"/>
    </row>
    <row r="17325" spans="1:26" ht="12.75" customHeight="1" x14ac:dyDescent="0.2">
      <c r="A17325" s="258"/>
      <c r="Z17325" s="258"/>
    </row>
    <row r="17326" spans="1:26" ht="12.75" customHeight="1" x14ac:dyDescent="0.2">
      <c r="A17326" s="258"/>
      <c r="Z17326" s="258"/>
    </row>
    <row r="17327" spans="1:26" ht="12.75" customHeight="1" x14ac:dyDescent="0.2">
      <c r="A17327" s="258"/>
      <c r="Z17327" s="258"/>
    </row>
    <row r="17328" spans="1:26" ht="12.75" customHeight="1" x14ac:dyDescent="0.2">
      <c r="A17328" s="258"/>
      <c r="Z17328" s="258"/>
    </row>
    <row r="17329" spans="1:26" ht="12.75" customHeight="1" x14ac:dyDescent="0.2">
      <c r="A17329" s="258"/>
      <c r="Z17329" s="258"/>
    </row>
    <row r="17330" spans="1:26" ht="12.75" customHeight="1" x14ac:dyDescent="0.2">
      <c r="A17330" s="258"/>
      <c r="Z17330" s="258"/>
    </row>
    <row r="17331" spans="1:26" ht="12.75" customHeight="1" x14ac:dyDescent="0.2">
      <c r="A17331" s="258"/>
      <c r="Z17331" s="258"/>
    </row>
    <row r="17332" spans="1:26" ht="12.75" customHeight="1" x14ac:dyDescent="0.2">
      <c r="A17332" s="258"/>
      <c r="Z17332" s="258"/>
    </row>
    <row r="17333" spans="1:26" ht="12.75" customHeight="1" x14ac:dyDescent="0.2">
      <c r="A17333" s="258"/>
      <c r="Z17333" s="258"/>
    </row>
    <row r="17334" spans="1:26" ht="12.75" customHeight="1" x14ac:dyDescent="0.2">
      <c r="A17334" s="258"/>
      <c r="Z17334" s="258"/>
    </row>
    <row r="17335" spans="1:26" ht="12.75" customHeight="1" x14ac:dyDescent="0.2">
      <c r="A17335" s="258"/>
      <c r="Z17335" s="258"/>
    </row>
    <row r="17336" spans="1:26" ht="12.75" customHeight="1" x14ac:dyDescent="0.2">
      <c r="A17336" s="258"/>
      <c r="Z17336" s="258"/>
    </row>
    <row r="17337" spans="1:26" ht="12.75" customHeight="1" x14ac:dyDescent="0.2">
      <c r="A17337" s="258"/>
      <c r="Z17337" s="258"/>
    </row>
    <row r="17338" spans="1:26" ht="12.75" customHeight="1" x14ac:dyDescent="0.2">
      <c r="A17338" s="258"/>
      <c r="Z17338" s="258"/>
    </row>
    <row r="17339" spans="1:26" ht="12.75" customHeight="1" x14ac:dyDescent="0.2">
      <c r="A17339" s="258"/>
      <c r="Z17339" s="258"/>
    </row>
    <row r="17340" spans="1:26" ht="12.75" customHeight="1" x14ac:dyDescent="0.2">
      <c r="A17340" s="258"/>
      <c r="Z17340" s="258"/>
    </row>
    <row r="17341" spans="1:26" ht="12.75" customHeight="1" x14ac:dyDescent="0.2">
      <c r="A17341" s="258"/>
      <c r="Z17341" s="258"/>
    </row>
    <row r="17342" spans="1:26" ht="12.75" customHeight="1" x14ac:dyDescent="0.2">
      <c r="A17342" s="258"/>
      <c r="Z17342" s="258"/>
    </row>
    <row r="17343" spans="1:26" ht="12.75" customHeight="1" x14ac:dyDescent="0.2">
      <c r="A17343" s="258"/>
      <c r="Z17343" s="258"/>
    </row>
    <row r="17344" spans="1:26" ht="12.75" customHeight="1" x14ac:dyDescent="0.2">
      <c r="A17344" s="258"/>
      <c r="Z17344" s="258"/>
    </row>
    <row r="17345" spans="1:26" ht="12.75" customHeight="1" x14ac:dyDescent="0.2">
      <c r="A17345" s="258"/>
      <c r="Z17345" s="258"/>
    </row>
    <row r="17346" spans="1:26" ht="12.75" customHeight="1" x14ac:dyDescent="0.2">
      <c r="A17346" s="258"/>
      <c r="Z17346" s="258"/>
    </row>
    <row r="17347" spans="1:26" ht="12.75" customHeight="1" x14ac:dyDescent="0.2">
      <c r="A17347" s="258"/>
      <c r="Z17347" s="258"/>
    </row>
    <row r="17348" spans="1:26" ht="12.75" customHeight="1" x14ac:dyDescent="0.2">
      <c r="A17348" s="258"/>
      <c r="Z17348" s="258"/>
    </row>
    <row r="17349" spans="1:26" ht="12.75" customHeight="1" x14ac:dyDescent="0.2">
      <c r="A17349" s="258"/>
      <c r="Z17349" s="258"/>
    </row>
    <row r="17350" spans="1:26" ht="12.75" customHeight="1" x14ac:dyDescent="0.2">
      <c r="A17350" s="258"/>
      <c r="Z17350" s="258"/>
    </row>
    <row r="17351" spans="1:26" ht="12.75" customHeight="1" x14ac:dyDescent="0.2">
      <c r="A17351" s="258"/>
      <c r="Z17351" s="258"/>
    </row>
    <row r="17352" spans="1:26" ht="12.75" customHeight="1" x14ac:dyDescent="0.2">
      <c r="A17352" s="258"/>
      <c r="Z17352" s="258"/>
    </row>
    <row r="17353" spans="1:26" ht="12.75" customHeight="1" x14ac:dyDescent="0.2">
      <c r="A17353" s="258"/>
      <c r="Z17353" s="258"/>
    </row>
    <row r="17354" spans="1:26" ht="12.75" customHeight="1" x14ac:dyDescent="0.2">
      <c r="A17354" s="258"/>
      <c r="Z17354" s="258"/>
    </row>
    <row r="17355" spans="1:26" ht="12.75" customHeight="1" x14ac:dyDescent="0.2">
      <c r="A17355" s="258"/>
      <c r="Z17355" s="258"/>
    </row>
    <row r="17356" spans="1:26" ht="12.75" customHeight="1" x14ac:dyDescent="0.2">
      <c r="A17356" s="258"/>
      <c r="Z17356" s="258"/>
    </row>
    <row r="17357" spans="1:26" ht="12.75" customHeight="1" x14ac:dyDescent="0.2">
      <c r="A17357" s="258"/>
      <c r="Z17357" s="258"/>
    </row>
    <row r="17358" spans="1:26" ht="12.75" customHeight="1" x14ac:dyDescent="0.2">
      <c r="A17358" s="258"/>
      <c r="Z17358" s="258"/>
    </row>
    <row r="17359" spans="1:26" ht="12.75" customHeight="1" x14ac:dyDescent="0.2">
      <c r="A17359" s="258"/>
      <c r="Z17359" s="258"/>
    </row>
    <row r="17360" spans="1:26" ht="12.75" customHeight="1" x14ac:dyDescent="0.2">
      <c r="A17360" s="258"/>
      <c r="Z17360" s="258"/>
    </row>
    <row r="17361" spans="1:26" ht="12.75" customHeight="1" x14ac:dyDescent="0.2">
      <c r="A17361" s="258"/>
      <c r="Z17361" s="258"/>
    </row>
    <row r="17362" spans="1:26" ht="12.75" customHeight="1" x14ac:dyDescent="0.2">
      <c r="A17362" s="258"/>
      <c r="Z17362" s="258"/>
    </row>
    <row r="17363" spans="1:26" ht="12.75" customHeight="1" x14ac:dyDescent="0.2">
      <c r="A17363" s="258"/>
      <c r="Z17363" s="258"/>
    </row>
    <row r="17364" spans="1:26" ht="12.75" customHeight="1" x14ac:dyDescent="0.2">
      <c r="A17364" s="258"/>
      <c r="Z17364" s="258"/>
    </row>
    <row r="17365" spans="1:26" ht="12.75" customHeight="1" x14ac:dyDescent="0.2">
      <c r="A17365" s="258"/>
      <c r="Z17365" s="258"/>
    </row>
    <row r="17366" spans="1:26" ht="12.75" customHeight="1" x14ac:dyDescent="0.2">
      <c r="A17366" s="258"/>
      <c r="Z17366" s="258"/>
    </row>
    <row r="17367" spans="1:26" ht="12.75" customHeight="1" x14ac:dyDescent="0.2">
      <c r="A17367" s="258"/>
      <c r="Z17367" s="258"/>
    </row>
    <row r="17368" spans="1:26" ht="12.75" customHeight="1" x14ac:dyDescent="0.2">
      <c r="A17368" s="258"/>
      <c r="Z17368" s="258"/>
    </row>
    <row r="17369" spans="1:26" ht="12.75" customHeight="1" x14ac:dyDescent="0.2">
      <c r="A17369" s="258"/>
      <c r="Z17369" s="258"/>
    </row>
    <row r="17370" spans="1:26" ht="12.75" customHeight="1" x14ac:dyDescent="0.2">
      <c r="A17370" s="258"/>
      <c r="Z17370" s="258"/>
    </row>
    <row r="17371" spans="1:26" ht="12.75" customHeight="1" x14ac:dyDescent="0.2">
      <c r="A17371" s="258"/>
      <c r="Z17371" s="258"/>
    </row>
    <row r="17372" spans="1:26" ht="12.75" customHeight="1" x14ac:dyDescent="0.2">
      <c r="A17372" s="258"/>
      <c r="Z17372" s="258"/>
    </row>
    <row r="17373" spans="1:26" ht="12.75" customHeight="1" x14ac:dyDescent="0.2">
      <c r="A17373" s="258"/>
      <c r="Z17373" s="258"/>
    </row>
    <row r="17374" spans="1:26" ht="12.75" customHeight="1" x14ac:dyDescent="0.2">
      <c r="A17374" s="258"/>
      <c r="Z17374" s="258"/>
    </row>
    <row r="17375" spans="1:26" ht="12.75" customHeight="1" x14ac:dyDescent="0.2">
      <c r="A17375" s="258"/>
      <c r="Z17375" s="258"/>
    </row>
    <row r="17376" spans="1:26" ht="12.75" customHeight="1" x14ac:dyDescent="0.2">
      <c r="A17376" s="258"/>
      <c r="Z17376" s="258"/>
    </row>
    <row r="17377" spans="1:26" ht="12.75" customHeight="1" x14ac:dyDescent="0.2">
      <c r="A17377" s="258"/>
      <c r="Z17377" s="258"/>
    </row>
    <row r="17378" spans="1:26" ht="12.75" customHeight="1" x14ac:dyDescent="0.2">
      <c r="A17378" s="258"/>
      <c r="Z17378" s="258"/>
    </row>
    <row r="17379" spans="1:26" ht="12.75" customHeight="1" x14ac:dyDescent="0.2">
      <c r="A17379" s="258"/>
      <c r="Z17379" s="258"/>
    </row>
    <row r="17380" spans="1:26" ht="12.75" customHeight="1" x14ac:dyDescent="0.2">
      <c r="A17380" s="258"/>
      <c r="Z17380" s="258"/>
    </row>
    <row r="17381" spans="1:26" ht="12.75" customHeight="1" x14ac:dyDescent="0.2">
      <c r="A17381" s="258"/>
      <c r="Z17381" s="258"/>
    </row>
    <row r="17382" spans="1:26" ht="12.75" customHeight="1" x14ac:dyDescent="0.2">
      <c r="A17382" s="258"/>
      <c r="Z17382" s="258"/>
    </row>
    <row r="17383" spans="1:26" ht="12.75" customHeight="1" x14ac:dyDescent="0.2">
      <c r="A17383" s="258"/>
      <c r="Z17383" s="258"/>
    </row>
    <row r="17384" spans="1:26" ht="12.75" customHeight="1" x14ac:dyDescent="0.2">
      <c r="A17384" s="258"/>
      <c r="Z17384" s="258"/>
    </row>
    <row r="17385" spans="1:26" ht="12.75" customHeight="1" x14ac:dyDescent="0.2">
      <c r="A17385" s="258"/>
      <c r="Z17385" s="258"/>
    </row>
    <row r="17386" spans="1:26" ht="12.75" customHeight="1" x14ac:dyDescent="0.2">
      <c r="A17386" s="258"/>
      <c r="Z17386" s="258"/>
    </row>
    <row r="17387" spans="1:26" ht="12.75" customHeight="1" x14ac:dyDescent="0.2">
      <c r="A17387" s="258"/>
      <c r="Z17387" s="258"/>
    </row>
    <row r="17388" spans="1:26" ht="12.75" customHeight="1" x14ac:dyDescent="0.2">
      <c r="A17388" s="258"/>
      <c r="Z17388" s="258"/>
    </row>
    <row r="17389" spans="1:26" ht="12.75" customHeight="1" x14ac:dyDescent="0.2">
      <c r="A17389" s="258"/>
      <c r="Z17389" s="258"/>
    </row>
    <row r="17390" spans="1:26" ht="12.75" customHeight="1" x14ac:dyDescent="0.2">
      <c r="A17390" s="258"/>
      <c r="Z17390" s="258"/>
    </row>
    <row r="17391" spans="1:26" ht="12.75" customHeight="1" x14ac:dyDescent="0.2">
      <c r="A17391" s="258"/>
      <c r="Z17391" s="258"/>
    </row>
    <row r="17392" spans="1:26" ht="12.75" customHeight="1" x14ac:dyDescent="0.2">
      <c r="A17392" s="258"/>
      <c r="Z17392" s="258"/>
    </row>
    <row r="17393" spans="1:26" ht="12.75" customHeight="1" x14ac:dyDescent="0.2">
      <c r="A17393" s="258"/>
      <c r="Z17393" s="258"/>
    </row>
    <row r="17394" spans="1:26" ht="12.75" customHeight="1" x14ac:dyDescent="0.2">
      <c r="A17394" s="258"/>
      <c r="Z17394" s="258"/>
    </row>
    <row r="17395" spans="1:26" ht="12.75" customHeight="1" x14ac:dyDescent="0.2">
      <c r="A17395" s="258"/>
      <c r="Z17395" s="258"/>
    </row>
    <row r="17396" spans="1:26" ht="12.75" customHeight="1" x14ac:dyDescent="0.2">
      <c r="A17396" s="258"/>
      <c r="Z17396" s="258"/>
    </row>
    <row r="17397" spans="1:26" ht="12.75" customHeight="1" x14ac:dyDescent="0.2">
      <c r="A17397" s="258"/>
      <c r="Z17397" s="258"/>
    </row>
    <row r="17398" spans="1:26" ht="12.75" customHeight="1" x14ac:dyDescent="0.2">
      <c r="A17398" s="258"/>
      <c r="Z17398" s="258"/>
    </row>
    <row r="17399" spans="1:26" ht="12.75" customHeight="1" x14ac:dyDescent="0.2">
      <c r="A17399" s="258"/>
      <c r="Z17399" s="258"/>
    </row>
    <row r="17400" spans="1:26" ht="12.75" customHeight="1" x14ac:dyDescent="0.2">
      <c r="A17400" s="258"/>
      <c r="Z17400" s="258"/>
    </row>
    <row r="17401" spans="1:26" ht="12.75" customHeight="1" x14ac:dyDescent="0.2">
      <c r="A17401" s="258"/>
      <c r="Z17401" s="258"/>
    </row>
    <row r="17402" spans="1:26" ht="12.75" customHeight="1" x14ac:dyDescent="0.2">
      <c r="A17402" s="258"/>
      <c r="Z17402" s="258"/>
    </row>
    <row r="17403" spans="1:26" ht="12.75" customHeight="1" x14ac:dyDescent="0.2">
      <c r="A17403" s="258"/>
      <c r="Z17403" s="258"/>
    </row>
    <row r="17404" spans="1:26" ht="12.75" customHeight="1" x14ac:dyDescent="0.2">
      <c r="A17404" s="258"/>
      <c r="Z17404" s="258"/>
    </row>
    <row r="17405" spans="1:26" ht="12.75" customHeight="1" x14ac:dyDescent="0.2">
      <c r="A17405" s="258"/>
      <c r="Z17405" s="258"/>
    </row>
    <row r="17406" spans="1:26" ht="12.75" customHeight="1" x14ac:dyDescent="0.2">
      <c r="A17406" s="258"/>
      <c r="Z17406" s="258"/>
    </row>
    <row r="17407" spans="1:26" ht="12.75" customHeight="1" x14ac:dyDescent="0.2">
      <c r="A17407" s="258"/>
      <c r="Z17407" s="258"/>
    </row>
    <row r="17408" spans="1:26" ht="12.75" customHeight="1" x14ac:dyDescent="0.2">
      <c r="A17408" s="258"/>
      <c r="Z17408" s="258"/>
    </row>
    <row r="17409" spans="1:26" ht="12.75" customHeight="1" x14ac:dyDescent="0.2">
      <c r="A17409" s="258"/>
      <c r="Z17409" s="258"/>
    </row>
    <row r="17410" spans="1:26" ht="12.75" customHeight="1" x14ac:dyDescent="0.2">
      <c r="A17410" s="258"/>
      <c r="Z17410" s="258"/>
    </row>
    <row r="17411" spans="1:26" ht="12.75" customHeight="1" x14ac:dyDescent="0.2">
      <c r="A17411" s="258"/>
      <c r="Z17411" s="258"/>
    </row>
    <row r="17412" spans="1:26" ht="12.75" customHeight="1" x14ac:dyDescent="0.2">
      <c r="A17412" s="258"/>
      <c r="Z17412" s="258"/>
    </row>
    <row r="17413" spans="1:26" ht="12.75" customHeight="1" x14ac:dyDescent="0.2">
      <c r="A17413" s="258"/>
      <c r="Z17413" s="258"/>
    </row>
    <row r="17414" spans="1:26" ht="12.75" customHeight="1" x14ac:dyDescent="0.2">
      <c r="A17414" s="258"/>
      <c r="Z17414" s="258"/>
    </row>
    <row r="17415" spans="1:26" ht="12.75" customHeight="1" x14ac:dyDescent="0.2">
      <c r="A17415" s="258"/>
      <c r="Z17415" s="258"/>
    </row>
    <row r="17416" spans="1:26" ht="12.75" customHeight="1" x14ac:dyDescent="0.2">
      <c r="A17416" s="258"/>
      <c r="Z17416" s="258"/>
    </row>
    <row r="17417" spans="1:26" ht="12.75" customHeight="1" x14ac:dyDescent="0.2">
      <c r="A17417" s="258"/>
      <c r="Z17417" s="258"/>
    </row>
    <row r="17418" spans="1:26" ht="12.75" customHeight="1" x14ac:dyDescent="0.2">
      <c r="A17418" s="258"/>
      <c r="Z17418" s="258"/>
    </row>
    <row r="17419" spans="1:26" ht="12.75" customHeight="1" x14ac:dyDescent="0.2">
      <c r="A17419" s="258"/>
      <c r="Z17419" s="258"/>
    </row>
    <row r="17420" spans="1:26" ht="12.75" customHeight="1" x14ac:dyDescent="0.2">
      <c r="A17420" s="258"/>
      <c r="Z17420" s="258"/>
    </row>
    <row r="17421" spans="1:26" ht="12.75" customHeight="1" x14ac:dyDescent="0.2">
      <c r="A17421" s="258"/>
      <c r="Z17421" s="258"/>
    </row>
    <row r="17422" spans="1:26" ht="12.75" customHeight="1" x14ac:dyDescent="0.2">
      <c r="A17422" s="258"/>
      <c r="Z17422" s="258"/>
    </row>
    <row r="17423" spans="1:26" ht="12.75" customHeight="1" x14ac:dyDescent="0.2">
      <c r="A17423" s="258"/>
      <c r="Z17423" s="258"/>
    </row>
    <row r="17424" spans="1:26" ht="12.75" customHeight="1" x14ac:dyDescent="0.2">
      <c r="A17424" s="258"/>
      <c r="Z17424" s="258"/>
    </row>
    <row r="17425" spans="1:26" ht="12.75" customHeight="1" x14ac:dyDescent="0.2">
      <c r="A17425" s="258"/>
      <c r="Z17425" s="258"/>
    </row>
    <row r="17426" spans="1:26" ht="12.75" customHeight="1" x14ac:dyDescent="0.2">
      <c r="A17426" s="258"/>
      <c r="Z17426" s="258"/>
    </row>
    <row r="17427" spans="1:26" ht="12.75" customHeight="1" x14ac:dyDescent="0.2">
      <c r="A17427" s="258"/>
      <c r="Z17427" s="258"/>
    </row>
    <row r="17428" spans="1:26" ht="12.75" customHeight="1" x14ac:dyDescent="0.2">
      <c r="A17428" s="258"/>
      <c r="Z17428" s="258"/>
    </row>
    <row r="17429" spans="1:26" ht="12.75" customHeight="1" x14ac:dyDescent="0.2">
      <c r="A17429" s="258"/>
      <c r="Z17429" s="258"/>
    </row>
    <row r="17430" spans="1:26" ht="12.75" customHeight="1" x14ac:dyDescent="0.2">
      <c r="A17430" s="258"/>
      <c r="Z17430" s="258"/>
    </row>
    <row r="17431" spans="1:26" ht="12.75" customHeight="1" x14ac:dyDescent="0.2">
      <c r="A17431" s="258"/>
      <c r="Z17431" s="258"/>
    </row>
    <row r="17432" spans="1:26" ht="12.75" customHeight="1" x14ac:dyDescent="0.2">
      <c r="A17432" s="258"/>
      <c r="Z17432" s="258"/>
    </row>
    <row r="17433" spans="1:26" ht="12.75" customHeight="1" x14ac:dyDescent="0.2">
      <c r="A17433" s="258"/>
      <c r="Z17433" s="258"/>
    </row>
    <row r="17434" spans="1:26" ht="12.75" customHeight="1" x14ac:dyDescent="0.2">
      <c r="A17434" s="258"/>
      <c r="Z17434" s="258"/>
    </row>
    <row r="17435" spans="1:26" ht="12.75" customHeight="1" x14ac:dyDescent="0.2">
      <c r="A17435" s="258"/>
      <c r="Z17435" s="258"/>
    </row>
    <row r="17436" spans="1:26" ht="12.75" customHeight="1" x14ac:dyDescent="0.2">
      <c r="A17436" s="258"/>
      <c r="Z17436" s="258"/>
    </row>
    <row r="17437" spans="1:26" ht="12.75" customHeight="1" x14ac:dyDescent="0.2">
      <c r="A17437" s="258"/>
      <c r="Z17437" s="258"/>
    </row>
    <row r="17438" spans="1:26" ht="12.75" customHeight="1" x14ac:dyDescent="0.2">
      <c r="A17438" s="258"/>
      <c r="Z17438" s="258"/>
    </row>
    <row r="17439" spans="1:26" ht="12.75" customHeight="1" x14ac:dyDescent="0.2">
      <c r="A17439" s="258"/>
      <c r="Z17439" s="258"/>
    </row>
    <row r="17440" spans="1:26" ht="12.75" customHeight="1" x14ac:dyDescent="0.2">
      <c r="A17440" s="258"/>
      <c r="Z17440" s="258"/>
    </row>
    <row r="17441" spans="1:26" ht="12.75" customHeight="1" x14ac:dyDescent="0.2">
      <c r="A17441" s="258"/>
      <c r="Z17441" s="258"/>
    </row>
    <row r="17442" spans="1:26" ht="12.75" customHeight="1" x14ac:dyDescent="0.2">
      <c r="A17442" s="258"/>
      <c r="Z17442" s="258"/>
    </row>
    <row r="17443" spans="1:26" ht="12.75" customHeight="1" x14ac:dyDescent="0.2">
      <c r="A17443" s="258"/>
      <c r="Z17443" s="258"/>
    </row>
    <row r="17444" spans="1:26" ht="12.75" customHeight="1" x14ac:dyDescent="0.2">
      <c r="A17444" s="258"/>
      <c r="Z17444" s="258"/>
    </row>
    <row r="17445" spans="1:26" ht="12.75" customHeight="1" x14ac:dyDescent="0.2">
      <c r="A17445" s="258"/>
      <c r="Z17445" s="258"/>
    </row>
    <row r="17446" spans="1:26" ht="12.75" customHeight="1" x14ac:dyDescent="0.2">
      <c r="A17446" s="258"/>
      <c r="Z17446" s="258"/>
    </row>
    <row r="17447" spans="1:26" ht="12.75" customHeight="1" x14ac:dyDescent="0.2">
      <c r="A17447" s="258"/>
      <c r="Z17447" s="258"/>
    </row>
    <row r="17448" spans="1:26" ht="12.75" customHeight="1" x14ac:dyDescent="0.2">
      <c r="A17448" s="258"/>
      <c r="Z17448" s="258"/>
    </row>
    <row r="17449" spans="1:26" ht="12.75" customHeight="1" x14ac:dyDescent="0.2">
      <c r="A17449" s="258"/>
      <c r="Z17449" s="258"/>
    </row>
    <row r="17450" spans="1:26" ht="12.75" customHeight="1" x14ac:dyDescent="0.2">
      <c r="A17450" s="258"/>
      <c r="Z17450" s="258"/>
    </row>
    <row r="17451" spans="1:26" ht="12.75" customHeight="1" x14ac:dyDescent="0.2">
      <c r="A17451" s="258"/>
      <c r="Z17451" s="258"/>
    </row>
    <row r="17452" spans="1:26" ht="12.75" customHeight="1" x14ac:dyDescent="0.2">
      <c r="A17452" s="258"/>
      <c r="Z17452" s="258"/>
    </row>
    <row r="17453" spans="1:26" ht="12.75" customHeight="1" x14ac:dyDescent="0.2">
      <c r="A17453" s="258"/>
      <c r="Z17453" s="258"/>
    </row>
    <row r="17454" spans="1:26" ht="12.75" customHeight="1" x14ac:dyDescent="0.2">
      <c r="A17454" s="258"/>
      <c r="Z17454" s="258"/>
    </row>
    <row r="17455" spans="1:26" ht="12.75" customHeight="1" x14ac:dyDescent="0.2">
      <c r="A17455" s="258"/>
      <c r="Z17455" s="258"/>
    </row>
    <row r="17456" spans="1:26" ht="12.75" customHeight="1" x14ac:dyDescent="0.2">
      <c r="A17456" s="258"/>
      <c r="Z17456" s="258"/>
    </row>
    <row r="17457" spans="1:26" ht="12.75" customHeight="1" x14ac:dyDescent="0.2">
      <c r="A17457" s="258"/>
      <c r="Z17457" s="258"/>
    </row>
    <row r="17458" spans="1:26" ht="12.75" customHeight="1" x14ac:dyDescent="0.2">
      <c r="A17458" s="258"/>
      <c r="Z17458" s="258"/>
    </row>
    <row r="17459" spans="1:26" ht="12.75" customHeight="1" x14ac:dyDescent="0.2">
      <c r="A17459" s="258"/>
      <c r="Z17459" s="258"/>
    </row>
    <row r="17460" spans="1:26" ht="12.75" customHeight="1" x14ac:dyDescent="0.2">
      <c r="A17460" s="258"/>
      <c r="Z17460" s="258"/>
    </row>
    <row r="17461" spans="1:26" ht="12.75" customHeight="1" x14ac:dyDescent="0.2">
      <c r="A17461" s="258"/>
      <c r="Z17461" s="258"/>
    </row>
    <row r="17462" spans="1:26" ht="12.75" customHeight="1" x14ac:dyDescent="0.2">
      <c r="A17462" s="258"/>
      <c r="Z17462" s="258"/>
    </row>
    <row r="17463" spans="1:26" ht="12.75" customHeight="1" x14ac:dyDescent="0.2">
      <c r="A17463" s="258"/>
      <c r="Z17463" s="258"/>
    </row>
    <row r="17464" spans="1:26" ht="12.75" customHeight="1" x14ac:dyDescent="0.2">
      <c r="A17464" s="258"/>
      <c r="Z17464" s="258"/>
    </row>
    <row r="17465" spans="1:26" ht="12.75" customHeight="1" x14ac:dyDescent="0.2">
      <c r="A17465" s="258"/>
      <c r="Z17465" s="258"/>
    </row>
    <row r="17466" spans="1:26" ht="12.75" customHeight="1" x14ac:dyDescent="0.2">
      <c r="A17466" s="258"/>
      <c r="Z17466" s="258"/>
    </row>
    <row r="17467" spans="1:26" ht="12.75" customHeight="1" x14ac:dyDescent="0.2">
      <c r="A17467" s="258"/>
      <c r="Z17467" s="258"/>
    </row>
    <row r="17468" spans="1:26" ht="12.75" customHeight="1" x14ac:dyDescent="0.2">
      <c r="A17468" s="258"/>
      <c r="Z17468" s="258"/>
    </row>
    <row r="17469" spans="1:26" ht="12.75" customHeight="1" x14ac:dyDescent="0.2">
      <c r="A17469" s="258"/>
      <c r="Z17469" s="258"/>
    </row>
    <row r="17470" spans="1:26" ht="12.75" customHeight="1" x14ac:dyDescent="0.2">
      <c r="A17470" s="258"/>
      <c r="Z17470" s="258"/>
    </row>
    <row r="17471" spans="1:26" ht="12.75" customHeight="1" x14ac:dyDescent="0.2">
      <c r="A17471" s="258"/>
      <c r="Z17471" s="258"/>
    </row>
    <row r="17472" spans="1:26" ht="12.75" customHeight="1" x14ac:dyDescent="0.2">
      <c r="A17472" s="258"/>
      <c r="Z17472" s="258"/>
    </row>
    <row r="17473" spans="1:26" ht="12.75" customHeight="1" x14ac:dyDescent="0.2">
      <c r="A17473" s="258"/>
      <c r="Z17473" s="258"/>
    </row>
    <row r="17474" spans="1:26" ht="12.75" customHeight="1" x14ac:dyDescent="0.2">
      <c r="A17474" s="258"/>
      <c r="Z17474" s="258"/>
    </row>
    <row r="17475" spans="1:26" ht="12.75" customHeight="1" x14ac:dyDescent="0.2">
      <c r="A17475" s="258"/>
      <c r="Z17475" s="258"/>
    </row>
    <row r="17476" spans="1:26" ht="12.75" customHeight="1" x14ac:dyDescent="0.2">
      <c r="A17476" s="258"/>
      <c r="Z17476" s="258"/>
    </row>
    <row r="17477" spans="1:26" ht="12.75" customHeight="1" x14ac:dyDescent="0.2">
      <c r="A17477" s="258"/>
      <c r="Z17477" s="258"/>
    </row>
    <row r="17478" spans="1:26" ht="12.75" customHeight="1" x14ac:dyDescent="0.2">
      <c r="A17478" s="258"/>
      <c r="Z17478" s="258"/>
    </row>
    <row r="17479" spans="1:26" ht="12.75" customHeight="1" x14ac:dyDescent="0.2">
      <c r="A17479" s="258"/>
      <c r="Z17479" s="258"/>
    </row>
    <row r="17480" spans="1:26" ht="12.75" customHeight="1" x14ac:dyDescent="0.2">
      <c r="A17480" s="258"/>
      <c r="Z17480" s="258"/>
    </row>
    <row r="17481" spans="1:26" ht="12.75" customHeight="1" x14ac:dyDescent="0.2">
      <c r="A17481" s="258"/>
      <c r="Z17481" s="258"/>
    </row>
    <row r="17482" spans="1:26" ht="12.75" customHeight="1" x14ac:dyDescent="0.2">
      <c r="A17482" s="258"/>
      <c r="Z17482" s="258"/>
    </row>
    <row r="17483" spans="1:26" ht="12.75" customHeight="1" x14ac:dyDescent="0.2">
      <c r="A17483" s="258"/>
      <c r="Z17483" s="258"/>
    </row>
    <row r="17484" spans="1:26" ht="12.75" customHeight="1" x14ac:dyDescent="0.2">
      <c r="A17484" s="258"/>
      <c r="Z17484" s="258"/>
    </row>
    <row r="17485" spans="1:26" ht="12.75" customHeight="1" x14ac:dyDescent="0.2">
      <c r="A17485" s="258"/>
      <c r="Z17485" s="258"/>
    </row>
    <row r="17486" spans="1:26" ht="12.75" customHeight="1" x14ac:dyDescent="0.2">
      <c r="A17486" s="258"/>
      <c r="Z17486" s="258"/>
    </row>
    <row r="17487" spans="1:26" ht="12.75" customHeight="1" x14ac:dyDescent="0.2">
      <c r="A17487" s="258"/>
      <c r="Z17487" s="258"/>
    </row>
    <row r="17488" spans="1:26" ht="12.75" customHeight="1" x14ac:dyDescent="0.2">
      <c r="A17488" s="258"/>
      <c r="Z17488" s="258"/>
    </row>
    <row r="17489" spans="1:26" ht="12.75" customHeight="1" x14ac:dyDescent="0.2">
      <c r="A17489" s="258"/>
      <c r="Z17489" s="258"/>
    </row>
    <row r="17490" spans="1:26" ht="12.75" customHeight="1" x14ac:dyDescent="0.2">
      <c r="A17490" s="258"/>
      <c r="Z17490" s="258"/>
    </row>
    <row r="17491" spans="1:26" ht="12.75" customHeight="1" x14ac:dyDescent="0.2">
      <c r="A17491" s="258"/>
      <c r="Z17491" s="258"/>
    </row>
    <row r="17492" spans="1:26" ht="12.75" customHeight="1" x14ac:dyDescent="0.2">
      <c r="A17492" s="258"/>
      <c r="Z17492" s="258"/>
    </row>
    <row r="17493" spans="1:26" ht="12.75" customHeight="1" x14ac:dyDescent="0.2">
      <c r="A17493" s="258"/>
      <c r="Z17493" s="258"/>
    </row>
    <row r="17494" spans="1:26" ht="12.75" customHeight="1" x14ac:dyDescent="0.2">
      <c r="A17494" s="258"/>
      <c r="Z17494" s="258"/>
    </row>
    <row r="17495" spans="1:26" ht="12.75" customHeight="1" x14ac:dyDescent="0.2">
      <c r="A17495" s="258"/>
      <c r="Z17495" s="258"/>
    </row>
    <row r="17496" spans="1:26" ht="12.75" customHeight="1" x14ac:dyDescent="0.2">
      <c r="A17496" s="258"/>
      <c r="Z17496" s="258"/>
    </row>
    <row r="17497" spans="1:26" ht="12.75" customHeight="1" x14ac:dyDescent="0.2">
      <c r="A17497" s="258"/>
      <c r="Z17497" s="258"/>
    </row>
    <row r="17498" spans="1:26" ht="12.75" customHeight="1" x14ac:dyDescent="0.2">
      <c r="A17498" s="258"/>
      <c r="Z17498" s="258"/>
    </row>
    <row r="17499" spans="1:26" ht="12.75" customHeight="1" x14ac:dyDescent="0.2">
      <c r="A17499" s="258"/>
      <c r="Z17499" s="258"/>
    </row>
    <row r="17500" spans="1:26" ht="12.75" customHeight="1" x14ac:dyDescent="0.2">
      <c r="A17500" s="258"/>
      <c r="Z17500" s="258"/>
    </row>
    <row r="17501" spans="1:26" ht="12.75" customHeight="1" x14ac:dyDescent="0.2">
      <c r="A17501" s="258"/>
      <c r="Z17501" s="258"/>
    </row>
    <row r="17502" spans="1:26" ht="12.75" customHeight="1" x14ac:dyDescent="0.2">
      <c r="A17502" s="258"/>
      <c r="Z17502" s="258"/>
    </row>
    <row r="17503" spans="1:26" ht="12.75" customHeight="1" x14ac:dyDescent="0.2">
      <c r="A17503" s="258"/>
      <c r="Z17503" s="258"/>
    </row>
    <row r="17504" spans="1:26" ht="12.75" customHeight="1" x14ac:dyDescent="0.2">
      <c r="A17504" s="258"/>
      <c r="Z17504" s="258"/>
    </row>
    <row r="17505" spans="1:26" ht="12.75" customHeight="1" x14ac:dyDescent="0.2">
      <c r="A17505" s="258"/>
      <c r="Z17505" s="258"/>
    </row>
    <row r="17506" spans="1:26" ht="12.75" customHeight="1" x14ac:dyDescent="0.2">
      <c r="A17506" s="258"/>
      <c r="Z17506" s="258"/>
    </row>
    <row r="17507" spans="1:26" ht="12.75" customHeight="1" x14ac:dyDescent="0.2">
      <c r="A17507" s="258"/>
      <c r="Z17507" s="258"/>
    </row>
    <row r="17508" spans="1:26" ht="12.75" customHeight="1" x14ac:dyDescent="0.2">
      <c r="A17508" s="258"/>
      <c r="Z17508" s="258"/>
    </row>
    <row r="17509" spans="1:26" ht="12.75" customHeight="1" x14ac:dyDescent="0.2">
      <c r="A17509" s="258"/>
      <c r="Z17509" s="258"/>
    </row>
    <row r="17510" spans="1:26" ht="12.75" customHeight="1" x14ac:dyDescent="0.2">
      <c r="A17510" s="258"/>
      <c r="Z17510" s="258"/>
    </row>
    <row r="17511" spans="1:26" ht="12.75" customHeight="1" x14ac:dyDescent="0.2">
      <c r="A17511" s="258"/>
      <c r="Z17511" s="258"/>
    </row>
    <row r="17512" spans="1:26" ht="12.75" customHeight="1" x14ac:dyDescent="0.2">
      <c r="A17512" s="258"/>
      <c r="Z17512" s="258"/>
    </row>
    <row r="17513" spans="1:26" ht="12.75" customHeight="1" x14ac:dyDescent="0.2">
      <c r="A17513" s="258"/>
      <c r="Z17513" s="258"/>
    </row>
    <row r="17514" spans="1:26" ht="12.75" customHeight="1" x14ac:dyDescent="0.2">
      <c r="A17514" s="258"/>
      <c r="Z17514" s="258"/>
    </row>
    <row r="17515" spans="1:26" ht="12.75" customHeight="1" x14ac:dyDescent="0.2">
      <c r="A17515" s="258"/>
      <c r="Z17515" s="258"/>
    </row>
    <row r="17516" spans="1:26" ht="12.75" customHeight="1" x14ac:dyDescent="0.2">
      <c r="A17516" s="258"/>
      <c r="Z17516" s="258"/>
    </row>
    <row r="17517" spans="1:26" ht="12.75" customHeight="1" x14ac:dyDescent="0.2">
      <c r="A17517" s="258"/>
      <c r="Z17517" s="258"/>
    </row>
    <row r="17518" spans="1:26" ht="12.75" customHeight="1" x14ac:dyDescent="0.2">
      <c r="A17518" s="258"/>
      <c r="Z17518" s="258"/>
    </row>
    <row r="17519" spans="1:26" ht="12.75" customHeight="1" x14ac:dyDescent="0.2">
      <c r="A17519" s="258"/>
      <c r="Z17519" s="258"/>
    </row>
    <row r="17520" spans="1:26" ht="12.75" customHeight="1" x14ac:dyDescent="0.2">
      <c r="A17520" s="258"/>
      <c r="Z17520" s="258"/>
    </row>
    <row r="17521" spans="1:26" ht="12.75" customHeight="1" x14ac:dyDescent="0.2">
      <c r="A17521" s="258"/>
      <c r="Z17521" s="258"/>
    </row>
    <row r="17522" spans="1:26" ht="12.75" customHeight="1" x14ac:dyDescent="0.2">
      <c r="A17522" s="258"/>
      <c r="Z17522" s="258"/>
    </row>
    <row r="17523" spans="1:26" ht="12.75" customHeight="1" x14ac:dyDescent="0.2">
      <c r="A17523" s="258"/>
      <c r="Z17523" s="258"/>
    </row>
    <row r="17524" spans="1:26" ht="12.75" customHeight="1" x14ac:dyDescent="0.2">
      <c r="A17524" s="258"/>
      <c r="Z17524" s="258"/>
    </row>
    <row r="17525" spans="1:26" ht="12.75" customHeight="1" x14ac:dyDescent="0.2">
      <c r="A17525" s="258"/>
      <c r="Z17525" s="258"/>
    </row>
    <row r="17526" spans="1:26" ht="12.75" customHeight="1" x14ac:dyDescent="0.2">
      <c r="A17526" s="258"/>
      <c r="Z17526" s="258"/>
    </row>
    <row r="17527" spans="1:26" ht="12.75" customHeight="1" x14ac:dyDescent="0.2">
      <c r="A17527" s="258"/>
      <c r="Z17527" s="258"/>
    </row>
    <row r="17528" spans="1:26" ht="12.75" customHeight="1" x14ac:dyDescent="0.2">
      <c r="A17528" s="258"/>
      <c r="Z17528" s="258"/>
    </row>
    <row r="17529" spans="1:26" ht="12.75" customHeight="1" x14ac:dyDescent="0.2">
      <c r="A17529" s="258"/>
      <c r="Z17529" s="258"/>
    </row>
    <row r="17530" spans="1:26" ht="12.75" customHeight="1" x14ac:dyDescent="0.2">
      <c r="A17530" s="258"/>
      <c r="Z17530" s="258"/>
    </row>
    <row r="17531" spans="1:26" ht="12.75" customHeight="1" x14ac:dyDescent="0.2">
      <c r="A17531" s="258"/>
      <c r="Z17531" s="258"/>
    </row>
    <row r="17532" spans="1:26" ht="12.75" customHeight="1" x14ac:dyDescent="0.2">
      <c r="A17532" s="258"/>
      <c r="Z17532" s="258"/>
    </row>
    <row r="17533" spans="1:26" ht="12.75" customHeight="1" x14ac:dyDescent="0.2">
      <c r="A17533" s="258"/>
      <c r="Z17533" s="258"/>
    </row>
    <row r="17534" spans="1:26" ht="12.75" customHeight="1" x14ac:dyDescent="0.2">
      <c r="A17534" s="258"/>
      <c r="Z17534" s="258"/>
    </row>
    <row r="17535" spans="1:26" ht="12.75" customHeight="1" x14ac:dyDescent="0.2">
      <c r="A17535" s="258"/>
      <c r="Z17535" s="258"/>
    </row>
    <row r="17536" spans="1:26" ht="12.75" customHeight="1" x14ac:dyDescent="0.2">
      <c r="A17536" s="258"/>
      <c r="Z17536" s="258"/>
    </row>
    <row r="17537" spans="1:26" ht="12.75" customHeight="1" x14ac:dyDescent="0.2">
      <c r="A17537" s="258"/>
      <c r="Z17537" s="258"/>
    </row>
    <row r="17538" spans="1:26" ht="12.75" customHeight="1" x14ac:dyDescent="0.2">
      <c r="A17538" s="258"/>
      <c r="Z17538" s="258"/>
    </row>
    <row r="17539" spans="1:26" ht="12.75" customHeight="1" x14ac:dyDescent="0.2">
      <c r="A17539" s="258"/>
      <c r="Z17539" s="258"/>
    </row>
    <row r="17540" spans="1:26" ht="12.75" customHeight="1" x14ac:dyDescent="0.2">
      <c r="A17540" s="258"/>
      <c r="Z17540" s="258"/>
    </row>
    <row r="17541" spans="1:26" ht="12.75" customHeight="1" x14ac:dyDescent="0.2">
      <c r="A17541" s="258"/>
      <c r="Z17541" s="258"/>
    </row>
    <row r="17542" spans="1:26" ht="12.75" customHeight="1" x14ac:dyDescent="0.2">
      <c r="A17542" s="258"/>
      <c r="Z17542" s="258"/>
    </row>
    <row r="17543" spans="1:26" ht="12.75" customHeight="1" x14ac:dyDescent="0.2">
      <c r="A17543" s="258"/>
      <c r="Z17543" s="258"/>
    </row>
    <row r="17544" spans="1:26" ht="12.75" customHeight="1" x14ac:dyDescent="0.2">
      <c r="A17544" s="258"/>
      <c r="Z17544" s="258"/>
    </row>
    <row r="17545" spans="1:26" ht="12.75" customHeight="1" x14ac:dyDescent="0.2">
      <c r="A17545" s="258"/>
      <c r="Z17545" s="258"/>
    </row>
    <row r="17546" spans="1:26" ht="12.75" customHeight="1" x14ac:dyDescent="0.2">
      <c r="A17546" s="258"/>
      <c r="Z17546" s="258"/>
    </row>
    <row r="17547" spans="1:26" ht="12.75" customHeight="1" x14ac:dyDescent="0.2">
      <c r="A17547" s="258"/>
      <c r="Z17547" s="258"/>
    </row>
    <row r="17548" spans="1:26" ht="12.75" customHeight="1" x14ac:dyDescent="0.2">
      <c r="A17548" s="258"/>
      <c r="Z17548" s="258"/>
    </row>
    <row r="17549" spans="1:26" ht="12.75" customHeight="1" x14ac:dyDescent="0.2">
      <c r="A17549" s="258"/>
      <c r="Z17549" s="258"/>
    </row>
    <row r="17550" spans="1:26" ht="12.75" customHeight="1" x14ac:dyDescent="0.2">
      <c r="A17550" s="258"/>
      <c r="Z17550" s="258"/>
    </row>
    <row r="17551" spans="1:26" ht="12.75" customHeight="1" x14ac:dyDescent="0.2">
      <c r="A17551" s="258"/>
      <c r="Z17551" s="258"/>
    </row>
    <row r="17552" spans="1:26" ht="12.75" customHeight="1" x14ac:dyDescent="0.2">
      <c r="A17552" s="258"/>
      <c r="Z17552" s="258"/>
    </row>
    <row r="17553" spans="1:26" ht="12.75" customHeight="1" x14ac:dyDescent="0.2">
      <c r="A17553" s="258"/>
      <c r="Z17553" s="258"/>
    </row>
    <row r="17554" spans="1:26" ht="12.75" customHeight="1" x14ac:dyDescent="0.2">
      <c r="A17554" s="258"/>
      <c r="Z17554" s="258"/>
    </row>
    <row r="17555" spans="1:26" ht="12.75" customHeight="1" x14ac:dyDescent="0.2">
      <c r="A17555" s="258"/>
      <c r="Z17555" s="258"/>
    </row>
    <row r="17556" spans="1:26" ht="12.75" customHeight="1" x14ac:dyDescent="0.2">
      <c r="A17556" s="258"/>
      <c r="Z17556" s="258"/>
    </row>
    <row r="17557" spans="1:26" ht="12.75" customHeight="1" x14ac:dyDescent="0.2">
      <c r="A17557" s="258"/>
      <c r="Z17557" s="258"/>
    </row>
    <row r="17558" spans="1:26" ht="12.75" customHeight="1" x14ac:dyDescent="0.2">
      <c r="A17558" s="258"/>
      <c r="Z17558" s="258"/>
    </row>
    <row r="17559" spans="1:26" ht="12.75" customHeight="1" x14ac:dyDescent="0.2">
      <c r="A17559" s="258"/>
      <c r="Z17559" s="258"/>
    </row>
    <row r="17560" spans="1:26" ht="12.75" customHeight="1" x14ac:dyDescent="0.2">
      <c r="A17560" s="258"/>
      <c r="Z17560" s="258"/>
    </row>
    <row r="17561" spans="1:26" ht="12.75" customHeight="1" x14ac:dyDescent="0.2">
      <c r="A17561" s="258"/>
      <c r="Z17561" s="258"/>
    </row>
    <row r="17562" spans="1:26" ht="12.75" customHeight="1" x14ac:dyDescent="0.2">
      <c r="A17562" s="258"/>
      <c r="Z17562" s="258"/>
    </row>
    <row r="17563" spans="1:26" ht="12.75" customHeight="1" x14ac:dyDescent="0.2">
      <c r="A17563" s="258"/>
      <c r="Z17563" s="258"/>
    </row>
    <row r="17564" spans="1:26" ht="12.75" customHeight="1" x14ac:dyDescent="0.2">
      <c r="A17564" s="258"/>
      <c r="Z17564" s="258"/>
    </row>
    <row r="17565" spans="1:26" ht="12.75" customHeight="1" x14ac:dyDescent="0.2">
      <c r="A17565" s="258"/>
      <c r="Z17565" s="258"/>
    </row>
    <row r="17566" spans="1:26" ht="12.75" customHeight="1" x14ac:dyDescent="0.2">
      <c r="A17566" s="258"/>
      <c r="Z17566" s="258"/>
    </row>
    <row r="17567" spans="1:26" ht="12.75" customHeight="1" x14ac:dyDescent="0.2">
      <c r="A17567" s="258"/>
      <c r="Z17567" s="258"/>
    </row>
    <row r="17568" spans="1:26" ht="12.75" customHeight="1" x14ac:dyDescent="0.2">
      <c r="A17568" s="258"/>
      <c r="Z17568" s="258"/>
    </row>
    <row r="17569" spans="1:26" ht="12.75" customHeight="1" x14ac:dyDescent="0.2">
      <c r="A17569" s="258"/>
      <c r="Z17569" s="258"/>
    </row>
    <row r="17570" spans="1:26" ht="12.75" customHeight="1" x14ac:dyDescent="0.2">
      <c r="A17570" s="258"/>
      <c r="Z17570" s="258"/>
    </row>
    <row r="17571" spans="1:26" ht="12.75" customHeight="1" x14ac:dyDescent="0.2">
      <c r="A17571" s="258"/>
      <c r="Z17571" s="258"/>
    </row>
    <row r="17572" spans="1:26" ht="12.75" customHeight="1" x14ac:dyDescent="0.2">
      <c r="A17572" s="258"/>
      <c r="Z17572" s="258"/>
    </row>
    <row r="17573" spans="1:26" ht="12.75" customHeight="1" x14ac:dyDescent="0.2">
      <c r="A17573" s="258"/>
      <c r="Z17573" s="258"/>
    </row>
    <row r="17574" spans="1:26" ht="12.75" customHeight="1" x14ac:dyDescent="0.2">
      <c r="A17574" s="258"/>
      <c r="Z17574" s="258"/>
    </row>
    <row r="17575" spans="1:26" ht="12.75" customHeight="1" x14ac:dyDescent="0.2">
      <c r="A17575" s="258"/>
      <c r="Z17575" s="258"/>
    </row>
    <row r="17576" spans="1:26" ht="12.75" customHeight="1" x14ac:dyDescent="0.2">
      <c r="A17576" s="258"/>
      <c r="Z17576" s="258"/>
    </row>
    <row r="17577" spans="1:26" ht="12.75" customHeight="1" x14ac:dyDescent="0.2">
      <c r="A17577" s="258"/>
      <c r="Z17577" s="258"/>
    </row>
    <row r="17578" spans="1:26" ht="12.75" customHeight="1" x14ac:dyDescent="0.2">
      <c r="A17578" s="258"/>
      <c r="Z17578" s="258"/>
    </row>
    <row r="17579" spans="1:26" ht="12.75" customHeight="1" x14ac:dyDescent="0.2">
      <c r="A17579" s="258"/>
      <c r="Z17579" s="258"/>
    </row>
    <row r="17580" spans="1:26" ht="12.75" customHeight="1" x14ac:dyDescent="0.2">
      <c r="A17580" s="258"/>
      <c r="Z17580" s="258"/>
    </row>
    <row r="17581" spans="1:26" ht="12.75" customHeight="1" x14ac:dyDescent="0.2">
      <c r="A17581" s="258"/>
      <c r="Z17581" s="258"/>
    </row>
    <row r="17582" spans="1:26" ht="12.75" customHeight="1" x14ac:dyDescent="0.2">
      <c r="A17582" s="258"/>
      <c r="Z17582" s="258"/>
    </row>
    <row r="17583" spans="1:26" ht="12.75" customHeight="1" x14ac:dyDescent="0.2">
      <c r="A17583" s="258"/>
      <c r="Z17583" s="258"/>
    </row>
    <row r="17584" spans="1:26" ht="12.75" customHeight="1" x14ac:dyDescent="0.2">
      <c r="A17584" s="258"/>
      <c r="Z17584" s="258"/>
    </row>
    <row r="17585" spans="1:26" ht="12.75" customHeight="1" x14ac:dyDescent="0.2">
      <c r="A17585" s="258"/>
      <c r="Z17585" s="258"/>
    </row>
    <row r="17586" spans="1:26" ht="12.75" customHeight="1" x14ac:dyDescent="0.2">
      <c r="A17586" s="258"/>
      <c r="Z17586" s="258"/>
    </row>
    <row r="17587" spans="1:26" ht="12.75" customHeight="1" x14ac:dyDescent="0.2">
      <c r="A17587" s="258"/>
      <c r="Z17587" s="258"/>
    </row>
    <row r="17588" spans="1:26" ht="12.75" customHeight="1" x14ac:dyDescent="0.2">
      <c r="A17588" s="258"/>
      <c r="Z17588" s="258"/>
    </row>
    <row r="17589" spans="1:26" ht="12.75" customHeight="1" x14ac:dyDescent="0.2">
      <c r="A17589" s="258"/>
      <c r="Z17589" s="258"/>
    </row>
    <row r="17590" spans="1:26" ht="12.75" customHeight="1" x14ac:dyDescent="0.2">
      <c r="A17590" s="258"/>
      <c r="Z17590" s="258"/>
    </row>
    <row r="17591" spans="1:26" ht="12.75" customHeight="1" x14ac:dyDescent="0.2">
      <c r="A17591" s="258"/>
      <c r="Z17591" s="258"/>
    </row>
    <row r="17592" spans="1:26" ht="12.75" customHeight="1" x14ac:dyDescent="0.2">
      <c r="A17592" s="258"/>
      <c r="Z17592" s="258"/>
    </row>
    <row r="17593" spans="1:26" ht="12.75" customHeight="1" x14ac:dyDescent="0.2">
      <c r="A17593" s="258"/>
      <c r="Z17593" s="258"/>
    </row>
    <row r="17594" spans="1:26" ht="12.75" customHeight="1" x14ac:dyDescent="0.2">
      <c r="A17594" s="258"/>
      <c r="Z17594" s="258"/>
    </row>
    <row r="17595" spans="1:26" ht="12.75" customHeight="1" x14ac:dyDescent="0.2">
      <c r="A17595" s="258"/>
      <c r="Z17595" s="258"/>
    </row>
    <row r="17596" spans="1:26" ht="12.75" customHeight="1" x14ac:dyDescent="0.2">
      <c r="A17596" s="258"/>
      <c r="Z17596" s="258"/>
    </row>
    <row r="17597" spans="1:26" ht="12.75" customHeight="1" x14ac:dyDescent="0.2">
      <c r="A17597" s="258"/>
      <c r="Z17597" s="258"/>
    </row>
    <row r="17598" spans="1:26" ht="12.75" customHeight="1" x14ac:dyDescent="0.2">
      <c r="A17598" s="258"/>
      <c r="Z17598" s="258"/>
    </row>
    <row r="17599" spans="1:26" ht="12.75" customHeight="1" x14ac:dyDescent="0.2">
      <c r="A17599" s="258"/>
      <c r="Z17599" s="258"/>
    </row>
    <row r="17600" spans="1:26" ht="12.75" customHeight="1" x14ac:dyDescent="0.2">
      <c r="A17600" s="258"/>
      <c r="Z17600" s="258"/>
    </row>
    <row r="17601" spans="1:26" ht="12.75" customHeight="1" x14ac:dyDescent="0.2">
      <c r="A17601" s="258"/>
      <c r="Z17601" s="258"/>
    </row>
    <row r="17602" spans="1:26" ht="12.75" customHeight="1" x14ac:dyDescent="0.2">
      <c r="A17602" s="258"/>
      <c r="Z17602" s="258"/>
    </row>
    <row r="17603" spans="1:26" ht="12.75" customHeight="1" x14ac:dyDescent="0.2">
      <c r="A17603" s="258"/>
      <c r="Z17603" s="258"/>
    </row>
    <row r="17604" spans="1:26" ht="12.75" customHeight="1" x14ac:dyDescent="0.2">
      <c r="A17604" s="258"/>
      <c r="Z17604" s="258"/>
    </row>
    <row r="17605" spans="1:26" ht="12.75" customHeight="1" x14ac:dyDescent="0.2">
      <c r="A17605" s="258"/>
      <c r="Z17605" s="258"/>
    </row>
    <row r="17606" spans="1:26" ht="12.75" customHeight="1" x14ac:dyDescent="0.2">
      <c r="A17606" s="258"/>
      <c r="Z17606" s="258"/>
    </row>
    <row r="17607" spans="1:26" ht="12.75" customHeight="1" x14ac:dyDescent="0.2">
      <c r="A17607" s="258"/>
      <c r="Z17607" s="258"/>
    </row>
    <row r="17608" spans="1:26" ht="12.75" customHeight="1" x14ac:dyDescent="0.2">
      <c r="A17608" s="258"/>
      <c r="Z17608" s="258"/>
    </row>
    <row r="17609" spans="1:26" ht="12.75" customHeight="1" x14ac:dyDescent="0.2">
      <c r="A17609" s="258"/>
      <c r="Z17609" s="258"/>
    </row>
    <row r="17610" spans="1:26" ht="12.75" customHeight="1" x14ac:dyDescent="0.2">
      <c r="A17610" s="258"/>
      <c r="Z17610" s="258"/>
    </row>
    <row r="17611" spans="1:26" ht="12.75" customHeight="1" x14ac:dyDescent="0.2">
      <c r="A17611" s="258"/>
      <c r="Z17611" s="258"/>
    </row>
    <row r="17612" spans="1:26" ht="12.75" customHeight="1" x14ac:dyDescent="0.2">
      <c r="A17612" s="258"/>
      <c r="Z17612" s="258"/>
    </row>
    <row r="17613" spans="1:26" ht="12.75" customHeight="1" x14ac:dyDescent="0.2">
      <c r="A17613" s="258"/>
      <c r="Z17613" s="258"/>
    </row>
    <row r="17614" spans="1:26" ht="12.75" customHeight="1" x14ac:dyDescent="0.2">
      <c r="A17614" s="258"/>
      <c r="Z17614" s="258"/>
    </row>
    <row r="17615" spans="1:26" ht="12.75" customHeight="1" x14ac:dyDescent="0.2">
      <c r="A17615" s="258"/>
      <c r="Z17615" s="258"/>
    </row>
    <row r="17616" spans="1:26" ht="12.75" customHeight="1" x14ac:dyDescent="0.2">
      <c r="A17616" s="258"/>
      <c r="Z17616" s="258"/>
    </row>
    <row r="17617" spans="1:26" ht="12.75" customHeight="1" x14ac:dyDescent="0.2">
      <c r="A17617" s="258"/>
      <c r="Z17617" s="258"/>
    </row>
    <row r="17618" spans="1:26" ht="12.75" customHeight="1" x14ac:dyDescent="0.2">
      <c r="A17618" s="258"/>
      <c r="Z17618" s="258"/>
    </row>
    <row r="17619" spans="1:26" ht="12.75" customHeight="1" x14ac:dyDescent="0.2">
      <c r="A17619" s="258"/>
      <c r="Z17619" s="258"/>
    </row>
    <row r="17620" spans="1:26" ht="12.75" customHeight="1" x14ac:dyDescent="0.2">
      <c r="A17620" s="258"/>
      <c r="Z17620" s="258"/>
    </row>
    <row r="17621" spans="1:26" ht="12.75" customHeight="1" x14ac:dyDescent="0.2">
      <c r="A17621" s="258"/>
      <c r="Z17621" s="258"/>
    </row>
    <row r="17622" spans="1:26" ht="12.75" customHeight="1" x14ac:dyDescent="0.2">
      <c r="A17622" s="258"/>
      <c r="Z17622" s="258"/>
    </row>
    <row r="17623" spans="1:26" ht="12.75" customHeight="1" x14ac:dyDescent="0.2">
      <c r="A17623" s="258"/>
      <c r="Z17623" s="258"/>
    </row>
    <row r="17624" spans="1:26" ht="12.75" customHeight="1" x14ac:dyDescent="0.2">
      <c r="A17624" s="258"/>
      <c r="Z17624" s="258"/>
    </row>
    <row r="17625" spans="1:26" ht="12.75" customHeight="1" x14ac:dyDescent="0.2">
      <c r="A17625" s="258"/>
      <c r="Z17625" s="258"/>
    </row>
    <row r="17626" spans="1:26" ht="12.75" customHeight="1" x14ac:dyDescent="0.2">
      <c r="A17626" s="258"/>
      <c r="Z17626" s="258"/>
    </row>
    <row r="17627" spans="1:26" ht="12.75" customHeight="1" x14ac:dyDescent="0.2">
      <c r="A17627" s="258"/>
      <c r="Z17627" s="258"/>
    </row>
    <row r="17628" spans="1:26" ht="12.75" customHeight="1" x14ac:dyDescent="0.2">
      <c r="A17628" s="258"/>
      <c r="Z17628" s="258"/>
    </row>
    <row r="17629" spans="1:26" ht="12.75" customHeight="1" x14ac:dyDescent="0.2">
      <c r="A17629" s="258"/>
      <c r="Z17629" s="258"/>
    </row>
    <row r="17630" spans="1:26" ht="12.75" customHeight="1" x14ac:dyDescent="0.2">
      <c r="A17630" s="258"/>
      <c r="Z17630" s="258"/>
    </row>
    <row r="17631" spans="1:26" ht="12.75" customHeight="1" x14ac:dyDescent="0.2">
      <c r="A17631" s="258"/>
      <c r="Z17631" s="258"/>
    </row>
    <row r="17632" spans="1:26" ht="12.75" customHeight="1" x14ac:dyDescent="0.2">
      <c r="A17632" s="258"/>
      <c r="Z17632" s="258"/>
    </row>
    <row r="17633" spans="1:26" ht="12.75" customHeight="1" x14ac:dyDescent="0.2">
      <c r="A17633" s="258"/>
      <c r="Z17633" s="258"/>
    </row>
    <row r="17634" spans="1:26" ht="12.75" customHeight="1" x14ac:dyDescent="0.2">
      <c r="A17634" s="258"/>
      <c r="Z17634" s="258"/>
    </row>
    <row r="17635" spans="1:26" ht="12.75" customHeight="1" x14ac:dyDescent="0.2">
      <c r="A17635" s="258"/>
      <c r="Z17635" s="258"/>
    </row>
    <row r="17636" spans="1:26" ht="12.75" customHeight="1" x14ac:dyDescent="0.2">
      <c r="A17636" s="258"/>
      <c r="Z17636" s="258"/>
    </row>
    <row r="17637" spans="1:26" ht="12.75" customHeight="1" x14ac:dyDescent="0.2">
      <c r="A17637" s="258"/>
      <c r="Z17637" s="258"/>
    </row>
    <row r="17638" spans="1:26" ht="12.75" customHeight="1" x14ac:dyDescent="0.2">
      <c r="A17638" s="258"/>
      <c r="Z17638" s="258"/>
    </row>
    <row r="17639" spans="1:26" ht="12.75" customHeight="1" x14ac:dyDescent="0.2">
      <c r="A17639" s="258"/>
      <c r="Z17639" s="258"/>
    </row>
    <row r="17640" spans="1:26" ht="12.75" customHeight="1" x14ac:dyDescent="0.2">
      <c r="A17640" s="258"/>
      <c r="Z17640" s="258"/>
    </row>
    <row r="17641" spans="1:26" ht="12.75" customHeight="1" x14ac:dyDescent="0.2">
      <c r="A17641" s="258"/>
      <c r="Z17641" s="258"/>
    </row>
    <row r="17642" spans="1:26" ht="12.75" customHeight="1" x14ac:dyDescent="0.2">
      <c r="A17642" s="258"/>
      <c r="Z17642" s="258"/>
    </row>
    <row r="17643" spans="1:26" ht="12.75" customHeight="1" x14ac:dyDescent="0.2">
      <c r="A17643" s="258"/>
      <c r="Z17643" s="258"/>
    </row>
    <row r="17644" spans="1:26" ht="12.75" customHeight="1" x14ac:dyDescent="0.2">
      <c r="A17644" s="258"/>
      <c r="Z17644" s="258"/>
    </row>
    <row r="17645" spans="1:26" ht="12.75" customHeight="1" x14ac:dyDescent="0.2">
      <c r="A17645" s="258"/>
      <c r="Z17645" s="258"/>
    </row>
    <row r="17646" spans="1:26" ht="12.75" customHeight="1" x14ac:dyDescent="0.2">
      <c r="A17646" s="258"/>
      <c r="Z17646" s="258"/>
    </row>
    <row r="17647" spans="1:26" ht="12.75" customHeight="1" x14ac:dyDescent="0.2">
      <c r="A17647" s="258"/>
      <c r="Z17647" s="258"/>
    </row>
    <row r="17648" spans="1:26" ht="12.75" customHeight="1" x14ac:dyDescent="0.2">
      <c r="A17648" s="258"/>
      <c r="Z17648" s="258"/>
    </row>
    <row r="17649" spans="1:26" ht="12.75" customHeight="1" x14ac:dyDescent="0.2">
      <c r="A17649" s="258"/>
      <c r="Z17649" s="258"/>
    </row>
    <row r="17650" spans="1:26" ht="12.75" customHeight="1" x14ac:dyDescent="0.2">
      <c r="A17650" s="258"/>
      <c r="Z17650" s="258"/>
    </row>
    <row r="17651" spans="1:26" ht="12.75" customHeight="1" x14ac:dyDescent="0.2">
      <c r="A17651" s="258"/>
      <c r="Z17651" s="258"/>
    </row>
    <row r="17652" spans="1:26" ht="12.75" customHeight="1" x14ac:dyDescent="0.2">
      <c r="A17652" s="258"/>
      <c r="Z17652" s="258"/>
    </row>
    <row r="17653" spans="1:26" ht="12.75" customHeight="1" x14ac:dyDescent="0.2">
      <c r="A17653" s="258"/>
      <c r="Z17653" s="258"/>
    </row>
    <row r="17654" spans="1:26" ht="12.75" customHeight="1" x14ac:dyDescent="0.2">
      <c r="A17654" s="258"/>
      <c r="Z17654" s="258"/>
    </row>
    <row r="17655" spans="1:26" ht="12.75" customHeight="1" x14ac:dyDescent="0.2">
      <c r="A17655" s="258"/>
      <c r="Z17655" s="258"/>
    </row>
    <row r="17656" spans="1:26" ht="12.75" customHeight="1" x14ac:dyDescent="0.2">
      <c r="A17656" s="258"/>
      <c r="Z17656" s="258"/>
    </row>
    <row r="17657" spans="1:26" ht="12.75" customHeight="1" x14ac:dyDescent="0.2">
      <c r="A17657" s="258"/>
      <c r="Z17657" s="258"/>
    </row>
    <row r="17658" spans="1:26" ht="12.75" customHeight="1" x14ac:dyDescent="0.2">
      <c r="A17658" s="258"/>
      <c r="Z17658" s="258"/>
    </row>
    <row r="17659" spans="1:26" ht="12.75" customHeight="1" x14ac:dyDescent="0.2">
      <c r="A17659" s="258"/>
      <c r="Z17659" s="258"/>
    </row>
    <row r="17660" spans="1:26" ht="12.75" customHeight="1" x14ac:dyDescent="0.2">
      <c r="A17660" s="258"/>
      <c r="Z17660" s="258"/>
    </row>
    <row r="17661" spans="1:26" ht="12.75" customHeight="1" x14ac:dyDescent="0.2">
      <c r="A17661" s="258"/>
      <c r="Z17661" s="258"/>
    </row>
    <row r="17662" spans="1:26" ht="12.75" customHeight="1" x14ac:dyDescent="0.2">
      <c r="A17662" s="258"/>
      <c r="Z17662" s="258"/>
    </row>
    <row r="17663" spans="1:26" ht="12.75" customHeight="1" x14ac:dyDescent="0.2">
      <c r="A17663" s="258"/>
      <c r="Z17663" s="258"/>
    </row>
    <row r="17664" spans="1:26" ht="12.75" customHeight="1" x14ac:dyDescent="0.2">
      <c r="A17664" s="258"/>
      <c r="Z17664" s="258"/>
    </row>
    <row r="17665" spans="1:26" ht="12.75" customHeight="1" x14ac:dyDescent="0.2">
      <c r="A17665" s="258"/>
      <c r="Z17665" s="258"/>
    </row>
    <row r="17666" spans="1:26" ht="12.75" customHeight="1" x14ac:dyDescent="0.2">
      <c r="A17666" s="258"/>
      <c r="Z17666" s="258"/>
    </row>
    <row r="17667" spans="1:26" ht="12.75" customHeight="1" x14ac:dyDescent="0.2">
      <c r="A17667" s="258"/>
      <c r="Z17667" s="258"/>
    </row>
    <row r="17668" spans="1:26" ht="12.75" customHeight="1" x14ac:dyDescent="0.2">
      <c r="A17668" s="258"/>
      <c r="Z17668" s="258"/>
    </row>
    <row r="17669" spans="1:26" ht="12.75" customHeight="1" x14ac:dyDescent="0.2">
      <c r="A17669" s="258"/>
      <c r="Z17669" s="258"/>
    </row>
    <row r="17670" spans="1:26" ht="12.75" customHeight="1" x14ac:dyDescent="0.2">
      <c r="A17670" s="258"/>
      <c r="Z17670" s="258"/>
    </row>
    <row r="17671" spans="1:26" ht="12.75" customHeight="1" x14ac:dyDescent="0.2">
      <c r="A17671" s="258"/>
      <c r="Z17671" s="258"/>
    </row>
    <row r="17672" spans="1:26" ht="12.75" customHeight="1" x14ac:dyDescent="0.2">
      <c r="A17672" s="258"/>
      <c r="Z17672" s="258"/>
    </row>
    <row r="17673" spans="1:26" ht="12.75" customHeight="1" x14ac:dyDescent="0.2">
      <c r="A17673" s="258"/>
      <c r="Z17673" s="258"/>
    </row>
    <row r="17674" spans="1:26" ht="12.75" customHeight="1" x14ac:dyDescent="0.2">
      <c r="A17674" s="258"/>
      <c r="Z17674" s="258"/>
    </row>
    <row r="17675" spans="1:26" ht="12.75" customHeight="1" x14ac:dyDescent="0.2">
      <c r="A17675" s="258"/>
      <c r="Z17675" s="258"/>
    </row>
    <row r="17676" spans="1:26" ht="12.75" customHeight="1" x14ac:dyDescent="0.2">
      <c r="A17676" s="258"/>
      <c r="Z17676" s="258"/>
    </row>
    <row r="17677" spans="1:26" ht="12.75" customHeight="1" x14ac:dyDescent="0.2">
      <c r="A17677" s="258"/>
      <c r="Z17677" s="258"/>
    </row>
    <row r="17678" spans="1:26" ht="12.75" customHeight="1" x14ac:dyDescent="0.2">
      <c r="A17678" s="258"/>
      <c r="Z17678" s="258"/>
    </row>
    <row r="17679" spans="1:26" ht="12.75" customHeight="1" x14ac:dyDescent="0.2">
      <c r="A17679" s="258"/>
      <c r="Z17679" s="258"/>
    </row>
    <row r="17680" spans="1:26" ht="12.75" customHeight="1" x14ac:dyDescent="0.2">
      <c r="A17680" s="258"/>
      <c r="Z17680" s="258"/>
    </row>
    <row r="17681" spans="1:26" ht="12.75" customHeight="1" x14ac:dyDescent="0.2">
      <c r="A17681" s="258"/>
      <c r="Z17681" s="258"/>
    </row>
    <row r="17682" spans="1:26" ht="12.75" customHeight="1" x14ac:dyDescent="0.2">
      <c r="A17682" s="258"/>
      <c r="Z17682" s="258"/>
    </row>
    <row r="17683" spans="1:26" ht="12.75" customHeight="1" x14ac:dyDescent="0.2">
      <c r="A17683" s="258"/>
      <c r="Z17683" s="258"/>
    </row>
    <row r="17684" spans="1:26" ht="12.75" customHeight="1" x14ac:dyDescent="0.2">
      <c r="A17684" s="258"/>
      <c r="Z17684" s="258"/>
    </row>
    <row r="17685" spans="1:26" ht="12.75" customHeight="1" x14ac:dyDescent="0.2">
      <c r="A17685" s="258"/>
      <c r="Z17685" s="258"/>
    </row>
    <row r="17686" spans="1:26" ht="12.75" customHeight="1" x14ac:dyDescent="0.2">
      <c r="A17686" s="258"/>
      <c r="Z17686" s="258"/>
    </row>
    <row r="17687" spans="1:26" ht="12.75" customHeight="1" x14ac:dyDescent="0.2">
      <c r="A17687" s="258"/>
      <c r="Z17687" s="258"/>
    </row>
    <row r="17688" spans="1:26" ht="12.75" customHeight="1" x14ac:dyDescent="0.2">
      <c r="A17688" s="258"/>
      <c r="Z17688" s="258"/>
    </row>
    <row r="17689" spans="1:26" ht="12.75" customHeight="1" x14ac:dyDescent="0.2">
      <c r="A17689" s="258"/>
      <c r="Z17689" s="258"/>
    </row>
    <row r="17690" spans="1:26" ht="12.75" customHeight="1" x14ac:dyDescent="0.2">
      <c r="A17690" s="258"/>
      <c r="Z17690" s="258"/>
    </row>
    <row r="17691" spans="1:26" ht="12.75" customHeight="1" x14ac:dyDescent="0.2">
      <c r="A17691" s="258"/>
      <c r="Z17691" s="258"/>
    </row>
    <row r="17692" spans="1:26" ht="12.75" customHeight="1" x14ac:dyDescent="0.2">
      <c r="A17692" s="258"/>
      <c r="Z17692" s="258"/>
    </row>
    <row r="17693" spans="1:26" ht="12.75" customHeight="1" x14ac:dyDescent="0.2">
      <c r="A17693" s="258"/>
      <c r="Z17693" s="258"/>
    </row>
    <row r="17694" spans="1:26" ht="12.75" customHeight="1" x14ac:dyDescent="0.2">
      <c r="A17694" s="258"/>
      <c r="Z17694" s="258"/>
    </row>
    <row r="17695" spans="1:26" ht="12.75" customHeight="1" x14ac:dyDescent="0.2">
      <c r="A17695" s="258"/>
      <c r="Z17695" s="258"/>
    </row>
    <row r="17696" spans="1:26" ht="12.75" customHeight="1" x14ac:dyDescent="0.2">
      <c r="A17696" s="258"/>
      <c r="Z17696" s="258"/>
    </row>
    <row r="17697" spans="1:26" ht="12.75" customHeight="1" x14ac:dyDescent="0.2">
      <c r="A17697" s="258"/>
      <c r="Z17697" s="258"/>
    </row>
    <row r="17698" spans="1:26" ht="12.75" customHeight="1" x14ac:dyDescent="0.2">
      <c r="A17698" s="258"/>
      <c r="Z17698" s="258"/>
    </row>
    <row r="17699" spans="1:26" ht="12.75" customHeight="1" x14ac:dyDescent="0.2">
      <c r="A17699" s="258"/>
      <c r="Z17699" s="258"/>
    </row>
    <row r="17700" spans="1:26" ht="12.75" customHeight="1" x14ac:dyDescent="0.2">
      <c r="A17700" s="258"/>
      <c r="Z17700" s="258"/>
    </row>
    <row r="17701" spans="1:26" ht="12.75" customHeight="1" x14ac:dyDescent="0.2">
      <c r="A17701" s="258"/>
      <c r="Z17701" s="258"/>
    </row>
    <row r="17702" spans="1:26" ht="12.75" customHeight="1" x14ac:dyDescent="0.2">
      <c r="A17702" s="258"/>
      <c r="Z17702" s="258"/>
    </row>
    <row r="17703" spans="1:26" ht="12.75" customHeight="1" x14ac:dyDescent="0.2">
      <c r="A17703" s="258"/>
      <c r="Z17703" s="258"/>
    </row>
    <row r="17704" spans="1:26" ht="12.75" customHeight="1" x14ac:dyDescent="0.2">
      <c r="A17704" s="258"/>
      <c r="Z17704" s="258"/>
    </row>
    <row r="17705" spans="1:26" ht="12.75" customHeight="1" x14ac:dyDescent="0.2">
      <c r="A17705" s="258"/>
      <c r="Z17705" s="258"/>
    </row>
    <row r="17706" spans="1:26" ht="12.75" customHeight="1" x14ac:dyDescent="0.2">
      <c r="A17706" s="258"/>
      <c r="Z17706" s="258"/>
    </row>
    <row r="17707" spans="1:26" ht="12.75" customHeight="1" x14ac:dyDescent="0.2">
      <c r="A17707" s="258"/>
      <c r="Z17707" s="258"/>
    </row>
    <row r="17708" spans="1:26" ht="12.75" customHeight="1" x14ac:dyDescent="0.2">
      <c r="A17708" s="258"/>
      <c r="Z17708" s="258"/>
    </row>
    <row r="17709" spans="1:26" ht="12.75" customHeight="1" x14ac:dyDescent="0.2">
      <c r="A17709" s="258"/>
      <c r="Z17709" s="258"/>
    </row>
    <row r="17710" spans="1:26" ht="12.75" customHeight="1" x14ac:dyDescent="0.2">
      <c r="A17710" s="258"/>
      <c r="Z17710" s="258"/>
    </row>
    <row r="17711" spans="1:26" ht="12.75" customHeight="1" x14ac:dyDescent="0.2">
      <c r="A17711" s="258"/>
      <c r="Z17711" s="258"/>
    </row>
    <row r="17712" spans="1:26" ht="12.75" customHeight="1" x14ac:dyDescent="0.2">
      <c r="A17712" s="258"/>
      <c r="Z17712" s="258"/>
    </row>
    <row r="17713" spans="1:26" ht="12.75" customHeight="1" x14ac:dyDescent="0.2">
      <c r="A17713" s="258"/>
      <c r="Z17713" s="258"/>
    </row>
    <row r="17714" spans="1:26" ht="12.75" customHeight="1" x14ac:dyDescent="0.2">
      <c r="A17714" s="258"/>
      <c r="Z17714" s="258"/>
    </row>
    <row r="17715" spans="1:26" ht="12.75" customHeight="1" x14ac:dyDescent="0.2">
      <c r="A17715" s="258"/>
      <c r="Z17715" s="258"/>
    </row>
    <row r="17716" spans="1:26" ht="12.75" customHeight="1" x14ac:dyDescent="0.2">
      <c r="A17716" s="258"/>
      <c r="Z17716" s="258"/>
    </row>
    <row r="17717" spans="1:26" ht="12.75" customHeight="1" x14ac:dyDescent="0.2">
      <c r="A17717" s="258"/>
      <c r="Z17717" s="258"/>
    </row>
    <row r="17718" spans="1:26" ht="12.75" customHeight="1" x14ac:dyDescent="0.2">
      <c r="A17718" s="258"/>
      <c r="Z17718" s="258"/>
    </row>
    <row r="17719" spans="1:26" ht="12.75" customHeight="1" x14ac:dyDescent="0.2">
      <c r="A17719" s="258"/>
      <c r="Z17719" s="258"/>
    </row>
    <row r="17720" spans="1:26" ht="12.75" customHeight="1" x14ac:dyDescent="0.2">
      <c r="A17720" s="258"/>
      <c r="Z17720" s="258"/>
    </row>
    <row r="17721" spans="1:26" ht="12.75" customHeight="1" x14ac:dyDescent="0.2">
      <c r="A17721" s="258"/>
      <c r="Z17721" s="258"/>
    </row>
    <row r="17722" spans="1:26" ht="12.75" customHeight="1" x14ac:dyDescent="0.2">
      <c r="A17722" s="258"/>
      <c r="Z17722" s="258"/>
    </row>
    <row r="17723" spans="1:26" ht="12.75" customHeight="1" x14ac:dyDescent="0.2">
      <c r="A17723" s="258"/>
      <c r="Z17723" s="258"/>
    </row>
    <row r="17724" spans="1:26" ht="12.75" customHeight="1" x14ac:dyDescent="0.2">
      <c r="A17724" s="258"/>
      <c r="Z17724" s="258"/>
    </row>
    <row r="17725" spans="1:26" ht="12.75" customHeight="1" x14ac:dyDescent="0.2">
      <c r="A17725" s="258"/>
      <c r="Z17725" s="258"/>
    </row>
    <row r="17726" spans="1:26" ht="12.75" customHeight="1" x14ac:dyDescent="0.2">
      <c r="A17726" s="258"/>
      <c r="Z17726" s="258"/>
    </row>
    <row r="17727" spans="1:26" ht="12.75" customHeight="1" x14ac:dyDescent="0.2">
      <c r="A17727" s="258"/>
      <c r="Z17727" s="258"/>
    </row>
    <row r="17728" spans="1:26" ht="12.75" customHeight="1" x14ac:dyDescent="0.2">
      <c r="A17728" s="258"/>
      <c r="Z17728" s="258"/>
    </row>
    <row r="17729" spans="1:26" ht="12.75" customHeight="1" x14ac:dyDescent="0.2">
      <c r="A17729" s="258"/>
      <c r="Z17729" s="258"/>
    </row>
    <row r="17730" spans="1:26" ht="12.75" customHeight="1" x14ac:dyDescent="0.2">
      <c r="A17730" s="258"/>
      <c r="Z17730" s="258"/>
    </row>
    <row r="17731" spans="1:26" ht="12.75" customHeight="1" x14ac:dyDescent="0.2">
      <c r="A17731" s="258"/>
      <c r="Z17731" s="258"/>
    </row>
    <row r="17732" spans="1:26" ht="12.75" customHeight="1" x14ac:dyDescent="0.2">
      <c r="A17732" s="258"/>
      <c r="Z17732" s="258"/>
    </row>
    <row r="17733" spans="1:26" ht="12.75" customHeight="1" x14ac:dyDescent="0.2">
      <c r="A17733" s="258"/>
      <c r="Z17733" s="258"/>
    </row>
    <row r="17734" spans="1:26" ht="12.75" customHeight="1" x14ac:dyDescent="0.2">
      <c r="A17734" s="258"/>
      <c r="Z17734" s="258"/>
    </row>
    <row r="17735" spans="1:26" ht="12.75" customHeight="1" x14ac:dyDescent="0.2">
      <c r="A17735" s="258"/>
      <c r="Z17735" s="258"/>
    </row>
    <row r="17736" spans="1:26" ht="12.75" customHeight="1" x14ac:dyDescent="0.2">
      <c r="A17736" s="258"/>
      <c r="Z17736" s="258"/>
    </row>
    <row r="17737" spans="1:26" ht="12.75" customHeight="1" x14ac:dyDescent="0.2">
      <c r="A17737" s="258"/>
      <c r="Z17737" s="258"/>
    </row>
    <row r="17738" spans="1:26" ht="12.75" customHeight="1" x14ac:dyDescent="0.2">
      <c r="A17738" s="258"/>
      <c r="Z17738" s="258"/>
    </row>
    <row r="17739" spans="1:26" ht="12.75" customHeight="1" x14ac:dyDescent="0.2">
      <c r="A17739" s="258"/>
      <c r="Z17739" s="258"/>
    </row>
    <row r="17740" spans="1:26" ht="12.75" customHeight="1" x14ac:dyDescent="0.2">
      <c r="A17740" s="258"/>
      <c r="Z17740" s="258"/>
    </row>
    <row r="17741" spans="1:26" ht="12.75" customHeight="1" x14ac:dyDescent="0.2">
      <c r="A17741" s="258"/>
      <c r="Z17741" s="258"/>
    </row>
    <row r="17742" spans="1:26" ht="12.75" customHeight="1" x14ac:dyDescent="0.2">
      <c r="A17742" s="258"/>
      <c r="Z17742" s="258"/>
    </row>
    <row r="17743" spans="1:26" ht="12.75" customHeight="1" x14ac:dyDescent="0.2">
      <c r="A17743" s="258"/>
      <c r="Z17743" s="258"/>
    </row>
    <row r="17744" spans="1:26" ht="12.75" customHeight="1" x14ac:dyDescent="0.2">
      <c r="A17744" s="258"/>
      <c r="Z17744" s="258"/>
    </row>
    <row r="17745" spans="1:26" ht="12.75" customHeight="1" x14ac:dyDescent="0.2">
      <c r="A17745" s="258"/>
      <c r="Z17745" s="258"/>
    </row>
    <row r="17746" spans="1:26" ht="12.75" customHeight="1" x14ac:dyDescent="0.2">
      <c r="A17746" s="258"/>
      <c r="Z17746" s="258"/>
    </row>
    <row r="17747" spans="1:26" ht="12.75" customHeight="1" x14ac:dyDescent="0.2">
      <c r="A17747" s="258"/>
      <c r="Z17747" s="258"/>
    </row>
    <row r="17748" spans="1:26" ht="12.75" customHeight="1" x14ac:dyDescent="0.2">
      <c r="A17748" s="258"/>
      <c r="Z17748" s="258"/>
    </row>
    <row r="17749" spans="1:26" ht="12.75" customHeight="1" x14ac:dyDescent="0.2">
      <c r="A17749" s="258"/>
      <c r="Z17749" s="258"/>
    </row>
    <row r="17750" spans="1:26" ht="12.75" customHeight="1" x14ac:dyDescent="0.2">
      <c r="A17750" s="258"/>
      <c r="Z17750" s="258"/>
    </row>
    <row r="17751" spans="1:26" ht="12.75" customHeight="1" x14ac:dyDescent="0.2">
      <c r="A17751" s="258"/>
      <c r="Z17751" s="258"/>
    </row>
    <row r="17752" spans="1:26" ht="12.75" customHeight="1" x14ac:dyDescent="0.2">
      <c r="A17752" s="258"/>
      <c r="Z17752" s="258"/>
    </row>
    <row r="17753" spans="1:26" ht="12.75" customHeight="1" x14ac:dyDescent="0.2">
      <c r="A17753" s="258"/>
      <c r="Z17753" s="258"/>
    </row>
    <row r="17754" spans="1:26" ht="12.75" customHeight="1" x14ac:dyDescent="0.2">
      <c r="A17754" s="258"/>
      <c r="Z17754" s="258"/>
    </row>
    <row r="17755" spans="1:26" ht="12.75" customHeight="1" x14ac:dyDescent="0.2">
      <c r="A17755" s="258"/>
      <c r="Z17755" s="258"/>
    </row>
    <row r="17756" spans="1:26" ht="12.75" customHeight="1" x14ac:dyDescent="0.2">
      <c r="A17756" s="258"/>
      <c r="Z17756" s="258"/>
    </row>
    <row r="17757" spans="1:26" ht="12.75" customHeight="1" x14ac:dyDescent="0.2">
      <c r="A17757" s="258"/>
      <c r="Z17757" s="258"/>
    </row>
    <row r="17758" spans="1:26" ht="12.75" customHeight="1" x14ac:dyDescent="0.2">
      <c r="A17758" s="258"/>
      <c r="Z17758" s="258"/>
    </row>
    <row r="17759" spans="1:26" ht="12.75" customHeight="1" x14ac:dyDescent="0.2">
      <c r="A17759" s="258"/>
      <c r="Z17759" s="258"/>
    </row>
    <row r="17760" spans="1:26" ht="12.75" customHeight="1" x14ac:dyDescent="0.2">
      <c r="A17760" s="258"/>
      <c r="Z17760" s="258"/>
    </row>
    <row r="17761" spans="1:26" ht="12.75" customHeight="1" x14ac:dyDescent="0.2">
      <c r="A17761" s="258"/>
      <c r="Z17761" s="258"/>
    </row>
    <row r="17762" spans="1:26" ht="12.75" customHeight="1" x14ac:dyDescent="0.2">
      <c r="A17762" s="258"/>
      <c r="Z17762" s="258"/>
    </row>
    <row r="17763" spans="1:26" ht="12.75" customHeight="1" x14ac:dyDescent="0.2">
      <c r="A17763" s="258"/>
      <c r="Z17763" s="258"/>
    </row>
    <row r="17764" spans="1:26" ht="12.75" customHeight="1" x14ac:dyDescent="0.2">
      <c r="A17764" s="258"/>
      <c r="Z17764" s="258"/>
    </row>
    <row r="17765" spans="1:26" ht="12.75" customHeight="1" x14ac:dyDescent="0.2">
      <c r="A17765" s="258"/>
      <c r="Z17765" s="258"/>
    </row>
    <row r="17766" spans="1:26" ht="12.75" customHeight="1" x14ac:dyDescent="0.2">
      <c r="A17766" s="258"/>
      <c r="Z17766" s="258"/>
    </row>
    <row r="17767" spans="1:26" ht="12.75" customHeight="1" x14ac:dyDescent="0.2">
      <c r="A17767" s="258"/>
      <c r="Z17767" s="258"/>
    </row>
    <row r="17768" spans="1:26" ht="12.75" customHeight="1" x14ac:dyDescent="0.2">
      <c r="A17768" s="258"/>
      <c r="Z17768" s="258"/>
    </row>
    <row r="17769" spans="1:26" ht="12.75" customHeight="1" x14ac:dyDescent="0.2">
      <c r="A17769" s="258"/>
      <c r="Z17769" s="258"/>
    </row>
    <row r="17770" spans="1:26" ht="12.75" customHeight="1" x14ac:dyDescent="0.2">
      <c r="A17770" s="258"/>
      <c r="Z17770" s="258"/>
    </row>
    <row r="17771" spans="1:26" ht="12.75" customHeight="1" x14ac:dyDescent="0.2">
      <c r="A17771" s="258"/>
      <c r="Z17771" s="258"/>
    </row>
    <row r="17772" spans="1:26" ht="12.75" customHeight="1" x14ac:dyDescent="0.2">
      <c r="A17772" s="258"/>
      <c r="Z17772" s="258"/>
    </row>
    <row r="17773" spans="1:26" ht="12.75" customHeight="1" x14ac:dyDescent="0.2">
      <c r="A17773" s="258"/>
      <c r="Z17773" s="258"/>
    </row>
    <row r="17774" spans="1:26" ht="12.75" customHeight="1" x14ac:dyDescent="0.2">
      <c r="A17774" s="258"/>
      <c r="Z17774" s="258"/>
    </row>
    <row r="17775" spans="1:26" ht="12.75" customHeight="1" x14ac:dyDescent="0.2">
      <c r="A17775" s="258"/>
      <c r="Z17775" s="258"/>
    </row>
    <row r="17776" spans="1:26" ht="12.75" customHeight="1" x14ac:dyDescent="0.2">
      <c r="A17776" s="258"/>
      <c r="Z17776" s="258"/>
    </row>
    <row r="17777" spans="1:26" ht="12.75" customHeight="1" x14ac:dyDescent="0.2">
      <c r="A17777" s="258"/>
      <c r="Z17777" s="258"/>
    </row>
    <row r="17778" spans="1:26" ht="12.75" customHeight="1" x14ac:dyDescent="0.2">
      <c r="A17778" s="258"/>
      <c r="Z17778" s="258"/>
    </row>
    <row r="17779" spans="1:26" ht="12.75" customHeight="1" x14ac:dyDescent="0.2">
      <c r="A17779" s="258"/>
      <c r="Z17779" s="258"/>
    </row>
    <row r="17780" spans="1:26" ht="12.75" customHeight="1" x14ac:dyDescent="0.2">
      <c r="A17780" s="258"/>
      <c r="Z17780" s="258"/>
    </row>
    <row r="17781" spans="1:26" ht="12.75" customHeight="1" x14ac:dyDescent="0.2">
      <c r="A17781" s="258"/>
      <c r="Z17781" s="258"/>
    </row>
    <row r="17782" spans="1:26" ht="12.75" customHeight="1" x14ac:dyDescent="0.2">
      <c r="A17782" s="258"/>
      <c r="Z17782" s="258"/>
    </row>
    <row r="17783" spans="1:26" ht="12.75" customHeight="1" x14ac:dyDescent="0.2">
      <c r="A17783" s="258"/>
      <c r="Z17783" s="258"/>
    </row>
    <row r="17784" spans="1:26" ht="12.75" customHeight="1" x14ac:dyDescent="0.2">
      <c r="A17784" s="258"/>
      <c r="Z17784" s="258"/>
    </row>
    <row r="17785" spans="1:26" ht="12.75" customHeight="1" x14ac:dyDescent="0.2">
      <c r="A17785" s="258"/>
      <c r="Z17785" s="258"/>
    </row>
    <row r="17786" spans="1:26" ht="12.75" customHeight="1" x14ac:dyDescent="0.2">
      <c r="A17786" s="258"/>
      <c r="Z17786" s="258"/>
    </row>
    <row r="17787" spans="1:26" ht="12.75" customHeight="1" x14ac:dyDescent="0.2">
      <c r="A17787" s="258"/>
      <c r="Z17787" s="258"/>
    </row>
    <row r="17788" spans="1:26" ht="12.75" customHeight="1" x14ac:dyDescent="0.2">
      <c r="A17788" s="258"/>
      <c r="Z17788" s="258"/>
    </row>
    <row r="17789" spans="1:26" ht="12.75" customHeight="1" x14ac:dyDescent="0.2">
      <c r="A17789" s="258"/>
      <c r="Z17789" s="258"/>
    </row>
    <row r="17790" spans="1:26" ht="12.75" customHeight="1" x14ac:dyDescent="0.2">
      <c r="A17790" s="258"/>
      <c r="Z17790" s="258"/>
    </row>
    <row r="17791" spans="1:26" ht="12.75" customHeight="1" x14ac:dyDescent="0.2">
      <c r="A17791" s="258"/>
      <c r="Z17791" s="258"/>
    </row>
    <row r="17792" spans="1:26" ht="12.75" customHeight="1" x14ac:dyDescent="0.2">
      <c r="A17792" s="258"/>
      <c r="Z17792" s="258"/>
    </row>
    <row r="17793" spans="1:26" ht="12.75" customHeight="1" x14ac:dyDescent="0.2">
      <c r="A17793" s="258"/>
      <c r="Z17793" s="258"/>
    </row>
    <row r="17794" spans="1:26" ht="12.75" customHeight="1" x14ac:dyDescent="0.2">
      <c r="A17794" s="258"/>
      <c r="Z17794" s="258"/>
    </row>
    <row r="17795" spans="1:26" ht="12.75" customHeight="1" x14ac:dyDescent="0.2">
      <c r="A17795" s="258"/>
      <c r="Z17795" s="258"/>
    </row>
    <row r="17796" spans="1:26" ht="12.75" customHeight="1" x14ac:dyDescent="0.2">
      <c r="A17796" s="258"/>
      <c r="Z17796" s="258"/>
    </row>
    <row r="17797" spans="1:26" ht="12.75" customHeight="1" x14ac:dyDescent="0.2">
      <c r="A17797" s="258"/>
      <c r="Z17797" s="258"/>
    </row>
    <row r="17798" spans="1:26" ht="12.75" customHeight="1" x14ac:dyDescent="0.2">
      <c r="A17798" s="258"/>
      <c r="Z17798" s="258"/>
    </row>
    <row r="17799" spans="1:26" ht="12.75" customHeight="1" x14ac:dyDescent="0.2">
      <c r="A17799" s="258"/>
      <c r="Z17799" s="258"/>
    </row>
    <row r="17800" spans="1:26" ht="12.75" customHeight="1" x14ac:dyDescent="0.2">
      <c r="A17800" s="258"/>
      <c r="Z17800" s="258"/>
    </row>
    <row r="17801" spans="1:26" ht="12.75" customHeight="1" x14ac:dyDescent="0.2">
      <c r="A17801" s="258"/>
      <c r="Z17801" s="258"/>
    </row>
    <row r="17802" spans="1:26" ht="12.75" customHeight="1" x14ac:dyDescent="0.2">
      <c r="A17802" s="258"/>
      <c r="Z17802" s="258"/>
    </row>
    <row r="17803" spans="1:26" ht="12.75" customHeight="1" x14ac:dyDescent="0.2">
      <c r="A17803" s="258"/>
      <c r="Z17803" s="258"/>
    </row>
    <row r="17804" spans="1:26" ht="12.75" customHeight="1" x14ac:dyDescent="0.2">
      <c r="A17804" s="258"/>
      <c r="Z17804" s="258"/>
    </row>
    <row r="17805" spans="1:26" ht="12.75" customHeight="1" x14ac:dyDescent="0.2">
      <c r="A17805" s="258"/>
      <c r="Z17805" s="258"/>
    </row>
    <row r="17806" spans="1:26" ht="12.75" customHeight="1" x14ac:dyDescent="0.2">
      <c r="A17806" s="258"/>
      <c r="Z17806" s="258"/>
    </row>
    <row r="17807" spans="1:26" ht="12.75" customHeight="1" x14ac:dyDescent="0.2">
      <c r="A17807" s="258"/>
      <c r="Z17807" s="258"/>
    </row>
    <row r="17808" spans="1:26" ht="12.75" customHeight="1" x14ac:dyDescent="0.2">
      <c r="A17808" s="258"/>
      <c r="Z17808" s="258"/>
    </row>
    <row r="17809" spans="1:26" ht="12.75" customHeight="1" x14ac:dyDescent="0.2">
      <c r="A17809" s="258"/>
      <c r="Z17809" s="258"/>
    </row>
    <row r="17810" spans="1:26" ht="12.75" customHeight="1" x14ac:dyDescent="0.2">
      <c r="A17810" s="258"/>
      <c r="Z17810" s="258"/>
    </row>
    <row r="17811" spans="1:26" ht="12.75" customHeight="1" x14ac:dyDescent="0.2">
      <c r="A17811" s="258"/>
      <c r="Z17811" s="258"/>
    </row>
    <row r="17812" spans="1:26" ht="12.75" customHeight="1" x14ac:dyDescent="0.2">
      <c r="A17812" s="258"/>
      <c r="Z17812" s="258"/>
    </row>
    <row r="17813" spans="1:26" ht="12.75" customHeight="1" x14ac:dyDescent="0.2">
      <c r="A17813" s="258"/>
      <c r="Z17813" s="258"/>
    </row>
    <row r="17814" spans="1:26" ht="12.75" customHeight="1" x14ac:dyDescent="0.2">
      <c r="A17814" s="258"/>
      <c r="Z17814" s="258"/>
    </row>
    <row r="17815" spans="1:26" ht="12.75" customHeight="1" x14ac:dyDescent="0.2">
      <c r="A17815" s="258"/>
      <c r="Z17815" s="258"/>
    </row>
    <row r="17816" spans="1:26" ht="12.75" customHeight="1" x14ac:dyDescent="0.2">
      <c r="A17816" s="258"/>
      <c r="Z17816" s="258"/>
    </row>
    <row r="17817" spans="1:26" ht="12.75" customHeight="1" x14ac:dyDescent="0.2">
      <c r="A17817" s="258"/>
      <c r="Z17817" s="258"/>
    </row>
    <row r="17818" spans="1:26" ht="12.75" customHeight="1" x14ac:dyDescent="0.2">
      <c r="A17818" s="258"/>
      <c r="Z17818" s="258"/>
    </row>
    <row r="17819" spans="1:26" ht="12.75" customHeight="1" x14ac:dyDescent="0.2">
      <c r="A17819" s="258"/>
      <c r="Z17819" s="258"/>
    </row>
    <row r="17820" spans="1:26" ht="12.75" customHeight="1" x14ac:dyDescent="0.2">
      <c r="A17820" s="258"/>
      <c r="Z17820" s="258"/>
    </row>
    <row r="17821" spans="1:26" ht="12.75" customHeight="1" x14ac:dyDescent="0.2">
      <c r="A17821" s="258"/>
      <c r="Z17821" s="258"/>
    </row>
    <row r="17822" spans="1:26" ht="12.75" customHeight="1" x14ac:dyDescent="0.2">
      <c r="A17822" s="258"/>
      <c r="Z17822" s="258"/>
    </row>
    <row r="17823" spans="1:26" ht="12.75" customHeight="1" x14ac:dyDescent="0.2">
      <c r="A17823" s="258"/>
      <c r="Z17823" s="258"/>
    </row>
    <row r="17824" spans="1:26" ht="12.75" customHeight="1" x14ac:dyDescent="0.2">
      <c r="A17824" s="258"/>
      <c r="Z17824" s="258"/>
    </row>
    <row r="17825" spans="1:26" ht="12.75" customHeight="1" x14ac:dyDescent="0.2">
      <c r="A17825" s="258"/>
      <c r="Z17825" s="258"/>
    </row>
    <row r="17826" spans="1:26" ht="12.75" customHeight="1" x14ac:dyDescent="0.2">
      <c r="A17826" s="258"/>
      <c r="Z17826" s="258"/>
    </row>
    <row r="17827" spans="1:26" ht="12.75" customHeight="1" x14ac:dyDescent="0.2">
      <c r="A17827" s="258"/>
      <c r="Z17827" s="258"/>
    </row>
    <row r="17828" spans="1:26" ht="12.75" customHeight="1" x14ac:dyDescent="0.2">
      <c r="A17828" s="258"/>
      <c r="Z17828" s="258"/>
    </row>
    <row r="17829" spans="1:26" ht="12.75" customHeight="1" x14ac:dyDescent="0.2">
      <c r="A17829" s="258"/>
      <c r="Z17829" s="258"/>
    </row>
    <row r="17830" spans="1:26" ht="12.75" customHeight="1" x14ac:dyDescent="0.2">
      <c r="A17830" s="258"/>
      <c r="Z17830" s="258"/>
    </row>
    <row r="17831" spans="1:26" ht="12.75" customHeight="1" x14ac:dyDescent="0.2">
      <c r="A17831" s="258"/>
      <c r="Z17831" s="258"/>
    </row>
    <row r="17832" spans="1:26" ht="12.75" customHeight="1" x14ac:dyDescent="0.2">
      <c r="A17832" s="258"/>
      <c r="Z17832" s="258"/>
    </row>
    <row r="17833" spans="1:26" ht="12.75" customHeight="1" x14ac:dyDescent="0.2">
      <c r="A17833" s="258"/>
      <c r="Z17833" s="258"/>
    </row>
    <row r="17834" spans="1:26" ht="12.75" customHeight="1" x14ac:dyDescent="0.2">
      <c r="A17834" s="258"/>
      <c r="Z17834" s="258"/>
    </row>
    <row r="17835" spans="1:26" ht="12.75" customHeight="1" x14ac:dyDescent="0.2">
      <c r="A17835" s="258"/>
      <c r="Z17835" s="258"/>
    </row>
    <row r="17836" spans="1:26" ht="12.75" customHeight="1" x14ac:dyDescent="0.2">
      <c r="A17836" s="258"/>
      <c r="Z17836" s="258"/>
    </row>
    <row r="17837" spans="1:26" ht="12.75" customHeight="1" x14ac:dyDescent="0.2">
      <c r="A17837" s="258"/>
      <c r="Z17837" s="258"/>
    </row>
    <row r="17838" spans="1:26" ht="12.75" customHeight="1" x14ac:dyDescent="0.2">
      <c r="A17838" s="258"/>
      <c r="Z17838" s="258"/>
    </row>
    <row r="17839" spans="1:26" ht="12.75" customHeight="1" x14ac:dyDescent="0.2">
      <c r="A17839" s="258"/>
      <c r="Z17839" s="258"/>
    </row>
    <row r="17840" spans="1:26" ht="12.75" customHeight="1" x14ac:dyDescent="0.2">
      <c r="A17840" s="258"/>
      <c r="Z17840" s="258"/>
    </row>
    <row r="17841" spans="1:26" ht="12.75" customHeight="1" x14ac:dyDescent="0.2">
      <c r="A17841" s="258"/>
      <c r="Z17841" s="258"/>
    </row>
    <row r="17842" spans="1:26" ht="12.75" customHeight="1" x14ac:dyDescent="0.2">
      <c r="A17842" s="258"/>
      <c r="Z17842" s="258"/>
    </row>
    <row r="17843" spans="1:26" ht="12.75" customHeight="1" x14ac:dyDescent="0.2">
      <c r="A17843" s="258"/>
      <c r="Z17843" s="258"/>
    </row>
    <row r="17844" spans="1:26" ht="12.75" customHeight="1" x14ac:dyDescent="0.2">
      <c r="A17844" s="258"/>
      <c r="Z17844" s="258"/>
    </row>
    <row r="17845" spans="1:26" ht="12.75" customHeight="1" x14ac:dyDescent="0.2">
      <c r="A17845" s="258"/>
      <c r="Z17845" s="258"/>
    </row>
    <row r="17846" spans="1:26" ht="12.75" customHeight="1" x14ac:dyDescent="0.2">
      <c r="A17846" s="258"/>
      <c r="Z17846" s="258"/>
    </row>
    <row r="17847" spans="1:26" ht="12.75" customHeight="1" x14ac:dyDescent="0.2">
      <c r="A17847" s="258"/>
      <c r="Z17847" s="258"/>
    </row>
    <row r="17848" spans="1:26" ht="12.75" customHeight="1" x14ac:dyDescent="0.2">
      <c r="A17848" s="258"/>
      <c r="Z17848" s="258"/>
    </row>
    <row r="17849" spans="1:26" ht="12.75" customHeight="1" x14ac:dyDescent="0.2">
      <c r="A17849" s="258"/>
      <c r="Z17849" s="258"/>
    </row>
    <row r="17850" spans="1:26" ht="12.75" customHeight="1" x14ac:dyDescent="0.2">
      <c r="A17850" s="258"/>
      <c r="Z17850" s="258"/>
    </row>
    <row r="17851" spans="1:26" ht="12.75" customHeight="1" x14ac:dyDescent="0.2">
      <c r="A17851" s="258"/>
      <c r="Z17851" s="258"/>
    </row>
    <row r="17852" spans="1:26" ht="12.75" customHeight="1" x14ac:dyDescent="0.2">
      <c r="A17852" s="258"/>
      <c r="Z17852" s="258"/>
    </row>
    <row r="17853" spans="1:26" ht="12.75" customHeight="1" x14ac:dyDescent="0.2">
      <c r="A17853" s="258"/>
      <c r="Z17853" s="258"/>
    </row>
    <row r="17854" spans="1:26" ht="12.75" customHeight="1" x14ac:dyDescent="0.2">
      <c r="A17854" s="258"/>
      <c r="Z17854" s="258"/>
    </row>
    <row r="17855" spans="1:26" ht="12.75" customHeight="1" x14ac:dyDescent="0.2">
      <c r="A17855" s="258"/>
      <c r="Z17855" s="258"/>
    </row>
    <row r="17856" spans="1:26" ht="12.75" customHeight="1" x14ac:dyDescent="0.2">
      <c r="A17856" s="258"/>
      <c r="Z17856" s="258"/>
    </row>
    <row r="17857" spans="1:26" ht="12.75" customHeight="1" x14ac:dyDescent="0.2">
      <c r="A17857" s="258"/>
      <c r="Z17857" s="258"/>
    </row>
    <row r="17858" spans="1:26" ht="12.75" customHeight="1" x14ac:dyDescent="0.2">
      <c r="A17858" s="258"/>
      <c r="Z17858" s="258"/>
    </row>
    <row r="17859" spans="1:26" ht="12.75" customHeight="1" x14ac:dyDescent="0.2">
      <c r="A17859" s="258"/>
      <c r="Z17859" s="258"/>
    </row>
    <row r="17860" spans="1:26" ht="12.75" customHeight="1" x14ac:dyDescent="0.2">
      <c r="A17860" s="258"/>
      <c r="Z17860" s="258"/>
    </row>
    <row r="17861" spans="1:26" ht="12.75" customHeight="1" x14ac:dyDescent="0.2">
      <c r="A17861" s="258"/>
      <c r="Z17861" s="258"/>
    </row>
    <row r="17862" spans="1:26" ht="12.75" customHeight="1" x14ac:dyDescent="0.2">
      <c r="A17862" s="258"/>
      <c r="Z17862" s="258"/>
    </row>
    <row r="17863" spans="1:26" ht="12.75" customHeight="1" x14ac:dyDescent="0.2">
      <c r="A17863" s="258"/>
      <c r="Z17863" s="258"/>
    </row>
    <row r="17864" spans="1:26" ht="12.75" customHeight="1" x14ac:dyDescent="0.2">
      <c r="A17864" s="258"/>
      <c r="Z17864" s="258"/>
    </row>
    <row r="17865" spans="1:26" ht="12.75" customHeight="1" x14ac:dyDescent="0.2">
      <c r="A17865" s="258"/>
      <c r="Z17865" s="258"/>
    </row>
    <row r="17866" spans="1:26" ht="12.75" customHeight="1" x14ac:dyDescent="0.2">
      <c r="A17866" s="258"/>
      <c r="Z17866" s="258"/>
    </row>
    <row r="17867" spans="1:26" ht="12.75" customHeight="1" x14ac:dyDescent="0.2">
      <c r="A17867" s="258"/>
      <c r="Z17867" s="258"/>
    </row>
    <row r="17868" spans="1:26" ht="12.75" customHeight="1" x14ac:dyDescent="0.2">
      <c r="A17868" s="258"/>
      <c r="Z17868" s="258"/>
    </row>
    <row r="17869" spans="1:26" ht="12.75" customHeight="1" x14ac:dyDescent="0.2">
      <c r="A17869" s="258"/>
      <c r="Z17869" s="258"/>
    </row>
    <row r="17870" spans="1:26" ht="12.75" customHeight="1" x14ac:dyDescent="0.2">
      <c r="A17870" s="258"/>
      <c r="Z17870" s="258"/>
    </row>
    <row r="17871" spans="1:26" ht="12.75" customHeight="1" x14ac:dyDescent="0.2">
      <c r="A17871" s="258"/>
      <c r="Z17871" s="258"/>
    </row>
    <row r="17872" spans="1:26" ht="12.75" customHeight="1" x14ac:dyDescent="0.2">
      <c r="A17872" s="258"/>
      <c r="Z17872" s="258"/>
    </row>
    <row r="17873" spans="1:26" ht="12.75" customHeight="1" x14ac:dyDescent="0.2">
      <c r="A17873" s="258"/>
      <c r="Z17873" s="258"/>
    </row>
    <row r="17874" spans="1:26" ht="12.75" customHeight="1" x14ac:dyDescent="0.2">
      <c r="A17874" s="258"/>
      <c r="Z17874" s="258"/>
    </row>
    <row r="17875" spans="1:26" ht="12.75" customHeight="1" x14ac:dyDescent="0.2">
      <c r="A17875" s="258"/>
      <c r="Z17875" s="258"/>
    </row>
    <row r="17876" spans="1:26" ht="12.75" customHeight="1" x14ac:dyDescent="0.2">
      <c r="A17876" s="258"/>
      <c r="Z17876" s="258"/>
    </row>
    <row r="17877" spans="1:26" ht="12.75" customHeight="1" x14ac:dyDescent="0.2">
      <c r="A17877" s="258"/>
      <c r="Z17877" s="258"/>
    </row>
    <row r="17878" spans="1:26" ht="12.75" customHeight="1" x14ac:dyDescent="0.2">
      <c r="A17878" s="258"/>
      <c r="Z17878" s="258"/>
    </row>
    <row r="17879" spans="1:26" ht="12.75" customHeight="1" x14ac:dyDescent="0.2">
      <c r="A17879" s="258"/>
      <c r="Z17879" s="258"/>
    </row>
    <row r="17880" spans="1:26" ht="12.75" customHeight="1" x14ac:dyDescent="0.2">
      <c r="A17880" s="258"/>
      <c r="Z17880" s="258"/>
    </row>
    <row r="17881" spans="1:26" ht="12.75" customHeight="1" x14ac:dyDescent="0.2">
      <c r="A17881" s="258"/>
      <c r="Z17881" s="258"/>
    </row>
    <row r="17882" spans="1:26" ht="12.75" customHeight="1" x14ac:dyDescent="0.2">
      <c r="A17882" s="258"/>
      <c r="Z17882" s="258"/>
    </row>
    <row r="17883" spans="1:26" ht="12.75" customHeight="1" x14ac:dyDescent="0.2">
      <c r="A17883" s="258"/>
      <c r="Z17883" s="258"/>
    </row>
    <row r="17884" spans="1:26" ht="12.75" customHeight="1" x14ac:dyDescent="0.2">
      <c r="A17884" s="258"/>
      <c r="Z17884" s="258"/>
    </row>
    <row r="17885" spans="1:26" ht="12.75" customHeight="1" x14ac:dyDescent="0.2">
      <c r="A17885" s="258"/>
      <c r="Z17885" s="258"/>
    </row>
    <row r="17886" spans="1:26" ht="12.75" customHeight="1" x14ac:dyDescent="0.2">
      <c r="A17886" s="258"/>
      <c r="Z17886" s="258"/>
    </row>
    <row r="17887" spans="1:26" ht="12.75" customHeight="1" x14ac:dyDescent="0.2">
      <c r="A17887" s="258"/>
      <c r="Z17887" s="258"/>
    </row>
    <row r="17888" spans="1:26" ht="12.75" customHeight="1" x14ac:dyDescent="0.2">
      <c r="A17888" s="258"/>
      <c r="Z17888" s="258"/>
    </row>
    <row r="17889" spans="1:26" ht="12.75" customHeight="1" x14ac:dyDescent="0.2">
      <c r="A17889" s="258"/>
      <c r="Z17889" s="258"/>
    </row>
    <row r="17890" spans="1:26" ht="12.75" customHeight="1" x14ac:dyDescent="0.2">
      <c r="A17890" s="258"/>
      <c r="Z17890" s="258"/>
    </row>
    <row r="17891" spans="1:26" ht="12.75" customHeight="1" x14ac:dyDescent="0.2">
      <c r="A17891" s="258"/>
      <c r="Z17891" s="258"/>
    </row>
    <row r="17892" spans="1:26" ht="12.75" customHeight="1" x14ac:dyDescent="0.2">
      <c r="A17892" s="258"/>
      <c r="Z17892" s="258"/>
    </row>
    <row r="17893" spans="1:26" ht="12.75" customHeight="1" x14ac:dyDescent="0.2">
      <c r="A17893" s="258"/>
      <c r="Z17893" s="258"/>
    </row>
    <row r="17894" spans="1:26" ht="12.75" customHeight="1" x14ac:dyDescent="0.2">
      <c r="A17894" s="258"/>
      <c r="Z17894" s="258"/>
    </row>
    <row r="17895" spans="1:26" ht="12.75" customHeight="1" x14ac:dyDescent="0.2">
      <c r="A17895" s="258"/>
      <c r="Z17895" s="258"/>
    </row>
    <row r="17896" spans="1:26" ht="12.75" customHeight="1" x14ac:dyDescent="0.2">
      <c r="A17896" s="258"/>
      <c r="Z17896" s="258"/>
    </row>
    <row r="17897" spans="1:26" ht="12.75" customHeight="1" x14ac:dyDescent="0.2">
      <c r="A17897" s="258"/>
      <c r="Z17897" s="258"/>
    </row>
    <row r="17898" spans="1:26" ht="12.75" customHeight="1" x14ac:dyDescent="0.2">
      <c r="A17898" s="258"/>
      <c r="Z17898" s="258"/>
    </row>
    <row r="17899" spans="1:26" ht="12.75" customHeight="1" x14ac:dyDescent="0.2">
      <c r="A17899" s="258"/>
      <c r="Z17899" s="258"/>
    </row>
    <row r="17900" spans="1:26" ht="12.75" customHeight="1" x14ac:dyDescent="0.2">
      <c r="A17900" s="258"/>
      <c r="Z17900" s="258"/>
    </row>
    <row r="17901" spans="1:26" ht="12.75" customHeight="1" x14ac:dyDescent="0.2">
      <c r="A17901" s="258"/>
      <c r="Z17901" s="258"/>
    </row>
    <row r="17902" spans="1:26" ht="12.75" customHeight="1" x14ac:dyDescent="0.2">
      <c r="A17902" s="258"/>
      <c r="Z17902" s="258"/>
    </row>
    <row r="17903" spans="1:26" ht="12.75" customHeight="1" x14ac:dyDescent="0.2">
      <c r="A17903" s="258"/>
      <c r="Z17903" s="258"/>
    </row>
    <row r="17904" spans="1:26" ht="12.75" customHeight="1" x14ac:dyDescent="0.2">
      <c r="A17904" s="258"/>
      <c r="Z17904" s="258"/>
    </row>
    <row r="17905" spans="1:26" ht="12.75" customHeight="1" x14ac:dyDescent="0.2">
      <c r="A17905" s="258"/>
      <c r="Z17905" s="258"/>
    </row>
    <row r="17906" spans="1:26" ht="12.75" customHeight="1" x14ac:dyDescent="0.2">
      <c r="A17906" s="258"/>
      <c r="Z17906" s="258"/>
    </row>
    <row r="17907" spans="1:26" ht="12.75" customHeight="1" x14ac:dyDescent="0.2">
      <c r="A17907" s="258"/>
      <c r="Z17907" s="258"/>
    </row>
    <row r="17908" spans="1:26" ht="12.75" customHeight="1" x14ac:dyDescent="0.2">
      <c r="A17908" s="258"/>
      <c r="Z17908" s="258"/>
    </row>
    <row r="17909" spans="1:26" ht="12.75" customHeight="1" x14ac:dyDescent="0.2">
      <c r="A17909" s="258"/>
      <c r="Z17909" s="258"/>
    </row>
    <row r="17910" spans="1:26" ht="12.75" customHeight="1" x14ac:dyDescent="0.2">
      <c r="A17910" s="258"/>
      <c r="Z17910" s="258"/>
    </row>
    <row r="17911" spans="1:26" ht="12.75" customHeight="1" x14ac:dyDescent="0.2">
      <c r="A17911" s="258"/>
      <c r="Z17911" s="258"/>
    </row>
    <row r="17912" spans="1:26" ht="12.75" customHeight="1" x14ac:dyDescent="0.2">
      <c r="A17912" s="258"/>
      <c r="Z17912" s="258"/>
    </row>
    <row r="17913" spans="1:26" ht="12.75" customHeight="1" x14ac:dyDescent="0.2">
      <c r="A17913" s="258"/>
      <c r="Z17913" s="258"/>
    </row>
    <row r="17914" spans="1:26" ht="12.75" customHeight="1" x14ac:dyDescent="0.2">
      <c r="A17914" s="258"/>
      <c r="Z17914" s="258"/>
    </row>
    <row r="17915" spans="1:26" ht="12.75" customHeight="1" x14ac:dyDescent="0.2">
      <c r="A17915" s="258"/>
      <c r="Z17915" s="258"/>
    </row>
    <row r="17916" spans="1:26" ht="12.75" customHeight="1" x14ac:dyDescent="0.2">
      <c r="A17916" s="258"/>
      <c r="Z17916" s="258"/>
    </row>
    <row r="17917" spans="1:26" ht="12.75" customHeight="1" x14ac:dyDescent="0.2">
      <c r="A17917" s="258"/>
      <c r="Z17917" s="258"/>
    </row>
    <row r="17918" spans="1:26" ht="12.75" customHeight="1" x14ac:dyDescent="0.2">
      <c r="A17918" s="258"/>
      <c r="Z17918" s="258"/>
    </row>
    <row r="17919" spans="1:26" ht="12.75" customHeight="1" x14ac:dyDescent="0.2">
      <c r="A17919" s="258"/>
      <c r="Z17919" s="258"/>
    </row>
    <row r="17920" spans="1:26" ht="12.75" customHeight="1" x14ac:dyDescent="0.2">
      <c r="A17920" s="258"/>
      <c r="Z17920" s="258"/>
    </row>
    <row r="17921" spans="1:26" ht="12.75" customHeight="1" x14ac:dyDescent="0.2">
      <c r="A17921" s="258"/>
      <c r="Z17921" s="258"/>
    </row>
    <row r="17922" spans="1:26" ht="12.75" customHeight="1" x14ac:dyDescent="0.2">
      <c r="A17922" s="258"/>
      <c r="Z17922" s="258"/>
    </row>
    <row r="17923" spans="1:26" ht="12.75" customHeight="1" x14ac:dyDescent="0.2">
      <c r="A17923" s="258"/>
      <c r="Z17923" s="258"/>
    </row>
    <row r="17924" spans="1:26" ht="12.75" customHeight="1" x14ac:dyDescent="0.2">
      <c r="A17924" s="258"/>
      <c r="Z17924" s="258"/>
    </row>
    <row r="17925" spans="1:26" ht="12.75" customHeight="1" x14ac:dyDescent="0.2">
      <c r="A17925" s="258"/>
      <c r="Z17925" s="258"/>
    </row>
    <row r="17926" spans="1:26" ht="12.75" customHeight="1" x14ac:dyDescent="0.2">
      <c r="A17926" s="258"/>
      <c r="Z17926" s="258"/>
    </row>
    <row r="17927" spans="1:26" ht="12.75" customHeight="1" x14ac:dyDescent="0.2">
      <c r="A17927" s="258"/>
      <c r="Z17927" s="258"/>
    </row>
    <row r="17928" spans="1:26" ht="12.75" customHeight="1" x14ac:dyDescent="0.2">
      <c r="A17928" s="258"/>
      <c r="Z17928" s="258"/>
    </row>
    <row r="17929" spans="1:26" ht="12.75" customHeight="1" x14ac:dyDescent="0.2">
      <c r="A17929" s="258"/>
      <c r="Z17929" s="258"/>
    </row>
    <row r="17930" spans="1:26" ht="12.75" customHeight="1" x14ac:dyDescent="0.2">
      <c r="A17930" s="258"/>
      <c r="Z17930" s="258"/>
    </row>
    <row r="17931" spans="1:26" ht="12.75" customHeight="1" x14ac:dyDescent="0.2">
      <c r="A17931" s="258"/>
      <c r="Z17931" s="258"/>
    </row>
    <row r="17932" spans="1:26" ht="12.75" customHeight="1" x14ac:dyDescent="0.2">
      <c r="A17932" s="258"/>
      <c r="Z17932" s="258"/>
    </row>
    <row r="17933" spans="1:26" ht="12.75" customHeight="1" x14ac:dyDescent="0.2">
      <c r="A17933" s="258"/>
      <c r="Z17933" s="258"/>
    </row>
    <row r="17934" spans="1:26" ht="12.75" customHeight="1" x14ac:dyDescent="0.2">
      <c r="A17934" s="258"/>
      <c r="Z17934" s="258"/>
    </row>
    <row r="17935" spans="1:26" ht="12.75" customHeight="1" x14ac:dyDescent="0.2">
      <c r="A17935" s="258"/>
      <c r="Z17935" s="258"/>
    </row>
    <row r="17936" spans="1:26" ht="12.75" customHeight="1" x14ac:dyDescent="0.2">
      <c r="A17936" s="258"/>
      <c r="Z17936" s="258"/>
    </row>
    <row r="17937" spans="1:26" ht="12.75" customHeight="1" x14ac:dyDescent="0.2">
      <c r="A17937" s="258"/>
      <c r="Z17937" s="258"/>
    </row>
    <row r="17938" spans="1:26" ht="12.75" customHeight="1" x14ac:dyDescent="0.2">
      <c r="A17938" s="258"/>
      <c r="Z17938" s="258"/>
    </row>
    <row r="17939" spans="1:26" ht="12.75" customHeight="1" x14ac:dyDescent="0.2">
      <c r="A17939" s="258"/>
      <c r="Z17939" s="258"/>
    </row>
    <row r="17940" spans="1:26" ht="12.75" customHeight="1" x14ac:dyDescent="0.2">
      <c r="A17940" s="258"/>
      <c r="Z17940" s="258"/>
    </row>
    <row r="17941" spans="1:26" ht="12.75" customHeight="1" x14ac:dyDescent="0.2">
      <c r="A17941" s="258"/>
      <c r="Z17941" s="258"/>
    </row>
    <row r="17942" spans="1:26" ht="12.75" customHeight="1" x14ac:dyDescent="0.2">
      <c r="A17942" s="258"/>
      <c r="Z17942" s="258"/>
    </row>
    <row r="17943" spans="1:26" ht="12.75" customHeight="1" x14ac:dyDescent="0.2">
      <c r="A17943" s="258"/>
      <c r="Z17943" s="258"/>
    </row>
    <row r="17944" spans="1:26" ht="12.75" customHeight="1" x14ac:dyDescent="0.2">
      <c r="A17944" s="258"/>
      <c r="Z17944" s="258"/>
    </row>
    <row r="17945" spans="1:26" ht="12.75" customHeight="1" x14ac:dyDescent="0.2">
      <c r="A17945" s="258"/>
      <c r="Z17945" s="258"/>
    </row>
    <row r="17946" spans="1:26" ht="12.75" customHeight="1" x14ac:dyDescent="0.2">
      <c r="A17946" s="258"/>
      <c r="Z17946" s="258"/>
    </row>
    <row r="17947" spans="1:26" ht="12.75" customHeight="1" x14ac:dyDescent="0.2">
      <c r="A17947" s="258"/>
      <c r="Z17947" s="258"/>
    </row>
    <row r="17948" spans="1:26" ht="12.75" customHeight="1" x14ac:dyDescent="0.2">
      <c r="A17948" s="258"/>
      <c r="Z17948" s="258"/>
    </row>
    <row r="17949" spans="1:26" ht="12.75" customHeight="1" x14ac:dyDescent="0.2">
      <c r="A17949" s="258"/>
      <c r="Z17949" s="258"/>
    </row>
    <row r="17950" spans="1:26" ht="12.75" customHeight="1" x14ac:dyDescent="0.2">
      <c r="A17950" s="258"/>
      <c r="Z17950" s="258"/>
    </row>
    <row r="17951" spans="1:26" ht="12.75" customHeight="1" x14ac:dyDescent="0.2">
      <c r="A17951" s="258"/>
      <c r="Z17951" s="258"/>
    </row>
    <row r="17952" spans="1:26" ht="12.75" customHeight="1" x14ac:dyDescent="0.2">
      <c r="A17952" s="258"/>
      <c r="Z17952" s="258"/>
    </row>
    <row r="17953" spans="1:26" ht="12.75" customHeight="1" x14ac:dyDescent="0.2">
      <c r="A17953" s="258"/>
      <c r="Z17953" s="258"/>
    </row>
    <row r="17954" spans="1:26" ht="12.75" customHeight="1" x14ac:dyDescent="0.2">
      <c r="A17954" s="258"/>
      <c r="Z17954" s="258"/>
    </row>
    <row r="17955" spans="1:26" ht="12.75" customHeight="1" x14ac:dyDescent="0.2">
      <c r="A17955" s="258"/>
      <c r="Z17955" s="258"/>
    </row>
    <row r="17956" spans="1:26" ht="12.75" customHeight="1" x14ac:dyDescent="0.2">
      <c r="A17956" s="258"/>
      <c r="Z17956" s="258"/>
    </row>
    <row r="17957" spans="1:26" ht="12.75" customHeight="1" x14ac:dyDescent="0.2">
      <c r="A17957" s="258"/>
      <c r="Z17957" s="258"/>
    </row>
    <row r="17958" spans="1:26" ht="12.75" customHeight="1" x14ac:dyDescent="0.2">
      <c r="A17958" s="258"/>
      <c r="Z17958" s="258"/>
    </row>
    <row r="17959" spans="1:26" ht="12.75" customHeight="1" x14ac:dyDescent="0.2">
      <c r="A17959" s="258"/>
      <c r="Z17959" s="258"/>
    </row>
    <row r="17960" spans="1:26" ht="12.75" customHeight="1" x14ac:dyDescent="0.2">
      <c r="A17960" s="258"/>
      <c r="Z17960" s="258"/>
    </row>
    <row r="17961" spans="1:26" ht="12.75" customHeight="1" x14ac:dyDescent="0.2">
      <c r="A17961" s="258"/>
      <c r="Z17961" s="258"/>
    </row>
    <row r="17962" spans="1:26" ht="12.75" customHeight="1" x14ac:dyDescent="0.2">
      <c r="A17962" s="258"/>
      <c r="Z17962" s="258"/>
    </row>
    <row r="17963" spans="1:26" ht="12.75" customHeight="1" x14ac:dyDescent="0.2">
      <c r="A17963" s="258"/>
      <c r="Z17963" s="258"/>
    </row>
    <row r="17964" spans="1:26" ht="12.75" customHeight="1" x14ac:dyDescent="0.2">
      <c r="A17964" s="258"/>
      <c r="Z17964" s="258"/>
    </row>
    <row r="17965" spans="1:26" ht="12.75" customHeight="1" x14ac:dyDescent="0.2">
      <c r="A17965" s="258"/>
      <c r="Z17965" s="258"/>
    </row>
    <row r="17966" spans="1:26" ht="12.75" customHeight="1" x14ac:dyDescent="0.2">
      <c r="A17966" s="258"/>
      <c r="Z17966" s="258"/>
    </row>
    <row r="17967" spans="1:26" ht="12.75" customHeight="1" x14ac:dyDescent="0.2">
      <c r="A17967" s="258"/>
      <c r="Z17967" s="258"/>
    </row>
    <row r="17968" spans="1:26" ht="12.75" customHeight="1" x14ac:dyDescent="0.2">
      <c r="A17968" s="258"/>
      <c r="Z17968" s="258"/>
    </row>
    <row r="17969" spans="1:26" ht="12.75" customHeight="1" x14ac:dyDescent="0.2">
      <c r="A17969" s="258"/>
      <c r="Z17969" s="258"/>
    </row>
    <row r="17970" spans="1:26" ht="12.75" customHeight="1" x14ac:dyDescent="0.2">
      <c r="A17970" s="258"/>
      <c r="Z17970" s="258"/>
    </row>
    <row r="17971" spans="1:26" ht="12.75" customHeight="1" x14ac:dyDescent="0.2">
      <c r="A17971" s="258"/>
      <c r="Z17971" s="258"/>
    </row>
    <row r="17972" spans="1:26" ht="12.75" customHeight="1" x14ac:dyDescent="0.2">
      <c r="A17972" s="258"/>
      <c r="Z17972" s="258"/>
    </row>
    <row r="17973" spans="1:26" ht="12.75" customHeight="1" x14ac:dyDescent="0.2">
      <c r="A17973" s="258"/>
      <c r="Z17973" s="258"/>
    </row>
    <row r="17974" spans="1:26" ht="12.75" customHeight="1" x14ac:dyDescent="0.2">
      <c r="A17974" s="258"/>
      <c r="Z17974" s="258"/>
    </row>
    <row r="17975" spans="1:26" ht="12.75" customHeight="1" x14ac:dyDescent="0.2">
      <c r="A17975" s="258"/>
      <c r="Z17975" s="258"/>
    </row>
    <row r="17976" spans="1:26" ht="12.75" customHeight="1" x14ac:dyDescent="0.2">
      <c r="A17976" s="258"/>
      <c r="Z17976" s="258"/>
    </row>
    <row r="17977" spans="1:26" ht="12.75" customHeight="1" x14ac:dyDescent="0.2">
      <c r="A17977" s="258"/>
      <c r="Z17977" s="258"/>
    </row>
    <row r="17978" spans="1:26" ht="12.75" customHeight="1" x14ac:dyDescent="0.2">
      <c r="A17978" s="258"/>
      <c r="Z17978" s="258"/>
    </row>
    <row r="17979" spans="1:26" ht="12.75" customHeight="1" x14ac:dyDescent="0.2">
      <c r="A17979" s="258"/>
      <c r="Z17979" s="258"/>
    </row>
    <row r="17980" spans="1:26" ht="12.75" customHeight="1" x14ac:dyDescent="0.2">
      <c r="A17980" s="258"/>
      <c r="Z17980" s="258"/>
    </row>
    <row r="17981" spans="1:26" ht="12.75" customHeight="1" x14ac:dyDescent="0.2">
      <c r="A17981" s="258"/>
      <c r="Z17981" s="258"/>
    </row>
    <row r="17982" spans="1:26" ht="12.75" customHeight="1" x14ac:dyDescent="0.2">
      <c r="A17982" s="258"/>
      <c r="Z17982" s="258"/>
    </row>
    <row r="17983" spans="1:26" ht="12.75" customHeight="1" x14ac:dyDescent="0.2">
      <c r="A17983" s="258"/>
      <c r="Z17983" s="258"/>
    </row>
    <row r="17984" spans="1:26" ht="12.75" customHeight="1" x14ac:dyDescent="0.2">
      <c r="A17984" s="258"/>
      <c r="Z17984" s="258"/>
    </row>
    <row r="17985" spans="1:26" ht="12.75" customHeight="1" x14ac:dyDescent="0.2">
      <c r="A17985" s="258"/>
      <c r="Z17985" s="258"/>
    </row>
    <row r="17986" spans="1:26" ht="12.75" customHeight="1" x14ac:dyDescent="0.2">
      <c r="A17986" s="258"/>
      <c r="Z17986" s="258"/>
    </row>
    <row r="17987" spans="1:26" ht="12.75" customHeight="1" x14ac:dyDescent="0.2">
      <c r="A17987" s="258"/>
      <c r="Z17987" s="258"/>
    </row>
    <row r="17988" spans="1:26" ht="12.75" customHeight="1" x14ac:dyDescent="0.2">
      <c r="A17988" s="258"/>
      <c r="Z17988" s="258"/>
    </row>
    <row r="17989" spans="1:26" ht="12.75" customHeight="1" x14ac:dyDescent="0.2">
      <c r="A17989" s="258"/>
      <c r="Z17989" s="258"/>
    </row>
    <row r="17990" spans="1:26" ht="12.75" customHeight="1" x14ac:dyDescent="0.2">
      <c r="A17990" s="258"/>
      <c r="Z17990" s="258"/>
    </row>
    <row r="17991" spans="1:26" ht="12.75" customHeight="1" x14ac:dyDescent="0.2">
      <c r="A17991" s="258"/>
      <c r="Z17991" s="258"/>
    </row>
    <row r="17992" spans="1:26" ht="12.75" customHeight="1" x14ac:dyDescent="0.2">
      <c r="A17992" s="258"/>
      <c r="Z17992" s="258"/>
    </row>
    <row r="17993" spans="1:26" ht="12.75" customHeight="1" x14ac:dyDescent="0.2">
      <c r="A17993" s="258"/>
      <c r="Z17993" s="258"/>
    </row>
    <row r="17994" spans="1:26" ht="12.75" customHeight="1" x14ac:dyDescent="0.2">
      <c r="A17994" s="258"/>
      <c r="Z17994" s="258"/>
    </row>
    <row r="17995" spans="1:26" ht="12.75" customHeight="1" x14ac:dyDescent="0.2">
      <c r="A17995" s="258"/>
      <c r="Z17995" s="258"/>
    </row>
    <row r="17996" spans="1:26" ht="12.75" customHeight="1" x14ac:dyDescent="0.2">
      <c r="A17996" s="258"/>
      <c r="Z17996" s="258"/>
    </row>
    <row r="17997" spans="1:26" ht="12.75" customHeight="1" x14ac:dyDescent="0.2">
      <c r="A17997" s="258"/>
      <c r="Z17997" s="258"/>
    </row>
    <row r="17998" spans="1:26" ht="12.75" customHeight="1" x14ac:dyDescent="0.2">
      <c r="A17998" s="258"/>
      <c r="Z17998" s="258"/>
    </row>
    <row r="17999" spans="1:26" ht="12.75" customHeight="1" x14ac:dyDescent="0.2">
      <c r="A17999" s="258"/>
      <c r="Z17999" s="258"/>
    </row>
    <row r="18000" spans="1:26" ht="12.75" customHeight="1" x14ac:dyDescent="0.2">
      <c r="A18000" s="258"/>
      <c r="Z18000" s="258"/>
    </row>
    <row r="18001" spans="1:26" ht="12.75" customHeight="1" x14ac:dyDescent="0.2">
      <c r="A18001" s="258"/>
      <c r="Z18001" s="258"/>
    </row>
    <row r="18002" spans="1:26" ht="12.75" customHeight="1" x14ac:dyDescent="0.2">
      <c r="A18002" s="258"/>
      <c r="Z18002" s="258"/>
    </row>
    <row r="18003" spans="1:26" ht="12.75" customHeight="1" x14ac:dyDescent="0.2">
      <c r="A18003" s="258"/>
      <c r="Z18003" s="258"/>
    </row>
    <row r="18004" spans="1:26" ht="12.75" customHeight="1" x14ac:dyDescent="0.2">
      <c r="A18004" s="258"/>
      <c r="Z18004" s="258"/>
    </row>
    <row r="18005" spans="1:26" ht="12.75" customHeight="1" x14ac:dyDescent="0.2">
      <c r="A18005" s="258"/>
      <c r="Z18005" s="258"/>
    </row>
    <row r="18006" spans="1:26" ht="12.75" customHeight="1" x14ac:dyDescent="0.2">
      <c r="A18006" s="258"/>
      <c r="Z18006" s="258"/>
    </row>
    <row r="18007" spans="1:26" ht="12.75" customHeight="1" x14ac:dyDescent="0.2">
      <c r="A18007" s="258"/>
      <c r="Z18007" s="258"/>
    </row>
    <row r="18008" spans="1:26" ht="12.75" customHeight="1" x14ac:dyDescent="0.2">
      <c r="A18008" s="258"/>
      <c r="Z18008" s="258"/>
    </row>
    <row r="18009" spans="1:26" ht="12.75" customHeight="1" x14ac:dyDescent="0.2">
      <c r="A18009" s="258"/>
      <c r="Z18009" s="258"/>
    </row>
    <row r="18010" spans="1:26" ht="12.75" customHeight="1" x14ac:dyDescent="0.2">
      <c r="A18010" s="258"/>
      <c r="Z18010" s="258"/>
    </row>
    <row r="18011" spans="1:26" ht="12.75" customHeight="1" x14ac:dyDescent="0.2">
      <c r="A18011" s="258"/>
      <c r="Z18011" s="258"/>
    </row>
    <row r="18012" spans="1:26" ht="12.75" customHeight="1" x14ac:dyDescent="0.2">
      <c r="A18012" s="258"/>
      <c r="Z18012" s="258"/>
    </row>
    <row r="18013" spans="1:26" ht="12.75" customHeight="1" x14ac:dyDescent="0.2">
      <c r="A18013" s="258"/>
      <c r="Z18013" s="258"/>
    </row>
    <row r="18014" spans="1:26" ht="12.75" customHeight="1" x14ac:dyDescent="0.2">
      <c r="A18014" s="258"/>
      <c r="Z18014" s="258"/>
    </row>
    <row r="18015" spans="1:26" ht="12.75" customHeight="1" x14ac:dyDescent="0.2">
      <c r="A18015" s="258"/>
      <c r="Z18015" s="258"/>
    </row>
    <row r="18016" spans="1:26" ht="12.75" customHeight="1" x14ac:dyDescent="0.2">
      <c r="A18016" s="258"/>
      <c r="Z18016" s="258"/>
    </row>
    <row r="18017" spans="1:26" ht="12.75" customHeight="1" x14ac:dyDescent="0.2">
      <c r="A18017" s="258"/>
      <c r="Z18017" s="258"/>
    </row>
    <row r="18018" spans="1:26" ht="12.75" customHeight="1" x14ac:dyDescent="0.2">
      <c r="A18018" s="258"/>
      <c r="Z18018" s="258"/>
    </row>
    <row r="18019" spans="1:26" ht="12.75" customHeight="1" x14ac:dyDescent="0.2">
      <c r="A18019" s="258"/>
      <c r="Z18019" s="258"/>
    </row>
    <row r="18020" spans="1:26" ht="12.75" customHeight="1" x14ac:dyDescent="0.2">
      <c r="A18020" s="258"/>
      <c r="Z18020" s="258"/>
    </row>
    <row r="18021" spans="1:26" ht="12.75" customHeight="1" x14ac:dyDescent="0.2">
      <c r="A18021" s="258"/>
      <c r="Z18021" s="258"/>
    </row>
    <row r="18022" spans="1:26" ht="12.75" customHeight="1" x14ac:dyDescent="0.2">
      <c r="A18022" s="258"/>
      <c r="Z18022" s="258"/>
    </row>
    <row r="18023" spans="1:26" ht="12.75" customHeight="1" x14ac:dyDescent="0.2">
      <c r="A18023" s="258"/>
      <c r="Z18023" s="258"/>
    </row>
    <row r="18024" spans="1:26" ht="12.75" customHeight="1" x14ac:dyDescent="0.2">
      <c r="A18024" s="258"/>
      <c r="Z18024" s="258"/>
    </row>
    <row r="18025" spans="1:26" ht="12.75" customHeight="1" x14ac:dyDescent="0.2">
      <c r="A18025" s="258"/>
      <c r="Z18025" s="258"/>
    </row>
    <row r="18026" spans="1:26" ht="12.75" customHeight="1" x14ac:dyDescent="0.2">
      <c r="A18026" s="258"/>
      <c r="Z18026" s="258"/>
    </row>
    <row r="18027" spans="1:26" ht="12.75" customHeight="1" x14ac:dyDescent="0.2">
      <c r="A18027" s="258"/>
      <c r="Z18027" s="258"/>
    </row>
    <row r="18028" spans="1:26" ht="12.75" customHeight="1" x14ac:dyDescent="0.2">
      <c r="A18028" s="258"/>
      <c r="Z18028" s="258"/>
    </row>
    <row r="18029" spans="1:26" ht="12.75" customHeight="1" x14ac:dyDescent="0.2">
      <c r="A18029" s="258"/>
      <c r="Z18029" s="258"/>
    </row>
    <row r="18030" spans="1:26" ht="12.75" customHeight="1" x14ac:dyDescent="0.2">
      <c r="A18030" s="258"/>
      <c r="Z18030" s="258"/>
    </row>
    <row r="18031" spans="1:26" ht="12.75" customHeight="1" x14ac:dyDescent="0.2">
      <c r="A18031" s="258"/>
      <c r="Z18031" s="258"/>
    </row>
    <row r="18032" spans="1:26" ht="12.75" customHeight="1" x14ac:dyDescent="0.2">
      <c r="A18032" s="258"/>
      <c r="Z18032" s="258"/>
    </row>
    <row r="18033" spans="1:26" ht="12.75" customHeight="1" x14ac:dyDescent="0.2">
      <c r="A18033" s="258"/>
      <c r="Z18033" s="258"/>
    </row>
    <row r="18034" spans="1:26" ht="12.75" customHeight="1" x14ac:dyDescent="0.2">
      <c r="A18034" s="258"/>
      <c r="Z18034" s="258"/>
    </row>
    <row r="18035" spans="1:26" ht="12.75" customHeight="1" x14ac:dyDescent="0.2">
      <c r="A18035" s="258"/>
      <c r="Z18035" s="258"/>
    </row>
    <row r="18036" spans="1:26" ht="12.75" customHeight="1" x14ac:dyDescent="0.2">
      <c r="A18036" s="258"/>
      <c r="Z18036" s="258"/>
    </row>
    <row r="18037" spans="1:26" ht="12.75" customHeight="1" x14ac:dyDescent="0.2">
      <c r="A18037" s="258"/>
      <c r="Z18037" s="258"/>
    </row>
    <row r="18038" spans="1:26" ht="12.75" customHeight="1" x14ac:dyDescent="0.2">
      <c r="A18038" s="258"/>
      <c r="Z18038" s="258"/>
    </row>
    <row r="18039" spans="1:26" ht="12.75" customHeight="1" x14ac:dyDescent="0.2">
      <c r="A18039" s="258"/>
      <c r="Z18039" s="258"/>
    </row>
    <row r="18040" spans="1:26" ht="12.75" customHeight="1" x14ac:dyDescent="0.2">
      <c r="A18040" s="258"/>
      <c r="Z18040" s="258"/>
    </row>
    <row r="18041" spans="1:26" ht="12.75" customHeight="1" x14ac:dyDescent="0.2">
      <c r="A18041" s="258"/>
      <c r="Z18041" s="258"/>
    </row>
    <row r="18042" spans="1:26" ht="12.75" customHeight="1" x14ac:dyDescent="0.2">
      <c r="A18042" s="258"/>
      <c r="Z18042" s="258"/>
    </row>
    <row r="18043" spans="1:26" ht="12.75" customHeight="1" x14ac:dyDescent="0.2">
      <c r="A18043" s="258"/>
      <c r="Z18043" s="258"/>
    </row>
    <row r="18044" spans="1:26" ht="12.75" customHeight="1" x14ac:dyDescent="0.2">
      <c r="A18044" s="258"/>
      <c r="Z18044" s="258"/>
    </row>
    <row r="18045" spans="1:26" ht="12.75" customHeight="1" x14ac:dyDescent="0.2">
      <c r="A18045" s="258"/>
      <c r="Z18045" s="258"/>
    </row>
    <row r="18046" spans="1:26" ht="12.75" customHeight="1" x14ac:dyDescent="0.2">
      <c r="A18046" s="258"/>
      <c r="Z18046" s="258"/>
    </row>
    <row r="18047" spans="1:26" ht="12.75" customHeight="1" x14ac:dyDescent="0.2">
      <c r="A18047" s="258"/>
      <c r="Z18047" s="258"/>
    </row>
    <row r="18048" spans="1:26" ht="12.75" customHeight="1" x14ac:dyDescent="0.2">
      <c r="A18048" s="258"/>
      <c r="Z18048" s="258"/>
    </row>
    <row r="18049" spans="1:26" ht="12.75" customHeight="1" x14ac:dyDescent="0.2">
      <c r="A18049" s="258"/>
      <c r="Z18049" s="258"/>
    </row>
    <row r="18050" spans="1:26" ht="12.75" customHeight="1" x14ac:dyDescent="0.2">
      <c r="A18050" s="258"/>
      <c r="Z18050" s="258"/>
    </row>
    <row r="18051" spans="1:26" ht="12.75" customHeight="1" x14ac:dyDescent="0.2">
      <c r="A18051" s="258"/>
      <c r="Z18051" s="258"/>
    </row>
    <row r="18052" spans="1:26" ht="12.75" customHeight="1" x14ac:dyDescent="0.2">
      <c r="A18052" s="258"/>
      <c r="Z18052" s="258"/>
    </row>
    <row r="18053" spans="1:26" ht="12.75" customHeight="1" x14ac:dyDescent="0.2">
      <c r="A18053" s="258"/>
      <c r="Z18053" s="258"/>
    </row>
    <row r="18054" spans="1:26" ht="12.75" customHeight="1" x14ac:dyDescent="0.2">
      <c r="A18054" s="258"/>
      <c r="Z18054" s="258"/>
    </row>
    <row r="18055" spans="1:26" ht="12.75" customHeight="1" x14ac:dyDescent="0.2">
      <c r="A18055" s="258"/>
      <c r="Z18055" s="258"/>
    </row>
    <row r="18056" spans="1:26" ht="12.75" customHeight="1" x14ac:dyDescent="0.2">
      <c r="A18056" s="258"/>
      <c r="Z18056" s="258"/>
    </row>
    <row r="18057" spans="1:26" ht="12.75" customHeight="1" x14ac:dyDescent="0.2">
      <c r="A18057" s="258"/>
      <c r="Z18057" s="258"/>
    </row>
    <row r="18058" spans="1:26" ht="12.75" customHeight="1" x14ac:dyDescent="0.2">
      <c r="A18058" s="258"/>
      <c r="Z18058" s="258"/>
    </row>
    <row r="18059" spans="1:26" ht="12.75" customHeight="1" x14ac:dyDescent="0.2">
      <c r="A18059" s="258"/>
      <c r="Z18059" s="258"/>
    </row>
    <row r="18060" spans="1:26" ht="12.75" customHeight="1" x14ac:dyDescent="0.2">
      <c r="A18060" s="258"/>
      <c r="Z18060" s="258"/>
    </row>
    <row r="18061" spans="1:26" ht="12.75" customHeight="1" x14ac:dyDescent="0.2">
      <c r="A18061" s="258"/>
      <c r="Z18061" s="258"/>
    </row>
    <row r="18062" spans="1:26" ht="12.75" customHeight="1" x14ac:dyDescent="0.2">
      <c r="A18062" s="258"/>
      <c r="Z18062" s="258"/>
    </row>
    <row r="18063" spans="1:26" ht="12.75" customHeight="1" x14ac:dyDescent="0.2">
      <c r="A18063" s="258"/>
      <c r="Z18063" s="258"/>
    </row>
    <row r="18064" spans="1:26" ht="12.75" customHeight="1" x14ac:dyDescent="0.2">
      <c r="A18064" s="258"/>
      <c r="Z18064" s="258"/>
    </row>
    <row r="18065" spans="1:26" ht="12.75" customHeight="1" x14ac:dyDescent="0.2">
      <c r="A18065" s="258"/>
      <c r="Z18065" s="258"/>
    </row>
    <row r="18066" spans="1:26" ht="12.75" customHeight="1" x14ac:dyDescent="0.2">
      <c r="A18066" s="258"/>
      <c r="Z18066" s="258"/>
    </row>
    <row r="18067" spans="1:26" ht="12.75" customHeight="1" x14ac:dyDescent="0.2">
      <c r="A18067" s="258"/>
      <c r="Z18067" s="258"/>
    </row>
    <row r="18068" spans="1:26" ht="12.75" customHeight="1" x14ac:dyDescent="0.2">
      <c r="A18068" s="258"/>
      <c r="Z18068" s="258"/>
    </row>
    <row r="18069" spans="1:26" ht="12.75" customHeight="1" x14ac:dyDescent="0.2">
      <c r="A18069" s="258"/>
      <c r="Z18069" s="258"/>
    </row>
    <row r="18070" spans="1:26" ht="12.75" customHeight="1" x14ac:dyDescent="0.2">
      <c r="A18070" s="258"/>
      <c r="Z18070" s="258"/>
    </row>
    <row r="18071" spans="1:26" ht="12.75" customHeight="1" x14ac:dyDescent="0.2">
      <c r="A18071" s="258"/>
      <c r="Z18071" s="258"/>
    </row>
    <row r="18072" spans="1:26" ht="12.75" customHeight="1" x14ac:dyDescent="0.2">
      <c r="A18072" s="258"/>
      <c r="Z18072" s="258"/>
    </row>
    <row r="18073" spans="1:26" ht="12.75" customHeight="1" x14ac:dyDescent="0.2">
      <c r="A18073" s="258"/>
      <c r="Z18073" s="258"/>
    </row>
    <row r="18074" spans="1:26" ht="12.75" customHeight="1" x14ac:dyDescent="0.2">
      <c r="A18074" s="258"/>
      <c r="Z18074" s="258"/>
    </row>
    <row r="18075" spans="1:26" ht="12.75" customHeight="1" x14ac:dyDescent="0.2">
      <c r="A18075" s="258"/>
      <c r="Z18075" s="258"/>
    </row>
    <row r="18076" spans="1:26" ht="12.75" customHeight="1" x14ac:dyDescent="0.2">
      <c r="A18076" s="258"/>
      <c r="Z18076" s="258"/>
    </row>
    <row r="18077" spans="1:26" ht="12.75" customHeight="1" x14ac:dyDescent="0.2">
      <c r="A18077" s="258"/>
      <c r="Z18077" s="258"/>
    </row>
    <row r="18078" spans="1:26" ht="12.75" customHeight="1" x14ac:dyDescent="0.2">
      <c r="A18078" s="258"/>
      <c r="Z18078" s="258"/>
    </row>
    <row r="18079" spans="1:26" ht="12.75" customHeight="1" x14ac:dyDescent="0.2">
      <c r="A18079" s="258"/>
      <c r="Z18079" s="258"/>
    </row>
    <row r="18080" spans="1:26" ht="12.75" customHeight="1" x14ac:dyDescent="0.2">
      <c r="A18080" s="258"/>
      <c r="Z18080" s="258"/>
    </row>
    <row r="18081" spans="1:26" ht="12.75" customHeight="1" x14ac:dyDescent="0.2">
      <c r="A18081" s="258"/>
      <c r="Z18081" s="258"/>
    </row>
    <row r="18082" spans="1:26" ht="12.75" customHeight="1" x14ac:dyDescent="0.2">
      <c r="A18082" s="258"/>
      <c r="Z18082" s="258"/>
    </row>
    <row r="18083" spans="1:26" ht="12.75" customHeight="1" x14ac:dyDescent="0.2">
      <c r="A18083" s="258"/>
      <c r="Z18083" s="258"/>
    </row>
    <row r="18084" spans="1:26" ht="12.75" customHeight="1" x14ac:dyDescent="0.2">
      <c r="A18084" s="258"/>
      <c r="Z18084" s="258"/>
    </row>
    <row r="18085" spans="1:26" ht="12.75" customHeight="1" x14ac:dyDescent="0.2">
      <c r="A18085" s="258"/>
      <c r="Z18085" s="258"/>
    </row>
    <row r="18086" spans="1:26" ht="12.75" customHeight="1" x14ac:dyDescent="0.2">
      <c r="A18086" s="258"/>
      <c r="Z18086" s="258"/>
    </row>
    <row r="18087" spans="1:26" ht="12.75" customHeight="1" x14ac:dyDescent="0.2">
      <c r="A18087" s="258"/>
      <c r="Z18087" s="258"/>
    </row>
    <row r="18088" spans="1:26" ht="12.75" customHeight="1" x14ac:dyDescent="0.2">
      <c r="A18088" s="258"/>
      <c r="Z18088" s="258"/>
    </row>
    <row r="18089" spans="1:26" ht="12.75" customHeight="1" x14ac:dyDescent="0.2">
      <c r="A18089" s="258"/>
      <c r="Z18089" s="258"/>
    </row>
    <row r="18090" spans="1:26" ht="12.75" customHeight="1" x14ac:dyDescent="0.2">
      <c r="A18090" s="258"/>
      <c r="Z18090" s="258"/>
    </row>
    <row r="18091" spans="1:26" ht="12.75" customHeight="1" x14ac:dyDescent="0.2">
      <c r="A18091" s="258"/>
      <c r="Z18091" s="258"/>
    </row>
    <row r="18092" spans="1:26" ht="12.75" customHeight="1" x14ac:dyDescent="0.2">
      <c r="A18092" s="258"/>
      <c r="Z18092" s="258"/>
    </row>
    <row r="18093" spans="1:26" ht="12.75" customHeight="1" x14ac:dyDescent="0.2">
      <c r="A18093" s="258"/>
      <c r="Z18093" s="258"/>
    </row>
    <row r="18094" spans="1:26" ht="12.75" customHeight="1" x14ac:dyDescent="0.2">
      <c r="A18094" s="258"/>
      <c r="Z18094" s="258"/>
    </row>
    <row r="18095" spans="1:26" ht="12.75" customHeight="1" x14ac:dyDescent="0.2">
      <c r="A18095" s="258"/>
      <c r="Z18095" s="258"/>
    </row>
    <row r="18096" spans="1:26" ht="12.75" customHeight="1" x14ac:dyDescent="0.2">
      <c r="A18096" s="258"/>
      <c r="Z18096" s="258"/>
    </row>
    <row r="18097" spans="1:26" ht="12.75" customHeight="1" x14ac:dyDescent="0.2">
      <c r="A18097" s="258"/>
      <c r="Z18097" s="258"/>
    </row>
    <row r="18098" spans="1:26" ht="12.75" customHeight="1" x14ac:dyDescent="0.2">
      <c r="A18098" s="258"/>
      <c r="Z18098" s="258"/>
    </row>
    <row r="18099" spans="1:26" ht="12.75" customHeight="1" x14ac:dyDescent="0.2">
      <c r="A18099" s="258"/>
      <c r="Z18099" s="258"/>
    </row>
    <row r="18100" spans="1:26" ht="12.75" customHeight="1" x14ac:dyDescent="0.2">
      <c r="A18100" s="258"/>
      <c r="Z18100" s="258"/>
    </row>
    <row r="18101" spans="1:26" ht="12.75" customHeight="1" x14ac:dyDescent="0.2">
      <c r="A18101" s="258"/>
      <c r="Z18101" s="258"/>
    </row>
    <row r="18102" spans="1:26" ht="12.75" customHeight="1" x14ac:dyDescent="0.2">
      <c r="A18102" s="258"/>
      <c r="Z18102" s="258"/>
    </row>
    <row r="18103" spans="1:26" ht="12.75" customHeight="1" x14ac:dyDescent="0.2">
      <c r="A18103" s="258"/>
      <c r="Z18103" s="258"/>
    </row>
    <row r="18104" spans="1:26" ht="12.75" customHeight="1" x14ac:dyDescent="0.2">
      <c r="A18104" s="258"/>
      <c r="Z18104" s="258"/>
    </row>
    <row r="18105" spans="1:26" ht="12.75" customHeight="1" x14ac:dyDescent="0.2">
      <c r="A18105" s="258"/>
      <c r="Z18105" s="258"/>
    </row>
    <row r="18106" spans="1:26" ht="12.75" customHeight="1" x14ac:dyDescent="0.2">
      <c r="A18106" s="258"/>
      <c r="Z18106" s="258"/>
    </row>
    <row r="18107" spans="1:26" ht="12.75" customHeight="1" x14ac:dyDescent="0.2">
      <c r="A18107" s="258"/>
      <c r="Z18107" s="258"/>
    </row>
    <row r="18108" spans="1:26" ht="12.75" customHeight="1" x14ac:dyDescent="0.2">
      <c r="A18108" s="258"/>
      <c r="Z18108" s="258"/>
    </row>
    <row r="18109" spans="1:26" ht="12.75" customHeight="1" x14ac:dyDescent="0.2">
      <c r="A18109" s="258"/>
      <c r="Z18109" s="258"/>
    </row>
    <row r="18110" spans="1:26" ht="12.75" customHeight="1" x14ac:dyDescent="0.2">
      <c r="A18110" s="258"/>
      <c r="Z18110" s="258"/>
    </row>
    <row r="18111" spans="1:26" ht="12.75" customHeight="1" x14ac:dyDescent="0.2">
      <c r="A18111" s="258"/>
      <c r="Z18111" s="258"/>
    </row>
    <row r="18112" spans="1:26" ht="12.75" customHeight="1" x14ac:dyDescent="0.2">
      <c r="A18112" s="258"/>
      <c r="Z18112" s="258"/>
    </row>
    <row r="18113" spans="1:26" ht="12.75" customHeight="1" x14ac:dyDescent="0.2">
      <c r="A18113" s="258"/>
      <c r="Z18113" s="258"/>
    </row>
    <row r="18114" spans="1:26" ht="12.75" customHeight="1" x14ac:dyDescent="0.2">
      <c r="A18114" s="258"/>
      <c r="Z18114" s="258"/>
    </row>
    <row r="18115" spans="1:26" ht="12.75" customHeight="1" x14ac:dyDescent="0.2">
      <c r="A18115" s="258"/>
      <c r="Z18115" s="258"/>
    </row>
    <row r="18116" spans="1:26" ht="12.75" customHeight="1" x14ac:dyDescent="0.2">
      <c r="A18116" s="258"/>
      <c r="Z18116" s="258"/>
    </row>
    <row r="18117" spans="1:26" ht="12.75" customHeight="1" x14ac:dyDescent="0.2">
      <c r="A18117" s="258"/>
      <c r="Z18117" s="258"/>
    </row>
    <row r="18118" spans="1:26" ht="12.75" customHeight="1" x14ac:dyDescent="0.2">
      <c r="A18118" s="258"/>
      <c r="Z18118" s="258"/>
    </row>
    <row r="18119" spans="1:26" ht="12.75" customHeight="1" x14ac:dyDescent="0.2">
      <c r="A18119" s="258"/>
      <c r="Z18119" s="258"/>
    </row>
    <row r="18120" spans="1:26" ht="12.75" customHeight="1" x14ac:dyDescent="0.2">
      <c r="A18120" s="258"/>
      <c r="Z18120" s="258"/>
    </row>
    <row r="18121" spans="1:26" ht="12.75" customHeight="1" x14ac:dyDescent="0.2">
      <c r="A18121" s="258"/>
      <c r="Z18121" s="258"/>
    </row>
    <row r="18122" spans="1:26" ht="12.75" customHeight="1" x14ac:dyDescent="0.2">
      <c r="A18122" s="258"/>
      <c r="Z18122" s="258"/>
    </row>
    <row r="18123" spans="1:26" ht="12.75" customHeight="1" x14ac:dyDescent="0.2">
      <c r="A18123" s="258"/>
      <c r="Z18123" s="258"/>
    </row>
    <row r="18124" spans="1:26" ht="12.75" customHeight="1" x14ac:dyDescent="0.2">
      <c r="A18124" s="258"/>
      <c r="Z18124" s="258"/>
    </row>
    <row r="18125" spans="1:26" ht="12.75" customHeight="1" x14ac:dyDescent="0.2">
      <c r="A18125" s="258"/>
      <c r="Z18125" s="258"/>
    </row>
    <row r="18126" spans="1:26" ht="12.75" customHeight="1" x14ac:dyDescent="0.2">
      <c r="A18126" s="258"/>
      <c r="Z18126" s="258"/>
    </row>
    <row r="18127" spans="1:26" ht="12.75" customHeight="1" x14ac:dyDescent="0.2">
      <c r="A18127" s="258"/>
      <c r="Z18127" s="258"/>
    </row>
    <row r="18128" spans="1:26" ht="12.75" customHeight="1" x14ac:dyDescent="0.2">
      <c r="A18128" s="258"/>
      <c r="Z18128" s="258"/>
    </row>
    <row r="18129" spans="1:26" ht="12.75" customHeight="1" x14ac:dyDescent="0.2">
      <c r="A18129" s="258"/>
      <c r="Z18129" s="258"/>
    </row>
    <row r="18130" spans="1:26" ht="12.75" customHeight="1" x14ac:dyDescent="0.2">
      <c r="A18130" s="258"/>
      <c r="Z18130" s="258"/>
    </row>
    <row r="18131" spans="1:26" ht="12.75" customHeight="1" x14ac:dyDescent="0.2">
      <c r="A18131" s="258"/>
      <c r="Z18131" s="258"/>
    </row>
    <row r="18132" spans="1:26" ht="12.75" customHeight="1" x14ac:dyDescent="0.2">
      <c r="A18132" s="258"/>
      <c r="Z18132" s="258"/>
    </row>
    <row r="18133" spans="1:26" ht="12.75" customHeight="1" x14ac:dyDescent="0.2">
      <c r="A18133" s="258"/>
      <c r="Z18133" s="258"/>
    </row>
    <row r="18134" spans="1:26" ht="12.75" customHeight="1" x14ac:dyDescent="0.2">
      <c r="A18134" s="258"/>
      <c r="Z18134" s="258"/>
    </row>
    <row r="18135" spans="1:26" ht="12.75" customHeight="1" x14ac:dyDescent="0.2">
      <c r="A18135" s="258"/>
      <c r="Z18135" s="258"/>
    </row>
    <row r="18136" spans="1:26" ht="12.75" customHeight="1" x14ac:dyDescent="0.2">
      <c r="A18136" s="258"/>
      <c r="Z18136" s="258"/>
    </row>
    <row r="18137" spans="1:26" ht="12.75" customHeight="1" x14ac:dyDescent="0.2">
      <c r="A18137" s="258"/>
      <c r="Z18137" s="258"/>
    </row>
    <row r="18138" spans="1:26" ht="12.75" customHeight="1" x14ac:dyDescent="0.2">
      <c r="A18138" s="258"/>
      <c r="Z18138" s="258"/>
    </row>
    <row r="18139" spans="1:26" ht="12.75" customHeight="1" x14ac:dyDescent="0.2">
      <c r="A18139" s="258"/>
      <c r="Z18139" s="258"/>
    </row>
    <row r="18140" spans="1:26" ht="12.75" customHeight="1" x14ac:dyDescent="0.2">
      <c r="A18140" s="258"/>
      <c r="Z18140" s="258"/>
    </row>
    <row r="18141" spans="1:26" ht="12.75" customHeight="1" x14ac:dyDescent="0.2">
      <c r="A18141" s="258"/>
      <c r="Z18141" s="258"/>
    </row>
    <row r="18142" spans="1:26" ht="12.75" customHeight="1" x14ac:dyDescent="0.2">
      <c r="A18142" s="258"/>
      <c r="Z18142" s="258"/>
    </row>
    <row r="18143" spans="1:26" ht="12.75" customHeight="1" x14ac:dyDescent="0.2">
      <c r="A18143" s="258"/>
      <c r="Z18143" s="258"/>
    </row>
    <row r="18144" spans="1:26" ht="12.75" customHeight="1" x14ac:dyDescent="0.2">
      <c r="A18144" s="258"/>
      <c r="Z18144" s="258"/>
    </row>
    <row r="18145" spans="1:26" ht="12.75" customHeight="1" x14ac:dyDescent="0.2">
      <c r="A18145" s="258"/>
      <c r="Z18145" s="258"/>
    </row>
    <row r="18146" spans="1:26" ht="12.75" customHeight="1" x14ac:dyDescent="0.2">
      <c r="A18146" s="258"/>
      <c r="Z18146" s="258"/>
    </row>
    <row r="18147" spans="1:26" ht="12.75" customHeight="1" x14ac:dyDescent="0.2">
      <c r="A18147" s="258"/>
      <c r="Z18147" s="258"/>
    </row>
    <row r="18148" spans="1:26" ht="12.75" customHeight="1" x14ac:dyDescent="0.2">
      <c r="A18148" s="258"/>
      <c r="Z18148" s="258"/>
    </row>
    <row r="18149" spans="1:26" ht="12.75" customHeight="1" x14ac:dyDescent="0.2">
      <c r="A18149" s="258"/>
      <c r="Z18149" s="258"/>
    </row>
    <row r="18150" spans="1:26" ht="12.75" customHeight="1" x14ac:dyDescent="0.2">
      <c r="A18150" s="258"/>
      <c r="Z18150" s="258"/>
    </row>
    <row r="18151" spans="1:26" ht="12.75" customHeight="1" x14ac:dyDescent="0.2">
      <c r="A18151" s="258"/>
      <c r="Z18151" s="258"/>
    </row>
    <row r="18152" spans="1:26" ht="12.75" customHeight="1" x14ac:dyDescent="0.2">
      <c r="A18152" s="258"/>
      <c r="Z18152" s="258"/>
    </row>
    <row r="18153" spans="1:26" ht="12.75" customHeight="1" x14ac:dyDescent="0.2">
      <c r="A18153" s="258"/>
      <c r="Z18153" s="258"/>
    </row>
    <row r="18154" spans="1:26" ht="12.75" customHeight="1" x14ac:dyDescent="0.2">
      <c r="A18154" s="258"/>
      <c r="Z18154" s="258"/>
    </row>
    <row r="18155" spans="1:26" ht="12.75" customHeight="1" x14ac:dyDescent="0.2">
      <c r="A18155" s="258"/>
      <c r="Z18155" s="258"/>
    </row>
    <row r="18156" spans="1:26" ht="12.75" customHeight="1" x14ac:dyDescent="0.2">
      <c r="A18156" s="258"/>
      <c r="Z18156" s="258"/>
    </row>
    <row r="18157" spans="1:26" ht="12.75" customHeight="1" x14ac:dyDescent="0.2">
      <c r="A18157" s="258"/>
      <c r="Z18157" s="258"/>
    </row>
    <row r="18158" spans="1:26" ht="12.75" customHeight="1" x14ac:dyDescent="0.2">
      <c r="A18158" s="258"/>
      <c r="Z18158" s="258"/>
    </row>
    <row r="18159" spans="1:26" ht="12.75" customHeight="1" x14ac:dyDescent="0.2">
      <c r="A18159" s="258"/>
      <c r="Z18159" s="258"/>
    </row>
    <row r="18160" spans="1:26" ht="12.75" customHeight="1" x14ac:dyDescent="0.2">
      <c r="A18160" s="258"/>
      <c r="Z18160" s="258"/>
    </row>
    <row r="18161" spans="1:26" ht="12.75" customHeight="1" x14ac:dyDescent="0.2">
      <c r="A18161" s="258"/>
      <c r="Z18161" s="258"/>
    </row>
    <row r="18162" spans="1:26" ht="12.75" customHeight="1" x14ac:dyDescent="0.2">
      <c r="A18162" s="258"/>
      <c r="Z18162" s="258"/>
    </row>
    <row r="18163" spans="1:26" ht="12.75" customHeight="1" x14ac:dyDescent="0.2">
      <c r="A18163" s="258"/>
      <c r="Z18163" s="258"/>
    </row>
    <row r="18164" spans="1:26" ht="12.75" customHeight="1" x14ac:dyDescent="0.2">
      <c r="A18164" s="258"/>
      <c r="Z18164" s="258"/>
    </row>
    <row r="18165" spans="1:26" ht="12.75" customHeight="1" x14ac:dyDescent="0.2">
      <c r="A18165" s="258"/>
      <c r="Z18165" s="258"/>
    </row>
    <row r="18166" spans="1:26" ht="12.75" customHeight="1" x14ac:dyDescent="0.2">
      <c r="A18166" s="258"/>
      <c r="Z18166" s="258"/>
    </row>
    <row r="18167" spans="1:26" ht="12.75" customHeight="1" x14ac:dyDescent="0.2">
      <c r="A18167" s="258"/>
      <c r="Z18167" s="258"/>
    </row>
    <row r="18168" spans="1:26" ht="12.75" customHeight="1" x14ac:dyDescent="0.2">
      <c r="A18168" s="258"/>
      <c r="Z18168" s="258"/>
    </row>
    <row r="18169" spans="1:26" ht="12.75" customHeight="1" x14ac:dyDescent="0.2">
      <c r="A18169" s="258"/>
      <c r="Z18169" s="258"/>
    </row>
    <row r="18170" spans="1:26" ht="12.75" customHeight="1" x14ac:dyDescent="0.2">
      <c r="A18170" s="258"/>
      <c r="Z18170" s="258"/>
    </row>
    <row r="18171" spans="1:26" ht="12.75" customHeight="1" x14ac:dyDescent="0.2">
      <c r="A18171" s="258"/>
      <c r="Z18171" s="258"/>
    </row>
    <row r="18172" spans="1:26" ht="12.75" customHeight="1" x14ac:dyDescent="0.2">
      <c r="A18172" s="258"/>
      <c r="Z18172" s="258"/>
    </row>
    <row r="18173" spans="1:26" ht="12.75" customHeight="1" x14ac:dyDescent="0.2">
      <c r="A18173" s="258"/>
      <c r="Z18173" s="258"/>
    </row>
    <row r="18174" spans="1:26" ht="12.75" customHeight="1" x14ac:dyDescent="0.2">
      <c r="A18174" s="258"/>
      <c r="Z18174" s="258"/>
    </row>
    <row r="18175" spans="1:26" ht="12.75" customHeight="1" x14ac:dyDescent="0.2">
      <c r="A18175" s="258"/>
      <c r="Z18175" s="258"/>
    </row>
    <row r="18176" spans="1:26" ht="12.75" customHeight="1" x14ac:dyDescent="0.2">
      <c r="A18176" s="258"/>
      <c r="Z18176" s="258"/>
    </row>
    <row r="18177" spans="1:26" ht="12.75" customHeight="1" x14ac:dyDescent="0.2">
      <c r="A18177" s="258"/>
      <c r="Z18177" s="258"/>
    </row>
    <row r="18178" spans="1:26" ht="12.75" customHeight="1" x14ac:dyDescent="0.2">
      <c r="A18178" s="258"/>
      <c r="Z18178" s="258"/>
    </row>
    <row r="18179" spans="1:26" ht="12.75" customHeight="1" x14ac:dyDescent="0.2">
      <c r="A18179" s="258"/>
      <c r="Z18179" s="258"/>
    </row>
    <row r="18180" spans="1:26" ht="12.75" customHeight="1" x14ac:dyDescent="0.2">
      <c r="A18180" s="258"/>
      <c r="Z18180" s="258"/>
    </row>
    <row r="18181" spans="1:26" ht="12.75" customHeight="1" x14ac:dyDescent="0.2">
      <c r="A18181" s="258"/>
      <c r="Z18181" s="258"/>
    </row>
    <row r="18182" spans="1:26" ht="12.75" customHeight="1" x14ac:dyDescent="0.2">
      <c r="A18182" s="258"/>
      <c r="Z18182" s="258"/>
    </row>
    <row r="18183" spans="1:26" ht="12.75" customHeight="1" x14ac:dyDescent="0.2">
      <c r="A18183" s="258"/>
      <c r="Z18183" s="258"/>
    </row>
    <row r="18184" spans="1:26" ht="12.75" customHeight="1" x14ac:dyDescent="0.2">
      <c r="A18184" s="258"/>
      <c r="Z18184" s="258"/>
    </row>
    <row r="18185" spans="1:26" ht="12.75" customHeight="1" x14ac:dyDescent="0.2">
      <c r="A18185" s="258"/>
      <c r="Z18185" s="258"/>
    </row>
    <row r="18186" spans="1:26" ht="12.75" customHeight="1" x14ac:dyDescent="0.2">
      <c r="A18186" s="258"/>
      <c r="Z18186" s="258"/>
    </row>
    <row r="18187" spans="1:26" ht="12.75" customHeight="1" x14ac:dyDescent="0.2">
      <c r="A18187" s="258"/>
      <c r="Z18187" s="258"/>
    </row>
    <row r="18188" spans="1:26" ht="12.75" customHeight="1" x14ac:dyDescent="0.2">
      <c r="A18188" s="258"/>
      <c r="Z18188" s="258"/>
    </row>
    <row r="18189" spans="1:26" ht="12.75" customHeight="1" x14ac:dyDescent="0.2">
      <c r="A18189" s="258"/>
      <c r="Z18189" s="258"/>
    </row>
    <row r="18190" spans="1:26" ht="12.75" customHeight="1" x14ac:dyDescent="0.2">
      <c r="A18190" s="258"/>
      <c r="Z18190" s="258"/>
    </row>
    <row r="18191" spans="1:26" ht="12.75" customHeight="1" x14ac:dyDescent="0.2">
      <c r="A18191" s="258"/>
      <c r="Z18191" s="258"/>
    </row>
    <row r="18192" spans="1:26" ht="12.75" customHeight="1" x14ac:dyDescent="0.2">
      <c r="A18192" s="258"/>
      <c r="Z18192" s="258"/>
    </row>
    <row r="18193" spans="1:26" ht="12.75" customHeight="1" x14ac:dyDescent="0.2">
      <c r="A18193" s="258"/>
      <c r="Z18193" s="258"/>
    </row>
    <row r="18194" spans="1:26" ht="12.75" customHeight="1" x14ac:dyDescent="0.2">
      <c r="A18194" s="258"/>
      <c r="Z18194" s="258"/>
    </row>
    <row r="18195" spans="1:26" ht="12.75" customHeight="1" x14ac:dyDescent="0.2">
      <c r="A18195" s="258"/>
      <c r="Z18195" s="258"/>
    </row>
    <row r="18196" spans="1:26" ht="12.75" customHeight="1" x14ac:dyDescent="0.2">
      <c r="A18196" s="258"/>
      <c r="Z18196" s="258"/>
    </row>
    <row r="18197" spans="1:26" ht="12.75" customHeight="1" x14ac:dyDescent="0.2">
      <c r="A18197" s="258"/>
      <c r="Z18197" s="258"/>
    </row>
    <row r="18198" spans="1:26" ht="12.75" customHeight="1" x14ac:dyDescent="0.2">
      <c r="A18198" s="258"/>
      <c r="Z18198" s="258"/>
    </row>
    <row r="18199" spans="1:26" ht="12.75" customHeight="1" x14ac:dyDescent="0.2">
      <c r="A18199" s="258"/>
      <c r="Z18199" s="258"/>
    </row>
    <row r="18200" spans="1:26" ht="12.75" customHeight="1" x14ac:dyDescent="0.2">
      <c r="A18200" s="258"/>
      <c r="Z18200" s="258"/>
    </row>
    <row r="18201" spans="1:26" ht="12.75" customHeight="1" x14ac:dyDescent="0.2">
      <c r="A18201" s="258"/>
      <c r="Z18201" s="258"/>
    </row>
    <row r="18202" spans="1:26" ht="12.75" customHeight="1" x14ac:dyDescent="0.2">
      <c r="A18202" s="258"/>
      <c r="Z18202" s="258"/>
    </row>
    <row r="18203" spans="1:26" ht="12.75" customHeight="1" x14ac:dyDescent="0.2">
      <c r="A18203" s="258"/>
      <c r="Z18203" s="258"/>
    </row>
    <row r="18204" spans="1:26" ht="12.75" customHeight="1" x14ac:dyDescent="0.2">
      <c r="A18204" s="258"/>
      <c r="Z18204" s="258"/>
    </row>
    <row r="18205" spans="1:26" ht="12.75" customHeight="1" x14ac:dyDescent="0.2">
      <c r="A18205" s="258"/>
      <c r="Z18205" s="258"/>
    </row>
    <row r="18206" spans="1:26" ht="12.75" customHeight="1" x14ac:dyDescent="0.2">
      <c r="A18206" s="258"/>
      <c r="Z18206" s="258"/>
    </row>
    <row r="18207" spans="1:26" ht="12.75" customHeight="1" x14ac:dyDescent="0.2">
      <c r="A18207" s="258"/>
      <c r="Z18207" s="258"/>
    </row>
    <row r="18208" spans="1:26" ht="12.75" customHeight="1" x14ac:dyDescent="0.2">
      <c r="A18208" s="258"/>
      <c r="Z18208" s="258"/>
    </row>
    <row r="18209" spans="1:26" ht="12.75" customHeight="1" x14ac:dyDescent="0.2">
      <c r="A18209" s="258"/>
      <c r="Z18209" s="258"/>
    </row>
    <row r="18210" spans="1:26" ht="12.75" customHeight="1" x14ac:dyDescent="0.2">
      <c r="A18210" s="258"/>
      <c r="Z18210" s="258"/>
    </row>
    <row r="18211" spans="1:26" ht="12.75" customHeight="1" x14ac:dyDescent="0.2">
      <c r="A18211" s="258"/>
      <c r="Z18211" s="258"/>
    </row>
    <row r="18212" spans="1:26" ht="12.75" customHeight="1" x14ac:dyDescent="0.2">
      <c r="A18212" s="258"/>
      <c r="Z18212" s="258"/>
    </row>
    <row r="18213" spans="1:26" ht="12.75" customHeight="1" x14ac:dyDescent="0.2">
      <c r="A18213" s="258"/>
      <c r="Z18213" s="258"/>
    </row>
    <row r="18214" spans="1:26" ht="12.75" customHeight="1" x14ac:dyDescent="0.2">
      <c r="A18214" s="258"/>
      <c r="Z18214" s="258"/>
    </row>
    <row r="18215" spans="1:26" ht="12.75" customHeight="1" x14ac:dyDescent="0.2">
      <c r="A18215" s="258"/>
      <c r="Z18215" s="258"/>
    </row>
    <row r="18216" spans="1:26" ht="12.75" customHeight="1" x14ac:dyDescent="0.2">
      <c r="A18216" s="258"/>
      <c r="Z18216" s="258"/>
    </row>
    <row r="18217" spans="1:26" ht="12.75" customHeight="1" x14ac:dyDescent="0.2">
      <c r="A18217" s="258"/>
      <c r="Z18217" s="258"/>
    </row>
    <row r="18218" spans="1:26" ht="12.75" customHeight="1" x14ac:dyDescent="0.2">
      <c r="A18218" s="258"/>
      <c r="Z18218" s="258"/>
    </row>
    <row r="18219" spans="1:26" ht="12.75" customHeight="1" x14ac:dyDescent="0.2">
      <c r="A18219" s="258"/>
      <c r="Z18219" s="258"/>
    </row>
    <row r="18220" spans="1:26" ht="12.75" customHeight="1" x14ac:dyDescent="0.2">
      <c r="A18220" s="258"/>
      <c r="Z18220" s="258"/>
    </row>
    <row r="18221" spans="1:26" ht="12.75" customHeight="1" x14ac:dyDescent="0.2">
      <c r="A18221" s="258"/>
      <c r="Z18221" s="258"/>
    </row>
    <row r="18222" spans="1:26" ht="12.75" customHeight="1" x14ac:dyDescent="0.2">
      <c r="A18222" s="258"/>
      <c r="Z18222" s="258"/>
    </row>
    <row r="18223" spans="1:26" ht="12.75" customHeight="1" x14ac:dyDescent="0.2">
      <c r="A18223" s="258"/>
      <c r="Z18223" s="258"/>
    </row>
    <row r="18224" spans="1:26" ht="12.75" customHeight="1" x14ac:dyDescent="0.2">
      <c r="A18224" s="258"/>
      <c r="Z18224" s="258"/>
    </row>
    <row r="18225" spans="1:26" ht="12.75" customHeight="1" x14ac:dyDescent="0.2">
      <c r="A18225" s="258"/>
      <c r="Z18225" s="258"/>
    </row>
    <row r="18226" spans="1:26" ht="12.75" customHeight="1" x14ac:dyDescent="0.2">
      <c r="A18226" s="258"/>
      <c r="Z18226" s="258"/>
    </row>
    <row r="18227" spans="1:26" ht="12.75" customHeight="1" x14ac:dyDescent="0.2">
      <c r="A18227" s="258"/>
      <c r="Z18227" s="258"/>
    </row>
    <row r="18228" spans="1:26" ht="12.75" customHeight="1" x14ac:dyDescent="0.2">
      <c r="A18228" s="258"/>
      <c r="Z18228" s="258"/>
    </row>
    <row r="18229" spans="1:26" ht="12.75" customHeight="1" x14ac:dyDescent="0.2">
      <c r="A18229" s="258"/>
      <c r="Z18229" s="258"/>
    </row>
    <row r="18230" spans="1:26" ht="12.75" customHeight="1" x14ac:dyDescent="0.2">
      <c r="A18230" s="258"/>
      <c r="Z18230" s="258"/>
    </row>
    <row r="18231" spans="1:26" ht="12.75" customHeight="1" x14ac:dyDescent="0.2">
      <c r="A18231" s="258"/>
      <c r="Z18231" s="258"/>
    </row>
    <row r="18232" spans="1:26" ht="12.75" customHeight="1" x14ac:dyDescent="0.2">
      <c r="A18232" s="258"/>
      <c r="Z18232" s="258"/>
    </row>
    <row r="18233" spans="1:26" ht="12.75" customHeight="1" x14ac:dyDescent="0.2">
      <c r="A18233" s="258"/>
      <c r="Z18233" s="258"/>
    </row>
    <row r="18234" spans="1:26" ht="12.75" customHeight="1" x14ac:dyDescent="0.2">
      <c r="A18234" s="258"/>
      <c r="Z18234" s="258"/>
    </row>
    <row r="18235" spans="1:26" ht="12.75" customHeight="1" x14ac:dyDescent="0.2">
      <c r="A18235" s="258"/>
      <c r="Z18235" s="258"/>
    </row>
    <row r="18236" spans="1:26" ht="12.75" customHeight="1" x14ac:dyDescent="0.2">
      <c r="A18236" s="258"/>
      <c r="Z18236" s="258"/>
    </row>
    <row r="18237" spans="1:26" ht="12.75" customHeight="1" x14ac:dyDescent="0.2">
      <c r="A18237" s="258"/>
      <c r="Z18237" s="258"/>
    </row>
    <row r="18238" spans="1:26" ht="12.75" customHeight="1" x14ac:dyDescent="0.2">
      <c r="A18238" s="258"/>
      <c r="Z18238" s="258"/>
    </row>
    <row r="18239" spans="1:26" ht="12.75" customHeight="1" x14ac:dyDescent="0.2">
      <c r="A18239" s="258"/>
      <c r="Z18239" s="258"/>
    </row>
    <row r="18240" spans="1:26" ht="12.75" customHeight="1" x14ac:dyDescent="0.2">
      <c r="A18240" s="258"/>
      <c r="Z18240" s="258"/>
    </row>
    <row r="18241" spans="1:26" ht="12.75" customHeight="1" x14ac:dyDescent="0.2">
      <c r="A18241" s="258"/>
      <c r="Z18241" s="258"/>
    </row>
    <row r="18242" spans="1:26" ht="12.75" customHeight="1" x14ac:dyDescent="0.2">
      <c r="A18242" s="258"/>
      <c r="Z18242" s="258"/>
    </row>
    <row r="18243" spans="1:26" ht="12.75" customHeight="1" x14ac:dyDescent="0.2">
      <c r="A18243" s="258"/>
      <c r="Z18243" s="258"/>
    </row>
    <row r="18244" spans="1:26" ht="12.75" customHeight="1" x14ac:dyDescent="0.2">
      <c r="A18244" s="258"/>
      <c r="Z18244" s="258"/>
    </row>
    <row r="18245" spans="1:26" ht="12.75" customHeight="1" x14ac:dyDescent="0.2">
      <c r="A18245" s="258"/>
      <c r="Z18245" s="258"/>
    </row>
    <row r="18246" spans="1:26" ht="12.75" customHeight="1" x14ac:dyDescent="0.2">
      <c r="A18246" s="258"/>
      <c r="Z18246" s="258"/>
    </row>
    <row r="18247" spans="1:26" ht="12.75" customHeight="1" x14ac:dyDescent="0.2">
      <c r="A18247" s="258"/>
      <c r="Z18247" s="258"/>
    </row>
    <row r="18248" spans="1:26" ht="12.75" customHeight="1" x14ac:dyDescent="0.2">
      <c r="A18248" s="258"/>
      <c r="Z18248" s="258"/>
    </row>
    <row r="18249" spans="1:26" ht="12.75" customHeight="1" x14ac:dyDescent="0.2">
      <c r="A18249" s="258"/>
      <c r="Z18249" s="258"/>
    </row>
    <row r="18250" spans="1:26" ht="12.75" customHeight="1" x14ac:dyDescent="0.2">
      <c r="A18250" s="258"/>
      <c r="Z18250" s="258"/>
    </row>
    <row r="18251" spans="1:26" ht="12.75" customHeight="1" x14ac:dyDescent="0.2">
      <c r="A18251" s="258"/>
      <c r="Z18251" s="258"/>
    </row>
    <row r="18252" spans="1:26" ht="12.75" customHeight="1" x14ac:dyDescent="0.2">
      <c r="A18252" s="258"/>
      <c r="Z18252" s="258"/>
    </row>
    <row r="18253" spans="1:26" ht="12.75" customHeight="1" x14ac:dyDescent="0.2">
      <c r="A18253" s="258"/>
      <c r="Z18253" s="258"/>
    </row>
    <row r="18254" spans="1:26" ht="12.75" customHeight="1" x14ac:dyDescent="0.2">
      <c r="A18254" s="258"/>
      <c r="Z18254" s="258"/>
    </row>
    <row r="18255" spans="1:26" ht="12.75" customHeight="1" x14ac:dyDescent="0.2">
      <c r="A18255" s="258"/>
      <c r="Z18255" s="258"/>
    </row>
    <row r="18256" spans="1:26" ht="12.75" customHeight="1" x14ac:dyDescent="0.2">
      <c r="A18256" s="258"/>
      <c r="Z18256" s="258"/>
    </row>
    <row r="18257" spans="1:26" ht="12.75" customHeight="1" x14ac:dyDescent="0.2">
      <c r="A18257" s="258"/>
      <c r="Z18257" s="258"/>
    </row>
    <row r="18258" spans="1:26" ht="12.75" customHeight="1" x14ac:dyDescent="0.2">
      <c r="A18258" s="258"/>
      <c r="Z18258" s="258"/>
    </row>
    <row r="18259" spans="1:26" ht="12.75" customHeight="1" x14ac:dyDescent="0.2">
      <c r="A18259" s="258"/>
      <c r="Z18259" s="258"/>
    </row>
    <row r="18260" spans="1:26" ht="12.75" customHeight="1" x14ac:dyDescent="0.2">
      <c r="A18260" s="258"/>
      <c r="Z18260" s="258"/>
    </row>
    <row r="18261" spans="1:26" ht="12.75" customHeight="1" x14ac:dyDescent="0.2">
      <c r="A18261" s="258"/>
      <c r="Z18261" s="258"/>
    </row>
    <row r="18262" spans="1:26" ht="12.75" customHeight="1" x14ac:dyDescent="0.2">
      <c r="A18262" s="258"/>
      <c r="Z18262" s="258"/>
    </row>
    <row r="18263" spans="1:26" ht="12.75" customHeight="1" x14ac:dyDescent="0.2">
      <c r="A18263" s="258"/>
      <c r="Z18263" s="258"/>
    </row>
    <row r="18264" spans="1:26" ht="12.75" customHeight="1" x14ac:dyDescent="0.2">
      <c r="A18264" s="258"/>
      <c r="Z18264" s="258"/>
    </row>
    <row r="18265" spans="1:26" ht="12.75" customHeight="1" x14ac:dyDescent="0.2">
      <c r="A18265" s="258"/>
      <c r="Z18265" s="258"/>
    </row>
    <row r="18266" spans="1:26" ht="12.75" customHeight="1" x14ac:dyDescent="0.2">
      <c r="A18266" s="258"/>
      <c r="Z18266" s="258"/>
    </row>
    <row r="18267" spans="1:26" ht="12.75" customHeight="1" x14ac:dyDescent="0.2">
      <c r="A18267" s="258"/>
      <c r="Z18267" s="258"/>
    </row>
    <row r="18268" spans="1:26" ht="12.75" customHeight="1" x14ac:dyDescent="0.2">
      <c r="A18268" s="258"/>
      <c r="Z18268" s="258"/>
    </row>
    <row r="18269" spans="1:26" ht="12.75" customHeight="1" x14ac:dyDescent="0.2">
      <c r="A18269" s="258"/>
      <c r="Z18269" s="258"/>
    </row>
    <row r="18270" spans="1:26" ht="12.75" customHeight="1" x14ac:dyDescent="0.2">
      <c r="A18270" s="258"/>
      <c r="Z18270" s="258"/>
    </row>
    <row r="18271" spans="1:26" ht="12.75" customHeight="1" x14ac:dyDescent="0.2">
      <c r="A18271" s="258"/>
      <c r="Z18271" s="258"/>
    </row>
    <row r="18272" spans="1:26" ht="12.75" customHeight="1" x14ac:dyDescent="0.2">
      <c r="A18272" s="258"/>
      <c r="Z18272" s="258"/>
    </row>
    <row r="18273" spans="1:26" ht="12.75" customHeight="1" x14ac:dyDescent="0.2">
      <c r="A18273" s="258"/>
      <c r="Z18273" s="258"/>
    </row>
    <row r="18274" spans="1:26" ht="12.75" customHeight="1" x14ac:dyDescent="0.2">
      <c r="A18274" s="258"/>
      <c r="Z18274" s="258"/>
    </row>
    <row r="18275" spans="1:26" ht="12.75" customHeight="1" x14ac:dyDescent="0.2">
      <c r="A18275" s="258"/>
      <c r="Z18275" s="258"/>
    </row>
    <row r="18276" spans="1:26" ht="12.75" customHeight="1" x14ac:dyDescent="0.2">
      <c r="A18276" s="258"/>
      <c r="Z18276" s="258"/>
    </row>
    <row r="18277" spans="1:26" ht="12.75" customHeight="1" x14ac:dyDescent="0.2">
      <c r="A18277" s="258"/>
      <c r="Z18277" s="258"/>
    </row>
    <row r="18278" spans="1:26" ht="12.75" customHeight="1" x14ac:dyDescent="0.2">
      <c r="A18278" s="258"/>
      <c r="Z18278" s="258"/>
    </row>
    <row r="18279" spans="1:26" ht="12.75" customHeight="1" x14ac:dyDescent="0.2">
      <c r="A18279" s="258"/>
      <c r="Z18279" s="258"/>
    </row>
    <row r="18280" spans="1:26" ht="12.75" customHeight="1" x14ac:dyDescent="0.2">
      <c r="A18280" s="258"/>
      <c r="Z18280" s="258"/>
    </row>
    <row r="18281" spans="1:26" ht="12.75" customHeight="1" x14ac:dyDescent="0.2">
      <c r="A18281" s="258"/>
      <c r="Z18281" s="258"/>
    </row>
    <row r="18282" spans="1:26" ht="12.75" customHeight="1" x14ac:dyDescent="0.2">
      <c r="A18282" s="258"/>
      <c r="Z18282" s="258"/>
    </row>
    <row r="18283" spans="1:26" ht="12.75" customHeight="1" x14ac:dyDescent="0.2">
      <c r="A18283" s="258"/>
      <c r="Z18283" s="258"/>
    </row>
    <row r="18284" spans="1:26" ht="12.75" customHeight="1" x14ac:dyDescent="0.2">
      <c r="A18284" s="258"/>
      <c r="Z18284" s="258"/>
    </row>
    <row r="18285" spans="1:26" ht="12.75" customHeight="1" x14ac:dyDescent="0.2">
      <c r="A18285" s="258"/>
      <c r="Z18285" s="258"/>
    </row>
    <row r="18286" spans="1:26" ht="12.75" customHeight="1" x14ac:dyDescent="0.2">
      <c r="A18286" s="258"/>
      <c r="Z18286" s="258"/>
    </row>
    <row r="18287" spans="1:26" ht="12.75" customHeight="1" x14ac:dyDescent="0.2">
      <c r="A18287" s="258"/>
      <c r="Z18287" s="258"/>
    </row>
    <row r="18288" spans="1:26" ht="12.75" customHeight="1" x14ac:dyDescent="0.2">
      <c r="A18288" s="258"/>
      <c r="Z18288" s="258"/>
    </row>
    <row r="18289" spans="1:26" ht="12.75" customHeight="1" x14ac:dyDescent="0.2">
      <c r="A18289" s="258"/>
      <c r="Z18289" s="258"/>
    </row>
    <row r="18290" spans="1:26" ht="12.75" customHeight="1" x14ac:dyDescent="0.2">
      <c r="A18290" s="258"/>
      <c r="Z18290" s="258"/>
    </row>
    <row r="18291" spans="1:26" ht="12.75" customHeight="1" x14ac:dyDescent="0.2">
      <c r="A18291" s="258"/>
      <c r="Z18291" s="258"/>
    </row>
    <row r="18292" spans="1:26" ht="12.75" customHeight="1" x14ac:dyDescent="0.2">
      <c r="A18292" s="258"/>
      <c r="Z18292" s="258"/>
    </row>
    <row r="18293" spans="1:26" ht="12.75" customHeight="1" x14ac:dyDescent="0.2">
      <c r="A18293" s="258"/>
      <c r="Z18293" s="258"/>
    </row>
    <row r="18294" spans="1:26" ht="12.75" customHeight="1" x14ac:dyDescent="0.2">
      <c r="A18294" s="258"/>
      <c r="Z18294" s="258"/>
    </row>
    <row r="18295" spans="1:26" ht="12.75" customHeight="1" x14ac:dyDescent="0.2">
      <c r="A18295" s="258"/>
      <c r="Z18295" s="258"/>
    </row>
    <row r="18296" spans="1:26" ht="12.75" customHeight="1" x14ac:dyDescent="0.2">
      <c r="A18296" s="258"/>
      <c r="Z18296" s="258"/>
    </row>
    <row r="18297" spans="1:26" ht="12.75" customHeight="1" x14ac:dyDescent="0.2">
      <c r="A18297" s="258"/>
      <c r="Z18297" s="258"/>
    </row>
    <row r="18298" spans="1:26" ht="12.75" customHeight="1" x14ac:dyDescent="0.2">
      <c r="A18298" s="258"/>
      <c r="Z18298" s="258"/>
    </row>
    <row r="18299" spans="1:26" ht="12.75" customHeight="1" x14ac:dyDescent="0.2">
      <c r="A18299" s="258"/>
      <c r="Z18299" s="258"/>
    </row>
    <row r="18300" spans="1:26" ht="12.75" customHeight="1" x14ac:dyDescent="0.2">
      <c r="A18300" s="258"/>
      <c r="Z18300" s="258"/>
    </row>
    <row r="18301" spans="1:26" ht="12.75" customHeight="1" x14ac:dyDescent="0.2">
      <c r="A18301" s="258"/>
      <c r="Z18301" s="258"/>
    </row>
    <row r="18302" spans="1:26" ht="12.75" customHeight="1" x14ac:dyDescent="0.2">
      <c r="A18302" s="258"/>
      <c r="Z18302" s="258"/>
    </row>
    <row r="18303" spans="1:26" ht="12.75" customHeight="1" x14ac:dyDescent="0.2">
      <c r="A18303" s="258"/>
      <c r="Z18303" s="258"/>
    </row>
    <row r="18304" spans="1:26" ht="12.75" customHeight="1" x14ac:dyDescent="0.2">
      <c r="A18304" s="258"/>
      <c r="Z18304" s="258"/>
    </row>
    <row r="18305" spans="1:26" ht="12.75" customHeight="1" x14ac:dyDescent="0.2">
      <c r="A18305" s="258"/>
      <c r="Z18305" s="258"/>
    </row>
    <row r="18306" spans="1:26" ht="12.75" customHeight="1" x14ac:dyDescent="0.2">
      <c r="A18306" s="258"/>
      <c r="Z18306" s="258"/>
    </row>
    <row r="18307" spans="1:26" ht="12.75" customHeight="1" x14ac:dyDescent="0.2">
      <c r="A18307" s="258"/>
      <c r="Z18307" s="258"/>
    </row>
    <row r="18308" spans="1:26" ht="12.75" customHeight="1" x14ac:dyDescent="0.2">
      <c r="A18308" s="258"/>
      <c r="Z18308" s="258"/>
    </row>
    <row r="18309" spans="1:26" ht="12.75" customHeight="1" x14ac:dyDescent="0.2">
      <c r="A18309" s="258"/>
      <c r="Z18309" s="258"/>
    </row>
    <row r="18310" spans="1:26" ht="12.75" customHeight="1" x14ac:dyDescent="0.2">
      <c r="A18310" s="258"/>
      <c r="Z18310" s="258"/>
    </row>
    <row r="18311" spans="1:26" ht="12.75" customHeight="1" x14ac:dyDescent="0.2">
      <c r="A18311" s="258"/>
      <c r="Z18311" s="258"/>
    </row>
    <row r="18312" spans="1:26" ht="12.75" customHeight="1" x14ac:dyDescent="0.2">
      <c r="A18312" s="258"/>
      <c r="Z18312" s="258"/>
    </row>
    <row r="18313" spans="1:26" ht="12.75" customHeight="1" x14ac:dyDescent="0.2">
      <c r="A18313" s="258"/>
      <c r="Z18313" s="258"/>
    </row>
    <row r="18314" spans="1:26" ht="12.75" customHeight="1" x14ac:dyDescent="0.2">
      <c r="A18314" s="258"/>
      <c r="Z18314" s="258"/>
    </row>
    <row r="18315" spans="1:26" ht="12.75" customHeight="1" x14ac:dyDescent="0.2">
      <c r="A18315" s="258"/>
      <c r="Z18315" s="258"/>
    </row>
    <row r="18316" spans="1:26" ht="12.75" customHeight="1" x14ac:dyDescent="0.2">
      <c r="A18316" s="258"/>
      <c r="Z18316" s="258"/>
    </row>
    <row r="18317" spans="1:26" ht="12.75" customHeight="1" x14ac:dyDescent="0.2">
      <c r="A18317" s="258"/>
      <c r="Z18317" s="258"/>
    </row>
    <row r="18318" spans="1:26" ht="12.75" customHeight="1" x14ac:dyDescent="0.2">
      <c r="A18318" s="258"/>
      <c r="Z18318" s="258"/>
    </row>
    <row r="18319" spans="1:26" ht="12.75" customHeight="1" x14ac:dyDescent="0.2">
      <c r="A18319" s="258"/>
      <c r="Z18319" s="258"/>
    </row>
    <row r="18320" spans="1:26" ht="12.75" customHeight="1" x14ac:dyDescent="0.2">
      <c r="A18320" s="258"/>
      <c r="Z18320" s="258"/>
    </row>
    <row r="18321" spans="1:26" ht="12.75" customHeight="1" x14ac:dyDescent="0.2">
      <c r="A18321" s="258"/>
      <c r="Z18321" s="258"/>
    </row>
    <row r="18322" spans="1:26" ht="12.75" customHeight="1" x14ac:dyDescent="0.2">
      <c r="A18322" s="258"/>
      <c r="Z18322" s="258"/>
    </row>
    <row r="18323" spans="1:26" ht="12.75" customHeight="1" x14ac:dyDescent="0.2">
      <c r="A18323" s="258"/>
      <c r="Z18323" s="258"/>
    </row>
    <row r="18324" spans="1:26" ht="12.75" customHeight="1" x14ac:dyDescent="0.2">
      <c r="A18324" s="258"/>
      <c r="Z18324" s="258"/>
    </row>
    <row r="18325" spans="1:26" ht="12.75" customHeight="1" x14ac:dyDescent="0.2">
      <c r="A18325" s="258"/>
      <c r="Z18325" s="258"/>
    </row>
    <row r="18326" spans="1:26" ht="12.75" customHeight="1" x14ac:dyDescent="0.2">
      <c r="A18326" s="258"/>
      <c r="Z18326" s="258"/>
    </row>
    <row r="18327" spans="1:26" ht="12.75" customHeight="1" x14ac:dyDescent="0.2">
      <c r="A18327" s="258"/>
      <c r="Z18327" s="258"/>
    </row>
    <row r="18328" spans="1:26" ht="12.75" customHeight="1" x14ac:dyDescent="0.2">
      <c r="A18328" s="258"/>
      <c r="Z18328" s="258"/>
    </row>
    <row r="18329" spans="1:26" ht="12.75" customHeight="1" x14ac:dyDescent="0.2">
      <c r="A18329" s="258"/>
      <c r="Z18329" s="258"/>
    </row>
    <row r="18330" spans="1:26" ht="12.75" customHeight="1" x14ac:dyDescent="0.2">
      <c r="A18330" s="258"/>
      <c r="Z18330" s="258"/>
    </row>
    <row r="18331" spans="1:26" ht="12.75" customHeight="1" x14ac:dyDescent="0.2">
      <c r="A18331" s="258"/>
      <c r="Z18331" s="258"/>
    </row>
    <row r="18332" spans="1:26" ht="12.75" customHeight="1" x14ac:dyDescent="0.2">
      <c r="A18332" s="258"/>
      <c r="Z18332" s="258"/>
    </row>
    <row r="18333" spans="1:26" ht="12.75" customHeight="1" x14ac:dyDescent="0.2">
      <c r="A18333" s="258"/>
      <c r="Z18333" s="258"/>
    </row>
    <row r="18334" spans="1:26" ht="12.75" customHeight="1" x14ac:dyDescent="0.2">
      <c r="A18334" s="258"/>
      <c r="Z18334" s="258"/>
    </row>
    <row r="18335" spans="1:26" ht="12.75" customHeight="1" x14ac:dyDescent="0.2">
      <c r="A18335" s="258"/>
      <c r="Z18335" s="258"/>
    </row>
    <row r="18336" spans="1:26" ht="12.75" customHeight="1" x14ac:dyDescent="0.2">
      <c r="A18336" s="258"/>
      <c r="Z18336" s="258"/>
    </row>
    <row r="18337" spans="1:26" ht="12.75" customHeight="1" x14ac:dyDescent="0.2">
      <c r="A18337" s="258"/>
      <c r="Z18337" s="258"/>
    </row>
    <row r="18338" spans="1:26" ht="12.75" customHeight="1" x14ac:dyDescent="0.2">
      <c r="A18338" s="258"/>
      <c r="Z18338" s="258"/>
    </row>
    <row r="18339" spans="1:26" ht="12.75" customHeight="1" x14ac:dyDescent="0.2">
      <c r="A18339" s="258"/>
      <c r="Z18339" s="258"/>
    </row>
    <row r="18340" spans="1:26" ht="12.75" customHeight="1" x14ac:dyDescent="0.2">
      <c r="A18340" s="258"/>
      <c r="Z18340" s="258"/>
    </row>
    <row r="18341" spans="1:26" ht="12.75" customHeight="1" x14ac:dyDescent="0.2">
      <c r="A18341" s="258"/>
      <c r="Z18341" s="258"/>
    </row>
    <row r="18342" spans="1:26" ht="12.75" customHeight="1" x14ac:dyDescent="0.2">
      <c r="A18342" s="258"/>
      <c r="Z18342" s="258"/>
    </row>
    <row r="18343" spans="1:26" ht="12.75" customHeight="1" x14ac:dyDescent="0.2">
      <c r="A18343" s="258"/>
      <c r="Z18343" s="258"/>
    </row>
    <row r="18344" spans="1:26" ht="12.75" customHeight="1" x14ac:dyDescent="0.2">
      <c r="A18344" s="258"/>
      <c r="Z18344" s="258"/>
    </row>
    <row r="18345" spans="1:26" ht="12.75" customHeight="1" x14ac:dyDescent="0.2">
      <c r="A18345" s="258"/>
      <c r="Z18345" s="258"/>
    </row>
    <row r="18346" spans="1:26" ht="12.75" customHeight="1" x14ac:dyDescent="0.2">
      <c r="A18346" s="258"/>
      <c r="Z18346" s="258"/>
    </row>
    <row r="18347" spans="1:26" ht="12.75" customHeight="1" x14ac:dyDescent="0.2">
      <c r="A18347" s="258"/>
      <c r="Z18347" s="258"/>
    </row>
    <row r="18348" spans="1:26" ht="12.75" customHeight="1" x14ac:dyDescent="0.2">
      <c r="A18348" s="258"/>
      <c r="Z18348" s="258"/>
    </row>
    <row r="18349" spans="1:26" ht="12.75" customHeight="1" x14ac:dyDescent="0.2">
      <c r="A18349" s="258"/>
      <c r="Z18349" s="258"/>
    </row>
    <row r="18350" spans="1:26" ht="12.75" customHeight="1" x14ac:dyDescent="0.2">
      <c r="A18350" s="258"/>
      <c r="Z18350" s="258"/>
    </row>
    <row r="18351" spans="1:26" ht="12.75" customHeight="1" x14ac:dyDescent="0.2">
      <c r="A18351" s="258"/>
      <c r="Z18351" s="258"/>
    </row>
    <row r="18352" spans="1:26" ht="12.75" customHeight="1" x14ac:dyDescent="0.2">
      <c r="A18352" s="258"/>
      <c r="Z18352" s="258"/>
    </row>
    <row r="18353" spans="1:26" ht="12.75" customHeight="1" x14ac:dyDescent="0.2">
      <c r="A18353" s="258"/>
      <c r="Z18353" s="258"/>
    </row>
    <row r="18354" spans="1:26" ht="12.75" customHeight="1" x14ac:dyDescent="0.2">
      <c r="A18354" s="258"/>
      <c r="Z18354" s="258"/>
    </row>
    <row r="18355" spans="1:26" ht="12.75" customHeight="1" x14ac:dyDescent="0.2">
      <c r="A18355" s="258"/>
      <c r="Z18355" s="258"/>
    </row>
    <row r="18356" spans="1:26" ht="12.75" customHeight="1" x14ac:dyDescent="0.2">
      <c r="A18356" s="258"/>
      <c r="Z18356" s="258"/>
    </row>
    <row r="18357" spans="1:26" ht="12.75" customHeight="1" x14ac:dyDescent="0.2">
      <c r="A18357" s="258"/>
      <c r="Z18357" s="258"/>
    </row>
    <row r="18358" spans="1:26" ht="12.75" customHeight="1" x14ac:dyDescent="0.2">
      <c r="A18358" s="258"/>
      <c r="Z18358" s="258"/>
    </row>
    <row r="18359" spans="1:26" ht="12.75" customHeight="1" x14ac:dyDescent="0.2">
      <c r="A18359" s="258"/>
      <c r="Z18359" s="258"/>
    </row>
    <row r="18360" spans="1:26" ht="12.75" customHeight="1" x14ac:dyDescent="0.2">
      <c r="A18360" s="258"/>
      <c r="Z18360" s="258"/>
    </row>
    <row r="18361" spans="1:26" ht="12.75" customHeight="1" x14ac:dyDescent="0.2">
      <c r="A18361" s="258"/>
      <c r="Z18361" s="258"/>
    </row>
    <row r="18362" spans="1:26" ht="12.75" customHeight="1" x14ac:dyDescent="0.2">
      <c r="A18362" s="258"/>
      <c r="Z18362" s="258"/>
    </row>
    <row r="18363" spans="1:26" ht="12.75" customHeight="1" x14ac:dyDescent="0.2">
      <c r="A18363" s="258"/>
      <c r="Z18363" s="258"/>
    </row>
    <row r="18364" spans="1:26" ht="12.75" customHeight="1" x14ac:dyDescent="0.2">
      <c r="A18364" s="258"/>
      <c r="Z18364" s="258"/>
    </row>
    <row r="18365" spans="1:26" ht="12.75" customHeight="1" x14ac:dyDescent="0.2">
      <c r="A18365" s="258"/>
      <c r="Z18365" s="258"/>
    </row>
    <row r="18366" spans="1:26" ht="12.75" customHeight="1" x14ac:dyDescent="0.2">
      <c r="A18366" s="258"/>
      <c r="Z18366" s="258"/>
    </row>
    <row r="18367" spans="1:26" ht="12.75" customHeight="1" x14ac:dyDescent="0.2">
      <c r="A18367" s="258"/>
      <c r="Z18367" s="258"/>
    </row>
    <row r="18368" spans="1:26" ht="12.75" customHeight="1" x14ac:dyDescent="0.2">
      <c r="A18368" s="258"/>
      <c r="Z18368" s="258"/>
    </row>
    <row r="18369" spans="1:26" ht="12.75" customHeight="1" x14ac:dyDescent="0.2">
      <c r="A18369" s="258"/>
      <c r="Z18369" s="258"/>
    </row>
    <row r="18370" spans="1:26" ht="12.75" customHeight="1" x14ac:dyDescent="0.2">
      <c r="A18370" s="258"/>
      <c r="Z18370" s="258"/>
    </row>
    <row r="18371" spans="1:26" ht="12.75" customHeight="1" x14ac:dyDescent="0.2">
      <c r="A18371" s="258"/>
      <c r="Z18371" s="258"/>
    </row>
    <row r="18372" spans="1:26" ht="12.75" customHeight="1" x14ac:dyDescent="0.2">
      <c r="A18372" s="258"/>
      <c r="Z18372" s="258"/>
    </row>
    <row r="18373" spans="1:26" ht="12.75" customHeight="1" x14ac:dyDescent="0.2">
      <c r="A18373" s="258"/>
      <c r="Z18373" s="258"/>
    </row>
    <row r="18374" spans="1:26" ht="12.75" customHeight="1" x14ac:dyDescent="0.2">
      <c r="A18374" s="258"/>
      <c r="Z18374" s="258"/>
    </row>
    <row r="18375" spans="1:26" ht="12.75" customHeight="1" x14ac:dyDescent="0.2">
      <c r="A18375" s="258"/>
      <c r="Z18375" s="258"/>
    </row>
    <row r="18376" spans="1:26" ht="12.75" customHeight="1" x14ac:dyDescent="0.2">
      <c r="A18376" s="258"/>
      <c r="Z18376" s="258"/>
    </row>
    <row r="18377" spans="1:26" ht="12.75" customHeight="1" x14ac:dyDescent="0.2">
      <c r="A18377" s="258"/>
      <c r="Z18377" s="258"/>
    </row>
    <row r="18378" spans="1:26" ht="12.75" customHeight="1" x14ac:dyDescent="0.2">
      <c r="A18378" s="258"/>
      <c r="Z18378" s="258"/>
    </row>
    <row r="18379" spans="1:26" ht="12.75" customHeight="1" x14ac:dyDescent="0.2">
      <c r="A18379" s="258"/>
      <c r="Z18379" s="258"/>
    </row>
    <row r="18380" spans="1:26" ht="12.75" customHeight="1" x14ac:dyDescent="0.2">
      <c r="A18380" s="258"/>
      <c r="Z18380" s="258"/>
    </row>
    <row r="18381" spans="1:26" ht="12.75" customHeight="1" x14ac:dyDescent="0.2">
      <c r="A18381" s="258"/>
      <c r="Z18381" s="258"/>
    </row>
    <row r="18382" spans="1:26" ht="12.75" customHeight="1" x14ac:dyDescent="0.2">
      <c r="A18382" s="258"/>
      <c r="Z18382" s="258"/>
    </row>
    <row r="18383" spans="1:26" ht="12.75" customHeight="1" x14ac:dyDescent="0.2">
      <c r="A18383" s="258"/>
      <c r="Z18383" s="258"/>
    </row>
    <row r="18384" spans="1:26" ht="12.75" customHeight="1" x14ac:dyDescent="0.2">
      <c r="A18384" s="258"/>
      <c r="Z18384" s="258"/>
    </row>
    <row r="18385" spans="1:26" ht="12.75" customHeight="1" x14ac:dyDescent="0.2">
      <c r="A18385" s="258"/>
      <c r="Z18385" s="258"/>
    </row>
    <row r="18386" spans="1:26" ht="12.75" customHeight="1" x14ac:dyDescent="0.2">
      <c r="A18386" s="258"/>
      <c r="Z18386" s="258"/>
    </row>
    <row r="18387" spans="1:26" ht="12.75" customHeight="1" x14ac:dyDescent="0.2">
      <c r="A18387" s="258"/>
      <c r="Z18387" s="258"/>
    </row>
    <row r="18388" spans="1:26" ht="12.75" customHeight="1" x14ac:dyDescent="0.2">
      <c r="A18388" s="258"/>
      <c r="Z18388" s="258"/>
    </row>
    <row r="18389" spans="1:26" ht="12.75" customHeight="1" x14ac:dyDescent="0.2">
      <c r="A18389" s="258"/>
      <c r="Z18389" s="258"/>
    </row>
    <row r="18390" spans="1:26" ht="12.75" customHeight="1" x14ac:dyDescent="0.2">
      <c r="A18390" s="258"/>
      <c r="Z18390" s="258"/>
    </row>
    <row r="18391" spans="1:26" ht="12.75" customHeight="1" x14ac:dyDescent="0.2">
      <c r="A18391" s="258"/>
      <c r="Z18391" s="258"/>
    </row>
    <row r="18392" spans="1:26" ht="12.75" customHeight="1" x14ac:dyDescent="0.2">
      <c r="A18392" s="258"/>
      <c r="Z18392" s="258"/>
    </row>
    <row r="18393" spans="1:26" ht="12.75" customHeight="1" x14ac:dyDescent="0.2">
      <c r="A18393" s="258"/>
      <c r="Z18393" s="258"/>
    </row>
    <row r="18394" spans="1:26" ht="12.75" customHeight="1" x14ac:dyDescent="0.2">
      <c r="A18394" s="258"/>
      <c r="Z18394" s="258"/>
    </row>
    <row r="18395" spans="1:26" ht="12.75" customHeight="1" x14ac:dyDescent="0.2">
      <c r="A18395" s="258"/>
      <c r="Z18395" s="258"/>
    </row>
    <row r="18396" spans="1:26" ht="12.75" customHeight="1" x14ac:dyDescent="0.2">
      <c r="A18396" s="258"/>
      <c r="Z18396" s="258"/>
    </row>
    <row r="18397" spans="1:26" ht="12.75" customHeight="1" x14ac:dyDescent="0.2">
      <c r="A18397" s="258"/>
      <c r="Z18397" s="258"/>
    </row>
    <row r="18398" spans="1:26" ht="12.75" customHeight="1" x14ac:dyDescent="0.2">
      <c r="A18398" s="258"/>
      <c r="Z18398" s="258"/>
    </row>
    <row r="18399" spans="1:26" ht="12.75" customHeight="1" x14ac:dyDescent="0.2">
      <c r="A18399" s="258"/>
      <c r="Z18399" s="258"/>
    </row>
    <row r="18400" spans="1:26" ht="12.75" customHeight="1" x14ac:dyDescent="0.2">
      <c r="A18400" s="258"/>
      <c r="Z18400" s="258"/>
    </row>
    <row r="18401" spans="1:26" ht="12.75" customHeight="1" x14ac:dyDescent="0.2">
      <c r="A18401" s="258"/>
      <c r="Z18401" s="258"/>
    </row>
    <row r="18402" spans="1:26" ht="12.75" customHeight="1" x14ac:dyDescent="0.2">
      <c r="A18402" s="258"/>
      <c r="Z18402" s="258"/>
    </row>
    <row r="18403" spans="1:26" ht="12.75" customHeight="1" x14ac:dyDescent="0.2">
      <c r="A18403" s="258"/>
      <c r="Z18403" s="258"/>
    </row>
    <row r="18404" spans="1:26" ht="12.75" customHeight="1" x14ac:dyDescent="0.2">
      <c r="A18404" s="258"/>
      <c r="Z18404" s="258"/>
    </row>
    <row r="18405" spans="1:26" ht="12.75" customHeight="1" x14ac:dyDescent="0.2">
      <c r="A18405" s="258"/>
      <c r="Z18405" s="258"/>
    </row>
    <row r="18406" spans="1:26" ht="12.75" customHeight="1" x14ac:dyDescent="0.2">
      <c r="A18406" s="258"/>
      <c r="Z18406" s="258"/>
    </row>
    <row r="18407" spans="1:26" ht="12.75" customHeight="1" x14ac:dyDescent="0.2">
      <c r="A18407" s="258"/>
      <c r="Z18407" s="258"/>
    </row>
    <row r="18408" spans="1:26" ht="12.75" customHeight="1" x14ac:dyDescent="0.2">
      <c r="A18408" s="258"/>
      <c r="Z18408" s="258"/>
    </row>
    <row r="18409" spans="1:26" ht="12.75" customHeight="1" x14ac:dyDescent="0.2">
      <c r="A18409" s="258"/>
      <c r="Z18409" s="258"/>
    </row>
    <row r="18410" spans="1:26" ht="12.75" customHeight="1" x14ac:dyDescent="0.2">
      <c r="A18410" s="258"/>
      <c r="Z18410" s="258"/>
    </row>
    <row r="18411" spans="1:26" ht="12.75" customHeight="1" x14ac:dyDescent="0.2">
      <c r="A18411" s="258"/>
      <c r="Z18411" s="258"/>
    </row>
    <row r="18412" spans="1:26" ht="12.75" customHeight="1" x14ac:dyDescent="0.2">
      <c r="A18412" s="258"/>
      <c r="Z18412" s="258"/>
    </row>
    <row r="18413" spans="1:26" ht="12.75" customHeight="1" x14ac:dyDescent="0.2">
      <c r="A18413" s="258"/>
      <c r="Z18413" s="258"/>
    </row>
    <row r="18414" spans="1:26" ht="12.75" customHeight="1" x14ac:dyDescent="0.2">
      <c r="A18414" s="258"/>
      <c r="Z18414" s="258"/>
    </row>
    <row r="18415" spans="1:26" ht="12.75" customHeight="1" x14ac:dyDescent="0.2">
      <c r="A18415" s="258"/>
      <c r="Z18415" s="258"/>
    </row>
    <row r="18416" spans="1:26" ht="12.75" customHeight="1" x14ac:dyDescent="0.2">
      <c r="A18416" s="258"/>
      <c r="Z18416" s="258"/>
    </row>
    <row r="18417" spans="1:26" ht="12.75" customHeight="1" x14ac:dyDescent="0.2">
      <c r="A18417" s="258"/>
      <c r="Z18417" s="258"/>
    </row>
    <row r="18418" spans="1:26" ht="12.75" customHeight="1" x14ac:dyDescent="0.2">
      <c r="A18418" s="258"/>
      <c r="Z18418" s="258"/>
    </row>
    <row r="18419" spans="1:26" ht="12.75" customHeight="1" x14ac:dyDescent="0.2">
      <c r="A18419" s="258"/>
      <c r="Z18419" s="258"/>
    </row>
    <row r="18420" spans="1:26" ht="12.75" customHeight="1" x14ac:dyDescent="0.2">
      <c r="A18420" s="258"/>
      <c r="Z18420" s="258"/>
    </row>
    <row r="18421" spans="1:26" ht="12.75" customHeight="1" x14ac:dyDescent="0.2">
      <c r="A18421" s="258"/>
      <c r="Z18421" s="258"/>
    </row>
    <row r="18422" spans="1:26" ht="12.75" customHeight="1" x14ac:dyDescent="0.2">
      <c r="A18422" s="258"/>
      <c r="Z18422" s="258"/>
    </row>
    <row r="18423" spans="1:26" ht="12.75" customHeight="1" x14ac:dyDescent="0.2">
      <c r="A18423" s="258"/>
      <c r="Z18423" s="258"/>
    </row>
    <row r="18424" spans="1:26" ht="12.75" customHeight="1" x14ac:dyDescent="0.2">
      <c r="A18424" s="258"/>
      <c r="Z18424" s="258"/>
    </row>
    <row r="18425" spans="1:26" ht="12.75" customHeight="1" x14ac:dyDescent="0.2">
      <c r="A18425" s="258"/>
      <c r="Z18425" s="258"/>
    </row>
    <row r="18426" spans="1:26" ht="12.75" customHeight="1" x14ac:dyDescent="0.2">
      <c r="A18426" s="258"/>
      <c r="Z18426" s="258"/>
    </row>
    <row r="18427" spans="1:26" ht="12.75" customHeight="1" x14ac:dyDescent="0.2">
      <c r="A18427" s="258"/>
      <c r="Z18427" s="258"/>
    </row>
    <row r="18428" spans="1:26" ht="12.75" customHeight="1" x14ac:dyDescent="0.2">
      <c r="A18428" s="258"/>
      <c r="Z18428" s="258"/>
    </row>
    <row r="18429" spans="1:26" ht="12.75" customHeight="1" x14ac:dyDescent="0.2">
      <c r="A18429" s="258"/>
      <c r="Z18429" s="258"/>
    </row>
    <row r="18430" spans="1:26" ht="12.75" customHeight="1" x14ac:dyDescent="0.2">
      <c r="A18430" s="258"/>
      <c r="Z18430" s="258"/>
    </row>
    <row r="18431" spans="1:26" ht="12.75" customHeight="1" x14ac:dyDescent="0.2">
      <c r="A18431" s="258"/>
      <c r="Z18431" s="258"/>
    </row>
    <row r="18432" spans="1:26" ht="12.75" customHeight="1" x14ac:dyDescent="0.2">
      <c r="A18432" s="258"/>
      <c r="Z18432" s="258"/>
    </row>
    <row r="18433" spans="1:26" ht="12.75" customHeight="1" x14ac:dyDescent="0.2">
      <c r="A18433" s="258"/>
      <c r="Z18433" s="258"/>
    </row>
    <row r="18434" spans="1:26" ht="12.75" customHeight="1" x14ac:dyDescent="0.2">
      <c r="A18434" s="258"/>
      <c r="Z18434" s="258"/>
    </row>
    <row r="18435" spans="1:26" ht="12.75" customHeight="1" x14ac:dyDescent="0.2">
      <c r="A18435" s="258"/>
      <c r="Z18435" s="258"/>
    </row>
    <row r="18436" spans="1:26" ht="12.75" customHeight="1" x14ac:dyDescent="0.2">
      <c r="A18436" s="258"/>
      <c r="Z18436" s="258"/>
    </row>
    <row r="18437" spans="1:26" ht="12.75" customHeight="1" x14ac:dyDescent="0.2">
      <c r="A18437" s="258"/>
      <c r="Z18437" s="258"/>
    </row>
    <row r="18438" spans="1:26" ht="12.75" customHeight="1" x14ac:dyDescent="0.2">
      <c r="A18438" s="258"/>
      <c r="Z18438" s="258"/>
    </row>
    <row r="18439" spans="1:26" ht="12.75" customHeight="1" x14ac:dyDescent="0.2">
      <c r="A18439" s="258"/>
      <c r="Z18439" s="258"/>
    </row>
    <row r="18440" spans="1:26" ht="12.75" customHeight="1" x14ac:dyDescent="0.2">
      <c r="A18440" s="258"/>
      <c r="Z18440" s="258"/>
    </row>
    <row r="18441" spans="1:26" ht="12.75" customHeight="1" x14ac:dyDescent="0.2">
      <c r="A18441" s="258"/>
      <c r="Z18441" s="258"/>
    </row>
    <row r="18442" spans="1:26" ht="12.75" customHeight="1" x14ac:dyDescent="0.2">
      <c r="A18442" s="258"/>
      <c r="Z18442" s="258"/>
    </row>
    <row r="18443" spans="1:26" ht="12.75" customHeight="1" x14ac:dyDescent="0.2">
      <c r="A18443" s="258"/>
      <c r="Z18443" s="258"/>
    </row>
    <row r="18444" spans="1:26" ht="12.75" customHeight="1" x14ac:dyDescent="0.2">
      <c r="A18444" s="258"/>
      <c r="Z18444" s="258"/>
    </row>
    <row r="18445" spans="1:26" ht="12.75" customHeight="1" x14ac:dyDescent="0.2">
      <c r="A18445" s="258"/>
      <c r="Z18445" s="258"/>
    </row>
    <row r="18446" spans="1:26" ht="12.75" customHeight="1" x14ac:dyDescent="0.2">
      <c r="A18446" s="258"/>
      <c r="Z18446" s="258"/>
    </row>
    <row r="18447" spans="1:26" ht="12.75" customHeight="1" x14ac:dyDescent="0.2">
      <c r="A18447" s="258"/>
      <c r="Z18447" s="258"/>
    </row>
    <row r="18448" spans="1:26" ht="12.75" customHeight="1" x14ac:dyDescent="0.2">
      <c r="A18448" s="258"/>
      <c r="Z18448" s="258"/>
    </row>
    <row r="18449" spans="1:26" ht="12.75" customHeight="1" x14ac:dyDescent="0.2">
      <c r="A18449" s="258"/>
      <c r="Z18449" s="258"/>
    </row>
    <row r="18450" spans="1:26" ht="12.75" customHeight="1" x14ac:dyDescent="0.2">
      <c r="A18450" s="258"/>
      <c r="Z18450" s="258"/>
    </row>
    <row r="18451" spans="1:26" ht="12.75" customHeight="1" x14ac:dyDescent="0.2">
      <c r="A18451" s="258"/>
      <c r="Z18451" s="258"/>
    </row>
    <row r="18452" spans="1:26" ht="12.75" customHeight="1" x14ac:dyDescent="0.2">
      <c r="A18452" s="258"/>
      <c r="Z18452" s="258"/>
    </row>
    <row r="18453" spans="1:26" ht="12.75" customHeight="1" x14ac:dyDescent="0.2">
      <c r="A18453" s="258"/>
      <c r="Z18453" s="258"/>
    </row>
    <row r="18454" spans="1:26" ht="12.75" customHeight="1" x14ac:dyDescent="0.2">
      <c r="A18454" s="258"/>
      <c r="Z18454" s="258"/>
    </row>
    <row r="18455" spans="1:26" ht="12.75" customHeight="1" x14ac:dyDescent="0.2">
      <c r="A18455" s="258"/>
      <c r="Z18455" s="258"/>
    </row>
    <row r="18456" spans="1:26" ht="12.75" customHeight="1" x14ac:dyDescent="0.2">
      <c r="A18456" s="258"/>
      <c r="Z18456" s="258"/>
    </row>
    <row r="18457" spans="1:26" ht="12.75" customHeight="1" x14ac:dyDescent="0.2">
      <c r="A18457" s="258"/>
      <c r="Z18457" s="258"/>
    </row>
    <row r="18458" spans="1:26" ht="12.75" customHeight="1" x14ac:dyDescent="0.2">
      <c r="A18458" s="258"/>
      <c r="Z18458" s="258"/>
    </row>
    <row r="18459" spans="1:26" ht="12.75" customHeight="1" x14ac:dyDescent="0.2">
      <c r="A18459" s="258"/>
      <c r="Z18459" s="258"/>
    </row>
    <row r="18460" spans="1:26" ht="12.75" customHeight="1" x14ac:dyDescent="0.2">
      <c r="A18460" s="258"/>
      <c r="Z18460" s="258"/>
    </row>
    <row r="18461" spans="1:26" ht="12.75" customHeight="1" x14ac:dyDescent="0.2">
      <c r="A18461" s="258"/>
      <c r="Z18461" s="258"/>
    </row>
    <row r="18462" spans="1:26" ht="12.75" customHeight="1" x14ac:dyDescent="0.2">
      <c r="A18462" s="258"/>
      <c r="Z18462" s="258"/>
    </row>
    <row r="18463" spans="1:26" ht="12.75" customHeight="1" x14ac:dyDescent="0.2">
      <c r="A18463" s="258"/>
      <c r="Z18463" s="258"/>
    </row>
    <row r="18464" spans="1:26" ht="12.75" customHeight="1" x14ac:dyDescent="0.2">
      <c r="A18464" s="258"/>
      <c r="Z18464" s="258"/>
    </row>
    <row r="18465" spans="1:26" ht="12.75" customHeight="1" x14ac:dyDescent="0.2">
      <c r="A18465" s="258"/>
      <c r="Z18465" s="258"/>
    </row>
    <row r="18466" spans="1:26" ht="12.75" customHeight="1" x14ac:dyDescent="0.2">
      <c r="A18466" s="258"/>
      <c r="Z18466" s="258"/>
    </row>
    <row r="18467" spans="1:26" ht="12.75" customHeight="1" x14ac:dyDescent="0.2">
      <c r="A18467" s="258"/>
      <c r="Z18467" s="258"/>
    </row>
    <row r="18468" spans="1:26" ht="12.75" customHeight="1" x14ac:dyDescent="0.2">
      <c r="A18468" s="258"/>
      <c r="Z18468" s="258"/>
    </row>
    <row r="18469" spans="1:26" ht="12.75" customHeight="1" x14ac:dyDescent="0.2">
      <c r="A18469" s="258"/>
      <c r="Z18469" s="258"/>
    </row>
    <row r="18470" spans="1:26" ht="12.75" customHeight="1" x14ac:dyDescent="0.2">
      <c r="A18470" s="258"/>
      <c r="Z18470" s="258"/>
    </row>
    <row r="18471" spans="1:26" ht="12.75" customHeight="1" x14ac:dyDescent="0.2">
      <c r="A18471" s="258"/>
      <c r="Z18471" s="258"/>
    </row>
    <row r="18472" spans="1:26" ht="12.75" customHeight="1" x14ac:dyDescent="0.2">
      <c r="A18472" s="258"/>
      <c r="Z18472" s="258"/>
    </row>
    <row r="18473" spans="1:26" ht="12.75" customHeight="1" x14ac:dyDescent="0.2">
      <c r="A18473" s="258"/>
      <c r="Z18473" s="258"/>
    </row>
    <row r="18474" spans="1:26" ht="12.75" customHeight="1" x14ac:dyDescent="0.2">
      <c r="A18474" s="258"/>
      <c r="Z18474" s="258"/>
    </row>
    <row r="18475" spans="1:26" ht="12.75" customHeight="1" x14ac:dyDescent="0.2">
      <c r="A18475" s="258"/>
      <c r="Z18475" s="258"/>
    </row>
    <row r="18476" spans="1:26" ht="12.75" customHeight="1" x14ac:dyDescent="0.2">
      <c r="A18476" s="258"/>
      <c r="Z18476" s="258"/>
    </row>
    <row r="18477" spans="1:26" ht="12.75" customHeight="1" x14ac:dyDescent="0.2">
      <c r="A18477" s="258"/>
      <c r="Z18477" s="258"/>
    </row>
    <row r="18478" spans="1:26" ht="12.75" customHeight="1" x14ac:dyDescent="0.2">
      <c r="A18478" s="258"/>
      <c r="Z18478" s="258"/>
    </row>
    <row r="18479" spans="1:26" ht="12.75" customHeight="1" x14ac:dyDescent="0.2">
      <c r="A18479" s="258"/>
      <c r="Z18479" s="258"/>
    </row>
    <row r="18480" spans="1:26" ht="12.75" customHeight="1" x14ac:dyDescent="0.2">
      <c r="A18480" s="258"/>
      <c r="Z18480" s="258"/>
    </row>
    <row r="18481" spans="1:26" ht="12.75" customHeight="1" x14ac:dyDescent="0.2">
      <c r="A18481" s="258"/>
      <c r="Z18481" s="258"/>
    </row>
    <row r="18482" spans="1:26" ht="12.75" customHeight="1" x14ac:dyDescent="0.2">
      <c r="A18482" s="258"/>
      <c r="Z18482" s="258"/>
    </row>
    <row r="18483" spans="1:26" ht="12.75" customHeight="1" x14ac:dyDescent="0.2">
      <c r="A18483" s="258"/>
      <c r="Z18483" s="258"/>
    </row>
    <row r="18484" spans="1:26" ht="12.75" customHeight="1" x14ac:dyDescent="0.2">
      <c r="A18484" s="258"/>
      <c r="Z18484" s="258"/>
    </row>
    <row r="18485" spans="1:26" ht="12.75" customHeight="1" x14ac:dyDescent="0.2">
      <c r="A18485" s="258"/>
      <c r="Z18485" s="258"/>
    </row>
    <row r="18486" spans="1:26" ht="12.75" customHeight="1" x14ac:dyDescent="0.2">
      <c r="A18486" s="258"/>
      <c r="Z18486" s="258"/>
    </row>
    <row r="18487" spans="1:26" ht="12.75" customHeight="1" x14ac:dyDescent="0.2">
      <c r="A18487" s="258"/>
      <c r="Z18487" s="258"/>
    </row>
    <row r="18488" spans="1:26" ht="12.75" customHeight="1" x14ac:dyDescent="0.2">
      <c r="A18488" s="258"/>
      <c r="Z18488" s="258"/>
    </row>
    <row r="18489" spans="1:26" ht="12.75" customHeight="1" x14ac:dyDescent="0.2">
      <c r="A18489" s="258"/>
      <c r="Z18489" s="258"/>
    </row>
    <row r="18490" spans="1:26" ht="12.75" customHeight="1" x14ac:dyDescent="0.2">
      <c r="A18490" s="258"/>
      <c r="Z18490" s="258"/>
    </row>
    <row r="18491" spans="1:26" ht="12.75" customHeight="1" x14ac:dyDescent="0.2">
      <c r="A18491" s="258"/>
      <c r="Z18491" s="258"/>
    </row>
    <row r="18492" spans="1:26" ht="12.75" customHeight="1" x14ac:dyDescent="0.2">
      <c r="A18492" s="258"/>
      <c r="Z18492" s="258"/>
    </row>
    <row r="18493" spans="1:26" ht="12.75" customHeight="1" x14ac:dyDescent="0.2">
      <c r="A18493" s="258"/>
      <c r="Z18493" s="258"/>
    </row>
    <row r="18494" spans="1:26" ht="12.75" customHeight="1" x14ac:dyDescent="0.2">
      <c r="A18494" s="258"/>
      <c r="Z18494" s="258"/>
    </row>
    <row r="18495" spans="1:26" ht="12.75" customHeight="1" x14ac:dyDescent="0.2">
      <c r="A18495" s="258"/>
      <c r="Z18495" s="258"/>
    </row>
    <row r="18496" spans="1:26" ht="12.75" customHeight="1" x14ac:dyDescent="0.2">
      <c r="A18496" s="258"/>
      <c r="Z18496" s="258"/>
    </row>
    <row r="18497" spans="1:26" ht="12.75" customHeight="1" x14ac:dyDescent="0.2">
      <c r="A18497" s="258"/>
      <c r="Z18497" s="258"/>
    </row>
    <row r="18498" spans="1:26" ht="12.75" customHeight="1" x14ac:dyDescent="0.2">
      <c r="A18498" s="258"/>
      <c r="Z18498" s="258"/>
    </row>
    <row r="18499" spans="1:26" ht="12.75" customHeight="1" x14ac:dyDescent="0.2">
      <c r="A18499" s="258"/>
      <c r="Z18499" s="258"/>
    </row>
    <row r="18500" spans="1:26" ht="12.75" customHeight="1" x14ac:dyDescent="0.2">
      <c r="A18500" s="258"/>
      <c r="Z18500" s="258"/>
    </row>
    <row r="18501" spans="1:26" ht="12.75" customHeight="1" x14ac:dyDescent="0.2">
      <c r="A18501" s="258"/>
      <c r="Z18501" s="258"/>
    </row>
    <row r="18502" spans="1:26" ht="12.75" customHeight="1" x14ac:dyDescent="0.2">
      <c r="A18502" s="258"/>
      <c r="Z18502" s="258"/>
    </row>
    <row r="18503" spans="1:26" ht="12.75" customHeight="1" x14ac:dyDescent="0.2">
      <c r="A18503" s="258"/>
      <c r="Z18503" s="258"/>
    </row>
    <row r="18504" spans="1:26" ht="12.75" customHeight="1" x14ac:dyDescent="0.2">
      <c r="A18504" s="258"/>
      <c r="Z18504" s="258"/>
    </row>
    <row r="18505" spans="1:26" ht="12.75" customHeight="1" x14ac:dyDescent="0.2">
      <c r="A18505" s="258"/>
      <c r="Z18505" s="258"/>
    </row>
    <row r="18506" spans="1:26" ht="12.75" customHeight="1" x14ac:dyDescent="0.2">
      <c r="A18506" s="258"/>
      <c r="Z18506" s="258"/>
    </row>
    <row r="18507" spans="1:26" ht="12.75" customHeight="1" x14ac:dyDescent="0.2">
      <c r="A18507" s="258"/>
      <c r="Z18507" s="258"/>
    </row>
    <row r="18508" spans="1:26" ht="12.75" customHeight="1" x14ac:dyDescent="0.2">
      <c r="A18508" s="258"/>
      <c r="Z18508" s="258"/>
    </row>
    <row r="18509" spans="1:26" ht="12.75" customHeight="1" x14ac:dyDescent="0.2">
      <c r="A18509" s="258"/>
      <c r="Z18509" s="258"/>
    </row>
    <row r="18510" spans="1:26" ht="12.75" customHeight="1" x14ac:dyDescent="0.2">
      <c r="A18510" s="258"/>
      <c r="Z18510" s="258"/>
    </row>
    <row r="18511" spans="1:26" ht="12.75" customHeight="1" x14ac:dyDescent="0.2">
      <c r="A18511" s="258"/>
      <c r="Z18511" s="258"/>
    </row>
    <row r="18512" spans="1:26" ht="12.75" customHeight="1" x14ac:dyDescent="0.2">
      <c r="A18512" s="258"/>
      <c r="Z18512" s="258"/>
    </row>
    <row r="18513" spans="1:26" ht="12.75" customHeight="1" x14ac:dyDescent="0.2">
      <c r="A18513" s="258"/>
      <c r="Z18513" s="258"/>
    </row>
    <row r="18514" spans="1:26" ht="12.75" customHeight="1" x14ac:dyDescent="0.2">
      <c r="A18514" s="258"/>
      <c r="Z18514" s="258"/>
    </row>
    <row r="18515" spans="1:26" ht="12.75" customHeight="1" x14ac:dyDescent="0.2">
      <c r="A18515" s="258"/>
      <c r="Z18515" s="258"/>
    </row>
    <row r="18516" spans="1:26" ht="12.75" customHeight="1" x14ac:dyDescent="0.2">
      <c r="A18516" s="258"/>
      <c r="Z18516" s="258"/>
    </row>
    <row r="18517" spans="1:26" ht="12.75" customHeight="1" x14ac:dyDescent="0.2">
      <c r="A18517" s="258"/>
      <c r="Z18517" s="258"/>
    </row>
    <row r="18518" spans="1:26" ht="12.75" customHeight="1" x14ac:dyDescent="0.2">
      <c r="A18518" s="258"/>
      <c r="Z18518" s="258"/>
    </row>
    <row r="18519" spans="1:26" ht="12.75" customHeight="1" x14ac:dyDescent="0.2">
      <c r="A18519" s="258"/>
      <c r="Z18519" s="258"/>
    </row>
    <row r="18520" spans="1:26" ht="12.75" customHeight="1" x14ac:dyDescent="0.2">
      <c r="A18520" s="258"/>
      <c r="Z18520" s="258"/>
    </row>
    <row r="18521" spans="1:26" ht="12.75" customHeight="1" x14ac:dyDescent="0.2">
      <c r="A18521" s="258"/>
      <c r="Z18521" s="258"/>
    </row>
    <row r="18522" spans="1:26" ht="12.75" customHeight="1" x14ac:dyDescent="0.2">
      <c r="A18522" s="258"/>
      <c r="Z18522" s="258"/>
    </row>
    <row r="18523" spans="1:26" ht="12.75" customHeight="1" x14ac:dyDescent="0.2">
      <c r="A18523" s="258"/>
      <c r="Z18523" s="258"/>
    </row>
    <row r="18524" spans="1:26" ht="12.75" customHeight="1" x14ac:dyDescent="0.2">
      <c r="A18524" s="258"/>
      <c r="Z18524" s="258"/>
    </row>
    <row r="18525" spans="1:26" ht="12.75" customHeight="1" x14ac:dyDescent="0.2">
      <c r="A18525" s="258"/>
      <c r="Z18525" s="258"/>
    </row>
    <row r="18526" spans="1:26" ht="12.75" customHeight="1" x14ac:dyDescent="0.2">
      <c r="A18526" s="258"/>
      <c r="Z18526" s="258"/>
    </row>
    <row r="18527" spans="1:26" ht="12.75" customHeight="1" x14ac:dyDescent="0.2">
      <c r="A18527" s="258"/>
      <c r="Z18527" s="258"/>
    </row>
    <row r="18528" spans="1:26" ht="12.75" customHeight="1" x14ac:dyDescent="0.2">
      <c r="A18528" s="258"/>
      <c r="Z18528" s="258"/>
    </row>
    <row r="18529" spans="1:26" ht="12.75" customHeight="1" x14ac:dyDescent="0.2">
      <c r="A18529" s="258"/>
      <c r="Z18529" s="258"/>
    </row>
    <row r="18530" spans="1:26" ht="12.75" customHeight="1" x14ac:dyDescent="0.2">
      <c r="A18530" s="258"/>
      <c r="Z18530" s="258"/>
    </row>
    <row r="18531" spans="1:26" ht="12.75" customHeight="1" x14ac:dyDescent="0.2">
      <c r="A18531" s="258"/>
      <c r="Z18531" s="258"/>
    </row>
    <row r="18532" spans="1:26" ht="12.75" customHeight="1" x14ac:dyDescent="0.2">
      <c r="A18532" s="258"/>
      <c r="Z18532" s="258"/>
    </row>
    <row r="18533" spans="1:26" ht="12.75" customHeight="1" x14ac:dyDescent="0.2">
      <c r="A18533" s="258"/>
      <c r="Z18533" s="258"/>
    </row>
    <row r="18534" spans="1:26" ht="12.75" customHeight="1" x14ac:dyDescent="0.2">
      <c r="A18534" s="258"/>
      <c r="Z18534" s="258"/>
    </row>
    <row r="18535" spans="1:26" ht="12.75" customHeight="1" x14ac:dyDescent="0.2">
      <c r="A18535" s="258"/>
      <c r="Z18535" s="258"/>
    </row>
    <row r="18536" spans="1:26" ht="12.75" customHeight="1" x14ac:dyDescent="0.2">
      <c r="A18536" s="258"/>
      <c r="Z18536" s="258"/>
    </row>
    <row r="18537" spans="1:26" ht="12.75" customHeight="1" x14ac:dyDescent="0.2">
      <c r="A18537" s="258"/>
      <c r="Z18537" s="258"/>
    </row>
    <row r="18538" spans="1:26" ht="12.75" customHeight="1" x14ac:dyDescent="0.2">
      <c r="A18538" s="258"/>
      <c r="Z18538" s="258"/>
    </row>
    <row r="18539" spans="1:26" ht="12.75" customHeight="1" x14ac:dyDescent="0.2">
      <c r="A18539" s="258"/>
      <c r="Z18539" s="258"/>
    </row>
    <row r="18540" spans="1:26" ht="12.75" customHeight="1" x14ac:dyDescent="0.2">
      <c r="A18540" s="258"/>
      <c r="Z18540" s="258"/>
    </row>
    <row r="18541" spans="1:26" ht="12.75" customHeight="1" x14ac:dyDescent="0.2">
      <c r="A18541" s="258"/>
      <c r="Z18541" s="258"/>
    </row>
    <row r="18542" spans="1:26" ht="12.75" customHeight="1" x14ac:dyDescent="0.2">
      <c r="A18542" s="258"/>
      <c r="Z18542" s="258"/>
    </row>
    <row r="18543" spans="1:26" ht="12.75" customHeight="1" x14ac:dyDescent="0.2">
      <c r="A18543" s="258"/>
      <c r="Z18543" s="258"/>
    </row>
    <row r="18544" spans="1:26" ht="12.75" customHeight="1" x14ac:dyDescent="0.2">
      <c r="A18544" s="258"/>
      <c r="Z18544" s="258"/>
    </row>
    <row r="18545" spans="1:26" ht="12.75" customHeight="1" x14ac:dyDescent="0.2">
      <c r="A18545" s="258"/>
      <c r="Z18545" s="258"/>
    </row>
    <row r="18546" spans="1:26" ht="12.75" customHeight="1" x14ac:dyDescent="0.2">
      <c r="A18546" s="258"/>
      <c r="Z18546" s="258"/>
    </row>
    <row r="18547" spans="1:26" ht="12.75" customHeight="1" x14ac:dyDescent="0.2">
      <c r="A18547" s="258"/>
      <c r="Z18547" s="258"/>
    </row>
    <row r="18548" spans="1:26" ht="12.75" customHeight="1" x14ac:dyDescent="0.2">
      <c r="A18548" s="258"/>
      <c r="Z18548" s="258"/>
    </row>
    <row r="18549" spans="1:26" ht="12.75" customHeight="1" x14ac:dyDescent="0.2">
      <c r="A18549" s="258"/>
      <c r="Z18549" s="258"/>
    </row>
    <row r="18550" spans="1:26" ht="12.75" customHeight="1" x14ac:dyDescent="0.2">
      <c r="A18550" s="258"/>
      <c r="Z18550" s="258"/>
    </row>
    <row r="18551" spans="1:26" ht="12.75" customHeight="1" x14ac:dyDescent="0.2">
      <c r="A18551" s="258"/>
      <c r="Z18551" s="258"/>
    </row>
    <row r="18552" spans="1:26" ht="12.75" customHeight="1" x14ac:dyDescent="0.2">
      <c r="A18552" s="258"/>
      <c r="Z18552" s="258"/>
    </row>
    <row r="18553" spans="1:26" ht="12.75" customHeight="1" x14ac:dyDescent="0.2">
      <c r="A18553" s="258"/>
      <c r="Z18553" s="258"/>
    </row>
    <row r="18554" spans="1:26" ht="12.75" customHeight="1" x14ac:dyDescent="0.2">
      <c r="A18554" s="258"/>
      <c r="Z18554" s="258"/>
    </row>
    <row r="18555" spans="1:26" ht="12.75" customHeight="1" x14ac:dyDescent="0.2">
      <c r="A18555" s="258"/>
      <c r="Z18555" s="258"/>
    </row>
    <row r="18556" spans="1:26" ht="12.75" customHeight="1" x14ac:dyDescent="0.2">
      <c r="A18556" s="258"/>
      <c r="Z18556" s="258"/>
    </row>
    <row r="18557" spans="1:26" ht="12.75" customHeight="1" x14ac:dyDescent="0.2">
      <c r="A18557" s="258"/>
      <c r="Z18557" s="258"/>
    </row>
    <row r="18558" spans="1:26" ht="12.75" customHeight="1" x14ac:dyDescent="0.2">
      <c r="A18558" s="258"/>
      <c r="Z18558" s="258"/>
    </row>
    <row r="18559" spans="1:26" ht="12.75" customHeight="1" x14ac:dyDescent="0.2">
      <c r="A18559" s="258"/>
      <c r="Z18559" s="258"/>
    </row>
    <row r="18560" spans="1:26" ht="12.75" customHeight="1" x14ac:dyDescent="0.2">
      <c r="A18560" s="258"/>
      <c r="Z18560" s="258"/>
    </row>
    <row r="18561" spans="1:26" ht="12.75" customHeight="1" x14ac:dyDescent="0.2">
      <c r="A18561" s="258"/>
      <c r="Z18561" s="258"/>
    </row>
    <row r="18562" spans="1:26" ht="12.75" customHeight="1" x14ac:dyDescent="0.2">
      <c r="A18562" s="258"/>
      <c r="Z18562" s="258"/>
    </row>
    <row r="18563" spans="1:26" ht="12.75" customHeight="1" x14ac:dyDescent="0.2">
      <c r="A18563" s="258"/>
      <c r="Z18563" s="258"/>
    </row>
    <row r="18564" spans="1:26" ht="12.75" customHeight="1" x14ac:dyDescent="0.2">
      <c r="A18564" s="258"/>
      <c r="Z18564" s="258"/>
    </row>
    <row r="18565" spans="1:26" ht="12.75" customHeight="1" x14ac:dyDescent="0.2">
      <c r="A18565" s="258"/>
      <c r="Z18565" s="258"/>
    </row>
    <row r="18566" spans="1:26" ht="12.75" customHeight="1" x14ac:dyDescent="0.2">
      <c r="A18566" s="258"/>
      <c r="Z18566" s="258"/>
    </row>
    <row r="18567" spans="1:26" ht="12.75" customHeight="1" x14ac:dyDescent="0.2">
      <c r="A18567" s="258"/>
      <c r="Z18567" s="258"/>
    </row>
    <row r="18568" spans="1:26" ht="12.75" customHeight="1" x14ac:dyDescent="0.2">
      <c r="A18568" s="258"/>
      <c r="Z18568" s="258"/>
    </row>
    <row r="18569" spans="1:26" ht="12.75" customHeight="1" x14ac:dyDescent="0.2">
      <c r="A18569" s="258"/>
      <c r="Z18569" s="258"/>
    </row>
    <row r="18570" spans="1:26" ht="12.75" customHeight="1" x14ac:dyDescent="0.2">
      <c r="A18570" s="258"/>
      <c r="Z18570" s="258"/>
    </row>
    <row r="18571" spans="1:26" ht="12.75" customHeight="1" x14ac:dyDescent="0.2">
      <c r="A18571" s="258"/>
      <c r="Z18571" s="258"/>
    </row>
    <row r="18572" spans="1:26" ht="12.75" customHeight="1" x14ac:dyDescent="0.2">
      <c r="A18572" s="258"/>
      <c r="Z18572" s="258"/>
    </row>
    <row r="18573" spans="1:26" ht="12.75" customHeight="1" x14ac:dyDescent="0.2">
      <c r="A18573" s="258"/>
      <c r="Z18573" s="258"/>
    </row>
    <row r="18574" spans="1:26" ht="12.75" customHeight="1" x14ac:dyDescent="0.2">
      <c r="A18574" s="258"/>
      <c r="Z18574" s="258"/>
    </row>
    <row r="18575" spans="1:26" ht="12.75" customHeight="1" x14ac:dyDescent="0.2">
      <c r="A18575" s="258"/>
      <c r="Z18575" s="258"/>
    </row>
    <row r="18576" spans="1:26" ht="12.75" customHeight="1" x14ac:dyDescent="0.2">
      <c r="A18576" s="258"/>
      <c r="Z18576" s="258"/>
    </row>
    <row r="18577" spans="1:26" ht="12.75" customHeight="1" x14ac:dyDescent="0.2">
      <c r="A18577" s="258"/>
      <c r="Z18577" s="258"/>
    </row>
    <row r="18578" spans="1:26" ht="12.75" customHeight="1" x14ac:dyDescent="0.2">
      <c r="A18578" s="258"/>
      <c r="Z18578" s="258"/>
    </row>
    <row r="18579" spans="1:26" ht="12.75" customHeight="1" x14ac:dyDescent="0.2">
      <c r="A18579" s="258"/>
      <c r="Z18579" s="258"/>
    </row>
    <row r="18580" spans="1:26" ht="12.75" customHeight="1" x14ac:dyDescent="0.2">
      <c r="A18580" s="258"/>
      <c r="Z18580" s="258"/>
    </row>
    <row r="18581" spans="1:26" ht="12.75" customHeight="1" x14ac:dyDescent="0.2">
      <c r="A18581" s="258"/>
      <c r="Z18581" s="258"/>
    </row>
    <row r="18582" spans="1:26" ht="12.75" customHeight="1" x14ac:dyDescent="0.2">
      <c r="A18582" s="258"/>
      <c r="Z18582" s="258"/>
    </row>
    <row r="18583" spans="1:26" ht="12.75" customHeight="1" x14ac:dyDescent="0.2">
      <c r="A18583" s="258"/>
      <c r="Z18583" s="258"/>
    </row>
    <row r="18584" spans="1:26" ht="12.75" customHeight="1" x14ac:dyDescent="0.2">
      <c r="A18584" s="258"/>
      <c r="Z18584" s="258"/>
    </row>
    <row r="18585" spans="1:26" ht="12.75" customHeight="1" x14ac:dyDescent="0.2">
      <c r="A18585" s="258"/>
      <c r="Z18585" s="258"/>
    </row>
    <row r="18586" spans="1:26" ht="12.75" customHeight="1" x14ac:dyDescent="0.2">
      <c r="A18586" s="258"/>
      <c r="Z18586" s="258"/>
    </row>
    <row r="18587" spans="1:26" ht="12.75" customHeight="1" x14ac:dyDescent="0.2">
      <c r="A18587" s="258"/>
      <c r="Z18587" s="258"/>
    </row>
    <row r="18588" spans="1:26" ht="12.75" customHeight="1" x14ac:dyDescent="0.2">
      <c r="A18588" s="258"/>
      <c r="Z18588" s="258"/>
    </row>
    <row r="18589" spans="1:26" ht="12.75" customHeight="1" x14ac:dyDescent="0.2">
      <c r="A18589" s="258"/>
      <c r="Z18589" s="258"/>
    </row>
    <row r="18590" spans="1:26" ht="12.75" customHeight="1" x14ac:dyDescent="0.2">
      <c r="A18590" s="258"/>
      <c r="Z18590" s="258"/>
    </row>
    <row r="18591" spans="1:26" ht="12.75" customHeight="1" x14ac:dyDescent="0.2">
      <c r="A18591" s="258"/>
      <c r="Z18591" s="258"/>
    </row>
    <row r="18592" spans="1:26" ht="12.75" customHeight="1" x14ac:dyDescent="0.2">
      <c r="A18592" s="258"/>
      <c r="Z18592" s="258"/>
    </row>
    <row r="18593" spans="1:26" ht="12.75" customHeight="1" x14ac:dyDescent="0.2">
      <c r="A18593" s="258"/>
      <c r="Z18593" s="258"/>
    </row>
    <row r="18594" spans="1:26" ht="12.75" customHeight="1" x14ac:dyDescent="0.2">
      <c r="A18594" s="258"/>
      <c r="Z18594" s="258"/>
    </row>
    <row r="18595" spans="1:26" ht="12.75" customHeight="1" x14ac:dyDescent="0.2">
      <c r="A18595" s="258"/>
      <c r="Z18595" s="258"/>
    </row>
    <row r="18596" spans="1:26" ht="12.75" customHeight="1" x14ac:dyDescent="0.2">
      <c r="A18596" s="258"/>
      <c r="Z18596" s="258"/>
    </row>
    <row r="18597" spans="1:26" ht="12.75" customHeight="1" x14ac:dyDescent="0.2">
      <c r="A18597" s="258"/>
      <c r="Z18597" s="258"/>
    </row>
    <row r="18598" spans="1:26" ht="12.75" customHeight="1" x14ac:dyDescent="0.2">
      <c r="A18598" s="258"/>
      <c r="Z18598" s="258"/>
    </row>
    <row r="18599" spans="1:26" ht="12.75" customHeight="1" x14ac:dyDescent="0.2">
      <c r="A18599" s="258"/>
      <c r="Z18599" s="258"/>
    </row>
    <row r="18600" spans="1:26" ht="12.75" customHeight="1" x14ac:dyDescent="0.2">
      <c r="A18600" s="258"/>
      <c r="Z18600" s="258"/>
    </row>
    <row r="18601" spans="1:26" ht="12.75" customHeight="1" x14ac:dyDescent="0.2">
      <c r="A18601" s="258"/>
      <c r="Z18601" s="258"/>
    </row>
    <row r="18602" spans="1:26" ht="12.75" customHeight="1" x14ac:dyDescent="0.2">
      <c r="A18602" s="258"/>
      <c r="Z18602" s="258"/>
    </row>
    <row r="18603" spans="1:26" ht="12.75" customHeight="1" x14ac:dyDescent="0.2">
      <c r="A18603" s="258"/>
      <c r="Z18603" s="258"/>
    </row>
    <row r="18604" spans="1:26" ht="12.75" customHeight="1" x14ac:dyDescent="0.2">
      <c r="A18604" s="258"/>
      <c r="Z18604" s="258"/>
    </row>
    <row r="18605" spans="1:26" ht="12.75" customHeight="1" x14ac:dyDescent="0.2">
      <c r="A18605" s="258"/>
      <c r="Z18605" s="258"/>
    </row>
    <row r="18606" spans="1:26" ht="12.75" customHeight="1" x14ac:dyDescent="0.2">
      <c r="A18606" s="258"/>
      <c r="Z18606" s="258"/>
    </row>
    <row r="18607" spans="1:26" ht="12.75" customHeight="1" x14ac:dyDescent="0.2">
      <c r="A18607" s="258"/>
      <c r="Z18607" s="258"/>
    </row>
    <row r="18608" spans="1:26" ht="12.75" customHeight="1" x14ac:dyDescent="0.2">
      <c r="A18608" s="258"/>
      <c r="Z18608" s="258"/>
    </row>
    <row r="18609" spans="1:26" ht="12.75" customHeight="1" x14ac:dyDescent="0.2">
      <c r="A18609" s="258"/>
      <c r="Z18609" s="258"/>
    </row>
    <row r="18610" spans="1:26" ht="12.75" customHeight="1" x14ac:dyDescent="0.2">
      <c r="A18610" s="258"/>
      <c r="Z18610" s="258"/>
    </row>
    <row r="18611" spans="1:26" ht="12.75" customHeight="1" x14ac:dyDescent="0.2">
      <c r="A18611" s="258"/>
      <c r="Z18611" s="258"/>
    </row>
    <row r="18612" spans="1:26" ht="12.75" customHeight="1" x14ac:dyDescent="0.2">
      <c r="A18612" s="258"/>
      <c r="Z18612" s="258"/>
    </row>
    <row r="18613" spans="1:26" ht="12.75" customHeight="1" x14ac:dyDescent="0.2">
      <c r="A18613" s="258"/>
      <c r="Z18613" s="258"/>
    </row>
    <row r="18614" spans="1:26" ht="12.75" customHeight="1" x14ac:dyDescent="0.2">
      <c r="A18614" s="258"/>
      <c r="Z18614" s="258"/>
    </row>
    <row r="18615" spans="1:26" ht="12.75" customHeight="1" x14ac:dyDescent="0.2">
      <c r="A18615" s="258"/>
      <c r="Z18615" s="258"/>
    </row>
    <row r="18616" spans="1:26" ht="12.75" customHeight="1" x14ac:dyDescent="0.2">
      <c r="A18616" s="258"/>
      <c r="Z18616" s="258"/>
    </row>
    <row r="18617" spans="1:26" ht="12.75" customHeight="1" x14ac:dyDescent="0.2">
      <c r="A18617" s="258"/>
      <c r="Z18617" s="258"/>
    </row>
    <row r="18618" spans="1:26" ht="12.75" customHeight="1" x14ac:dyDescent="0.2">
      <c r="A18618" s="258"/>
      <c r="Z18618" s="258"/>
    </row>
    <row r="18619" spans="1:26" ht="12.75" customHeight="1" x14ac:dyDescent="0.2">
      <c r="A18619" s="258"/>
      <c r="Z18619" s="258"/>
    </row>
    <row r="18620" spans="1:26" ht="12.75" customHeight="1" x14ac:dyDescent="0.2">
      <c r="A18620" s="258"/>
      <c r="Z18620" s="258"/>
    </row>
    <row r="18621" spans="1:26" ht="12.75" customHeight="1" x14ac:dyDescent="0.2">
      <c r="A18621" s="258"/>
      <c r="Z18621" s="258"/>
    </row>
    <row r="18622" spans="1:26" ht="12.75" customHeight="1" x14ac:dyDescent="0.2">
      <c r="A18622" s="258"/>
      <c r="Z18622" s="258"/>
    </row>
    <row r="18623" spans="1:26" ht="12.75" customHeight="1" x14ac:dyDescent="0.2">
      <c r="A18623" s="258"/>
      <c r="Z18623" s="258"/>
    </row>
    <row r="18624" spans="1:26" ht="12.75" customHeight="1" x14ac:dyDescent="0.2">
      <c r="A18624" s="258"/>
      <c r="Z18624" s="258"/>
    </row>
    <row r="18625" spans="1:26" ht="12.75" customHeight="1" x14ac:dyDescent="0.2">
      <c r="A18625" s="258"/>
      <c r="Z18625" s="258"/>
    </row>
    <row r="18626" spans="1:26" ht="12.75" customHeight="1" x14ac:dyDescent="0.2">
      <c r="A18626" s="258"/>
      <c r="Z18626" s="258"/>
    </row>
    <row r="18627" spans="1:26" ht="12.75" customHeight="1" x14ac:dyDescent="0.2">
      <c r="A18627" s="258"/>
      <c r="Z18627" s="258"/>
    </row>
    <row r="18628" spans="1:26" ht="12.75" customHeight="1" x14ac:dyDescent="0.2">
      <c r="A18628" s="258"/>
      <c r="Z18628" s="258"/>
    </row>
    <row r="18629" spans="1:26" ht="12.75" customHeight="1" x14ac:dyDescent="0.2">
      <c r="A18629" s="258"/>
      <c r="Z18629" s="258"/>
    </row>
    <row r="18630" spans="1:26" ht="12.75" customHeight="1" x14ac:dyDescent="0.2">
      <c r="A18630" s="258"/>
      <c r="Z18630" s="258"/>
    </row>
    <row r="18631" spans="1:26" ht="12.75" customHeight="1" x14ac:dyDescent="0.2">
      <c r="A18631" s="258"/>
      <c r="Z18631" s="258"/>
    </row>
    <row r="18632" spans="1:26" ht="12.75" customHeight="1" x14ac:dyDescent="0.2">
      <c r="A18632" s="258"/>
      <c r="Z18632" s="258"/>
    </row>
    <row r="18633" spans="1:26" ht="12.75" customHeight="1" x14ac:dyDescent="0.2">
      <c r="A18633" s="258"/>
      <c r="Z18633" s="258"/>
    </row>
    <row r="18634" spans="1:26" ht="12.75" customHeight="1" x14ac:dyDescent="0.2">
      <c r="A18634" s="258"/>
      <c r="Z18634" s="258"/>
    </row>
    <row r="18635" spans="1:26" ht="12.75" customHeight="1" x14ac:dyDescent="0.2">
      <c r="A18635" s="258"/>
      <c r="Z18635" s="258"/>
    </row>
    <row r="18636" spans="1:26" ht="12.75" customHeight="1" x14ac:dyDescent="0.2">
      <c r="A18636" s="258"/>
      <c r="Z18636" s="258"/>
    </row>
    <row r="18637" spans="1:26" ht="12.75" customHeight="1" x14ac:dyDescent="0.2">
      <c r="A18637" s="258"/>
      <c r="Z18637" s="258"/>
    </row>
    <row r="18638" spans="1:26" ht="12.75" customHeight="1" x14ac:dyDescent="0.2">
      <c r="A18638" s="258"/>
      <c r="Z18638" s="258"/>
    </row>
    <row r="18639" spans="1:26" ht="12.75" customHeight="1" x14ac:dyDescent="0.2">
      <c r="A18639" s="258"/>
      <c r="Z18639" s="258"/>
    </row>
    <row r="18640" spans="1:26" ht="12.75" customHeight="1" x14ac:dyDescent="0.2">
      <c r="A18640" s="258"/>
      <c r="Z18640" s="258"/>
    </row>
    <row r="18641" spans="1:26" ht="12.75" customHeight="1" x14ac:dyDescent="0.2">
      <c r="A18641" s="258"/>
      <c r="Z18641" s="258"/>
    </row>
    <row r="18642" spans="1:26" ht="12.75" customHeight="1" x14ac:dyDescent="0.2">
      <c r="A18642" s="258"/>
      <c r="Z18642" s="258"/>
    </row>
    <row r="18643" spans="1:26" ht="12.75" customHeight="1" x14ac:dyDescent="0.2">
      <c r="A18643" s="258"/>
      <c r="Z18643" s="258"/>
    </row>
    <row r="18644" spans="1:26" ht="12.75" customHeight="1" x14ac:dyDescent="0.2">
      <c r="A18644" s="258"/>
      <c r="Z18644" s="258"/>
    </row>
    <row r="18645" spans="1:26" ht="12.75" customHeight="1" x14ac:dyDescent="0.2">
      <c r="A18645" s="258"/>
      <c r="Z18645" s="258"/>
    </row>
    <row r="18646" spans="1:26" ht="12.75" customHeight="1" x14ac:dyDescent="0.2">
      <c r="A18646" s="258"/>
      <c r="Z18646" s="258"/>
    </row>
    <row r="18647" spans="1:26" ht="12.75" customHeight="1" x14ac:dyDescent="0.2">
      <c r="A18647" s="258"/>
      <c r="Z18647" s="258"/>
    </row>
    <row r="18648" spans="1:26" ht="12.75" customHeight="1" x14ac:dyDescent="0.2">
      <c r="A18648" s="258"/>
      <c r="Z18648" s="258"/>
    </row>
    <row r="18649" spans="1:26" ht="12.75" customHeight="1" x14ac:dyDescent="0.2">
      <c r="A18649" s="258"/>
      <c r="Z18649" s="258"/>
    </row>
    <row r="18650" spans="1:26" ht="12.75" customHeight="1" x14ac:dyDescent="0.2">
      <c r="A18650" s="258"/>
      <c r="Z18650" s="258"/>
    </row>
    <row r="18651" spans="1:26" ht="12.75" customHeight="1" x14ac:dyDescent="0.2">
      <c r="A18651" s="258"/>
      <c r="Z18651" s="258"/>
    </row>
    <row r="18652" spans="1:26" ht="12.75" customHeight="1" x14ac:dyDescent="0.2">
      <c r="A18652" s="258"/>
      <c r="Z18652" s="258"/>
    </row>
    <row r="18653" spans="1:26" ht="12.75" customHeight="1" x14ac:dyDescent="0.2">
      <c r="A18653" s="258"/>
      <c r="Z18653" s="258"/>
    </row>
    <row r="18654" spans="1:26" ht="12.75" customHeight="1" x14ac:dyDescent="0.2">
      <c r="A18654" s="258"/>
      <c r="Z18654" s="258"/>
    </row>
    <row r="18655" spans="1:26" ht="12.75" customHeight="1" x14ac:dyDescent="0.2">
      <c r="A18655" s="258"/>
      <c r="Z18655" s="258"/>
    </row>
    <row r="18656" spans="1:26" ht="12.75" customHeight="1" x14ac:dyDescent="0.2">
      <c r="A18656" s="258"/>
      <c r="Z18656" s="258"/>
    </row>
    <row r="18657" spans="1:26" ht="12.75" customHeight="1" x14ac:dyDescent="0.2">
      <c r="A18657" s="258"/>
      <c r="Z18657" s="258"/>
    </row>
    <row r="18658" spans="1:26" ht="12.75" customHeight="1" x14ac:dyDescent="0.2">
      <c r="A18658" s="258"/>
      <c r="Z18658" s="258"/>
    </row>
    <row r="18659" spans="1:26" ht="12.75" customHeight="1" x14ac:dyDescent="0.2">
      <c r="A18659" s="258"/>
      <c r="Z18659" s="258"/>
    </row>
    <row r="18660" spans="1:26" ht="12.75" customHeight="1" x14ac:dyDescent="0.2">
      <c r="A18660" s="258"/>
      <c r="Z18660" s="258"/>
    </row>
    <row r="18661" spans="1:26" ht="12.75" customHeight="1" x14ac:dyDescent="0.2">
      <c r="A18661" s="258"/>
      <c r="Z18661" s="258"/>
    </row>
    <row r="18662" spans="1:26" ht="12.75" customHeight="1" x14ac:dyDescent="0.2">
      <c r="A18662" s="258"/>
      <c r="Z18662" s="258"/>
    </row>
    <row r="18663" spans="1:26" ht="12.75" customHeight="1" x14ac:dyDescent="0.2">
      <c r="A18663" s="258"/>
      <c r="Z18663" s="258"/>
    </row>
    <row r="18664" spans="1:26" ht="12.75" customHeight="1" x14ac:dyDescent="0.2">
      <c r="A18664" s="258"/>
      <c r="Z18664" s="258"/>
    </row>
    <row r="18665" spans="1:26" ht="12.75" customHeight="1" x14ac:dyDescent="0.2">
      <c r="A18665" s="258"/>
      <c r="Z18665" s="258"/>
    </row>
    <row r="18666" spans="1:26" ht="12.75" customHeight="1" x14ac:dyDescent="0.2">
      <c r="A18666" s="258"/>
      <c r="Z18666" s="258"/>
    </row>
    <row r="18667" spans="1:26" ht="12.75" customHeight="1" x14ac:dyDescent="0.2">
      <c r="A18667" s="258"/>
      <c r="Z18667" s="258"/>
    </row>
    <row r="18668" spans="1:26" ht="12.75" customHeight="1" x14ac:dyDescent="0.2">
      <c r="A18668" s="258"/>
      <c r="Z18668" s="258"/>
    </row>
    <row r="18669" spans="1:26" ht="12.75" customHeight="1" x14ac:dyDescent="0.2">
      <c r="A18669" s="258"/>
      <c r="Z18669" s="258"/>
    </row>
    <row r="18670" spans="1:26" ht="12.75" customHeight="1" x14ac:dyDescent="0.2">
      <c r="A18670" s="258"/>
      <c r="Z18670" s="258"/>
    </row>
    <row r="18671" spans="1:26" ht="12.75" customHeight="1" x14ac:dyDescent="0.2">
      <c r="A18671" s="258"/>
      <c r="Z18671" s="258"/>
    </row>
    <row r="18672" spans="1:26" ht="12.75" customHeight="1" x14ac:dyDescent="0.2">
      <c r="A18672" s="258"/>
      <c r="Z18672" s="258"/>
    </row>
    <row r="18673" spans="1:26" ht="12.75" customHeight="1" x14ac:dyDescent="0.2">
      <c r="A18673" s="258"/>
      <c r="Z18673" s="258"/>
    </row>
    <row r="18674" spans="1:26" ht="12.75" customHeight="1" x14ac:dyDescent="0.2">
      <c r="A18674" s="258"/>
      <c r="Z18674" s="258"/>
    </row>
    <row r="18675" spans="1:26" ht="12.75" customHeight="1" x14ac:dyDescent="0.2">
      <c r="A18675" s="258"/>
      <c r="Z18675" s="258"/>
    </row>
    <row r="18676" spans="1:26" ht="12.75" customHeight="1" x14ac:dyDescent="0.2">
      <c r="A18676" s="258"/>
      <c r="Z18676" s="258"/>
    </row>
    <row r="18677" spans="1:26" ht="12.75" customHeight="1" x14ac:dyDescent="0.2">
      <c r="A18677" s="258"/>
      <c r="Z18677" s="258"/>
    </row>
    <row r="18678" spans="1:26" ht="12.75" customHeight="1" x14ac:dyDescent="0.2">
      <c r="A18678" s="258"/>
      <c r="Z18678" s="258"/>
    </row>
    <row r="18679" spans="1:26" ht="12.75" customHeight="1" x14ac:dyDescent="0.2">
      <c r="A18679" s="258"/>
      <c r="Z18679" s="258"/>
    </row>
    <row r="18680" spans="1:26" ht="12.75" customHeight="1" x14ac:dyDescent="0.2">
      <c r="A18680" s="258"/>
      <c r="Z18680" s="258"/>
    </row>
    <row r="18681" spans="1:26" ht="12.75" customHeight="1" x14ac:dyDescent="0.2">
      <c r="A18681" s="258"/>
      <c r="Z18681" s="258"/>
    </row>
    <row r="18682" spans="1:26" ht="12.75" customHeight="1" x14ac:dyDescent="0.2">
      <c r="A18682" s="258"/>
      <c r="Z18682" s="258"/>
    </row>
    <row r="18683" spans="1:26" ht="12.75" customHeight="1" x14ac:dyDescent="0.2">
      <c r="A18683" s="258"/>
      <c r="Z18683" s="258"/>
    </row>
    <row r="18684" spans="1:26" ht="12.75" customHeight="1" x14ac:dyDescent="0.2">
      <c r="A18684" s="258"/>
      <c r="Z18684" s="258"/>
    </row>
    <row r="18685" spans="1:26" ht="12.75" customHeight="1" x14ac:dyDescent="0.2">
      <c r="A18685" s="258"/>
      <c r="Z18685" s="258"/>
    </row>
    <row r="18686" spans="1:26" ht="12.75" customHeight="1" x14ac:dyDescent="0.2">
      <c r="A18686" s="258"/>
      <c r="Z18686" s="258"/>
    </row>
    <row r="18687" spans="1:26" ht="12.75" customHeight="1" x14ac:dyDescent="0.2">
      <c r="A18687" s="258"/>
      <c r="Z18687" s="258"/>
    </row>
    <row r="18688" spans="1:26" ht="12.75" customHeight="1" x14ac:dyDescent="0.2">
      <c r="A18688" s="258"/>
      <c r="Z18688" s="258"/>
    </row>
    <row r="18689" spans="1:26" ht="12.75" customHeight="1" x14ac:dyDescent="0.2">
      <c r="A18689" s="258"/>
      <c r="Z18689" s="258"/>
    </row>
    <row r="18690" spans="1:26" ht="12.75" customHeight="1" x14ac:dyDescent="0.2">
      <c r="A18690" s="258"/>
      <c r="Z18690" s="258"/>
    </row>
    <row r="18691" spans="1:26" ht="12.75" customHeight="1" x14ac:dyDescent="0.2">
      <c r="A18691" s="258"/>
      <c r="Z18691" s="258"/>
    </row>
    <row r="18692" spans="1:26" ht="12.75" customHeight="1" x14ac:dyDescent="0.2">
      <c r="A18692" s="258"/>
      <c r="Z18692" s="258"/>
    </row>
    <row r="18693" spans="1:26" ht="12.75" customHeight="1" x14ac:dyDescent="0.2">
      <c r="A18693" s="258"/>
      <c r="Z18693" s="258"/>
    </row>
    <row r="18694" spans="1:26" ht="12.75" customHeight="1" x14ac:dyDescent="0.2">
      <c r="A18694" s="258"/>
      <c r="Z18694" s="258"/>
    </row>
    <row r="18695" spans="1:26" ht="12.75" customHeight="1" x14ac:dyDescent="0.2">
      <c r="A18695" s="258"/>
      <c r="Z18695" s="258"/>
    </row>
    <row r="18696" spans="1:26" ht="12.75" customHeight="1" x14ac:dyDescent="0.2">
      <c r="A18696" s="258"/>
      <c r="Z18696" s="258"/>
    </row>
    <row r="18697" spans="1:26" ht="12.75" customHeight="1" x14ac:dyDescent="0.2">
      <c r="A18697" s="258"/>
      <c r="Z18697" s="258"/>
    </row>
    <row r="18698" spans="1:26" ht="12.75" customHeight="1" x14ac:dyDescent="0.2">
      <c r="A18698" s="258"/>
      <c r="Z18698" s="258"/>
    </row>
    <row r="18699" spans="1:26" ht="12.75" customHeight="1" x14ac:dyDescent="0.2">
      <c r="A18699" s="258"/>
      <c r="Z18699" s="258"/>
    </row>
    <row r="18700" spans="1:26" ht="12.75" customHeight="1" x14ac:dyDescent="0.2">
      <c r="A18700" s="258"/>
      <c r="Z18700" s="258"/>
    </row>
    <row r="18701" spans="1:26" ht="12.75" customHeight="1" x14ac:dyDescent="0.2">
      <c r="A18701" s="258"/>
      <c r="Z18701" s="258"/>
    </row>
    <row r="18702" spans="1:26" ht="12.75" customHeight="1" x14ac:dyDescent="0.2">
      <c r="A18702" s="258"/>
      <c r="Z18702" s="258"/>
    </row>
    <row r="18703" spans="1:26" ht="12.75" customHeight="1" x14ac:dyDescent="0.2">
      <c r="A18703" s="258"/>
      <c r="Z18703" s="258"/>
    </row>
    <row r="18704" spans="1:26" ht="12.75" customHeight="1" x14ac:dyDescent="0.2">
      <c r="A18704" s="258"/>
      <c r="Z18704" s="258"/>
    </row>
    <row r="18705" spans="1:26" ht="12.75" customHeight="1" x14ac:dyDescent="0.2">
      <c r="A18705" s="258"/>
      <c r="Z18705" s="258"/>
    </row>
    <row r="18706" spans="1:26" ht="12.75" customHeight="1" x14ac:dyDescent="0.2">
      <c r="A18706" s="258"/>
      <c r="Z18706" s="258"/>
    </row>
    <row r="18707" spans="1:26" ht="12.75" customHeight="1" x14ac:dyDescent="0.2">
      <c r="A18707" s="258"/>
      <c r="Z18707" s="258"/>
    </row>
    <row r="18708" spans="1:26" ht="12.75" customHeight="1" x14ac:dyDescent="0.2">
      <c r="A18708" s="258"/>
      <c r="Z18708" s="258"/>
    </row>
    <row r="18709" spans="1:26" ht="12.75" customHeight="1" x14ac:dyDescent="0.2">
      <c r="A18709" s="258"/>
      <c r="Z18709" s="258"/>
    </row>
    <row r="18710" spans="1:26" ht="12.75" customHeight="1" x14ac:dyDescent="0.2">
      <c r="A18710" s="258"/>
      <c r="Z18710" s="258"/>
    </row>
    <row r="18711" spans="1:26" ht="12.75" customHeight="1" x14ac:dyDescent="0.2">
      <c r="A18711" s="258"/>
      <c r="Z18711" s="258"/>
    </row>
    <row r="18712" spans="1:26" ht="12.75" customHeight="1" x14ac:dyDescent="0.2">
      <c r="A18712" s="258"/>
      <c r="Z18712" s="258"/>
    </row>
    <row r="18713" spans="1:26" ht="12.75" customHeight="1" x14ac:dyDescent="0.2">
      <c r="A18713" s="258"/>
      <c r="Z18713" s="258"/>
    </row>
    <row r="18714" spans="1:26" ht="12.75" customHeight="1" x14ac:dyDescent="0.2">
      <c r="A18714" s="258"/>
      <c r="Z18714" s="258"/>
    </row>
    <row r="18715" spans="1:26" ht="12.75" customHeight="1" x14ac:dyDescent="0.2">
      <c r="A18715" s="258"/>
      <c r="Z18715" s="258"/>
    </row>
    <row r="18716" spans="1:26" ht="12.75" customHeight="1" x14ac:dyDescent="0.2">
      <c r="A18716" s="258"/>
      <c r="Z18716" s="258"/>
    </row>
    <row r="18717" spans="1:26" ht="12.75" customHeight="1" x14ac:dyDescent="0.2">
      <c r="A18717" s="258"/>
      <c r="Z18717" s="258"/>
    </row>
    <row r="18718" spans="1:26" ht="12.75" customHeight="1" x14ac:dyDescent="0.2">
      <c r="A18718" s="258"/>
      <c r="Z18718" s="258"/>
    </row>
    <row r="18719" spans="1:26" ht="12.75" customHeight="1" x14ac:dyDescent="0.2">
      <c r="A18719" s="258"/>
      <c r="Z18719" s="258"/>
    </row>
    <row r="18720" spans="1:26" ht="12.75" customHeight="1" x14ac:dyDescent="0.2">
      <c r="A18720" s="258"/>
      <c r="Z18720" s="258"/>
    </row>
    <row r="18721" spans="1:26" ht="12.75" customHeight="1" x14ac:dyDescent="0.2">
      <c r="A18721" s="258"/>
      <c r="Z18721" s="258"/>
    </row>
    <row r="18722" spans="1:26" ht="12.75" customHeight="1" x14ac:dyDescent="0.2">
      <c r="A18722" s="258"/>
      <c r="Z18722" s="258"/>
    </row>
    <row r="18723" spans="1:26" ht="12.75" customHeight="1" x14ac:dyDescent="0.2">
      <c r="A18723" s="258"/>
      <c r="Z18723" s="258"/>
    </row>
    <row r="18724" spans="1:26" ht="12.75" customHeight="1" x14ac:dyDescent="0.2">
      <c r="A18724" s="258"/>
      <c r="Z18724" s="258"/>
    </row>
    <row r="18725" spans="1:26" ht="12.75" customHeight="1" x14ac:dyDescent="0.2">
      <c r="A18725" s="258"/>
      <c r="Z18725" s="258"/>
    </row>
    <row r="18726" spans="1:26" ht="12.75" customHeight="1" x14ac:dyDescent="0.2">
      <c r="A18726" s="258"/>
      <c r="Z18726" s="258"/>
    </row>
    <row r="18727" spans="1:26" ht="12.75" customHeight="1" x14ac:dyDescent="0.2">
      <c r="A18727" s="258"/>
      <c r="Z18727" s="258"/>
    </row>
    <row r="18728" spans="1:26" ht="12.75" customHeight="1" x14ac:dyDescent="0.2">
      <c r="A18728" s="258"/>
      <c r="Z18728" s="258"/>
    </row>
    <row r="18729" spans="1:26" ht="12.75" customHeight="1" x14ac:dyDescent="0.2">
      <c r="A18729" s="258"/>
      <c r="Z18729" s="258"/>
    </row>
    <row r="18730" spans="1:26" ht="12.75" customHeight="1" x14ac:dyDescent="0.2">
      <c r="A18730" s="258"/>
      <c r="Z18730" s="258"/>
    </row>
    <row r="18731" spans="1:26" ht="12.75" customHeight="1" x14ac:dyDescent="0.2">
      <c r="A18731" s="258"/>
      <c r="Z18731" s="258"/>
    </row>
    <row r="18732" spans="1:26" ht="12.75" customHeight="1" x14ac:dyDescent="0.2">
      <c r="A18732" s="258"/>
      <c r="Z18732" s="258"/>
    </row>
    <row r="18733" spans="1:26" ht="12.75" customHeight="1" x14ac:dyDescent="0.2">
      <c r="A18733" s="258"/>
      <c r="Z18733" s="258"/>
    </row>
    <row r="18734" spans="1:26" ht="12.75" customHeight="1" x14ac:dyDescent="0.2">
      <c r="A18734" s="258"/>
      <c r="Z18734" s="258"/>
    </row>
    <row r="18735" spans="1:26" ht="12.75" customHeight="1" x14ac:dyDescent="0.2">
      <c r="A18735" s="258"/>
      <c r="Z18735" s="258"/>
    </row>
    <row r="18736" spans="1:26" ht="12.75" customHeight="1" x14ac:dyDescent="0.2">
      <c r="A18736" s="258"/>
      <c r="Z18736" s="258"/>
    </row>
    <row r="18737" spans="1:26" ht="12.75" customHeight="1" x14ac:dyDescent="0.2">
      <c r="A18737" s="258"/>
      <c r="Z18737" s="258"/>
    </row>
    <row r="18738" spans="1:26" ht="12.75" customHeight="1" x14ac:dyDescent="0.2">
      <c r="A18738" s="258"/>
      <c r="Z18738" s="258"/>
    </row>
    <row r="18739" spans="1:26" ht="12.75" customHeight="1" x14ac:dyDescent="0.2">
      <c r="A18739" s="258"/>
      <c r="Z18739" s="258"/>
    </row>
    <row r="18740" spans="1:26" ht="12.75" customHeight="1" x14ac:dyDescent="0.2">
      <c r="A18740" s="258"/>
      <c r="Z18740" s="258"/>
    </row>
    <row r="18741" spans="1:26" ht="12.75" customHeight="1" x14ac:dyDescent="0.2">
      <c r="A18741" s="258"/>
      <c r="Z18741" s="258"/>
    </row>
    <row r="18742" spans="1:26" ht="12.75" customHeight="1" x14ac:dyDescent="0.2">
      <c r="A18742" s="258"/>
      <c r="Z18742" s="258"/>
    </row>
    <row r="18743" spans="1:26" ht="12.75" customHeight="1" x14ac:dyDescent="0.2">
      <c r="A18743" s="258"/>
      <c r="Z18743" s="258"/>
    </row>
    <row r="18744" spans="1:26" ht="12.75" customHeight="1" x14ac:dyDescent="0.2">
      <c r="A18744" s="258"/>
      <c r="Z18744" s="258"/>
    </row>
    <row r="18745" spans="1:26" ht="12.75" customHeight="1" x14ac:dyDescent="0.2">
      <c r="A18745" s="258"/>
      <c r="Z18745" s="258"/>
    </row>
    <row r="18746" spans="1:26" ht="12.75" customHeight="1" x14ac:dyDescent="0.2">
      <c r="A18746" s="258"/>
      <c r="Z18746" s="258"/>
    </row>
    <row r="18747" spans="1:26" ht="12.75" customHeight="1" x14ac:dyDescent="0.2">
      <c r="A18747" s="258"/>
      <c r="Z18747" s="258"/>
    </row>
    <row r="18748" spans="1:26" ht="12.75" customHeight="1" x14ac:dyDescent="0.2">
      <c r="A18748" s="258"/>
      <c r="Z18748" s="258"/>
    </row>
    <row r="18749" spans="1:26" ht="12.75" customHeight="1" x14ac:dyDescent="0.2">
      <c r="A18749" s="258"/>
      <c r="Z18749" s="258"/>
    </row>
    <row r="18750" spans="1:26" ht="12.75" customHeight="1" x14ac:dyDescent="0.2">
      <c r="A18750" s="258"/>
      <c r="Z18750" s="258"/>
    </row>
    <row r="18751" spans="1:26" ht="12.75" customHeight="1" x14ac:dyDescent="0.2">
      <c r="A18751" s="258"/>
      <c r="Z18751" s="258"/>
    </row>
    <row r="18752" spans="1:26" ht="12.75" customHeight="1" x14ac:dyDescent="0.2">
      <c r="A18752" s="258"/>
      <c r="Z18752" s="258"/>
    </row>
    <row r="18753" spans="1:26" ht="12.75" customHeight="1" x14ac:dyDescent="0.2">
      <c r="A18753" s="258"/>
      <c r="Z18753" s="258"/>
    </row>
    <row r="18754" spans="1:26" ht="12.75" customHeight="1" x14ac:dyDescent="0.2">
      <c r="A18754" s="258"/>
      <c r="Z18754" s="258"/>
    </row>
    <row r="18755" spans="1:26" ht="12.75" customHeight="1" x14ac:dyDescent="0.2">
      <c r="A18755" s="258"/>
      <c r="Z18755" s="258"/>
    </row>
    <row r="18756" spans="1:26" ht="12.75" customHeight="1" x14ac:dyDescent="0.2">
      <c r="A18756" s="258"/>
      <c r="Z18756" s="258"/>
    </row>
    <row r="18757" spans="1:26" ht="12.75" customHeight="1" x14ac:dyDescent="0.2">
      <c r="A18757" s="258"/>
      <c r="Z18757" s="258"/>
    </row>
    <row r="18758" spans="1:26" ht="12.75" customHeight="1" x14ac:dyDescent="0.2">
      <c r="A18758" s="258"/>
      <c r="Z18758" s="258"/>
    </row>
    <row r="18759" spans="1:26" ht="12.75" customHeight="1" x14ac:dyDescent="0.2">
      <c r="A18759" s="258"/>
      <c r="Z18759" s="258"/>
    </row>
    <row r="18760" spans="1:26" ht="12.75" customHeight="1" x14ac:dyDescent="0.2">
      <c r="A18760" s="258"/>
      <c r="Z18760" s="258"/>
    </row>
    <row r="18761" spans="1:26" ht="12.75" customHeight="1" x14ac:dyDescent="0.2">
      <c r="A18761" s="258"/>
      <c r="Z18761" s="258"/>
    </row>
    <row r="18762" spans="1:26" ht="12.75" customHeight="1" x14ac:dyDescent="0.2">
      <c r="A18762" s="258"/>
      <c r="Z18762" s="258"/>
    </row>
    <row r="18763" spans="1:26" ht="12.75" customHeight="1" x14ac:dyDescent="0.2">
      <c r="A18763" s="258"/>
      <c r="Z18763" s="258"/>
    </row>
    <row r="18764" spans="1:26" ht="12.75" customHeight="1" x14ac:dyDescent="0.2">
      <c r="A18764" s="258"/>
      <c r="Z18764" s="258"/>
    </row>
    <row r="18765" spans="1:26" ht="12.75" customHeight="1" x14ac:dyDescent="0.2">
      <c r="A18765" s="258"/>
      <c r="Z18765" s="258"/>
    </row>
    <row r="18766" spans="1:26" ht="12.75" customHeight="1" x14ac:dyDescent="0.2">
      <c r="A18766" s="258"/>
      <c r="Z18766" s="258"/>
    </row>
    <row r="18767" spans="1:26" ht="12.75" customHeight="1" x14ac:dyDescent="0.2">
      <c r="A18767" s="258"/>
      <c r="Z18767" s="258"/>
    </row>
    <row r="18768" spans="1:26" ht="12.75" customHeight="1" x14ac:dyDescent="0.2">
      <c r="A18768" s="258"/>
      <c r="Z18768" s="258"/>
    </row>
    <row r="18769" spans="1:26" ht="12.75" customHeight="1" x14ac:dyDescent="0.2">
      <c r="A18769" s="258"/>
      <c r="Z18769" s="258"/>
    </row>
    <row r="18770" spans="1:26" ht="12.75" customHeight="1" x14ac:dyDescent="0.2">
      <c r="A18770" s="258"/>
      <c r="Z18770" s="258"/>
    </row>
    <row r="18771" spans="1:26" ht="12.75" customHeight="1" x14ac:dyDescent="0.2">
      <c r="A18771" s="258"/>
      <c r="Z18771" s="258"/>
    </row>
    <row r="18772" spans="1:26" ht="12.75" customHeight="1" x14ac:dyDescent="0.2">
      <c r="A18772" s="258"/>
      <c r="Z18772" s="258"/>
    </row>
    <row r="18773" spans="1:26" ht="12.75" customHeight="1" x14ac:dyDescent="0.2">
      <c r="A18773" s="258"/>
      <c r="Z18773" s="258"/>
    </row>
    <row r="18774" spans="1:26" ht="12.75" customHeight="1" x14ac:dyDescent="0.2">
      <c r="A18774" s="258"/>
      <c r="Z18774" s="258"/>
    </row>
    <row r="18775" spans="1:26" ht="12.75" customHeight="1" x14ac:dyDescent="0.2">
      <c r="A18775" s="258"/>
      <c r="Z18775" s="258"/>
    </row>
    <row r="18776" spans="1:26" ht="12.75" customHeight="1" x14ac:dyDescent="0.2">
      <c r="A18776" s="258"/>
      <c r="Z18776" s="258"/>
    </row>
    <row r="18777" spans="1:26" ht="12.75" customHeight="1" x14ac:dyDescent="0.2">
      <c r="A18777" s="258"/>
      <c r="Z18777" s="258"/>
    </row>
    <row r="18778" spans="1:26" ht="12.75" customHeight="1" x14ac:dyDescent="0.2">
      <c r="A18778" s="258"/>
      <c r="Z18778" s="258"/>
    </row>
    <row r="18779" spans="1:26" ht="12.75" customHeight="1" x14ac:dyDescent="0.2">
      <c r="A18779" s="258"/>
      <c r="Z18779" s="258"/>
    </row>
    <row r="18780" spans="1:26" ht="12.75" customHeight="1" x14ac:dyDescent="0.2">
      <c r="A18780" s="258"/>
      <c r="Z18780" s="258"/>
    </row>
    <row r="18781" spans="1:26" ht="12.75" customHeight="1" x14ac:dyDescent="0.2">
      <c r="A18781" s="258"/>
      <c r="Z18781" s="258"/>
    </row>
    <row r="18782" spans="1:26" ht="12.75" customHeight="1" x14ac:dyDescent="0.2">
      <c r="A18782" s="258"/>
      <c r="Z18782" s="258"/>
    </row>
    <row r="18783" spans="1:26" ht="12.75" customHeight="1" x14ac:dyDescent="0.2">
      <c r="A18783" s="258"/>
      <c r="Z18783" s="258"/>
    </row>
    <row r="18784" spans="1:26" ht="12.75" customHeight="1" x14ac:dyDescent="0.2">
      <c r="A18784" s="258"/>
      <c r="Z18784" s="258"/>
    </row>
    <row r="18785" spans="1:26" ht="12.75" customHeight="1" x14ac:dyDescent="0.2">
      <c r="A18785" s="258"/>
      <c r="Z18785" s="258"/>
    </row>
    <row r="18786" spans="1:26" ht="12.75" customHeight="1" x14ac:dyDescent="0.2">
      <c r="A18786" s="258"/>
      <c r="Z18786" s="258"/>
    </row>
    <row r="18787" spans="1:26" ht="12.75" customHeight="1" x14ac:dyDescent="0.2">
      <c r="A18787" s="258"/>
      <c r="Z18787" s="258"/>
    </row>
    <row r="18788" spans="1:26" ht="12.75" customHeight="1" x14ac:dyDescent="0.2">
      <c r="A18788" s="258"/>
      <c r="Z18788" s="258"/>
    </row>
    <row r="18789" spans="1:26" ht="12.75" customHeight="1" x14ac:dyDescent="0.2">
      <c r="A18789" s="258"/>
      <c r="Z18789" s="258"/>
    </row>
    <row r="18790" spans="1:26" ht="12.75" customHeight="1" x14ac:dyDescent="0.2">
      <c r="A18790" s="258"/>
      <c r="Z18790" s="258"/>
    </row>
    <row r="18791" spans="1:26" ht="12.75" customHeight="1" x14ac:dyDescent="0.2">
      <c r="A18791" s="258"/>
      <c r="Z18791" s="258"/>
    </row>
    <row r="18792" spans="1:26" ht="12.75" customHeight="1" x14ac:dyDescent="0.2">
      <c r="A18792" s="258"/>
      <c r="Z18792" s="258"/>
    </row>
    <row r="18793" spans="1:26" ht="12.75" customHeight="1" x14ac:dyDescent="0.2">
      <c r="A18793" s="258"/>
      <c r="Z18793" s="258"/>
    </row>
    <row r="18794" spans="1:26" ht="12.75" customHeight="1" x14ac:dyDescent="0.2">
      <c r="A18794" s="258"/>
      <c r="Z18794" s="258"/>
    </row>
    <row r="18795" spans="1:26" ht="12.75" customHeight="1" x14ac:dyDescent="0.2">
      <c r="A18795" s="258"/>
      <c r="Z18795" s="258"/>
    </row>
    <row r="18796" spans="1:26" ht="12.75" customHeight="1" x14ac:dyDescent="0.2">
      <c r="A18796" s="258"/>
      <c r="Z18796" s="258"/>
    </row>
    <row r="18797" spans="1:26" ht="12.75" customHeight="1" x14ac:dyDescent="0.2">
      <c r="A18797" s="258"/>
      <c r="Z18797" s="258"/>
    </row>
    <row r="18798" spans="1:26" ht="12.75" customHeight="1" x14ac:dyDescent="0.2">
      <c r="A18798" s="258"/>
      <c r="Z18798" s="258"/>
    </row>
    <row r="18799" spans="1:26" ht="12.75" customHeight="1" x14ac:dyDescent="0.2">
      <c r="A18799" s="258"/>
      <c r="Z18799" s="258"/>
    </row>
    <row r="18800" spans="1:26" ht="12.75" customHeight="1" x14ac:dyDescent="0.2">
      <c r="A18800" s="258"/>
      <c r="Z18800" s="258"/>
    </row>
    <row r="18801" spans="1:26" ht="12.75" customHeight="1" x14ac:dyDescent="0.2">
      <c r="A18801" s="258"/>
      <c r="Z18801" s="258"/>
    </row>
    <row r="18802" spans="1:26" ht="12.75" customHeight="1" x14ac:dyDescent="0.2">
      <c r="A18802" s="258"/>
      <c r="Z18802" s="258"/>
    </row>
    <row r="18803" spans="1:26" ht="12.75" customHeight="1" x14ac:dyDescent="0.2">
      <c r="A18803" s="258"/>
      <c r="Z18803" s="258"/>
    </row>
    <row r="18804" spans="1:26" ht="12.75" customHeight="1" x14ac:dyDescent="0.2">
      <c r="A18804" s="258"/>
      <c r="Z18804" s="258"/>
    </row>
    <row r="18805" spans="1:26" ht="12.75" customHeight="1" x14ac:dyDescent="0.2">
      <c r="A18805" s="258"/>
      <c r="Z18805" s="258"/>
    </row>
    <row r="18806" spans="1:26" ht="12.75" customHeight="1" x14ac:dyDescent="0.2">
      <c r="A18806" s="258"/>
      <c r="Z18806" s="258"/>
    </row>
    <row r="18807" spans="1:26" ht="12.75" customHeight="1" x14ac:dyDescent="0.2">
      <c r="A18807" s="258"/>
      <c r="Z18807" s="258"/>
    </row>
    <row r="18808" spans="1:26" ht="12.75" customHeight="1" x14ac:dyDescent="0.2">
      <c r="A18808" s="258"/>
      <c r="Z18808" s="258"/>
    </row>
    <row r="18809" spans="1:26" ht="12.75" customHeight="1" x14ac:dyDescent="0.2">
      <c r="A18809" s="258"/>
      <c r="Z18809" s="258"/>
    </row>
    <row r="18810" spans="1:26" ht="12.75" customHeight="1" x14ac:dyDescent="0.2">
      <c r="A18810" s="258"/>
      <c r="Z18810" s="258"/>
    </row>
    <row r="18811" spans="1:26" ht="12.75" customHeight="1" x14ac:dyDescent="0.2">
      <c r="A18811" s="258"/>
      <c r="Z18811" s="258"/>
    </row>
    <row r="18812" spans="1:26" ht="12.75" customHeight="1" x14ac:dyDescent="0.2">
      <c r="A18812" s="258"/>
      <c r="Z18812" s="258"/>
    </row>
    <row r="18813" spans="1:26" ht="12.75" customHeight="1" x14ac:dyDescent="0.2">
      <c r="A18813" s="258"/>
      <c r="Z18813" s="258"/>
    </row>
    <row r="18814" spans="1:26" ht="12.75" customHeight="1" x14ac:dyDescent="0.2">
      <c r="A18814" s="258"/>
      <c r="Z18814" s="258"/>
    </row>
    <row r="18815" spans="1:26" ht="12.75" customHeight="1" x14ac:dyDescent="0.2">
      <c r="A18815" s="258"/>
      <c r="Z18815" s="258"/>
    </row>
    <row r="18816" spans="1:26" ht="12.75" customHeight="1" x14ac:dyDescent="0.2">
      <c r="A18816" s="258"/>
      <c r="Z18816" s="258"/>
    </row>
    <row r="18817" spans="1:26" ht="12.75" customHeight="1" x14ac:dyDescent="0.2">
      <c r="A18817" s="258"/>
      <c r="Z18817" s="258"/>
    </row>
    <row r="18818" spans="1:26" ht="12.75" customHeight="1" x14ac:dyDescent="0.2">
      <c r="A18818" s="258"/>
      <c r="Z18818" s="258"/>
    </row>
    <row r="18819" spans="1:26" ht="12.75" customHeight="1" x14ac:dyDescent="0.2">
      <c r="A18819" s="258"/>
      <c r="Z18819" s="258"/>
    </row>
    <row r="18820" spans="1:26" ht="12.75" customHeight="1" x14ac:dyDescent="0.2">
      <c r="A18820" s="258"/>
      <c r="Z18820" s="258"/>
    </row>
    <row r="18821" spans="1:26" ht="12.75" customHeight="1" x14ac:dyDescent="0.2">
      <c r="A18821" s="258"/>
      <c r="Z18821" s="258"/>
    </row>
    <row r="18822" spans="1:26" ht="12.75" customHeight="1" x14ac:dyDescent="0.2">
      <c r="A18822" s="258"/>
      <c r="Z18822" s="258"/>
    </row>
    <row r="18823" spans="1:26" ht="12.75" customHeight="1" x14ac:dyDescent="0.2">
      <c r="A18823" s="258"/>
      <c r="Z18823" s="258"/>
    </row>
    <row r="18824" spans="1:26" ht="12.75" customHeight="1" x14ac:dyDescent="0.2">
      <c r="A18824" s="258"/>
      <c r="Z18824" s="258"/>
    </row>
    <row r="18825" spans="1:26" ht="12.75" customHeight="1" x14ac:dyDescent="0.2">
      <c r="A18825" s="258"/>
      <c r="Z18825" s="258"/>
    </row>
    <row r="18826" spans="1:26" ht="12.75" customHeight="1" x14ac:dyDescent="0.2">
      <c r="A18826" s="258"/>
      <c r="Z18826" s="258"/>
    </row>
    <row r="18827" spans="1:26" ht="12.75" customHeight="1" x14ac:dyDescent="0.2">
      <c r="A18827" s="258"/>
      <c r="Z18827" s="258"/>
    </row>
    <row r="18828" spans="1:26" ht="12.75" customHeight="1" x14ac:dyDescent="0.2">
      <c r="A18828" s="258"/>
      <c r="Z18828" s="258"/>
    </row>
    <row r="18829" spans="1:26" ht="12.75" customHeight="1" x14ac:dyDescent="0.2">
      <c r="A18829" s="258"/>
      <c r="Z18829" s="258"/>
    </row>
    <row r="18830" spans="1:26" ht="12.75" customHeight="1" x14ac:dyDescent="0.2">
      <c r="A18830" s="258"/>
      <c r="Z18830" s="258"/>
    </row>
    <row r="18831" spans="1:26" ht="12.75" customHeight="1" x14ac:dyDescent="0.2">
      <c r="A18831" s="258"/>
      <c r="Z18831" s="258"/>
    </row>
    <row r="18832" spans="1:26" ht="12.75" customHeight="1" x14ac:dyDescent="0.2">
      <c r="A18832" s="258"/>
      <c r="Z18832" s="258"/>
    </row>
    <row r="18833" spans="1:26" ht="12.75" customHeight="1" x14ac:dyDescent="0.2">
      <c r="A18833" s="258"/>
      <c r="Z18833" s="258"/>
    </row>
    <row r="18834" spans="1:26" ht="12.75" customHeight="1" x14ac:dyDescent="0.2">
      <c r="A18834" s="258"/>
      <c r="Z18834" s="258"/>
    </row>
    <row r="18835" spans="1:26" ht="12.75" customHeight="1" x14ac:dyDescent="0.2">
      <c r="A18835" s="258"/>
      <c r="Z18835" s="258"/>
    </row>
    <row r="18836" spans="1:26" ht="12.75" customHeight="1" x14ac:dyDescent="0.2">
      <c r="A18836" s="258"/>
      <c r="Z18836" s="258"/>
    </row>
    <row r="18837" spans="1:26" ht="12.75" customHeight="1" x14ac:dyDescent="0.2">
      <c r="A18837" s="258"/>
      <c r="Z18837" s="258"/>
    </row>
    <row r="18838" spans="1:26" ht="12.75" customHeight="1" x14ac:dyDescent="0.2">
      <c r="A18838" s="258"/>
      <c r="Z18838" s="258"/>
    </row>
    <row r="18839" spans="1:26" ht="12.75" customHeight="1" x14ac:dyDescent="0.2">
      <c r="A18839" s="258"/>
      <c r="Z18839" s="258"/>
    </row>
    <row r="18840" spans="1:26" ht="12.75" customHeight="1" x14ac:dyDescent="0.2">
      <c r="A18840" s="258"/>
      <c r="Z18840" s="258"/>
    </row>
    <row r="18841" spans="1:26" ht="12.75" customHeight="1" x14ac:dyDescent="0.2">
      <c r="A18841" s="258"/>
      <c r="Z18841" s="258"/>
    </row>
    <row r="18842" spans="1:26" ht="12.75" customHeight="1" x14ac:dyDescent="0.2">
      <c r="A18842" s="258"/>
      <c r="Z18842" s="258"/>
    </row>
    <row r="18843" spans="1:26" ht="12.75" customHeight="1" x14ac:dyDescent="0.2">
      <c r="A18843" s="258"/>
      <c r="Z18843" s="258"/>
    </row>
    <row r="18844" spans="1:26" ht="12.75" customHeight="1" x14ac:dyDescent="0.2">
      <c r="A18844" s="258"/>
      <c r="Z18844" s="258"/>
    </row>
    <row r="18845" spans="1:26" ht="12.75" customHeight="1" x14ac:dyDescent="0.2">
      <c r="A18845" s="258"/>
      <c r="Z18845" s="258"/>
    </row>
    <row r="18846" spans="1:26" ht="12.75" customHeight="1" x14ac:dyDescent="0.2">
      <c r="A18846" s="258"/>
      <c r="Z18846" s="258"/>
    </row>
    <row r="18847" spans="1:26" ht="12.75" customHeight="1" x14ac:dyDescent="0.2">
      <c r="A18847" s="258"/>
      <c r="Z18847" s="258"/>
    </row>
    <row r="18848" spans="1:26" ht="12.75" customHeight="1" x14ac:dyDescent="0.2">
      <c r="A18848" s="258"/>
      <c r="Z18848" s="258"/>
    </row>
    <row r="18849" spans="1:26" ht="12.75" customHeight="1" x14ac:dyDescent="0.2">
      <c r="A18849" s="258"/>
      <c r="Z18849" s="258"/>
    </row>
    <row r="18850" spans="1:26" ht="12.75" customHeight="1" x14ac:dyDescent="0.2">
      <c r="A18850" s="258"/>
      <c r="Z18850" s="258"/>
    </row>
    <row r="18851" spans="1:26" ht="12.75" customHeight="1" x14ac:dyDescent="0.2">
      <c r="A18851" s="258"/>
      <c r="Z18851" s="258"/>
    </row>
    <row r="18852" spans="1:26" ht="12.75" customHeight="1" x14ac:dyDescent="0.2">
      <c r="A18852" s="258"/>
      <c r="Z18852" s="258"/>
    </row>
    <row r="18853" spans="1:26" ht="12.75" customHeight="1" x14ac:dyDescent="0.2">
      <c r="A18853" s="258"/>
      <c r="Z18853" s="258"/>
    </row>
    <row r="18854" spans="1:26" ht="12.75" customHeight="1" x14ac:dyDescent="0.2">
      <c r="A18854" s="258"/>
      <c r="Z18854" s="258"/>
    </row>
    <row r="18855" spans="1:26" ht="12.75" customHeight="1" x14ac:dyDescent="0.2">
      <c r="A18855" s="258"/>
      <c r="Z18855" s="258"/>
    </row>
    <row r="18856" spans="1:26" ht="12.75" customHeight="1" x14ac:dyDescent="0.2">
      <c r="A18856" s="258"/>
      <c r="Z18856" s="258"/>
    </row>
    <row r="18857" spans="1:26" ht="12.75" customHeight="1" x14ac:dyDescent="0.2">
      <c r="A18857" s="258"/>
      <c r="Z18857" s="258"/>
    </row>
    <row r="18858" spans="1:26" ht="12.75" customHeight="1" x14ac:dyDescent="0.2">
      <c r="A18858" s="258"/>
      <c r="Z18858" s="258"/>
    </row>
    <row r="18859" spans="1:26" ht="12.75" customHeight="1" x14ac:dyDescent="0.2">
      <c r="A18859" s="258"/>
      <c r="Z18859" s="258"/>
    </row>
    <row r="18860" spans="1:26" ht="12.75" customHeight="1" x14ac:dyDescent="0.2">
      <c r="A18860" s="258"/>
      <c r="Z18860" s="258"/>
    </row>
    <row r="18861" spans="1:26" ht="12.75" customHeight="1" x14ac:dyDescent="0.2">
      <c r="A18861" s="258"/>
      <c r="Z18861" s="258"/>
    </row>
    <row r="18862" spans="1:26" ht="12.75" customHeight="1" x14ac:dyDescent="0.2">
      <c r="A18862" s="258"/>
      <c r="Z18862" s="258"/>
    </row>
    <row r="18863" spans="1:26" ht="12.75" customHeight="1" x14ac:dyDescent="0.2">
      <c r="A18863" s="258"/>
      <c r="Z18863" s="258"/>
    </row>
    <row r="18864" spans="1:26" ht="12.75" customHeight="1" x14ac:dyDescent="0.2">
      <c r="A18864" s="258"/>
      <c r="Z18864" s="258"/>
    </row>
    <row r="18865" spans="1:26" ht="12.75" customHeight="1" x14ac:dyDescent="0.2">
      <c r="A18865" s="258"/>
      <c r="Z18865" s="258"/>
    </row>
    <row r="18866" spans="1:26" ht="12.75" customHeight="1" x14ac:dyDescent="0.2">
      <c r="A18866" s="258"/>
      <c r="Z18866" s="258"/>
    </row>
    <row r="18867" spans="1:26" ht="12.75" customHeight="1" x14ac:dyDescent="0.2">
      <c r="A18867" s="258"/>
      <c r="Z18867" s="258"/>
    </row>
    <row r="18868" spans="1:26" ht="12.75" customHeight="1" x14ac:dyDescent="0.2">
      <c r="A18868" s="258"/>
      <c r="Z18868" s="258"/>
    </row>
    <row r="18869" spans="1:26" ht="12.75" customHeight="1" x14ac:dyDescent="0.2">
      <c r="A18869" s="258"/>
      <c r="Z18869" s="258"/>
    </row>
    <row r="18870" spans="1:26" ht="12.75" customHeight="1" x14ac:dyDescent="0.2">
      <c r="A18870" s="258"/>
      <c r="Z18870" s="258"/>
    </row>
    <row r="18871" spans="1:26" ht="12.75" customHeight="1" x14ac:dyDescent="0.2">
      <c r="A18871" s="258"/>
      <c r="Z18871" s="258"/>
    </row>
    <row r="18872" spans="1:26" ht="12.75" customHeight="1" x14ac:dyDescent="0.2">
      <c r="A18872" s="258"/>
      <c r="Z18872" s="258"/>
    </row>
    <row r="18873" spans="1:26" ht="12.75" customHeight="1" x14ac:dyDescent="0.2">
      <c r="A18873" s="258"/>
      <c r="Z18873" s="258"/>
    </row>
    <row r="18874" spans="1:26" ht="12.75" customHeight="1" x14ac:dyDescent="0.2">
      <c r="A18874" s="258"/>
      <c r="Z18874" s="258"/>
    </row>
    <row r="18875" spans="1:26" ht="12.75" customHeight="1" x14ac:dyDescent="0.2">
      <c r="A18875" s="258"/>
      <c r="Z18875" s="258"/>
    </row>
    <row r="18876" spans="1:26" ht="12.75" customHeight="1" x14ac:dyDescent="0.2">
      <c r="A18876" s="258"/>
      <c r="Z18876" s="258"/>
    </row>
    <row r="18877" spans="1:26" ht="12.75" customHeight="1" x14ac:dyDescent="0.2">
      <c r="A18877" s="258"/>
      <c r="Z18877" s="258"/>
    </row>
    <row r="18878" spans="1:26" ht="12.75" customHeight="1" x14ac:dyDescent="0.2">
      <c r="A18878" s="258"/>
      <c r="Z18878" s="258"/>
    </row>
    <row r="18879" spans="1:26" ht="12.75" customHeight="1" x14ac:dyDescent="0.2">
      <c r="A18879" s="258"/>
      <c r="Z18879" s="258"/>
    </row>
    <row r="18880" spans="1:26" ht="12.75" customHeight="1" x14ac:dyDescent="0.2">
      <c r="A18880" s="258"/>
      <c r="Z18880" s="258"/>
    </row>
    <row r="18881" spans="1:26" ht="12.75" customHeight="1" x14ac:dyDescent="0.2">
      <c r="A18881" s="258"/>
      <c r="Z18881" s="258"/>
    </row>
    <row r="18882" spans="1:26" ht="12.75" customHeight="1" x14ac:dyDescent="0.2">
      <c r="A18882" s="258"/>
      <c r="Z18882" s="258"/>
    </row>
    <row r="18883" spans="1:26" ht="12.75" customHeight="1" x14ac:dyDescent="0.2">
      <c r="A18883" s="258"/>
      <c r="Z18883" s="258"/>
    </row>
    <row r="18884" spans="1:26" ht="12.75" customHeight="1" x14ac:dyDescent="0.2">
      <c r="A18884" s="258"/>
      <c r="Z18884" s="258"/>
    </row>
    <row r="18885" spans="1:26" ht="12.75" customHeight="1" x14ac:dyDescent="0.2">
      <c r="A18885" s="258"/>
      <c r="Z18885" s="258"/>
    </row>
    <row r="18886" spans="1:26" ht="12.75" customHeight="1" x14ac:dyDescent="0.2">
      <c r="A18886" s="258"/>
      <c r="Z18886" s="258"/>
    </row>
    <row r="18887" spans="1:26" ht="12.75" customHeight="1" x14ac:dyDescent="0.2">
      <c r="A18887" s="258"/>
      <c r="Z18887" s="258"/>
    </row>
    <row r="18888" spans="1:26" ht="12.75" customHeight="1" x14ac:dyDescent="0.2">
      <c r="A18888" s="258"/>
      <c r="Z18888" s="258"/>
    </row>
    <row r="18889" spans="1:26" ht="12.75" customHeight="1" x14ac:dyDescent="0.2">
      <c r="A18889" s="258"/>
      <c r="Z18889" s="258"/>
    </row>
    <row r="18890" spans="1:26" ht="12.75" customHeight="1" x14ac:dyDescent="0.2">
      <c r="A18890" s="258"/>
      <c r="Z18890" s="258"/>
    </row>
    <row r="18891" spans="1:26" ht="12.75" customHeight="1" x14ac:dyDescent="0.2">
      <c r="A18891" s="258"/>
      <c r="Z18891" s="258"/>
    </row>
    <row r="18892" spans="1:26" ht="12.75" customHeight="1" x14ac:dyDescent="0.2">
      <c r="A18892" s="258"/>
      <c r="Z18892" s="258"/>
    </row>
    <row r="18893" spans="1:26" ht="12.75" customHeight="1" x14ac:dyDescent="0.2">
      <c r="A18893" s="258"/>
      <c r="Z18893" s="258"/>
    </row>
    <row r="18894" spans="1:26" ht="12.75" customHeight="1" x14ac:dyDescent="0.2">
      <c r="A18894" s="258"/>
      <c r="Z18894" s="258"/>
    </row>
    <row r="18895" spans="1:26" ht="12.75" customHeight="1" x14ac:dyDescent="0.2">
      <c r="A18895" s="258"/>
      <c r="Z18895" s="258"/>
    </row>
    <row r="18896" spans="1:26" ht="12.75" customHeight="1" x14ac:dyDescent="0.2">
      <c r="A18896" s="258"/>
      <c r="Z18896" s="258"/>
    </row>
    <row r="18897" spans="1:26" ht="12.75" customHeight="1" x14ac:dyDescent="0.2">
      <c r="A18897" s="258"/>
      <c r="Z18897" s="258"/>
    </row>
    <row r="18898" spans="1:26" ht="12.75" customHeight="1" x14ac:dyDescent="0.2">
      <c r="A18898" s="258"/>
      <c r="Z18898" s="258"/>
    </row>
    <row r="18899" spans="1:26" ht="12.75" customHeight="1" x14ac:dyDescent="0.2">
      <c r="A18899" s="258"/>
      <c r="Z18899" s="258"/>
    </row>
    <row r="18900" spans="1:26" ht="12.75" customHeight="1" x14ac:dyDescent="0.2">
      <c r="A18900" s="258"/>
      <c r="Z18900" s="258"/>
    </row>
    <row r="18901" spans="1:26" ht="12.75" customHeight="1" x14ac:dyDescent="0.2">
      <c r="A18901" s="258"/>
      <c r="Z18901" s="258"/>
    </row>
    <row r="18902" spans="1:26" ht="12.75" customHeight="1" x14ac:dyDescent="0.2">
      <c r="A18902" s="258"/>
      <c r="Z18902" s="258"/>
    </row>
    <row r="18903" spans="1:26" ht="12.75" customHeight="1" x14ac:dyDescent="0.2">
      <c r="A18903" s="258"/>
      <c r="Z18903" s="258"/>
    </row>
    <row r="18904" spans="1:26" ht="12.75" customHeight="1" x14ac:dyDescent="0.2">
      <c r="A18904" s="258"/>
      <c r="Z18904" s="258"/>
    </row>
    <row r="18905" spans="1:26" ht="12.75" customHeight="1" x14ac:dyDescent="0.2">
      <c r="A18905" s="258"/>
      <c r="Z18905" s="258"/>
    </row>
    <row r="18906" spans="1:26" ht="12.75" customHeight="1" x14ac:dyDescent="0.2">
      <c r="A18906" s="258"/>
      <c r="Z18906" s="258"/>
    </row>
    <row r="18907" spans="1:26" ht="12.75" customHeight="1" x14ac:dyDescent="0.2">
      <c r="A18907" s="258"/>
      <c r="Z18907" s="258"/>
    </row>
    <row r="18908" spans="1:26" ht="12.75" customHeight="1" x14ac:dyDescent="0.2">
      <c r="A18908" s="258"/>
      <c r="Z18908" s="258"/>
    </row>
    <row r="18909" spans="1:26" ht="12.75" customHeight="1" x14ac:dyDescent="0.2">
      <c r="A18909" s="258"/>
      <c r="Z18909" s="258"/>
    </row>
    <row r="18910" spans="1:26" ht="12.75" customHeight="1" x14ac:dyDescent="0.2">
      <c r="A18910" s="258"/>
      <c r="Z18910" s="258"/>
    </row>
    <row r="18911" spans="1:26" ht="12.75" customHeight="1" x14ac:dyDescent="0.2">
      <c r="A18911" s="258"/>
      <c r="Z18911" s="258"/>
    </row>
    <row r="18912" spans="1:26" ht="12.75" customHeight="1" x14ac:dyDescent="0.2">
      <c r="A18912" s="258"/>
      <c r="Z18912" s="258"/>
    </row>
    <row r="18913" spans="1:26" ht="12.75" customHeight="1" x14ac:dyDescent="0.2">
      <c r="A18913" s="258"/>
      <c r="Z18913" s="258"/>
    </row>
    <row r="18914" spans="1:26" ht="12.75" customHeight="1" x14ac:dyDescent="0.2">
      <c r="A18914" s="258"/>
      <c r="Z18914" s="258"/>
    </row>
    <row r="18915" spans="1:26" ht="12.75" customHeight="1" x14ac:dyDescent="0.2">
      <c r="A18915" s="258"/>
      <c r="Z18915" s="258"/>
    </row>
    <row r="18916" spans="1:26" ht="12.75" customHeight="1" x14ac:dyDescent="0.2">
      <c r="A18916" s="258"/>
      <c r="Z18916" s="258"/>
    </row>
    <row r="18917" spans="1:26" ht="12.75" customHeight="1" x14ac:dyDescent="0.2">
      <c r="A18917" s="258"/>
      <c r="Z18917" s="258"/>
    </row>
    <row r="18918" spans="1:26" ht="12.75" customHeight="1" x14ac:dyDescent="0.2">
      <c r="A18918" s="258"/>
      <c r="Z18918" s="258"/>
    </row>
    <row r="18919" spans="1:26" ht="12.75" customHeight="1" x14ac:dyDescent="0.2">
      <c r="A18919" s="258"/>
      <c r="Z18919" s="258"/>
    </row>
    <row r="18920" spans="1:26" ht="12.75" customHeight="1" x14ac:dyDescent="0.2">
      <c r="A18920" s="258"/>
      <c r="Z18920" s="258"/>
    </row>
    <row r="18921" spans="1:26" ht="12.75" customHeight="1" x14ac:dyDescent="0.2">
      <c r="A18921" s="258"/>
      <c r="Z18921" s="258"/>
    </row>
    <row r="18922" spans="1:26" ht="12.75" customHeight="1" x14ac:dyDescent="0.2">
      <c r="A18922" s="258"/>
      <c r="Z18922" s="258"/>
    </row>
    <row r="18923" spans="1:26" ht="12.75" customHeight="1" x14ac:dyDescent="0.2">
      <c r="A18923" s="258"/>
      <c r="Z18923" s="258"/>
    </row>
    <row r="18924" spans="1:26" ht="12.75" customHeight="1" x14ac:dyDescent="0.2">
      <c r="A18924" s="258"/>
      <c r="Z18924" s="258"/>
    </row>
    <row r="18925" spans="1:26" ht="12.75" customHeight="1" x14ac:dyDescent="0.2">
      <c r="A18925" s="258"/>
      <c r="Z18925" s="258"/>
    </row>
    <row r="18926" spans="1:26" ht="12.75" customHeight="1" x14ac:dyDescent="0.2">
      <c r="A18926" s="258"/>
      <c r="Z18926" s="258"/>
    </row>
    <row r="18927" spans="1:26" ht="12.75" customHeight="1" x14ac:dyDescent="0.2">
      <c r="A18927" s="258"/>
      <c r="Z18927" s="258"/>
    </row>
    <row r="18928" spans="1:26" ht="12.75" customHeight="1" x14ac:dyDescent="0.2">
      <c r="A18928" s="258"/>
      <c r="Z18928" s="258"/>
    </row>
    <row r="18929" spans="1:26" ht="12.75" customHeight="1" x14ac:dyDescent="0.2">
      <c r="A18929" s="258"/>
      <c r="Z18929" s="258"/>
    </row>
    <row r="18930" spans="1:26" ht="12.75" customHeight="1" x14ac:dyDescent="0.2">
      <c r="A18930" s="258"/>
      <c r="Z18930" s="258"/>
    </row>
    <row r="18931" spans="1:26" ht="12.75" customHeight="1" x14ac:dyDescent="0.2">
      <c r="A18931" s="258"/>
      <c r="Z18931" s="258"/>
    </row>
    <row r="18932" spans="1:26" ht="12.75" customHeight="1" x14ac:dyDescent="0.2">
      <c r="A18932" s="258"/>
      <c r="Z18932" s="258"/>
    </row>
    <row r="18933" spans="1:26" ht="12.75" customHeight="1" x14ac:dyDescent="0.2">
      <c r="A18933" s="258"/>
      <c r="Z18933" s="258"/>
    </row>
    <row r="18934" spans="1:26" ht="12.75" customHeight="1" x14ac:dyDescent="0.2">
      <c r="A18934" s="258"/>
      <c r="Z18934" s="258"/>
    </row>
    <row r="18935" spans="1:26" ht="12.75" customHeight="1" x14ac:dyDescent="0.2">
      <c r="A18935" s="258"/>
      <c r="Z18935" s="258"/>
    </row>
    <row r="18936" spans="1:26" ht="12.75" customHeight="1" x14ac:dyDescent="0.2">
      <c r="A18936" s="258"/>
      <c r="Z18936" s="258"/>
    </row>
    <row r="18937" spans="1:26" ht="12.75" customHeight="1" x14ac:dyDescent="0.2">
      <c r="A18937" s="258"/>
      <c r="Z18937" s="258"/>
    </row>
    <row r="18938" spans="1:26" ht="12.75" customHeight="1" x14ac:dyDescent="0.2">
      <c r="A18938" s="258"/>
      <c r="Z18938" s="258"/>
    </row>
    <row r="18939" spans="1:26" ht="12.75" customHeight="1" x14ac:dyDescent="0.2">
      <c r="A18939" s="258"/>
      <c r="Z18939" s="258"/>
    </row>
    <row r="18940" spans="1:26" ht="12.75" customHeight="1" x14ac:dyDescent="0.2">
      <c r="A18940" s="258"/>
      <c r="Z18940" s="258"/>
    </row>
    <row r="18941" spans="1:26" ht="12.75" customHeight="1" x14ac:dyDescent="0.2">
      <c r="A18941" s="258"/>
      <c r="Z18941" s="258"/>
    </row>
    <row r="18942" spans="1:26" ht="12.75" customHeight="1" x14ac:dyDescent="0.2">
      <c r="A18942" s="258"/>
      <c r="Z18942" s="258"/>
    </row>
    <row r="18943" spans="1:26" ht="12.75" customHeight="1" x14ac:dyDescent="0.2">
      <c r="A18943" s="258"/>
      <c r="Z18943" s="258"/>
    </row>
    <row r="18944" spans="1:26" ht="12.75" customHeight="1" x14ac:dyDescent="0.2">
      <c r="A18944" s="258"/>
      <c r="Z18944" s="258"/>
    </row>
    <row r="18945" spans="1:26" ht="12.75" customHeight="1" x14ac:dyDescent="0.2">
      <c r="A18945" s="258"/>
      <c r="Z18945" s="258"/>
    </row>
    <row r="18946" spans="1:26" ht="12.75" customHeight="1" x14ac:dyDescent="0.2">
      <c r="A18946" s="258"/>
      <c r="Z18946" s="258"/>
    </row>
    <row r="18947" spans="1:26" ht="12.75" customHeight="1" x14ac:dyDescent="0.2">
      <c r="A18947" s="258"/>
      <c r="Z18947" s="258"/>
    </row>
    <row r="18948" spans="1:26" ht="12.75" customHeight="1" x14ac:dyDescent="0.2">
      <c r="A18948" s="258"/>
      <c r="Z18948" s="258"/>
    </row>
    <row r="18949" spans="1:26" ht="12.75" customHeight="1" x14ac:dyDescent="0.2">
      <c r="A18949" s="258"/>
      <c r="Z18949" s="258"/>
    </row>
    <row r="18950" spans="1:26" ht="12.75" customHeight="1" x14ac:dyDescent="0.2">
      <c r="A18950" s="258"/>
      <c r="Z18950" s="258"/>
    </row>
    <row r="18951" spans="1:26" ht="12.75" customHeight="1" x14ac:dyDescent="0.2">
      <c r="A18951" s="258"/>
      <c r="Z18951" s="258"/>
    </row>
    <row r="18952" spans="1:26" ht="12.75" customHeight="1" x14ac:dyDescent="0.2">
      <c r="A18952" s="258"/>
      <c r="Z18952" s="258"/>
    </row>
    <row r="18953" spans="1:26" ht="12.75" customHeight="1" x14ac:dyDescent="0.2">
      <c r="A18953" s="258"/>
      <c r="Z18953" s="258"/>
    </row>
    <row r="18954" spans="1:26" ht="12.75" customHeight="1" x14ac:dyDescent="0.2">
      <c r="A18954" s="258"/>
      <c r="Z18954" s="258"/>
    </row>
    <row r="18955" spans="1:26" ht="12.75" customHeight="1" x14ac:dyDescent="0.2">
      <c r="A18955" s="258"/>
      <c r="Z18955" s="258"/>
    </row>
    <row r="18956" spans="1:26" ht="12.75" customHeight="1" x14ac:dyDescent="0.2">
      <c r="A18956" s="258"/>
      <c r="Z18956" s="258"/>
    </row>
    <row r="18957" spans="1:26" ht="12.75" customHeight="1" x14ac:dyDescent="0.2">
      <c r="A18957" s="258"/>
      <c r="Z18957" s="258"/>
    </row>
    <row r="18958" spans="1:26" ht="12.75" customHeight="1" x14ac:dyDescent="0.2">
      <c r="A18958" s="258"/>
      <c r="Z18958" s="258"/>
    </row>
    <row r="18959" spans="1:26" ht="12.75" customHeight="1" x14ac:dyDescent="0.2">
      <c r="A18959" s="258"/>
      <c r="Z18959" s="258"/>
    </row>
    <row r="18960" spans="1:26" ht="12.75" customHeight="1" x14ac:dyDescent="0.2">
      <c r="A18960" s="258"/>
      <c r="Z18960" s="258"/>
    </row>
    <row r="18961" spans="1:26" ht="12.75" customHeight="1" x14ac:dyDescent="0.2">
      <c r="A18961" s="258"/>
      <c r="Z18961" s="258"/>
    </row>
    <row r="18962" spans="1:26" ht="12.75" customHeight="1" x14ac:dyDescent="0.2">
      <c r="A18962" s="258"/>
      <c r="Z18962" s="258"/>
    </row>
    <row r="18963" spans="1:26" ht="12.75" customHeight="1" x14ac:dyDescent="0.2">
      <c r="A18963" s="258"/>
      <c r="Z18963" s="258"/>
    </row>
    <row r="18964" spans="1:26" ht="12.75" customHeight="1" x14ac:dyDescent="0.2">
      <c r="A18964" s="258"/>
      <c r="Z18964" s="258"/>
    </row>
    <row r="18965" spans="1:26" ht="12.75" customHeight="1" x14ac:dyDescent="0.2">
      <c r="A18965" s="258"/>
      <c r="Z18965" s="258"/>
    </row>
    <row r="18966" spans="1:26" ht="12.75" customHeight="1" x14ac:dyDescent="0.2">
      <c r="A18966" s="258"/>
      <c r="Z18966" s="258"/>
    </row>
    <row r="18967" spans="1:26" ht="12.75" customHeight="1" x14ac:dyDescent="0.2">
      <c r="A18967" s="258"/>
      <c r="Z18967" s="258"/>
    </row>
    <row r="18968" spans="1:26" ht="12.75" customHeight="1" x14ac:dyDescent="0.2">
      <c r="A18968" s="258"/>
      <c r="Z18968" s="258"/>
    </row>
    <row r="18969" spans="1:26" ht="12.75" customHeight="1" x14ac:dyDescent="0.2">
      <c r="A18969" s="258"/>
      <c r="Z18969" s="258"/>
    </row>
    <row r="18970" spans="1:26" ht="12.75" customHeight="1" x14ac:dyDescent="0.2">
      <c r="A18970" s="258"/>
      <c r="Z18970" s="258"/>
    </row>
    <row r="18971" spans="1:26" ht="12.75" customHeight="1" x14ac:dyDescent="0.2">
      <c r="A18971" s="258"/>
      <c r="Z18971" s="258"/>
    </row>
    <row r="18972" spans="1:26" ht="12.75" customHeight="1" x14ac:dyDescent="0.2">
      <c r="A18972" s="258"/>
      <c r="Z18972" s="258"/>
    </row>
    <row r="18973" spans="1:26" ht="12.75" customHeight="1" x14ac:dyDescent="0.2">
      <c r="A18973" s="258"/>
      <c r="Z18973" s="258"/>
    </row>
    <row r="18974" spans="1:26" ht="12.75" customHeight="1" x14ac:dyDescent="0.2">
      <c r="A18974" s="258"/>
      <c r="Z18974" s="258"/>
    </row>
    <row r="18975" spans="1:26" ht="12.75" customHeight="1" x14ac:dyDescent="0.2">
      <c r="A18975" s="258"/>
      <c r="Z18975" s="258"/>
    </row>
    <row r="18976" spans="1:26" ht="12.75" customHeight="1" x14ac:dyDescent="0.2">
      <c r="A18976" s="258"/>
      <c r="Z18976" s="258"/>
    </row>
    <row r="18977" spans="1:26" ht="12.75" customHeight="1" x14ac:dyDescent="0.2">
      <c r="A18977" s="258"/>
      <c r="Z18977" s="258"/>
    </row>
    <row r="18978" spans="1:26" ht="12.75" customHeight="1" x14ac:dyDescent="0.2">
      <c r="A18978" s="258"/>
      <c r="Z18978" s="258"/>
    </row>
    <row r="18979" spans="1:26" ht="12.75" customHeight="1" x14ac:dyDescent="0.2">
      <c r="A18979" s="258"/>
      <c r="Z18979" s="258"/>
    </row>
    <row r="18980" spans="1:26" ht="12.75" customHeight="1" x14ac:dyDescent="0.2">
      <c r="A18980" s="258"/>
      <c r="Z18980" s="258"/>
    </row>
    <row r="18981" spans="1:26" ht="12.75" customHeight="1" x14ac:dyDescent="0.2">
      <c r="A18981" s="258"/>
      <c r="Z18981" s="258"/>
    </row>
    <row r="18982" spans="1:26" ht="12.75" customHeight="1" x14ac:dyDescent="0.2">
      <c r="A18982" s="258"/>
      <c r="Z18982" s="258"/>
    </row>
    <row r="18983" spans="1:26" ht="12.75" customHeight="1" x14ac:dyDescent="0.2">
      <c r="A18983" s="258"/>
      <c r="Z18983" s="258"/>
    </row>
    <row r="18984" spans="1:26" ht="12.75" customHeight="1" x14ac:dyDescent="0.2">
      <c r="A18984" s="258"/>
      <c r="Z18984" s="258"/>
    </row>
    <row r="18985" spans="1:26" ht="12.75" customHeight="1" x14ac:dyDescent="0.2">
      <c r="A18985" s="258"/>
      <c r="Z18985" s="258"/>
    </row>
    <row r="18986" spans="1:26" ht="12.75" customHeight="1" x14ac:dyDescent="0.2">
      <c r="A18986" s="258"/>
      <c r="Z18986" s="258"/>
    </row>
    <row r="18987" spans="1:26" ht="12.75" customHeight="1" x14ac:dyDescent="0.2">
      <c r="A18987" s="258"/>
      <c r="Z18987" s="258"/>
    </row>
    <row r="18988" spans="1:26" ht="12.75" customHeight="1" x14ac:dyDescent="0.2">
      <c r="A18988" s="258"/>
      <c r="Z18988" s="258"/>
    </row>
    <row r="18989" spans="1:26" ht="12.75" customHeight="1" x14ac:dyDescent="0.2">
      <c r="A18989" s="258"/>
      <c r="Z18989" s="258"/>
    </row>
    <row r="18990" spans="1:26" ht="12.75" customHeight="1" x14ac:dyDescent="0.2">
      <c r="A18990" s="258"/>
      <c r="Z18990" s="258"/>
    </row>
    <row r="18991" spans="1:26" ht="12.75" customHeight="1" x14ac:dyDescent="0.2">
      <c r="A18991" s="258"/>
      <c r="Z18991" s="258"/>
    </row>
    <row r="18992" spans="1:26" ht="12.75" customHeight="1" x14ac:dyDescent="0.2">
      <c r="A18992" s="258"/>
      <c r="Z18992" s="258"/>
    </row>
    <row r="18993" spans="1:26" ht="12.75" customHeight="1" x14ac:dyDescent="0.2">
      <c r="A18993" s="258"/>
      <c r="Z18993" s="258"/>
    </row>
    <row r="18994" spans="1:26" ht="12.75" customHeight="1" x14ac:dyDescent="0.2">
      <c r="A18994" s="258"/>
      <c r="Z18994" s="258"/>
    </row>
    <row r="18995" spans="1:26" ht="12.75" customHeight="1" x14ac:dyDescent="0.2">
      <c r="A18995" s="258"/>
      <c r="Z18995" s="258"/>
    </row>
    <row r="18996" spans="1:26" ht="12.75" customHeight="1" x14ac:dyDescent="0.2">
      <c r="A18996" s="258"/>
      <c r="Z18996" s="258"/>
    </row>
    <row r="18997" spans="1:26" ht="12.75" customHeight="1" x14ac:dyDescent="0.2">
      <c r="A18997" s="258"/>
      <c r="Z18997" s="258"/>
    </row>
    <row r="18998" spans="1:26" ht="12.75" customHeight="1" x14ac:dyDescent="0.2">
      <c r="A18998" s="258"/>
      <c r="Z18998" s="258"/>
    </row>
    <row r="18999" spans="1:26" ht="12.75" customHeight="1" x14ac:dyDescent="0.2">
      <c r="A18999" s="258"/>
      <c r="Z18999" s="258"/>
    </row>
    <row r="19000" spans="1:26" ht="12.75" customHeight="1" x14ac:dyDescent="0.2">
      <c r="A19000" s="258"/>
      <c r="Z19000" s="258"/>
    </row>
    <row r="19001" spans="1:26" ht="12.75" customHeight="1" x14ac:dyDescent="0.2">
      <c r="A19001" s="258"/>
      <c r="Z19001" s="258"/>
    </row>
    <row r="19002" spans="1:26" ht="12.75" customHeight="1" x14ac:dyDescent="0.2">
      <c r="A19002" s="258"/>
      <c r="Z19002" s="258"/>
    </row>
    <row r="19003" spans="1:26" ht="12.75" customHeight="1" x14ac:dyDescent="0.2">
      <c r="A19003" s="258"/>
      <c r="Z19003" s="258"/>
    </row>
    <row r="19004" spans="1:26" ht="12.75" customHeight="1" x14ac:dyDescent="0.2">
      <c r="A19004" s="258"/>
      <c r="Z19004" s="258"/>
    </row>
    <row r="19005" spans="1:26" ht="12.75" customHeight="1" x14ac:dyDescent="0.2">
      <c r="A19005" s="258"/>
      <c r="Z19005" s="258"/>
    </row>
    <row r="19006" spans="1:26" ht="12.75" customHeight="1" x14ac:dyDescent="0.2">
      <c r="A19006" s="258"/>
      <c r="Z19006" s="258"/>
    </row>
    <row r="19007" spans="1:26" ht="12.75" customHeight="1" x14ac:dyDescent="0.2">
      <c r="A19007" s="258"/>
      <c r="Z19007" s="258"/>
    </row>
    <row r="19008" spans="1:26" ht="12.75" customHeight="1" x14ac:dyDescent="0.2">
      <c r="A19008" s="258"/>
      <c r="Z19008" s="258"/>
    </row>
    <row r="19009" spans="1:26" ht="12.75" customHeight="1" x14ac:dyDescent="0.2">
      <c r="A19009" s="258"/>
      <c r="Z19009" s="258"/>
    </row>
    <row r="19010" spans="1:26" ht="12.75" customHeight="1" x14ac:dyDescent="0.2">
      <c r="A19010" s="258"/>
      <c r="Z19010" s="258"/>
    </row>
    <row r="19011" spans="1:26" ht="12.75" customHeight="1" x14ac:dyDescent="0.2">
      <c r="A19011" s="258"/>
      <c r="Z19011" s="258"/>
    </row>
    <row r="19012" spans="1:26" ht="12.75" customHeight="1" x14ac:dyDescent="0.2">
      <c r="A19012" s="258"/>
      <c r="Z19012" s="258"/>
    </row>
    <row r="19013" spans="1:26" ht="12.75" customHeight="1" x14ac:dyDescent="0.2">
      <c r="A19013" s="258"/>
      <c r="Z19013" s="258"/>
    </row>
    <row r="19014" spans="1:26" ht="12.75" customHeight="1" x14ac:dyDescent="0.2">
      <c r="A19014" s="258"/>
      <c r="Z19014" s="258"/>
    </row>
    <row r="19015" spans="1:26" ht="12.75" customHeight="1" x14ac:dyDescent="0.2">
      <c r="A19015" s="258"/>
      <c r="Z19015" s="258"/>
    </row>
    <row r="19016" spans="1:26" ht="12.75" customHeight="1" x14ac:dyDescent="0.2">
      <c r="A19016" s="258"/>
      <c r="Z19016" s="258"/>
    </row>
    <row r="19017" spans="1:26" ht="12.75" customHeight="1" x14ac:dyDescent="0.2">
      <c r="A19017" s="258"/>
      <c r="Z19017" s="258"/>
    </row>
    <row r="19018" spans="1:26" ht="12.75" customHeight="1" x14ac:dyDescent="0.2">
      <c r="A19018" s="258"/>
      <c r="Z19018" s="258"/>
    </row>
    <row r="19019" spans="1:26" ht="12.75" customHeight="1" x14ac:dyDescent="0.2">
      <c r="A19019" s="258"/>
      <c r="Z19019" s="258"/>
    </row>
    <row r="19020" spans="1:26" ht="12.75" customHeight="1" x14ac:dyDescent="0.2">
      <c r="A19020" s="258"/>
      <c r="Z19020" s="258"/>
    </row>
    <row r="19021" spans="1:26" ht="12.75" customHeight="1" x14ac:dyDescent="0.2">
      <c r="A19021" s="258"/>
      <c r="Z19021" s="258"/>
    </row>
    <row r="19022" spans="1:26" ht="12.75" customHeight="1" x14ac:dyDescent="0.2">
      <c r="A19022" s="258"/>
      <c r="Z19022" s="258"/>
    </row>
    <row r="19023" spans="1:26" ht="12.75" customHeight="1" x14ac:dyDescent="0.2">
      <c r="A19023" s="258"/>
      <c r="Z19023" s="258"/>
    </row>
    <row r="19024" spans="1:26" ht="12.75" customHeight="1" x14ac:dyDescent="0.2">
      <c r="A19024" s="258"/>
      <c r="Z19024" s="258"/>
    </row>
    <row r="19025" spans="1:26" ht="12.75" customHeight="1" x14ac:dyDescent="0.2">
      <c r="A19025" s="258"/>
      <c r="Z19025" s="258"/>
    </row>
    <row r="19026" spans="1:26" ht="12.75" customHeight="1" x14ac:dyDescent="0.2">
      <c r="A19026" s="258"/>
      <c r="Z19026" s="258"/>
    </row>
    <row r="19027" spans="1:26" ht="12.75" customHeight="1" x14ac:dyDescent="0.2">
      <c r="A19027" s="258"/>
      <c r="Z19027" s="258"/>
    </row>
    <row r="19028" spans="1:26" ht="12.75" customHeight="1" x14ac:dyDescent="0.2">
      <c r="A19028" s="258"/>
      <c r="Z19028" s="258"/>
    </row>
    <row r="19029" spans="1:26" ht="12.75" customHeight="1" x14ac:dyDescent="0.2">
      <c r="A19029" s="258"/>
      <c r="Z19029" s="258"/>
    </row>
    <row r="19030" spans="1:26" ht="12.75" customHeight="1" x14ac:dyDescent="0.2">
      <c r="A19030" s="258"/>
      <c r="Z19030" s="258"/>
    </row>
    <row r="19031" spans="1:26" ht="12.75" customHeight="1" x14ac:dyDescent="0.2">
      <c r="A19031" s="258"/>
      <c r="Z19031" s="258"/>
    </row>
    <row r="19032" spans="1:26" ht="12.75" customHeight="1" x14ac:dyDescent="0.2">
      <c r="A19032" s="258"/>
      <c r="Z19032" s="258"/>
    </row>
    <row r="19033" spans="1:26" ht="12.75" customHeight="1" x14ac:dyDescent="0.2">
      <c r="A19033" s="258"/>
      <c r="Z19033" s="258"/>
    </row>
    <row r="19034" spans="1:26" ht="12.75" customHeight="1" x14ac:dyDescent="0.2">
      <c r="A19034" s="258"/>
      <c r="Z19034" s="258"/>
    </row>
    <row r="19035" spans="1:26" ht="12.75" customHeight="1" x14ac:dyDescent="0.2">
      <c r="A19035" s="258"/>
      <c r="Z19035" s="258"/>
    </row>
    <row r="19036" spans="1:26" ht="12.75" customHeight="1" x14ac:dyDescent="0.2">
      <c r="A19036" s="258"/>
      <c r="Z19036" s="258"/>
    </row>
    <row r="19037" spans="1:26" ht="12.75" customHeight="1" x14ac:dyDescent="0.2">
      <c r="A19037" s="258"/>
      <c r="Z19037" s="258"/>
    </row>
    <row r="19038" spans="1:26" ht="12.75" customHeight="1" x14ac:dyDescent="0.2">
      <c r="A19038" s="258"/>
      <c r="Z19038" s="258"/>
    </row>
    <row r="19039" spans="1:26" ht="12.75" customHeight="1" x14ac:dyDescent="0.2">
      <c r="A19039" s="258"/>
      <c r="Z19039" s="258"/>
    </row>
    <row r="19040" spans="1:26" ht="12.75" customHeight="1" x14ac:dyDescent="0.2">
      <c r="A19040" s="258"/>
      <c r="Z19040" s="258"/>
    </row>
    <row r="19041" spans="1:26" ht="12.75" customHeight="1" x14ac:dyDescent="0.2">
      <c r="A19041" s="258"/>
      <c r="Z19041" s="258"/>
    </row>
    <row r="19042" spans="1:26" ht="12.75" customHeight="1" x14ac:dyDescent="0.2">
      <c r="A19042" s="258"/>
      <c r="Z19042" s="258"/>
    </row>
    <row r="19043" spans="1:26" ht="12.75" customHeight="1" x14ac:dyDescent="0.2">
      <c r="A19043" s="258"/>
      <c r="Z19043" s="258"/>
    </row>
    <row r="19044" spans="1:26" ht="12.75" customHeight="1" x14ac:dyDescent="0.2">
      <c r="A19044" s="258"/>
      <c r="Z19044" s="258"/>
    </row>
    <row r="19045" spans="1:26" ht="12.75" customHeight="1" x14ac:dyDescent="0.2">
      <c r="A19045" s="258"/>
      <c r="Z19045" s="258"/>
    </row>
    <row r="19046" spans="1:26" ht="12.75" customHeight="1" x14ac:dyDescent="0.2">
      <c r="A19046" s="258"/>
      <c r="Z19046" s="258"/>
    </row>
    <row r="19047" spans="1:26" ht="12.75" customHeight="1" x14ac:dyDescent="0.2">
      <c r="A19047" s="258"/>
      <c r="Z19047" s="258"/>
    </row>
    <row r="19048" spans="1:26" ht="12.75" customHeight="1" x14ac:dyDescent="0.2">
      <c r="A19048" s="258"/>
      <c r="Z19048" s="258"/>
    </row>
    <row r="19049" spans="1:26" ht="12.75" customHeight="1" x14ac:dyDescent="0.2">
      <c r="A19049" s="258"/>
      <c r="Z19049" s="258"/>
    </row>
    <row r="19050" spans="1:26" ht="12.75" customHeight="1" x14ac:dyDescent="0.2">
      <c r="A19050" s="258"/>
      <c r="Z19050" s="258"/>
    </row>
    <row r="19051" spans="1:26" ht="12.75" customHeight="1" x14ac:dyDescent="0.2">
      <c r="A19051" s="258"/>
      <c r="Z19051" s="258"/>
    </row>
    <row r="19052" spans="1:26" ht="12.75" customHeight="1" x14ac:dyDescent="0.2">
      <c r="A19052" s="258"/>
      <c r="Z19052" s="258"/>
    </row>
    <row r="19053" spans="1:26" ht="12.75" customHeight="1" x14ac:dyDescent="0.2">
      <c r="A19053" s="258"/>
      <c r="Z19053" s="258"/>
    </row>
    <row r="19054" spans="1:26" ht="12.75" customHeight="1" x14ac:dyDescent="0.2">
      <c r="A19054" s="258"/>
      <c r="Z19054" s="258"/>
    </row>
    <row r="19055" spans="1:26" ht="12.75" customHeight="1" x14ac:dyDescent="0.2">
      <c r="A19055" s="258"/>
      <c r="Z19055" s="258"/>
    </row>
    <row r="19056" spans="1:26" ht="12.75" customHeight="1" x14ac:dyDescent="0.2">
      <c r="A19056" s="258"/>
      <c r="Z19056" s="258"/>
    </row>
    <row r="19057" spans="1:26" ht="12.75" customHeight="1" x14ac:dyDescent="0.2">
      <c r="A19057" s="258"/>
      <c r="Z19057" s="258"/>
    </row>
    <row r="19058" spans="1:26" ht="12.75" customHeight="1" x14ac:dyDescent="0.2">
      <c r="A19058" s="258"/>
      <c r="Z19058" s="258"/>
    </row>
    <row r="19059" spans="1:26" ht="12.75" customHeight="1" x14ac:dyDescent="0.2">
      <c r="A19059" s="258"/>
      <c r="Z19059" s="258"/>
    </row>
    <row r="19060" spans="1:26" ht="12.75" customHeight="1" x14ac:dyDescent="0.2">
      <c r="A19060" s="258"/>
      <c r="Z19060" s="258"/>
    </row>
    <row r="19061" spans="1:26" ht="12.75" customHeight="1" x14ac:dyDescent="0.2">
      <c r="A19061" s="258"/>
      <c r="Z19061" s="258"/>
    </row>
    <row r="19062" spans="1:26" ht="12.75" customHeight="1" x14ac:dyDescent="0.2">
      <c r="A19062" s="258"/>
      <c r="Z19062" s="258"/>
    </row>
    <row r="19063" spans="1:26" ht="12.75" customHeight="1" x14ac:dyDescent="0.2">
      <c r="A19063" s="258"/>
      <c r="Z19063" s="258"/>
    </row>
    <row r="19064" spans="1:26" ht="12.75" customHeight="1" x14ac:dyDescent="0.2">
      <c r="A19064" s="258"/>
      <c r="Z19064" s="258"/>
    </row>
    <row r="19065" spans="1:26" ht="12.75" customHeight="1" x14ac:dyDescent="0.2">
      <c r="A19065" s="258"/>
      <c r="Z19065" s="258"/>
    </row>
    <row r="19066" spans="1:26" ht="12.75" customHeight="1" x14ac:dyDescent="0.2">
      <c r="A19066" s="258"/>
      <c r="Z19066" s="258"/>
    </row>
    <row r="19067" spans="1:26" ht="12.75" customHeight="1" x14ac:dyDescent="0.2">
      <c r="A19067" s="258"/>
      <c r="Z19067" s="258"/>
    </row>
    <row r="19068" spans="1:26" ht="12.75" customHeight="1" x14ac:dyDescent="0.2">
      <c r="A19068" s="258"/>
      <c r="Z19068" s="258"/>
    </row>
    <row r="19069" spans="1:26" ht="12.75" customHeight="1" x14ac:dyDescent="0.2">
      <c r="A19069" s="258"/>
      <c r="Z19069" s="258"/>
    </row>
    <row r="19070" spans="1:26" ht="12.75" customHeight="1" x14ac:dyDescent="0.2">
      <c r="A19070" s="258"/>
      <c r="Z19070" s="258"/>
    </row>
    <row r="19071" spans="1:26" ht="12.75" customHeight="1" x14ac:dyDescent="0.2">
      <c r="A19071" s="258"/>
      <c r="Z19071" s="258"/>
    </row>
    <row r="19072" spans="1:26" ht="12.75" customHeight="1" x14ac:dyDescent="0.2">
      <c r="A19072" s="258"/>
      <c r="Z19072" s="258"/>
    </row>
    <row r="19073" spans="1:26" ht="12.75" customHeight="1" x14ac:dyDescent="0.2">
      <c r="A19073" s="258"/>
      <c r="Z19073" s="258"/>
    </row>
    <row r="19074" spans="1:26" ht="12.75" customHeight="1" x14ac:dyDescent="0.2">
      <c r="A19074" s="258"/>
      <c r="Z19074" s="258"/>
    </row>
    <row r="19075" spans="1:26" ht="12.75" customHeight="1" x14ac:dyDescent="0.2">
      <c r="A19075" s="258"/>
      <c r="Z19075" s="258"/>
    </row>
    <row r="19076" spans="1:26" ht="12.75" customHeight="1" x14ac:dyDescent="0.2">
      <c r="A19076" s="258"/>
      <c r="Z19076" s="258"/>
    </row>
    <row r="19077" spans="1:26" ht="12.75" customHeight="1" x14ac:dyDescent="0.2">
      <c r="A19077" s="258"/>
      <c r="Z19077" s="258"/>
    </row>
    <row r="19078" spans="1:26" ht="12.75" customHeight="1" x14ac:dyDescent="0.2">
      <c r="A19078" s="258"/>
      <c r="Z19078" s="258"/>
    </row>
    <row r="19079" spans="1:26" ht="12.75" customHeight="1" x14ac:dyDescent="0.2">
      <c r="A19079" s="258"/>
      <c r="Z19079" s="258"/>
    </row>
    <row r="19080" spans="1:26" ht="12.75" customHeight="1" x14ac:dyDescent="0.2">
      <c r="A19080" s="258"/>
      <c r="Z19080" s="258"/>
    </row>
    <row r="19081" spans="1:26" ht="12.75" customHeight="1" x14ac:dyDescent="0.2">
      <c r="A19081" s="258"/>
      <c r="Z19081" s="258"/>
    </row>
    <row r="19082" spans="1:26" ht="12.75" customHeight="1" x14ac:dyDescent="0.2">
      <c r="A19082" s="258"/>
      <c r="Z19082" s="258"/>
    </row>
    <row r="19083" spans="1:26" ht="12.75" customHeight="1" x14ac:dyDescent="0.2">
      <c r="A19083" s="258"/>
      <c r="Z19083" s="258"/>
    </row>
    <row r="19084" spans="1:26" ht="12.75" customHeight="1" x14ac:dyDescent="0.2">
      <c r="A19084" s="258"/>
      <c r="Z19084" s="258"/>
    </row>
    <row r="19085" spans="1:26" ht="12.75" customHeight="1" x14ac:dyDescent="0.2">
      <c r="A19085" s="258"/>
      <c r="Z19085" s="258"/>
    </row>
    <row r="19086" spans="1:26" ht="12.75" customHeight="1" x14ac:dyDescent="0.2">
      <c r="A19086" s="258"/>
      <c r="Z19086" s="258"/>
    </row>
    <row r="19087" spans="1:26" ht="12.75" customHeight="1" x14ac:dyDescent="0.2">
      <c r="A19087" s="258"/>
      <c r="Z19087" s="258"/>
    </row>
    <row r="19088" spans="1:26" ht="12.75" customHeight="1" x14ac:dyDescent="0.2">
      <c r="A19088" s="258"/>
      <c r="Z19088" s="258"/>
    </row>
    <row r="19089" spans="1:26" ht="12.75" customHeight="1" x14ac:dyDescent="0.2">
      <c r="A19089" s="258"/>
      <c r="Z19089" s="258"/>
    </row>
    <row r="19090" spans="1:26" ht="12.75" customHeight="1" x14ac:dyDescent="0.2">
      <c r="A19090" s="258"/>
      <c r="Z19090" s="258"/>
    </row>
    <row r="19091" spans="1:26" ht="12.75" customHeight="1" x14ac:dyDescent="0.2">
      <c r="A19091" s="258"/>
      <c r="Z19091" s="258"/>
    </row>
    <row r="19092" spans="1:26" ht="12.75" customHeight="1" x14ac:dyDescent="0.2">
      <c r="A19092" s="258"/>
      <c r="Z19092" s="258"/>
    </row>
    <row r="19093" spans="1:26" ht="12.75" customHeight="1" x14ac:dyDescent="0.2">
      <c r="A19093" s="258"/>
      <c r="Z19093" s="258"/>
    </row>
    <row r="19094" spans="1:26" ht="12.75" customHeight="1" x14ac:dyDescent="0.2">
      <c r="A19094" s="258"/>
      <c r="Z19094" s="258"/>
    </row>
    <row r="19095" spans="1:26" ht="12.75" customHeight="1" x14ac:dyDescent="0.2">
      <c r="A19095" s="258"/>
      <c r="Z19095" s="258"/>
    </row>
    <row r="19096" spans="1:26" ht="12.75" customHeight="1" x14ac:dyDescent="0.2">
      <c r="A19096" s="258"/>
      <c r="Z19096" s="258"/>
    </row>
    <row r="19097" spans="1:26" ht="12.75" customHeight="1" x14ac:dyDescent="0.2">
      <c r="A19097" s="258"/>
      <c r="Z19097" s="258"/>
    </row>
    <row r="19098" spans="1:26" ht="12.75" customHeight="1" x14ac:dyDescent="0.2">
      <c r="A19098" s="258"/>
      <c r="Z19098" s="258"/>
    </row>
    <row r="19099" spans="1:26" ht="12.75" customHeight="1" x14ac:dyDescent="0.2">
      <c r="A19099" s="258"/>
      <c r="Z19099" s="258"/>
    </row>
    <row r="19100" spans="1:26" ht="12.75" customHeight="1" x14ac:dyDescent="0.2">
      <c r="A19100" s="258"/>
      <c r="Z19100" s="258"/>
    </row>
    <row r="19101" spans="1:26" ht="12.75" customHeight="1" x14ac:dyDescent="0.2">
      <c r="A19101" s="258"/>
      <c r="Z19101" s="258"/>
    </row>
    <row r="19102" spans="1:26" ht="12.75" customHeight="1" x14ac:dyDescent="0.2">
      <c r="A19102" s="258"/>
      <c r="Z19102" s="258"/>
    </row>
    <row r="19103" spans="1:26" ht="12.75" customHeight="1" x14ac:dyDescent="0.2">
      <c r="A19103" s="258"/>
      <c r="Z19103" s="258"/>
    </row>
    <row r="19104" spans="1:26" ht="12.75" customHeight="1" x14ac:dyDescent="0.2">
      <c r="A19104" s="258"/>
      <c r="Z19104" s="258"/>
    </row>
    <row r="19105" spans="1:26" ht="12.75" customHeight="1" x14ac:dyDescent="0.2">
      <c r="A19105" s="258"/>
      <c r="Z19105" s="258"/>
    </row>
    <row r="19106" spans="1:26" ht="12.75" customHeight="1" x14ac:dyDescent="0.2">
      <c r="A19106" s="258"/>
      <c r="Z19106" s="258"/>
    </row>
    <row r="19107" spans="1:26" ht="12.75" customHeight="1" x14ac:dyDescent="0.2">
      <c r="A19107" s="258"/>
      <c r="Z19107" s="258"/>
    </row>
    <row r="19108" spans="1:26" ht="12.75" customHeight="1" x14ac:dyDescent="0.2">
      <c r="A19108" s="258"/>
      <c r="Z19108" s="258"/>
    </row>
    <row r="19109" spans="1:26" ht="12.75" customHeight="1" x14ac:dyDescent="0.2">
      <c r="A19109" s="258"/>
      <c r="Z19109" s="258"/>
    </row>
    <row r="19110" spans="1:26" ht="12.75" customHeight="1" x14ac:dyDescent="0.2">
      <c r="A19110" s="258"/>
      <c r="Z19110" s="258"/>
    </row>
    <row r="19111" spans="1:26" ht="12.75" customHeight="1" x14ac:dyDescent="0.2">
      <c r="A19111" s="258"/>
      <c r="Z19111" s="258"/>
    </row>
    <row r="19112" spans="1:26" ht="12.75" customHeight="1" x14ac:dyDescent="0.2">
      <c r="A19112" s="258"/>
      <c r="Z19112" s="258"/>
    </row>
    <row r="19113" spans="1:26" ht="12.75" customHeight="1" x14ac:dyDescent="0.2">
      <c r="A19113" s="258"/>
      <c r="Z19113" s="258"/>
    </row>
    <row r="19114" spans="1:26" ht="12.75" customHeight="1" x14ac:dyDescent="0.2">
      <c r="A19114" s="258"/>
      <c r="Z19114" s="258"/>
    </row>
    <row r="19115" spans="1:26" ht="12.75" customHeight="1" x14ac:dyDescent="0.2">
      <c r="A19115" s="258"/>
      <c r="Z19115" s="258"/>
    </row>
    <row r="19116" spans="1:26" ht="12.75" customHeight="1" x14ac:dyDescent="0.2">
      <c r="A19116" s="258"/>
      <c r="Z19116" s="258"/>
    </row>
    <row r="19117" spans="1:26" ht="12.75" customHeight="1" x14ac:dyDescent="0.2">
      <c r="A19117" s="258"/>
      <c r="Z19117" s="258"/>
    </row>
    <row r="19118" spans="1:26" ht="12.75" customHeight="1" x14ac:dyDescent="0.2">
      <c r="A19118" s="258"/>
      <c r="Z19118" s="258"/>
    </row>
    <row r="19119" spans="1:26" ht="12.75" customHeight="1" x14ac:dyDescent="0.2">
      <c r="A19119" s="258"/>
      <c r="Z19119" s="258"/>
    </row>
    <row r="19120" spans="1:26" ht="12.75" customHeight="1" x14ac:dyDescent="0.2">
      <c r="A19120" s="258"/>
      <c r="Z19120" s="258"/>
    </row>
    <row r="19121" spans="1:26" ht="12.75" customHeight="1" x14ac:dyDescent="0.2">
      <c r="A19121" s="258"/>
      <c r="Z19121" s="258"/>
    </row>
    <row r="19122" spans="1:26" ht="12.75" customHeight="1" x14ac:dyDescent="0.2">
      <c r="A19122" s="258"/>
      <c r="Z19122" s="258"/>
    </row>
    <row r="19123" spans="1:26" ht="12.75" customHeight="1" x14ac:dyDescent="0.2">
      <c r="A19123" s="258"/>
      <c r="Z19123" s="258"/>
    </row>
    <row r="19124" spans="1:26" ht="12.75" customHeight="1" x14ac:dyDescent="0.2">
      <c r="A19124" s="258"/>
      <c r="Z19124" s="258"/>
    </row>
    <row r="19125" spans="1:26" ht="12.75" customHeight="1" x14ac:dyDescent="0.2">
      <c r="A19125" s="258"/>
      <c r="Z19125" s="258"/>
    </row>
    <row r="19126" spans="1:26" ht="12.75" customHeight="1" x14ac:dyDescent="0.2">
      <c r="A19126" s="258"/>
      <c r="Z19126" s="258"/>
    </row>
    <row r="19127" spans="1:26" ht="12.75" customHeight="1" x14ac:dyDescent="0.2">
      <c r="A19127" s="258"/>
      <c r="Z19127" s="258"/>
    </row>
    <row r="19128" spans="1:26" ht="12.75" customHeight="1" x14ac:dyDescent="0.2">
      <c r="A19128" s="258"/>
      <c r="Z19128" s="258"/>
    </row>
    <row r="19129" spans="1:26" ht="12.75" customHeight="1" x14ac:dyDescent="0.2">
      <c r="A19129" s="258"/>
      <c r="Z19129" s="258"/>
    </row>
    <row r="19130" spans="1:26" ht="12.75" customHeight="1" x14ac:dyDescent="0.2">
      <c r="A19130" s="258"/>
      <c r="Z19130" s="258"/>
    </row>
    <row r="19131" spans="1:26" ht="12.75" customHeight="1" x14ac:dyDescent="0.2">
      <c r="A19131" s="258"/>
      <c r="Z19131" s="258"/>
    </row>
    <row r="19132" spans="1:26" ht="12.75" customHeight="1" x14ac:dyDescent="0.2">
      <c r="A19132" s="258"/>
      <c r="Z19132" s="258"/>
    </row>
    <row r="19133" spans="1:26" ht="12.75" customHeight="1" x14ac:dyDescent="0.2">
      <c r="A19133" s="258"/>
      <c r="Z19133" s="258"/>
    </row>
    <row r="19134" spans="1:26" ht="12.75" customHeight="1" x14ac:dyDescent="0.2">
      <c r="A19134" s="258"/>
      <c r="Z19134" s="258"/>
    </row>
    <row r="19135" spans="1:26" ht="12.75" customHeight="1" x14ac:dyDescent="0.2">
      <c r="A19135" s="258"/>
      <c r="Z19135" s="258"/>
    </row>
    <row r="19136" spans="1:26" ht="12.75" customHeight="1" x14ac:dyDescent="0.2">
      <c r="A19136" s="258"/>
      <c r="Z19136" s="258"/>
    </row>
    <row r="19137" spans="1:26" ht="12.75" customHeight="1" x14ac:dyDescent="0.2">
      <c r="A19137" s="258"/>
      <c r="Z19137" s="258"/>
    </row>
    <row r="19138" spans="1:26" ht="12.75" customHeight="1" x14ac:dyDescent="0.2">
      <c r="A19138" s="258"/>
      <c r="Z19138" s="258"/>
    </row>
    <row r="19139" spans="1:26" ht="12.75" customHeight="1" x14ac:dyDescent="0.2">
      <c r="A19139" s="258"/>
      <c r="Z19139" s="258"/>
    </row>
    <row r="19140" spans="1:26" ht="12.75" customHeight="1" x14ac:dyDescent="0.2">
      <c r="A19140" s="258"/>
      <c r="Z19140" s="258"/>
    </row>
    <row r="19141" spans="1:26" ht="12.75" customHeight="1" x14ac:dyDescent="0.2">
      <c r="A19141" s="258"/>
      <c r="Z19141" s="258"/>
    </row>
    <row r="19142" spans="1:26" ht="12.75" customHeight="1" x14ac:dyDescent="0.2">
      <c r="A19142" s="258"/>
      <c r="Z19142" s="258"/>
    </row>
    <row r="19143" spans="1:26" ht="12.75" customHeight="1" x14ac:dyDescent="0.2">
      <c r="A19143" s="258"/>
      <c r="Z19143" s="258"/>
    </row>
    <row r="19144" spans="1:26" ht="12.75" customHeight="1" x14ac:dyDescent="0.2">
      <c r="A19144" s="258"/>
      <c r="Z19144" s="258"/>
    </row>
    <row r="19145" spans="1:26" ht="12.75" customHeight="1" x14ac:dyDescent="0.2">
      <c r="A19145" s="258"/>
      <c r="Z19145" s="258"/>
    </row>
    <row r="19146" spans="1:26" ht="12.75" customHeight="1" x14ac:dyDescent="0.2">
      <c r="A19146" s="258"/>
      <c r="Z19146" s="258"/>
    </row>
    <row r="19147" spans="1:26" ht="12.75" customHeight="1" x14ac:dyDescent="0.2">
      <c r="A19147" s="258"/>
      <c r="Z19147" s="258"/>
    </row>
    <row r="19148" spans="1:26" ht="12.75" customHeight="1" x14ac:dyDescent="0.2">
      <c r="A19148" s="258"/>
      <c r="Z19148" s="258"/>
    </row>
    <row r="19149" spans="1:26" ht="12.75" customHeight="1" x14ac:dyDescent="0.2">
      <c r="A19149" s="258"/>
      <c r="Z19149" s="258"/>
    </row>
    <row r="19150" spans="1:26" ht="12.75" customHeight="1" x14ac:dyDescent="0.2">
      <c r="A19150" s="258"/>
      <c r="Z19150" s="258"/>
    </row>
    <row r="19151" spans="1:26" ht="12.75" customHeight="1" x14ac:dyDescent="0.2">
      <c r="A19151" s="258"/>
      <c r="Z19151" s="258"/>
    </row>
    <row r="19152" spans="1:26" ht="12.75" customHeight="1" x14ac:dyDescent="0.2">
      <c r="A19152" s="258"/>
      <c r="Z19152" s="258"/>
    </row>
    <row r="19153" spans="1:26" ht="12.75" customHeight="1" x14ac:dyDescent="0.2">
      <c r="A19153" s="258"/>
      <c r="Z19153" s="258"/>
    </row>
    <row r="19154" spans="1:26" ht="12.75" customHeight="1" x14ac:dyDescent="0.2">
      <c r="A19154" s="258"/>
      <c r="Z19154" s="258"/>
    </row>
    <row r="19155" spans="1:26" ht="12.75" customHeight="1" x14ac:dyDescent="0.2">
      <c r="A19155" s="258"/>
      <c r="Z19155" s="258"/>
    </row>
    <row r="19156" spans="1:26" ht="12.75" customHeight="1" x14ac:dyDescent="0.2">
      <c r="A19156" s="258"/>
      <c r="Z19156" s="258"/>
    </row>
    <row r="19157" spans="1:26" ht="12.75" customHeight="1" x14ac:dyDescent="0.2">
      <c r="A19157" s="258"/>
      <c r="Z19157" s="258"/>
    </row>
    <row r="19158" spans="1:26" ht="12.75" customHeight="1" x14ac:dyDescent="0.2">
      <c r="A19158" s="258"/>
      <c r="Z19158" s="258"/>
    </row>
    <row r="19159" spans="1:26" ht="12.75" customHeight="1" x14ac:dyDescent="0.2">
      <c r="A19159" s="258"/>
      <c r="Z19159" s="258"/>
    </row>
    <row r="19160" spans="1:26" ht="12.75" customHeight="1" x14ac:dyDescent="0.2">
      <c r="A19160" s="258"/>
      <c r="Z19160" s="258"/>
    </row>
    <row r="19161" spans="1:26" ht="12.75" customHeight="1" x14ac:dyDescent="0.2">
      <c r="A19161" s="258"/>
      <c r="Z19161" s="258"/>
    </row>
    <row r="19162" spans="1:26" ht="12.75" customHeight="1" x14ac:dyDescent="0.2">
      <c r="A19162" s="258"/>
      <c r="Z19162" s="258"/>
    </row>
    <row r="19163" spans="1:26" ht="12.75" customHeight="1" x14ac:dyDescent="0.2">
      <c r="A19163" s="258"/>
      <c r="Z19163" s="258"/>
    </row>
    <row r="19164" spans="1:26" ht="12.75" customHeight="1" x14ac:dyDescent="0.2">
      <c r="A19164" s="258"/>
      <c r="Z19164" s="258"/>
    </row>
    <row r="19165" spans="1:26" ht="12.75" customHeight="1" x14ac:dyDescent="0.2">
      <c r="A19165" s="258"/>
      <c r="Z19165" s="258"/>
    </row>
    <row r="19166" spans="1:26" ht="12.75" customHeight="1" x14ac:dyDescent="0.2">
      <c r="A19166" s="258"/>
      <c r="Z19166" s="258"/>
    </row>
    <row r="19167" spans="1:26" ht="12.75" customHeight="1" x14ac:dyDescent="0.2">
      <c r="A19167" s="258"/>
      <c r="Z19167" s="258"/>
    </row>
    <row r="19168" spans="1:26" ht="12.75" customHeight="1" x14ac:dyDescent="0.2">
      <c r="A19168" s="258"/>
      <c r="Z19168" s="258"/>
    </row>
    <row r="19169" spans="1:26" ht="12.75" customHeight="1" x14ac:dyDescent="0.2">
      <c r="A19169" s="258"/>
      <c r="Z19169" s="258"/>
    </row>
    <row r="19170" spans="1:26" ht="12.75" customHeight="1" x14ac:dyDescent="0.2">
      <c r="A19170" s="258"/>
      <c r="Z19170" s="258"/>
    </row>
    <row r="19171" spans="1:26" ht="12.75" customHeight="1" x14ac:dyDescent="0.2">
      <c r="A19171" s="258"/>
      <c r="Z19171" s="258"/>
    </row>
    <row r="19172" spans="1:26" ht="12.75" customHeight="1" x14ac:dyDescent="0.2">
      <c r="A19172" s="258"/>
      <c r="Z19172" s="258"/>
    </row>
    <row r="19173" spans="1:26" ht="12.75" customHeight="1" x14ac:dyDescent="0.2">
      <c r="A19173" s="258"/>
      <c r="Z19173" s="258"/>
    </row>
    <row r="19174" spans="1:26" ht="12.75" customHeight="1" x14ac:dyDescent="0.2">
      <c r="A19174" s="258"/>
      <c r="Z19174" s="258"/>
    </row>
    <row r="19175" spans="1:26" ht="12.75" customHeight="1" x14ac:dyDescent="0.2">
      <c r="A19175" s="258"/>
      <c r="Z19175" s="258"/>
    </row>
    <row r="19176" spans="1:26" ht="12.75" customHeight="1" x14ac:dyDescent="0.2">
      <c r="A19176" s="258"/>
      <c r="Z19176" s="258"/>
    </row>
    <row r="19177" spans="1:26" ht="12.75" customHeight="1" x14ac:dyDescent="0.2">
      <c r="A19177" s="258"/>
      <c r="Z19177" s="258"/>
    </row>
    <row r="19178" spans="1:26" ht="12.75" customHeight="1" x14ac:dyDescent="0.2">
      <c r="A19178" s="258"/>
      <c r="Z19178" s="258"/>
    </row>
    <row r="19179" spans="1:26" ht="12.75" customHeight="1" x14ac:dyDescent="0.2">
      <c r="A19179" s="258"/>
      <c r="Z19179" s="258"/>
    </row>
    <row r="19180" spans="1:26" ht="12.75" customHeight="1" x14ac:dyDescent="0.2">
      <c r="A19180" s="258"/>
      <c r="Z19180" s="258"/>
    </row>
    <row r="19181" spans="1:26" ht="12.75" customHeight="1" x14ac:dyDescent="0.2">
      <c r="A19181" s="258"/>
      <c r="Z19181" s="258"/>
    </row>
    <row r="19182" spans="1:26" ht="12.75" customHeight="1" x14ac:dyDescent="0.2">
      <c r="A19182" s="258"/>
      <c r="Z19182" s="258"/>
    </row>
    <row r="19183" spans="1:26" ht="12.75" customHeight="1" x14ac:dyDescent="0.2">
      <c r="A19183" s="258"/>
      <c r="Z19183" s="258"/>
    </row>
    <row r="19184" spans="1:26" ht="12.75" customHeight="1" x14ac:dyDescent="0.2">
      <c r="A19184" s="258"/>
      <c r="Z19184" s="258"/>
    </row>
    <row r="19185" spans="1:26" ht="12.75" customHeight="1" x14ac:dyDescent="0.2">
      <c r="A19185" s="258"/>
      <c r="Z19185" s="258"/>
    </row>
    <row r="19186" spans="1:26" ht="12.75" customHeight="1" x14ac:dyDescent="0.2">
      <c r="A19186" s="258"/>
      <c r="Z19186" s="258"/>
    </row>
    <row r="19187" spans="1:26" ht="12.75" customHeight="1" x14ac:dyDescent="0.2">
      <c r="A19187" s="258"/>
      <c r="Z19187" s="258"/>
    </row>
    <row r="19188" spans="1:26" ht="12.75" customHeight="1" x14ac:dyDescent="0.2">
      <c r="A19188" s="258"/>
      <c r="Z19188" s="258"/>
    </row>
    <row r="19189" spans="1:26" ht="12.75" customHeight="1" x14ac:dyDescent="0.2">
      <c r="A19189" s="258"/>
      <c r="Z19189" s="258"/>
    </row>
    <row r="19190" spans="1:26" ht="12.75" customHeight="1" x14ac:dyDescent="0.2">
      <c r="A19190" s="258"/>
      <c r="Z19190" s="258"/>
    </row>
    <row r="19191" spans="1:26" ht="12.75" customHeight="1" x14ac:dyDescent="0.2">
      <c r="A19191" s="258"/>
      <c r="Z19191" s="258"/>
    </row>
    <row r="19192" spans="1:26" ht="12.75" customHeight="1" x14ac:dyDescent="0.2">
      <c r="A19192" s="258"/>
      <c r="Z19192" s="258"/>
    </row>
    <row r="19193" spans="1:26" ht="12.75" customHeight="1" x14ac:dyDescent="0.2">
      <c r="A19193" s="258"/>
      <c r="Z19193" s="258"/>
    </row>
    <row r="19194" spans="1:26" ht="12.75" customHeight="1" x14ac:dyDescent="0.2">
      <c r="A19194" s="258"/>
      <c r="Z19194" s="258"/>
    </row>
    <row r="19195" spans="1:26" ht="12.75" customHeight="1" x14ac:dyDescent="0.2">
      <c r="A19195" s="258"/>
      <c r="Z19195" s="258"/>
    </row>
    <row r="19196" spans="1:26" ht="12.75" customHeight="1" x14ac:dyDescent="0.2">
      <c r="A19196" s="258"/>
      <c r="Z19196" s="258"/>
    </row>
    <row r="19197" spans="1:26" ht="12.75" customHeight="1" x14ac:dyDescent="0.2">
      <c r="A19197" s="258"/>
      <c r="Z19197" s="258"/>
    </row>
    <row r="19198" spans="1:26" ht="12.75" customHeight="1" x14ac:dyDescent="0.2">
      <c r="A19198" s="258"/>
      <c r="Z19198" s="258"/>
    </row>
    <row r="19199" spans="1:26" ht="12.75" customHeight="1" x14ac:dyDescent="0.2">
      <c r="A19199" s="258"/>
      <c r="Z19199" s="258"/>
    </row>
    <row r="19200" spans="1:26" ht="12.75" customHeight="1" x14ac:dyDescent="0.2">
      <c r="A19200" s="258"/>
      <c r="Z19200" s="258"/>
    </row>
    <row r="19201" spans="1:26" ht="12.75" customHeight="1" x14ac:dyDescent="0.2">
      <c r="A19201" s="258"/>
      <c r="Z19201" s="258"/>
    </row>
    <row r="19202" spans="1:26" ht="12.75" customHeight="1" x14ac:dyDescent="0.2">
      <c r="A19202" s="258"/>
      <c r="Z19202" s="258"/>
    </row>
    <row r="19203" spans="1:26" ht="12.75" customHeight="1" x14ac:dyDescent="0.2">
      <c r="A19203" s="258"/>
      <c r="Z19203" s="258"/>
    </row>
    <row r="19204" spans="1:26" ht="12.75" customHeight="1" x14ac:dyDescent="0.2">
      <c r="A19204" s="258"/>
      <c r="Z19204" s="258"/>
    </row>
    <row r="19205" spans="1:26" ht="12.75" customHeight="1" x14ac:dyDescent="0.2">
      <c r="A19205" s="258"/>
      <c r="Z19205" s="258"/>
    </row>
    <row r="19206" spans="1:26" ht="12.75" customHeight="1" x14ac:dyDescent="0.2">
      <c r="A19206" s="258"/>
      <c r="Z19206" s="258"/>
    </row>
    <row r="19207" spans="1:26" ht="12.75" customHeight="1" x14ac:dyDescent="0.2">
      <c r="A19207" s="258"/>
      <c r="Z19207" s="258"/>
    </row>
    <row r="19208" spans="1:26" ht="12.75" customHeight="1" x14ac:dyDescent="0.2">
      <c r="A19208" s="258"/>
      <c r="Z19208" s="258"/>
    </row>
    <row r="19209" spans="1:26" ht="12.75" customHeight="1" x14ac:dyDescent="0.2">
      <c r="A19209" s="258"/>
      <c r="Z19209" s="258"/>
    </row>
    <row r="19210" spans="1:26" ht="12.75" customHeight="1" x14ac:dyDescent="0.2">
      <c r="A19210" s="258"/>
      <c r="Z19210" s="258"/>
    </row>
    <row r="19211" spans="1:26" ht="12.75" customHeight="1" x14ac:dyDescent="0.2">
      <c r="A19211" s="258"/>
      <c r="Z19211" s="258"/>
    </row>
    <row r="19212" spans="1:26" ht="12.75" customHeight="1" x14ac:dyDescent="0.2">
      <c r="A19212" s="258"/>
      <c r="Z19212" s="258"/>
    </row>
    <row r="19213" spans="1:26" ht="12.75" customHeight="1" x14ac:dyDescent="0.2">
      <c r="A19213" s="258"/>
      <c r="Z19213" s="258"/>
    </row>
    <row r="19214" spans="1:26" ht="12.75" customHeight="1" x14ac:dyDescent="0.2">
      <c r="A19214" s="258"/>
      <c r="Z19214" s="258"/>
    </row>
    <row r="19215" spans="1:26" ht="12.75" customHeight="1" x14ac:dyDescent="0.2">
      <c r="A19215" s="258"/>
      <c r="Z19215" s="258"/>
    </row>
    <row r="19216" spans="1:26" ht="12.75" customHeight="1" x14ac:dyDescent="0.2">
      <c r="A19216" s="258"/>
      <c r="Z19216" s="258"/>
    </row>
    <row r="19217" spans="1:26" ht="12.75" customHeight="1" x14ac:dyDescent="0.2">
      <c r="A19217" s="258"/>
      <c r="Z19217" s="258"/>
    </row>
    <row r="19218" spans="1:26" ht="12.75" customHeight="1" x14ac:dyDescent="0.2">
      <c r="A19218" s="258"/>
      <c r="Z19218" s="258"/>
    </row>
    <row r="19219" spans="1:26" ht="12.75" customHeight="1" x14ac:dyDescent="0.2">
      <c r="A19219" s="258"/>
      <c r="Z19219" s="258"/>
    </row>
    <row r="19220" spans="1:26" ht="12.75" customHeight="1" x14ac:dyDescent="0.2">
      <c r="A19220" s="258"/>
      <c r="Z19220" s="258"/>
    </row>
    <row r="19221" spans="1:26" ht="12.75" customHeight="1" x14ac:dyDescent="0.2">
      <c r="A19221" s="258"/>
      <c r="Z19221" s="258"/>
    </row>
    <row r="19222" spans="1:26" ht="12.75" customHeight="1" x14ac:dyDescent="0.2">
      <c r="A19222" s="258"/>
      <c r="Z19222" s="258"/>
    </row>
    <row r="19223" spans="1:26" ht="12.75" customHeight="1" x14ac:dyDescent="0.2">
      <c r="A19223" s="258"/>
      <c r="Z19223" s="258"/>
    </row>
    <row r="19224" spans="1:26" ht="12.75" customHeight="1" x14ac:dyDescent="0.2">
      <c r="A19224" s="258"/>
      <c r="Z19224" s="258"/>
    </row>
    <row r="19225" spans="1:26" ht="12.75" customHeight="1" x14ac:dyDescent="0.2">
      <c r="A19225" s="258"/>
      <c r="Z19225" s="258"/>
    </row>
    <row r="19226" spans="1:26" ht="12.75" customHeight="1" x14ac:dyDescent="0.2">
      <c r="A19226" s="258"/>
      <c r="Z19226" s="258"/>
    </row>
    <row r="19227" spans="1:26" ht="12.75" customHeight="1" x14ac:dyDescent="0.2">
      <c r="A19227" s="258"/>
      <c r="Z19227" s="258"/>
    </row>
    <row r="19228" spans="1:26" ht="12.75" customHeight="1" x14ac:dyDescent="0.2">
      <c r="A19228" s="258"/>
      <c r="Z19228" s="258"/>
    </row>
    <row r="19229" spans="1:26" ht="12.75" customHeight="1" x14ac:dyDescent="0.2">
      <c r="A19229" s="258"/>
      <c r="Z19229" s="258"/>
    </row>
    <row r="19230" spans="1:26" ht="12.75" customHeight="1" x14ac:dyDescent="0.2">
      <c r="A19230" s="258"/>
      <c r="Z19230" s="258"/>
    </row>
    <row r="19231" spans="1:26" ht="12.75" customHeight="1" x14ac:dyDescent="0.2">
      <c r="A19231" s="258"/>
      <c r="Z19231" s="258"/>
    </row>
    <row r="19232" spans="1:26" ht="12.75" customHeight="1" x14ac:dyDescent="0.2">
      <c r="A19232" s="258"/>
      <c r="Z19232" s="258"/>
    </row>
    <row r="19233" spans="1:26" ht="12.75" customHeight="1" x14ac:dyDescent="0.2">
      <c r="A19233" s="258"/>
      <c r="Z19233" s="258"/>
    </row>
    <row r="19234" spans="1:26" ht="12.75" customHeight="1" x14ac:dyDescent="0.2">
      <c r="A19234" s="258"/>
      <c r="Z19234" s="258"/>
    </row>
    <row r="19235" spans="1:26" ht="12.75" customHeight="1" x14ac:dyDescent="0.2">
      <c r="A19235" s="258"/>
      <c r="Z19235" s="258"/>
    </row>
    <row r="19236" spans="1:26" ht="12.75" customHeight="1" x14ac:dyDescent="0.2">
      <c r="A19236" s="258"/>
      <c r="Z19236" s="258"/>
    </row>
    <row r="19237" spans="1:26" ht="12.75" customHeight="1" x14ac:dyDescent="0.2">
      <c r="A19237" s="258"/>
      <c r="Z19237" s="258"/>
    </row>
    <row r="19238" spans="1:26" ht="12.75" customHeight="1" x14ac:dyDescent="0.2">
      <c r="A19238" s="258"/>
      <c r="Z19238" s="258"/>
    </row>
    <row r="19239" spans="1:26" ht="12.75" customHeight="1" x14ac:dyDescent="0.2">
      <c r="A19239" s="258"/>
      <c r="Z19239" s="258"/>
    </row>
    <row r="19240" spans="1:26" ht="12.75" customHeight="1" x14ac:dyDescent="0.2">
      <c r="A19240" s="258"/>
      <c r="Z19240" s="258"/>
    </row>
    <row r="19241" spans="1:26" ht="12.75" customHeight="1" x14ac:dyDescent="0.2">
      <c r="A19241" s="258"/>
      <c r="Z19241" s="258"/>
    </row>
    <row r="19242" spans="1:26" ht="12.75" customHeight="1" x14ac:dyDescent="0.2">
      <c r="A19242" s="258"/>
      <c r="Z19242" s="258"/>
    </row>
    <row r="19243" spans="1:26" ht="12.75" customHeight="1" x14ac:dyDescent="0.2">
      <c r="A19243" s="258"/>
      <c r="Z19243" s="258"/>
    </row>
    <row r="19244" spans="1:26" ht="12.75" customHeight="1" x14ac:dyDescent="0.2">
      <c r="A19244" s="258"/>
      <c r="Z19244" s="258"/>
    </row>
    <row r="19245" spans="1:26" ht="12.75" customHeight="1" x14ac:dyDescent="0.2">
      <c r="A19245" s="258"/>
      <c r="Z19245" s="258"/>
    </row>
    <row r="19246" spans="1:26" ht="12.75" customHeight="1" x14ac:dyDescent="0.2">
      <c r="A19246" s="258"/>
      <c r="Z19246" s="258"/>
    </row>
    <row r="19247" spans="1:26" ht="12.75" customHeight="1" x14ac:dyDescent="0.2">
      <c r="A19247" s="258"/>
      <c r="Z19247" s="258"/>
    </row>
    <row r="19248" spans="1:26" ht="12.75" customHeight="1" x14ac:dyDescent="0.2">
      <c r="A19248" s="258"/>
      <c r="Z19248" s="258"/>
    </row>
    <row r="19249" spans="1:26" ht="12.75" customHeight="1" x14ac:dyDescent="0.2">
      <c r="A19249" s="258"/>
      <c r="Z19249" s="258"/>
    </row>
    <row r="19250" spans="1:26" ht="12.75" customHeight="1" x14ac:dyDescent="0.2">
      <c r="A19250" s="258"/>
      <c r="Z19250" s="258"/>
    </row>
    <row r="19251" spans="1:26" ht="12.75" customHeight="1" x14ac:dyDescent="0.2">
      <c r="A19251" s="258"/>
      <c r="Z19251" s="258"/>
    </row>
    <row r="19252" spans="1:26" ht="12.75" customHeight="1" x14ac:dyDescent="0.2">
      <c r="A19252" s="258"/>
      <c r="Z19252" s="258"/>
    </row>
    <row r="19253" spans="1:26" ht="12.75" customHeight="1" x14ac:dyDescent="0.2">
      <c r="A19253" s="258"/>
      <c r="Z19253" s="258"/>
    </row>
    <row r="19254" spans="1:26" ht="12.75" customHeight="1" x14ac:dyDescent="0.2">
      <c r="A19254" s="258"/>
      <c r="Z19254" s="258"/>
    </row>
    <row r="19255" spans="1:26" ht="12.75" customHeight="1" x14ac:dyDescent="0.2">
      <c r="A19255" s="258"/>
      <c r="Z19255" s="258"/>
    </row>
    <row r="19256" spans="1:26" ht="12.75" customHeight="1" x14ac:dyDescent="0.2">
      <c r="A19256" s="258"/>
      <c r="Z19256" s="258"/>
    </row>
    <row r="19257" spans="1:26" ht="12.75" customHeight="1" x14ac:dyDescent="0.2">
      <c r="A19257" s="258"/>
      <c r="Z19257" s="258"/>
    </row>
    <row r="19258" spans="1:26" ht="12.75" customHeight="1" x14ac:dyDescent="0.2">
      <c r="A19258" s="258"/>
      <c r="Z19258" s="258"/>
    </row>
    <row r="19259" spans="1:26" ht="12.75" customHeight="1" x14ac:dyDescent="0.2">
      <c r="A19259" s="258"/>
      <c r="Z19259" s="258"/>
    </row>
    <row r="19260" spans="1:26" ht="12.75" customHeight="1" x14ac:dyDescent="0.2">
      <c r="A19260" s="258"/>
      <c r="Z19260" s="258"/>
    </row>
    <row r="19261" spans="1:26" ht="12.75" customHeight="1" x14ac:dyDescent="0.2">
      <c r="A19261" s="258"/>
      <c r="Z19261" s="258"/>
    </row>
    <row r="19262" spans="1:26" ht="12.75" customHeight="1" x14ac:dyDescent="0.2">
      <c r="A19262" s="258"/>
      <c r="Z19262" s="258"/>
    </row>
    <row r="19263" spans="1:26" ht="12.75" customHeight="1" x14ac:dyDescent="0.2">
      <c r="A19263" s="258"/>
      <c r="Z19263" s="258"/>
    </row>
    <row r="19264" spans="1:26" ht="12.75" customHeight="1" x14ac:dyDescent="0.2">
      <c r="A19264" s="258"/>
      <c r="Z19264" s="258"/>
    </row>
    <row r="19265" spans="1:26" ht="12.75" customHeight="1" x14ac:dyDescent="0.2">
      <c r="A19265" s="258"/>
      <c r="Z19265" s="258"/>
    </row>
    <row r="19266" spans="1:26" ht="12.75" customHeight="1" x14ac:dyDescent="0.2">
      <c r="A19266" s="258"/>
      <c r="Z19266" s="258"/>
    </row>
    <row r="19267" spans="1:26" ht="12.75" customHeight="1" x14ac:dyDescent="0.2">
      <c r="A19267" s="258"/>
      <c r="Z19267" s="258"/>
    </row>
    <row r="19268" spans="1:26" ht="12.75" customHeight="1" x14ac:dyDescent="0.2">
      <c r="A19268" s="258"/>
      <c r="Z19268" s="258"/>
    </row>
    <row r="19269" spans="1:26" ht="12.75" customHeight="1" x14ac:dyDescent="0.2">
      <c r="A19269" s="258"/>
      <c r="Z19269" s="258"/>
    </row>
    <row r="19270" spans="1:26" ht="12.75" customHeight="1" x14ac:dyDescent="0.2">
      <c r="A19270" s="258"/>
      <c r="Z19270" s="258"/>
    </row>
    <row r="19271" spans="1:26" ht="12.75" customHeight="1" x14ac:dyDescent="0.2">
      <c r="A19271" s="258"/>
      <c r="Z19271" s="258"/>
    </row>
    <row r="19272" spans="1:26" ht="12.75" customHeight="1" x14ac:dyDescent="0.2">
      <c r="A19272" s="258"/>
      <c r="Z19272" s="258"/>
    </row>
    <row r="19273" spans="1:26" ht="12.75" customHeight="1" x14ac:dyDescent="0.2">
      <c r="A19273" s="258"/>
      <c r="Z19273" s="258"/>
    </row>
    <row r="19274" spans="1:26" ht="12.75" customHeight="1" x14ac:dyDescent="0.2">
      <c r="A19274" s="258"/>
      <c r="Z19274" s="258"/>
    </row>
    <row r="19275" spans="1:26" ht="12.75" customHeight="1" x14ac:dyDescent="0.2">
      <c r="A19275" s="258"/>
      <c r="Z19275" s="258"/>
    </row>
    <row r="19276" spans="1:26" ht="12.75" customHeight="1" x14ac:dyDescent="0.2">
      <c r="A19276" s="258"/>
      <c r="Z19276" s="258"/>
    </row>
    <row r="19277" spans="1:26" ht="12.75" customHeight="1" x14ac:dyDescent="0.2">
      <c r="A19277" s="258"/>
      <c r="Z19277" s="258"/>
    </row>
    <row r="19278" spans="1:26" ht="12.75" customHeight="1" x14ac:dyDescent="0.2">
      <c r="A19278" s="258"/>
      <c r="Z19278" s="258"/>
    </row>
    <row r="19279" spans="1:26" ht="12.75" customHeight="1" x14ac:dyDescent="0.2">
      <c r="A19279" s="258"/>
      <c r="Z19279" s="258"/>
    </row>
    <row r="19280" spans="1:26" ht="12.75" customHeight="1" x14ac:dyDescent="0.2">
      <c r="A19280" s="258"/>
      <c r="Z19280" s="258"/>
    </row>
    <row r="19281" spans="1:26" ht="12.75" customHeight="1" x14ac:dyDescent="0.2">
      <c r="A19281" s="258"/>
      <c r="Z19281" s="258"/>
    </row>
    <row r="19282" spans="1:26" ht="12.75" customHeight="1" x14ac:dyDescent="0.2">
      <c r="A19282" s="258"/>
      <c r="Z19282" s="258"/>
    </row>
    <row r="19283" spans="1:26" ht="12.75" customHeight="1" x14ac:dyDescent="0.2">
      <c r="A19283" s="258"/>
      <c r="Z19283" s="258"/>
    </row>
    <row r="19284" spans="1:26" ht="12.75" customHeight="1" x14ac:dyDescent="0.2">
      <c r="A19284" s="258"/>
      <c r="Z19284" s="258"/>
    </row>
    <row r="19285" spans="1:26" ht="12.75" customHeight="1" x14ac:dyDescent="0.2">
      <c r="A19285" s="258"/>
      <c r="Z19285" s="258"/>
    </row>
    <row r="19286" spans="1:26" ht="12.75" customHeight="1" x14ac:dyDescent="0.2">
      <c r="A19286" s="258"/>
      <c r="Z19286" s="258"/>
    </row>
    <row r="19287" spans="1:26" ht="12.75" customHeight="1" x14ac:dyDescent="0.2">
      <c r="A19287" s="258"/>
      <c r="Z19287" s="258"/>
    </row>
    <row r="19288" spans="1:26" ht="12.75" customHeight="1" x14ac:dyDescent="0.2">
      <c r="A19288" s="258"/>
      <c r="Z19288" s="258"/>
    </row>
    <row r="19289" spans="1:26" ht="12.75" customHeight="1" x14ac:dyDescent="0.2">
      <c r="A19289" s="258"/>
      <c r="Z19289" s="258"/>
    </row>
    <row r="19290" spans="1:26" ht="12.75" customHeight="1" x14ac:dyDescent="0.2">
      <c r="A19290" s="258"/>
      <c r="Z19290" s="258"/>
    </row>
    <row r="19291" spans="1:26" ht="12.75" customHeight="1" x14ac:dyDescent="0.2">
      <c r="A19291" s="258"/>
      <c r="Z19291" s="258"/>
    </row>
    <row r="19292" spans="1:26" ht="12.75" customHeight="1" x14ac:dyDescent="0.2">
      <c r="A19292" s="258"/>
      <c r="Z19292" s="258"/>
    </row>
    <row r="19293" spans="1:26" ht="12.75" customHeight="1" x14ac:dyDescent="0.2">
      <c r="A19293" s="258"/>
      <c r="Z19293" s="258"/>
    </row>
    <row r="19294" spans="1:26" ht="12.75" customHeight="1" x14ac:dyDescent="0.2">
      <c r="A19294" s="258"/>
      <c r="Z19294" s="258"/>
    </row>
    <row r="19295" spans="1:26" ht="12.75" customHeight="1" x14ac:dyDescent="0.2">
      <c r="A19295" s="258"/>
      <c r="Z19295" s="258"/>
    </row>
    <row r="19296" spans="1:26" ht="12.75" customHeight="1" x14ac:dyDescent="0.2">
      <c r="A19296" s="258"/>
      <c r="Z19296" s="258"/>
    </row>
    <row r="19297" spans="1:26" ht="12.75" customHeight="1" x14ac:dyDescent="0.2">
      <c r="A19297" s="258"/>
      <c r="Z19297" s="258"/>
    </row>
    <row r="19298" spans="1:26" ht="12.75" customHeight="1" x14ac:dyDescent="0.2">
      <c r="A19298" s="258"/>
      <c r="Z19298" s="258"/>
    </row>
    <row r="19299" spans="1:26" ht="12.75" customHeight="1" x14ac:dyDescent="0.2">
      <c r="A19299" s="258"/>
      <c r="Z19299" s="258"/>
    </row>
    <row r="19300" spans="1:26" ht="12.75" customHeight="1" x14ac:dyDescent="0.2">
      <c r="A19300" s="258"/>
      <c r="Z19300" s="258"/>
    </row>
    <row r="19301" spans="1:26" ht="12.75" customHeight="1" x14ac:dyDescent="0.2">
      <c r="A19301" s="258"/>
      <c r="Z19301" s="258"/>
    </row>
    <row r="19302" spans="1:26" ht="12.75" customHeight="1" x14ac:dyDescent="0.2">
      <c r="A19302" s="258"/>
      <c r="Z19302" s="258"/>
    </row>
    <row r="19303" spans="1:26" ht="12.75" customHeight="1" x14ac:dyDescent="0.2">
      <c r="A19303" s="258"/>
      <c r="Z19303" s="258"/>
    </row>
    <row r="19304" spans="1:26" ht="12.75" customHeight="1" x14ac:dyDescent="0.2">
      <c r="A19304" s="258"/>
      <c r="Z19304" s="258"/>
    </row>
    <row r="19305" spans="1:26" ht="12.75" customHeight="1" x14ac:dyDescent="0.2">
      <c r="A19305" s="258"/>
      <c r="Z19305" s="258"/>
    </row>
    <row r="19306" spans="1:26" ht="12.75" customHeight="1" x14ac:dyDescent="0.2">
      <c r="A19306" s="258"/>
      <c r="Z19306" s="258"/>
    </row>
    <row r="19307" spans="1:26" ht="12.75" customHeight="1" x14ac:dyDescent="0.2">
      <c r="A19307" s="258"/>
      <c r="Z19307" s="258"/>
    </row>
    <row r="19308" spans="1:26" ht="12.75" customHeight="1" x14ac:dyDescent="0.2">
      <c r="A19308" s="258"/>
      <c r="Z19308" s="258"/>
    </row>
    <row r="19309" spans="1:26" ht="12.75" customHeight="1" x14ac:dyDescent="0.2">
      <c r="A19309" s="258"/>
      <c r="Z19309" s="258"/>
    </row>
    <row r="19310" spans="1:26" ht="12.75" customHeight="1" x14ac:dyDescent="0.2">
      <c r="A19310" s="258"/>
      <c r="Z19310" s="258"/>
    </row>
    <row r="19311" spans="1:26" ht="12.75" customHeight="1" x14ac:dyDescent="0.2">
      <c r="A19311" s="258"/>
      <c r="Z19311" s="258"/>
    </row>
    <row r="19312" spans="1:26" ht="12.75" customHeight="1" x14ac:dyDescent="0.2">
      <c r="A19312" s="258"/>
      <c r="Z19312" s="258"/>
    </row>
    <row r="19313" spans="1:26" ht="12.75" customHeight="1" x14ac:dyDescent="0.2">
      <c r="A19313" s="258"/>
      <c r="Z19313" s="258"/>
    </row>
    <row r="19314" spans="1:26" ht="12.75" customHeight="1" x14ac:dyDescent="0.2">
      <c r="A19314" s="258"/>
      <c r="Z19314" s="258"/>
    </row>
    <row r="19315" spans="1:26" ht="12.75" customHeight="1" x14ac:dyDescent="0.2">
      <c r="A19315" s="258"/>
      <c r="Z19315" s="258"/>
    </row>
    <row r="19316" spans="1:26" ht="12.75" customHeight="1" x14ac:dyDescent="0.2">
      <c r="A19316" s="258"/>
      <c r="Z19316" s="258"/>
    </row>
    <row r="19317" spans="1:26" ht="12.75" customHeight="1" x14ac:dyDescent="0.2">
      <c r="A19317" s="258"/>
      <c r="Z19317" s="258"/>
    </row>
    <row r="19318" spans="1:26" ht="12.75" customHeight="1" x14ac:dyDescent="0.2">
      <c r="A19318" s="258"/>
      <c r="Z19318" s="258"/>
    </row>
    <row r="19319" spans="1:26" ht="12.75" customHeight="1" x14ac:dyDescent="0.2">
      <c r="A19319" s="258"/>
      <c r="Z19319" s="258"/>
    </row>
    <row r="19320" spans="1:26" ht="12.75" customHeight="1" x14ac:dyDescent="0.2">
      <c r="A19320" s="258"/>
      <c r="Z19320" s="258"/>
    </row>
    <row r="19321" spans="1:26" ht="12.75" customHeight="1" x14ac:dyDescent="0.2">
      <c r="A19321" s="258"/>
      <c r="Z19321" s="258"/>
    </row>
    <row r="19322" spans="1:26" ht="12.75" customHeight="1" x14ac:dyDescent="0.2">
      <c r="A19322" s="258"/>
      <c r="Z19322" s="258"/>
    </row>
    <row r="19323" spans="1:26" ht="12.75" customHeight="1" x14ac:dyDescent="0.2">
      <c r="A19323" s="258"/>
      <c r="Z19323" s="258"/>
    </row>
    <row r="19324" spans="1:26" ht="12.75" customHeight="1" x14ac:dyDescent="0.2">
      <c r="A19324" s="258"/>
      <c r="Z19324" s="258"/>
    </row>
    <row r="19325" spans="1:26" ht="12.75" customHeight="1" x14ac:dyDescent="0.2">
      <c r="A19325" s="258"/>
      <c r="Z19325" s="258"/>
    </row>
    <row r="19326" spans="1:26" ht="12.75" customHeight="1" x14ac:dyDescent="0.2">
      <c r="A19326" s="258"/>
      <c r="Z19326" s="258"/>
    </row>
    <row r="19327" spans="1:26" ht="12.75" customHeight="1" x14ac:dyDescent="0.2">
      <c r="A19327" s="258"/>
      <c r="Z19327" s="258"/>
    </row>
    <row r="19328" spans="1:26" ht="12.75" customHeight="1" x14ac:dyDescent="0.2">
      <c r="A19328" s="258"/>
      <c r="Z19328" s="258"/>
    </row>
    <row r="19329" spans="1:26" ht="12.75" customHeight="1" x14ac:dyDescent="0.2">
      <c r="A19329" s="258"/>
      <c r="Z19329" s="258"/>
    </row>
    <row r="19330" spans="1:26" ht="12.75" customHeight="1" x14ac:dyDescent="0.2">
      <c r="A19330" s="258"/>
      <c r="Z19330" s="258"/>
    </row>
    <row r="19331" spans="1:26" ht="12.75" customHeight="1" x14ac:dyDescent="0.2">
      <c r="A19331" s="258"/>
      <c r="Z19331" s="258"/>
    </row>
    <row r="19332" spans="1:26" ht="12.75" customHeight="1" x14ac:dyDescent="0.2">
      <c r="A19332" s="258"/>
      <c r="Z19332" s="258"/>
    </row>
    <row r="19333" spans="1:26" ht="12.75" customHeight="1" x14ac:dyDescent="0.2">
      <c r="A19333" s="258"/>
      <c r="Z19333" s="258"/>
    </row>
    <row r="19334" spans="1:26" ht="12.75" customHeight="1" x14ac:dyDescent="0.2">
      <c r="A19334" s="258"/>
      <c r="Z19334" s="258"/>
    </row>
    <row r="19335" spans="1:26" ht="12.75" customHeight="1" x14ac:dyDescent="0.2">
      <c r="A19335" s="258"/>
      <c r="Z19335" s="258"/>
    </row>
    <row r="19336" spans="1:26" ht="12.75" customHeight="1" x14ac:dyDescent="0.2">
      <c r="A19336" s="258"/>
      <c r="Z19336" s="258"/>
    </row>
    <row r="19337" spans="1:26" ht="12.75" customHeight="1" x14ac:dyDescent="0.2">
      <c r="A19337" s="258"/>
      <c r="Z19337" s="258"/>
    </row>
    <row r="19338" spans="1:26" ht="12.75" customHeight="1" x14ac:dyDescent="0.2">
      <c r="A19338" s="258"/>
      <c r="Z19338" s="258"/>
    </row>
    <row r="19339" spans="1:26" ht="12.75" customHeight="1" x14ac:dyDescent="0.2">
      <c r="A19339" s="258"/>
      <c r="Z19339" s="258"/>
    </row>
    <row r="19340" spans="1:26" ht="12.75" customHeight="1" x14ac:dyDescent="0.2">
      <c r="A19340" s="258"/>
      <c r="Z19340" s="258"/>
    </row>
    <row r="19341" spans="1:26" ht="12.75" customHeight="1" x14ac:dyDescent="0.2">
      <c r="A19341" s="258"/>
      <c r="Z19341" s="258"/>
    </row>
    <row r="19342" spans="1:26" ht="12.75" customHeight="1" x14ac:dyDescent="0.2">
      <c r="A19342" s="258"/>
      <c r="Z19342" s="258"/>
    </row>
    <row r="19343" spans="1:26" ht="12.75" customHeight="1" x14ac:dyDescent="0.2">
      <c r="A19343" s="258"/>
      <c r="Z19343" s="258"/>
    </row>
    <row r="19344" spans="1:26" ht="12.75" customHeight="1" x14ac:dyDescent="0.2">
      <c r="A19344" s="258"/>
      <c r="Z19344" s="258"/>
    </row>
    <row r="19345" spans="1:26" ht="12.75" customHeight="1" x14ac:dyDescent="0.2">
      <c r="A19345" s="258"/>
      <c r="Z19345" s="258"/>
    </row>
    <row r="19346" spans="1:26" ht="12.75" customHeight="1" x14ac:dyDescent="0.2">
      <c r="A19346" s="258"/>
      <c r="Z19346" s="258"/>
    </row>
    <row r="19347" spans="1:26" ht="12.75" customHeight="1" x14ac:dyDescent="0.2">
      <c r="A19347" s="258"/>
      <c r="Z19347" s="258"/>
    </row>
    <row r="19348" spans="1:26" ht="12.75" customHeight="1" x14ac:dyDescent="0.2">
      <c r="A19348" s="258"/>
      <c r="Z19348" s="258"/>
    </row>
    <row r="19349" spans="1:26" ht="12.75" customHeight="1" x14ac:dyDescent="0.2">
      <c r="A19349" s="258"/>
      <c r="Z19349" s="258"/>
    </row>
    <row r="19350" spans="1:26" ht="12.75" customHeight="1" x14ac:dyDescent="0.2">
      <c r="A19350" s="258"/>
      <c r="Z19350" s="258"/>
    </row>
    <row r="19351" spans="1:26" ht="12.75" customHeight="1" x14ac:dyDescent="0.2">
      <c r="A19351" s="258"/>
      <c r="Z19351" s="258"/>
    </row>
    <row r="19352" spans="1:26" ht="12.75" customHeight="1" x14ac:dyDescent="0.2">
      <c r="A19352" s="258"/>
      <c r="Z19352" s="258"/>
    </row>
    <row r="19353" spans="1:26" ht="12.75" customHeight="1" x14ac:dyDescent="0.2">
      <c r="A19353" s="258"/>
      <c r="Z19353" s="258"/>
    </row>
    <row r="19354" spans="1:26" ht="12.75" customHeight="1" x14ac:dyDescent="0.2">
      <c r="A19354" s="258"/>
      <c r="Z19354" s="258"/>
    </row>
    <row r="19355" spans="1:26" ht="12.75" customHeight="1" x14ac:dyDescent="0.2">
      <c r="A19355" s="258"/>
      <c r="Z19355" s="258"/>
    </row>
    <row r="19356" spans="1:26" ht="12.75" customHeight="1" x14ac:dyDescent="0.2">
      <c r="A19356" s="258"/>
      <c r="Z19356" s="258"/>
    </row>
    <row r="19357" spans="1:26" ht="12.75" customHeight="1" x14ac:dyDescent="0.2">
      <c r="A19357" s="258"/>
      <c r="Z19357" s="258"/>
    </row>
    <row r="19358" spans="1:26" ht="12.75" customHeight="1" x14ac:dyDescent="0.2">
      <c r="A19358" s="258"/>
      <c r="Z19358" s="258"/>
    </row>
    <row r="19359" spans="1:26" ht="12.75" customHeight="1" x14ac:dyDescent="0.2">
      <c r="A19359" s="258"/>
      <c r="Z19359" s="258"/>
    </row>
    <row r="19360" spans="1:26" ht="12.75" customHeight="1" x14ac:dyDescent="0.2">
      <c r="A19360" s="258"/>
      <c r="Z19360" s="258"/>
    </row>
    <row r="19361" spans="1:26" ht="12.75" customHeight="1" x14ac:dyDescent="0.2">
      <c r="A19361" s="258"/>
      <c r="Z19361" s="258"/>
    </row>
    <row r="19362" spans="1:26" ht="12.75" customHeight="1" x14ac:dyDescent="0.2">
      <c r="A19362" s="258"/>
      <c r="Z19362" s="258"/>
    </row>
    <row r="19363" spans="1:26" ht="12.75" customHeight="1" x14ac:dyDescent="0.2">
      <c r="A19363" s="258"/>
      <c r="Z19363" s="258"/>
    </row>
    <row r="19364" spans="1:26" ht="12.75" customHeight="1" x14ac:dyDescent="0.2">
      <c r="A19364" s="258"/>
      <c r="Z19364" s="258"/>
    </row>
    <row r="19365" spans="1:26" ht="12.75" customHeight="1" x14ac:dyDescent="0.2">
      <c r="A19365" s="258"/>
      <c r="Z19365" s="258"/>
    </row>
    <row r="19366" spans="1:26" ht="12.75" customHeight="1" x14ac:dyDescent="0.2">
      <c r="A19366" s="258"/>
      <c r="Z19366" s="258"/>
    </row>
    <row r="19367" spans="1:26" ht="12.75" customHeight="1" x14ac:dyDescent="0.2">
      <c r="A19367" s="258"/>
      <c r="Z19367" s="258"/>
    </row>
    <row r="19368" spans="1:26" ht="12.75" customHeight="1" x14ac:dyDescent="0.2">
      <c r="A19368" s="258"/>
      <c r="Z19368" s="258"/>
    </row>
    <row r="19369" spans="1:26" ht="12.75" customHeight="1" x14ac:dyDescent="0.2">
      <c r="A19369" s="258"/>
      <c r="Z19369" s="258"/>
    </row>
    <row r="19370" spans="1:26" ht="12.75" customHeight="1" x14ac:dyDescent="0.2">
      <c r="A19370" s="258"/>
      <c r="Z19370" s="258"/>
    </row>
    <row r="19371" spans="1:26" ht="12.75" customHeight="1" x14ac:dyDescent="0.2">
      <c r="A19371" s="258"/>
      <c r="Z19371" s="258"/>
    </row>
    <row r="19372" spans="1:26" ht="12.75" customHeight="1" x14ac:dyDescent="0.2">
      <c r="A19372" s="258"/>
      <c r="Z19372" s="258"/>
    </row>
    <row r="19373" spans="1:26" ht="12.75" customHeight="1" x14ac:dyDescent="0.2">
      <c r="A19373" s="258"/>
      <c r="Z19373" s="258"/>
    </row>
    <row r="19374" spans="1:26" ht="12.75" customHeight="1" x14ac:dyDescent="0.2">
      <c r="A19374" s="258"/>
      <c r="Z19374" s="258"/>
    </row>
    <row r="19375" spans="1:26" ht="12.75" customHeight="1" x14ac:dyDescent="0.2">
      <c r="A19375" s="258"/>
      <c r="Z19375" s="258"/>
    </row>
    <row r="19376" spans="1:26" ht="12.75" customHeight="1" x14ac:dyDescent="0.2">
      <c r="A19376" s="258"/>
      <c r="Z19376" s="258"/>
    </row>
    <row r="19377" spans="1:26" ht="12.75" customHeight="1" x14ac:dyDescent="0.2">
      <c r="A19377" s="258"/>
      <c r="Z19377" s="258"/>
    </row>
    <row r="19378" spans="1:26" ht="12.75" customHeight="1" x14ac:dyDescent="0.2">
      <c r="A19378" s="258"/>
      <c r="Z19378" s="258"/>
    </row>
    <row r="19379" spans="1:26" ht="12.75" customHeight="1" x14ac:dyDescent="0.2">
      <c r="A19379" s="258"/>
      <c r="Z19379" s="258"/>
    </row>
    <row r="19380" spans="1:26" ht="12.75" customHeight="1" x14ac:dyDescent="0.2">
      <c r="A19380" s="258"/>
      <c r="Z19380" s="258"/>
    </row>
    <row r="19381" spans="1:26" ht="12.75" customHeight="1" x14ac:dyDescent="0.2">
      <c r="A19381" s="258"/>
      <c r="Z19381" s="258"/>
    </row>
    <row r="19382" spans="1:26" ht="12.75" customHeight="1" x14ac:dyDescent="0.2">
      <c r="A19382" s="258"/>
      <c r="Z19382" s="258"/>
    </row>
    <row r="19383" spans="1:26" ht="12.75" customHeight="1" x14ac:dyDescent="0.2">
      <c r="A19383" s="258"/>
      <c r="Z19383" s="258"/>
    </row>
    <row r="19384" spans="1:26" ht="12.75" customHeight="1" x14ac:dyDescent="0.2">
      <c r="A19384" s="258"/>
      <c r="Z19384" s="258"/>
    </row>
    <row r="19385" spans="1:26" ht="12.75" customHeight="1" x14ac:dyDescent="0.2">
      <c r="A19385" s="258"/>
      <c r="Z19385" s="258"/>
    </row>
    <row r="19386" spans="1:26" ht="12.75" customHeight="1" x14ac:dyDescent="0.2">
      <c r="A19386" s="258"/>
      <c r="Z19386" s="258"/>
    </row>
    <row r="19387" spans="1:26" ht="12.75" customHeight="1" x14ac:dyDescent="0.2">
      <c r="A19387" s="258"/>
      <c r="Z19387" s="258"/>
    </row>
    <row r="19388" spans="1:26" ht="12.75" customHeight="1" x14ac:dyDescent="0.2">
      <c r="A19388" s="258"/>
      <c r="Z19388" s="258"/>
    </row>
    <row r="19389" spans="1:26" ht="12.75" customHeight="1" x14ac:dyDescent="0.2">
      <c r="A19389" s="258"/>
      <c r="Z19389" s="258"/>
    </row>
    <row r="19390" spans="1:26" ht="12.75" customHeight="1" x14ac:dyDescent="0.2">
      <c r="A19390" s="258"/>
      <c r="Z19390" s="258"/>
    </row>
    <row r="19391" spans="1:26" ht="12.75" customHeight="1" x14ac:dyDescent="0.2">
      <c r="A19391" s="258"/>
      <c r="Z19391" s="258"/>
    </row>
    <row r="19392" spans="1:26" ht="12.75" customHeight="1" x14ac:dyDescent="0.2">
      <c r="A19392" s="258"/>
      <c r="Z19392" s="258"/>
    </row>
    <row r="19393" spans="1:26" ht="12.75" customHeight="1" x14ac:dyDescent="0.2">
      <c r="A19393" s="258"/>
      <c r="Z19393" s="258"/>
    </row>
    <row r="19394" spans="1:26" ht="12.75" customHeight="1" x14ac:dyDescent="0.2">
      <c r="A19394" s="258"/>
      <c r="Z19394" s="258"/>
    </row>
    <row r="19395" spans="1:26" ht="12.75" customHeight="1" x14ac:dyDescent="0.2">
      <c r="A19395" s="258"/>
      <c r="Z19395" s="258"/>
    </row>
    <row r="19396" spans="1:26" ht="12.75" customHeight="1" x14ac:dyDescent="0.2">
      <c r="A19396" s="258"/>
      <c r="Z19396" s="258"/>
    </row>
    <row r="19397" spans="1:26" ht="12.75" customHeight="1" x14ac:dyDescent="0.2">
      <c r="A19397" s="258"/>
      <c r="Z19397" s="258"/>
    </row>
    <row r="19398" spans="1:26" ht="12.75" customHeight="1" x14ac:dyDescent="0.2">
      <c r="A19398" s="258"/>
      <c r="Z19398" s="258"/>
    </row>
    <row r="19399" spans="1:26" ht="12.75" customHeight="1" x14ac:dyDescent="0.2">
      <c r="A19399" s="258"/>
      <c r="Z19399" s="258"/>
    </row>
    <row r="19400" spans="1:26" ht="12.75" customHeight="1" x14ac:dyDescent="0.2">
      <c r="A19400" s="258"/>
      <c r="Z19400" s="258"/>
    </row>
    <row r="19401" spans="1:26" ht="12.75" customHeight="1" x14ac:dyDescent="0.2">
      <c r="A19401" s="258"/>
      <c r="Z19401" s="258"/>
    </row>
    <row r="19402" spans="1:26" ht="12.75" customHeight="1" x14ac:dyDescent="0.2">
      <c r="A19402" s="258"/>
      <c r="Z19402" s="258"/>
    </row>
    <row r="19403" spans="1:26" ht="12.75" customHeight="1" x14ac:dyDescent="0.2">
      <c r="A19403" s="258"/>
      <c r="Z19403" s="258"/>
    </row>
    <row r="19404" spans="1:26" ht="12.75" customHeight="1" x14ac:dyDescent="0.2">
      <c r="A19404" s="258"/>
      <c r="Z19404" s="258"/>
    </row>
    <row r="19405" spans="1:26" ht="12.75" customHeight="1" x14ac:dyDescent="0.2">
      <c r="A19405" s="258"/>
      <c r="Z19405" s="258"/>
    </row>
    <row r="19406" spans="1:26" ht="12.75" customHeight="1" x14ac:dyDescent="0.2">
      <c r="A19406" s="258"/>
      <c r="Z19406" s="258"/>
    </row>
    <row r="19407" spans="1:26" ht="12.75" customHeight="1" x14ac:dyDescent="0.2">
      <c r="A19407" s="258"/>
      <c r="Z19407" s="258"/>
    </row>
    <row r="19408" spans="1:26" ht="12.75" customHeight="1" x14ac:dyDescent="0.2">
      <c r="A19408" s="258"/>
      <c r="Z19408" s="258"/>
    </row>
    <row r="19409" spans="1:26" ht="12.75" customHeight="1" x14ac:dyDescent="0.2">
      <c r="A19409" s="258"/>
      <c r="Z19409" s="258"/>
    </row>
    <row r="19410" spans="1:26" ht="12.75" customHeight="1" x14ac:dyDescent="0.2">
      <c r="A19410" s="258"/>
      <c r="Z19410" s="258"/>
    </row>
    <row r="19411" spans="1:26" ht="12.75" customHeight="1" x14ac:dyDescent="0.2">
      <c r="A19411" s="258"/>
      <c r="Z19411" s="258"/>
    </row>
    <row r="19412" spans="1:26" ht="12.75" customHeight="1" x14ac:dyDescent="0.2">
      <c r="A19412" s="258"/>
      <c r="Z19412" s="258"/>
    </row>
    <row r="19413" spans="1:26" ht="12.75" customHeight="1" x14ac:dyDescent="0.2">
      <c r="A19413" s="258"/>
      <c r="Z19413" s="258"/>
    </row>
    <row r="19414" spans="1:26" ht="12.75" customHeight="1" x14ac:dyDescent="0.2">
      <c r="A19414" s="258"/>
      <c r="Z19414" s="258"/>
    </row>
    <row r="19415" spans="1:26" ht="12.75" customHeight="1" x14ac:dyDescent="0.2">
      <c r="A19415" s="258"/>
      <c r="Z19415" s="258"/>
    </row>
    <row r="19416" spans="1:26" ht="12.75" customHeight="1" x14ac:dyDescent="0.2">
      <c r="A19416" s="258"/>
      <c r="Z19416" s="258"/>
    </row>
    <row r="19417" spans="1:26" ht="12.75" customHeight="1" x14ac:dyDescent="0.2">
      <c r="A19417" s="258"/>
      <c r="Z19417" s="258"/>
    </row>
    <row r="19418" spans="1:26" ht="12.75" customHeight="1" x14ac:dyDescent="0.2">
      <c r="A19418" s="258"/>
      <c r="Z19418" s="258"/>
    </row>
    <row r="19419" spans="1:26" ht="12.75" customHeight="1" x14ac:dyDescent="0.2">
      <c r="A19419" s="258"/>
      <c r="Z19419" s="258"/>
    </row>
    <row r="19420" spans="1:26" ht="12.75" customHeight="1" x14ac:dyDescent="0.2">
      <c r="A19420" s="258"/>
      <c r="Z19420" s="258"/>
    </row>
    <row r="19421" spans="1:26" ht="12.75" customHeight="1" x14ac:dyDescent="0.2">
      <c r="A19421" s="258"/>
      <c r="Z19421" s="258"/>
    </row>
    <row r="19422" spans="1:26" ht="12.75" customHeight="1" x14ac:dyDescent="0.2">
      <c r="A19422" s="258"/>
      <c r="Z19422" s="258"/>
    </row>
    <row r="19423" spans="1:26" ht="12.75" customHeight="1" x14ac:dyDescent="0.2">
      <c r="A19423" s="258"/>
      <c r="Z19423" s="258"/>
    </row>
    <row r="19424" spans="1:26" ht="12.75" customHeight="1" x14ac:dyDescent="0.2">
      <c r="A19424" s="258"/>
      <c r="Z19424" s="258"/>
    </row>
    <row r="19425" spans="1:26" ht="12.75" customHeight="1" x14ac:dyDescent="0.2">
      <c r="A19425" s="258"/>
      <c r="Z19425" s="258"/>
    </row>
    <row r="19426" spans="1:26" ht="12.75" customHeight="1" x14ac:dyDescent="0.2">
      <c r="A19426" s="258"/>
      <c r="Z19426" s="258"/>
    </row>
    <row r="19427" spans="1:26" ht="12.75" customHeight="1" x14ac:dyDescent="0.2">
      <c r="A19427" s="258"/>
      <c r="Z19427" s="258"/>
    </row>
    <row r="19428" spans="1:26" ht="12.75" customHeight="1" x14ac:dyDescent="0.2">
      <c r="A19428" s="258"/>
      <c r="Z19428" s="258"/>
    </row>
    <row r="19429" spans="1:26" ht="12.75" customHeight="1" x14ac:dyDescent="0.2">
      <c r="A19429" s="258"/>
      <c r="Z19429" s="258"/>
    </row>
    <row r="19430" spans="1:26" ht="12.75" customHeight="1" x14ac:dyDescent="0.2">
      <c r="A19430" s="258"/>
      <c r="Z19430" s="258"/>
    </row>
    <row r="19431" spans="1:26" ht="12.75" customHeight="1" x14ac:dyDescent="0.2">
      <c r="A19431" s="258"/>
      <c r="Z19431" s="258"/>
    </row>
    <row r="19432" spans="1:26" ht="12.75" customHeight="1" x14ac:dyDescent="0.2">
      <c r="A19432" s="258"/>
      <c r="Z19432" s="258"/>
    </row>
    <row r="19433" spans="1:26" ht="12.75" customHeight="1" x14ac:dyDescent="0.2">
      <c r="A19433" s="258"/>
      <c r="Z19433" s="258"/>
    </row>
    <row r="19434" spans="1:26" ht="12.75" customHeight="1" x14ac:dyDescent="0.2">
      <c r="A19434" s="258"/>
      <c r="Z19434" s="258"/>
    </row>
    <row r="19435" spans="1:26" ht="12.75" customHeight="1" x14ac:dyDescent="0.2">
      <c r="A19435" s="258"/>
      <c r="Z19435" s="258"/>
    </row>
    <row r="19436" spans="1:26" ht="12.75" customHeight="1" x14ac:dyDescent="0.2">
      <c r="A19436" s="258"/>
      <c r="Z19436" s="258"/>
    </row>
    <row r="19437" spans="1:26" ht="12.75" customHeight="1" x14ac:dyDescent="0.2">
      <c r="A19437" s="258"/>
      <c r="Z19437" s="258"/>
    </row>
    <row r="19438" spans="1:26" ht="12.75" customHeight="1" x14ac:dyDescent="0.2">
      <c r="A19438" s="258"/>
      <c r="Z19438" s="258"/>
    </row>
    <row r="19439" spans="1:26" ht="12.75" customHeight="1" x14ac:dyDescent="0.2">
      <c r="A19439" s="258"/>
      <c r="Z19439" s="258"/>
    </row>
    <row r="19440" spans="1:26" ht="12.75" customHeight="1" x14ac:dyDescent="0.2">
      <c r="A19440" s="258"/>
      <c r="Z19440" s="258"/>
    </row>
    <row r="19441" spans="1:26" ht="12.75" customHeight="1" x14ac:dyDescent="0.2">
      <c r="A19441" s="258"/>
      <c r="Z19441" s="258"/>
    </row>
    <row r="19442" spans="1:26" ht="12.75" customHeight="1" x14ac:dyDescent="0.2">
      <c r="A19442" s="258"/>
      <c r="Z19442" s="258"/>
    </row>
    <row r="19443" spans="1:26" ht="12.75" customHeight="1" x14ac:dyDescent="0.2">
      <c r="A19443" s="258"/>
      <c r="Z19443" s="258"/>
    </row>
    <row r="19444" spans="1:26" ht="12.75" customHeight="1" x14ac:dyDescent="0.2">
      <c r="A19444" s="258"/>
      <c r="Z19444" s="258"/>
    </row>
    <row r="19445" spans="1:26" ht="12.75" customHeight="1" x14ac:dyDescent="0.2">
      <c r="A19445" s="258"/>
      <c r="Z19445" s="258"/>
    </row>
    <row r="19446" spans="1:26" ht="12.75" customHeight="1" x14ac:dyDescent="0.2">
      <c r="A19446" s="258"/>
      <c r="Z19446" s="258"/>
    </row>
    <row r="19447" spans="1:26" ht="12.75" customHeight="1" x14ac:dyDescent="0.2">
      <c r="A19447" s="258"/>
      <c r="Z19447" s="258"/>
    </row>
    <row r="19448" spans="1:26" ht="12.75" customHeight="1" x14ac:dyDescent="0.2">
      <c r="A19448" s="258"/>
      <c r="Z19448" s="258"/>
    </row>
    <row r="19449" spans="1:26" ht="12.75" customHeight="1" x14ac:dyDescent="0.2">
      <c r="A19449" s="258"/>
      <c r="Z19449" s="258"/>
    </row>
    <row r="19450" spans="1:26" ht="12.75" customHeight="1" x14ac:dyDescent="0.2">
      <c r="A19450" s="258"/>
      <c r="Z19450" s="258"/>
    </row>
    <row r="19451" spans="1:26" ht="12.75" customHeight="1" x14ac:dyDescent="0.2">
      <c r="A19451" s="258"/>
      <c r="Z19451" s="258"/>
    </row>
    <row r="19452" spans="1:26" ht="12.75" customHeight="1" x14ac:dyDescent="0.2">
      <c r="A19452" s="258"/>
      <c r="Z19452" s="258"/>
    </row>
    <row r="19453" spans="1:26" ht="12.75" customHeight="1" x14ac:dyDescent="0.2">
      <c r="A19453" s="258"/>
      <c r="Z19453" s="258"/>
    </row>
    <row r="19454" spans="1:26" ht="12.75" customHeight="1" x14ac:dyDescent="0.2">
      <c r="A19454" s="258"/>
      <c r="Z19454" s="258"/>
    </row>
    <row r="19455" spans="1:26" ht="12.75" customHeight="1" x14ac:dyDescent="0.2">
      <c r="A19455" s="258"/>
      <c r="Z19455" s="258"/>
    </row>
    <row r="19456" spans="1:26" ht="12.75" customHeight="1" x14ac:dyDescent="0.2">
      <c r="A19456" s="258"/>
      <c r="Z19456" s="258"/>
    </row>
    <row r="19457" spans="1:26" ht="12.75" customHeight="1" x14ac:dyDescent="0.2">
      <c r="A19457" s="258"/>
      <c r="Z19457" s="258"/>
    </row>
    <row r="19458" spans="1:26" ht="12.75" customHeight="1" x14ac:dyDescent="0.2">
      <c r="A19458" s="258"/>
      <c r="Z19458" s="258"/>
    </row>
    <row r="19459" spans="1:26" ht="12.75" customHeight="1" x14ac:dyDescent="0.2">
      <c r="A19459" s="258"/>
      <c r="Z19459" s="258"/>
    </row>
    <row r="19460" spans="1:26" ht="12.75" customHeight="1" x14ac:dyDescent="0.2">
      <c r="A19460" s="258"/>
      <c r="Z19460" s="258"/>
    </row>
    <row r="19461" spans="1:26" ht="12.75" customHeight="1" x14ac:dyDescent="0.2">
      <c r="A19461" s="258"/>
      <c r="Z19461" s="258"/>
    </row>
    <row r="19462" spans="1:26" ht="12.75" customHeight="1" x14ac:dyDescent="0.2">
      <c r="A19462" s="258"/>
      <c r="Z19462" s="258"/>
    </row>
    <row r="19463" spans="1:26" ht="12.75" customHeight="1" x14ac:dyDescent="0.2">
      <c r="A19463" s="258"/>
      <c r="Z19463" s="258"/>
    </row>
    <row r="19464" spans="1:26" ht="12.75" customHeight="1" x14ac:dyDescent="0.2">
      <c r="A19464" s="258"/>
      <c r="Z19464" s="258"/>
    </row>
    <row r="19465" spans="1:26" ht="12.75" customHeight="1" x14ac:dyDescent="0.2">
      <c r="A19465" s="258"/>
      <c r="Z19465" s="258"/>
    </row>
    <row r="19466" spans="1:26" ht="12.75" customHeight="1" x14ac:dyDescent="0.2">
      <c r="A19466" s="258"/>
      <c r="Z19466" s="258"/>
    </row>
    <row r="19467" spans="1:26" ht="12.75" customHeight="1" x14ac:dyDescent="0.2">
      <c r="A19467" s="258"/>
      <c r="Z19467" s="258"/>
    </row>
    <row r="19468" spans="1:26" ht="12.75" customHeight="1" x14ac:dyDescent="0.2">
      <c r="A19468" s="258"/>
      <c r="Z19468" s="258"/>
    </row>
    <row r="19469" spans="1:26" ht="12.75" customHeight="1" x14ac:dyDescent="0.2">
      <c r="A19469" s="258"/>
      <c r="Z19469" s="258"/>
    </row>
    <row r="19470" spans="1:26" ht="12.75" customHeight="1" x14ac:dyDescent="0.2">
      <c r="A19470" s="258"/>
      <c r="Z19470" s="258"/>
    </row>
    <row r="19471" spans="1:26" ht="12.75" customHeight="1" x14ac:dyDescent="0.2">
      <c r="A19471" s="258"/>
      <c r="Z19471" s="258"/>
    </row>
    <row r="19472" spans="1:26" ht="12.75" customHeight="1" x14ac:dyDescent="0.2">
      <c r="A19472" s="258"/>
      <c r="Z19472" s="258"/>
    </row>
    <row r="19473" spans="1:26" ht="12.75" customHeight="1" x14ac:dyDescent="0.2">
      <c r="A19473" s="258"/>
      <c r="Z19473" s="258"/>
    </row>
    <row r="19474" spans="1:26" ht="12.75" customHeight="1" x14ac:dyDescent="0.2">
      <c r="A19474" s="258"/>
      <c r="Z19474" s="258"/>
    </row>
    <row r="19475" spans="1:26" ht="12.75" customHeight="1" x14ac:dyDescent="0.2">
      <c r="A19475" s="258"/>
      <c r="Z19475" s="258"/>
    </row>
    <row r="19476" spans="1:26" ht="12.75" customHeight="1" x14ac:dyDescent="0.2">
      <c r="A19476" s="258"/>
      <c r="Z19476" s="258"/>
    </row>
    <row r="19477" spans="1:26" ht="12.75" customHeight="1" x14ac:dyDescent="0.2">
      <c r="A19477" s="258"/>
      <c r="Z19477" s="258"/>
    </row>
    <row r="19478" spans="1:26" ht="12.75" customHeight="1" x14ac:dyDescent="0.2">
      <c r="A19478" s="258"/>
      <c r="Z19478" s="258"/>
    </row>
    <row r="19479" spans="1:26" ht="12.75" customHeight="1" x14ac:dyDescent="0.2">
      <c r="A19479" s="258"/>
      <c r="Z19479" s="258"/>
    </row>
    <row r="19480" spans="1:26" ht="12.75" customHeight="1" x14ac:dyDescent="0.2">
      <c r="A19480" s="258"/>
      <c r="Z19480" s="258"/>
    </row>
    <row r="19481" spans="1:26" ht="12.75" customHeight="1" x14ac:dyDescent="0.2">
      <c r="A19481" s="258"/>
      <c r="Z19481" s="258"/>
    </row>
    <row r="19482" spans="1:26" ht="12.75" customHeight="1" x14ac:dyDescent="0.2">
      <c r="A19482" s="258"/>
      <c r="Z19482" s="258"/>
    </row>
    <row r="19483" spans="1:26" ht="12.75" customHeight="1" x14ac:dyDescent="0.2">
      <c r="A19483" s="258"/>
      <c r="Z19483" s="258"/>
    </row>
    <row r="19484" spans="1:26" ht="12.75" customHeight="1" x14ac:dyDescent="0.2">
      <c r="A19484" s="258"/>
      <c r="Z19484" s="258"/>
    </row>
    <row r="19485" spans="1:26" ht="12.75" customHeight="1" x14ac:dyDescent="0.2">
      <c r="A19485" s="258"/>
      <c r="Z19485" s="258"/>
    </row>
    <row r="19486" spans="1:26" ht="12.75" customHeight="1" x14ac:dyDescent="0.2">
      <c r="A19486" s="258"/>
      <c r="Z19486" s="258"/>
    </row>
    <row r="19487" spans="1:26" ht="12.75" customHeight="1" x14ac:dyDescent="0.2">
      <c r="A19487" s="258"/>
      <c r="Z19487" s="258"/>
    </row>
    <row r="19488" spans="1:26" ht="12.75" customHeight="1" x14ac:dyDescent="0.2">
      <c r="A19488" s="258"/>
      <c r="Z19488" s="258"/>
    </row>
    <row r="19489" spans="1:26" ht="12.75" customHeight="1" x14ac:dyDescent="0.2">
      <c r="A19489" s="258"/>
      <c r="Z19489" s="258"/>
    </row>
    <row r="19490" spans="1:26" ht="12.75" customHeight="1" x14ac:dyDescent="0.2">
      <c r="A19490" s="258"/>
      <c r="Z19490" s="258"/>
    </row>
    <row r="19491" spans="1:26" ht="12.75" customHeight="1" x14ac:dyDescent="0.2">
      <c r="A19491" s="258"/>
      <c r="Z19491" s="258"/>
    </row>
    <row r="19492" spans="1:26" ht="12.75" customHeight="1" x14ac:dyDescent="0.2">
      <c r="A19492" s="258"/>
      <c r="Z19492" s="258"/>
    </row>
    <row r="19493" spans="1:26" ht="12.75" customHeight="1" x14ac:dyDescent="0.2">
      <c r="A19493" s="258"/>
      <c r="Z19493" s="258"/>
    </row>
    <row r="19494" spans="1:26" ht="12.75" customHeight="1" x14ac:dyDescent="0.2">
      <c r="A19494" s="258"/>
      <c r="Z19494" s="258"/>
    </row>
    <row r="19495" spans="1:26" ht="12.75" customHeight="1" x14ac:dyDescent="0.2">
      <c r="A19495" s="258"/>
      <c r="Z19495" s="258"/>
    </row>
    <row r="19496" spans="1:26" ht="12.75" customHeight="1" x14ac:dyDescent="0.2">
      <c r="A19496" s="258"/>
      <c r="Z19496" s="258"/>
    </row>
    <row r="19497" spans="1:26" ht="12.75" customHeight="1" x14ac:dyDescent="0.2">
      <c r="A19497" s="258"/>
      <c r="Z19497" s="258"/>
    </row>
    <row r="19498" spans="1:26" ht="12.75" customHeight="1" x14ac:dyDescent="0.2">
      <c r="A19498" s="258"/>
      <c r="Z19498" s="258"/>
    </row>
    <row r="19499" spans="1:26" ht="12.75" customHeight="1" x14ac:dyDescent="0.2">
      <c r="A19499" s="258"/>
      <c r="Z19499" s="258"/>
    </row>
    <row r="19500" spans="1:26" ht="12.75" customHeight="1" x14ac:dyDescent="0.2">
      <c r="A19500" s="258"/>
      <c r="Z19500" s="258"/>
    </row>
    <row r="19501" spans="1:26" ht="12.75" customHeight="1" x14ac:dyDescent="0.2">
      <c r="A19501" s="258"/>
      <c r="Z19501" s="258"/>
    </row>
    <row r="19502" spans="1:26" ht="12.75" customHeight="1" x14ac:dyDescent="0.2">
      <c r="A19502" s="258"/>
      <c r="Z19502" s="258"/>
    </row>
    <row r="19503" spans="1:26" ht="12.75" customHeight="1" x14ac:dyDescent="0.2">
      <c r="A19503" s="258"/>
      <c r="Z19503" s="258"/>
    </row>
    <row r="19504" spans="1:26" ht="12.75" customHeight="1" x14ac:dyDescent="0.2">
      <c r="A19504" s="258"/>
      <c r="Z19504" s="258"/>
    </row>
    <row r="19505" spans="1:26" ht="12.75" customHeight="1" x14ac:dyDescent="0.2">
      <c r="A19505" s="258"/>
      <c r="Z19505" s="258"/>
    </row>
    <row r="19506" spans="1:26" ht="12.75" customHeight="1" x14ac:dyDescent="0.2">
      <c r="A19506" s="258"/>
      <c r="Z19506" s="258"/>
    </row>
    <row r="19507" spans="1:26" ht="12.75" customHeight="1" x14ac:dyDescent="0.2">
      <c r="A19507" s="258"/>
      <c r="Z19507" s="258"/>
    </row>
    <row r="19508" spans="1:26" ht="12.75" customHeight="1" x14ac:dyDescent="0.2">
      <c r="A19508" s="258"/>
      <c r="Z19508" s="258"/>
    </row>
    <row r="19509" spans="1:26" ht="12.75" customHeight="1" x14ac:dyDescent="0.2">
      <c r="A19509" s="258"/>
      <c r="Z19509" s="258"/>
    </row>
    <row r="19510" spans="1:26" ht="12.75" customHeight="1" x14ac:dyDescent="0.2">
      <c r="A19510" s="258"/>
      <c r="Z19510" s="258"/>
    </row>
    <row r="19511" spans="1:26" ht="12.75" customHeight="1" x14ac:dyDescent="0.2">
      <c r="A19511" s="258"/>
      <c r="Z19511" s="258"/>
    </row>
    <row r="19512" spans="1:26" ht="12.75" customHeight="1" x14ac:dyDescent="0.2">
      <c r="A19512" s="258"/>
      <c r="Z19512" s="258"/>
    </row>
    <row r="19513" spans="1:26" ht="12.75" customHeight="1" x14ac:dyDescent="0.2">
      <c r="A19513" s="258"/>
      <c r="Z19513" s="258"/>
    </row>
    <row r="19514" spans="1:26" ht="12.75" customHeight="1" x14ac:dyDescent="0.2">
      <c r="A19514" s="258"/>
      <c r="Z19514" s="258"/>
    </row>
    <row r="19515" spans="1:26" ht="12.75" customHeight="1" x14ac:dyDescent="0.2">
      <c r="A19515" s="258"/>
      <c r="Z19515" s="258"/>
    </row>
    <row r="19516" spans="1:26" ht="12.75" customHeight="1" x14ac:dyDescent="0.2">
      <c r="A19516" s="258"/>
      <c r="Z19516" s="258"/>
    </row>
    <row r="19517" spans="1:26" ht="12.75" customHeight="1" x14ac:dyDescent="0.2">
      <c r="A19517" s="258"/>
      <c r="Z19517" s="258"/>
    </row>
    <row r="19518" spans="1:26" ht="12.75" customHeight="1" x14ac:dyDescent="0.2">
      <c r="A19518" s="258"/>
      <c r="Z19518" s="258"/>
    </row>
    <row r="19519" spans="1:26" ht="12.75" customHeight="1" x14ac:dyDescent="0.2">
      <c r="A19519" s="258"/>
      <c r="Z19519" s="258"/>
    </row>
    <row r="19520" spans="1:26" ht="12.75" customHeight="1" x14ac:dyDescent="0.2">
      <c r="A19520" s="258"/>
      <c r="Z19520" s="258"/>
    </row>
    <row r="19521" spans="1:26" ht="12.75" customHeight="1" x14ac:dyDescent="0.2">
      <c r="A19521" s="258"/>
      <c r="Z19521" s="258"/>
    </row>
    <row r="19522" spans="1:26" ht="12.75" customHeight="1" x14ac:dyDescent="0.2">
      <c r="A19522" s="258"/>
      <c r="Z19522" s="258"/>
    </row>
    <row r="19523" spans="1:26" ht="12.75" customHeight="1" x14ac:dyDescent="0.2">
      <c r="A19523" s="258"/>
      <c r="Z19523" s="258"/>
    </row>
    <row r="19524" spans="1:26" ht="12.75" customHeight="1" x14ac:dyDescent="0.2">
      <c r="A19524" s="258"/>
      <c r="Z19524" s="258"/>
    </row>
    <row r="19525" spans="1:26" ht="12.75" customHeight="1" x14ac:dyDescent="0.2">
      <c r="A19525" s="258"/>
      <c r="Z19525" s="258"/>
    </row>
    <row r="19526" spans="1:26" ht="12.75" customHeight="1" x14ac:dyDescent="0.2">
      <c r="A19526" s="258"/>
      <c r="Z19526" s="258"/>
    </row>
    <row r="19527" spans="1:26" ht="12.75" customHeight="1" x14ac:dyDescent="0.2">
      <c r="A19527" s="258"/>
      <c r="Z19527" s="258"/>
    </row>
    <row r="19528" spans="1:26" ht="12.75" customHeight="1" x14ac:dyDescent="0.2">
      <c r="A19528" s="258"/>
      <c r="Z19528" s="258"/>
    </row>
    <row r="19529" spans="1:26" ht="12.75" customHeight="1" x14ac:dyDescent="0.2">
      <c r="A19529" s="258"/>
      <c r="Z19529" s="258"/>
    </row>
    <row r="19530" spans="1:26" ht="12.75" customHeight="1" x14ac:dyDescent="0.2">
      <c r="A19530" s="258"/>
      <c r="Z19530" s="258"/>
    </row>
    <row r="19531" spans="1:26" ht="12.75" customHeight="1" x14ac:dyDescent="0.2">
      <c r="A19531" s="258"/>
      <c r="Z19531" s="258"/>
    </row>
    <row r="19532" spans="1:26" ht="12.75" customHeight="1" x14ac:dyDescent="0.2">
      <c r="A19532" s="258"/>
      <c r="Z19532" s="258"/>
    </row>
    <row r="19533" spans="1:26" ht="12.75" customHeight="1" x14ac:dyDescent="0.2">
      <c r="A19533" s="258"/>
      <c r="Z19533" s="258"/>
    </row>
    <row r="19534" spans="1:26" ht="12.75" customHeight="1" x14ac:dyDescent="0.2">
      <c r="A19534" s="258"/>
      <c r="Z19534" s="258"/>
    </row>
    <row r="19535" spans="1:26" ht="12.75" customHeight="1" x14ac:dyDescent="0.2">
      <c r="A19535" s="258"/>
      <c r="Z19535" s="258"/>
    </row>
    <row r="19536" spans="1:26" ht="12.75" customHeight="1" x14ac:dyDescent="0.2">
      <c r="A19536" s="258"/>
      <c r="Z19536" s="258"/>
    </row>
    <row r="19537" spans="1:26" ht="12.75" customHeight="1" x14ac:dyDescent="0.2">
      <c r="A19537" s="258"/>
      <c r="Z19537" s="258"/>
    </row>
    <row r="19538" spans="1:26" ht="12.75" customHeight="1" x14ac:dyDescent="0.2">
      <c r="A19538" s="258"/>
      <c r="Z19538" s="258"/>
    </row>
    <row r="19539" spans="1:26" ht="12.75" customHeight="1" x14ac:dyDescent="0.2">
      <c r="A19539" s="258"/>
      <c r="Z19539" s="258"/>
    </row>
    <row r="19540" spans="1:26" ht="12.75" customHeight="1" x14ac:dyDescent="0.2">
      <c r="A19540" s="258"/>
      <c r="Z19540" s="258"/>
    </row>
    <row r="19541" spans="1:26" ht="12.75" customHeight="1" x14ac:dyDescent="0.2">
      <c r="A19541" s="258"/>
      <c r="Z19541" s="258"/>
    </row>
    <row r="19542" spans="1:26" ht="12.75" customHeight="1" x14ac:dyDescent="0.2">
      <c r="A19542" s="258"/>
      <c r="Z19542" s="258"/>
    </row>
    <row r="19543" spans="1:26" ht="12.75" customHeight="1" x14ac:dyDescent="0.2">
      <c r="A19543" s="258"/>
      <c r="Z19543" s="258"/>
    </row>
    <row r="19544" spans="1:26" ht="12.75" customHeight="1" x14ac:dyDescent="0.2">
      <c r="A19544" s="258"/>
      <c r="Z19544" s="258"/>
    </row>
    <row r="19545" spans="1:26" ht="12.75" customHeight="1" x14ac:dyDescent="0.2">
      <c r="A19545" s="258"/>
      <c r="Z19545" s="258"/>
    </row>
    <row r="19546" spans="1:26" ht="12.75" customHeight="1" x14ac:dyDescent="0.2">
      <c r="A19546" s="258"/>
      <c r="Z19546" s="258"/>
    </row>
    <row r="19547" spans="1:26" ht="12.75" customHeight="1" x14ac:dyDescent="0.2">
      <c r="A19547" s="258"/>
      <c r="Z19547" s="258"/>
    </row>
    <row r="19548" spans="1:26" ht="12.75" customHeight="1" x14ac:dyDescent="0.2">
      <c r="A19548" s="258"/>
      <c r="Z19548" s="258"/>
    </row>
    <row r="19549" spans="1:26" ht="12.75" customHeight="1" x14ac:dyDescent="0.2">
      <c r="A19549" s="258"/>
      <c r="Z19549" s="258"/>
    </row>
    <row r="19550" spans="1:26" ht="12.75" customHeight="1" x14ac:dyDescent="0.2">
      <c r="A19550" s="258"/>
      <c r="Z19550" s="258"/>
    </row>
    <row r="19551" spans="1:26" ht="12.75" customHeight="1" x14ac:dyDescent="0.2">
      <c r="A19551" s="258"/>
      <c r="Z19551" s="258"/>
    </row>
    <row r="19552" spans="1:26" ht="12.75" customHeight="1" x14ac:dyDescent="0.2">
      <c r="A19552" s="258"/>
      <c r="Z19552" s="258"/>
    </row>
    <row r="19553" spans="1:26" ht="12.75" customHeight="1" x14ac:dyDescent="0.2">
      <c r="A19553" s="258"/>
      <c r="Z19553" s="258"/>
    </row>
    <row r="19554" spans="1:26" ht="12.75" customHeight="1" x14ac:dyDescent="0.2">
      <c r="A19554" s="258"/>
      <c r="Z19554" s="258"/>
    </row>
    <row r="19555" spans="1:26" ht="12.75" customHeight="1" x14ac:dyDescent="0.2">
      <c r="A19555" s="258"/>
      <c r="Z19555" s="258"/>
    </row>
    <row r="19556" spans="1:26" ht="12.75" customHeight="1" x14ac:dyDescent="0.2">
      <c r="A19556" s="258"/>
      <c r="Z19556" s="258"/>
    </row>
    <row r="19557" spans="1:26" ht="12.75" customHeight="1" x14ac:dyDescent="0.2">
      <c r="A19557" s="258"/>
      <c r="Z19557" s="258"/>
    </row>
    <row r="19558" spans="1:26" ht="12.75" customHeight="1" x14ac:dyDescent="0.2">
      <c r="A19558" s="258"/>
      <c r="Z19558" s="258"/>
    </row>
    <row r="19559" spans="1:26" ht="12.75" customHeight="1" x14ac:dyDescent="0.2">
      <c r="A19559" s="258"/>
      <c r="Z19559" s="258"/>
    </row>
    <row r="19560" spans="1:26" ht="12.75" customHeight="1" x14ac:dyDescent="0.2">
      <c r="A19560" s="258"/>
      <c r="Z19560" s="258"/>
    </row>
    <row r="19561" spans="1:26" ht="12.75" customHeight="1" x14ac:dyDescent="0.2">
      <c r="A19561" s="258"/>
      <c r="Z19561" s="258"/>
    </row>
    <row r="19562" spans="1:26" ht="12.75" customHeight="1" x14ac:dyDescent="0.2">
      <c r="A19562" s="258"/>
      <c r="Z19562" s="258"/>
    </row>
    <row r="19563" spans="1:26" ht="12.75" customHeight="1" x14ac:dyDescent="0.2">
      <c r="A19563" s="258"/>
      <c r="Z19563" s="258"/>
    </row>
    <row r="19564" spans="1:26" ht="12.75" customHeight="1" x14ac:dyDescent="0.2">
      <c r="A19564" s="258"/>
      <c r="Z19564" s="258"/>
    </row>
    <row r="19565" spans="1:26" ht="12.75" customHeight="1" x14ac:dyDescent="0.2">
      <c r="A19565" s="258"/>
      <c r="Z19565" s="258"/>
    </row>
    <row r="19566" spans="1:26" ht="12.75" customHeight="1" x14ac:dyDescent="0.2">
      <c r="A19566" s="258"/>
      <c r="Z19566" s="258"/>
    </row>
    <row r="19567" spans="1:26" ht="12.75" customHeight="1" x14ac:dyDescent="0.2">
      <c r="A19567" s="258"/>
      <c r="Z19567" s="258"/>
    </row>
    <row r="19568" spans="1:26" ht="12.75" customHeight="1" x14ac:dyDescent="0.2">
      <c r="A19568" s="258"/>
      <c r="Z19568" s="258"/>
    </row>
    <row r="19569" spans="1:26" ht="12.75" customHeight="1" x14ac:dyDescent="0.2">
      <c r="A19569" s="258"/>
      <c r="Z19569" s="258"/>
    </row>
    <row r="19570" spans="1:26" ht="12.75" customHeight="1" x14ac:dyDescent="0.2">
      <c r="A19570" s="258"/>
      <c r="Z19570" s="258"/>
    </row>
    <row r="19571" spans="1:26" ht="12.75" customHeight="1" x14ac:dyDescent="0.2">
      <c r="A19571" s="258"/>
      <c r="Z19571" s="258"/>
    </row>
    <row r="19572" spans="1:26" ht="12.75" customHeight="1" x14ac:dyDescent="0.2">
      <c r="A19572" s="258"/>
      <c r="Z19572" s="258"/>
    </row>
    <row r="19573" spans="1:26" ht="12.75" customHeight="1" x14ac:dyDescent="0.2">
      <c r="A19573" s="258"/>
      <c r="Z19573" s="258"/>
    </row>
    <row r="19574" spans="1:26" ht="12.75" customHeight="1" x14ac:dyDescent="0.2">
      <c r="A19574" s="258"/>
      <c r="Z19574" s="258"/>
    </row>
    <row r="19575" spans="1:26" ht="12.75" customHeight="1" x14ac:dyDescent="0.2">
      <c r="A19575" s="258"/>
      <c r="Z19575" s="258"/>
    </row>
    <row r="19576" spans="1:26" ht="12.75" customHeight="1" x14ac:dyDescent="0.2">
      <c r="A19576" s="258"/>
      <c r="Z19576" s="258"/>
    </row>
    <row r="19577" spans="1:26" ht="12.75" customHeight="1" x14ac:dyDescent="0.2">
      <c r="A19577" s="258"/>
      <c r="Z19577" s="258"/>
    </row>
    <row r="19578" spans="1:26" ht="12.75" customHeight="1" x14ac:dyDescent="0.2">
      <c r="A19578" s="258"/>
      <c r="Z19578" s="258"/>
    </row>
    <row r="19579" spans="1:26" ht="12.75" customHeight="1" x14ac:dyDescent="0.2">
      <c r="A19579" s="258"/>
      <c r="Z19579" s="258"/>
    </row>
    <row r="19580" spans="1:26" ht="12.75" customHeight="1" x14ac:dyDescent="0.2">
      <c r="A19580" s="258"/>
      <c r="Z19580" s="258"/>
    </row>
    <row r="19581" spans="1:26" ht="12.75" customHeight="1" x14ac:dyDescent="0.2">
      <c r="A19581" s="258"/>
      <c r="Z19581" s="258"/>
    </row>
    <row r="19582" spans="1:26" ht="12.75" customHeight="1" x14ac:dyDescent="0.2">
      <c r="A19582" s="258"/>
      <c r="Z19582" s="258"/>
    </row>
    <row r="19583" spans="1:26" ht="12.75" customHeight="1" x14ac:dyDescent="0.2">
      <c r="A19583" s="258"/>
      <c r="Z19583" s="258"/>
    </row>
    <row r="19584" spans="1:26" ht="12.75" customHeight="1" x14ac:dyDescent="0.2">
      <c r="A19584" s="258"/>
      <c r="Z19584" s="258"/>
    </row>
    <row r="19585" spans="1:26" ht="12.75" customHeight="1" x14ac:dyDescent="0.2">
      <c r="A19585" s="258"/>
      <c r="Z19585" s="258"/>
    </row>
    <row r="19586" spans="1:26" ht="12.75" customHeight="1" x14ac:dyDescent="0.2">
      <c r="A19586" s="258"/>
      <c r="Z19586" s="258"/>
    </row>
    <row r="19587" spans="1:26" ht="12.75" customHeight="1" x14ac:dyDescent="0.2">
      <c r="A19587" s="258"/>
      <c r="Z19587" s="258"/>
    </row>
    <row r="19588" spans="1:26" ht="12.75" customHeight="1" x14ac:dyDescent="0.2">
      <c r="A19588" s="258"/>
      <c r="Z19588" s="258"/>
    </row>
    <row r="19589" spans="1:26" ht="12.75" customHeight="1" x14ac:dyDescent="0.2">
      <c r="A19589" s="258"/>
      <c r="Z19589" s="258"/>
    </row>
    <row r="19590" spans="1:26" ht="12.75" customHeight="1" x14ac:dyDescent="0.2">
      <c r="A19590" s="258"/>
      <c r="Z19590" s="258"/>
    </row>
    <row r="19591" spans="1:26" ht="12.75" customHeight="1" x14ac:dyDescent="0.2">
      <c r="A19591" s="258"/>
      <c r="Z19591" s="258"/>
    </row>
    <row r="19592" spans="1:26" ht="12.75" customHeight="1" x14ac:dyDescent="0.2">
      <c r="A19592" s="258"/>
      <c r="Z19592" s="258"/>
    </row>
    <row r="19593" spans="1:26" ht="12.75" customHeight="1" x14ac:dyDescent="0.2">
      <c r="A19593" s="258"/>
      <c r="Z19593" s="258"/>
    </row>
    <row r="19594" spans="1:26" ht="12.75" customHeight="1" x14ac:dyDescent="0.2">
      <c r="A19594" s="258"/>
      <c r="Z19594" s="258"/>
    </row>
    <row r="19595" spans="1:26" ht="12.75" customHeight="1" x14ac:dyDescent="0.2">
      <c r="A19595" s="258"/>
      <c r="Z19595" s="258"/>
    </row>
    <row r="19596" spans="1:26" ht="12.75" customHeight="1" x14ac:dyDescent="0.2">
      <c r="A19596" s="258"/>
      <c r="Z19596" s="258"/>
    </row>
    <row r="19597" spans="1:26" ht="12.75" customHeight="1" x14ac:dyDescent="0.2">
      <c r="A19597" s="258"/>
      <c r="Z19597" s="258"/>
    </row>
    <row r="19598" spans="1:26" ht="12.75" customHeight="1" x14ac:dyDescent="0.2">
      <c r="A19598" s="258"/>
      <c r="Z19598" s="258"/>
    </row>
    <row r="19599" spans="1:26" ht="12.75" customHeight="1" x14ac:dyDescent="0.2">
      <c r="A19599" s="258"/>
      <c r="Z19599" s="258"/>
    </row>
    <row r="19600" spans="1:26" ht="12.75" customHeight="1" x14ac:dyDescent="0.2">
      <c r="A19600" s="258"/>
      <c r="Z19600" s="258"/>
    </row>
    <row r="19601" spans="1:26" ht="12.75" customHeight="1" x14ac:dyDescent="0.2">
      <c r="A19601" s="258"/>
      <c r="Z19601" s="258"/>
    </row>
    <row r="19602" spans="1:26" ht="12.75" customHeight="1" x14ac:dyDescent="0.2">
      <c r="A19602" s="258"/>
      <c r="Z19602" s="258"/>
    </row>
    <row r="19603" spans="1:26" ht="12.75" customHeight="1" x14ac:dyDescent="0.2">
      <c r="A19603" s="258"/>
      <c r="Z19603" s="258"/>
    </row>
    <row r="19604" spans="1:26" ht="12.75" customHeight="1" x14ac:dyDescent="0.2">
      <c r="A19604" s="258"/>
      <c r="Z19604" s="258"/>
    </row>
    <row r="19605" spans="1:26" ht="12.75" customHeight="1" x14ac:dyDescent="0.2">
      <c r="A19605" s="258"/>
      <c r="Z19605" s="258"/>
    </row>
    <row r="19606" spans="1:26" ht="12.75" customHeight="1" x14ac:dyDescent="0.2">
      <c r="A19606" s="258"/>
      <c r="Z19606" s="258"/>
    </row>
    <row r="19607" spans="1:26" ht="12.75" customHeight="1" x14ac:dyDescent="0.2">
      <c r="A19607" s="258"/>
      <c r="Z19607" s="258"/>
    </row>
    <row r="19608" spans="1:26" ht="12.75" customHeight="1" x14ac:dyDescent="0.2">
      <c r="A19608" s="258"/>
      <c r="Z19608" s="258"/>
    </row>
    <row r="19609" spans="1:26" ht="12.75" customHeight="1" x14ac:dyDescent="0.2">
      <c r="A19609" s="258"/>
      <c r="Z19609" s="258"/>
    </row>
    <row r="19610" spans="1:26" ht="12.75" customHeight="1" x14ac:dyDescent="0.2">
      <c r="A19610" s="258"/>
      <c r="Z19610" s="258"/>
    </row>
    <row r="19611" spans="1:26" ht="12.75" customHeight="1" x14ac:dyDescent="0.2">
      <c r="A19611" s="258"/>
      <c r="Z19611" s="258"/>
    </row>
    <row r="19612" spans="1:26" ht="12.75" customHeight="1" x14ac:dyDescent="0.2">
      <c r="A19612" s="258"/>
      <c r="Z19612" s="258"/>
    </row>
    <row r="19613" spans="1:26" ht="12.75" customHeight="1" x14ac:dyDescent="0.2">
      <c r="A19613" s="258"/>
      <c r="Z19613" s="258"/>
    </row>
    <row r="19614" spans="1:26" ht="12.75" customHeight="1" x14ac:dyDescent="0.2">
      <c r="A19614" s="258"/>
      <c r="Z19614" s="258"/>
    </row>
    <row r="19615" spans="1:26" ht="12.75" customHeight="1" x14ac:dyDescent="0.2">
      <c r="A19615" s="258"/>
      <c r="Z19615" s="258"/>
    </row>
    <row r="19616" spans="1:26" ht="12.75" customHeight="1" x14ac:dyDescent="0.2">
      <c r="A19616" s="258"/>
      <c r="Z19616" s="258"/>
    </row>
    <row r="19617" spans="1:26" ht="12.75" customHeight="1" x14ac:dyDescent="0.2">
      <c r="A19617" s="258"/>
      <c r="Z19617" s="258"/>
    </row>
    <row r="19618" spans="1:26" ht="12.75" customHeight="1" x14ac:dyDescent="0.2">
      <c r="A19618" s="258"/>
      <c r="Z19618" s="258"/>
    </row>
    <row r="19619" spans="1:26" ht="12.75" customHeight="1" x14ac:dyDescent="0.2">
      <c r="A19619" s="258"/>
      <c r="Z19619" s="258"/>
    </row>
    <row r="19620" spans="1:26" ht="12.75" customHeight="1" x14ac:dyDescent="0.2">
      <c r="A19620" s="258"/>
      <c r="Z19620" s="258"/>
    </row>
    <row r="19621" spans="1:26" ht="12.75" customHeight="1" x14ac:dyDescent="0.2">
      <c r="A19621" s="258"/>
      <c r="Z19621" s="258"/>
    </row>
    <row r="19622" spans="1:26" ht="12.75" customHeight="1" x14ac:dyDescent="0.2">
      <c r="A19622" s="258"/>
      <c r="Z19622" s="258"/>
    </row>
    <row r="19623" spans="1:26" ht="12.75" customHeight="1" x14ac:dyDescent="0.2">
      <c r="A19623" s="258"/>
      <c r="Z19623" s="258"/>
    </row>
    <row r="19624" spans="1:26" ht="12.75" customHeight="1" x14ac:dyDescent="0.2">
      <c r="A19624" s="258"/>
      <c r="Z19624" s="258"/>
    </row>
    <row r="19625" spans="1:26" ht="12.75" customHeight="1" x14ac:dyDescent="0.2">
      <c r="A19625" s="258"/>
      <c r="Z19625" s="258"/>
    </row>
    <row r="19626" spans="1:26" ht="12.75" customHeight="1" x14ac:dyDescent="0.2">
      <c r="A19626" s="258"/>
      <c r="Z19626" s="258"/>
    </row>
    <row r="19627" spans="1:26" ht="12.75" customHeight="1" x14ac:dyDescent="0.2">
      <c r="A19627" s="258"/>
      <c r="Z19627" s="258"/>
    </row>
    <row r="19628" spans="1:26" ht="12.75" customHeight="1" x14ac:dyDescent="0.2">
      <c r="A19628" s="258"/>
      <c r="Z19628" s="258"/>
    </row>
    <row r="19629" spans="1:26" ht="12.75" customHeight="1" x14ac:dyDescent="0.2">
      <c r="A19629" s="258"/>
      <c r="Z19629" s="258"/>
    </row>
    <row r="19630" spans="1:26" ht="12.75" customHeight="1" x14ac:dyDescent="0.2">
      <c r="A19630" s="258"/>
      <c r="Z19630" s="258"/>
    </row>
    <row r="19631" spans="1:26" ht="12.75" customHeight="1" x14ac:dyDescent="0.2">
      <c r="A19631" s="258"/>
      <c r="Z19631" s="258"/>
    </row>
    <row r="19632" spans="1:26" ht="12.75" customHeight="1" x14ac:dyDescent="0.2">
      <c r="A19632" s="258"/>
      <c r="Z19632" s="258"/>
    </row>
    <row r="19633" spans="1:26" ht="12.75" customHeight="1" x14ac:dyDescent="0.2">
      <c r="A19633" s="258"/>
      <c r="Z19633" s="258"/>
    </row>
    <row r="19634" spans="1:26" ht="12.75" customHeight="1" x14ac:dyDescent="0.2">
      <c r="A19634" s="258"/>
      <c r="Z19634" s="258"/>
    </row>
    <row r="19635" spans="1:26" ht="12.75" customHeight="1" x14ac:dyDescent="0.2">
      <c r="A19635" s="258"/>
      <c r="Z19635" s="258"/>
    </row>
    <row r="19636" spans="1:26" ht="12.75" customHeight="1" x14ac:dyDescent="0.2">
      <c r="A19636" s="258"/>
      <c r="Z19636" s="258"/>
    </row>
    <row r="19637" spans="1:26" ht="12.75" customHeight="1" x14ac:dyDescent="0.2">
      <c r="A19637" s="258"/>
      <c r="Z19637" s="258"/>
    </row>
    <row r="19638" spans="1:26" ht="12.75" customHeight="1" x14ac:dyDescent="0.2">
      <c r="A19638" s="258"/>
      <c r="Z19638" s="258"/>
    </row>
    <row r="19639" spans="1:26" ht="12.75" customHeight="1" x14ac:dyDescent="0.2">
      <c r="A19639" s="258"/>
      <c r="Z19639" s="258"/>
    </row>
    <row r="19640" spans="1:26" ht="12.75" customHeight="1" x14ac:dyDescent="0.2">
      <c r="A19640" s="258"/>
      <c r="Z19640" s="258"/>
    </row>
    <row r="19641" spans="1:26" ht="12.75" customHeight="1" x14ac:dyDescent="0.2">
      <c r="A19641" s="258"/>
      <c r="Z19641" s="258"/>
    </row>
    <row r="19642" spans="1:26" ht="12.75" customHeight="1" x14ac:dyDescent="0.2">
      <c r="A19642" s="258"/>
      <c r="Z19642" s="258"/>
    </row>
    <row r="19643" spans="1:26" ht="12.75" customHeight="1" x14ac:dyDescent="0.2">
      <c r="A19643" s="258"/>
      <c r="Z19643" s="258"/>
    </row>
    <row r="19644" spans="1:26" ht="12.75" customHeight="1" x14ac:dyDescent="0.2">
      <c r="A19644" s="258"/>
      <c r="Z19644" s="258"/>
    </row>
    <row r="19645" spans="1:26" ht="12.75" customHeight="1" x14ac:dyDescent="0.2">
      <c r="A19645" s="258"/>
      <c r="Z19645" s="258"/>
    </row>
    <row r="19646" spans="1:26" ht="12.75" customHeight="1" x14ac:dyDescent="0.2">
      <c r="A19646" s="258"/>
      <c r="Z19646" s="258"/>
    </row>
    <row r="19647" spans="1:26" ht="12.75" customHeight="1" x14ac:dyDescent="0.2">
      <c r="A19647" s="258"/>
      <c r="Z19647" s="258"/>
    </row>
    <row r="19648" spans="1:26" ht="12.75" customHeight="1" x14ac:dyDescent="0.2">
      <c r="A19648" s="258"/>
      <c r="Z19648" s="258"/>
    </row>
    <row r="19649" spans="1:26" ht="12.75" customHeight="1" x14ac:dyDescent="0.2">
      <c r="A19649" s="258"/>
      <c r="Z19649" s="258"/>
    </row>
    <row r="19650" spans="1:26" ht="12.75" customHeight="1" x14ac:dyDescent="0.2">
      <c r="A19650" s="258"/>
      <c r="Z19650" s="258"/>
    </row>
    <row r="19651" spans="1:26" ht="12.75" customHeight="1" x14ac:dyDescent="0.2">
      <c r="A19651" s="258"/>
      <c r="Z19651" s="258"/>
    </row>
    <row r="19652" spans="1:26" ht="12.75" customHeight="1" x14ac:dyDescent="0.2">
      <c r="A19652" s="258"/>
      <c r="Z19652" s="258"/>
    </row>
    <row r="19653" spans="1:26" ht="12.75" customHeight="1" x14ac:dyDescent="0.2">
      <c r="A19653" s="258"/>
      <c r="Z19653" s="258"/>
    </row>
    <row r="19654" spans="1:26" ht="12.75" customHeight="1" x14ac:dyDescent="0.2">
      <c r="A19654" s="258"/>
      <c r="Z19654" s="258"/>
    </row>
    <row r="19655" spans="1:26" ht="12.75" customHeight="1" x14ac:dyDescent="0.2">
      <c r="A19655" s="258"/>
      <c r="Z19655" s="258"/>
    </row>
    <row r="19656" spans="1:26" ht="12.75" customHeight="1" x14ac:dyDescent="0.2">
      <c r="A19656" s="258"/>
      <c r="Z19656" s="258"/>
    </row>
    <row r="19657" spans="1:26" ht="12.75" customHeight="1" x14ac:dyDescent="0.2">
      <c r="A19657" s="258"/>
      <c r="Z19657" s="258"/>
    </row>
    <row r="19658" spans="1:26" ht="12.75" customHeight="1" x14ac:dyDescent="0.2">
      <c r="A19658" s="258"/>
      <c r="Z19658" s="258"/>
    </row>
    <row r="19659" spans="1:26" ht="12.75" customHeight="1" x14ac:dyDescent="0.2">
      <c r="A19659" s="258"/>
      <c r="Z19659" s="258"/>
    </row>
    <row r="19660" spans="1:26" ht="12.75" customHeight="1" x14ac:dyDescent="0.2">
      <c r="A19660" s="258"/>
      <c r="Z19660" s="258"/>
    </row>
    <row r="19661" spans="1:26" ht="12.75" customHeight="1" x14ac:dyDescent="0.2">
      <c r="A19661" s="258"/>
      <c r="Z19661" s="258"/>
    </row>
    <row r="19662" spans="1:26" ht="12.75" customHeight="1" x14ac:dyDescent="0.2">
      <c r="A19662" s="258"/>
      <c r="Z19662" s="258"/>
    </row>
    <row r="19663" spans="1:26" ht="12.75" customHeight="1" x14ac:dyDescent="0.2">
      <c r="A19663" s="258"/>
      <c r="Z19663" s="258"/>
    </row>
    <row r="19664" spans="1:26" ht="12.75" customHeight="1" x14ac:dyDescent="0.2">
      <c r="A19664" s="258"/>
      <c r="Z19664" s="258"/>
    </row>
    <row r="19665" spans="1:26" ht="12.75" customHeight="1" x14ac:dyDescent="0.2">
      <c r="A19665" s="258"/>
      <c r="Z19665" s="258"/>
    </row>
    <row r="19666" spans="1:26" ht="12.75" customHeight="1" x14ac:dyDescent="0.2">
      <c r="A19666" s="258"/>
      <c r="Z19666" s="258"/>
    </row>
    <row r="19667" spans="1:26" ht="12.75" customHeight="1" x14ac:dyDescent="0.2">
      <c r="A19667" s="258"/>
      <c r="Z19667" s="258"/>
    </row>
    <row r="19668" spans="1:26" ht="12.75" customHeight="1" x14ac:dyDescent="0.2">
      <c r="A19668" s="258"/>
      <c r="Z19668" s="258"/>
    </row>
    <row r="19669" spans="1:26" ht="12.75" customHeight="1" x14ac:dyDescent="0.2">
      <c r="A19669" s="258"/>
      <c r="Z19669" s="258"/>
    </row>
    <row r="19670" spans="1:26" ht="12.75" customHeight="1" x14ac:dyDescent="0.2">
      <c r="A19670" s="258"/>
      <c r="Z19670" s="258"/>
    </row>
    <row r="19671" spans="1:26" ht="12.75" customHeight="1" x14ac:dyDescent="0.2">
      <c r="A19671" s="258"/>
      <c r="Z19671" s="258"/>
    </row>
    <row r="19672" spans="1:26" ht="12.75" customHeight="1" x14ac:dyDescent="0.2">
      <c r="A19672" s="258"/>
      <c r="Z19672" s="258"/>
    </row>
    <row r="19673" spans="1:26" ht="12.75" customHeight="1" x14ac:dyDescent="0.2">
      <c r="A19673" s="258"/>
      <c r="Z19673" s="258"/>
    </row>
    <row r="19674" spans="1:26" ht="12.75" customHeight="1" x14ac:dyDescent="0.2">
      <c r="A19674" s="258"/>
      <c r="Z19674" s="258"/>
    </row>
    <row r="19675" spans="1:26" ht="12.75" customHeight="1" x14ac:dyDescent="0.2">
      <c r="A19675" s="258"/>
      <c r="Z19675" s="258"/>
    </row>
    <row r="19676" spans="1:26" ht="12.75" customHeight="1" x14ac:dyDescent="0.2">
      <c r="A19676" s="258"/>
      <c r="Z19676" s="258"/>
    </row>
    <row r="19677" spans="1:26" ht="12.75" customHeight="1" x14ac:dyDescent="0.2">
      <c r="A19677" s="258"/>
      <c r="Z19677" s="258"/>
    </row>
    <row r="19678" spans="1:26" ht="12.75" customHeight="1" x14ac:dyDescent="0.2">
      <c r="A19678" s="258"/>
      <c r="Z19678" s="258"/>
    </row>
    <row r="19679" spans="1:26" ht="12.75" customHeight="1" x14ac:dyDescent="0.2">
      <c r="A19679" s="258"/>
      <c r="Z19679" s="258"/>
    </row>
    <row r="19680" spans="1:26" ht="12.75" customHeight="1" x14ac:dyDescent="0.2">
      <c r="A19680" s="258"/>
      <c r="Z19680" s="258"/>
    </row>
    <row r="19681" spans="1:26" ht="12.75" customHeight="1" x14ac:dyDescent="0.2">
      <c r="A19681" s="258"/>
      <c r="Z19681" s="258"/>
    </row>
    <row r="19682" spans="1:26" ht="12.75" customHeight="1" x14ac:dyDescent="0.2">
      <c r="A19682" s="258"/>
      <c r="Z19682" s="258"/>
    </row>
    <row r="19683" spans="1:26" ht="12.75" customHeight="1" x14ac:dyDescent="0.2">
      <c r="A19683" s="258"/>
      <c r="Z19683" s="258"/>
    </row>
    <row r="19684" spans="1:26" ht="12.75" customHeight="1" x14ac:dyDescent="0.2">
      <c r="A19684" s="258"/>
      <c r="Z19684" s="258"/>
    </row>
    <row r="19685" spans="1:26" ht="12.75" customHeight="1" x14ac:dyDescent="0.2">
      <c r="A19685" s="258"/>
      <c r="Z19685" s="258"/>
    </row>
    <row r="19686" spans="1:26" ht="12.75" customHeight="1" x14ac:dyDescent="0.2">
      <c r="A19686" s="258"/>
      <c r="Z19686" s="258"/>
    </row>
    <row r="19687" spans="1:26" ht="12.75" customHeight="1" x14ac:dyDescent="0.2">
      <c r="A19687" s="258"/>
      <c r="Z19687" s="258"/>
    </row>
    <row r="19688" spans="1:26" ht="12.75" customHeight="1" x14ac:dyDescent="0.2">
      <c r="A19688" s="258"/>
      <c r="Z19688" s="258"/>
    </row>
    <row r="19689" spans="1:26" ht="12.75" customHeight="1" x14ac:dyDescent="0.2">
      <c r="A19689" s="258"/>
      <c r="Z19689" s="258"/>
    </row>
    <row r="19690" spans="1:26" ht="12.75" customHeight="1" x14ac:dyDescent="0.2">
      <c r="A19690" s="258"/>
      <c r="Z19690" s="258"/>
    </row>
    <row r="19691" spans="1:26" ht="12.75" customHeight="1" x14ac:dyDescent="0.2">
      <c r="A19691" s="258"/>
      <c r="Z19691" s="258"/>
    </row>
    <row r="19692" spans="1:26" ht="12.75" customHeight="1" x14ac:dyDescent="0.2">
      <c r="A19692" s="258"/>
      <c r="Z19692" s="258"/>
    </row>
    <row r="19693" spans="1:26" ht="12.75" customHeight="1" x14ac:dyDescent="0.2">
      <c r="A19693" s="258"/>
      <c r="Z19693" s="258"/>
    </row>
    <row r="19694" spans="1:26" ht="12.75" customHeight="1" x14ac:dyDescent="0.2">
      <c r="A19694" s="258"/>
      <c r="Z19694" s="258"/>
    </row>
    <row r="19695" spans="1:26" ht="12.75" customHeight="1" x14ac:dyDescent="0.2">
      <c r="A19695" s="258"/>
      <c r="Z19695" s="258"/>
    </row>
    <row r="19696" spans="1:26" ht="12.75" customHeight="1" x14ac:dyDescent="0.2">
      <c r="A19696" s="258"/>
      <c r="Z19696" s="258"/>
    </row>
    <row r="19697" spans="1:26" ht="12.75" customHeight="1" x14ac:dyDescent="0.2">
      <c r="A19697" s="258"/>
      <c r="Z19697" s="258"/>
    </row>
    <row r="19698" spans="1:26" ht="12.75" customHeight="1" x14ac:dyDescent="0.2">
      <c r="A19698" s="258"/>
      <c r="Z19698" s="258"/>
    </row>
    <row r="19699" spans="1:26" ht="12.75" customHeight="1" x14ac:dyDescent="0.2">
      <c r="A19699" s="258"/>
      <c r="Z19699" s="258"/>
    </row>
    <row r="19700" spans="1:26" ht="12.75" customHeight="1" x14ac:dyDescent="0.2">
      <c r="A19700" s="258"/>
      <c r="Z19700" s="258"/>
    </row>
    <row r="19701" spans="1:26" ht="12.75" customHeight="1" x14ac:dyDescent="0.2">
      <c r="A19701" s="258"/>
      <c r="Z19701" s="258"/>
    </row>
    <row r="19702" spans="1:26" ht="12.75" customHeight="1" x14ac:dyDescent="0.2">
      <c r="A19702" s="258"/>
      <c r="Z19702" s="258"/>
    </row>
    <row r="19703" spans="1:26" ht="12.75" customHeight="1" x14ac:dyDescent="0.2">
      <c r="A19703" s="258"/>
      <c r="Z19703" s="258"/>
    </row>
    <row r="19704" spans="1:26" ht="12.75" customHeight="1" x14ac:dyDescent="0.2">
      <c r="A19704" s="258"/>
      <c r="Z19704" s="258"/>
    </row>
    <row r="19705" spans="1:26" ht="12.75" customHeight="1" x14ac:dyDescent="0.2">
      <c r="A19705" s="258"/>
      <c r="Z19705" s="258"/>
    </row>
    <row r="19706" spans="1:26" ht="12.75" customHeight="1" x14ac:dyDescent="0.2">
      <c r="A19706" s="258"/>
      <c r="Z19706" s="258"/>
    </row>
    <row r="19707" spans="1:26" ht="12.75" customHeight="1" x14ac:dyDescent="0.2">
      <c r="A19707" s="258"/>
      <c r="Z19707" s="258"/>
    </row>
    <row r="19708" spans="1:26" ht="12.75" customHeight="1" x14ac:dyDescent="0.2">
      <c r="A19708" s="258"/>
      <c r="Z19708" s="258"/>
    </row>
    <row r="19709" spans="1:26" ht="12.75" customHeight="1" x14ac:dyDescent="0.2">
      <c r="A19709" s="258"/>
      <c r="Z19709" s="258"/>
    </row>
    <row r="19710" spans="1:26" ht="12.75" customHeight="1" x14ac:dyDescent="0.2">
      <c r="A19710" s="258"/>
      <c r="Z19710" s="258"/>
    </row>
    <row r="19711" spans="1:26" ht="12.75" customHeight="1" x14ac:dyDescent="0.2">
      <c r="A19711" s="258"/>
      <c r="Z19711" s="258"/>
    </row>
    <row r="19712" spans="1:26" ht="12.75" customHeight="1" x14ac:dyDescent="0.2">
      <c r="A19712" s="258"/>
      <c r="Z19712" s="258"/>
    </row>
    <row r="19713" spans="1:26" ht="12.75" customHeight="1" x14ac:dyDescent="0.2">
      <c r="A19713" s="258"/>
      <c r="Z19713" s="258"/>
    </row>
    <row r="19714" spans="1:26" ht="12.75" customHeight="1" x14ac:dyDescent="0.2">
      <c r="A19714" s="258"/>
      <c r="Z19714" s="258"/>
    </row>
    <row r="19715" spans="1:26" ht="12.75" customHeight="1" x14ac:dyDescent="0.2">
      <c r="A19715" s="258"/>
      <c r="Z19715" s="258"/>
    </row>
    <row r="19716" spans="1:26" ht="12.75" customHeight="1" x14ac:dyDescent="0.2">
      <c r="A19716" s="258"/>
      <c r="Z19716" s="258"/>
    </row>
    <row r="19717" spans="1:26" ht="12.75" customHeight="1" x14ac:dyDescent="0.2">
      <c r="A19717" s="258"/>
      <c r="Z19717" s="258"/>
    </row>
    <row r="19718" spans="1:26" ht="12.75" customHeight="1" x14ac:dyDescent="0.2">
      <c r="A19718" s="258"/>
      <c r="Z19718" s="258"/>
    </row>
    <row r="19719" spans="1:26" ht="12.75" customHeight="1" x14ac:dyDescent="0.2">
      <c r="A19719" s="258"/>
      <c r="Z19719" s="258"/>
    </row>
    <row r="19720" spans="1:26" ht="12.75" customHeight="1" x14ac:dyDescent="0.2">
      <c r="A19720" s="258"/>
      <c r="Z19720" s="258"/>
    </row>
    <row r="19721" spans="1:26" ht="12.75" customHeight="1" x14ac:dyDescent="0.2">
      <c r="A19721" s="258"/>
      <c r="Z19721" s="258"/>
    </row>
    <row r="19722" spans="1:26" ht="12.75" customHeight="1" x14ac:dyDescent="0.2">
      <c r="A19722" s="258"/>
      <c r="Z19722" s="258"/>
    </row>
    <row r="19723" spans="1:26" ht="12.75" customHeight="1" x14ac:dyDescent="0.2">
      <c r="A19723" s="258"/>
      <c r="Z19723" s="258"/>
    </row>
    <row r="19724" spans="1:26" ht="12.75" customHeight="1" x14ac:dyDescent="0.2">
      <c r="A19724" s="258"/>
      <c r="Z19724" s="258"/>
    </row>
    <row r="19725" spans="1:26" ht="12.75" customHeight="1" x14ac:dyDescent="0.2">
      <c r="A19725" s="258"/>
      <c r="Z19725" s="258"/>
    </row>
    <row r="19726" spans="1:26" ht="12.75" customHeight="1" x14ac:dyDescent="0.2">
      <c r="A19726" s="258"/>
      <c r="Z19726" s="258"/>
    </row>
    <row r="19727" spans="1:26" ht="12.75" customHeight="1" x14ac:dyDescent="0.2">
      <c r="A19727" s="258"/>
      <c r="Z19727" s="258"/>
    </row>
    <row r="19728" spans="1:26" ht="12.75" customHeight="1" x14ac:dyDescent="0.2">
      <c r="A19728" s="258"/>
      <c r="Z19728" s="258"/>
    </row>
    <row r="19729" spans="1:26" ht="12.75" customHeight="1" x14ac:dyDescent="0.2">
      <c r="A19729" s="258"/>
      <c r="Z19729" s="258"/>
    </row>
    <row r="19730" spans="1:26" ht="12.75" customHeight="1" x14ac:dyDescent="0.2">
      <c r="A19730" s="258"/>
      <c r="Z19730" s="258"/>
    </row>
    <row r="19731" spans="1:26" ht="12.75" customHeight="1" x14ac:dyDescent="0.2">
      <c r="A19731" s="258"/>
      <c r="Z19731" s="258"/>
    </row>
    <row r="19732" spans="1:26" ht="12.75" customHeight="1" x14ac:dyDescent="0.2">
      <c r="A19732" s="258"/>
      <c r="Z19732" s="258"/>
    </row>
    <row r="19733" spans="1:26" ht="12.75" customHeight="1" x14ac:dyDescent="0.2">
      <c r="A19733" s="258"/>
      <c r="Z19733" s="258"/>
    </row>
    <row r="19734" spans="1:26" ht="12.75" customHeight="1" x14ac:dyDescent="0.2">
      <c r="A19734" s="258"/>
      <c r="Z19734" s="258"/>
    </row>
    <row r="19735" spans="1:26" ht="12.75" customHeight="1" x14ac:dyDescent="0.2">
      <c r="A19735" s="258"/>
      <c r="Z19735" s="258"/>
    </row>
    <row r="19736" spans="1:26" ht="12.75" customHeight="1" x14ac:dyDescent="0.2">
      <c r="A19736" s="258"/>
      <c r="Z19736" s="258"/>
    </row>
    <row r="19737" spans="1:26" ht="12.75" customHeight="1" x14ac:dyDescent="0.2">
      <c r="A19737" s="258"/>
      <c r="Z19737" s="258"/>
    </row>
    <row r="19738" spans="1:26" ht="12.75" customHeight="1" x14ac:dyDescent="0.2">
      <c r="A19738" s="258"/>
      <c r="Z19738" s="258"/>
    </row>
    <row r="19739" spans="1:26" ht="12.75" customHeight="1" x14ac:dyDescent="0.2">
      <c r="A19739" s="258"/>
      <c r="Z19739" s="258"/>
    </row>
    <row r="19740" spans="1:26" ht="12.75" customHeight="1" x14ac:dyDescent="0.2">
      <c r="A19740" s="258"/>
      <c r="Z19740" s="258"/>
    </row>
    <row r="19741" spans="1:26" ht="12.75" customHeight="1" x14ac:dyDescent="0.2">
      <c r="A19741" s="258"/>
      <c r="Z19741" s="258"/>
    </row>
    <row r="19742" spans="1:26" ht="12.75" customHeight="1" x14ac:dyDescent="0.2">
      <c r="A19742" s="258"/>
      <c r="Z19742" s="258"/>
    </row>
    <row r="19743" spans="1:26" ht="12.75" customHeight="1" x14ac:dyDescent="0.2">
      <c r="A19743" s="258"/>
      <c r="Z19743" s="258"/>
    </row>
    <row r="19744" spans="1:26" ht="12.75" customHeight="1" x14ac:dyDescent="0.2">
      <c r="A19744" s="258"/>
      <c r="Z19744" s="258"/>
    </row>
    <row r="19745" spans="1:26" ht="12.75" customHeight="1" x14ac:dyDescent="0.2">
      <c r="A19745" s="258"/>
      <c r="Z19745" s="258"/>
    </row>
    <row r="19746" spans="1:26" ht="12.75" customHeight="1" x14ac:dyDescent="0.2">
      <c r="A19746" s="258"/>
      <c r="Z19746" s="258"/>
    </row>
    <row r="19747" spans="1:26" ht="12.75" customHeight="1" x14ac:dyDescent="0.2">
      <c r="A19747" s="258"/>
      <c r="Z19747" s="258"/>
    </row>
    <row r="19748" spans="1:26" ht="12.75" customHeight="1" x14ac:dyDescent="0.2">
      <c r="A19748" s="258"/>
      <c r="Z19748" s="258"/>
    </row>
    <row r="19749" spans="1:26" ht="12.75" customHeight="1" x14ac:dyDescent="0.2">
      <c r="A19749" s="258"/>
      <c r="Z19749" s="258"/>
    </row>
    <row r="19750" spans="1:26" ht="12.75" customHeight="1" x14ac:dyDescent="0.2">
      <c r="A19750" s="258"/>
      <c r="Z19750" s="258"/>
    </row>
    <row r="19751" spans="1:26" ht="12.75" customHeight="1" x14ac:dyDescent="0.2">
      <c r="A19751" s="258"/>
      <c r="Z19751" s="258"/>
    </row>
    <row r="19752" spans="1:26" ht="12.75" customHeight="1" x14ac:dyDescent="0.2">
      <c r="A19752" s="258"/>
      <c r="Z19752" s="258"/>
    </row>
    <row r="19753" spans="1:26" ht="12.75" customHeight="1" x14ac:dyDescent="0.2">
      <c r="A19753" s="258"/>
      <c r="Z19753" s="258"/>
    </row>
    <row r="19754" spans="1:26" ht="12.75" customHeight="1" x14ac:dyDescent="0.2">
      <c r="A19754" s="258"/>
      <c r="Z19754" s="258"/>
    </row>
    <row r="19755" spans="1:26" ht="12.75" customHeight="1" x14ac:dyDescent="0.2">
      <c r="A19755" s="258"/>
      <c r="Z19755" s="258"/>
    </row>
    <row r="19756" spans="1:26" ht="12.75" customHeight="1" x14ac:dyDescent="0.2">
      <c r="A19756" s="258"/>
      <c r="Z19756" s="258"/>
    </row>
    <row r="19757" spans="1:26" ht="12.75" customHeight="1" x14ac:dyDescent="0.2">
      <c r="A19757" s="258"/>
      <c r="Z19757" s="258"/>
    </row>
    <row r="19758" spans="1:26" ht="12.75" customHeight="1" x14ac:dyDescent="0.2">
      <c r="A19758" s="258"/>
      <c r="Z19758" s="258"/>
    </row>
    <row r="19759" spans="1:26" ht="12.75" customHeight="1" x14ac:dyDescent="0.2">
      <c r="A19759" s="258"/>
      <c r="Z19759" s="258"/>
    </row>
    <row r="19760" spans="1:26" ht="12.75" customHeight="1" x14ac:dyDescent="0.2">
      <c r="A19760" s="258"/>
      <c r="Z19760" s="258"/>
    </row>
    <row r="19761" spans="1:26" ht="12.75" customHeight="1" x14ac:dyDescent="0.2">
      <c r="A19761" s="258"/>
      <c r="Z19761" s="258"/>
    </row>
    <row r="19762" spans="1:26" ht="12.75" customHeight="1" x14ac:dyDescent="0.2">
      <c r="A19762" s="258"/>
      <c r="Z19762" s="258"/>
    </row>
    <row r="19763" spans="1:26" ht="12.75" customHeight="1" x14ac:dyDescent="0.2">
      <c r="A19763" s="258"/>
      <c r="Z19763" s="258"/>
    </row>
    <row r="19764" spans="1:26" ht="12.75" customHeight="1" x14ac:dyDescent="0.2">
      <c r="A19764" s="258"/>
      <c r="Z19764" s="258"/>
    </row>
    <row r="19765" spans="1:26" ht="12.75" customHeight="1" x14ac:dyDescent="0.2">
      <c r="A19765" s="258"/>
      <c r="Z19765" s="258"/>
    </row>
    <row r="19766" spans="1:26" ht="12.75" customHeight="1" x14ac:dyDescent="0.2">
      <c r="A19766" s="258"/>
      <c r="Z19766" s="258"/>
    </row>
    <row r="19767" spans="1:26" ht="12.75" customHeight="1" x14ac:dyDescent="0.2">
      <c r="A19767" s="258"/>
      <c r="Z19767" s="258"/>
    </row>
    <row r="19768" spans="1:26" ht="12.75" customHeight="1" x14ac:dyDescent="0.2">
      <c r="A19768" s="258"/>
      <c r="Z19768" s="258"/>
    </row>
    <row r="19769" spans="1:26" ht="12.75" customHeight="1" x14ac:dyDescent="0.2">
      <c r="A19769" s="258"/>
      <c r="Z19769" s="258"/>
    </row>
    <row r="19770" spans="1:26" ht="12.75" customHeight="1" x14ac:dyDescent="0.2">
      <c r="A19770" s="258"/>
      <c r="Z19770" s="258"/>
    </row>
    <row r="19771" spans="1:26" ht="12.75" customHeight="1" x14ac:dyDescent="0.2">
      <c r="A19771" s="258"/>
      <c r="Z19771" s="258"/>
    </row>
    <row r="19772" spans="1:26" ht="12.75" customHeight="1" x14ac:dyDescent="0.2">
      <c r="A19772" s="258"/>
      <c r="Z19772" s="258"/>
    </row>
    <row r="19773" spans="1:26" ht="12.75" customHeight="1" x14ac:dyDescent="0.2">
      <c r="A19773" s="258"/>
      <c r="Z19773" s="258"/>
    </row>
    <row r="19774" spans="1:26" ht="12.75" customHeight="1" x14ac:dyDescent="0.2">
      <c r="A19774" s="258"/>
      <c r="Z19774" s="258"/>
    </row>
    <row r="19775" spans="1:26" ht="12.75" customHeight="1" x14ac:dyDescent="0.2">
      <c r="A19775" s="258"/>
      <c r="Z19775" s="258"/>
    </row>
    <row r="19776" spans="1:26" ht="12.75" customHeight="1" x14ac:dyDescent="0.2">
      <c r="A19776" s="258"/>
      <c r="Z19776" s="258"/>
    </row>
    <row r="19777" spans="1:26" ht="12.75" customHeight="1" x14ac:dyDescent="0.2">
      <c r="A19777" s="258"/>
      <c r="Z19777" s="258"/>
    </row>
    <row r="19778" spans="1:26" ht="12.75" customHeight="1" x14ac:dyDescent="0.2">
      <c r="A19778" s="258"/>
      <c r="Z19778" s="258"/>
    </row>
    <row r="19779" spans="1:26" ht="12.75" customHeight="1" x14ac:dyDescent="0.2">
      <c r="A19779" s="258"/>
      <c r="Z19779" s="258"/>
    </row>
    <row r="19780" spans="1:26" ht="12.75" customHeight="1" x14ac:dyDescent="0.2">
      <c r="A19780" s="258"/>
      <c r="Z19780" s="258"/>
    </row>
    <row r="19781" spans="1:26" ht="12.75" customHeight="1" x14ac:dyDescent="0.2">
      <c r="A19781" s="258"/>
      <c r="Z19781" s="258"/>
    </row>
    <row r="19782" spans="1:26" ht="12.75" customHeight="1" x14ac:dyDescent="0.2">
      <c r="A19782" s="258"/>
      <c r="Z19782" s="258"/>
    </row>
    <row r="19783" spans="1:26" ht="12.75" customHeight="1" x14ac:dyDescent="0.2">
      <c r="A19783" s="258"/>
      <c r="Z19783" s="258"/>
    </row>
    <row r="19784" spans="1:26" ht="12.75" customHeight="1" x14ac:dyDescent="0.2">
      <c r="A19784" s="258"/>
      <c r="Z19784" s="258"/>
    </row>
    <row r="19785" spans="1:26" ht="12.75" customHeight="1" x14ac:dyDescent="0.2">
      <c r="A19785" s="258"/>
      <c r="Z19785" s="258"/>
    </row>
    <row r="19786" spans="1:26" ht="12.75" customHeight="1" x14ac:dyDescent="0.2">
      <c r="A19786" s="258"/>
      <c r="Z19786" s="258"/>
    </row>
    <row r="19787" spans="1:26" ht="12.75" customHeight="1" x14ac:dyDescent="0.2">
      <c r="A19787" s="258"/>
      <c r="Z19787" s="258"/>
    </row>
    <row r="19788" spans="1:26" ht="12.75" customHeight="1" x14ac:dyDescent="0.2">
      <c r="A19788" s="258"/>
      <c r="Z19788" s="258"/>
    </row>
    <row r="19789" spans="1:26" ht="12.75" customHeight="1" x14ac:dyDescent="0.2">
      <c r="A19789" s="258"/>
      <c r="Z19789" s="258"/>
    </row>
    <row r="19790" spans="1:26" ht="12.75" customHeight="1" x14ac:dyDescent="0.2">
      <c r="A19790" s="258"/>
      <c r="Z19790" s="258"/>
    </row>
    <row r="19791" spans="1:26" ht="12.75" customHeight="1" x14ac:dyDescent="0.2">
      <c r="A19791" s="258"/>
      <c r="Z19791" s="258"/>
    </row>
    <row r="19792" spans="1:26" ht="12.75" customHeight="1" x14ac:dyDescent="0.2">
      <c r="A19792" s="258"/>
      <c r="Z19792" s="258"/>
    </row>
    <row r="19793" spans="1:26" ht="12.75" customHeight="1" x14ac:dyDescent="0.2">
      <c r="A19793" s="258"/>
      <c r="Z19793" s="258"/>
    </row>
    <row r="19794" spans="1:26" ht="12.75" customHeight="1" x14ac:dyDescent="0.2">
      <c r="A19794" s="258"/>
      <c r="Z19794" s="258"/>
    </row>
    <row r="19795" spans="1:26" ht="12.75" customHeight="1" x14ac:dyDescent="0.2">
      <c r="A19795" s="258"/>
      <c r="Z19795" s="258"/>
    </row>
    <row r="19796" spans="1:26" ht="12.75" customHeight="1" x14ac:dyDescent="0.2">
      <c r="A19796" s="258"/>
      <c r="Z19796" s="258"/>
    </row>
    <row r="19797" spans="1:26" ht="12.75" customHeight="1" x14ac:dyDescent="0.2">
      <c r="A19797" s="258"/>
      <c r="Z19797" s="258"/>
    </row>
    <row r="19798" spans="1:26" ht="12.75" customHeight="1" x14ac:dyDescent="0.2">
      <c r="A19798" s="258"/>
      <c r="Z19798" s="258"/>
    </row>
    <row r="19799" spans="1:26" ht="12.75" customHeight="1" x14ac:dyDescent="0.2">
      <c r="A19799" s="258"/>
      <c r="Z19799" s="258"/>
    </row>
    <row r="19800" spans="1:26" ht="12.75" customHeight="1" x14ac:dyDescent="0.2">
      <c r="A19800" s="258"/>
      <c r="Z19800" s="258"/>
    </row>
    <row r="19801" spans="1:26" ht="12.75" customHeight="1" x14ac:dyDescent="0.2">
      <c r="A19801" s="258"/>
      <c r="Z19801" s="258"/>
    </row>
    <row r="19802" spans="1:26" ht="12.75" customHeight="1" x14ac:dyDescent="0.2">
      <c r="A19802" s="258"/>
      <c r="Z19802" s="258"/>
    </row>
    <row r="19803" spans="1:26" ht="12.75" customHeight="1" x14ac:dyDescent="0.2">
      <c r="A19803" s="258"/>
      <c r="Z19803" s="258"/>
    </row>
    <row r="19804" spans="1:26" ht="12.75" customHeight="1" x14ac:dyDescent="0.2">
      <c r="A19804" s="258"/>
      <c r="Z19804" s="258"/>
    </row>
    <row r="19805" spans="1:26" ht="12.75" customHeight="1" x14ac:dyDescent="0.2">
      <c r="A19805" s="258"/>
      <c r="Z19805" s="258"/>
    </row>
    <row r="19806" spans="1:26" ht="12.75" customHeight="1" x14ac:dyDescent="0.2">
      <c r="A19806" s="258"/>
      <c r="Z19806" s="258"/>
    </row>
    <row r="19807" spans="1:26" ht="12.75" customHeight="1" x14ac:dyDescent="0.2">
      <c r="A19807" s="258"/>
      <c r="Z19807" s="258"/>
    </row>
    <row r="19808" spans="1:26" ht="12.75" customHeight="1" x14ac:dyDescent="0.2">
      <c r="A19808" s="258"/>
      <c r="Z19808" s="258"/>
    </row>
    <row r="19809" spans="1:26" ht="12.75" customHeight="1" x14ac:dyDescent="0.2">
      <c r="A19809" s="258"/>
      <c r="Z19809" s="258"/>
    </row>
    <row r="19810" spans="1:26" ht="12.75" customHeight="1" x14ac:dyDescent="0.2">
      <c r="A19810" s="258"/>
      <c r="Z19810" s="258"/>
    </row>
    <row r="19811" spans="1:26" ht="12.75" customHeight="1" x14ac:dyDescent="0.2">
      <c r="A19811" s="258"/>
      <c r="Z19811" s="258"/>
    </row>
    <row r="19812" spans="1:26" ht="12.75" customHeight="1" x14ac:dyDescent="0.2">
      <c r="A19812" s="258"/>
      <c r="Z19812" s="258"/>
    </row>
    <row r="19813" spans="1:26" ht="12.75" customHeight="1" x14ac:dyDescent="0.2">
      <c r="A19813" s="258"/>
      <c r="Z19813" s="258"/>
    </row>
    <row r="19814" spans="1:26" ht="12.75" customHeight="1" x14ac:dyDescent="0.2">
      <c r="A19814" s="258"/>
      <c r="Z19814" s="258"/>
    </row>
    <row r="19815" spans="1:26" ht="12.75" customHeight="1" x14ac:dyDescent="0.2">
      <c r="A19815" s="258"/>
      <c r="Z19815" s="258"/>
    </row>
    <row r="19816" spans="1:26" ht="12.75" customHeight="1" x14ac:dyDescent="0.2">
      <c r="A19816" s="258"/>
      <c r="Z19816" s="258"/>
    </row>
    <row r="19817" spans="1:26" ht="12.75" customHeight="1" x14ac:dyDescent="0.2">
      <c r="A19817" s="258"/>
      <c r="Z19817" s="258"/>
    </row>
    <row r="19818" spans="1:26" ht="12.75" customHeight="1" x14ac:dyDescent="0.2">
      <c r="A19818" s="258"/>
      <c r="Z19818" s="258"/>
    </row>
    <row r="19819" spans="1:26" ht="12.75" customHeight="1" x14ac:dyDescent="0.2">
      <c r="A19819" s="258"/>
      <c r="Z19819" s="258"/>
    </row>
    <row r="19820" spans="1:26" ht="12.75" customHeight="1" x14ac:dyDescent="0.2">
      <c r="A19820" s="258"/>
      <c r="Z19820" s="258"/>
    </row>
    <row r="19821" spans="1:26" ht="12.75" customHeight="1" x14ac:dyDescent="0.2">
      <c r="A19821" s="258"/>
      <c r="Z19821" s="258"/>
    </row>
    <row r="19822" spans="1:26" ht="12.75" customHeight="1" x14ac:dyDescent="0.2">
      <c r="A19822" s="258"/>
      <c r="Z19822" s="258"/>
    </row>
    <row r="19823" spans="1:26" ht="12.75" customHeight="1" x14ac:dyDescent="0.2">
      <c r="A19823" s="258"/>
      <c r="Z19823" s="258"/>
    </row>
    <row r="19824" spans="1:26" ht="12.75" customHeight="1" x14ac:dyDescent="0.2">
      <c r="A19824" s="258"/>
      <c r="Z19824" s="258"/>
    </row>
    <row r="19825" spans="1:26" ht="12.75" customHeight="1" x14ac:dyDescent="0.2">
      <c r="A19825" s="258"/>
      <c r="Z19825" s="258"/>
    </row>
    <row r="19826" spans="1:26" ht="12.75" customHeight="1" x14ac:dyDescent="0.2">
      <c r="A19826" s="258"/>
      <c r="Z19826" s="258"/>
    </row>
    <row r="19827" spans="1:26" ht="12.75" customHeight="1" x14ac:dyDescent="0.2">
      <c r="A19827" s="258"/>
      <c r="Z19827" s="258"/>
    </row>
    <row r="19828" spans="1:26" ht="12.75" customHeight="1" x14ac:dyDescent="0.2">
      <c r="A19828" s="258"/>
      <c r="Z19828" s="258"/>
    </row>
    <row r="19829" spans="1:26" ht="12.75" customHeight="1" x14ac:dyDescent="0.2">
      <c r="A19829" s="258"/>
      <c r="Z19829" s="258"/>
    </row>
    <row r="19830" spans="1:26" ht="12.75" customHeight="1" x14ac:dyDescent="0.2">
      <c r="A19830" s="258"/>
      <c r="Z19830" s="258"/>
    </row>
    <row r="19831" spans="1:26" ht="12.75" customHeight="1" x14ac:dyDescent="0.2">
      <c r="A19831" s="258"/>
      <c r="Z19831" s="258"/>
    </row>
    <row r="19832" spans="1:26" ht="12.75" customHeight="1" x14ac:dyDescent="0.2">
      <c r="A19832" s="258"/>
      <c r="Z19832" s="258"/>
    </row>
    <row r="19833" spans="1:26" ht="12.75" customHeight="1" x14ac:dyDescent="0.2">
      <c r="A19833" s="258"/>
      <c r="Z19833" s="258"/>
    </row>
    <row r="19834" spans="1:26" ht="12.75" customHeight="1" x14ac:dyDescent="0.2">
      <c r="A19834" s="258"/>
      <c r="Z19834" s="258"/>
    </row>
    <row r="19835" spans="1:26" ht="12.75" customHeight="1" x14ac:dyDescent="0.2">
      <c r="A19835" s="258"/>
      <c r="Z19835" s="258"/>
    </row>
    <row r="19836" spans="1:26" ht="12.75" customHeight="1" x14ac:dyDescent="0.2">
      <c r="A19836" s="258"/>
      <c r="Z19836" s="258"/>
    </row>
    <row r="19837" spans="1:26" ht="12.75" customHeight="1" x14ac:dyDescent="0.2">
      <c r="A19837" s="258"/>
      <c r="Z19837" s="258"/>
    </row>
    <row r="19838" spans="1:26" ht="12.75" customHeight="1" x14ac:dyDescent="0.2">
      <c r="A19838" s="258"/>
      <c r="Z19838" s="258"/>
    </row>
    <row r="19839" spans="1:26" ht="12.75" customHeight="1" x14ac:dyDescent="0.2">
      <c r="A19839" s="258"/>
      <c r="Z19839" s="258"/>
    </row>
    <row r="19840" spans="1:26" ht="12.75" customHeight="1" x14ac:dyDescent="0.2">
      <c r="A19840" s="258"/>
      <c r="Z19840" s="258"/>
    </row>
    <row r="19841" spans="1:26" ht="12.75" customHeight="1" x14ac:dyDescent="0.2">
      <c r="A19841" s="258"/>
      <c r="Z19841" s="258"/>
    </row>
    <row r="19842" spans="1:26" ht="12.75" customHeight="1" x14ac:dyDescent="0.2">
      <c r="A19842" s="258"/>
      <c r="Z19842" s="258"/>
    </row>
    <row r="19843" spans="1:26" ht="12.75" customHeight="1" x14ac:dyDescent="0.2">
      <c r="A19843" s="258"/>
      <c r="Z19843" s="258"/>
    </row>
    <row r="19844" spans="1:26" ht="12.75" customHeight="1" x14ac:dyDescent="0.2">
      <c r="A19844" s="258"/>
      <c r="Z19844" s="258"/>
    </row>
    <row r="19845" spans="1:26" ht="12.75" customHeight="1" x14ac:dyDescent="0.2">
      <c r="A19845" s="258"/>
      <c r="Z19845" s="258"/>
    </row>
    <row r="19846" spans="1:26" ht="12.75" customHeight="1" x14ac:dyDescent="0.2">
      <c r="A19846" s="258"/>
      <c r="Z19846" s="258"/>
    </row>
    <row r="19847" spans="1:26" ht="12.75" customHeight="1" x14ac:dyDescent="0.2">
      <c r="A19847" s="258"/>
      <c r="Z19847" s="258"/>
    </row>
    <row r="19848" spans="1:26" ht="12.75" customHeight="1" x14ac:dyDescent="0.2">
      <c r="A19848" s="258"/>
      <c r="Z19848" s="258"/>
    </row>
    <row r="19849" spans="1:26" ht="12.75" customHeight="1" x14ac:dyDescent="0.2">
      <c r="A19849" s="258"/>
      <c r="Z19849" s="258"/>
    </row>
    <row r="19850" spans="1:26" ht="12.75" customHeight="1" x14ac:dyDescent="0.2">
      <c r="A19850" s="258"/>
      <c r="Z19850" s="258"/>
    </row>
    <row r="19851" spans="1:26" ht="12.75" customHeight="1" x14ac:dyDescent="0.2">
      <c r="A19851" s="258"/>
      <c r="Z19851" s="258"/>
    </row>
    <row r="19852" spans="1:26" ht="12.75" customHeight="1" x14ac:dyDescent="0.2">
      <c r="A19852" s="258"/>
      <c r="Z19852" s="258"/>
    </row>
    <row r="19853" spans="1:26" ht="12.75" customHeight="1" x14ac:dyDescent="0.2">
      <c r="A19853" s="258"/>
      <c r="Z19853" s="258"/>
    </row>
    <row r="19854" spans="1:26" ht="12.75" customHeight="1" x14ac:dyDescent="0.2">
      <c r="A19854" s="258"/>
      <c r="Z19854" s="258"/>
    </row>
    <row r="19855" spans="1:26" ht="12.75" customHeight="1" x14ac:dyDescent="0.2">
      <c r="A19855" s="258"/>
      <c r="Z19855" s="258"/>
    </row>
    <row r="19856" spans="1:26" ht="12.75" customHeight="1" x14ac:dyDescent="0.2">
      <c r="A19856" s="258"/>
      <c r="Z19856" s="258"/>
    </row>
    <row r="19857" spans="1:26" ht="12.75" customHeight="1" x14ac:dyDescent="0.2">
      <c r="A19857" s="258"/>
      <c r="Z19857" s="258"/>
    </row>
    <row r="19858" spans="1:26" ht="12.75" customHeight="1" x14ac:dyDescent="0.2">
      <c r="A19858" s="258"/>
      <c r="Z19858" s="258"/>
    </row>
    <row r="19859" spans="1:26" ht="12.75" customHeight="1" x14ac:dyDescent="0.2">
      <c r="A19859" s="258"/>
      <c r="Z19859" s="258"/>
    </row>
    <row r="19860" spans="1:26" ht="12.75" customHeight="1" x14ac:dyDescent="0.2">
      <c r="A19860" s="258"/>
      <c r="Z19860" s="258"/>
    </row>
    <row r="19861" spans="1:26" ht="12.75" customHeight="1" x14ac:dyDescent="0.2">
      <c r="A19861" s="258"/>
      <c r="Z19861" s="258"/>
    </row>
    <row r="19862" spans="1:26" ht="12.75" customHeight="1" x14ac:dyDescent="0.2">
      <c r="A19862" s="258"/>
      <c r="Z19862" s="258"/>
    </row>
    <row r="19863" spans="1:26" ht="12.75" customHeight="1" x14ac:dyDescent="0.2">
      <c r="A19863" s="258"/>
      <c r="Z19863" s="258"/>
    </row>
    <row r="19864" spans="1:26" ht="12.75" customHeight="1" x14ac:dyDescent="0.2">
      <c r="A19864" s="258"/>
      <c r="Z19864" s="258"/>
    </row>
    <row r="19865" spans="1:26" ht="12.75" customHeight="1" x14ac:dyDescent="0.2">
      <c r="A19865" s="258"/>
      <c r="Z19865" s="258"/>
    </row>
    <row r="19866" spans="1:26" ht="12.75" customHeight="1" x14ac:dyDescent="0.2">
      <c r="A19866" s="258"/>
      <c r="Z19866" s="258"/>
    </row>
    <row r="19867" spans="1:26" ht="12.75" customHeight="1" x14ac:dyDescent="0.2">
      <c r="A19867" s="258"/>
      <c r="Z19867" s="258"/>
    </row>
    <row r="19868" spans="1:26" ht="12.75" customHeight="1" x14ac:dyDescent="0.2">
      <c r="A19868" s="258"/>
      <c r="Z19868" s="258"/>
    </row>
    <row r="19869" spans="1:26" ht="12.75" customHeight="1" x14ac:dyDescent="0.2">
      <c r="A19869" s="258"/>
      <c r="Z19869" s="258"/>
    </row>
    <row r="19870" spans="1:26" ht="12.75" customHeight="1" x14ac:dyDescent="0.2">
      <c r="A19870" s="258"/>
      <c r="Z19870" s="258"/>
    </row>
    <row r="19871" spans="1:26" ht="12.75" customHeight="1" x14ac:dyDescent="0.2">
      <c r="A19871" s="258"/>
      <c r="Z19871" s="258"/>
    </row>
    <row r="19872" spans="1:26" ht="12.75" customHeight="1" x14ac:dyDescent="0.2">
      <c r="A19872" s="258"/>
      <c r="Z19872" s="258"/>
    </row>
    <row r="19873" spans="1:26" ht="12.75" customHeight="1" x14ac:dyDescent="0.2">
      <c r="A19873" s="258"/>
      <c r="Z19873" s="258"/>
    </row>
    <row r="19874" spans="1:26" ht="12.75" customHeight="1" x14ac:dyDescent="0.2">
      <c r="A19874" s="258"/>
      <c r="Z19874" s="258"/>
    </row>
    <row r="19875" spans="1:26" ht="12.75" customHeight="1" x14ac:dyDescent="0.2">
      <c r="A19875" s="258"/>
      <c r="Z19875" s="258"/>
    </row>
    <row r="19876" spans="1:26" ht="12.75" customHeight="1" x14ac:dyDescent="0.2">
      <c r="A19876" s="258"/>
      <c r="Z19876" s="258"/>
    </row>
    <row r="19877" spans="1:26" ht="12.75" customHeight="1" x14ac:dyDescent="0.2">
      <c r="A19877" s="258"/>
      <c r="Z19877" s="258"/>
    </row>
    <row r="19878" spans="1:26" ht="12.75" customHeight="1" x14ac:dyDescent="0.2">
      <c r="A19878" s="258"/>
      <c r="Z19878" s="258"/>
    </row>
    <row r="19879" spans="1:26" ht="12.75" customHeight="1" x14ac:dyDescent="0.2">
      <c r="A19879" s="258"/>
      <c r="Z19879" s="258"/>
    </row>
    <row r="19880" spans="1:26" ht="12.75" customHeight="1" x14ac:dyDescent="0.2">
      <c r="A19880" s="258"/>
      <c r="Z19880" s="258"/>
    </row>
    <row r="19881" spans="1:26" ht="12.75" customHeight="1" x14ac:dyDescent="0.2">
      <c r="A19881" s="258"/>
      <c r="Z19881" s="258"/>
    </row>
    <row r="19882" spans="1:26" ht="12.75" customHeight="1" x14ac:dyDescent="0.2">
      <c r="A19882" s="258"/>
      <c r="Z19882" s="258"/>
    </row>
    <row r="19883" spans="1:26" ht="12.75" customHeight="1" x14ac:dyDescent="0.2">
      <c r="A19883" s="258"/>
      <c r="Z19883" s="258"/>
    </row>
    <row r="19884" spans="1:26" ht="12.75" customHeight="1" x14ac:dyDescent="0.2">
      <c r="A19884" s="258"/>
      <c r="Z19884" s="258"/>
    </row>
    <row r="19885" spans="1:26" ht="12.75" customHeight="1" x14ac:dyDescent="0.2">
      <c r="A19885" s="258"/>
      <c r="Z19885" s="258"/>
    </row>
    <row r="19886" spans="1:26" ht="12.75" customHeight="1" x14ac:dyDescent="0.2">
      <c r="A19886" s="258"/>
      <c r="Z19886" s="258"/>
    </row>
    <row r="19887" spans="1:26" ht="12.75" customHeight="1" x14ac:dyDescent="0.2">
      <c r="A19887" s="258"/>
      <c r="Z19887" s="258"/>
    </row>
    <row r="19888" spans="1:26" ht="12.75" customHeight="1" x14ac:dyDescent="0.2">
      <c r="A19888" s="258"/>
      <c r="Z19888" s="258"/>
    </row>
    <row r="19889" spans="1:26" ht="12.75" customHeight="1" x14ac:dyDescent="0.2">
      <c r="A19889" s="258"/>
      <c r="Z19889" s="258"/>
    </row>
    <row r="19890" spans="1:26" ht="12.75" customHeight="1" x14ac:dyDescent="0.2">
      <c r="A19890" s="258"/>
      <c r="Z19890" s="258"/>
    </row>
    <row r="19891" spans="1:26" ht="12.75" customHeight="1" x14ac:dyDescent="0.2">
      <c r="A19891" s="258"/>
      <c r="Z19891" s="258"/>
    </row>
    <row r="19892" spans="1:26" ht="12.75" customHeight="1" x14ac:dyDescent="0.2">
      <c r="A19892" s="258"/>
      <c r="Z19892" s="258"/>
    </row>
    <row r="19893" spans="1:26" ht="12.75" customHeight="1" x14ac:dyDescent="0.2">
      <c r="A19893" s="258"/>
      <c r="Z19893" s="258"/>
    </row>
    <row r="19894" spans="1:26" ht="12.75" customHeight="1" x14ac:dyDescent="0.2">
      <c r="A19894" s="258"/>
      <c r="Z19894" s="258"/>
    </row>
    <row r="19895" spans="1:26" ht="12.75" customHeight="1" x14ac:dyDescent="0.2">
      <c r="A19895" s="258"/>
      <c r="Z19895" s="258"/>
    </row>
    <row r="19896" spans="1:26" ht="12.75" customHeight="1" x14ac:dyDescent="0.2">
      <c r="A19896" s="258"/>
      <c r="Z19896" s="258"/>
    </row>
    <row r="19897" spans="1:26" ht="12.75" customHeight="1" x14ac:dyDescent="0.2">
      <c r="A19897" s="258"/>
      <c r="Z19897" s="258"/>
    </row>
    <row r="19898" spans="1:26" ht="12.75" customHeight="1" x14ac:dyDescent="0.2">
      <c r="A19898" s="258"/>
      <c r="Z19898" s="258"/>
    </row>
    <row r="19899" spans="1:26" ht="12.75" customHeight="1" x14ac:dyDescent="0.2">
      <c r="A19899" s="258"/>
      <c r="Z19899" s="258"/>
    </row>
    <row r="19900" spans="1:26" ht="12.75" customHeight="1" x14ac:dyDescent="0.2">
      <c r="A19900" s="258"/>
      <c r="Z19900" s="258"/>
    </row>
    <row r="19901" spans="1:26" ht="12.75" customHeight="1" x14ac:dyDescent="0.2">
      <c r="A19901" s="258"/>
      <c r="Z19901" s="258"/>
    </row>
    <row r="19902" spans="1:26" ht="12.75" customHeight="1" x14ac:dyDescent="0.2">
      <c r="A19902" s="258"/>
      <c r="Z19902" s="258"/>
    </row>
    <row r="19903" spans="1:26" ht="12.75" customHeight="1" x14ac:dyDescent="0.2">
      <c r="A19903" s="258"/>
      <c r="Z19903" s="258"/>
    </row>
    <row r="19904" spans="1:26" ht="12.75" customHeight="1" x14ac:dyDescent="0.2">
      <c r="A19904" s="258"/>
      <c r="Z19904" s="258"/>
    </row>
    <row r="19905" spans="1:26" ht="12.75" customHeight="1" x14ac:dyDescent="0.2">
      <c r="A19905" s="258"/>
      <c r="Z19905" s="258"/>
    </row>
    <row r="19906" spans="1:26" ht="12.75" customHeight="1" x14ac:dyDescent="0.2">
      <c r="A19906" s="258"/>
      <c r="Z19906" s="258"/>
    </row>
    <row r="19907" spans="1:26" ht="12.75" customHeight="1" x14ac:dyDescent="0.2">
      <c r="A19907" s="258"/>
      <c r="Z19907" s="258"/>
    </row>
    <row r="19908" spans="1:26" ht="12.75" customHeight="1" x14ac:dyDescent="0.2">
      <c r="A19908" s="258"/>
      <c r="Z19908" s="258"/>
    </row>
    <row r="19909" spans="1:26" ht="12.75" customHeight="1" x14ac:dyDescent="0.2">
      <c r="A19909" s="258"/>
      <c r="Z19909" s="258"/>
    </row>
    <row r="19910" spans="1:26" ht="12.75" customHeight="1" x14ac:dyDescent="0.2">
      <c r="A19910" s="258"/>
      <c r="Z19910" s="258"/>
    </row>
    <row r="19911" spans="1:26" ht="12.75" customHeight="1" x14ac:dyDescent="0.2">
      <c r="A19911" s="258"/>
      <c r="Z19911" s="258"/>
    </row>
    <row r="19912" spans="1:26" ht="12.75" customHeight="1" x14ac:dyDescent="0.2">
      <c r="A19912" s="258"/>
      <c r="Z19912" s="258"/>
    </row>
    <row r="19913" spans="1:26" ht="12.75" customHeight="1" x14ac:dyDescent="0.2">
      <c r="A19913" s="258"/>
      <c r="Z19913" s="258"/>
    </row>
    <row r="19914" spans="1:26" ht="12.75" customHeight="1" x14ac:dyDescent="0.2">
      <c r="A19914" s="258"/>
      <c r="Z19914" s="258"/>
    </row>
    <row r="19915" spans="1:26" ht="12.75" customHeight="1" x14ac:dyDescent="0.2">
      <c r="A19915" s="258"/>
      <c r="Z19915" s="258"/>
    </row>
    <row r="19916" spans="1:26" ht="12.75" customHeight="1" x14ac:dyDescent="0.2">
      <c r="A19916" s="258"/>
      <c r="Z19916" s="258"/>
    </row>
    <row r="19917" spans="1:26" ht="12.75" customHeight="1" x14ac:dyDescent="0.2">
      <c r="A19917" s="258"/>
      <c r="Z19917" s="258"/>
    </row>
    <row r="19918" spans="1:26" ht="12.75" customHeight="1" x14ac:dyDescent="0.2">
      <c r="A19918" s="258"/>
      <c r="Z19918" s="258"/>
    </row>
    <row r="19919" spans="1:26" ht="12.75" customHeight="1" x14ac:dyDescent="0.2">
      <c r="A19919" s="258"/>
      <c r="Z19919" s="258"/>
    </row>
    <row r="19920" spans="1:26" ht="12.75" customHeight="1" x14ac:dyDescent="0.2">
      <c r="A19920" s="258"/>
      <c r="Z19920" s="258"/>
    </row>
    <row r="19921" spans="1:26" ht="12.75" customHeight="1" x14ac:dyDescent="0.2">
      <c r="A19921" s="258"/>
      <c r="Z19921" s="258"/>
    </row>
    <row r="19922" spans="1:26" ht="12.75" customHeight="1" x14ac:dyDescent="0.2">
      <c r="A19922" s="258"/>
      <c r="Z19922" s="258"/>
    </row>
    <row r="19923" spans="1:26" ht="12.75" customHeight="1" x14ac:dyDescent="0.2">
      <c r="A19923" s="258"/>
      <c r="Z19923" s="258"/>
    </row>
    <row r="19924" spans="1:26" ht="12.75" customHeight="1" x14ac:dyDescent="0.2">
      <c r="A19924" s="258"/>
      <c r="Z19924" s="258"/>
    </row>
    <row r="19925" spans="1:26" ht="12.75" customHeight="1" x14ac:dyDescent="0.2">
      <c r="A19925" s="258"/>
      <c r="Z19925" s="258"/>
    </row>
    <row r="19926" spans="1:26" ht="12.75" customHeight="1" x14ac:dyDescent="0.2">
      <c r="A19926" s="258"/>
      <c r="Z19926" s="258"/>
    </row>
    <row r="19927" spans="1:26" ht="12.75" customHeight="1" x14ac:dyDescent="0.2">
      <c r="A19927" s="258"/>
      <c r="Z19927" s="258"/>
    </row>
    <row r="19928" spans="1:26" ht="12.75" customHeight="1" x14ac:dyDescent="0.2">
      <c r="A19928" s="258"/>
      <c r="Z19928" s="258"/>
    </row>
    <row r="19929" spans="1:26" ht="12.75" customHeight="1" x14ac:dyDescent="0.2">
      <c r="A19929" s="258"/>
      <c r="Z19929" s="258"/>
    </row>
    <row r="19930" spans="1:26" ht="12.75" customHeight="1" x14ac:dyDescent="0.2">
      <c r="A19930" s="258"/>
      <c r="Z19930" s="258"/>
    </row>
    <row r="19931" spans="1:26" ht="12.75" customHeight="1" x14ac:dyDescent="0.2">
      <c r="A19931" s="258"/>
      <c r="Z19931" s="258"/>
    </row>
    <row r="19932" spans="1:26" ht="12.75" customHeight="1" x14ac:dyDescent="0.2">
      <c r="A19932" s="258"/>
      <c r="Z19932" s="258"/>
    </row>
    <row r="19933" spans="1:26" ht="12.75" customHeight="1" x14ac:dyDescent="0.2">
      <c r="A19933" s="258"/>
      <c r="Z19933" s="258"/>
    </row>
    <row r="19934" spans="1:26" ht="12.75" customHeight="1" x14ac:dyDescent="0.2">
      <c r="A19934" s="258"/>
      <c r="Z19934" s="258"/>
    </row>
    <row r="19935" spans="1:26" ht="12.75" customHeight="1" x14ac:dyDescent="0.2">
      <c r="A19935" s="258"/>
      <c r="Z19935" s="258"/>
    </row>
    <row r="19936" spans="1:26" ht="12.75" customHeight="1" x14ac:dyDescent="0.2">
      <c r="A19936" s="258"/>
      <c r="Z19936" s="258"/>
    </row>
    <row r="19937" spans="1:26" ht="12.75" customHeight="1" x14ac:dyDescent="0.2">
      <c r="A19937" s="258"/>
      <c r="Z19937" s="258"/>
    </row>
    <row r="19938" spans="1:26" ht="12.75" customHeight="1" x14ac:dyDescent="0.2">
      <c r="A19938" s="258"/>
      <c r="Z19938" s="258"/>
    </row>
    <row r="19939" spans="1:26" ht="12.75" customHeight="1" x14ac:dyDescent="0.2">
      <c r="A19939" s="258"/>
      <c r="Z19939" s="258"/>
    </row>
    <row r="19940" spans="1:26" ht="12.75" customHeight="1" x14ac:dyDescent="0.2">
      <c r="A19940" s="258"/>
      <c r="Z19940" s="258"/>
    </row>
    <row r="19941" spans="1:26" ht="12.75" customHeight="1" x14ac:dyDescent="0.2">
      <c r="A19941" s="258"/>
      <c r="Z19941" s="258"/>
    </row>
    <row r="19942" spans="1:26" ht="12.75" customHeight="1" x14ac:dyDescent="0.2">
      <c r="A19942" s="258"/>
      <c r="Z19942" s="258"/>
    </row>
    <row r="19943" spans="1:26" ht="12.75" customHeight="1" x14ac:dyDescent="0.2">
      <c r="A19943" s="258"/>
      <c r="Z19943" s="258"/>
    </row>
    <row r="19944" spans="1:26" ht="12.75" customHeight="1" x14ac:dyDescent="0.2">
      <c r="A19944" s="258"/>
      <c r="Z19944" s="258"/>
    </row>
    <row r="19945" spans="1:26" ht="12.75" customHeight="1" x14ac:dyDescent="0.2">
      <c r="A19945" s="258"/>
      <c r="Z19945" s="258"/>
    </row>
    <row r="19946" spans="1:26" ht="12.75" customHeight="1" x14ac:dyDescent="0.2">
      <c r="A19946" s="258"/>
      <c r="Z19946" s="258"/>
    </row>
    <row r="19947" spans="1:26" ht="12.75" customHeight="1" x14ac:dyDescent="0.2">
      <c r="A19947" s="258"/>
      <c r="Z19947" s="258"/>
    </row>
    <row r="19948" spans="1:26" ht="12.75" customHeight="1" x14ac:dyDescent="0.2">
      <c r="A19948" s="258"/>
      <c r="Z19948" s="258"/>
    </row>
    <row r="19949" spans="1:26" ht="12.75" customHeight="1" x14ac:dyDescent="0.2">
      <c r="A19949" s="258"/>
      <c r="Z19949" s="258"/>
    </row>
    <row r="19950" spans="1:26" ht="12.75" customHeight="1" x14ac:dyDescent="0.2">
      <c r="A19950" s="258"/>
      <c r="Z19950" s="258"/>
    </row>
    <row r="19951" spans="1:26" ht="12.75" customHeight="1" x14ac:dyDescent="0.2">
      <c r="A19951" s="258"/>
      <c r="Z19951" s="258"/>
    </row>
    <row r="19952" spans="1:26" ht="12.75" customHeight="1" x14ac:dyDescent="0.2">
      <c r="A19952" s="258"/>
      <c r="Z19952" s="258"/>
    </row>
    <row r="19953" spans="1:26" ht="12.75" customHeight="1" x14ac:dyDescent="0.2">
      <c r="A19953" s="258"/>
      <c r="Z19953" s="258"/>
    </row>
    <row r="19954" spans="1:26" ht="12.75" customHeight="1" x14ac:dyDescent="0.2">
      <c r="A19954" s="258"/>
      <c r="Z19954" s="258"/>
    </row>
    <row r="19955" spans="1:26" ht="12.75" customHeight="1" x14ac:dyDescent="0.2">
      <c r="A19955" s="258"/>
      <c r="Z19955" s="258"/>
    </row>
    <row r="19956" spans="1:26" ht="12.75" customHeight="1" x14ac:dyDescent="0.2">
      <c r="A19956" s="258"/>
      <c r="Z19956" s="258"/>
    </row>
    <row r="19957" spans="1:26" ht="12.75" customHeight="1" x14ac:dyDescent="0.2">
      <c r="A19957" s="258"/>
      <c r="Z19957" s="258"/>
    </row>
    <row r="19958" spans="1:26" ht="12.75" customHeight="1" x14ac:dyDescent="0.2">
      <c r="A19958" s="258"/>
      <c r="Z19958" s="258"/>
    </row>
    <row r="19959" spans="1:26" ht="12.75" customHeight="1" x14ac:dyDescent="0.2">
      <c r="A19959" s="258"/>
      <c r="Z19959" s="258"/>
    </row>
    <row r="19960" spans="1:26" ht="12.75" customHeight="1" x14ac:dyDescent="0.2">
      <c r="A19960" s="258"/>
      <c r="Z19960" s="258"/>
    </row>
    <row r="19961" spans="1:26" ht="12.75" customHeight="1" x14ac:dyDescent="0.2">
      <c r="A19961" s="258"/>
      <c r="Z19961" s="258"/>
    </row>
    <row r="19962" spans="1:26" ht="12.75" customHeight="1" x14ac:dyDescent="0.2">
      <c r="A19962" s="258"/>
      <c r="Z19962" s="258"/>
    </row>
    <row r="19963" spans="1:26" ht="12.75" customHeight="1" x14ac:dyDescent="0.2">
      <c r="A19963" s="258"/>
      <c r="Z19963" s="258"/>
    </row>
    <row r="19964" spans="1:26" ht="12.75" customHeight="1" x14ac:dyDescent="0.2">
      <c r="A19964" s="258"/>
      <c r="Z19964" s="258"/>
    </row>
    <row r="19965" spans="1:26" ht="12.75" customHeight="1" x14ac:dyDescent="0.2">
      <c r="A19965" s="258"/>
      <c r="Z19965" s="258"/>
    </row>
    <row r="19966" spans="1:26" ht="12.75" customHeight="1" x14ac:dyDescent="0.2">
      <c r="A19966" s="258"/>
      <c r="Z19966" s="258"/>
    </row>
    <row r="19967" spans="1:26" ht="12.75" customHeight="1" x14ac:dyDescent="0.2">
      <c r="A19967" s="258"/>
      <c r="Z19967" s="258"/>
    </row>
    <row r="19968" spans="1:26" ht="12.75" customHeight="1" x14ac:dyDescent="0.2">
      <c r="A19968" s="258"/>
      <c r="Z19968" s="258"/>
    </row>
    <row r="19969" spans="1:26" ht="12.75" customHeight="1" x14ac:dyDescent="0.2">
      <c r="A19969" s="258"/>
      <c r="Z19969" s="258"/>
    </row>
    <row r="19970" spans="1:26" ht="12.75" customHeight="1" x14ac:dyDescent="0.2">
      <c r="A19970" s="258"/>
      <c r="Z19970" s="258"/>
    </row>
    <row r="19971" spans="1:26" ht="12.75" customHeight="1" x14ac:dyDescent="0.2">
      <c r="A19971" s="258"/>
      <c r="Z19971" s="258"/>
    </row>
    <row r="19972" spans="1:26" ht="12.75" customHeight="1" x14ac:dyDescent="0.2">
      <c r="A19972" s="258"/>
      <c r="Z19972" s="258"/>
    </row>
    <row r="19973" spans="1:26" ht="12.75" customHeight="1" x14ac:dyDescent="0.2">
      <c r="A19973" s="258"/>
      <c r="Z19973" s="258"/>
    </row>
    <row r="19974" spans="1:26" ht="12.75" customHeight="1" x14ac:dyDescent="0.2">
      <c r="A19974" s="258"/>
      <c r="Z19974" s="258"/>
    </row>
    <row r="19975" spans="1:26" ht="12.75" customHeight="1" x14ac:dyDescent="0.2">
      <c r="A19975" s="258"/>
      <c r="Z19975" s="258"/>
    </row>
    <row r="19976" spans="1:26" ht="12.75" customHeight="1" x14ac:dyDescent="0.2">
      <c r="A19976" s="258"/>
      <c r="Z19976" s="258"/>
    </row>
    <row r="19977" spans="1:26" ht="12.75" customHeight="1" x14ac:dyDescent="0.2">
      <c r="A19977" s="258"/>
      <c r="Z19977" s="258"/>
    </row>
    <row r="19978" spans="1:26" ht="12.75" customHeight="1" x14ac:dyDescent="0.2">
      <c r="A19978" s="258"/>
      <c r="Z19978" s="258"/>
    </row>
    <row r="19979" spans="1:26" ht="12.75" customHeight="1" x14ac:dyDescent="0.2">
      <c r="A19979" s="258"/>
      <c r="Z19979" s="258"/>
    </row>
    <row r="19980" spans="1:26" ht="12.75" customHeight="1" x14ac:dyDescent="0.2">
      <c r="A19980" s="258"/>
      <c r="Z19980" s="258"/>
    </row>
    <row r="19981" spans="1:26" ht="12.75" customHeight="1" x14ac:dyDescent="0.2">
      <c r="A19981" s="258"/>
      <c r="Z19981" s="258"/>
    </row>
    <row r="19982" spans="1:26" ht="12.75" customHeight="1" x14ac:dyDescent="0.2">
      <c r="A19982" s="258"/>
      <c r="Z19982" s="258"/>
    </row>
    <row r="19983" spans="1:26" ht="12.75" customHeight="1" x14ac:dyDescent="0.2">
      <c r="A19983" s="258"/>
      <c r="Z19983" s="258"/>
    </row>
    <row r="19984" spans="1:26" ht="12.75" customHeight="1" x14ac:dyDescent="0.2">
      <c r="A19984" s="258"/>
      <c r="Z19984" s="258"/>
    </row>
    <row r="19985" spans="1:26" ht="12.75" customHeight="1" x14ac:dyDescent="0.2">
      <c r="A19985" s="258"/>
      <c r="Z19985" s="258"/>
    </row>
    <row r="19986" spans="1:26" ht="12.75" customHeight="1" x14ac:dyDescent="0.2">
      <c r="A19986" s="258"/>
      <c r="Z19986" s="258"/>
    </row>
    <row r="19987" spans="1:26" ht="12.75" customHeight="1" x14ac:dyDescent="0.2">
      <c r="A19987" s="258"/>
      <c r="Z19987" s="258"/>
    </row>
    <row r="19988" spans="1:26" ht="12.75" customHeight="1" x14ac:dyDescent="0.2">
      <c r="A19988" s="258"/>
      <c r="Z19988" s="258"/>
    </row>
    <row r="19989" spans="1:26" ht="12.75" customHeight="1" x14ac:dyDescent="0.2">
      <c r="A19989" s="258"/>
      <c r="Z19989" s="258"/>
    </row>
    <row r="19990" spans="1:26" ht="12.75" customHeight="1" x14ac:dyDescent="0.2">
      <c r="A19990" s="258"/>
      <c r="Z19990" s="258"/>
    </row>
    <row r="19991" spans="1:26" ht="12.75" customHeight="1" x14ac:dyDescent="0.2">
      <c r="A19991" s="258"/>
      <c r="Z19991" s="258"/>
    </row>
    <row r="19992" spans="1:26" ht="12.75" customHeight="1" x14ac:dyDescent="0.2">
      <c r="A19992" s="258"/>
      <c r="Z19992" s="258"/>
    </row>
    <row r="19993" spans="1:26" ht="12.75" customHeight="1" x14ac:dyDescent="0.2">
      <c r="A19993" s="258"/>
      <c r="Z19993" s="258"/>
    </row>
    <row r="19994" spans="1:26" ht="12.75" customHeight="1" x14ac:dyDescent="0.2">
      <c r="A19994" s="258"/>
      <c r="Z19994" s="258"/>
    </row>
    <row r="19995" spans="1:26" ht="12.75" customHeight="1" x14ac:dyDescent="0.2">
      <c r="A19995" s="258"/>
      <c r="Z19995" s="258"/>
    </row>
    <row r="19996" spans="1:26" ht="12.75" customHeight="1" x14ac:dyDescent="0.2">
      <c r="A19996" s="258"/>
      <c r="Z19996" s="258"/>
    </row>
    <row r="19997" spans="1:26" ht="12.75" customHeight="1" x14ac:dyDescent="0.2">
      <c r="A19997" s="258"/>
      <c r="Z19997" s="258"/>
    </row>
    <row r="19998" spans="1:26" ht="12.75" customHeight="1" x14ac:dyDescent="0.2">
      <c r="A19998" s="258"/>
      <c r="Z19998" s="258"/>
    </row>
    <row r="19999" spans="1:26" ht="12.75" customHeight="1" x14ac:dyDescent="0.2">
      <c r="A19999" s="258"/>
      <c r="Z19999" s="258"/>
    </row>
    <row r="20000" spans="1:26" ht="12.75" customHeight="1" x14ac:dyDescent="0.2">
      <c r="A20000" s="258"/>
      <c r="Z20000" s="258"/>
    </row>
    <row r="20001" spans="1:26" ht="12.75" customHeight="1" x14ac:dyDescent="0.2">
      <c r="A20001" s="258"/>
      <c r="Z20001" s="258"/>
    </row>
    <row r="20002" spans="1:26" ht="12.75" customHeight="1" x14ac:dyDescent="0.2">
      <c r="A20002" s="258"/>
      <c r="Z20002" s="258"/>
    </row>
    <row r="20003" spans="1:26" ht="12.75" customHeight="1" x14ac:dyDescent="0.2">
      <c r="A20003" s="258"/>
      <c r="Z20003" s="258"/>
    </row>
    <row r="20004" spans="1:26" ht="12.75" customHeight="1" x14ac:dyDescent="0.2">
      <c r="A20004" s="258"/>
      <c r="Z20004" s="258"/>
    </row>
    <row r="20005" spans="1:26" ht="12.75" customHeight="1" x14ac:dyDescent="0.2">
      <c r="A20005" s="258"/>
      <c r="Z20005" s="258"/>
    </row>
    <row r="20006" spans="1:26" ht="12.75" customHeight="1" x14ac:dyDescent="0.2">
      <c r="A20006" s="258"/>
      <c r="Z20006" s="258"/>
    </row>
    <row r="20007" spans="1:26" ht="12.75" customHeight="1" x14ac:dyDescent="0.2">
      <c r="A20007" s="258"/>
      <c r="Z20007" s="258"/>
    </row>
    <row r="20008" spans="1:26" ht="12.75" customHeight="1" x14ac:dyDescent="0.2">
      <c r="A20008" s="258"/>
      <c r="Z20008" s="258"/>
    </row>
    <row r="20009" spans="1:26" ht="12.75" customHeight="1" x14ac:dyDescent="0.2">
      <c r="A20009" s="258"/>
      <c r="Z20009" s="258"/>
    </row>
    <row r="20010" spans="1:26" ht="12.75" customHeight="1" x14ac:dyDescent="0.2">
      <c r="A20010" s="258"/>
      <c r="Z20010" s="258"/>
    </row>
    <row r="20011" spans="1:26" ht="12.75" customHeight="1" x14ac:dyDescent="0.2">
      <c r="A20011" s="258"/>
      <c r="Z20011" s="258"/>
    </row>
    <row r="20012" spans="1:26" ht="12.75" customHeight="1" x14ac:dyDescent="0.2">
      <c r="A20012" s="258"/>
      <c r="Z20012" s="258"/>
    </row>
    <row r="20013" spans="1:26" ht="12.75" customHeight="1" x14ac:dyDescent="0.2">
      <c r="A20013" s="258"/>
      <c r="Z20013" s="258"/>
    </row>
    <row r="20014" spans="1:26" ht="12.75" customHeight="1" x14ac:dyDescent="0.2">
      <c r="A20014" s="258"/>
      <c r="Z20014" s="258"/>
    </row>
    <row r="20015" spans="1:26" ht="12.75" customHeight="1" x14ac:dyDescent="0.2">
      <c r="A20015" s="258"/>
      <c r="Z20015" s="258"/>
    </row>
    <row r="20016" spans="1:26" ht="12.75" customHeight="1" x14ac:dyDescent="0.2">
      <c r="A20016" s="258"/>
      <c r="Z20016" s="258"/>
    </row>
    <row r="20017" spans="1:26" ht="12.75" customHeight="1" x14ac:dyDescent="0.2">
      <c r="A20017" s="258"/>
      <c r="Z20017" s="258"/>
    </row>
    <row r="20018" spans="1:26" ht="12.75" customHeight="1" x14ac:dyDescent="0.2">
      <c r="A20018" s="258"/>
      <c r="Z20018" s="258"/>
    </row>
    <row r="20019" spans="1:26" ht="12.75" customHeight="1" x14ac:dyDescent="0.2">
      <c r="A20019" s="258"/>
      <c r="Z20019" s="258"/>
    </row>
    <row r="20020" spans="1:26" ht="12.75" customHeight="1" x14ac:dyDescent="0.2">
      <c r="A20020" s="258"/>
      <c r="Z20020" s="258"/>
    </row>
    <row r="20021" spans="1:26" ht="12.75" customHeight="1" x14ac:dyDescent="0.2">
      <c r="A20021" s="258"/>
      <c r="Z20021" s="258"/>
    </row>
    <row r="20022" spans="1:26" ht="12.75" customHeight="1" x14ac:dyDescent="0.2">
      <c r="A20022" s="258"/>
      <c r="Z20022" s="258"/>
    </row>
    <row r="20023" spans="1:26" ht="12.75" customHeight="1" x14ac:dyDescent="0.2">
      <c r="A20023" s="258"/>
      <c r="Z20023" s="258"/>
    </row>
    <row r="20024" spans="1:26" ht="12.75" customHeight="1" x14ac:dyDescent="0.2">
      <c r="A20024" s="258"/>
      <c r="Z20024" s="258"/>
    </row>
    <row r="20025" spans="1:26" ht="12.75" customHeight="1" x14ac:dyDescent="0.2">
      <c r="A20025" s="258"/>
      <c r="Z20025" s="258"/>
    </row>
    <row r="20026" spans="1:26" ht="12.75" customHeight="1" x14ac:dyDescent="0.2">
      <c r="A20026" s="258"/>
      <c r="Z20026" s="258"/>
    </row>
    <row r="20027" spans="1:26" ht="12.75" customHeight="1" x14ac:dyDescent="0.2">
      <c r="A20027" s="258"/>
      <c r="Z20027" s="258"/>
    </row>
    <row r="20028" spans="1:26" ht="12.75" customHeight="1" x14ac:dyDescent="0.2">
      <c r="A20028" s="258"/>
      <c r="Z20028" s="258"/>
    </row>
    <row r="20029" spans="1:26" ht="12.75" customHeight="1" x14ac:dyDescent="0.2">
      <c r="A20029" s="258"/>
      <c r="Z20029" s="258"/>
    </row>
    <row r="20030" spans="1:26" ht="12.75" customHeight="1" x14ac:dyDescent="0.2">
      <c r="A20030" s="258"/>
      <c r="Z20030" s="258"/>
    </row>
    <row r="20031" spans="1:26" ht="12.75" customHeight="1" x14ac:dyDescent="0.2">
      <c r="A20031" s="258"/>
      <c r="Z20031" s="258"/>
    </row>
    <row r="20032" spans="1:26" ht="12.75" customHeight="1" x14ac:dyDescent="0.2">
      <c r="A20032" s="258"/>
      <c r="Z20032" s="258"/>
    </row>
    <row r="20033" spans="1:26" ht="12.75" customHeight="1" x14ac:dyDescent="0.2">
      <c r="A20033" s="258"/>
      <c r="Z20033" s="258"/>
    </row>
    <row r="20034" spans="1:26" ht="12.75" customHeight="1" x14ac:dyDescent="0.2">
      <c r="A20034" s="258"/>
      <c r="Z20034" s="258"/>
    </row>
    <row r="20035" spans="1:26" ht="12.75" customHeight="1" x14ac:dyDescent="0.2">
      <c r="A20035" s="258"/>
      <c r="Z20035" s="258"/>
    </row>
    <row r="20036" spans="1:26" ht="12.75" customHeight="1" x14ac:dyDescent="0.2">
      <c r="A20036" s="258"/>
      <c r="Z20036" s="258"/>
    </row>
    <row r="20037" spans="1:26" ht="12.75" customHeight="1" x14ac:dyDescent="0.2">
      <c r="A20037" s="258"/>
      <c r="Z20037" s="258"/>
    </row>
    <row r="20038" spans="1:26" ht="12.75" customHeight="1" x14ac:dyDescent="0.2">
      <c r="A20038" s="258"/>
      <c r="Z20038" s="258"/>
    </row>
    <row r="20039" spans="1:26" ht="12.75" customHeight="1" x14ac:dyDescent="0.2">
      <c r="A20039" s="258"/>
      <c r="Z20039" s="258"/>
    </row>
    <row r="20040" spans="1:26" ht="12.75" customHeight="1" x14ac:dyDescent="0.2">
      <c r="A20040" s="258"/>
      <c r="Z20040" s="258"/>
    </row>
    <row r="20041" spans="1:26" ht="12.75" customHeight="1" x14ac:dyDescent="0.2">
      <c r="A20041" s="258"/>
      <c r="Z20041" s="258"/>
    </row>
    <row r="20042" spans="1:26" ht="12.75" customHeight="1" x14ac:dyDescent="0.2">
      <c r="A20042" s="258"/>
      <c r="Z20042" s="258"/>
    </row>
    <row r="20043" spans="1:26" ht="12.75" customHeight="1" x14ac:dyDescent="0.2">
      <c r="A20043" s="258"/>
      <c r="Z20043" s="258"/>
    </row>
    <row r="20044" spans="1:26" ht="12.75" customHeight="1" x14ac:dyDescent="0.2">
      <c r="A20044" s="258"/>
      <c r="Z20044" s="258"/>
    </row>
    <row r="20045" spans="1:26" ht="12.75" customHeight="1" x14ac:dyDescent="0.2">
      <c r="A20045" s="258"/>
      <c r="Z20045" s="258"/>
    </row>
    <row r="20046" spans="1:26" ht="12.75" customHeight="1" x14ac:dyDescent="0.2">
      <c r="A20046" s="258"/>
      <c r="Z20046" s="258"/>
    </row>
    <row r="20047" spans="1:26" ht="12.75" customHeight="1" x14ac:dyDescent="0.2">
      <c r="A20047" s="258"/>
      <c r="Z20047" s="258"/>
    </row>
    <row r="20048" spans="1:26" ht="12.75" customHeight="1" x14ac:dyDescent="0.2">
      <c r="A20048" s="258"/>
      <c r="Z20048" s="258"/>
    </row>
    <row r="20049" spans="1:26" ht="12.75" customHeight="1" x14ac:dyDescent="0.2">
      <c r="A20049" s="258"/>
      <c r="Z20049" s="258"/>
    </row>
    <row r="20050" spans="1:26" ht="12.75" customHeight="1" x14ac:dyDescent="0.2">
      <c r="A20050" s="258"/>
      <c r="Z20050" s="258"/>
    </row>
    <row r="20051" spans="1:26" ht="12.75" customHeight="1" x14ac:dyDescent="0.2">
      <c r="A20051" s="258"/>
      <c r="Z20051" s="258"/>
    </row>
    <row r="20052" spans="1:26" ht="12.75" customHeight="1" x14ac:dyDescent="0.2">
      <c r="A20052" s="258"/>
      <c r="Z20052" s="258"/>
    </row>
    <row r="20053" spans="1:26" ht="12.75" customHeight="1" x14ac:dyDescent="0.2">
      <c r="A20053" s="258"/>
      <c r="Z20053" s="258"/>
    </row>
    <row r="20054" spans="1:26" ht="12.75" customHeight="1" x14ac:dyDescent="0.2">
      <c r="A20054" s="258"/>
      <c r="Z20054" s="258"/>
    </row>
    <row r="20055" spans="1:26" ht="12.75" customHeight="1" x14ac:dyDescent="0.2">
      <c r="A20055" s="258"/>
      <c r="Z20055" s="258"/>
    </row>
    <row r="20056" spans="1:26" ht="12.75" customHeight="1" x14ac:dyDescent="0.2">
      <c r="A20056" s="258"/>
      <c r="Z20056" s="258"/>
    </row>
    <row r="20057" spans="1:26" ht="12.75" customHeight="1" x14ac:dyDescent="0.2">
      <c r="A20057" s="258"/>
      <c r="Z20057" s="258"/>
    </row>
    <row r="20058" spans="1:26" ht="12.75" customHeight="1" x14ac:dyDescent="0.2">
      <c r="A20058" s="258"/>
      <c r="Z20058" s="258"/>
    </row>
    <row r="20059" spans="1:26" ht="12.75" customHeight="1" x14ac:dyDescent="0.2">
      <c r="A20059" s="258"/>
      <c r="Z20059" s="258"/>
    </row>
    <row r="20060" spans="1:26" ht="12.75" customHeight="1" x14ac:dyDescent="0.2">
      <c r="A20060" s="258"/>
      <c r="Z20060" s="258"/>
    </row>
    <row r="20061" spans="1:26" ht="12.75" customHeight="1" x14ac:dyDescent="0.2">
      <c r="A20061" s="258"/>
      <c r="Z20061" s="258"/>
    </row>
    <row r="20062" spans="1:26" ht="12.75" customHeight="1" x14ac:dyDescent="0.2">
      <c r="A20062" s="258"/>
      <c r="Z20062" s="258"/>
    </row>
    <row r="20063" spans="1:26" ht="12.75" customHeight="1" x14ac:dyDescent="0.2">
      <c r="A20063" s="258"/>
      <c r="Z20063" s="258"/>
    </row>
    <row r="20064" spans="1:26" ht="12.75" customHeight="1" x14ac:dyDescent="0.2">
      <c r="A20064" s="258"/>
      <c r="Z20064" s="258"/>
    </row>
    <row r="20065" spans="1:26" ht="12.75" customHeight="1" x14ac:dyDescent="0.2">
      <c r="A20065" s="258"/>
      <c r="Z20065" s="258"/>
    </row>
    <row r="20066" spans="1:26" ht="12.75" customHeight="1" x14ac:dyDescent="0.2">
      <c r="A20066" s="258"/>
      <c r="Z20066" s="258"/>
    </row>
    <row r="20067" spans="1:26" ht="12.75" customHeight="1" x14ac:dyDescent="0.2">
      <c r="A20067" s="258"/>
      <c r="Z20067" s="258"/>
    </row>
    <row r="20068" spans="1:26" ht="12.75" customHeight="1" x14ac:dyDescent="0.2">
      <c r="A20068" s="258"/>
      <c r="Z20068" s="258"/>
    </row>
    <row r="20069" spans="1:26" ht="12.75" customHeight="1" x14ac:dyDescent="0.2">
      <c r="A20069" s="258"/>
      <c r="Z20069" s="258"/>
    </row>
    <row r="20070" spans="1:26" ht="12.75" customHeight="1" x14ac:dyDescent="0.2">
      <c r="A20070" s="258"/>
      <c r="Z20070" s="258"/>
    </row>
    <row r="20071" spans="1:26" ht="12.75" customHeight="1" x14ac:dyDescent="0.2">
      <c r="A20071" s="258"/>
      <c r="Z20071" s="258"/>
    </row>
    <row r="20072" spans="1:26" ht="12.75" customHeight="1" x14ac:dyDescent="0.2">
      <c r="A20072" s="258"/>
      <c r="Z20072" s="258"/>
    </row>
    <row r="20073" spans="1:26" ht="12.75" customHeight="1" x14ac:dyDescent="0.2">
      <c r="A20073" s="258"/>
      <c r="Z20073" s="258"/>
    </row>
    <row r="20074" spans="1:26" ht="12.75" customHeight="1" x14ac:dyDescent="0.2">
      <c r="A20074" s="258"/>
      <c r="Z20074" s="258"/>
    </row>
    <row r="20075" spans="1:26" ht="12.75" customHeight="1" x14ac:dyDescent="0.2">
      <c r="A20075" s="258"/>
      <c r="Z20075" s="258"/>
    </row>
    <row r="20076" spans="1:26" ht="12.75" customHeight="1" x14ac:dyDescent="0.2">
      <c r="A20076" s="258"/>
      <c r="Z20076" s="258"/>
    </row>
    <row r="20077" spans="1:26" ht="12.75" customHeight="1" x14ac:dyDescent="0.2">
      <c r="A20077" s="258"/>
      <c r="Z20077" s="258"/>
    </row>
    <row r="20078" spans="1:26" ht="12.75" customHeight="1" x14ac:dyDescent="0.2">
      <c r="A20078" s="258"/>
      <c r="Z20078" s="258"/>
    </row>
    <row r="20079" spans="1:26" ht="12.75" customHeight="1" x14ac:dyDescent="0.2">
      <c r="A20079" s="258"/>
      <c r="Z20079" s="258"/>
    </row>
    <row r="20080" spans="1:26" ht="12.75" customHeight="1" x14ac:dyDescent="0.2">
      <c r="A20080" s="258"/>
      <c r="Z20080" s="258"/>
    </row>
    <row r="20081" spans="1:26" ht="12.75" customHeight="1" x14ac:dyDescent="0.2">
      <c r="A20081" s="258"/>
      <c r="Z20081" s="258"/>
    </row>
    <row r="20082" spans="1:26" ht="12.75" customHeight="1" x14ac:dyDescent="0.2">
      <c r="A20082" s="258"/>
      <c r="Z20082" s="258"/>
    </row>
    <row r="20083" spans="1:26" ht="12.75" customHeight="1" x14ac:dyDescent="0.2">
      <c r="A20083" s="258"/>
      <c r="Z20083" s="258"/>
    </row>
    <row r="20084" spans="1:26" ht="12.75" customHeight="1" x14ac:dyDescent="0.2">
      <c r="A20084" s="258"/>
      <c r="Z20084" s="258"/>
    </row>
    <row r="20085" spans="1:26" ht="12.75" customHeight="1" x14ac:dyDescent="0.2">
      <c r="A20085" s="258"/>
      <c r="Z20085" s="258"/>
    </row>
    <row r="20086" spans="1:26" ht="12.75" customHeight="1" x14ac:dyDescent="0.2">
      <c r="A20086" s="258"/>
      <c r="Z20086" s="258"/>
    </row>
    <row r="20087" spans="1:26" ht="12.75" customHeight="1" x14ac:dyDescent="0.2">
      <c r="A20087" s="258"/>
      <c r="Z20087" s="258"/>
    </row>
    <row r="20088" spans="1:26" ht="12.75" customHeight="1" x14ac:dyDescent="0.2">
      <c r="A20088" s="258"/>
      <c r="Z20088" s="258"/>
    </row>
    <row r="20089" spans="1:26" ht="12.75" customHeight="1" x14ac:dyDescent="0.2">
      <c r="A20089" s="258"/>
      <c r="Z20089" s="258"/>
    </row>
    <row r="20090" spans="1:26" ht="12.75" customHeight="1" x14ac:dyDescent="0.2">
      <c r="A20090" s="258"/>
      <c r="Z20090" s="258"/>
    </row>
    <row r="20091" spans="1:26" ht="12.75" customHeight="1" x14ac:dyDescent="0.2">
      <c r="A20091" s="258"/>
      <c r="Z20091" s="258"/>
    </row>
    <row r="20092" spans="1:26" ht="12.75" customHeight="1" x14ac:dyDescent="0.2">
      <c r="A20092" s="258"/>
      <c r="Z20092" s="258"/>
    </row>
    <row r="20093" spans="1:26" ht="12.75" customHeight="1" x14ac:dyDescent="0.2">
      <c r="A20093" s="258"/>
      <c r="Z20093" s="258"/>
    </row>
    <row r="20094" spans="1:26" ht="12.75" customHeight="1" x14ac:dyDescent="0.2">
      <c r="A20094" s="258"/>
      <c r="Z20094" s="258"/>
    </row>
    <row r="20095" spans="1:26" ht="12.75" customHeight="1" x14ac:dyDescent="0.2">
      <c r="A20095" s="258"/>
      <c r="Z20095" s="258"/>
    </row>
    <row r="20096" spans="1:26" ht="12.75" customHeight="1" x14ac:dyDescent="0.2">
      <c r="A20096" s="258"/>
      <c r="Z20096" s="258"/>
    </row>
    <row r="20097" spans="1:26" ht="12.75" customHeight="1" x14ac:dyDescent="0.2">
      <c r="A20097" s="258"/>
      <c r="Z20097" s="258"/>
    </row>
    <row r="20098" spans="1:26" ht="12.75" customHeight="1" x14ac:dyDescent="0.2">
      <c r="A20098" s="258"/>
      <c r="Z20098" s="258"/>
    </row>
    <row r="20099" spans="1:26" ht="12.75" customHeight="1" x14ac:dyDescent="0.2">
      <c r="A20099" s="258"/>
      <c r="Z20099" s="258"/>
    </row>
    <row r="20100" spans="1:26" ht="12.75" customHeight="1" x14ac:dyDescent="0.2">
      <c r="A20100" s="258"/>
      <c r="Z20100" s="258"/>
    </row>
    <row r="20101" spans="1:26" ht="12.75" customHeight="1" x14ac:dyDescent="0.2">
      <c r="A20101" s="258"/>
      <c r="Z20101" s="258"/>
    </row>
    <row r="20102" spans="1:26" ht="12.75" customHeight="1" x14ac:dyDescent="0.2">
      <c r="A20102" s="258"/>
      <c r="Z20102" s="258"/>
    </row>
    <row r="20103" spans="1:26" ht="12.75" customHeight="1" x14ac:dyDescent="0.2">
      <c r="A20103" s="258"/>
      <c r="Z20103" s="258"/>
    </row>
    <row r="20104" spans="1:26" ht="12.75" customHeight="1" x14ac:dyDescent="0.2">
      <c r="A20104" s="258"/>
      <c r="Z20104" s="258"/>
    </row>
    <row r="20105" spans="1:26" ht="12.75" customHeight="1" x14ac:dyDescent="0.2">
      <c r="A20105" s="258"/>
      <c r="Z20105" s="258"/>
    </row>
    <row r="20106" spans="1:26" ht="12.75" customHeight="1" x14ac:dyDescent="0.2">
      <c r="A20106" s="258"/>
      <c r="Z20106" s="258"/>
    </row>
    <row r="20107" spans="1:26" ht="12.75" customHeight="1" x14ac:dyDescent="0.2">
      <c r="A20107" s="258"/>
      <c r="Z20107" s="258"/>
    </row>
    <row r="20108" spans="1:26" ht="12.75" customHeight="1" x14ac:dyDescent="0.2">
      <c r="A20108" s="258"/>
      <c r="Z20108" s="258"/>
    </row>
    <row r="20109" spans="1:26" ht="12.75" customHeight="1" x14ac:dyDescent="0.2">
      <c r="A20109" s="258"/>
      <c r="Z20109" s="258"/>
    </row>
    <row r="20110" spans="1:26" ht="12.75" customHeight="1" x14ac:dyDescent="0.2">
      <c r="A20110" s="258"/>
      <c r="Z20110" s="258"/>
    </row>
    <row r="20111" spans="1:26" ht="12.75" customHeight="1" x14ac:dyDescent="0.2">
      <c r="A20111" s="258"/>
      <c r="Z20111" s="258"/>
    </row>
    <row r="20112" spans="1:26" ht="12.75" customHeight="1" x14ac:dyDescent="0.2">
      <c r="A20112" s="258"/>
      <c r="Z20112" s="258"/>
    </row>
    <row r="20113" spans="1:26" ht="12.75" customHeight="1" x14ac:dyDescent="0.2">
      <c r="A20113" s="258"/>
      <c r="Z20113" s="258"/>
    </row>
    <row r="20114" spans="1:26" ht="12.75" customHeight="1" x14ac:dyDescent="0.2">
      <c r="A20114" s="258"/>
      <c r="Z20114" s="258"/>
    </row>
    <row r="20115" spans="1:26" ht="12.75" customHeight="1" x14ac:dyDescent="0.2">
      <c r="A20115" s="258"/>
      <c r="Z20115" s="258"/>
    </row>
    <row r="20116" spans="1:26" ht="12.75" customHeight="1" x14ac:dyDescent="0.2">
      <c r="A20116" s="258"/>
      <c r="Z20116" s="258"/>
    </row>
    <row r="20117" spans="1:26" ht="12.75" customHeight="1" x14ac:dyDescent="0.2">
      <c r="A20117" s="258"/>
      <c r="Z20117" s="258"/>
    </row>
    <row r="20118" spans="1:26" ht="12.75" customHeight="1" x14ac:dyDescent="0.2">
      <c r="A20118" s="258"/>
      <c r="Z20118" s="258"/>
    </row>
    <row r="20119" spans="1:26" ht="12.75" customHeight="1" x14ac:dyDescent="0.2">
      <c r="A20119" s="258"/>
      <c r="Z20119" s="258"/>
    </row>
    <row r="20120" spans="1:26" ht="12.75" customHeight="1" x14ac:dyDescent="0.2">
      <c r="A20120" s="258"/>
      <c r="Z20120" s="258"/>
    </row>
    <row r="20121" spans="1:26" ht="12.75" customHeight="1" x14ac:dyDescent="0.2">
      <c r="A20121" s="258"/>
      <c r="Z20121" s="258"/>
    </row>
    <row r="20122" spans="1:26" ht="12.75" customHeight="1" x14ac:dyDescent="0.2">
      <c r="A20122" s="258"/>
      <c r="Z20122" s="258"/>
    </row>
    <row r="20123" spans="1:26" ht="12.75" customHeight="1" x14ac:dyDescent="0.2">
      <c r="A20123" s="258"/>
      <c r="Z20123" s="258"/>
    </row>
    <row r="20124" spans="1:26" ht="12.75" customHeight="1" x14ac:dyDescent="0.2">
      <c r="A20124" s="258"/>
      <c r="Z20124" s="258"/>
    </row>
    <row r="20125" spans="1:26" ht="12.75" customHeight="1" x14ac:dyDescent="0.2">
      <c r="A20125" s="258"/>
      <c r="Z20125" s="258"/>
    </row>
    <row r="20126" spans="1:26" ht="12.75" customHeight="1" x14ac:dyDescent="0.2">
      <c r="A20126" s="258"/>
      <c r="Z20126" s="258"/>
    </row>
    <row r="20127" spans="1:26" ht="12.75" customHeight="1" x14ac:dyDescent="0.2">
      <c r="A20127" s="258"/>
      <c r="Z20127" s="258"/>
    </row>
    <row r="20128" spans="1:26" ht="12.75" customHeight="1" x14ac:dyDescent="0.2">
      <c r="A20128" s="258"/>
      <c r="Z20128" s="258"/>
    </row>
    <row r="20129" spans="1:26" ht="12.75" customHeight="1" x14ac:dyDescent="0.2">
      <c r="A20129" s="258"/>
      <c r="Z20129" s="258"/>
    </row>
    <row r="20130" spans="1:26" ht="12.75" customHeight="1" x14ac:dyDescent="0.2">
      <c r="A20130" s="258"/>
      <c r="Z20130" s="258"/>
    </row>
    <row r="20131" spans="1:26" ht="12.75" customHeight="1" x14ac:dyDescent="0.2">
      <c r="A20131" s="258"/>
      <c r="Z20131" s="258"/>
    </row>
    <row r="20132" spans="1:26" ht="12.75" customHeight="1" x14ac:dyDescent="0.2">
      <c r="A20132" s="258"/>
      <c r="Z20132" s="258"/>
    </row>
    <row r="20133" spans="1:26" ht="12.75" customHeight="1" x14ac:dyDescent="0.2">
      <c r="A20133" s="258"/>
      <c r="Z20133" s="258"/>
    </row>
    <row r="20134" spans="1:26" ht="12.75" customHeight="1" x14ac:dyDescent="0.2">
      <c r="A20134" s="258"/>
      <c r="Z20134" s="258"/>
    </row>
    <row r="20135" spans="1:26" ht="12.75" customHeight="1" x14ac:dyDescent="0.2">
      <c r="A20135" s="258"/>
      <c r="Z20135" s="258"/>
    </row>
    <row r="20136" spans="1:26" ht="12.75" customHeight="1" x14ac:dyDescent="0.2">
      <c r="A20136" s="258"/>
      <c r="Z20136" s="258"/>
    </row>
    <row r="20137" spans="1:26" ht="12.75" customHeight="1" x14ac:dyDescent="0.2">
      <c r="A20137" s="258"/>
      <c r="Z20137" s="258"/>
    </row>
    <row r="20138" spans="1:26" ht="12.75" customHeight="1" x14ac:dyDescent="0.2">
      <c r="A20138" s="258"/>
      <c r="Z20138" s="258"/>
    </row>
    <row r="20139" spans="1:26" ht="12.75" customHeight="1" x14ac:dyDescent="0.2">
      <c r="A20139" s="258"/>
      <c r="Z20139" s="258"/>
    </row>
    <row r="20140" spans="1:26" ht="12.75" customHeight="1" x14ac:dyDescent="0.2">
      <c r="A20140" s="258"/>
      <c r="Z20140" s="258"/>
    </row>
    <row r="20141" spans="1:26" ht="12.75" customHeight="1" x14ac:dyDescent="0.2">
      <c r="A20141" s="258"/>
      <c r="Z20141" s="258"/>
    </row>
    <row r="20142" spans="1:26" ht="12.75" customHeight="1" x14ac:dyDescent="0.2">
      <c r="A20142" s="258"/>
      <c r="Z20142" s="258"/>
    </row>
    <row r="20143" spans="1:26" ht="12.75" customHeight="1" x14ac:dyDescent="0.2">
      <c r="A20143" s="258"/>
      <c r="Z20143" s="258"/>
    </row>
    <row r="20144" spans="1:26" ht="12.75" customHeight="1" x14ac:dyDescent="0.2">
      <c r="A20144" s="258"/>
      <c r="Z20144" s="258"/>
    </row>
    <row r="20145" spans="1:26" ht="12.75" customHeight="1" x14ac:dyDescent="0.2">
      <c r="A20145" s="258"/>
      <c r="Z20145" s="258"/>
    </row>
    <row r="20146" spans="1:26" ht="12.75" customHeight="1" x14ac:dyDescent="0.2">
      <c r="A20146" s="258"/>
      <c r="Z20146" s="258"/>
    </row>
    <row r="20147" spans="1:26" ht="12.75" customHeight="1" x14ac:dyDescent="0.2">
      <c r="A20147" s="258"/>
      <c r="Z20147" s="258"/>
    </row>
    <row r="20148" spans="1:26" ht="12.75" customHeight="1" x14ac:dyDescent="0.2">
      <c r="A20148" s="258"/>
      <c r="Z20148" s="258"/>
    </row>
    <row r="20149" spans="1:26" ht="12.75" customHeight="1" x14ac:dyDescent="0.2">
      <c r="A20149" s="258"/>
      <c r="Z20149" s="258"/>
    </row>
    <row r="20150" spans="1:26" ht="12.75" customHeight="1" x14ac:dyDescent="0.2">
      <c r="A20150" s="258"/>
      <c r="Z20150" s="258"/>
    </row>
    <row r="20151" spans="1:26" ht="12.75" customHeight="1" x14ac:dyDescent="0.2">
      <c r="A20151" s="258"/>
      <c r="Z20151" s="258"/>
    </row>
    <row r="20152" spans="1:26" ht="12.75" customHeight="1" x14ac:dyDescent="0.2">
      <c r="A20152" s="258"/>
      <c r="Z20152" s="258"/>
    </row>
    <row r="20153" spans="1:26" ht="12.75" customHeight="1" x14ac:dyDescent="0.2">
      <c r="A20153" s="258"/>
      <c r="Z20153" s="258"/>
    </row>
    <row r="20154" spans="1:26" ht="12.75" customHeight="1" x14ac:dyDescent="0.2">
      <c r="A20154" s="258"/>
      <c r="Z20154" s="258"/>
    </row>
    <row r="20155" spans="1:26" ht="12.75" customHeight="1" x14ac:dyDescent="0.2">
      <c r="A20155" s="258"/>
      <c r="Z20155" s="258"/>
    </row>
    <row r="20156" spans="1:26" ht="12.75" customHeight="1" x14ac:dyDescent="0.2">
      <c r="A20156" s="258"/>
      <c r="Z20156" s="258"/>
    </row>
    <row r="20157" spans="1:26" ht="12.75" customHeight="1" x14ac:dyDescent="0.2">
      <c r="A20157" s="258"/>
      <c r="Z20157" s="258"/>
    </row>
    <row r="20158" spans="1:26" ht="12.75" customHeight="1" x14ac:dyDescent="0.2">
      <c r="A20158" s="258"/>
      <c r="Z20158" s="258"/>
    </row>
    <row r="20159" spans="1:26" ht="12.75" customHeight="1" x14ac:dyDescent="0.2">
      <c r="A20159" s="258"/>
      <c r="Z20159" s="258"/>
    </row>
    <row r="20160" spans="1:26" ht="12.75" customHeight="1" x14ac:dyDescent="0.2">
      <c r="A20160" s="258"/>
      <c r="Z20160" s="258"/>
    </row>
    <row r="20161" spans="1:26" ht="12.75" customHeight="1" x14ac:dyDescent="0.2">
      <c r="A20161" s="258"/>
      <c r="Z20161" s="258"/>
    </row>
    <row r="20162" spans="1:26" ht="12.75" customHeight="1" x14ac:dyDescent="0.2">
      <c r="A20162" s="258"/>
      <c r="Z20162" s="258"/>
    </row>
    <row r="20163" spans="1:26" ht="12.75" customHeight="1" x14ac:dyDescent="0.2">
      <c r="A20163" s="258"/>
      <c r="Z20163" s="258"/>
    </row>
    <row r="20164" spans="1:26" ht="12.75" customHeight="1" x14ac:dyDescent="0.2">
      <c r="A20164" s="258"/>
      <c r="Z20164" s="258"/>
    </row>
    <row r="20165" spans="1:26" ht="12.75" customHeight="1" x14ac:dyDescent="0.2">
      <c r="A20165" s="258"/>
      <c r="Z20165" s="258"/>
    </row>
    <row r="20166" spans="1:26" ht="12.75" customHeight="1" x14ac:dyDescent="0.2">
      <c r="A20166" s="258"/>
      <c r="Z20166" s="258"/>
    </row>
    <row r="20167" spans="1:26" ht="12.75" customHeight="1" x14ac:dyDescent="0.2">
      <c r="A20167" s="258"/>
      <c r="Z20167" s="258"/>
    </row>
    <row r="20168" spans="1:26" ht="12.75" customHeight="1" x14ac:dyDescent="0.2">
      <c r="A20168" s="258"/>
      <c r="Z20168" s="258"/>
    </row>
    <row r="20169" spans="1:26" ht="12.75" customHeight="1" x14ac:dyDescent="0.2">
      <c r="A20169" s="258"/>
      <c r="Z20169" s="258"/>
    </row>
    <row r="20170" spans="1:26" ht="12.75" customHeight="1" x14ac:dyDescent="0.2">
      <c r="A20170" s="258"/>
      <c r="Z20170" s="258"/>
    </row>
    <row r="20171" spans="1:26" ht="12.75" customHeight="1" x14ac:dyDescent="0.2">
      <c r="A20171" s="258"/>
      <c r="Z20171" s="258"/>
    </row>
    <row r="20172" spans="1:26" ht="12.75" customHeight="1" x14ac:dyDescent="0.2">
      <c r="A20172" s="258"/>
      <c r="Z20172" s="258"/>
    </row>
    <row r="20173" spans="1:26" ht="12.75" customHeight="1" x14ac:dyDescent="0.2">
      <c r="A20173" s="258"/>
      <c r="Z20173" s="258"/>
    </row>
    <row r="20174" spans="1:26" ht="12.75" customHeight="1" x14ac:dyDescent="0.2">
      <c r="A20174" s="258"/>
      <c r="Z20174" s="258"/>
    </row>
    <row r="20175" spans="1:26" ht="12.75" customHeight="1" x14ac:dyDescent="0.2">
      <c r="A20175" s="258"/>
      <c r="Z20175" s="258"/>
    </row>
    <row r="20176" spans="1:26" ht="12.75" customHeight="1" x14ac:dyDescent="0.2">
      <c r="A20176" s="258"/>
      <c r="Z20176" s="258"/>
    </row>
    <row r="20177" spans="1:26" ht="12.75" customHeight="1" x14ac:dyDescent="0.2">
      <c r="A20177" s="258"/>
      <c r="Z20177" s="258"/>
    </row>
    <row r="20178" spans="1:26" ht="12.75" customHeight="1" x14ac:dyDescent="0.2">
      <c r="A20178" s="258"/>
      <c r="Z20178" s="258"/>
    </row>
    <row r="20179" spans="1:26" ht="12.75" customHeight="1" x14ac:dyDescent="0.2">
      <c r="A20179" s="258"/>
      <c r="Z20179" s="258"/>
    </row>
    <row r="20180" spans="1:26" ht="12.75" customHeight="1" x14ac:dyDescent="0.2">
      <c r="A20180" s="258"/>
      <c r="Z20180" s="258"/>
    </row>
    <row r="20181" spans="1:26" ht="12.75" customHeight="1" x14ac:dyDescent="0.2">
      <c r="A20181" s="258"/>
      <c r="Z20181" s="258"/>
    </row>
    <row r="20182" spans="1:26" ht="12.75" customHeight="1" x14ac:dyDescent="0.2">
      <c r="A20182" s="258"/>
      <c r="Z20182" s="258"/>
    </row>
    <row r="20183" spans="1:26" ht="12.75" customHeight="1" x14ac:dyDescent="0.2">
      <c r="A20183" s="258"/>
      <c r="Z20183" s="258"/>
    </row>
    <row r="20184" spans="1:26" ht="12.75" customHeight="1" x14ac:dyDescent="0.2">
      <c r="A20184" s="258"/>
      <c r="Z20184" s="258"/>
    </row>
    <row r="20185" spans="1:26" ht="12.75" customHeight="1" x14ac:dyDescent="0.2">
      <c r="A20185" s="258"/>
      <c r="Z20185" s="258"/>
    </row>
    <row r="20186" spans="1:26" ht="12.75" customHeight="1" x14ac:dyDescent="0.2">
      <c r="A20186" s="258"/>
      <c r="Z20186" s="258"/>
    </row>
    <row r="20187" spans="1:26" ht="12.75" customHeight="1" x14ac:dyDescent="0.2">
      <c r="A20187" s="258"/>
      <c r="Z20187" s="258"/>
    </row>
    <row r="20188" spans="1:26" ht="12.75" customHeight="1" x14ac:dyDescent="0.2">
      <c r="A20188" s="258"/>
      <c r="Z20188" s="258"/>
    </row>
    <row r="20189" spans="1:26" ht="12.75" customHeight="1" x14ac:dyDescent="0.2">
      <c r="A20189" s="258"/>
      <c r="Z20189" s="258"/>
    </row>
    <row r="20190" spans="1:26" ht="12.75" customHeight="1" x14ac:dyDescent="0.2">
      <c r="A20190" s="258"/>
      <c r="Z20190" s="258"/>
    </row>
    <row r="20191" spans="1:26" ht="12.75" customHeight="1" x14ac:dyDescent="0.2">
      <c r="A20191" s="258"/>
      <c r="Z20191" s="258"/>
    </row>
    <row r="20192" spans="1:26" ht="12.75" customHeight="1" x14ac:dyDescent="0.2">
      <c r="A20192" s="258"/>
      <c r="Z20192" s="258"/>
    </row>
    <row r="20193" spans="1:26" ht="12.75" customHeight="1" x14ac:dyDescent="0.2">
      <c r="A20193" s="258"/>
      <c r="Z20193" s="258"/>
    </row>
    <row r="20194" spans="1:26" ht="12.75" customHeight="1" x14ac:dyDescent="0.2">
      <c r="A20194" s="258"/>
      <c r="Z20194" s="258"/>
    </row>
    <row r="20195" spans="1:26" ht="12.75" customHeight="1" x14ac:dyDescent="0.2">
      <c r="A20195" s="258"/>
      <c r="Z20195" s="258"/>
    </row>
    <row r="20196" spans="1:26" ht="12.75" customHeight="1" x14ac:dyDescent="0.2">
      <c r="A20196" s="258"/>
      <c r="Z20196" s="258"/>
    </row>
    <row r="20197" spans="1:26" ht="12.75" customHeight="1" x14ac:dyDescent="0.2">
      <c r="A20197" s="258"/>
      <c r="Z20197" s="258"/>
    </row>
    <row r="20198" spans="1:26" ht="12.75" customHeight="1" x14ac:dyDescent="0.2">
      <c r="A20198" s="258"/>
      <c r="Z20198" s="258"/>
    </row>
    <row r="20199" spans="1:26" ht="12.75" customHeight="1" x14ac:dyDescent="0.2">
      <c r="A20199" s="258"/>
      <c r="Z20199" s="258"/>
    </row>
    <row r="20200" spans="1:26" ht="12.75" customHeight="1" x14ac:dyDescent="0.2">
      <c r="A20200" s="258"/>
      <c r="Z20200" s="258"/>
    </row>
    <row r="20201" spans="1:26" ht="12.75" customHeight="1" x14ac:dyDescent="0.2">
      <c r="A20201" s="258"/>
      <c r="Z20201" s="258"/>
    </row>
    <row r="20202" spans="1:26" ht="12.75" customHeight="1" x14ac:dyDescent="0.2">
      <c r="A20202" s="258"/>
      <c r="Z20202" s="258"/>
    </row>
    <row r="20203" spans="1:26" ht="12.75" customHeight="1" x14ac:dyDescent="0.2">
      <c r="A20203" s="258"/>
      <c r="Z20203" s="258"/>
    </row>
    <row r="20204" spans="1:26" ht="12.75" customHeight="1" x14ac:dyDescent="0.2">
      <c r="A20204" s="258"/>
      <c r="Z20204" s="258"/>
    </row>
    <row r="20205" spans="1:26" ht="12.75" customHeight="1" x14ac:dyDescent="0.2">
      <c r="A20205" s="258"/>
      <c r="Z20205" s="258"/>
    </row>
    <row r="20206" spans="1:26" ht="12.75" customHeight="1" x14ac:dyDescent="0.2">
      <c r="A20206" s="258"/>
      <c r="Z20206" s="258"/>
    </row>
    <row r="20207" spans="1:26" ht="12.75" customHeight="1" x14ac:dyDescent="0.2">
      <c r="A20207" s="258"/>
      <c r="Z20207" s="258"/>
    </row>
    <row r="20208" spans="1:26" ht="12.75" customHeight="1" x14ac:dyDescent="0.2">
      <c r="A20208" s="258"/>
      <c r="Z20208" s="258"/>
    </row>
    <row r="20209" spans="1:26" ht="12.75" customHeight="1" x14ac:dyDescent="0.2">
      <c r="A20209" s="258"/>
      <c r="Z20209" s="258"/>
    </row>
    <row r="20210" spans="1:26" ht="12.75" customHeight="1" x14ac:dyDescent="0.2">
      <c r="A20210" s="258"/>
      <c r="Z20210" s="258"/>
    </row>
    <row r="20211" spans="1:26" ht="12.75" customHeight="1" x14ac:dyDescent="0.2">
      <c r="A20211" s="258"/>
      <c r="Z20211" s="258"/>
    </row>
    <row r="20212" spans="1:26" ht="12.75" customHeight="1" x14ac:dyDescent="0.2">
      <c r="A20212" s="258"/>
      <c r="Z20212" s="258"/>
    </row>
    <row r="20213" spans="1:26" ht="12.75" customHeight="1" x14ac:dyDescent="0.2">
      <c r="A20213" s="258"/>
      <c r="Z20213" s="258"/>
    </row>
    <row r="20214" spans="1:26" ht="12.75" customHeight="1" x14ac:dyDescent="0.2">
      <c r="A20214" s="258"/>
      <c r="Z20214" s="258"/>
    </row>
    <row r="20215" spans="1:26" ht="12.75" customHeight="1" x14ac:dyDescent="0.2">
      <c r="A20215" s="258"/>
      <c r="Z20215" s="258"/>
    </row>
    <row r="20216" spans="1:26" ht="12.75" customHeight="1" x14ac:dyDescent="0.2">
      <c r="A20216" s="258"/>
      <c r="Z20216" s="258"/>
    </row>
    <row r="20217" spans="1:26" ht="12.75" customHeight="1" x14ac:dyDescent="0.2">
      <c r="A20217" s="258"/>
      <c r="Z20217" s="258"/>
    </row>
    <row r="20218" spans="1:26" ht="12.75" customHeight="1" x14ac:dyDescent="0.2">
      <c r="A20218" s="258"/>
      <c r="Z20218" s="258"/>
    </row>
    <row r="20219" spans="1:26" ht="12.75" customHeight="1" x14ac:dyDescent="0.2">
      <c r="A20219" s="258"/>
      <c r="Z20219" s="258"/>
    </row>
    <row r="20220" spans="1:26" ht="12.75" customHeight="1" x14ac:dyDescent="0.2">
      <c r="A20220" s="258"/>
      <c r="Z20220" s="258"/>
    </row>
    <row r="20221" spans="1:26" ht="12.75" customHeight="1" x14ac:dyDescent="0.2">
      <c r="A20221" s="258"/>
      <c r="Z20221" s="258"/>
    </row>
    <row r="20222" spans="1:26" ht="12.75" customHeight="1" x14ac:dyDescent="0.2">
      <c r="A20222" s="258"/>
      <c r="Z20222" s="258"/>
    </row>
    <row r="20223" spans="1:26" ht="12.75" customHeight="1" x14ac:dyDescent="0.2">
      <c r="A20223" s="258"/>
      <c r="Z20223" s="258"/>
    </row>
    <row r="20224" spans="1:26" ht="12.75" customHeight="1" x14ac:dyDescent="0.2">
      <c r="A20224" s="258"/>
      <c r="Z20224" s="258"/>
    </row>
    <row r="20225" spans="1:26" ht="12.75" customHeight="1" x14ac:dyDescent="0.2">
      <c r="A20225" s="258"/>
      <c r="Z20225" s="258"/>
    </row>
    <row r="20226" spans="1:26" ht="12.75" customHeight="1" x14ac:dyDescent="0.2">
      <c r="A20226" s="258"/>
      <c r="Z20226" s="258"/>
    </row>
    <row r="20227" spans="1:26" ht="12.75" customHeight="1" x14ac:dyDescent="0.2">
      <c r="A20227" s="258"/>
      <c r="Z20227" s="258"/>
    </row>
    <row r="20228" spans="1:26" ht="12.75" customHeight="1" x14ac:dyDescent="0.2">
      <c r="A20228" s="258"/>
      <c r="Z20228" s="258"/>
    </row>
    <row r="20229" spans="1:26" ht="12.75" customHeight="1" x14ac:dyDescent="0.2">
      <c r="A20229" s="258"/>
      <c r="Z20229" s="258"/>
    </row>
    <row r="20230" spans="1:26" ht="12.75" customHeight="1" x14ac:dyDescent="0.2">
      <c r="A20230" s="258"/>
      <c r="Z20230" s="258"/>
    </row>
    <row r="20231" spans="1:26" ht="12.75" customHeight="1" x14ac:dyDescent="0.2">
      <c r="A20231" s="258"/>
      <c r="Z20231" s="258"/>
    </row>
    <row r="20232" spans="1:26" ht="12.75" customHeight="1" x14ac:dyDescent="0.2">
      <c r="A20232" s="258"/>
      <c r="Z20232" s="258"/>
    </row>
    <row r="20233" spans="1:26" ht="12.75" customHeight="1" x14ac:dyDescent="0.2">
      <c r="A20233" s="258"/>
      <c r="Z20233" s="258"/>
    </row>
    <row r="20234" spans="1:26" ht="12.75" customHeight="1" x14ac:dyDescent="0.2">
      <c r="A20234" s="258"/>
      <c r="Z20234" s="258"/>
    </row>
    <row r="20235" spans="1:26" ht="12.75" customHeight="1" x14ac:dyDescent="0.2">
      <c r="A20235" s="258"/>
      <c r="Z20235" s="258"/>
    </row>
    <row r="20236" spans="1:26" ht="12.75" customHeight="1" x14ac:dyDescent="0.2">
      <c r="A20236" s="258"/>
      <c r="Z20236" s="258"/>
    </row>
    <row r="20237" spans="1:26" ht="12.75" customHeight="1" x14ac:dyDescent="0.2">
      <c r="A20237" s="258"/>
      <c r="Z20237" s="258"/>
    </row>
    <row r="20238" spans="1:26" ht="12.75" customHeight="1" x14ac:dyDescent="0.2">
      <c r="A20238" s="258"/>
      <c r="Z20238" s="258"/>
    </row>
    <row r="20239" spans="1:26" ht="12.75" customHeight="1" x14ac:dyDescent="0.2">
      <c r="A20239" s="258"/>
      <c r="Z20239" s="258"/>
    </row>
    <row r="20240" spans="1:26" ht="12.75" customHeight="1" x14ac:dyDescent="0.2">
      <c r="A20240" s="258"/>
      <c r="Z20240" s="258"/>
    </row>
    <row r="20241" spans="1:26" ht="12.75" customHeight="1" x14ac:dyDescent="0.2">
      <c r="A20241" s="258"/>
      <c r="Z20241" s="258"/>
    </row>
    <row r="20242" spans="1:26" ht="12.75" customHeight="1" x14ac:dyDescent="0.2">
      <c r="A20242" s="258"/>
      <c r="Z20242" s="258"/>
    </row>
    <row r="20243" spans="1:26" ht="12.75" customHeight="1" x14ac:dyDescent="0.2">
      <c r="A20243" s="258"/>
      <c r="Z20243" s="258"/>
    </row>
    <row r="20244" spans="1:26" ht="12.75" customHeight="1" x14ac:dyDescent="0.2">
      <c r="A20244" s="258"/>
      <c r="Z20244" s="258"/>
    </row>
    <row r="20245" spans="1:26" ht="12.75" customHeight="1" x14ac:dyDescent="0.2">
      <c r="A20245" s="258"/>
      <c r="Z20245" s="258"/>
    </row>
    <row r="20246" spans="1:26" ht="12.75" customHeight="1" x14ac:dyDescent="0.2">
      <c r="A20246" s="258"/>
      <c r="Z20246" s="258"/>
    </row>
    <row r="20247" spans="1:26" ht="12.75" customHeight="1" x14ac:dyDescent="0.2">
      <c r="A20247" s="258"/>
      <c r="Z20247" s="258"/>
    </row>
    <row r="20248" spans="1:26" ht="12.75" customHeight="1" x14ac:dyDescent="0.2">
      <c r="A20248" s="258"/>
      <c r="Z20248" s="258"/>
    </row>
    <row r="20249" spans="1:26" ht="12.75" customHeight="1" x14ac:dyDescent="0.2">
      <c r="A20249" s="258"/>
      <c r="Z20249" s="258"/>
    </row>
    <row r="20250" spans="1:26" ht="12.75" customHeight="1" x14ac:dyDescent="0.2">
      <c r="A20250" s="258"/>
      <c r="Z20250" s="258"/>
    </row>
    <row r="20251" spans="1:26" ht="12.75" customHeight="1" x14ac:dyDescent="0.2">
      <c r="A20251" s="258"/>
      <c r="Z20251" s="258"/>
    </row>
    <row r="20252" spans="1:26" ht="12.75" customHeight="1" x14ac:dyDescent="0.2">
      <c r="A20252" s="258"/>
      <c r="Z20252" s="258"/>
    </row>
    <row r="20253" spans="1:26" ht="12.75" customHeight="1" x14ac:dyDescent="0.2">
      <c r="A20253" s="258"/>
      <c r="Z20253" s="258"/>
    </row>
    <row r="20254" spans="1:26" ht="12.75" customHeight="1" x14ac:dyDescent="0.2">
      <c r="A20254" s="258"/>
      <c r="Z20254" s="258"/>
    </row>
    <row r="20255" spans="1:26" ht="12.75" customHeight="1" x14ac:dyDescent="0.2">
      <c r="A20255" s="258"/>
      <c r="Z20255" s="258"/>
    </row>
    <row r="20256" spans="1:26" ht="12.75" customHeight="1" x14ac:dyDescent="0.2">
      <c r="A20256" s="258"/>
      <c r="Z20256" s="258"/>
    </row>
    <row r="20257" spans="1:26" ht="12.75" customHeight="1" x14ac:dyDescent="0.2">
      <c r="A20257" s="258"/>
      <c r="Z20257" s="258"/>
    </row>
    <row r="20258" spans="1:26" ht="12.75" customHeight="1" x14ac:dyDescent="0.2">
      <c r="A20258" s="258"/>
      <c r="Z20258" s="258"/>
    </row>
    <row r="20259" spans="1:26" ht="12.75" customHeight="1" x14ac:dyDescent="0.2">
      <c r="A20259" s="258"/>
      <c r="Z20259" s="258"/>
    </row>
    <row r="20260" spans="1:26" ht="12.75" customHeight="1" x14ac:dyDescent="0.2">
      <c r="A20260" s="258"/>
      <c r="Z20260" s="258"/>
    </row>
    <row r="20261" spans="1:26" ht="12.75" customHeight="1" x14ac:dyDescent="0.2">
      <c r="A20261" s="258"/>
      <c r="Z20261" s="258"/>
    </row>
    <row r="20262" spans="1:26" ht="12.75" customHeight="1" x14ac:dyDescent="0.2">
      <c r="A20262" s="258"/>
      <c r="Z20262" s="258"/>
    </row>
    <row r="20263" spans="1:26" ht="12.75" customHeight="1" x14ac:dyDescent="0.2">
      <c r="A20263" s="258"/>
      <c r="Z20263" s="258"/>
    </row>
    <row r="20264" spans="1:26" ht="12.75" customHeight="1" x14ac:dyDescent="0.2">
      <c r="A20264" s="258"/>
      <c r="Z20264" s="258"/>
    </row>
    <row r="20265" spans="1:26" ht="12.75" customHeight="1" x14ac:dyDescent="0.2">
      <c r="A20265" s="258"/>
      <c r="Z20265" s="258"/>
    </row>
    <row r="20266" spans="1:26" ht="12.75" customHeight="1" x14ac:dyDescent="0.2">
      <c r="A20266" s="258"/>
      <c r="Z20266" s="258"/>
    </row>
    <row r="20267" spans="1:26" ht="12.75" customHeight="1" x14ac:dyDescent="0.2">
      <c r="A20267" s="258"/>
      <c r="Z20267" s="258"/>
    </row>
    <row r="20268" spans="1:26" ht="12.75" customHeight="1" x14ac:dyDescent="0.2">
      <c r="A20268" s="258"/>
      <c r="Z20268" s="258"/>
    </row>
    <row r="20269" spans="1:26" ht="12.75" customHeight="1" x14ac:dyDescent="0.2">
      <c r="A20269" s="258"/>
      <c r="Z20269" s="258"/>
    </row>
    <row r="20270" spans="1:26" ht="12.75" customHeight="1" x14ac:dyDescent="0.2">
      <c r="A20270" s="258"/>
      <c r="Z20270" s="258"/>
    </row>
    <row r="20271" spans="1:26" ht="12.75" customHeight="1" x14ac:dyDescent="0.2">
      <c r="A20271" s="258"/>
      <c r="Z20271" s="258"/>
    </row>
    <row r="20272" spans="1:26" ht="12.75" customHeight="1" x14ac:dyDescent="0.2">
      <c r="A20272" s="258"/>
      <c r="Z20272" s="258"/>
    </row>
    <row r="20273" spans="1:26" ht="12.75" customHeight="1" x14ac:dyDescent="0.2">
      <c r="A20273" s="258"/>
      <c r="Z20273" s="258"/>
    </row>
    <row r="20274" spans="1:26" ht="12.75" customHeight="1" x14ac:dyDescent="0.2">
      <c r="A20274" s="258"/>
      <c r="Z20274" s="258"/>
    </row>
    <row r="20275" spans="1:26" ht="12.75" customHeight="1" x14ac:dyDescent="0.2">
      <c r="A20275" s="258"/>
      <c r="Z20275" s="258"/>
    </row>
    <row r="20276" spans="1:26" ht="12.75" customHeight="1" x14ac:dyDescent="0.2">
      <c r="A20276" s="258"/>
      <c r="Z20276" s="258"/>
    </row>
    <row r="20277" spans="1:26" ht="12.75" customHeight="1" x14ac:dyDescent="0.2">
      <c r="A20277" s="258"/>
      <c r="Z20277" s="258"/>
    </row>
    <row r="20278" spans="1:26" ht="12.75" customHeight="1" x14ac:dyDescent="0.2">
      <c r="A20278" s="258"/>
      <c r="Z20278" s="258"/>
    </row>
    <row r="20279" spans="1:26" ht="12.75" customHeight="1" x14ac:dyDescent="0.2">
      <c r="A20279" s="258"/>
      <c r="Z20279" s="258"/>
    </row>
    <row r="20280" spans="1:26" ht="12.75" customHeight="1" x14ac:dyDescent="0.2">
      <c r="A20280" s="258"/>
      <c r="Z20280" s="258"/>
    </row>
    <row r="20281" spans="1:26" ht="12.75" customHeight="1" x14ac:dyDescent="0.2">
      <c r="A20281" s="258"/>
      <c r="Z20281" s="258"/>
    </row>
    <row r="20282" spans="1:26" ht="12.75" customHeight="1" x14ac:dyDescent="0.2">
      <c r="A20282" s="258"/>
      <c r="Z20282" s="258"/>
    </row>
    <row r="20283" spans="1:26" ht="12.75" customHeight="1" x14ac:dyDescent="0.2">
      <c r="A20283" s="258"/>
      <c r="Z20283" s="258"/>
    </row>
    <row r="20284" spans="1:26" ht="12.75" customHeight="1" x14ac:dyDescent="0.2">
      <c r="A20284" s="258"/>
      <c r="Z20284" s="258"/>
    </row>
    <row r="20285" spans="1:26" ht="12.75" customHeight="1" x14ac:dyDescent="0.2">
      <c r="A20285" s="258"/>
      <c r="Z20285" s="258"/>
    </row>
    <row r="20286" spans="1:26" ht="12.75" customHeight="1" x14ac:dyDescent="0.2">
      <c r="A20286" s="258"/>
      <c r="Z20286" s="258"/>
    </row>
    <row r="20287" spans="1:26" ht="12.75" customHeight="1" x14ac:dyDescent="0.2">
      <c r="A20287" s="258"/>
      <c r="Z20287" s="258"/>
    </row>
    <row r="20288" spans="1:26" ht="12.75" customHeight="1" x14ac:dyDescent="0.2">
      <c r="A20288" s="258"/>
      <c r="Z20288" s="258"/>
    </row>
    <row r="20289" spans="1:26" ht="12.75" customHeight="1" x14ac:dyDescent="0.2">
      <c r="A20289" s="258"/>
      <c r="Z20289" s="258"/>
    </row>
    <row r="20290" spans="1:26" ht="12.75" customHeight="1" x14ac:dyDescent="0.2">
      <c r="A20290" s="258"/>
      <c r="Z20290" s="258"/>
    </row>
    <row r="20291" spans="1:26" ht="12.75" customHeight="1" x14ac:dyDescent="0.2">
      <c r="A20291" s="258"/>
      <c r="Z20291" s="258"/>
    </row>
    <row r="20292" spans="1:26" ht="12.75" customHeight="1" x14ac:dyDescent="0.2">
      <c r="A20292" s="258"/>
      <c r="Z20292" s="258"/>
    </row>
    <row r="20293" spans="1:26" ht="12.75" customHeight="1" x14ac:dyDescent="0.2">
      <c r="A20293" s="258"/>
      <c r="Z20293" s="258"/>
    </row>
    <row r="20294" spans="1:26" ht="12.75" customHeight="1" x14ac:dyDescent="0.2">
      <c r="A20294" s="258"/>
      <c r="Z20294" s="258"/>
    </row>
    <row r="20295" spans="1:26" ht="12.75" customHeight="1" x14ac:dyDescent="0.2">
      <c r="A20295" s="258"/>
      <c r="Z20295" s="258"/>
    </row>
    <row r="20296" spans="1:26" ht="12.75" customHeight="1" x14ac:dyDescent="0.2">
      <c r="A20296" s="258"/>
      <c r="Z20296" s="258"/>
    </row>
    <row r="20297" spans="1:26" ht="12.75" customHeight="1" x14ac:dyDescent="0.2">
      <c r="A20297" s="258"/>
      <c r="Z20297" s="258"/>
    </row>
    <row r="20298" spans="1:26" ht="12.75" customHeight="1" x14ac:dyDescent="0.2">
      <c r="A20298" s="258"/>
      <c r="Z20298" s="258"/>
    </row>
    <row r="20299" spans="1:26" ht="12.75" customHeight="1" x14ac:dyDescent="0.2">
      <c r="A20299" s="258"/>
      <c r="Z20299" s="258"/>
    </row>
    <row r="20300" spans="1:26" ht="12.75" customHeight="1" x14ac:dyDescent="0.2">
      <c r="A20300" s="258"/>
      <c r="Z20300" s="258"/>
    </row>
    <row r="20301" spans="1:26" ht="12.75" customHeight="1" x14ac:dyDescent="0.2">
      <c r="A20301" s="258"/>
      <c r="Z20301" s="258"/>
    </row>
    <row r="20302" spans="1:26" ht="12.75" customHeight="1" x14ac:dyDescent="0.2">
      <c r="A20302" s="258"/>
      <c r="Z20302" s="258"/>
    </row>
    <row r="20303" spans="1:26" ht="12.75" customHeight="1" x14ac:dyDescent="0.2">
      <c r="A20303" s="258"/>
      <c r="Z20303" s="258"/>
    </row>
    <row r="20304" spans="1:26" ht="12.75" customHeight="1" x14ac:dyDescent="0.2">
      <c r="A20304" s="258"/>
      <c r="Z20304" s="258"/>
    </row>
    <row r="20305" spans="1:26" ht="12.75" customHeight="1" x14ac:dyDescent="0.2">
      <c r="A20305" s="258"/>
      <c r="Z20305" s="258"/>
    </row>
    <row r="20306" spans="1:26" ht="12.75" customHeight="1" x14ac:dyDescent="0.2">
      <c r="A20306" s="258"/>
      <c r="Z20306" s="258"/>
    </row>
    <row r="20307" spans="1:26" ht="12.75" customHeight="1" x14ac:dyDescent="0.2">
      <c r="A20307" s="258"/>
      <c r="Z20307" s="258"/>
    </row>
    <row r="20308" spans="1:26" ht="12.75" customHeight="1" x14ac:dyDescent="0.2">
      <c r="A20308" s="258"/>
      <c r="Z20308" s="258"/>
    </row>
    <row r="20309" spans="1:26" ht="12.75" customHeight="1" x14ac:dyDescent="0.2">
      <c r="A20309" s="258"/>
      <c r="Z20309" s="258"/>
    </row>
    <row r="20310" spans="1:26" ht="12.75" customHeight="1" x14ac:dyDescent="0.2">
      <c r="A20310" s="258"/>
      <c r="Z20310" s="258"/>
    </row>
    <row r="20311" spans="1:26" ht="12.75" customHeight="1" x14ac:dyDescent="0.2">
      <c r="A20311" s="258"/>
      <c r="Z20311" s="258"/>
    </row>
    <row r="20312" spans="1:26" ht="12.75" customHeight="1" x14ac:dyDescent="0.2">
      <c r="A20312" s="258"/>
      <c r="Z20312" s="258"/>
    </row>
    <row r="20313" spans="1:26" ht="12.75" customHeight="1" x14ac:dyDescent="0.2">
      <c r="A20313" s="258"/>
      <c r="Z20313" s="258"/>
    </row>
    <row r="20314" spans="1:26" ht="12.75" customHeight="1" x14ac:dyDescent="0.2">
      <c r="A20314" s="258"/>
      <c r="Z20314" s="258"/>
    </row>
    <row r="20315" spans="1:26" ht="12.75" customHeight="1" x14ac:dyDescent="0.2">
      <c r="A20315" s="258"/>
      <c r="Z20315" s="258"/>
    </row>
    <row r="20316" spans="1:26" ht="12.75" customHeight="1" x14ac:dyDescent="0.2">
      <c r="A20316" s="258"/>
      <c r="Z20316" s="258"/>
    </row>
    <row r="20317" spans="1:26" ht="12.75" customHeight="1" x14ac:dyDescent="0.2">
      <c r="A20317" s="258"/>
      <c r="Z20317" s="258"/>
    </row>
    <row r="20318" spans="1:26" ht="12.75" customHeight="1" x14ac:dyDescent="0.2">
      <c r="A20318" s="258"/>
      <c r="Z20318" s="258"/>
    </row>
    <row r="20319" spans="1:26" ht="12.75" customHeight="1" x14ac:dyDescent="0.2">
      <c r="A20319" s="258"/>
      <c r="Z20319" s="258"/>
    </row>
    <row r="20320" spans="1:26" ht="12.75" customHeight="1" x14ac:dyDescent="0.2">
      <c r="A20320" s="258"/>
      <c r="Z20320" s="258"/>
    </row>
    <row r="20321" spans="1:26" ht="12.75" customHeight="1" x14ac:dyDescent="0.2">
      <c r="A20321" s="258"/>
      <c r="Z20321" s="258"/>
    </row>
    <row r="20322" spans="1:26" ht="12.75" customHeight="1" x14ac:dyDescent="0.2">
      <c r="A20322" s="258"/>
      <c r="Z20322" s="258"/>
    </row>
    <row r="20323" spans="1:26" ht="12.75" customHeight="1" x14ac:dyDescent="0.2">
      <c r="A20323" s="258"/>
      <c r="Z20323" s="258"/>
    </row>
    <row r="20324" spans="1:26" ht="12.75" customHeight="1" x14ac:dyDescent="0.2">
      <c r="A20324" s="258"/>
      <c r="Z20324" s="258"/>
    </row>
    <row r="20325" spans="1:26" ht="12.75" customHeight="1" x14ac:dyDescent="0.2">
      <c r="A20325" s="258"/>
      <c r="Z20325" s="258"/>
    </row>
    <row r="20326" spans="1:26" ht="12.75" customHeight="1" x14ac:dyDescent="0.2">
      <c r="A20326" s="258"/>
      <c r="Z20326" s="258"/>
    </row>
    <row r="20327" spans="1:26" ht="12.75" customHeight="1" x14ac:dyDescent="0.2">
      <c r="A20327" s="258"/>
      <c r="Z20327" s="258"/>
    </row>
    <row r="20328" spans="1:26" ht="12.75" customHeight="1" x14ac:dyDescent="0.2">
      <c r="A20328" s="258"/>
      <c r="Z20328" s="258"/>
    </row>
    <row r="20329" spans="1:26" ht="12.75" customHeight="1" x14ac:dyDescent="0.2">
      <c r="A20329" s="258"/>
      <c r="Z20329" s="258"/>
    </row>
    <row r="20330" spans="1:26" ht="12.75" customHeight="1" x14ac:dyDescent="0.2">
      <c r="A20330" s="258"/>
      <c r="Z20330" s="258"/>
    </row>
    <row r="20331" spans="1:26" ht="12.75" customHeight="1" x14ac:dyDescent="0.2">
      <c r="A20331" s="258"/>
      <c r="Z20331" s="258"/>
    </row>
    <row r="20332" spans="1:26" ht="12.75" customHeight="1" x14ac:dyDescent="0.2">
      <c r="A20332" s="258"/>
      <c r="Z20332" s="258"/>
    </row>
    <row r="20333" spans="1:26" ht="12.75" customHeight="1" x14ac:dyDescent="0.2">
      <c r="A20333" s="258"/>
      <c r="Z20333" s="258"/>
    </row>
    <row r="20334" spans="1:26" ht="12.75" customHeight="1" x14ac:dyDescent="0.2">
      <c r="A20334" s="258"/>
      <c r="Z20334" s="258"/>
    </row>
    <row r="20335" spans="1:26" ht="12.75" customHeight="1" x14ac:dyDescent="0.2">
      <c r="A20335" s="258"/>
      <c r="Z20335" s="258"/>
    </row>
    <row r="20336" spans="1:26" ht="12.75" customHeight="1" x14ac:dyDescent="0.2">
      <c r="A20336" s="258"/>
      <c r="Z20336" s="258"/>
    </row>
    <row r="20337" spans="1:26" ht="12.75" customHeight="1" x14ac:dyDescent="0.2">
      <c r="A20337" s="258"/>
      <c r="Z20337" s="258"/>
    </row>
    <row r="20338" spans="1:26" ht="12.75" customHeight="1" x14ac:dyDescent="0.2">
      <c r="A20338" s="258"/>
      <c r="Z20338" s="258"/>
    </row>
    <row r="20339" spans="1:26" ht="12.75" customHeight="1" x14ac:dyDescent="0.2">
      <c r="A20339" s="258"/>
      <c r="Z20339" s="258"/>
    </row>
    <row r="20340" spans="1:26" ht="12.75" customHeight="1" x14ac:dyDescent="0.2">
      <c r="A20340" s="258"/>
      <c r="Z20340" s="258"/>
    </row>
    <row r="20341" spans="1:26" ht="12.75" customHeight="1" x14ac:dyDescent="0.2">
      <c r="A20341" s="258"/>
      <c r="Z20341" s="258"/>
    </row>
    <row r="20342" spans="1:26" ht="12.75" customHeight="1" x14ac:dyDescent="0.2">
      <c r="A20342" s="258"/>
      <c r="Z20342" s="258"/>
    </row>
    <row r="20343" spans="1:26" ht="12.75" customHeight="1" x14ac:dyDescent="0.2">
      <c r="A20343" s="258"/>
      <c r="Z20343" s="258"/>
    </row>
    <row r="20344" spans="1:26" ht="12.75" customHeight="1" x14ac:dyDescent="0.2">
      <c r="A20344" s="258"/>
      <c r="Z20344" s="258"/>
    </row>
    <row r="20345" spans="1:26" ht="12.75" customHeight="1" x14ac:dyDescent="0.2">
      <c r="A20345" s="258"/>
      <c r="Z20345" s="258"/>
    </row>
    <row r="20346" spans="1:26" ht="12.75" customHeight="1" x14ac:dyDescent="0.2">
      <c r="A20346" s="258"/>
      <c r="Z20346" s="258"/>
    </row>
    <row r="20347" spans="1:26" ht="12.75" customHeight="1" x14ac:dyDescent="0.2">
      <c r="A20347" s="258"/>
      <c r="Z20347" s="258"/>
    </row>
    <row r="20348" spans="1:26" ht="12.75" customHeight="1" x14ac:dyDescent="0.2">
      <c r="A20348" s="258"/>
      <c r="Z20348" s="258"/>
    </row>
    <row r="20349" spans="1:26" ht="12.75" customHeight="1" x14ac:dyDescent="0.2">
      <c r="A20349" s="258"/>
      <c r="Z20349" s="258"/>
    </row>
    <row r="20350" spans="1:26" ht="12.75" customHeight="1" x14ac:dyDescent="0.2">
      <c r="A20350" s="258"/>
      <c r="Z20350" s="258"/>
    </row>
    <row r="20351" spans="1:26" ht="12.75" customHeight="1" x14ac:dyDescent="0.2">
      <c r="A20351" s="258"/>
      <c r="Z20351" s="258"/>
    </row>
    <row r="20352" spans="1:26" ht="12.75" customHeight="1" x14ac:dyDescent="0.2">
      <c r="A20352" s="258"/>
      <c r="Z20352" s="258"/>
    </row>
    <row r="20353" spans="1:26" ht="12.75" customHeight="1" x14ac:dyDescent="0.2">
      <c r="A20353" s="258"/>
      <c r="Z20353" s="258"/>
    </row>
    <row r="20354" spans="1:26" ht="12.75" customHeight="1" x14ac:dyDescent="0.2">
      <c r="A20354" s="258"/>
      <c r="Z20354" s="258"/>
    </row>
    <row r="20355" spans="1:26" ht="12.75" customHeight="1" x14ac:dyDescent="0.2">
      <c r="A20355" s="258"/>
      <c r="Z20355" s="258"/>
    </row>
    <row r="20356" spans="1:26" ht="12.75" customHeight="1" x14ac:dyDescent="0.2">
      <c r="A20356" s="258"/>
      <c r="Z20356" s="258"/>
    </row>
    <row r="20357" spans="1:26" ht="12.75" customHeight="1" x14ac:dyDescent="0.2">
      <c r="A20357" s="258"/>
      <c r="Z20357" s="258"/>
    </row>
    <row r="20358" spans="1:26" ht="12.75" customHeight="1" x14ac:dyDescent="0.2">
      <c r="A20358" s="258"/>
      <c r="Z20358" s="258"/>
    </row>
    <row r="20359" spans="1:26" ht="12.75" customHeight="1" x14ac:dyDescent="0.2">
      <c r="A20359" s="258"/>
      <c r="Z20359" s="258"/>
    </row>
    <row r="20360" spans="1:26" ht="12.75" customHeight="1" x14ac:dyDescent="0.2">
      <c r="A20360" s="258"/>
      <c r="Z20360" s="258"/>
    </row>
    <row r="20361" spans="1:26" ht="12.75" customHeight="1" x14ac:dyDescent="0.2">
      <c r="A20361" s="258"/>
      <c r="Z20361" s="258"/>
    </row>
    <row r="20362" spans="1:26" ht="12.75" customHeight="1" x14ac:dyDescent="0.2">
      <c r="A20362" s="258"/>
      <c r="Z20362" s="258"/>
    </row>
    <row r="20363" spans="1:26" ht="12.75" customHeight="1" x14ac:dyDescent="0.2">
      <c r="A20363" s="258"/>
      <c r="Z20363" s="258"/>
    </row>
    <row r="20364" spans="1:26" ht="12.75" customHeight="1" x14ac:dyDescent="0.2">
      <c r="A20364" s="258"/>
      <c r="Z20364" s="258"/>
    </row>
    <row r="20365" spans="1:26" ht="12.75" customHeight="1" x14ac:dyDescent="0.2">
      <c r="A20365" s="258"/>
      <c r="Z20365" s="258"/>
    </row>
    <row r="20366" spans="1:26" ht="12.75" customHeight="1" x14ac:dyDescent="0.2">
      <c r="A20366" s="258"/>
      <c r="Z20366" s="258"/>
    </row>
    <row r="20367" spans="1:26" ht="12.75" customHeight="1" x14ac:dyDescent="0.2">
      <c r="A20367" s="258"/>
      <c r="Z20367" s="258"/>
    </row>
    <row r="20368" spans="1:26" ht="12.75" customHeight="1" x14ac:dyDescent="0.2">
      <c r="A20368" s="258"/>
      <c r="Z20368" s="258"/>
    </row>
    <row r="20369" spans="1:26" ht="12.75" customHeight="1" x14ac:dyDescent="0.2">
      <c r="A20369" s="258"/>
      <c r="Z20369" s="258"/>
    </row>
    <row r="20370" spans="1:26" ht="12.75" customHeight="1" x14ac:dyDescent="0.2">
      <c r="A20370" s="258"/>
      <c r="Z20370" s="258"/>
    </row>
    <row r="20371" spans="1:26" ht="12.75" customHeight="1" x14ac:dyDescent="0.2">
      <c r="A20371" s="258"/>
      <c r="Z20371" s="258"/>
    </row>
    <row r="20372" spans="1:26" ht="12.75" customHeight="1" x14ac:dyDescent="0.2">
      <c r="A20372" s="258"/>
      <c r="Z20372" s="258"/>
    </row>
    <row r="20373" spans="1:26" ht="12.75" customHeight="1" x14ac:dyDescent="0.2">
      <c r="A20373" s="258"/>
      <c r="Z20373" s="258"/>
    </row>
    <row r="20374" spans="1:26" ht="12.75" customHeight="1" x14ac:dyDescent="0.2">
      <c r="A20374" s="258"/>
      <c r="Z20374" s="258"/>
    </row>
    <row r="20375" spans="1:26" ht="12.75" customHeight="1" x14ac:dyDescent="0.2">
      <c r="A20375" s="258"/>
      <c r="Z20375" s="258"/>
    </row>
    <row r="20376" spans="1:26" ht="12.75" customHeight="1" x14ac:dyDescent="0.2">
      <c r="A20376" s="258"/>
      <c r="Z20376" s="258"/>
    </row>
    <row r="20377" spans="1:26" ht="12.75" customHeight="1" x14ac:dyDescent="0.2">
      <c r="A20377" s="258"/>
      <c r="Z20377" s="258"/>
    </row>
    <row r="20378" spans="1:26" ht="12.75" customHeight="1" x14ac:dyDescent="0.2">
      <c r="A20378" s="258"/>
      <c r="Z20378" s="258"/>
    </row>
    <row r="20379" spans="1:26" ht="12.75" customHeight="1" x14ac:dyDescent="0.2">
      <c r="A20379" s="258"/>
      <c r="Z20379" s="258"/>
    </row>
    <row r="20380" spans="1:26" ht="12.75" customHeight="1" x14ac:dyDescent="0.2">
      <c r="A20380" s="258"/>
      <c r="Z20380" s="258"/>
    </row>
    <row r="20381" spans="1:26" ht="12.75" customHeight="1" x14ac:dyDescent="0.2">
      <c r="A20381" s="258"/>
      <c r="Z20381" s="258"/>
    </row>
    <row r="20382" spans="1:26" ht="12.75" customHeight="1" x14ac:dyDescent="0.2">
      <c r="A20382" s="258"/>
      <c r="Z20382" s="258"/>
    </row>
    <row r="20383" spans="1:26" ht="12.75" customHeight="1" x14ac:dyDescent="0.2">
      <c r="A20383" s="258"/>
      <c r="Z20383" s="258"/>
    </row>
    <row r="20384" spans="1:26" ht="12.75" customHeight="1" x14ac:dyDescent="0.2">
      <c r="A20384" s="258"/>
      <c r="Z20384" s="258"/>
    </row>
    <row r="20385" spans="1:26" ht="12.75" customHeight="1" x14ac:dyDescent="0.2">
      <c r="A20385" s="258"/>
      <c r="Z20385" s="258"/>
    </row>
    <row r="20386" spans="1:26" ht="12.75" customHeight="1" x14ac:dyDescent="0.2">
      <c r="A20386" s="258"/>
      <c r="Z20386" s="258"/>
    </row>
    <row r="20387" spans="1:26" ht="12.75" customHeight="1" x14ac:dyDescent="0.2">
      <c r="A20387" s="258"/>
      <c r="Z20387" s="258"/>
    </row>
    <row r="20388" spans="1:26" ht="12.75" customHeight="1" x14ac:dyDescent="0.2">
      <c r="A20388" s="258"/>
      <c r="Z20388" s="258"/>
    </row>
    <row r="20389" spans="1:26" ht="12.75" customHeight="1" x14ac:dyDescent="0.2">
      <c r="A20389" s="258"/>
      <c r="Z20389" s="258"/>
    </row>
    <row r="20390" spans="1:26" ht="12.75" customHeight="1" x14ac:dyDescent="0.2">
      <c r="A20390" s="258"/>
      <c r="Z20390" s="258"/>
    </row>
    <row r="20391" spans="1:26" ht="12.75" customHeight="1" x14ac:dyDescent="0.2">
      <c r="A20391" s="258"/>
      <c r="Z20391" s="258"/>
    </row>
    <row r="20392" spans="1:26" ht="12.75" customHeight="1" x14ac:dyDescent="0.2">
      <c r="A20392" s="258"/>
      <c r="Z20392" s="258"/>
    </row>
    <row r="20393" spans="1:26" ht="12.75" customHeight="1" x14ac:dyDescent="0.2">
      <c r="A20393" s="258"/>
      <c r="Z20393" s="258"/>
    </row>
    <row r="20394" spans="1:26" ht="12.75" customHeight="1" x14ac:dyDescent="0.2">
      <c r="A20394" s="258"/>
      <c r="Z20394" s="258"/>
    </row>
    <row r="20395" spans="1:26" ht="12.75" customHeight="1" x14ac:dyDescent="0.2">
      <c r="A20395" s="258"/>
      <c r="Z20395" s="258"/>
    </row>
    <row r="20396" spans="1:26" ht="12.75" customHeight="1" x14ac:dyDescent="0.2">
      <c r="A20396" s="258"/>
      <c r="Z20396" s="258"/>
    </row>
    <row r="20397" spans="1:26" ht="12.75" customHeight="1" x14ac:dyDescent="0.2">
      <c r="A20397" s="258"/>
      <c r="Z20397" s="258"/>
    </row>
    <row r="20398" spans="1:26" ht="12.75" customHeight="1" x14ac:dyDescent="0.2">
      <c r="A20398" s="258"/>
      <c r="Z20398" s="258"/>
    </row>
    <row r="20399" spans="1:26" ht="12.75" customHeight="1" x14ac:dyDescent="0.2">
      <c r="A20399" s="258"/>
      <c r="Z20399" s="258"/>
    </row>
    <row r="20400" spans="1:26" ht="12.75" customHeight="1" x14ac:dyDescent="0.2">
      <c r="A20400" s="258"/>
      <c r="Z20400" s="258"/>
    </row>
    <row r="20401" spans="1:26" ht="12.75" customHeight="1" x14ac:dyDescent="0.2">
      <c r="A20401" s="258"/>
      <c r="Z20401" s="258"/>
    </row>
    <row r="20402" spans="1:26" ht="12.75" customHeight="1" x14ac:dyDescent="0.2">
      <c r="A20402" s="258"/>
      <c r="Z20402" s="258"/>
    </row>
    <row r="20403" spans="1:26" ht="12.75" customHeight="1" x14ac:dyDescent="0.2">
      <c r="A20403" s="258"/>
      <c r="Z20403" s="258"/>
    </row>
    <row r="20404" spans="1:26" ht="12.75" customHeight="1" x14ac:dyDescent="0.2">
      <c r="A20404" s="258"/>
      <c r="Z20404" s="258"/>
    </row>
    <row r="20405" spans="1:26" ht="12.75" customHeight="1" x14ac:dyDescent="0.2">
      <c r="A20405" s="258"/>
      <c r="Z20405" s="258"/>
    </row>
    <row r="20406" spans="1:26" ht="12.75" customHeight="1" x14ac:dyDescent="0.2">
      <c r="A20406" s="258"/>
      <c r="Z20406" s="258"/>
    </row>
    <row r="20407" spans="1:26" ht="12.75" customHeight="1" x14ac:dyDescent="0.2">
      <c r="A20407" s="258"/>
      <c r="Z20407" s="258"/>
    </row>
    <row r="20408" spans="1:26" ht="12.75" customHeight="1" x14ac:dyDescent="0.2">
      <c r="A20408" s="258"/>
      <c r="Z20408" s="258"/>
    </row>
    <row r="20409" spans="1:26" ht="12.75" customHeight="1" x14ac:dyDescent="0.2">
      <c r="A20409" s="258"/>
      <c r="Z20409" s="258"/>
    </row>
    <row r="20410" spans="1:26" ht="12.75" customHeight="1" x14ac:dyDescent="0.2">
      <c r="A20410" s="258"/>
      <c r="Z20410" s="258"/>
    </row>
    <row r="20411" spans="1:26" ht="12.75" customHeight="1" x14ac:dyDescent="0.2">
      <c r="A20411" s="258"/>
      <c r="Z20411" s="258"/>
    </row>
    <row r="20412" spans="1:26" ht="12.75" customHeight="1" x14ac:dyDescent="0.2">
      <c r="A20412" s="258"/>
      <c r="Z20412" s="258"/>
    </row>
    <row r="20413" spans="1:26" ht="12.75" customHeight="1" x14ac:dyDescent="0.2">
      <c r="A20413" s="258"/>
      <c r="Z20413" s="258"/>
    </row>
    <row r="20414" spans="1:26" ht="12.75" customHeight="1" x14ac:dyDescent="0.2">
      <c r="A20414" s="258"/>
      <c r="Z20414" s="258"/>
    </row>
    <row r="20415" spans="1:26" ht="12.75" customHeight="1" x14ac:dyDescent="0.2">
      <c r="A20415" s="258"/>
      <c r="Z20415" s="258"/>
    </row>
    <row r="20416" spans="1:26" ht="12.75" customHeight="1" x14ac:dyDescent="0.2">
      <c r="A20416" s="258"/>
      <c r="Z20416" s="258"/>
    </row>
    <row r="20417" spans="1:26" ht="12.75" customHeight="1" x14ac:dyDescent="0.2">
      <c r="A20417" s="258"/>
      <c r="Z20417" s="258"/>
    </row>
    <row r="20418" spans="1:26" ht="12.75" customHeight="1" x14ac:dyDescent="0.2">
      <c r="A20418" s="258"/>
      <c r="Z20418" s="258"/>
    </row>
    <row r="20419" spans="1:26" ht="12.75" customHeight="1" x14ac:dyDescent="0.2">
      <c r="A20419" s="258"/>
      <c r="Z20419" s="258"/>
    </row>
    <row r="20420" spans="1:26" ht="12.75" customHeight="1" x14ac:dyDescent="0.2">
      <c r="A20420" s="258"/>
      <c r="Z20420" s="258"/>
    </row>
    <row r="20421" spans="1:26" ht="12.75" customHeight="1" x14ac:dyDescent="0.2">
      <c r="A20421" s="258"/>
      <c r="Z20421" s="258"/>
    </row>
    <row r="20422" spans="1:26" ht="12.75" customHeight="1" x14ac:dyDescent="0.2">
      <c r="A20422" s="258"/>
      <c r="Z20422" s="258"/>
    </row>
    <row r="20423" spans="1:26" ht="12.75" customHeight="1" x14ac:dyDescent="0.2">
      <c r="A20423" s="258"/>
      <c r="Z20423" s="258"/>
    </row>
    <row r="20424" spans="1:26" ht="12.75" customHeight="1" x14ac:dyDescent="0.2">
      <c r="A20424" s="258"/>
      <c r="Z20424" s="258"/>
    </row>
    <row r="20425" spans="1:26" ht="12.75" customHeight="1" x14ac:dyDescent="0.2">
      <c r="A20425" s="258"/>
      <c r="Z20425" s="258"/>
    </row>
    <row r="20426" spans="1:26" ht="12.75" customHeight="1" x14ac:dyDescent="0.2">
      <c r="A20426" s="258"/>
      <c r="Z20426" s="258"/>
    </row>
    <row r="20427" spans="1:26" ht="12.75" customHeight="1" x14ac:dyDescent="0.2">
      <c r="A20427" s="258"/>
      <c r="Z20427" s="258"/>
    </row>
    <row r="20428" spans="1:26" ht="12.75" customHeight="1" x14ac:dyDescent="0.2">
      <c r="A20428" s="258"/>
      <c r="Z20428" s="258"/>
    </row>
    <row r="20429" spans="1:26" ht="12.75" customHeight="1" x14ac:dyDescent="0.2">
      <c r="A20429" s="258"/>
      <c r="Z20429" s="258"/>
    </row>
    <row r="20430" spans="1:26" ht="12.75" customHeight="1" x14ac:dyDescent="0.2">
      <c r="A20430" s="258"/>
      <c r="Z20430" s="258"/>
    </row>
    <row r="20431" spans="1:26" ht="12.75" customHeight="1" x14ac:dyDescent="0.2">
      <c r="A20431" s="258"/>
      <c r="Z20431" s="258"/>
    </row>
    <row r="20432" spans="1:26" ht="12.75" customHeight="1" x14ac:dyDescent="0.2">
      <c r="A20432" s="258"/>
      <c r="Z20432" s="258"/>
    </row>
    <row r="20433" spans="1:26" ht="12.75" customHeight="1" x14ac:dyDescent="0.2">
      <c r="A20433" s="258"/>
      <c r="Z20433" s="258"/>
    </row>
    <row r="20434" spans="1:26" ht="12.75" customHeight="1" x14ac:dyDescent="0.2">
      <c r="A20434" s="258"/>
      <c r="Z20434" s="258"/>
    </row>
    <row r="20435" spans="1:26" ht="12.75" customHeight="1" x14ac:dyDescent="0.2">
      <c r="A20435" s="258"/>
      <c r="Z20435" s="258"/>
    </row>
    <row r="20436" spans="1:26" ht="12.75" customHeight="1" x14ac:dyDescent="0.2">
      <c r="A20436" s="258"/>
      <c r="Z20436" s="258"/>
    </row>
    <row r="20437" spans="1:26" ht="12.75" customHeight="1" x14ac:dyDescent="0.2">
      <c r="A20437" s="258"/>
      <c r="Z20437" s="258"/>
    </row>
    <row r="20438" spans="1:26" ht="12.75" customHeight="1" x14ac:dyDescent="0.2">
      <c r="A20438" s="258"/>
      <c r="Z20438" s="258"/>
    </row>
    <row r="20439" spans="1:26" ht="12.75" customHeight="1" x14ac:dyDescent="0.2">
      <c r="A20439" s="258"/>
      <c r="Z20439" s="258"/>
    </row>
    <row r="20440" spans="1:26" ht="12.75" customHeight="1" x14ac:dyDescent="0.2">
      <c r="A20440" s="258"/>
      <c r="Z20440" s="258"/>
    </row>
    <row r="20441" spans="1:26" ht="12.75" customHeight="1" x14ac:dyDescent="0.2">
      <c r="A20441" s="258"/>
      <c r="Z20441" s="258"/>
    </row>
    <row r="20442" spans="1:26" ht="12.75" customHeight="1" x14ac:dyDescent="0.2">
      <c r="A20442" s="258"/>
      <c r="Z20442" s="258"/>
    </row>
    <row r="20443" spans="1:26" ht="12.75" customHeight="1" x14ac:dyDescent="0.2">
      <c r="A20443" s="258"/>
      <c r="Z20443" s="258"/>
    </row>
    <row r="20444" spans="1:26" ht="12.75" customHeight="1" x14ac:dyDescent="0.2">
      <c r="A20444" s="258"/>
      <c r="Z20444" s="258"/>
    </row>
    <row r="20445" spans="1:26" ht="12.75" customHeight="1" x14ac:dyDescent="0.2">
      <c r="A20445" s="258"/>
      <c r="Z20445" s="258"/>
    </row>
    <row r="20446" spans="1:26" ht="12.75" customHeight="1" x14ac:dyDescent="0.2">
      <c r="A20446" s="258"/>
      <c r="Z20446" s="258"/>
    </row>
    <row r="20447" spans="1:26" ht="12.75" customHeight="1" x14ac:dyDescent="0.2">
      <c r="A20447" s="258"/>
      <c r="Z20447" s="258"/>
    </row>
    <row r="20448" spans="1:26" ht="12.75" customHeight="1" x14ac:dyDescent="0.2">
      <c r="A20448" s="258"/>
      <c r="Z20448" s="258"/>
    </row>
    <row r="20449" spans="1:26" ht="12.75" customHeight="1" x14ac:dyDescent="0.2">
      <c r="A20449" s="258"/>
      <c r="Z20449" s="258"/>
    </row>
    <row r="20450" spans="1:26" ht="12.75" customHeight="1" x14ac:dyDescent="0.2">
      <c r="A20450" s="258"/>
      <c r="Z20450" s="258"/>
    </row>
    <row r="20451" spans="1:26" ht="12.75" customHeight="1" x14ac:dyDescent="0.2">
      <c r="A20451" s="258"/>
      <c r="Z20451" s="258"/>
    </row>
    <row r="20452" spans="1:26" ht="12.75" customHeight="1" x14ac:dyDescent="0.2">
      <c r="A20452" s="258"/>
      <c r="Z20452" s="258"/>
    </row>
    <row r="20453" spans="1:26" ht="12.75" customHeight="1" x14ac:dyDescent="0.2">
      <c r="A20453" s="258"/>
      <c r="Z20453" s="258"/>
    </row>
    <row r="20454" spans="1:26" ht="12.75" customHeight="1" x14ac:dyDescent="0.2">
      <c r="A20454" s="258"/>
      <c r="Z20454" s="258"/>
    </row>
    <row r="20455" spans="1:26" ht="12.75" customHeight="1" x14ac:dyDescent="0.2">
      <c r="A20455" s="258"/>
      <c r="Z20455" s="258"/>
    </row>
    <row r="20456" spans="1:26" ht="12.75" customHeight="1" x14ac:dyDescent="0.2">
      <c r="A20456" s="258"/>
      <c r="Z20456" s="258"/>
    </row>
    <row r="20457" spans="1:26" ht="12.75" customHeight="1" x14ac:dyDescent="0.2">
      <c r="A20457" s="258"/>
      <c r="Z20457" s="258"/>
    </row>
    <row r="20458" spans="1:26" ht="12.75" customHeight="1" x14ac:dyDescent="0.2">
      <c r="A20458" s="258"/>
      <c r="Z20458" s="258"/>
    </row>
    <row r="20459" spans="1:26" ht="12.75" customHeight="1" x14ac:dyDescent="0.2">
      <c r="A20459" s="258"/>
      <c r="Z20459" s="258"/>
    </row>
    <row r="20460" spans="1:26" ht="12.75" customHeight="1" x14ac:dyDescent="0.2">
      <c r="A20460" s="258"/>
      <c r="Z20460" s="258"/>
    </row>
    <row r="20461" spans="1:26" ht="12.75" customHeight="1" x14ac:dyDescent="0.2">
      <c r="A20461" s="258"/>
      <c r="Z20461" s="258"/>
    </row>
    <row r="20462" spans="1:26" ht="12.75" customHeight="1" x14ac:dyDescent="0.2">
      <c r="A20462" s="258"/>
      <c r="Z20462" s="258"/>
    </row>
    <row r="20463" spans="1:26" ht="12.75" customHeight="1" x14ac:dyDescent="0.2">
      <c r="A20463" s="258"/>
      <c r="Z20463" s="258"/>
    </row>
    <row r="20464" spans="1:26" ht="12.75" customHeight="1" x14ac:dyDescent="0.2">
      <c r="A20464" s="258"/>
      <c r="Z20464" s="258"/>
    </row>
    <row r="20465" spans="1:26" ht="12.75" customHeight="1" x14ac:dyDescent="0.2">
      <c r="A20465" s="258"/>
      <c r="Z20465" s="258"/>
    </row>
    <row r="20466" spans="1:26" ht="12.75" customHeight="1" x14ac:dyDescent="0.2">
      <c r="A20466" s="258"/>
      <c r="Z20466" s="258"/>
    </row>
    <row r="20467" spans="1:26" ht="12.75" customHeight="1" x14ac:dyDescent="0.2">
      <c r="A20467" s="258"/>
      <c r="Z20467" s="258"/>
    </row>
    <row r="20468" spans="1:26" ht="12.75" customHeight="1" x14ac:dyDescent="0.2">
      <c r="A20468" s="258"/>
      <c r="Z20468" s="258"/>
    </row>
    <row r="20469" spans="1:26" ht="12.75" customHeight="1" x14ac:dyDescent="0.2">
      <c r="A20469" s="258"/>
      <c r="Z20469" s="258"/>
    </row>
    <row r="20470" spans="1:26" ht="12.75" customHeight="1" x14ac:dyDescent="0.2">
      <c r="A20470" s="258"/>
      <c r="Z20470" s="258"/>
    </row>
    <row r="20471" spans="1:26" ht="12.75" customHeight="1" x14ac:dyDescent="0.2">
      <c r="A20471" s="258"/>
      <c r="Z20471" s="258"/>
    </row>
    <row r="20472" spans="1:26" ht="12.75" customHeight="1" x14ac:dyDescent="0.2">
      <c r="A20472" s="258"/>
      <c r="Z20472" s="258"/>
    </row>
    <row r="20473" spans="1:26" ht="12.75" customHeight="1" x14ac:dyDescent="0.2">
      <c r="A20473" s="258"/>
      <c r="Z20473" s="258"/>
    </row>
    <row r="20474" spans="1:26" ht="12.75" customHeight="1" x14ac:dyDescent="0.2">
      <c r="A20474" s="258"/>
      <c r="Z20474" s="258"/>
    </row>
    <row r="20475" spans="1:26" ht="12.75" customHeight="1" x14ac:dyDescent="0.2">
      <c r="A20475" s="258"/>
      <c r="Z20475" s="258"/>
    </row>
    <row r="20476" spans="1:26" ht="12.75" customHeight="1" x14ac:dyDescent="0.2">
      <c r="A20476" s="258"/>
      <c r="Z20476" s="258"/>
    </row>
    <row r="20477" spans="1:26" ht="12.75" customHeight="1" x14ac:dyDescent="0.2">
      <c r="A20477" s="258"/>
      <c r="Z20477" s="258"/>
    </row>
    <row r="20478" spans="1:26" ht="12.75" customHeight="1" x14ac:dyDescent="0.2">
      <c r="A20478" s="258"/>
      <c r="Z20478" s="258"/>
    </row>
    <row r="20479" spans="1:26" ht="12.75" customHeight="1" x14ac:dyDescent="0.2">
      <c r="A20479" s="258"/>
      <c r="Z20479" s="258"/>
    </row>
    <row r="20480" spans="1:26" ht="12.75" customHeight="1" x14ac:dyDescent="0.2">
      <c r="A20480" s="258"/>
      <c r="Z20480" s="258"/>
    </row>
    <row r="20481" spans="1:26" ht="12.75" customHeight="1" x14ac:dyDescent="0.2">
      <c r="A20481" s="258"/>
      <c r="Z20481" s="258"/>
    </row>
    <row r="20482" spans="1:26" ht="12.75" customHeight="1" x14ac:dyDescent="0.2">
      <c r="A20482" s="258"/>
      <c r="Z20482" s="258"/>
    </row>
    <row r="20483" spans="1:26" ht="12.75" customHeight="1" x14ac:dyDescent="0.2">
      <c r="A20483" s="258"/>
      <c r="Z20483" s="258"/>
    </row>
    <row r="20484" spans="1:26" ht="12.75" customHeight="1" x14ac:dyDescent="0.2">
      <c r="A20484" s="258"/>
      <c r="Z20484" s="258"/>
    </row>
    <row r="20485" spans="1:26" ht="12.75" customHeight="1" x14ac:dyDescent="0.2">
      <c r="A20485" s="258"/>
      <c r="Z20485" s="258"/>
    </row>
    <row r="20486" spans="1:26" ht="12.75" customHeight="1" x14ac:dyDescent="0.2">
      <c r="A20486" s="258"/>
      <c r="Z20486" s="258"/>
    </row>
    <row r="20487" spans="1:26" ht="12.75" customHeight="1" x14ac:dyDescent="0.2">
      <c r="A20487" s="258"/>
      <c r="Z20487" s="258"/>
    </row>
    <row r="20488" spans="1:26" ht="12.75" customHeight="1" x14ac:dyDescent="0.2">
      <c r="A20488" s="258"/>
      <c r="Z20488" s="258"/>
    </row>
    <row r="20489" spans="1:26" ht="12.75" customHeight="1" x14ac:dyDescent="0.2">
      <c r="A20489" s="258"/>
      <c r="Z20489" s="258"/>
    </row>
    <row r="20490" spans="1:26" ht="12.75" customHeight="1" x14ac:dyDescent="0.2">
      <c r="A20490" s="258"/>
      <c r="Z20490" s="258"/>
    </row>
    <row r="20491" spans="1:26" ht="12.75" customHeight="1" x14ac:dyDescent="0.2">
      <c r="A20491" s="258"/>
      <c r="Z20491" s="258"/>
    </row>
    <row r="20492" spans="1:26" ht="12.75" customHeight="1" x14ac:dyDescent="0.2">
      <c r="A20492" s="258"/>
      <c r="Z20492" s="258"/>
    </row>
    <row r="20493" spans="1:26" ht="12.75" customHeight="1" x14ac:dyDescent="0.2">
      <c r="A20493" s="258"/>
      <c r="Z20493" s="258"/>
    </row>
    <row r="20494" spans="1:26" ht="12.75" customHeight="1" x14ac:dyDescent="0.2">
      <c r="A20494" s="258"/>
      <c r="Z20494" s="258"/>
    </row>
    <row r="20495" spans="1:26" ht="12.75" customHeight="1" x14ac:dyDescent="0.2">
      <c r="A20495" s="258"/>
      <c r="Z20495" s="258"/>
    </row>
    <row r="20496" spans="1:26" ht="12.75" customHeight="1" x14ac:dyDescent="0.2">
      <c r="A20496" s="258"/>
      <c r="Z20496" s="258"/>
    </row>
    <row r="20497" spans="1:26" ht="12.75" customHeight="1" x14ac:dyDescent="0.2">
      <c r="A20497" s="258"/>
      <c r="Z20497" s="258"/>
    </row>
    <row r="20498" spans="1:26" ht="12.75" customHeight="1" x14ac:dyDescent="0.2">
      <c r="A20498" s="258"/>
      <c r="Z20498" s="258"/>
    </row>
    <row r="20499" spans="1:26" ht="12.75" customHeight="1" x14ac:dyDescent="0.2">
      <c r="A20499" s="258"/>
      <c r="Z20499" s="258"/>
    </row>
    <row r="20500" spans="1:26" ht="12.75" customHeight="1" x14ac:dyDescent="0.2">
      <c r="A20500" s="258"/>
      <c r="Z20500" s="258"/>
    </row>
    <row r="20501" spans="1:26" ht="12.75" customHeight="1" x14ac:dyDescent="0.2">
      <c r="A20501" s="258"/>
      <c r="Z20501" s="258"/>
    </row>
    <row r="20502" spans="1:26" ht="12.75" customHeight="1" x14ac:dyDescent="0.2">
      <c r="A20502" s="258"/>
      <c r="Z20502" s="258"/>
    </row>
    <row r="20503" spans="1:26" ht="12.75" customHeight="1" x14ac:dyDescent="0.2">
      <c r="A20503" s="258"/>
      <c r="Z20503" s="258"/>
    </row>
    <row r="20504" spans="1:26" ht="12.75" customHeight="1" x14ac:dyDescent="0.2">
      <c r="A20504" s="258"/>
      <c r="Z20504" s="258"/>
    </row>
    <row r="20505" spans="1:26" ht="12.75" customHeight="1" x14ac:dyDescent="0.2">
      <c r="A20505" s="258"/>
      <c r="Z20505" s="258"/>
    </row>
    <row r="20506" spans="1:26" ht="12.75" customHeight="1" x14ac:dyDescent="0.2">
      <c r="A20506" s="258"/>
      <c r="Z20506" s="258"/>
    </row>
    <row r="20507" spans="1:26" ht="12.75" customHeight="1" x14ac:dyDescent="0.2">
      <c r="A20507" s="258"/>
      <c r="Z20507" s="258"/>
    </row>
    <row r="20508" spans="1:26" ht="12.75" customHeight="1" x14ac:dyDescent="0.2">
      <c r="A20508" s="258"/>
      <c r="Z20508" s="258"/>
    </row>
    <row r="20509" spans="1:26" ht="12.75" customHeight="1" x14ac:dyDescent="0.2">
      <c r="A20509" s="258"/>
      <c r="Z20509" s="258"/>
    </row>
    <row r="20510" spans="1:26" ht="12.75" customHeight="1" x14ac:dyDescent="0.2">
      <c r="A20510" s="258"/>
      <c r="Z20510" s="258"/>
    </row>
    <row r="20511" spans="1:26" ht="12.75" customHeight="1" x14ac:dyDescent="0.2">
      <c r="A20511" s="258"/>
      <c r="Z20511" s="258"/>
    </row>
    <row r="20512" spans="1:26" ht="12.75" customHeight="1" x14ac:dyDescent="0.2">
      <c r="A20512" s="258"/>
      <c r="Z20512" s="258"/>
    </row>
    <row r="20513" spans="1:26" ht="12.75" customHeight="1" x14ac:dyDescent="0.2">
      <c r="A20513" s="258"/>
      <c r="Z20513" s="258"/>
    </row>
    <row r="20514" spans="1:26" ht="12.75" customHeight="1" x14ac:dyDescent="0.2">
      <c r="A20514" s="258"/>
      <c r="Z20514" s="258"/>
    </row>
    <row r="20515" spans="1:26" ht="12.75" customHeight="1" x14ac:dyDescent="0.2">
      <c r="A20515" s="258"/>
      <c r="Z20515" s="258"/>
    </row>
    <row r="20516" spans="1:26" ht="12.75" customHeight="1" x14ac:dyDescent="0.2">
      <c r="A20516" s="258"/>
      <c r="Z20516" s="258"/>
    </row>
    <row r="20517" spans="1:26" ht="12.75" customHeight="1" x14ac:dyDescent="0.2">
      <c r="A20517" s="258"/>
      <c r="Z20517" s="258"/>
    </row>
    <row r="20518" spans="1:26" ht="12.75" customHeight="1" x14ac:dyDescent="0.2">
      <c r="A20518" s="258"/>
      <c r="Z20518" s="258"/>
    </row>
    <row r="20519" spans="1:26" ht="12.75" customHeight="1" x14ac:dyDescent="0.2">
      <c r="A20519" s="258"/>
      <c r="Z20519" s="258"/>
    </row>
    <row r="20520" spans="1:26" ht="12.75" customHeight="1" x14ac:dyDescent="0.2">
      <c r="A20520" s="258"/>
      <c r="Z20520" s="258"/>
    </row>
    <row r="20521" spans="1:26" ht="12.75" customHeight="1" x14ac:dyDescent="0.2">
      <c r="A20521" s="258"/>
      <c r="Z20521" s="258"/>
    </row>
    <row r="20522" spans="1:26" ht="12.75" customHeight="1" x14ac:dyDescent="0.2">
      <c r="A20522" s="258"/>
      <c r="Z20522" s="258"/>
    </row>
    <row r="20523" spans="1:26" ht="12.75" customHeight="1" x14ac:dyDescent="0.2">
      <c r="A20523" s="258"/>
      <c r="Z20523" s="258"/>
    </row>
    <row r="20524" spans="1:26" ht="12.75" customHeight="1" x14ac:dyDescent="0.2">
      <c r="A20524" s="258"/>
      <c r="Z20524" s="258"/>
    </row>
    <row r="20525" spans="1:26" ht="12.75" customHeight="1" x14ac:dyDescent="0.2">
      <c r="A20525" s="258"/>
      <c r="Z20525" s="258"/>
    </row>
    <row r="20526" spans="1:26" ht="12.75" customHeight="1" x14ac:dyDescent="0.2">
      <c r="A20526" s="258"/>
      <c r="Z20526" s="258"/>
    </row>
    <row r="20527" spans="1:26" ht="12.75" customHeight="1" x14ac:dyDescent="0.2">
      <c r="A20527" s="258"/>
      <c r="Z20527" s="258"/>
    </row>
    <row r="20528" spans="1:26" ht="12.75" customHeight="1" x14ac:dyDescent="0.2">
      <c r="A20528" s="258"/>
      <c r="Z20528" s="258"/>
    </row>
    <row r="20529" spans="1:26" ht="12.75" customHeight="1" x14ac:dyDescent="0.2">
      <c r="A20529" s="258"/>
      <c r="Z20529" s="258"/>
    </row>
    <row r="20530" spans="1:26" ht="12.75" customHeight="1" x14ac:dyDescent="0.2">
      <c r="A20530" s="258"/>
      <c r="Z20530" s="258"/>
    </row>
    <row r="20531" spans="1:26" ht="12.75" customHeight="1" x14ac:dyDescent="0.2">
      <c r="A20531" s="258"/>
      <c r="Z20531" s="258"/>
    </row>
    <row r="20532" spans="1:26" ht="12.75" customHeight="1" x14ac:dyDescent="0.2">
      <c r="A20532" s="258"/>
      <c r="Z20532" s="258"/>
    </row>
    <row r="20533" spans="1:26" ht="12.75" customHeight="1" x14ac:dyDescent="0.2">
      <c r="A20533" s="258"/>
      <c r="Z20533" s="258"/>
    </row>
    <row r="20534" spans="1:26" ht="12.75" customHeight="1" x14ac:dyDescent="0.2">
      <c r="A20534" s="258"/>
      <c r="Z20534" s="258"/>
    </row>
    <row r="20535" spans="1:26" ht="12.75" customHeight="1" x14ac:dyDescent="0.2">
      <c r="A20535" s="258"/>
      <c r="Z20535" s="258"/>
    </row>
    <row r="20536" spans="1:26" ht="12.75" customHeight="1" x14ac:dyDescent="0.2">
      <c r="A20536" s="258"/>
      <c r="Z20536" s="258"/>
    </row>
    <row r="20537" spans="1:26" ht="12.75" customHeight="1" x14ac:dyDescent="0.2">
      <c r="A20537" s="258"/>
      <c r="Z20537" s="258"/>
    </row>
    <row r="20538" spans="1:26" ht="12.75" customHeight="1" x14ac:dyDescent="0.2">
      <c r="A20538" s="258"/>
      <c r="Z20538" s="258"/>
    </row>
    <row r="20539" spans="1:26" ht="12.75" customHeight="1" x14ac:dyDescent="0.2">
      <c r="A20539" s="258"/>
      <c r="Z20539" s="258"/>
    </row>
    <row r="20540" spans="1:26" ht="12.75" customHeight="1" x14ac:dyDescent="0.2">
      <c r="A20540" s="258"/>
      <c r="Z20540" s="258"/>
    </row>
    <row r="20541" spans="1:26" ht="12.75" customHeight="1" x14ac:dyDescent="0.2">
      <c r="A20541" s="258"/>
      <c r="Z20541" s="258"/>
    </row>
    <row r="20542" spans="1:26" ht="12.75" customHeight="1" x14ac:dyDescent="0.2">
      <c r="A20542" s="258"/>
      <c r="Z20542" s="258"/>
    </row>
    <row r="20543" spans="1:26" ht="12.75" customHeight="1" x14ac:dyDescent="0.2">
      <c r="A20543" s="258"/>
      <c r="Z20543" s="258"/>
    </row>
    <row r="20544" spans="1:26" ht="12.75" customHeight="1" x14ac:dyDescent="0.2">
      <c r="A20544" s="258"/>
      <c r="Z20544" s="258"/>
    </row>
    <row r="20545" spans="1:26" ht="12.75" customHeight="1" x14ac:dyDescent="0.2">
      <c r="A20545" s="258"/>
      <c r="Z20545" s="258"/>
    </row>
    <row r="20546" spans="1:26" ht="12.75" customHeight="1" x14ac:dyDescent="0.2">
      <c r="A20546" s="258"/>
      <c r="Z20546" s="258"/>
    </row>
    <row r="20547" spans="1:26" ht="12.75" customHeight="1" x14ac:dyDescent="0.2">
      <c r="A20547" s="258"/>
      <c r="Z20547" s="258"/>
    </row>
    <row r="20548" spans="1:26" ht="12.75" customHeight="1" x14ac:dyDescent="0.2">
      <c r="A20548" s="258"/>
      <c r="Z20548" s="258"/>
    </row>
    <row r="20549" spans="1:26" ht="12.75" customHeight="1" x14ac:dyDescent="0.2">
      <c r="A20549" s="258"/>
      <c r="Z20549" s="258"/>
    </row>
    <row r="20550" spans="1:26" ht="12.75" customHeight="1" x14ac:dyDescent="0.2">
      <c r="A20550" s="258"/>
      <c r="Z20550" s="258"/>
    </row>
    <row r="20551" spans="1:26" ht="12.75" customHeight="1" x14ac:dyDescent="0.2">
      <c r="A20551" s="258"/>
      <c r="Z20551" s="258"/>
    </row>
    <row r="20552" spans="1:26" ht="12.75" customHeight="1" x14ac:dyDescent="0.2">
      <c r="A20552" s="258"/>
      <c r="Z20552" s="258"/>
    </row>
    <row r="20553" spans="1:26" ht="12.75" customHeight="1" x14ac:dyDescent="0.2">
      <c r="A20553" s="258"/>
      <c r="Z20553" s="258"/>
    </row>
    <row r="20554" spans="1:26" ht="12.75" customHeight="1" x14ac:dyDescent="0.2">
      <c r="A20554" s="258"/>
      <c r="Z20554" s="258"/>
    </row>
    <row r="20555" spans="1:26" ht="12.75" customHeight="1" x14ac:dyDescent="0.2">
      <c r="A20555" s="258"/>
      <c r="Z20555" s="258"/>
    </row>
    <row r="20556" spans="1:26" ht="12.75" customHeight="1" x14ac:dyDescent="0.2">
      <c r="A20556" s="258"/>
      <c r="Z20556" s="258"/>
    </row>
    <row r="20557" spans="1:26" ht="12.75" customHeight="1" x14ac:dyDescent="0.2">
      <c r="A20557" s="258"/>
      <c r="Z20557" s="258"/>
    </row>
    <row r="20558" spans="1:26" ht="12.75" customHeight="1" x14ac:dyDescent="0.2">
      <c r="A20558" s="258"/>
      <c r="Z20558" s="258"/>
    </row>
    <row r="20559" spans="1:26" ht="12.75" customHeight="1" x14ac:dyDescent="0.2">
      <c r="A20559" s="258"/>
      <c r="Z20559" s="258"/>
    </row>
    <row r="20560" spans="1:26" ht="12.75" customHeight="1" x14ac:dyDescent="0.2">
      <c r="A20560" s="258"/>
      <c r="Z20560" s="258"/>
    </row>
    <row r="20561" spans="1:26" ht="12.75" customHeight="1" x14ac:dyDescent="0.2">
      <c r="A20561" s="258"/>
      <c r="Z20561" s="258"/>
    </row>
    <row r="20562" spans="1:26" ht="12.75" customHeight="1" x14ac:dyDescent="0.2">
      <c r="A20562" s="258"/>
      <c r="Z20562" s="258"/>
    </row>
    <row r="20563" spans="1:26" ht="12.75" customHeight="1" x14ac:dyDescent="0.2">
      <c r="A20563" s="258"/>
      <c r="Z20563" s="258"/>
    </row>
    <row r="20564" spans="1:26" ht="12.75" customHeight="1" x14ac:dyDescent="0.2">
      <c r="A20564" s="258"/>
      <c r="Z20564" s="258"/>
    </row>
    <row r="20565" spans="1:26" ht="12.75" customHeight="1" x14ac:dyDescent="0.2">
      <c r="A20565" s="258"/>
      <c r="Z20565" s="258"/>
    </row>
    <row r="20566" spans="1:26" ht="12.75" customHeight="1" x14ac:dyDescent="0.2">
      <c r="A20566" s="258"/>
      <c r="Z20566" s="258"/>
    </row>
    <row r="20567" spans="1:26" ht="12.75" customHeight="1" x14ac:dyDescent="0.2">
      <c r="A20567" s="258"/>
      <c r="Z20567" s="258"/>
    </row>
    <row r="20568" spans="1:26" ht="12.75" customHeight="1" x14ac:dyDescent="0.2">
      <c r="A20568" s="258"/>
      <c r="Z20568" s="258"/>
    </row>
    <row r="20569" spans="1:26" ht="12.75" customHeight="1" x14ac:dyDescent="0.2">
      <c r="A20569" s="258"/>
      <c r="Z20569" s="258"/>
    </row>
    <row r="20570" spans="1:26" ht="12.75" customHeight="1" x14ac:dyDescent="0.2">
      <c r="A20570" s="258"/>
      <c r="Z20570" s="258"/>
    </row>
    <row r="20571" spans="1:26" ht="12.75" customHeight="1" x14ac:dyDescent="0.2">
      <c r="A20571" s="258"/>
      <c r="Z20571" s="258"/>
    </row>
    <row r="20572" spans="1:26" ht="12.75" customHeight="1" x14ac:dyDescent="0.2">
      <c r="A20572" s="258"/>
      <c r="Z20572" s="258"/>
    </row>
    <row r="20573" spans="1:26" ht="12.75" customHeight="1" x14ac:dyDescent="0.2">
      <c r="A20573" s="258"/>
      <c r="Z20573" s="258"/>
    </row>
    <row r="20574" spans="1:26" ht="12.75" customHeight="1" x14ac:dyDescent="0.2">
      <c r="A20574" s="258"/>
      <c r="Z20574" s="258"/>
    </row>
    <row r="20575" spans="1:26" ht="12.75" customHeight="1" x14ac:dyDescent="0.2">
      <c r="A20575" s="258"/>
      <c r="Z20575" s="258"/>
    </row>
    <row r="20576" spans="1:26" ht="12.75" customHeight="1" x14ac:dyDescent="0.2">
      <c r="A20576" s="258"/>
      <c r="Z20576" s="258"/>
    </row>
    <row r="20577" spans="1:26" ht="12.75" customHeight="1" x14ac:dyDescent="0.2">
      <c r="A20577" s="258"/>
      <c r="Z20577" s="258"/>
    </row>
    <row r="20578" spans="1:26" ht="12.75" customHeight="1" x14ac:dyDescent="0.2">
      <c r="A20578" s="258"/>
      <c r="Z20578" s="258"/>
    </row>
    <row r="20579" spans="1:26" ht="12.75" customHeight="1" x14ac:dyDescent="0.2">
      <c r="A20579" s="258"/>
      <c r="Z20579" s="258"/>
    </row>
    <row r="20580" spans="1:26" ht="12.75" customHeight="1" x14ac:dyDescent="0.2">
      <c r="A20580" s="258"/>
      <c r="Z20580" s="258"/>
    </row>
    <row r="20581" spans="1:26" ht="12.75" customHeight="1" x14ac:dyDescent="0.2">
      <c r="A20581" s="258"/>
      <c r="Z20581" s="258"/>
    </row>
    <row r="20582" spans="1:26" ht="12.75" customHeight="1" x14ac:dyDescent="0.2">
      <c r="A20582" s="258"/>
      <c r="Z20582" s="258"/>
    </row>
    <row r="20583" spans="1:26" ht="12.75" customHeight="1" x14ac:dyDescent="0.2">
      <c r="A20583" s="258"/>
      <c r="Z20583" s="258"/>
    </row>
    <row r="20584" spans="1:26" ht="12.75" customHeight="1" x14ac:dyDescent="0.2">
      <c r="A20584" s="258"/>
      <c r="Z20584" s="258"/>
    </row>
    <row r="20585" spans="1:26" ht="12.75" customHeight="1" x14ac:dyDescent="0.2">
      <c r="A20585" s="258"/>
      <c r="Z20585" s="258"/>
    </row>
    <row r="20586" spans="1:26" ht="12.75" customHeight="1" x14ac:dyDescent="0.2">
      <c r="A20586" s="258"/>
      <c r="Z20586" s="258"/>
    </row>
    <row r="20587" spans="1:26" ht="12.75" customHeight="1" x14ac:dyDescent="0.2">
      <c r="A20587" s="258"/>
      <c r="Z20587" s="258"/>
    </row>
    <row r="20588" spans="1:26" ht="12.75" customHeight="1" x14ac:dyDescent="0.2">
      <c r="A20588" s="258"/>
      <c r="Z20588" s="258"/>
    </row>
    <row r="20589" spans="1:26" ht="12.75" customHeight="1" x14ac:dyDescent="0.2">
      <c r="A20589" s="258"/>
      <c r="Z20589" s="258"/>
    </row>
    <row r="20590" spans="1:26" ht="12.75" customHeight="1" x14ac:dyDescent="0.2">
      <c r="A20590" s="258"/>
      <c r="Z20590" s="258"/>
    </row>
    <row r="20591" spans="1:26" ht="12.75" customHeight="1" x14ac:dyDescent="0.2">
      <c r="A20591" s="258"/>
      <c r="Z20591" s="258"/>
    </row>
    <row r="20592" spans="1:26" ht="12.75" customHeight="1" x14ac:dyDescent="0.2">
      <c r="A20592" s="258"/>
      <c r="Z20592" s="258"/>
    </row>
    <row r="20593" spans="1:26" ht="12.75" customHeight="1" x14ac:dyDescent="0.2">
      <c r="A20593" s="258"/>
      <c r="Z20593" s="258"/>
    </row>
    <row r="20594" spans="1:26" ht="12.75" customHeight="1" x14ac:dyDescent="0.2">
      <c r="A20594" s="258"/>
      <c r="Z20594" s="258"/>
    </row>
    <row r="20595" spans="1:26" ht="12.75" customHeight="1" x14ac:dyDescent="0.2">
      <c r="A20595" s="258"/>
      <c r="Z20595" s="258"/>
    </row>
    <row r="20596" spans="1:26" ht="12.75" customHeight="1" x14ac:dyDescent="0.2">
      <c r="A20596" s="258"/>
      <c r="Z20596" s="258"/>
    </row>
    <row r="20597" spans="1:26" ht="12.75" customHeight="1" x14ac:dyDescent="0.2">
      <c r="A20597" s="258"/>
      <c r="Z20597" s="258"/>
    </row>
    <row r="20598" spans="1:26" ht="12.75" customHeight="1" x14ac:dyDescent="0.2">
      <c r="A20598" s="258"/>
      <c r="Z20598" s="258"/>
    </row>
    <row r="20599" spans="1:26" ht="12.75" customHeight="1" x14ac:dyDescent="0.2">
      <c r="A20599" s="258"/>
      <c r="Z20599" s="258"/>
    </row>
    <row r="20600" spans="1:26" ht="12.75" customHeight="1" x14ac:dyDescent="0.2">
      <c r="A20600" s="258"/>
      <c r="Z20600" s="258"/>
    </row>
    <row r="20601" spans="1:26" ht="12.75" customHeight="1" x14ac:dyDescent="0.2">
      <c r="A20601" s="258"/>
      <c r="Z20601" s="258"/>
    </row>
    <row r="20602" spans="1:26" ht="12.75" customHeight="1" x14ac:dyDescent="0.2">
      <c r="A20602" s="258"/>
      <c r="Z20602" s="258"/>
    </row>
    <row r="20603" spans="1:26" ht="12.75" customHeight="1" x14ac:dyDescent="0.2">
      <c r="A20603" s="258"/>
      <c r="Z20603" s="258"/>
    </row>
    <row r="20604" spans="1:26" ht="12.75" customHeight="1" x14ac:dyDescent="0.2">
      <c r="A20604" s="258"/>
      <c r="Z20604" s="258"/>
    </row>
    <row r="20605" spans="1:26" ht="12.75" customHeight="1" x14ac:dyDescent="0.2">
      <c r="A20605" s="258"/>
      <c r="Z20605" s="258"/>
    </row>
    <row r="20606" spans="1:26" ht="12.75" customHeight="1" x14ac:dyDescent="0.2">
      <c r="A20606" s="258"/>
      <c r="Z20606" s="258"/>
    </row>
    <row r="20607" spans="1:26" ht="12.75" customHeight="1" x14ac:dyDescent="0.2">
      <c r="A20607" s="258"/>
      <c r="Z20607" s="258"/>
    </row>
    <row r="20608" spans="1:26" ht="12.75" customHeight="1" x14ac:dyDescent="0.2">
      <c r="A20608" s="258"/>
      <c r="Z20608" s="258"/>
    </row>
    <row r="20609" spans="1:26" ht="12.75" customHeight="1" x14ac:dyDescent="0.2">
      <c r="A20609" s="258"/>
      <c r="Z20609" s="258"/>
    </row>
    <row r="20610" spans="1:26" ht="12.75" customHeight="1" x14ac:dyDescent="0.2">
      <c r="A20610" s="258"/>
      <c r="Z20610" s="258"/>
    </row>
    <row r="20611" spans="1:26" ht="12.75" customHeight="1" x14ac:dyDescent="0.2">
      <c r="A20611" s="258"/>
      <c r="Z20611" s="258"/>
    </row>
    <row r="20612" spans="1:26" ht="12.75" customHeight="1" x14ac:dyDescent="0.2">
      <c r="A20612" s="258"/>
      <c r="Z20612" s="258"/>
    </row>
    <row r="20613" spans="1:26" ht="12.75" customHeight="1" x14ac:dyDescent="0.2">
      <c r="A20613" s="258"/>
      <c r="Z20613" s="258"/>
    </row>
    <row r="20614" spans="1:26" ht="12.75" customHeight="1" x14ac:dyDescent="0.2">
      <c r="A20614" s="258"/>
      <c r="Z20614" s="258"/>
    </row>
    <row r="20615" spans="1:26" ht="12.75" customHeight="1" x14ac:dyDescent="0.2">
      <c r="A20615" s="258"/>
      <c r="Z20615" s="258"/>
    </row>
    <row r="20616" spans="1:26" ht="12.75" customHeight="1" x14ac:dyDescent="0.2">
      <c r="A20616" s="258"/>
      <c r="Z20616" s="258"/>
    </row>
    <row r="20617" spans="1:26" ht="12.75" customHeight="1" x14ac:dyDescent="0.2">
      <c r="A20617" s="258"/>
      <c r="Z20617" s="258"/>
    </row>
    <row r="20618" spans="1:26" ht="12.75" customHeight="1" x14ac:dyDescent="0.2">
      <c r="A20618" s="258"/>
      <c r="Z20618" s="258"/>
    </row>
    <row r="20619" spans="1:26" ht="12.75" customHeight="1" x14ac:dyDescent="0.2">
      <c r="A20619" s="258"/>
      <c r="Z20619" s="258"/>
    </row>
    <row r="20620" spans="1:26" ht="12.75" customHeight="1" x14ac:dyDescent="0.2">
      <c r="A20620" s="258"/>
      <c r="Z20620" s="258"/>
    </row>
    <row r="20621" spans="1:26" ht="12.75" customHeight="1" x14ac:dyDescent="0.2">
      <c r="A20621" s="258"/>
      <c r="Z20621" s="258"/>
    </row>
    <row r="20622" spans="1:26" ht="12.75" customHeight="1" x14ac:dyDescent="0.2">
      <c r="A20622" s="258"/>
      <c r="Z20622" s="258"/>
    </row>
    <row r="20623" spans="1:26" ht="12.75" customHeight="1" x14ac:dyDescent="0.2">
      <c r="A20623" s="258"/>
      <c r="Z20623" s="258"/>
    </row>
    <row r="20624" spans="1:26" ht="12.75" customHeight="1" x14ac:dyDescent="0.2">
      <c r="A20624" s="258"/>
      <c r="Z20624" s="258"/>
    </row>
    <row r="20625" spans="1:26" ht="12.75" customHeight="1" x14ac:dyDescent="0.2">
      <c r="A20625" s="258"/>
      <c r="Z20625" s="258"/>
    </row>
    <row r="20626" spans="1:26" ht="12.75" customHeight="1" x14ac:dyDescent="0.2">
      <c r="A20626" s="258"/>
      <c r="Z20626" s="258"/>
    </row>
    <row r="20627" spans="1:26" ht="12.75" customHeight="1" x14ac:dyDescent="0.2">
      <c r="A20627" s="258"/>
      <c r="Z20627" s="258"/>
    </row>
    <row r="20628" spans="1:26" ht="12.75" customHeight="1" x14ac:dyDescent="0.2">
      <c r="A20628" s="258"/>
      <c r="Z20628" s="258"/>
    </row>
    <row r="20629" spans="1:26" ht="12.75" customHeight="1" x14ac:dyDescent="0.2">
      <c r="A20629" s="258"/>
      <c r="Z20629" s="258"/>
    </row>
    <row r="20630" spans="1:26" ht="12.75" customHeight="1" x14ac:dyDescent="0.2">
      <c r="A20630" s="258"/>
      <c r="Z20630" s="258"/>
    </row>
    <row r="20631" spans="1:26" ht="12.75" customHeight="1" x14ac:dyDescent="0.2">
      <c r="A20631" s="258"/>
      <c r="Z20631" s="258"/>
    </row>
    <row r="20632" spans="1:26" ht="12.75" customHeight="1" x14ac:dyDescent="0.2">
      <c r="A20632" s="258"/>
      <c r="Z20632" s="258"/>
    </row>
    <row r="20633" spans="1:26" ht="12.75" customHeight="1" x14ac:dyDescent="0.2">
      <c r="A20633" s="258"/>
      <c r="Z20633" s="258"/>
    </row>
    <row r="20634" spans="1:26" ht="12.75" customHeight="1" x14ac:dyDescent="0.2">
      <c r="A20634" s="258"/>
      <c r="Z20634" s="258"/>
    </row>
    <row r="20635" spans="1:26" ht="12.75" customHeight="1" x14ac:dyDescent="0.2">
      <c r="A20635" s="258"/>
      <c r="Z20635" s="258"/>
    </row>
    <row r="20636" spans="1:26" ht="12.75" customHeight="1" x14ac:dyDescent="0.2">
      <c r="A20636" s="258"/>
      <c r="Z20636" s="258"/>
    </row>
    <row r="20637" spans="1:26" ht="12.75" customHeight="1" x14ac:dyDescent="0.2">
      <c r="A20637" s="258"/>
      <c r="Z20637" s="258"/>
    </row>
    <row r="20638" spans="1:26" ht="12.75" customHeight="1" x14ac:dyDescent="0.2">
      <c r="A20638" s="258"/>
      <c r="Z20638" s="258"/>
    </row>
    <row r="20639" spans="1:26" ht="12.75" customHeight="1" x14ac:dyDescent="0.2">
      <c r="A20639" s="258"/>
      <c r="Z20639" s="258"/>
    </row>
    <row r="20640" spans="1:26" ht="12.75" customHeight="1" x14ac:dyDescent="0.2">
      <c r="A20640" s="258"/>
      <c r="Z20640" s="258"/>
    </row>
    <row r="20641" spans="1:26" ht="12.75" customHeight="1" x14ac:dyDescent="0.2">
      <c r="A20641" s="258"/>
      <c r="Z20641" s="258"/>
    </row>
    <row r="20642" spans="1:26" ht="12.75" customHeight="1" x14ac:dyDescent="0.2">
      <c r="A20642" s="258"/>
      <c r="Z20642" s="258"/>
    </row>
    <row r="20643" spans="1:26" ht="12.75" customHeight="1" x14ac:dyDescent="0.2">
      <c r="A20643" s="258"/>
      <c r="Z20643" s="258"/>
    </row>
    <row r="20644" spans="1:26" ht="12.75" customHeight="1" x14ac:dyDescent="0.2">
      <c r="A20644" s="258"/>
      <c r="Z20644" s="258"/>
    </row>
    <row r="20645" spans="1:26" ht="12.75" customHeight="1" x14ac:dyDescent="0.2">
      <c r="A20645" s="258"/>
      <c r="Z20645" s="258"/>
    </row>
    <row r="20646" spans="1:26" ht="12.75" customHeight="1" x14ac:dyDescent="0.2">
      <c r="A20646" s="258"/>
      <c r="Z20646" s="258"/>
    </row>
    <row r="20647" spans="1:26" ht="12.75" customHeight="1" x14ac:dyDescent="0.2">
      <c r="A20647" s="258"/>
      <c r="Z20647" s="258"/>
    </row>
    <row r="20648" spans="1:26" ht="12.75" customHeight="1" x14ac:dyDescent="0.2">
      <c r="A20648" s="258"/>
      <c r="Z20648" s="258"/>
    </row>
    <row r="20649" spans="1:26" ht="12.75" customHeight="1" x14ac:dyDescent="0.2">
      <c r="A20649" s="258"/>
      <c r="Z20649" s="258"/>
    </row>
    <row r="20650" spans="1:26" ht="12.75" customHeight="1" x14ac:dyDescent="0.2">
      <c r="A20650" s="258"/>
      <c r="Z20650" s="258"/>
    </row>
    <row r="20651" spans="1:26" ht="12.75" customHeight="1" x14ac:dyDescent="0.2">
      <c r="A20651" s="258"/>
      <c r="Z20651" s="258"/>
    </row>
    <row r="20652" spans="1:26" ht="12.75" customHeight="1" x14ac:dyDescent="0.2">
      <c r="A20652" s="258"/>
      <c r="Z20652" s="258"/>
    </row>
    <row r="20653" spans="1:26" ht="12.75" customHeight="1" x14ac:dyDescent="0.2">
      <c r="A20653" s="258"/>
      <c r="Z20653" s="258"/>
    </row>
    <row r="20654" spans="1:26" ht="12.75" customHeight="1" x14ac:dyDescent="0.2">
      <c r="A20654" s="258"/>
      <c r="Z20654" s="258"/>
    </row>
    <row r="20655" spans="1:26" ht="12.75" customHeight="1" x14ac:dyDescent="0.2">
      <c r="A20655" s="258"/>
      <c r="Z20655" s="258"/>
    </row>
    <row r="20656" spans="1:26" ht="12.75" customHeight="1" x14ac:dyDescent="0.2">
      <c r="A20656" s="258"/>
      <c r="Z20656" s="258"/>
    </row>
    <row r="20657" spans="1:26" ht="12.75" customHeight="1" x14ac:dyDescent="0.2">
      <c r="A20657" s="258"/>
      <c r="Z20657" s="258"/>
    </row>
    <row r="20658" spans="1:26" ht="12.75" customHeight="1" x14ac:dyDescent="0.2">
      <c r="A20658" s="258"/>
      <c r="Z20658" s="258"/>
    </row>
    <row r="20659" spans="1:26" ht="12.75" customHeight="1" x14ac:dyDescent="0.2">
      <c r="A20659" s="258"/>
      <c r="Z20659" s="258"/>
    </row>
    <row r="20660" spans="1:26" ht="12.75" customHeight="1" x14ac:dyDescent="0.2">
      <c r="A20660" s="258"/>
      <c r="Z20660" s="258"/>
    </row>
    <row r="20661" spans="1:26" ht="12.75" customHeight="1" x14ac:dyDescent="0.2">
      <c r="A20661" s="258"/>
      <c r="Z20661" s="258"/>
    </row>
    <row r="20662" spans="1:26" ht="12.75" customHeight="1" x14ac:dyDescent="0.2">
      <c r="A20662" s="258"/>
      <c r="Z20662" s="258"/>
    </row>
    <row r="20663" spans="1:26" ht="12.75" customHeight="1" x14ac:dyDescent="0.2">
      <c r="A20663" s="258"/>
      <c r="Z20663" s="258"/>
    </row>
    <row r="20664" spans="1:26" ht="12.75" customHeight="1" x14ac:dyDescent="0.2">
      <c r="A20664" s="258"/>
      <c r="Z20664" s="258"/>
    </row>
    <row r="20665" spans="1:26" ht="12.75" customHeight="1" x14ac:dyDescent="0.2">
      <c r="A20665" s="258"/>
      <c r="Z20665" s="258"/>
    </row>
    <row r="20666" spans="1:26" ht="12.75" customHeight="1" x14ac:dyDescent="0.2">
      <c r="A20666" s="258"/>
      <c r="Z20666" s="258"/>
    </row>
    <row r="20667" spans="1:26" ht="12.75" customHeight="1" x14ac:dyDescent="0.2">
      <c r="A20667" s="258"/>
      <c r="Z20667" s="258"/>
    </row>
    <row r="20668" spans="1:26" ht="12.75" customHeight="1" x14ac:dyDescent="0.2">
      <c r="A20668" s="258"/>
      <c r="Z20668" s="258"/>
    </row>
    <row r="20669" spans="1:26" ht="12.75" customHeight="1" x14ac:dyDescent="0.2">
      <c r="A20669" s="258"/>
      <c r="Z20669" s="258"/>
    </row>
    <row r="20670" spans="1:26" ht="12.75" customHeight="1" x14ac:dyDescent="0.2">
      <c r="A20670" s="258"/>
      <c r="Z20670" s="258"/>
    </row>
    <row r="20671" spans="1:26" ht="12.75" customHeight="1" x14ac:dyDescent="0.2">
      <c r="A20671" s="258"/>
      <c r="Z20671" s="258"/>
    </row>
    <row r="20672" spans="1:26" ht="12.75" customHeight="1" x14ac:dyDescent="0.2">
      <c r="A20672" s="258"/>
      <c r="Z20672" s="258"/>
    </row>
    <row r="20673" spans="1:26" ht="12.75" customHeight="1" x14ac:dyDescent="0.2">
      <c r="A20673" s="258"/>
      <c r="Z20673" s="258"/>
    </row>
    <row r="20674" spans="1:26" ht="12.75" customHeight="1" x14ac:dyDescent="0.2">
      <c r="A20674" s="258"/>
      <c r="Z20674" s="258"/>
    </row>
    <row r="20675" spans="1:26" ht="12.75" customHeight="1" x14ac:dyDescent="0.2">
      <c r="A20675" s="258"/>
      <c r="Z20675" s="258"/>
    </row>
    <row r="20676" spans="1:26" ht="12.75" customHeight="1" x14ac:dyDescent="0.2">
      <c r="A20676" s="258"/>
      <c r="Z20676" s="258"/>
    </row>
    <row r="20677" spans="1:26" ht="12.75" customHeight="1" x14ac:dyDescent="0.2">
      <c r="A20677" s="258"/>
      <c r="Z20677" s="258"/>
    </row>
    <row r="20678" spans="1:26" ht="12.75" customHeight="1" x14ac:dyDescent="0.2">
      <c r="A20678" s="258"/>
      <c r="Z20678" s="258"/>
    </row>
    <row r="20679" spans="1:26" ht="12.75" customHeight="1" x14ac:dyDescent="0.2">
      <c r="A20679" s="258"/>
      <c r="Z20679" s="258"/>
    </row>
    <row r="20680" spans="1:26" ht="12.75" customHeight="1" x14ac:dyDescent="0.2">
      <c r="A20680" s="258"/>
      <c r="Z20680" s="258"/>
    </row>
    <row r="20681" spans="1:26" ht="12.75" customHeight="1" x14ac:dyDescent="0.2">
      <c r="A20681" s="258"/>
      <c r="Z20681" s="258"/>
    </row>
    <row r="20682" spans="1:26" ht="12.75" customHeight="1" x14ac:dyDescent="0.2">
      <c r="A20682" s="258"/>
      <c r="Z20682" s="258"/>
    </row>
    <row r="20683" spans="1:26" ht="12.75" customHeight="1" x14ac:dyDescent="0.2">
      <c r="A20683" s="258"/>
      <c r="Z20683" s="258"/>
    </row>
    <row r="20684" spans="1:26" ht="12.75" customHeight="1" x14ac:dyDescent="0.2">
      <c r="A20684" s="258"/>
      <c r="Z20684" s="258"/>
    </row>
    <row r="20685" spans="1:26" ht="12.75" customHeight="1" x14ac:dyDescent="0.2">
      <c r="A20685" s="258"/>
      <c r="Z20685" s="258"/>
    </row>
    <row r="20686" spans="1:26" ht="12.75" customHeight="1" x14ac:dyDescent="0.2">
      <c r="A20686" s="258"/>
      <c r="Z20686" s="258"/>
    </row>
    <row r="20687" spans="1:26" ht="12.75" customHeight="1" x14ac:dyDescent="0.2">
      <c r="A20687" s="258"/>
      <c r="Z20687" s="258"/>
    </row>
    <row r="20688" spans="1:26" ht="12.75" customHeight="1" x14ac:dyDescent="0.2">
      <c r="A20688" s="258"/>
      <c r="Z20688" s="258"/>
    </row>
    <row r="20689" spans="1:26" ht="12.75" customHeight="1" x14ac:dyDescent="0.2">
      <c r="A20689" s="258"/>
      <c r="Z20689" s="258"/>
    </row>
    <row r="20690" spans="1:26" ht="12.75" customHeight="1" x14ac:dyDescent="0.2">
      <c r="A20690" s="258"/>
      <c r="Z20690" s="258"/>
    </row>
    <row r="20691" spans="1:26" ht="12.75" customHeight="1" x14ac:dyDescent="0.2">
      <c r="A20691" s="258"/>
      <c r="Z20691" s="258"/>
    </row>
    <row r="20692" spans="1:26" ht="12.75" customHeight="1" x14ac:dyDescent="0.2">
      <c r="A20692" s="258"/>
      <c r="Z20692" s="258"/>
    </row>
    <row r="20693" spans="1:26" ht="12.75" customHeight="1" x14ac:dyDescent="0.2">
      <c r="A20693" s="258"/>
      <c r="Z20693" s="258"/>
    </row>
    <row r="20694" spans="1:26" ht="12.75" customHeight="1" x14ac:dyDescent="0.2">
      <c r="A20694" s="258"/>
      <c r="Z20694" s="258"/>
    </row>
    <row r="20695" spans="1:26" ht="12.75" customHeight="1" x14ac:dyDescent="0.2">
      <c r="A20695" s="258"/>
      <c r="Z20695" s="258"/>
    </row>
    <row r="20696" spans="1:26" ht="12.75" customHeight="1" x14ac:dyDescent="0.2">
      <c r="A20696" s="258"/>
      <c r="Z20696" s="258"/>
    </row>
    <row r="20697" spans="1:26" ht="12.75" customHeight="1" x14ac:dyDescent="0.2">
      <c r="A20697" s="258"/>
      <c r="Z20697" s="258"/>
    </row>
    <row r="20698" spans="1:26" ht="12.75" customHeight="1" x14ac:dyDescent="0.2">
      <c r="A20698" s="258"/>
      <c r="Z20698" s="258"/>
    </row>
    <row r="20699" spans="1:26" ht="12.75" customHeight="1" x14ac:dyDescent="0.2">
      <c r="A20699" s="258"/>
      <c r="Z20699" s="258"/>
    </row>
    <row r="20700" spans="1:26" ht="12.75" customHeight="1" x14ac:dyDescent="0.2">
      <c r="A20700" s="258"/>
      <c r="Z20700" s="258"/>
    </row>
    <row r="20701" spans="1:26" ht="12.75" customHeight="1" x14ac:dyDescent="0.2">
      <c r="A20701" s="258"/>
      <c r="Z20701" s="258"/>
    </row>
    <row r="20702" spans="1:26" ht="12.75" customHeight="1" x14ac:dyDescent="0.2">
      <c r="A20702" s="258"/>
      <c r="Z20702" s="258"/>
    </row>
    <row r="20703" spans="1:26" ht="12.75" customHeight="1" x14ac:dyDescent="0.2">
      <c r="A20703" s="258"/>
      <c r="Z20703" s="258"/>
    </row>
    <row r="20704" spans="1:26" ht="12.75" customHeight="1" x14ac:dyDescent="0.2">
      <c r="A20704" s="258"/>
      <c r="Z20704" s="258"/>
    </row>
    <row r="20705" spans="1:26" ht="12.75" customHeight="1" x14ac:dyDescent="0.2">
      <c r="A20705" s="258"/>
      <c r="Z20705" s="258"/>
    </row>
    <row r="20706" spans="1:26" ht="12.75" customHeight="1" x14ac:dyDescent="0.2">
      <c r="A20706" s="258"/>
      <c r="Z20706" s="258"/>
    </row>
    <row r="20707" spans="1:26" ht="12.75" customHeight="1" x14ac:dyDescent="0.2">
      <c r="A20707" s="258"/>
      <c r="Z20707" s="258"/>
    </row>
    <row r="20708" spans="1:26" ht="12.75" customHeight="1" x14ac:dyDescent="0.2">
      <c r="A20708" s="258"/>
      <c r="Z20708" s="258"/>
    </row>
    <row r="20709" spans="1:26" ht="12.75" customHeight="1" x14ac:dyDescent="0.2">
      <c r="A20709" s="258"/>
      <c r="Z20709" s="258"/>
    </row>
    <row r="20710" spans="1:26" ht="12.75" customHeight="1" x14ac:dyDescent="0.2">
      <c r="A20710" s="258"/>
      <c r="Z20710" s="258"/>
    </row>
    <row r="20711" spans="1:26" ht="12.75" customHeight="1" x14ac:dyDescent="0.2">
      <c r="A20711" s="258"/>
      <c r="Z20711" s="258"/>
    </row>
    <row r="20712" spans="1:26" ht="12.75" customHeight="1" x14ac:dyDescent="0.2">
      <c r="A20712" s="258"/>
      <c r="Z20712" s="258"/>
    </row>
    <row r="20713" spans="1:26" ht="12.75" customHeight="1" x14ac:dyDescent="0.2">
      <c r="A20713" s="258"/>
      <c r="Z20713" s="258"/>
    </row>
    <row r="20714" spans="1:26" ht="12.75" customHeight="1" x14ac:dyDescent="0.2">
      <c r="A20714" s="258"/>
      <c r="Z20714" s="258"/>
    </row>
    <row r="20715" spans="1:26" ht="12.75" customHeight="1" x14ac:dyDescent="0.2">
      <c r="A20715" s="258"/>
      <c r="Z20715" s="258"/>
    </row>
    <row r="20716" spans="1:26" ht="12.75" customHeight="1" x14ac:dyDescent="0.2">
      <c r="A20716" s="258"/>
      <c r="Z20716" s="258"/>
    </row>
    <row r="20717" spans="1:26" ht="12.75" customHeight="1" x14ac:dyDescent="0.2">
      <c r="A20717" s="258"/>
      <c r="Z20717" s="258"/>
    </row>
    <row r="20718" spans="1:26" ht="12.75" customHeight="1" x14ac:dyDescent="0.2">
      <c r="A20718" s="258"/>
      <c r="Z20718" s="258"/>
    </row>
    <row r="20719" spans="1:26" ht="12.75" customHeight="1" x14ac:dyDescent="0.2">
      <c r="A20719" s="258"/>
      <c r="Z20719" s="258"/>
    </row>
    <row r="20720" spans="1:26" ht="12.75" customHeight="1" x14ac:dyDescent="0.2">
      <c r="A20720" s="258"/>
      <c r="Z20720" s="258"/>
    </row>
    <row r="20721" spans="1:26" ht="12.75" customHeight="1" x14ac:dyDescent="0.2">
      <c r="A20721" s="258"/>
      <c r="Z20721" s="258"/>
    </row>
    <row r="20722" spans="1:26" ht="12.75" customHeight="1" x14ac:dyDescent="0.2">
      <c r="A20722" s="258"/>
      <c r="Z20722" s="258"/>
    </row>
    <row r="20723" spans="1:26" ht="12.75" customHeight="1" x14ac:dyDescent="0.2">
      <c r="A20723" s="258"/>
      <c r="Z20723" s="258"/>
    </row>
    <row r="20724" spans="1:26" ht="12.75" customHeight="1" x14ac:dyDescent="0.2">
      <c r="A20724" s="258"/>
      <c r="Z20724" s="258"/>
    </row>
    <row r="20725" spans="1:26" ht="12.75" customHeight="1" x14ac:dyDescent="0.2">
      <c r="A20725" s="258"/>
      <c r="Z20725" s="258"/>
    </row>
    <row r="20726" spans="1:26" ht="12.75" customHeight="1" x14ac:dyDescent="0.2">
      <c r="A20726" s="258"/>
      <c r="Z20726" s="258"/>
    </row>
    <row r="20727" spans="1:26" ht="12.75" customHeight="1" x14ac:dyDescent="0.2">
      <c r="A20727" s="258"/>
      <c r="Z20727" s="258"/>
    </row>
    <row r="20728" spans="1:26" ht="12.75" customHeight="1" x14ac:dyDescent="0.2">
      <c r="A20728" s="258"/>
      <c r="Z20728" s="258"/>
    </row>
    <row r="20729" spans="1:26" ht="12.75" customHeight="1" x14ac:dyDescent="0.2">
      <c r="A20729" s="258"/>
      <c r="Z20729" s="258"/>
    </row>
    <row r="20730" spans="1:26" ht="12.75" customHeight="1" x14ac:dyDescent="0.2">
      <c r="A20730" s="258"/>
      <c r="Z20730" s="258"/>
    </row>
    <row r="20731" spans="1:26" ht="12.75" customHeight="1" x14ac:dyDescent="0.2">
      <c r="A20731" s="258"/>
      <c r="Z20731" s="258"/>
    </row>
    <row r="20732" spans="1:26" ht="12.75" customHeight="1" x14ac:dyDescent="0.2">
      <c r="A20732" s="258"/>
      <c r="Z20732" s="258"/>
    </row>
    <row r="20733" spans="1:26" ht="12.75" customHeight="1" x14ac:dyDescent="0.2">
      <c r="A20733" s="258"/>
      <c r="Z20733" s="258"/>
    </row>
    <row r="20734" spans="1:26" ht="12.75" customHeight="1" x14ac:dyDescent="0.2">
      <c r="A20734" s="258"/>
      <c r="Z20734" s="258"/>
    </row>
    <row r="20735" spans="1:26" ht="12.75" customHeight="1" x14ac:dyDescent="0.2">
      <c r="A20735" s="258"/>
      <c r="Z20735" s="258"/>
    </row>
    <row r="20736" spans="1:26" ht="12.75" customHeight="1" x14ac:dyDescent="0.2">
      <c r="A20736" s="258"/>
      <c r="Z20736" s="258"/>
    </row>
    <row r="20737" spans="1:26" ht="12.75" customHeight="1" x14ac:dyDescent="0.2">
      <c r="A20737" s="258"/>
      <c r="Z20737" s="258"/>
    </row>
    <row r="20738" spans="1:26" ht="12.75" customHeight="1" x14ac:dyDescent="0.2">
      <c r="A20738" s="258"/>
      <c r="Z20738" s="258"/>
    </row>
    <row r="20739" spans="1:26" ht="12.75" customHeight="1" x14ac:dyDescent="0.2">
      <c r="A20739" s="258"/>
      <c r="Z20739" s="258"/>
    </row>
    <row r="20740" spans="1:26" ht="12.75" customHeight="1" x14ac:dyDescent="0.2">
      <c r="A20740" s="258"/>
      <c r="Z20740" s="258"/>
    </row>
    <row r="20741" spans="1:26" ht="12.75" customHeight="1" x14ac:dyDescent="0.2">
      <c r="A20741" s="258"/>
      <c r="Z20741" s="258"/>
    </row>
    <row r="20742" spans="1:26" ht="12.75" customHeight="1" x14ac:dyDescent="0.2">
      <c r="A20742" s="258"/>
      <c r="Z20742" s="258"/>
    </row>
    <row r="20743" spans="1:26" ht="12.75" customHeight="1" x14ac:dyDescent="0.2">
      <c r="A20743" s="258"/>
      <c r="Z20743" s="258"/>
    </row>
    <row r="20744" spans="1:26" ht="12.75" customHeight="1" x14ac:dyDescent="0.2">
      <c r="A20744" s="258"/>
      <c r="Z20744" s="258"/>
    </row>
    <row r="20745" spans="1:26" ht="12.75" customHeight="1" x14ac:dyDescent="0.2">
      <c r="A20745" s="258"/>
      <c r="Z20745" s="258"/>
    </row>
    <row r="20746" spans="1:26" ht="12.75" customHeight="1" x14ac:dyDescent="0.2">
      <c r="A20746" s="258"/>
      <c r="Z20746" s="258"/>
    </row>
    <row r="20747" spans="1:26" ht="12.75" customHeight="1" x14ac:dyDescent="0.2">
      <c r="A20747" s="258"/>
      <c r="Z20747" s="258"/>
    </row>
    <row r="20748" spans="1:26" ht="12.75" customHeight="1" x14ac:dyDescent="0.2">
      <c r="A20748" s="258"/>
      <c r="Z20748" s="258"/>
    </row>
    <row r="20749" spans="1:26" ht="12.75" customHeight="1" x14ac:dyDescent="0.2">
      <c r="A20749" s="258"/>
      <c r="Z20749" s="258"/>
    </row>
    <row r="20750" spans="1:26" ht="12.75" customHeight="1" x14ac:dyDescent="0.2">
      <c r="A20750" s="258"/>
      <c r="Z20750" s="258"/>
    </row>
    <row r="20751" spans="1:26" ht="12.75" customHeight="1" x14ac:dyDescent="0.2">
      <c r="A20751" s="258"/>
      <c r="Z20751" s="258"/>
    </row>
    <row r="20752" spans="1:26" ht="12.75" customHeight="1" x14ac:dyDescent="0.2">
      <c r="A20752" s="258"/>
      <c r="Z20752" s="258"/>
    </row>
    <row r="20753" spans="1:26" ht="12.75" customHeight="1" x14ac:dyDescent="0.2">
      <c r="A20753" s="258"/>
      <c r="Z20753" s="258"/>
    </row>
    <row r="20754" spans="1:26" ht="12.75" customHeight="1" x14ac:dyDescent="0.2">
      <c r="A20754" s="258"/>
      <c r="Z20754" s="258"/>
    </row>
    <row r="20755" spans="1:26" ht="12.75" customHeight="1" x14ac:dyDescent="0.2">
      <c r="A20755" s="258"/>
      <c r="Z20755" s="258"/>
    </row>
    <row r="20756" spans="1:26" ht="12.75" customHeight="1" x14ac:dyDescent="0.2">
      <c r="A20756" s="258"/>
      <c r="Z20756" s="258"/>
    </row>
    <row r="20757" spans="1:26" ht="12.75" customHeight="1" x14ac:dyDescent="0.2">
      <c r="A20757" s="258"/>
      <c r="Z20757" s="258"/>
    </row>
    <row r="20758" spans="1:26" ht="12.75" customHeight="1" x14ac:dyDescent="0.2">
      <c r="A20758" s="258"/>
      <c r="Z20758" s="258"/>
    </row>
    <row r="20759" spans="1:26" ht="12.75" customHeight="1" x14ac:dyDescent="0.2">
      <c r="A20759" s="258"/>
      <c r="Z20759" s="258"/>
    </row>
    <row r="20760" spans="1:26" ht="12.75" customHeight="1" x14ac:dyDescent="0.2">
      <c r="A20760" s="258"/>
      <c r="Z20760" s="258"/>
    </row>
    <row r="20761" spans="1:26" ht="12.75" customHeight="1" x14ac:dyDescent="0.2">
      <c r="A20761" s="258"/>
      <c r="Z20761" s="258"/>
    </row>
    <row r="20762" spans="1:26" ht="12.75" customHeight="1" x14ac:dyDescent="0.2">
      <c r="A20762" s="258"/>
      <c r="Z20762" s="258"/>
    </row>
    <row r="20763" spans="1:26" ht="12.75" customHeight="1" x14ac:dyDescent="0.2">
      <c r="A20763" s="258"/>
      <c r="Z20763" s="258"/>
    </row>
    <row r="20764" spans="1:26" ht="12.75" customHeight="1" x14ac:dyDescent="0.2">
      <c r="A20764" s="258"/>
      <c r="Z20764" s="258"/>
    </row>
    <row r="20765" spans="1:26" ht="12.75" customHeight="1" x14ac:dyDescent="0.2">
      <c r="A20765" s="258"/>
      <c r="Z20765" s="258"/>
    </row>
    <row r="20766" spans="1:26" ht="12.75" customHeight="1" x14ac:dyDescent="0.2">
      <c r="A20766" s="258"/>
      <c r="Z20766" s="258"/>
    </row>
    <row r="20767" spans="1:26" ht="12.75" customHeight="1" x14ac:dyDescent="0.2">
      <c r="A20767" s="258"/>
      <c r="Z20767" s="258"/>
    </row>
    <row r="20768" spans="1:26" ht="12.75" customHeight="1" x14ac:dyDescent="0.2">
      <c r="A20768" s="258"/>
      <c r="Z20768" s="258"/>
    </row>
    <row r="20769" spans="1:26" ht="12.75" customHeight="1" x14ac:dyDescent="0.2">
      <c r="A20769" s="258"/>
      <c r="Z20769" s="258"/>
    </row>
    <row r="20770" spans="1:26" ht="12.75" customHeight="1" x14ac:dyDescent="0.2">
      <c r="A20770" s="258"/>
      <c r="Z20770" s="258"/>
    </row>
    <row r="20771" spans="1:26" ht="12.75" customHeight="1" x14ac:dyDescent="0.2">
      <c r="A20771" s="258"/>
      <c r="Z20771" s="258"/>
    </row>
    <row r="20772" spans="1:26" ht="12.75" customHeight="1" x14ac:dyDescent="0.2">
      <c r="A20772" s="258"/>
      <c r="Z20772" s="258"/>
    </row>
    <row r="20773" spans="1:26" ht="12.75" customHeight="1" x14ac:dyDescent="0.2">
      <c r="A20773" s="258"/>
      <c r="Z20773" s="258"/>
    </row>
    <row r="20774" spans="1:26" ht="12.75" customHeight="1" x14ac:dyDescent="0.2">
      <c r="A20774" s="258"/>
      <c r="Z20774" s="258"/>
    </row>
    <row r="20775" spans="1:26" ht="12.75" customHeight="1" x14ac:dyDescent="0.2">
      <c r="A20775" s="258"/>
      <c r="Z20775" s="258"/>
    </row>
    <row r="20776" spans="1:26" ht="12.75" customHeight="1" x14ac:dyDescent="0.2">
      <c r="A20776" s="258"/>
      <c r="Z20776" s="258"/>
    </row>
    <row r="20777" spans="1:26" ht="12.75" customHeight="1" x14ac:dyDescent="0.2">
      <c r="A20777" s="258"/>
      <c r="Z20777" s="258"/>
    </row>
    <row r="20778" spans="1:26" ht="12.75" customHeight="1" x14ac:dyDescent="0.2">
      <c r="A20778" s="258"/>
      <c r="Z20778" s="258"/>
    </row>
    <row r="20779" spans="1:26" ht="12.75" customHeight="1" x14ac:dyDescent="0.2">
      <c r="A20779" s="258"/>
      <c r="Z20779" s="258"/>
    </row>
    <row r="20780" spans="1:26" ht="12.75" customHeight="1" x14ac:dyDescent="0.2">
      <c r="A20780" s="258"/>
      <c r="Z20780" s="258"/>
    </row>
    <row r="20781" spans="1:26" ht="12.75" customHeight="1" x14ac:dyDescent="0.2">
      <c r="A20781" s="258"/>
      <c r="Z20781" s="258"/>
    </row>
    <row r="20782" spans="1:26" ht="12.75" customHeight="1" x14ac:dyDescent="0.2">
      <c r="A20782" s="258"/>
      <c r="Z20782" s="258"/>
    </row>
    <row r="20783" spans="1:26" ht="12.75" customHeight="1" x14ac:dyDescent="0.2">
      <c r="A20783" s="258"/>
      <c r="Z20783" s="258"/>
    </row>
    <row r="20784" spans="1:26" ht="12.75" customHeight="1" x14ac:dyDescent="0.2">
      <c r="A20784" s="258"/>
      <c r="Z20784" s="258"/>
    </row>
    <row r="20785" spans="1:26" ht="12.75" customHeight="1" x14ac:dyDescent="0.2">
      <c r="A20785" s="258"/>
      <c r="Z20785" s="258"/>
    </row>
    <row r="20786" spans="1:26" ht="12.75" customHeight="1" x14ac:dyDescent="0.2">
      <c r="A20786" s="258"/>
      <c r="Z20786" s="258"/>
    </row>
    <row r="20787" spans="1:26" ht="12.75" customHeight="1" x14ac:dyDescent="0.2">
      <c r="A20787" s="258"/>
      <c r="Z20787" s="258"/>
    </row>
    <row r="20788" spans="1:26" ht="12.75" customHeight="1" x14ac:dyDescent="0.2">
      <c r="A20788" s="258"/>
      <c r="Z20788" s="258"/>
    </row>
    <row r="20789" spans="1:26" ht="12.75" customHeight="1" x14ac:dyDescent="0.2">
      <c r="A20789" s="258"/>
      <c r="Z20789" s="258"/>
    </row>
    <row r="20790" spans="1:26" ht="12.75" customHeight="1" x14ac:dyDescent="0.2">
      <c r="A20790" s="258"/>
      <c r="Z20790" s="258"/>
    </row>
    <row r="20791" spans="1:26" ht="12.75" customHeight="1" x14ac:dyDescent="0.2">
      <c r="A20791" s="258"/>
      <c r="Z20791" s="258"/>
    </row>
    <row r="20792" spans="1:26" ht="12.75" customHeight="1" x14ac:dyDescent="0.2">
      <c r="A20792" s="258"/>
      <c r="Z20792" s="258"/>
    </row>
    <row r="20793" spans="1:26" ht="12.75" customHeight="1" x14ac:dyDescent="0.2">
      <c r="A20793" s="258"/>
      <c r="Z20793" s="258"/>
    </row>
    <row r="20794" spans="1:26" ht="12.75" customHeight="1" x14ac:dyDescent="0.2">
      <c r="A20794" s="258"/>
      <c r="Z20794" s="258"/>
    </row>
    <row r="20795" spans="1:26" ht="12.75" customHeight="1" x14ac:dyDescent="0.2">
      <c r="A20795" s="258"/>
      <c r="Z20795" s="258"/>
    </row>
    <row r="20796" spans="1:26" ht="12.75" customHeight="1" x14ac:dyDescent="0.2">
      <c r="A20796" s="258"/>
      <c r="Z20796" s="258"/>
    </row>
    <row r="20797" spans="1:26" ht="12.75" customHeight="1" x14ac:dyDescent="0.2">
      <c r="A20797" s="258"/>
      <c r="Z20797" s="258"/>
    </row>
    <row r="20798" spans="1:26" ht="12.75" customHeight="1" x14ac:dyDescent="0.2">
      <c r="A20798" s="258"/>
      <c r="Z20798" s="258"/>
    </row>
    <row r="20799" spans="1:26" ht="12.75" customHeight="1" x14ac:dyDescent="0.2">
      <c r="A20799" s="258"/>
      <c r="Z20799" s="258"/>
    </row>
    <row r="20800" spans="1:26" ht="12.75" customHeight="1" x14ac:dyDescent="0.2">
      <c r="A20800" s="258"/>
      <c r="Z20800" s="258"/>
    </row>
    <row r="20801" spans="1:26" ht="12.75" customHeight="1" x14ac:dyDescent="0.2">
      <c r="A20801" s="258"/>
      <c r="Z20801" s="258"/>
    </row>
    <row r="20802" spans="1:26" ht="12.75" customHeight="1" x14ac:dyDescent="0.2">
      <c r="A20802" s="258"/>
      <c r="Z20802" s="258"/>
    </row>
    <row r="20803" spans="1:26" ht="12.75" customHeight="1" x14ac:dyDescent="0.2">
      <c r="A20803" s="258"/>
      <c r="Z20803" s="258"/>
    </row>
    <row r="20804" spans="1:26" ht="12.75" customHeight="1" x14ac:dyDescent="0.2">
      <c r="A20804" s="258"/>
      <c r="Z20804" s="258"/>
    </row>
    <row r="20805" spans="1:26" ht="12.75" customHeight="1" x14ac:dyDescent="0.2">
      <c r="A20805" s="258"/>
      <c r="Z20805" s="258"/>
    </row>
    <row r="20806" spans="1:26" ht="12.75" customHeight="1" x14ac:dyDescent="0.2">
      <c r="A20806" s="258"/>
      <c r="Z20806" s="258"/>
    </row>
    <row r="20807" spans="1:26" ht="12.75" customHeight="1" x14ac:dyDescent="0.2">
      <c r="A20807" s="258"/>
      <c r="Z20807" s="258"/>
    </row>
    <row r="20808" spans="1:26" ht="12.75" customHeight="1" x14ac:dyDescent="0.2">
      <c r="A20808" s="258"/>
      <c r="Z20808" s="258"/>
    </row>
    <row r="20809" spans="1:26" ht="12.75" customHeight="1" x14ac:dyDescent="0.2">
      <c r="A20809" s="258"/>
      <c r="Z20809" s="258"/>
    </row>
    <row r="20810" spans="1:26" ht="12.75" customHeight="1" x14ac:dyDescent="0.2">
      <c r="A20810" s="258"/>
      <c r="Z20810" s="258"/>
    </row>
    <row r="20811" spans="1:26" ht="12.75" customHeight="1" x14ac:dyDescent="0.2">
      <c r="A20811" s="258"/>
      <c r="Z20811" s="258"/>
    </row>
    <row r="20812" spans="1:26" ht="12.75" customHeight="1" x14ac:dyDescent="0.2">
      <c r="A20812" s="258"/>
      <c r="Z20812" s="258"/>
    </row>
    <row r="20813" spans="1:26" ht="12.75" customHeight="1" x14ac:dyDescent="0.2">
      <c r="A20813" s="258"/>
      <c r="Z20813" s="258"/>
    </row>
    <row r="20814" spans="1:26" ht="12.75" customHeight="1" x14ac:dyDescent="0.2">
      <c r="A20814" s="258"/>
      <c r="Z20814" s="258"/>
    </row>
    <row r="20815" spans="1:26" ht="12.75" customHeight="1" x14ac:dyDescent="0.2">
      <c r="A20815" s="258"/>
      <c r="Z20815" s="258"/>
    </row>
    <row r="20816" spans="1:26" ht="12.75" customHeight="1" x14ac:dyDescent="0.2">
      <c r="A20816" s="258"/>
      <c r="Z20816" s="258"/>
    </row>
    <row r="20817" spans="1:26" ht="12.75" customHeight="1" x14ac:dyDescent="0.2">
      <c r="A20817" s="258"/>
      <c r="Z20817" s="258"/>
    </row>
    <row r="20818" spans="1:26" ht="12.75" customHeight="1" x14ac:dyDescent="0.2">
      <c r="A20818" s="258"/>
      <c r="Z20818" s="258"/>
    </row>
    <row r="20819" spans="1:26" ht="12.75" customHeight="1" x14ac:dyDescent="0.2">
      <c r="A20819" s="258"/>
      <c r="Z20819" s="258"/>
    </row>
    <row r="20820" spans="1:26" ht="12.75" customHeight="1" x14ac:dyDescent="0.2">
      <c r="A20820" s="258"/>
      <c r="Z20820" s="258"/>
    </row>
    <row r="20821" spans="1:26" ht="12.75" customHeight="1" x14ac:dyDescent="0.2">
      <c r="A20821" s="258"/>
      <c r="Z20821" s="258"/>
    </row>
    <row r="20822" spans="1:26" ht="12.75" customHeight="1" x14ac:dyDescent="0.2">
      <c r="A20822" s="258"/>
      <c r="Z20822" s="258"/>
    </row>
    <row r="20823" spans="1:26" ht="12.75" customHeight="1" x14ac:dyDescent="0.2">
      <c r="A20823" s="258"/>
      <c r="Z20823" s="258"/>
    </row>
    <row r="20824" spans="1:26" ht="12.75" customHeight="1" x14ac:dyDescent="0.2">
      <c r="A20824" s="258"/>
      <c r="Z20824" s="258"/>
    </row>
    <row r="20825" spans="1:26" ht="12.75" customHeight="1" x14ac:dyDescent="0.2">
      <c r="A20825" s="258"/>
      <c r="Z20825" s="258"/>
    </row>
    <row r="20826" spans="1:26" ht="12.75" customHeight="1" x14ac:dyDescent="0.2">
      <c r="A20826" s="258"/>
      <c r="Z20826" s="258"/>
    </row>
    <row r="20827" spans="1:26" ht="12.75" customHeight="1" x14ac:dyDescent="0.2">
      <c r="A20827" s="258"/>
      <c r="Z20827" s="258"/>
    </row>
    <row r="20828" spans="1:26" ht="12.75" customHeight="1" x14ac:dyDescent="0.2">
      <c r="A20828" s="258"/>
      <c r="Z20828" s="258"/>
    </row>
    <row r="20829" spans="1:26" ht="12.75" customHeight="1" x14ac:dyDescent="0.2">
      <c r="A20829" s="258"/>
      <c r="Z20829" s="258"/>
    </row>
    <row r="20830" spans="1:26" ht="12.75" customHeight="1" x14ac:dyDescent="0.2">
      <c r="A20830" s="258"/>
      <c r="Z20830" s="258"/>
    </row>
    <row r="20831" spans="1:26" ht="12.75" customHeight="1" x14ac:dyDescent="0.2">
      <c r="A20831" s="258"/>
      <c r="Z20831" s="258"/>
    </row>
    <row r="20832" spans="1:26" ht="12.75" customHeight="1" x14ac:dyDescent="0.2">
      <c r="A20832" s="258"/>
      <c r="Z20832" s="258"/>
    </row>
    <row r="20833" spans="1:26" ht="12.75" customHeight="1" x14ac:dyDescent="0.2">
      <c r="A20833" s="258"/>
      <c r="Z20833" s="258"/>
    </row>
    <row r="20834" spans="1:26" ht="12.75" customHeight="1" x14ac:dyDescent="0.2">
      <c r="A20834" s="258"/>
      <c r="Z20834" s="258"/>
    </row>
    <row r="20835" spans="1:26" ht="12.75" customHeight="1" x14ac:dyDescent="0.2">
      <c r="A20835" s="258"/>
      <c r="Z20835" s="258"/>
    </row>
    <row r="20836" spans="1:26" ht="12.75" customHeight="1" x14ac:dyDescent="0.2">
      <c r="A20836" s="258"/>
      <c r="Z20836" s="258"/>
    </row>
    <row r="20837" spans="1:26" ht="12.75" customHeight="1" x14ac:dyDescent="0.2">
      <c r="A20837" s="258"/>
      <c r="Z20837" s="258"/>
    </row>
    <row r="20838" spans="1:26" ht="12.75" customHeight="1" x14ac:dyDescent="0.2">
      <c r="A20838" s="258"/>
      <c r="Z20838" s="258"/>
    </row>
    <row r="20839" spans="1:26" ht="12.75" customHeight="1" x14ac:dyDescent="0.2">
      <c r="A20839" s="258"/>
      <c r="Z20839" s="258"/>
    </row>
    <row r="20840" spans="1:26" ht="12.75" customHeight="1" x14ac:dyDescent="0.2">
      <c r="A20840" s="258"/>
      <c r="Z20840" s="258"/>
    </row>
    <row r="20841" spans="1:26" ht="12.75" customHeight="1" x14ac:dyDescent="0.2">
      <c r="A20841" s="258"/>
      <c r="Z20841" s="258"/>
    </row>
    <row r="20842" spans="1:26" ht="12.75" customHeight="1" x14ac:dyDescent="0.2">
      <c r="A20842" s="258"/>
      <c r="Z20842" s="258"/>
    </row>
    <row r="20843" spans="1:26" ht="12.75" customHeight="1" x14ac:dyDescent="0.2">
      <c r="A20843" s="258"/>
      <c r="Z20843" s="258"/>
    </row>
    <row r="20844" spans="1:26" ht="12.75" customHeight="1" x14ac:dyDescent="0.2">
      <c r="A20844" s="258"/>
      <c r="Z20844" s="258"/>
    </row>
    <row r="20845" spans="1:26" ht="12.75" customHeight="1" x14ac:dyDescent="0.2">
      <c r="A20845" s="258"/>
      <c r="Z20845" s="258"/>
    </row>
    <row r="20846" spans="1:26" ht="12.75" customHeight="1" x14ac:dyDescent="0.2">
      <c r="A20846" s="258"/>
      <c r="Z20846" s="258"/>
    </row>
    <row r="20847" spans="1:26" ht="12.75" customHeight="1" x14ac:dyDescent="0.2">
      <c r="A20847" s="258"/>
      <c r="Z20847" s="258"/>
    </row>
    <row r="20848" spans="1:26" ht="12.75" customHeight="1" x14ac:dyDescent="0.2">
      <c r="A20848" s="258"/>
      <c r="Z20848" s="258"/>
    </row>
    <row r="20849" spans="1:26" ht="12.75" customHeight="1" x14ac:dyDescent="0.2">
      <c r="A20849" s="258"/>
      <c r="Z20849" s="258"/>
    </row>
    <row r="20850" spans="1:26" ht="12.75" customHeight="1" x14ac:dyDescent="0.2">
      <c r="A20850" s="258"/>
      <c r="Z20850" s="258"/>
    </row>
    <row r="20851" spans="1:26" ht="12.75" customHeight="1" x14ac:dyDescent="0.2">
      <c r="A20851" s="258"/>
      <c r="Z20851" s="258"/>
    </row>
    <row r="20852" spans="1:26" ht="12.75" customHeight="1" x14ac:dyDescent="0.2">
      <c r="A20852" s="258"/>
      <c r="Z20852" s="258"/>
    </row>
    <row r="20853" spans="1:26" ht="12.75" customHeight="1" x14ac:dyDescent="0.2">
      <c r="A20853" s="258"/>
      <c r="Z20853" s="258"/>
    </row>
    <row r="20854" spans="1:26" ht="12.75" customHeight="1" x14ac:dyDescent="0.2">
      <c r="A20854" s="258"/>
      <c r="Z20854" s="258"/>
    </row>
    <row r="20855" spans="1:26" ht="12.75" customHeight="1" x14ac:dyDescent="0.2">
      <c r="A20855" s="258"/>
      <c r="Z20855" s="258"/>
    </row>
    <row r="20856" spans="1:26" ht="12.75" customHeight="1" x14ac:dyDescent="0.2">
      <c r="A20856" s="258"/>
      <c r="Z20856" s="258"/>
    </row>
    <row r="20857" spans="1:26" ht="12.75" customHeight="1" x14ac:dyDescent="0.2">
      <c r="A20857" s="258"/>
      <c r="Z20857" s="258"/>
    </row>
    <row r="20858" spans="1:26" ht="12.75" customHeight="1" x14ac:dyDescent="0.2">
      <c r="A20858" s="258"/>
      <c r="Z20858" s="258"/>
    </row>
    <row r="20859" spans="1:26" ht="12.75" customHeight="1" x14ac:dyDescent="0.2">
      <c r="A20859" s="258"/>
      <c r="Z20859" s="258"/>
    </row>
    <row r="20860" spans="1:26" ht="12.75" customHeight="1" x14ac:dyDescent="0.2">
      <c r="A20860" s="258"/>
      <c r="Z20860" s="258"/>
    </row>
    <row r="20861" spans="1:26" ht="12.75" customHeight="1" x14ac:dyDescent="0.2">
      <c r="A20861" s="258"/>
      <c r="Z20861" s="258"/>
    </row>
    <row r="20862" spans="1:26" ht="12.75" customHeight="1" x14ac:dyDescent="0.2">
      <c r="A20862" s="258"/>
      <c r="Z20862" s="258"/>
    </row>
    <row r="20863" spans="1:26" ht="12.75" customHeight="1" x14ac:dyDescent="0.2">
      <c r="A20863" s="258"/>
      <c r="Z20863" s="258"/>
    </row>
    <row r="20864" spans="1:26" ht="12.75" customHeight="1" x14ac:dyDescent="0.2">
      <c r="A20864" s="258"/>
      <c r="Z20864" s="258"/>
    </row>
    <row r="20865" spans="1:26" ht="12.75" customHeight="1" x14ac:dyDescent="0.2">
      <c r="A20865" s="258"/>
      <c r="Z20865" s="258"/>
    </row>
    <row r="20866" spans="1:26" ht="12.75" customHeight="1" x14ac:dyDescent="0.2">
      <c r="A20866" s="258"/>
      <c r="Z20866" s="258"/>
    </row>
    <row r="20867" spans="1:26" ht="12.75" customHeight="1" x14ac:dyDescent="0.2">
      <c r="A20867" s="258"/>
      <c r="Z20867" s="258"/>
    </row>
    <row r="20868" spans="1:26" ht="12.75" customHeight="1" x14ac:dyDescent="0.2">
      <c r="A20868" s="258"/>
      <c r="Z20868" s="258"/>
    </row>
    <row r="20869" spans="1:26" ht="12.75" customHeight="1" x14ac:dyDescent="0.2">
      <c r="A20869" s="258"/>
      <c r="Z20869" s="258"/>
    </row>
    <row r="20870" spans="1:26" ht="12.75" customHeight="1" x14ac:dyDescent="0.2">
      <c r="A20870" s="258"/>
      <c r="Z20870" s="258"/>
    </row>
    <row r="20871" spans="1:26" ht="12.75" customHeight="1" x14ac:dyDescent="0.2">
      <c r="A20871" s="258"/>
      <c r="Z20871" s="258"/>
    </row>
    <row r="20872" spans="1:26" ht="12.75" customHeight="1" x14ac:dyDescent="0.2">
      <c r="A20872" s="258"/>
      <c r="Z20872" s="258"/>
    </row>
    <row r="20873" spans="1:26" ht="12.75" customHeight="1" x14ac:dyDescent="0.2">
      <c r="A20873" s="258"/>
      <c r="Z20873" s="258"/>
    </row>
    <row r="20874" spans="1:26" ht="12.75" customHeight="1" x14ac:dyDescent="0.2">
      <c r="A20874" s="258"/>
      <c r="Z20874" s="258"/>
    </row>
    <row r="20875" spans="1:26" ht="12.75" customHeight="1" x14ac:dyDescent="0.2">
      <c r="A20875" s="258"/>
      <c r="Z20875" s="258"/>
    </row>
    <row r="20876" spans="1:26" ht="12.75" customHeight="1" x14ac:dyDescent="0.2">
      <c r="A20876" s="258"/>
      <c r="Z20876" s="258"/>
    </row>
    <row r="20877" spans="1:26" ht="12.75" customHeight="1" x14ac:dyDescent="0.2">
      <c r="A20877" s="258"/>
      <c r="Z20877" s="258"/>
    </row>
    <row r="20878" spans="1:26" ht="12.75" customHeight="1" x14ac:dyDescent="0.2">
      <c r="A20878" s="258"/>
      <c r="Z20878" s="258"/>
    </row>
    <row r="20879" spans="1:26" ht="12.75" customHeight="1" x14ac:dyDescent="0.2">
      <c r="A20879" s="258"/>
      <c r="Z20879" s="258"/>
    </row>
    <row r="20880" spans="1:26" ht="12.75" customHeight="1" x14ac:dyDescent="0.2">
      <c r="A20880" s="258"/>
      <c r="Z20880" s="258"/>
    </row>
    <row r="20881" spans="1:26" ht="12.75" customHeight="1" x14ac:dyDescent="0.2">
      <c r="A20881" s="258"/>
      <c r="Z20881" s="258"/>
    </row>
    <row r="20882" spans="1:26" ht="12.75" customHeight="1" x14ac:dyDescent="0.2">
      <c r="A20882" s="258"/>
      <c r="Z20882" s="258"/>
    </row>
    <row r="20883" spans="1:26" ht="12.75" customHeight="1" x14ac:dyDescent="0.2">
      <c r="A20883" s="258"/>
      <c r="Z20883" s="258"/>
    </row>
    <row r="20884" spans="1:26" ht="12.75" customHeight="1" x14ac:dyDescent="0.2">
      <c r="A20884" s="258"/>
      <c r="Z20884" s="258"/>
    </row>
    <row r="20885" spans="1:26" ht="12.75" customHeight="1" x14ac:dyDescent="0.2">
      <c r="A20885" s="258"/>
      <c r="Z20885" s="258"/>
    </row>
    <row r="20886" spans="1:26" ht="12.75" customHeight="1" x14ac:dyDescent="0.2">
      <c r="A20886" s="258"/>
      <c r="Z20886" s="258"/>
    </row>
    <row r="20887" spans="1:26" ht="12.75" customHeight="1" x14ac:dyDescent="0.2">
      <c r="A20887" s="258"/>
      <c r="Z20887" s="258"/>
    </row>
    <row r="20888" spans="1:26" ht="12.75" customHeight="1" x14ac:dyDescent="0.2">
      <c r="A20888" s="258"/>
      <c r="Z20888" s="258"/>
    </row>
    <row r="20889" spans="1:26" ht="12.75" customHeight="1" x14ac:dyDescent="0.2">
      <c r="A20889" s="258"/>
      <c r="Z20889" s="258"/>
    </row>
    <row r="20890" spans="1:26" ht="12.75" customHeight="1" x14ac:dyDescent="0.2">
      <c r="A20890" s="258"/>
      <c r="Z20890" s="258"/>
    </row>
    <row r="20891" spans="1:26" ht="12.75" customHeight="1" x14ac:dyDescent="0.2">
      <c r="A20891" s="258"/>
      <c r="Z20891" s="258"/>
    </row>
    <row r="20892" spans="1:26" ht="12.75" customHeight="1" x14ac:dyDescent="0.2">
      <c r="A20892" s="258"/>
      <c r="Z20892" s="258"/>
    </row>
    <row r="20893" spans="1:26" ht="12.75" customHeight="1" x14ac:dyDescent="0.2">
      <c r="A20893" s="258"/>
      <c r="Z20893" s="258"/>
    </row>
    <row r="20894" spans="1:26" ht="12.75" customHeight="1" x14ac:dyDescent="0.2">
      <c r="A20894" s="258"/>
      <c r="Z20894" s="258"/>
    </row>
    <row r="20895" spans="1:26" ht="12.75" customHeight="1" x14ac:dyDescent="0.2">
      <c r="A20895" s="258"/>
      <c r="Z20895" s="258"/>
    </row>
    <row r="20896" spans="1:26" ht="12.75" customHeight="1" x14ac:dyDescent="0.2">
      <c r="A20896" s="258"/>
      <c r="Z20896" s="258"/>
    </row>
    <row r="20897" spans="1:26" ht="12.75" customHeight="1" x14ac:dyDescent="0.2">
      <c r="A20897" s="258"/>
      <c r="Z20897" s="258"/>
    </row>
    <row r="20898" spans="1:26" ht="12.75" customHeight="1" x14ac:dyDescent="0.2">
      <c r="A20898" s="258"/>
      <c r="Z20898" s="258"/>
    </row>
    <row r="20899" spans="1:26" ht="12.75" customHeight="1" x14ac:dyDescent="0.2">
      <c r="A20899" s="258"/>
      <c r="Z20899" s="258"/>
    </row>
    <row r="20900" spans="1:26" ht="12.75" customHeight="1" x14ac:dyDescent="0.2">
      <c r="A20900" s="258"/>
      <c r="Z20900" s="258"/>
    </row>
    <row r="20901" spans="1:26" ht="12.75" customHeight="1" x14ac:dyDescent="0.2">
      <c r="A20901" s="258"/>
      <c r="Z20901" s="258"/>
    </row>
    <row r="20902" spans="1:26" ht="12.75" customHeight="1" x14ac:dyDescent="0.2">
      <c r="A20902" s="258"/>
      <c r="Z20902" s="258"/>
    </row>
    <row r="20903" spans="1:26" ht="12.75" customHeight="1" x14ac:dyDescent="0.2">
      <c r="A20903" s="258"/>
      <c r="Z20903" s="258"/>
    </row>
    <row r="20904" spans="1:26" ht="12.75" customHeight="1" x14ac:dyDescent="0.2">
      <c r="A20904" s="258"/>
      <c r="Z20904" s="258"/>
    </row>
    <row r="20905" spans="1:26" ht="12.75" customHeight="1" x14ac:dyDescent="0.2">
      <c r="A20905" s="258"/>
      <c r="Z20905" s="258"/>
    </row>
    <row r="20906" spans="1:26" ht="12.75" customHeight="1" x14ac:dyDescent="0.2">
      <c r="A20906" s="258"/>
      <c r="Z20906" s="258"/>
    </row>
    <row r="20907" spans="1:26" ht="12.75" customHeight="1" x14ac:dyDescent="0.2">
      <c r="A20907" s="258"/>
      <c r="Z20907" s="258"/>
    </row>
    <row r="20908" spans="1:26" ht="12.75" customHeight="1" x14ac:dyDescent="0.2">
      <c r="A20908" s="258"/>
      <c r="Z20908" s="258"/>
    </row>
    <row r="20909" spans="1:26" ht="12.75" customHeight="1" x14ac:dyDescent="0.2">
      <c r="A20909" s="258"/>
      <c r="Z20909" s="258"/>
    </row>
    <row r="20910" spans="1:26" ht="12.75" customHeight="1" x14ac:dyDescent="0.2">
      <c r="A20910" s="258"/>
      <c r="Z20910" s="258"/>
    </row>
    <row r="20911" spans="1:26" ht="12.75" customHeight="1" x14ac:dyDescent="0.2">
      <c r="A20911" s="258"/>
      <c r="Z20911" s="258"/>
    </row>
    <row r="20912" spans="1:26" ht="12.75" customHeight="1" x14ac:dyDescent="0.2">
      <c r="A20912" s="258"/>
      <c r="Z20912" s="258"/>
    </row>
    <row r="20913" spans="1:26" ht="12.75" customHeight="1" x14ac:dyDescent="0.2">
      <c r="A20913" s="258"/>
      <c r="Z20913" s="258"/>
    </row>
    <row r="20914" spans="1:26" ht="12.75" customHeight="1" x14ac:dyDescent="0.2">
      <c r="A20914" s="258"/>
      <c r="Z20914" s="258"/>
    </row>
    <row r="20915" spans="1:26" ht="12.75" customHeight="1" x14ac:dyDescent="0.2">
      <c r="A20915" s="258"/>
      <c r="Z20915" s="258"/>
    </row>
    <row r="20916" spans="1:26" ht="12.75" customHeight="1" x14ac:dyDescent="0.2">
      <c r="A20916" s="258"/>
      <c r="Z20916" s="258"/>
    </row>
    <row r="20917" spans="1:26" ht="12.75" customHeight="1" x14ac:dyDescent="0.2">
      <c r="A20917" s="258"/>
      <c r="Z20917" s="258"/>
    </row>
    <row r="20918" spans="1:26" ht="12.75" customHeight="1" x14ac:dyDescent="0.2">
      <c r="A20918" s="258"/>
      <c r="Z20918" s="258"/>
    </row>
    <row r="20919" spans="1:26" ht="12.75" customHeight="1" x14ac:dyDescent="0.2">
      <c r="A20919" s="258"/>
      <c r="Z20919" s="258"/>
    </row>
    <row r="20920" spans="1:26" ht="12.75" customHeight="1" x14ac:dyDescent="0.2">
      <c r="A20920" s="258"/>
      <c r="Z20920" s="258"/>
    </row>
    <row r="20921" spans="1:26" ht="12.75" customHeight="1" x14ac:dyDescent="0.2">
      <c r="A20921" s="258"/>
      <c r="Z20921" s="258"/>
    </row>
    <row r="20922" spans="1:26" ht="12.75" customHeight="1" x14ac:dyDescent="0.2">
      <c r="A20922" s="258"/>
      <c r="Z20922" s="258"/>
    </row>
    <row r="20923" spans="1:26" ht="12.75" customHeight="1" x14ac:dyDescent="0.2">
      <c r="A20923" s="258"/>
      <c r="Z20923" s="258"/>
    </row>
    <row r="20924" spans="1:26" ht="12.75" customHeight="1" x14ac:dyDescent="0.2">
      <c r="A20924" s="258"/>
      <c r="Z20924" s="258"/>
    </row>
    <row r="20925" spans="1:26" ht="12.75" customHeight="1" x14ac:dyDescent="0.2">
      <c r="A20925" s="258"/>
      <c r="Z20925" s="258"/>
    </row>
    <row r="20926" spans="1:26" ht="12.75" customHeight="1" x14ac:dyDescent="0.2">
      <c r="A20926" s="258"/>
      <c r="Z20926" s="258"/>
    </row>
    <row r="20927" spans="1:26" ht="12.75" customHeight="1" x14ac:dyDescent="0.2">
      <c r="A20927" s="258"/>
      <c r="Z20927" s="258"/>
    </row>
    <row r="20928" spans="1:26" ht="12.75" customHeight="1" x14ac:dyDescent="0.2">
      <c r="A20928" s="258"/>
      <c r="Z20928" s="258"/>
    </row>
    <row r="20929" spans="1:26" ht="12.75" customHeight="1" x14ac:dyDescent="0.2">
      <c r="A20929" s="258"/>
      <c r="Z20929" s="258"/>
    </row>
    <row r="20930" spans="1:26" ht="12.75" customHeight="1" x14ac:dyDescent="0.2">
      <c r="A20930" s="258"/>
      <c r="Z20930" s="258"/>
    </row>
    <row r="20931" spans="1:26" ht="12.75" customHeight="1" x14ac:dyDescent="0.2">
      <c r="A20931" s="258"/>
      <c r="Z20931" s="258"/>
    </row>
    <row r="20932" spans="1:26" ht="12.75" customHeight="1" x14ac:dyDescent="0.2">
      <c r="A20932" s="258"/>
      <c r="Z20932" s="258"/>
    </row>
    <row r="20933" spans="1:26" ht="12.75" customHeight="1" x14ac:dyDescent="0.2">
      <c r="A20933" s="258"/>
      <c r="Z20933" s="258"/>
    </row>
    <row r="20934" spans="1:26" ht="12.75" customHeight="1" x14ac:dyDescent="0.2">
      <c r="A20934" s="258"/>
      <c r="Z20934" s="258"/>
    </row>
    <row r="20935" spans="1:26" ht="12.75" customHeight="1" x14ac:dyDescent="0.2">
      <c r="A20935" s="258"/>
      <c r="Z20935" s="258"/>
    </row>
    <row r="20936" spans="1:26" ht="12.75" customHeight="1" x14ac:dyDescent="0.2">
      <c r="A20936" s="258"/>
      <c r="Z20936" s="258"/>
    </row>
    <row r="20937" spans="1:26" ht="12.75" customHeight="1" x14ac:dyDescent="0.2">
      <c r="A20937" s="258"/>
      <c r="Z20937" s="258"/>
    </row>
    <row r="20938" spans="1:26" ht="12.75" customHeight="1" x14ac:dyDescent="0.2">
      <c r="A20938" s="258"/>
      <c r="Z20938" s="258"/>
    </row>
    <row r="20939" spans="1:26" ht="12.75" customHeight="1" x14ac:dyDescent="0.2">
      <c r="A20939" s="258"/>
      <c r="Z20939" s="258"/>
    </row>
    <row r="20940" spans="1:26" ht="12.75" customHeight="1" x14ac:dyDescent="0.2">
      <c r="A20940" s="258"/>
      <c r="Z20940" s="258"/>
    </row>
    <row r="20941" spans="1:26" ht="12.75" customHeight="1" x14ac:dyDescent="0.2">
      <c r="A20941" s="258"/>
      <c r="Z20941" s="258"/>
    </row>
    <row r="20942" spans="1:26" ht="12.75" customHeight="1" x14ac:dyDescent="0.2">
      <c r="A20942" s="258"/>
      <c r="Z20942" s="258"/>
    </row>
    <row r="20943" spans="1:26" ht="12.75" customHeight="1" x14ac:dyDescent="0.2">
      <c r="A20943" s="258"/>
      <c r="Z20943" s="258"/>
    </row>
    <row r="20944" spans="1:26" ht="12.75" customHeight="1" x14ac:dyDescent="0.2">
      <c r="A20944" s="258"/>
      <c r="Z20944" s="258"/>
    </row>
    <row r="20945" spans="1:26" ht="12.75" customHeight="1" x14ac:dyDescent="0.2">
      <c r="A20945" s="258"/>
      <c r="Z20945" s="258"/>
    </row>
    <row r="20946" spans="1:26" ht="12.75" customHeight="1" x14ac:dyDescent="0.2">
      <c r="A20946" s="258"/>
      <c r="Z20946" s="258"/>
    </row>
    <row r="20947" spans="1:26" ht="12.75" customHeight="1" x14ac:dyDescent="0.2">
      <c r="A20947" s="258"/>
      <c r="Z20947" s="258"/>
    </row>
    <row r="20948" spans="1:26" ht="12.75" customHeight="1" x14ac:dyDescent="0.2">
      <c r="A20948" s="258"/>
      <c r="Z20948" s="258"/>
    </row>
    <row r="20949" spans="1:26" ht="12.75" customHeight="1" x14ac:dyDescent="0.2">
      <c r="A20949" s="258"/>
      <c r="Z20949" s="258"/>
    </row>
    <row r="20950" spans="1:26" ht="12.75" customHeight="1" x14ac:dyDescent="0.2">
      <c r="A20950" s="258"/>
      <c r="Z20950" s="258"/>
    </row>
    <row r="20951" spans="1:26" ht="12.75" customHeight="1" x14ac:dyDescent="0.2">
      <c r="A20951" s="258"/>
      <c r="Z20951" s="258"/>
    </row>
    <row r="20952" spans="1:26" ht="12.75" customHeight="1" x14ac:dyDescent="0.2">
      <c r="A20952" s="258"/>
      <c r="Z20952" s="258"/>
    </row>
    <row r="20953" spans="1:26" ht="12.75" customHeight="1" x14ac:dyDescent="0.2">
      <c r="A20953" s="258"/>
      <c r="Z20953" s="258"/>
    </row>
    <row r="20954" spans="1:26" ht="12.75" customHeight="1" x14ac:dyDescent="0.2">
      <c r="A20954" s="258"/>
      <c r="Z20954" s="258"/>
    </row>
    <row r="20955" spans="1:26" ht="12.75" customHeight="1" x14ac:dyDescent="0.2">
      <c r="A20955" s="258"/>
      <c r="Z20955" s="258"/>
    </row>
    <row r="20956" spans="1:26" ht="12.75" customHeight="1" x14ac:dyDescent="0.2">
      <c r="A20956" s="258"/>
      <c r="Z20956" s="258"/>
    </row>
    <row r="20957" spans="1:26" ht="12.75" customHeight="1" x14ac:dyDescent="0.2">
      <c r="A20957" s="258"/>
      <c r="Z20957" s="258"/>
    </row>
    <row r="20958" spans="1:26" ht="12.75" customHeight="1" x14ac:dyDescent="0.2">
      <c r="A20958" s="258"/>
      <c r="Z20958" s="258"/>
    </row>
    <row r="20959" spans="1:26" ht="12.75" customHeight="1" x14ac:dyDescent="0.2">
      <c r="A20959" s="258"/>
      <c r="Z20959" s="258"/>
    </row>
    <row r="20960" spans="1:26" ht="12.75" customHeight="1" x14ac:dyDescent="0.2">
      <c r="A20960" s="258"/>
      <c r="Z20960" s="258"/>
    </row>
    <row r="20961" spans="1:26" ht="12.75" customHeight="1" x14ac:dyDescent="0.2">
      <c r="A20961" s="258"/>
      <c r="Z20961" s="258"/>
    </row>
    <row r="20962" spans="1:26" ht="12.75" customHeight="1" x14ac:dyDescent="0.2">
      <c r="A20962" s="258"/>
      <c r="Z20962" s="258"/>
    </row>
    <row r="20963" spans="1:26" ht="12.75" customHeight="1" x14ac:dyDescent="0.2">
      <c r="A20963" s="258"/>
      <c r="Z20963" s="258"/>
    </row>
    <row r="20964" spans="1:26" ht="12.75" customHeight="1" x14ac:dyDescent="0.2">
      <c r="A20964" s="258"/>
      <c r="Z20964" s="258"/>
    </row>
    <row r="20965" spans="1:26" ht="12.75" customHeight="1" x14ac:dyDescent="0.2">
      <c r="A20965" s="258"/>
      <c r="Z20965" s="258"/>
    </row>
    <row r="20966" spans="1:26" ht="12.75" customHeight="1" x14ac:dyDescent="0.2">
      <c r="A20966" s="258"/>
      <c r="Z20966" s="258"/>
    </row>
    <row r="20967" spans="1:26" ht="12.75" customHeight="1" x14ac:dyDescent="0.2">
      <c r="A20967" s="258"/>
      <c r="Z20967" s="258"/>
    </row>
    <row r="20968" spans="1:26" ht="12.75" customHeight="1" x14ac:dyDescent="0.2">
      <c r="A20968" s="258"/>
      <c r="Z20968" s="258"/>
    </row>
    <row r="20969" spans="1:26" ht="12.75" customHeight="1" x14ac:dyDescent="0.2">
      <c r="A20969" s="258"/>
      <c r="Z20969" s="258"/>
    </row>
    <row r="20970" spans="1:26" ht="12.75" customHeight="1" x14ac:dyDescent="0.2">
      <c r="A20970" s="258"/>
      <c r="Z20970" s="258"/>
    </row>
    <row r="20971" spans="1:26" ht="12.75" customHeight="1" x14ac:dyDescent="0.2">
      <c r="A20971" s="258"/>
      <c r="Z20971" s="258"/>
    </row>
    <row r="20972" spans="1:26" ht="12.75" customHeight="1" x14ac:dyDescent="0.2">
      <c r="A20972" s="258"/>
      <c r="Z20972" s="258"/>
    </row>
    <row r="20973" spans="1:26" ht="12.75" customHeight="1" x14ac:dyDescent="0.2">
      <c r="A20973" s="258"/>
      <c r="Z20973" s="258"/>
    </row>
    <row r="20974" spans="1:26" ht="12.75" customHeight="1" x14ac:dyDescent="0.2">
      <c r="A20974" s="258"/>
      <c r="Z20974" s="258"/>
    </row>
    <row r="20975" spans="1:26" ht="12.75" customHeight="1" x14ac:dyDescent="0.2">
      <c r="A20975" s="258"/>
      <c r="Z20975" s="258"/>
    </row>
    <row r="20976" spans="1:26" ht="12.75" customHeight="1" x14ac:dyDescent="0.2">
      <c r="A20976" s="258"/>
      <c r="Z20976" s="258"/>
    </row>
    <row r="20977" spans="1:26" ht="12.75" customHeight="1" x14ac:dyDescent="0.2">
      <c r="A20977" s="258"/>
      <c r="Z20977" s="258"/>
    </row>
    <row r="20978" spans="1:26" ht="12.75" customHeight="1" x14ac:dyDescent="0.2">
      <c r="A20978" s="258"/>
      <c r="Z20978" s="258"/>
    </row>
    <row r="20979" spans="1:26" ht="12.75" customHeight="1" x14ac:dyDescent="0.2">
      <c r="A20979" s="258"/>
      <c r="Z20979" s="258"/>
    </row>
    <row r="20980" spans="1:26" ht="12.75" customHeight="1" x14ac:dyDescent="0.2">
      <c r="A20980" s="258"/>
      <c r="Z20980" s="258"/>
    </row>
    <row r="20981" spans="1:26" ht="12.75" customHeight="1" x14ac:dyDescent="0.2">
      <c r="A20981" s="258"/>
      <c r="Z20981" s="258"/>
    </row>
    <row r="20982" spans="1:26" ht="12.75" customHeight="1" x14ac:dyDescent="0.2">
      <c r="A20982" s="258"/>
      <c r="Z20982" s="258"/>
    </row>
    <row r="20983" spans="1:26" ht="12.75" customHeight="1" x14ac:dyDescent="0.2">
      <c r="A20983" s="258"/>
      <c r="Z20983" s="258"/>
    </row>
    <row r="20984" spans="1:26" ht="12.75" customHeight="1" x14ac:dyDescent="0.2">
      <c r="A20984" s="258"/>
      <c r="Z20984" s="258"/>
    </row>
    <row r="20985" spans="1:26" ht="12.75" customHeight="1" x14ac:dyDescent="0.2">
      <c r="A20985" s="258"/>
      <c r="Z20985" s="258"/>
    </row>
    <row r="20986" spans="1:26" ht="12.75" customHeight="1" x14ac:dyDescent="0.2">
      <c r="A20986" s="258"/>
      <c r="Z20986" s="258"/>
    </row>
    <row r="20987" spans="1:26" ht="12.75" customHeight="1" x14ac:dyDescent="0.2">
      <c r="A20987" s="258"/>
      <c r="Z20987" s="258"/>
    </row>
    <row r="20988" spans="1:26" ht="12.75" customHeight="1" x14ac:dyDescent="0.2">
      <c r="A20988" s="258"/>
      <c r="Z20988" s="258"/>
    </row>
    <row r="20989" spans="1:26" ht="12.75" customHeight="1" x14ac:dyDescent="0.2">
      <c r="A20989" s="258"/>
      <c r="Z20989" s="258"/>
    </row>
    <row r="20990" spans="1:26" ht="12.75" customHeight="1" x14ac:dyDescent="0.2">
      <c r="A20990" s="258"/>
      <c r="Z20990" s="258"/>
    </row>
    <row r="20991" spans="1:26" ht="12.75" customHeight="1" x14ac:dyDescent="0.2">
      <c r="A20991" s="258"/>
      <c r="Z20991" s="258"/>
    </row>
    <row r="20992" spans="1:26" ht="12.75" customHeight="1" x14ac:dyDescent="0.2">
      <c r="A20992" s="258"/>
      <c r="Z20992" s="258"/>
    </row>
    <row r="20993" spans="1:26" ht="12.75" customHeight="1" x14ac:dyDescent="0.2">
      <c r="A20993" s="258"/>
      <c r="Z20993" s="258"/>
    </row>
    <row r="20994" spans="1:26" ht="12.75" customHeight="1" x14ac:dyDescent="0.2">
      <c r="A20994" s="258"/>
      <c r="Z20994" s="258"/>
    </row>
    <row r="20995" spans="1:26" ht="12.75" customHeight="1" x14ac:dyDescent="0.2">
      <c r="A20995" s="258"/>
      <c r="Z20995" s="258"/>
    </row>
    <row r="20996" spans="1:26" ht="12.75" customHeight="1" x14ac:dyDescent="0.2">
      <c r="A20996" s="258"/>
      <c r="Z20996" s="258"/>
    </row>
    <row r="20997" spans="1:26" ht="12.75" customHeight="1" x14ac:dyDescent="0.2">
      <c r="A20997" s="258"/>
      <c r="Z20997" s="258"/>
    </row>
    <row r="20998" spans="1:26" ht="12.75" customHeight="1" x14ac:dyDescent="0.2">
      <c r="A20998" s="258"/>
      <c r="Z20998" s="258"/>
    </row>
    <row r="20999" spans="1:26" ht="12.75" customHeight="1" x14ac:dyDescent="0.2">
      <c r="A20999" s="258"/>
      <c r="Z20999" s="258"/>
    </row>
    <row r="21000" spans="1:26" ht="12.75" customHeight="1" x14ac:dyDescent="0.2">
      <c r="A21000" s="258"/>
      <c r="Z21000" s="258"/>
    </row>
    <row r="21001" spans="1:26" ht="12.75" customHeight="1" x14ac:dyDescent="0.2">
      <c r="A21001" s="258"/>
      <c r="Z21001" s="258"/>
    </row>
    <row r="21002" spans="1:26" ht="12.75" customHeight="1" x14ac:dyDescent="0.2">
      <c r="A21002" s="258"/>
      <c r="Z21002" s="258"/>
    </row>
    <row r="21003" spans="1:26" ht="12.75" customHeight="1" x14ac:dyDescent="0.2">
      <c r="A21003" s="258"/>
      <c r="Z21003" s="258"/>
    </row>
    <row r="21004" spans="1:26" ht="12.75" customHeight="1" x14ac:dyDescent="0.2">
      <c r="A21004" s="258"/>
      <c r="Z21004" s="258"/>
    </row>
    <row r="21005" spans="1:26" ht="12.75" customHeight="1" x14ac:dyDescent="0.2">
      <c r="A21005" s="258"/>
      <c r="Z21005" s="258"/>
    </row>
    <row r="21006" spans="1:26" ht="12.75" customHeight="1" x14ac:dyDescent="0.2">
      <c r="A21006" s="258"/>
      <c r="Z21006" s="258"/>
    </row>
    <row r="21007" spans="1:26" ht="12.75" customHeight="1" x14ac:dyDescent="0.2">
      <c r="A21007" s="258"/>
      <c r="Z21007" s="258"/>
    </row>
    <row r="21008" spans="1:26" ht="12.75" customHeight="1" x14ac:dyDescent="0.2">
      <c r="A21008" s="258"/>
      <c r="Z21008" s="258"/>
    </row>
    <row r="21009" spans="1:26" ht="12.75" customHeight="1" x14ac:dyDescent="0.2">
      <c r="A21009" s="258"/>
      <c r="Z21009" s="258"/>
    </row>
    <row r="21010" spans="1:26" ht="12.75" customHeight="1" x14ac:dyDescent="0.2">
      <c r="A21010" s="258"/>
      <c r="Z21010" s="258"/>
    </row>
    <row r="21011" spans="1:26" ht="12.75" customHeight="1" x14ac:dyDescent="0.2">
      <c r="A21011" s="258"/>
      <c r="Z21011" s="258"/>
    </row>
    <row r="21012" spans="1:26" ht="12.75" customHeight="1" x14ac:dyDescent="0.2">
      <c r="A21012" s="258"/>
      <c r="Z21012" s="258"/>
    </row>
    <row r="21013" spans="1:26" ht="12.75" customHeight="1" x14ac:dyDescent="0.2">
      <c r="A21013" s="258"/>
      <c r="Z21013" s="258"/>
    </row>
    <row r="21014" spans="1:26" ht="12.75" customHeight="1" x14ac:dyDescent="0.2">
      <c r="A21014" s="258"/>
      <c r="Z21014" s="258"/>
    </row>
    <row r="21015" spans="1:26" ht="12.75" customHeight="1" x14ac:dyDescent="0.2">
      <c r="A21015" s="258"/>
      <c r="Z21015" s="258"/>
    </row>
    <row r="21016" spans="1:26" ht="12.75" customHeight="1" x14ac:dyDescent="0.2">
      <c r="A21016" s="258"/>
      <c r="Z21016" s="258"/>
    </row>
    <row r="21017" spans="1:26" ht="12.75" customHeight="1" x14ac:dyDescent="0.2">
      <c r="A21017" s="258"/>
      <c r="Z21017" s="258"/>
    </row>
    <row r="21018" spans="1:26" ht="12.75" customHeight="1" x14ac:dyDescent="0.2">
      <c r="A21018" s="258"/>
      <c r="Z21018" s="258"/>
    </row>
    <row r="21019" spans="1:26" ht="12.75" customHeight="1" x14ac:dyDescent="0.2">
      <c r="A21019" s="258"/>
      <c r="Z21019" s="258"/>
    </row>
    <row r="21020" spans="1:26" ht="12.75" customHeight="1" x14ac:dyDescent="0.2">
      <c r="A21020" s="258"/>
      <c r="Z21020" s="258"/>
    </row>
    <row r="21021" spans="1:26" ht="12.75" customHeight="1" x14ac:dyDescent="0.2">
      <c r="A21021" s="258"/>
      <c r="Z21021" s="258"/>
    </row>
    <row r="21022" spans="1:26" ht="12.75" customHeight="1" x14ac:dyDescent="0.2">
      <c r="A21022" s="258"/>
      <c r="Z21022" s="258"/>
    </row>
    <row r="21023" spans="1:26" ht="12.75" customHeight="1" x14ac:dyDescent="0.2">
      <c r="A21023" s="258"/>
      <c r="Z21023" s="258"/>
    </row>
    <row r="21024" spans="1:26" ht="12.75" customHeight="1" x14ac:dyDescent="0.2">
      <c r="A21024" s="258"/>
      <c r="Z21024" s="258"/>
    </row>
    <row r="21025" spans="1:26" ht="12.75" customHeight="1" x14ac:dyDescent="0.2">
      <c r="A21025" s="258"/>
      <c r="Z21025" s="258"/>
    </row>
    <row r="21026" spans="1:26" ht="12.75" customHeight="1" x14ac:dyDescent="0.2">
      <c r="A21026" s="258"/>
      <c r="Z21026" s="258"/>
    </row>
    <row r="21027" spans="1:26" ht="12.75" customHeight="1" x14ac:dyDescent="0.2">
      <c r="A21027" s="258"/>
      <c r="Z21027" s="258"/>
    </row>
    <row r="21028" spans="1:26" ht="12.75" customHeight="1" x14ac:dyDescent="0.2">
      <c r="A21028" s="258"/>
      <c r="Z21028" s="258"/>
    </row>
    <row r="21029" spans="1:26" ht="12.75" customHeight="1" x14ac:dyDescent="0.2">
      <c r="A21029" s="258"/>
      <c r="Z21029" s="258"/>
    </row>
    <row r="21030" spans="1:26" ht="12.75" customHeight="1" x14ac:dyDescent="0.2">
      <c r="A21030" s="258"/>
      <c r="Z21030" s="258"/>
    </row>
    <row r="21031" spans="1:26" ht="12.75" customHeight="1" x14ac:dyDescent="0.2">
      <c r="A21031" s="258"/>
      <c r="Z21031" s="258"/>
    </row>
    <row r="21032" spans="1:26" ht="12.75" customHeight="1" x14ac:dyDescent="0.2">
      <c r="A21032" s="258"/>
      <c r="Z21032" s="258"/>
    </row>
    <row r="21033" spans="1:26" ht="12.75" customHeight="1" x14ac:dyDescent="0.2">
      <c r="A21033" s="258"/>
      <c r="Z21033" s="258"/>
    </row>
    <row r="21034" spans="1:26" ht="12.75" customHeight="1" x14ac:dyDescent="0.2">
      <c r="A21034" s="258"/>
      <c r="Z21034" s="258"/>
    </row>
    <row r="21035" spans="1:26" ht="12.75" customHeight="1" x14ac:dyDescent="0.2">
      <c r="A21035" s="258"/>
      <c r="Z21035" s="258"/>
    </row>
    <row r="21036" spans="1:26" ht="12.75" customHeight="1" x14ac:dyDescent="0.2">
      <c r="A21036" s="258"/>
      <c r="Z21036" s="258"/>
    </row>
    <row r="21037" spans="1:26" ht="12.75" customHeight="1" x14ac:dyDescent="0.2">
      <c r="A21037" s="258"/>
      <c r="Z21037" s="258"/>
    </row>
    <row r="21038" spans="1:26" ht="12.75" customHeight="1" x14ac:dyDescent="0.2">
      <c r="A21038" s="258"/>
      <c r="Z21038" s="258"/>
    </row>
    <row r="21039" spans="1:26" ht="12.75" customHeight="1" x14ac:dyDescent="0.2">
      <c r="A21039" s="258"/>
      <c r="Z21039" s="258"/>
    </row>
    <row r="21040" spans="1:26" ht="12.75" customHeight="1" x14ac:dyDescent="0.2">
      <c r="A21040" s="258"/>
      <c r="Z21040" s="258"/>
    </row>
    <row r="21041" spans="1:26" ht="12.75" customHeight="1" x14ac:dyDescent="0.2">
      <c r="A21041" s="258"/>
      <c r="Z21041" s="258"/>
    </row>
    <row r="21042" spans="1:26" ht="12.75" customHeight="1" x14ac:dyDescent="0.2">
      <c r="A21042" s="258"/>
      <c r="Z21042" s="258"/>
    </row>
    <row r="21043" spans="1:26" ht="12.75" customHeight="1" x14ac:dyDescent="0.2">
      <c r="A21043" s="258"/>
      <c r="Z21043" s="258"/>
    </row>
    <row r="21044" spans="1:26" ht="12.75" customHeight="1" x14ac:dyDescent="0.2">
      <c r="A21044" s="258"/>
      <c r="Z21044" s="258"/>
    </row>
    <row r="21045" spans="1:26" ht="12.75" customHeight="1" x14ac:dyDescent="0.2">
      <c r="A21045" s="258"/>
      <c r="Z21045" s="258"/>
    </row>
    <row r="21046" spans="1:26" ht="12.75" customHeight="1" x14ac:dyDescent="0.2">
      <c r="A21046" s="258"/>
      <c r="Z21046" s="258"/>
    </row>
    <row r="21047" spans="1:26" ht="12.75" customHeight="1" x14ac:dyDescent="0.2">
      <c r="A21047" s="258"/>
      <c r="Z21047" s="258"/>
    </row>
    <row r="21048" spans="1:26" ht="12.75" customHeight="1" x14ac:dyDescent="0.2">
      <c r="A21048" s="258"/>
      <c r="Z21048" s="258"/>
    </row>
    <row r="21049" spans="1:26" ht="12.75" customHeight="1" x14ac:dyDescent="0.2">
      <c r="A21049" s="258"/>
      <c r="Z21049" s="258"/>
    </row>
    <row r="21050" spans="1:26" ht="12.75" customHeight="1" x14ac:dyDescent="0.2">
      <c r="A21050" s="258"/>
      <c r="Z21050" s="258"/>
    </row>
    <row r="21051" spans="1:26" ht="12.75" customHeight="1" x14ac:dyDescent="0.2">
      <c r="A21051" s="258"/>
      <c r="Z21051" s="258"/>
    </row>
    <row r="21052" spans="1:26" ht="12.75" customHeight="1" x14ac:dyDescent="0.2">
      <c r="A21052" s="258"/>
      <c r="Z21052" s="258"/>
    </row>
    <row r="21053" spans="1:26" ht="12.75" customHeight="1" x14ac:dyDescent="0.2">
      <c r="A21053" s="258"/>
      <c r="Z21053" s="258"/>
    </row>
    <row r="21054" spans="1:26" ht="12.75" customHeight="1" x14ac:dyDescent="0.2">
      <c r="A21054" s="258"/>
      <c r="Z21054" s="258"/>
    </row>
    <row r="21055" spans="1:26" ht="12.75" customHeight="1" x14ac:dyDescent="0.2">
      <c r="A21055" s="258"/>
      <c r="Z21055" s="258"/>
    </row>
    <row r="21056" spans="1:26" ht="12.75" customHeight="1" x14ac:dyDescent="0.2">
      <c r="A21056" s="258"/>
      <c r="Z21056" s="258"/>
    </row>
    <row r="21057" spans="1:26" ht="12.75" customHeight="1" x14ac:dyDescent="0.2">
      <c r="A21057" s="258"/>
      <c r="Z21057" s="258"/>
    </row>
    <row r="21058" spans="1:26" ht="12.75" customHeight="1" x14ac:dyDescent="0.2">
      <c r="A21058" s="258"/>
      <c r="Z21058" s="258"/>
    </row>
    <row r="21059" spans="1:26" ht="12.75" customHeight="1" x14ac:dyDescent="0.2">
      <c r="A21059" s="258"/>
      <c r="Z21059" s="258"/>
    </row>
    <row r="21060" spans="1:26" ht="12.75" customHeight="1" x14ac:dyDescent="0.2">
      <c r="A21060" s="258"/>
      <c r="Z21060" s="258"/>
    </row>
    <row r="21061" spans="1:26" ht="12.75" customHeight="1" x14ac:dyDescent="0.2">
      <c r="A21061" s="258"/>
      <c r="Z21061" s="258"/>
    </row>
    <row r="21062" spans="1:26" ht="12.75" customHeight="1" x14ac:dyDescent="0.2">
      <c r="A21062" s="258"/>
      <c r="Z21062" s="258"/>
    </row>
    <row r="21063" spans="1:26" ht="12.75" customHeight="1" x14ac:dyDescent="0.2">
      <c r="A21063" s="258"/>
      <c r="Z21063" s="258"/>
    </row>
    <row r="21064" spans="1:26" ht="12.75" customHeight="1" x14ac:dyDescent="0.2">
      <c r="A21064" s="258"/>
      <c r="Z21064" s="258"/>
    </row>
    <row r="21065" spans="1:26" ht="12.75" customHeight="1" x14ac:dyDescent="0.2">
      <c r="A21065" s="258"/>
      <c r="Z21065" s="258"/>
    </row>
    <row r="21066" spans="1:26" ht="12.75" customHeight="1" x14ac:dyDescent="0.2">
      <c r="A21066" s="258"/>
      <c r="Z21066" s="258"/>
    </row>
    <row r="21067" spans="1:26" ht="12.75" customHeight="1" x14ac:dyDescent="0.2">
      <c r="A21067" s="258"/>
      <c r="Z21067" s="258"/>
    </row>
    <row r="21068" spans="1:26" ht="12.75" customHeight="1" x14ac:dyDescent="0.2">
      <c r="A21068" s="258"/>
      <c r="Z21068" s="258"/>
    </row>
    <row r="21069" spans="1:26" ht="12.75" customHeight="1" x14ac:dyDescent="0.2">
      <c r="A21069" s="258"/>
      <c r="Z21069" s="258"/>
    </row>
    <row r="21070" spans="1:26" ht="12.75" customHeight="1" x14ac:dyDescent="0.2">
      <c r="A21070" s="258"/>
      <c r="Z21070" s="258"/>
    </row>
    <row r="21071" spans="1:26" ht="12.75" customHeight="1" x14ac:dyDescent="0.2">
      <c r="A21071" s="258"/>
      <c r="Z21071" s="258"/>
    </row>
    <row r="21072" spans="1:26" ht="12.75" customHeight="1" x14ac:dyDescent="0.2">
      <c r="A21072" s="258"/>
      <c r="Z21072" s="258"/>
    </row>
    <row r="21073" spans="1:26" ht="12.75" customHeight="1" x14ac:dyDescent="0.2">
      <c r="A21073" s="258"/>
      <c r="Z21073" s="258"/>
    </row>
    <row r="21074" spans="1:26" ht="12.75" customHeight="1" x14ac:dyDescent="0.2">
      <c r="A21074" s="258"/>
      <c r="Z21074" s="258"/>
    </row>
    <row r="21075" spans="1:26" ht="12.75" customHeight="1" x14ac:dyDescent="0.2">
      <c r="A21075" s="258"/>
      <c r="Z21075" s="258"/>
    </row>
    <row r="21076" spans="1:26" ht="12.75" customHeight="1" x14ac:dyDescent="0.2">
      <c r="A21076" s="258"/>
      <c r="Z21076" s="258"/>
    </row>
    <row r="21077" spans="1:26" ht="12.75" customHeight="1" x14ac:dyDescent="0.2">
      <c r="A21077" s="258"/>
      <c r="Z21077" s="258"/>
    </row>
    <row r="21078" spans="1:26" ht="12.75" customHeight="1" x14ac:dyDescent="0.2">
      <c r="A21078" s="258"/>
      <c r="Z21078" s="258"/>
    </row>
    <row r="21079" spans="1:26" ht="12.75" customHeight="1" x14ac:dyDescent="0.2">
      <c r="A21079" s="258"/>
      <c r="Z21079" s="258"/>
    </row>
    <row r="21080" spans="1:26" ht="12.75" customHeight="1" x14ac:dyDescent="0.2">
      <c r="A21080" s="258"/>
      <c r="Z21080" s="258"/>
    </row>
    <row r="21081" spans="1:26" ht="12.75" customHeight="1" x14ac:dyDescent="0.2">
      <c r="A21081" s="258"/>
      <c r="Z21081" s="258"/>
    </row>
    <row r="21082" spans="1:26" ht="12.75" customHeight="1" x14ac:dyDescent="0.2">
      <c r="A21082" s="258"/>
      <c r="Z21082" s="258"/>
    </row>
    <row r="21083" spans="1:26" ht="12.75" customHeight="1" x14ac:dyDescent="0.2">
      <c r="A21083" s="258"/>
      <c r="Z21083" s="258"/>
    </row>
    <row r="21084" spans="1:26" ht="12.75" customHeight="1" x14ac:dyDescent="0.2">
      <c r="A21084" s="258"/>
      <c r="Z21084" s="258"/>
    </row>
    <row r="21085" spans="1:26" ht="12.75" customHeight="1" x14ac:dyDescent="0.2">
      <c r="A21085" s="258"/>
      <c r="Z21085" s="258"/>
    </row>
    <row r="21086" spans="1:26" ht="12.75" customHeight="1" x14ac:dyDescent="0.2">
      <c r="A21086" s="258"/>
      <c r="Z21086" s="258"/>
    </row>
    <row r="21087" spans="1:26" ht="12.75" customHeight="1" x14ac:dyDescent="0.2">
      <c r="A21087" s="258"/>
      <c r="Z21087" s="258"/>
    </row>
    <row r="21088" spans="1:26" ht="12.75" customHeight="1" x14ac:dyDescent="0.2">
      <c r="A21088" s="258"/>
      <c r="Z21088" s="258"/>
    </row>
    <row r="21089" spans="1:26" ht="12.75" customHeight="1" x14ac:dyDescent="0.2">
      <c r="A21089" s="258"/>
      <c r="Z21089" s="258"/>
    </row>
    <row r="21090" spans="1:26" ht="12.75" customHeight="1" x14ac:dyDescent="0.2">
      <c r="A21090" s="258"/>
      <c r="Z21090" s="258"/>
    </row>
    <row r="21091" spans="1:26" ht="12.75" customHeight="1" x14ac:dyDescent="0.2">
      <c r="A21091" s="258"/>
      <c r="Z21091" s="258"/>
    </row>
    <row r="21092" spans="1:26" ht="12.75" customHeight="1" x14ac:dyDescent="0.2">
      <c r="A21092" s="258"/>
      <c r="Z21092" s="258"/>
    </row>
    <row r="21093" spans="1:26" ht="12.75" customHeight="1" x14ac:dyDescent="0.2">
      <c r="A21093" s="258"/>
      <c r="Z21093" s="258"/>
    </row>
    <row r="21094" spans="1:26" ht="12.75" customHeight="1" x14ac:dyDescent="0.2">
      <c r="A21094" s="258"/>
      <c r="Z21094" s="258"/>
    </row>
    <row r="21095" spans="1:26" ht="12.75" customHeight="1" x14ac:dyDescent="0.2">
      <c r="A21095" s="258"/>
      <c r="Z21095" s="258"/>
    </row>
    <row r="21096" spans="1:26" ht="12.75" customHeight="1" x14ac:dyDescent="0.2">
      <c r="A21096" s="258"/>
      <c r="Z21096" s="258"/>
    </row>
    <row r="21097" spans="1:26" ht="12.75" customHeight="1" x14ac:dyDescent="0.2">
      <c r="A21097" s="258"/>
      <c r="Z21097" s="258"/>
    </row>
    <row r="21098" spans="1:26" ht="12.75" customHeight="1" x14ac:dyDescent="0.2">
      <c r="A21098" s="258"/>
      <c r="Z21098" s="258"/>
    </row>
    <row r="21099" spans="1:26" ht="12.75" customHeight="1" x14ac:dyDescent="0.2">
      <c r="A21099" s="258"/>
      <c r="Z21099" s="258"/>
    </row>
    <row r="21100" spans="1:26" ht="12.75" customHeight="1" x14ac:dyDescent="0.2">
      <c r="A21100" s="258"/>
      <c r="Z21100" s="258"/>
    </row>
    <row r="21101" spans="1:26" ht="12.75" customHeight="1" x14ac:dyDescent="0.2">
      <c r="A21101" s="258"/>
      <c r="Z21101" s="258"/>
    </row>
    <row r="21102" spans="1:26" ht="12.75" customHeight="1" x14ac:dyDescent="0.2">
      <c r="A21102" s="258"/>
      <c r="Z21102" s="258"/>
    </row>
    <row r="21103" spans="1:26" ht="12.75" customHeight="1" x14ac:dyDescent="0.2">
      <c r="A21103" s="258"/>
      <c r="Z21103" s="258"/>
    </row>
    <row r="21104" spans="1:26" ht="12.75" customHeight="1" x14ac:dyDescent="0.2">
      <c r="A21104" s="258"/>
      <c r="Z21104" s="258"/>
    </row>
    <row r="21105" spans="1:26" ht="12.75" customHeight="1" x14ac:dyDescent="0.2">
      <c r="A21105" s="258"/>
      <c r="Z21105" s="258"/>
    </row>
    <row r="21106" spans="1:26" ht="12.75" customHeight="1" x14ac:dyDescent="0.2">
      <c r="A21106" s="258"/>
      <c r="Z21106" s="258"/>
    </row>
    <row r="21107" spans="1:26" ht="12.75" customHeight="1" x14ac:dyDescent="0.2">
      <c r="A21107" s="258"/>
      <c r="Z21107" s="258"/>
    </row>
    <row r="21108" spans="1:26" ht="12.75" customHeight="1" x14ac:dyDescent="0.2">
      <c r="A21108" s="258"/>
      <c r="Z21108" s="258"/>
    </row>
    <row r="21109" spans="1:26" ht="12.75" customHeight="1" x14ac:dyDescent="0.2">
      <c r="A21109" s="258"/>
      <c r="Z21109" s="258"/>
    </row>
    <row r="21110" spans="1:26" ht="12.75" customHeight="1" x14ac:dyDescent="0.2">
      <c r="A21110" s="258"/>
      <c r="Z21110" s="258"/>
    </row>
    <row r="21111" spans="1:26" ht="12.75" customHeight="1" x14ac:dyDescent="0.2">
      <c r="A21111" s="258"/>
      <c r="Z21111" s="258"/>
    </row>
    <row r="21112" spans="1:26" ht="12.75" customHeight="1" x14ac:dyDescent="0.2">
      <c r="A21112" s="258"/>
      <c r="Z21112" s="258"/>
    </row>
    <row r="21113" spans="1:26" ht="12.75" customHeight="1" x14ac:dyDescent="0.2">
      <c r="A21113" s="258"/>
      <c r="Z21113" s="258"/>
    </row>
    <row r="21114" spans="1:26" ht="12.75" customHeight="1" x14ac:dyDescent="0.2">
      <c r="A21114" s="258"/>
      <c r="Z21114" s="258"/>
    </row>
    <row r="21115" spans="1:26" ht="12.75" customHeight="1" x14ac:dyDescent="0.2">
      <c r="A21115" s="258"/>
      <c r="Z21115" s="258"/>
    </row>
    <row r="21116" spans="1:26" ht="12.75" customHeight="1" x14ac:dyDescent="0.2">
      <c r="A21116" s="258"/>
      <c r="Z21116" s="258"/>
    </row>
    <row r="21117" spans="1:26" ht="12.75" customHeight="1" x14ac:dyDescent="0.2">
      <c r="A21117" s="258"/>
      <c r="Z21117" s="258"/>
    </row>
    <row r="21118" spans="1:26" ht="12.75" customHeight="1" x14ac:dyDescent="0.2">
      <c r="A21118" s="258"/>
      <c r="Z21118" s="258"/>
    </row>
    <row r="21119" spans="1:26" ht="12.75" customHeight="1" x14ac:dyDescent="0.2">
      <c r="A21119" s="258"/>
      <c r="Z21119" s="258"/>
    </row>
    <row r="21120" spans="1:26" ht="12.75" customHeight="1" x14ac:dyDescent="0.2">
      <c r="A21120" s="258"/>
      <c r="Z21120" s="258"/>
    </row>
    <row r="21121" spans="1:26" ht="12.75" customHeight="1" x14ac:dyDescent="0.2">
      <c r="A21121" s="258"/>
      <c r="Z21121" s="258"/>
    </row>
    <row r="21122" spans="1:26" ht="12.75" customHeight="1" x14ac:dyDescent="0.2">
      <c r="A21122" s="258"/>
      <c r="Z21122" s="258"/>
    </row>
    <row r="21123" spans="1:26" ht="12.75" customHeight="1" x14ac:dyDescent="0.2">
      <c r="A21123" s="258"/>
      <c r="Z21123" s="258"/>
    </row>
    <row r="21124" spans="1:26" ht="12.75" customHeight="1" x14ac:dyDescent="0.2">
      <c r="A21124" s="258"/>
      <c r="Z21124" s="258"/>
    </row>
    <row r="21125" spans="1:26" ht="12.75" customHeight="1" x14ac:dyDescent="0.2">
      <c r="A21125" s="258"/>
      <c r="Z21125" s="258"/>
    </row>
    <row r="21126" spans="1:26" ht="12.75" customHeight="1" x14ac:dyDescent="0.2">
      <c r="A21126" s="258"/>
      <c r="Z21126" s="258"/>
    </row>
    <row r="21127" spans="1:26" ht="12.75" customHeight="1" x14ac:dyDescent="0.2">
      <c r="A21127" s="258"/>
      <c r="Z21127" s="258"/>
    </row>
    <row r="21128" spans="1:26" ht="12.75" customHeight="1" x14ac:dyDescent="0.2">
      <c r="A21128" s="258"/>
      <c r="Z21128" s="258"/>
    </row>
    <row r="21129" spans="1:26" ht="12.75" customHeight="1" x14ac:dyDescent="0.2">
      <c r="A21129" s="258"/>
      <c r="Z21129" s="258"/>
    </row>
    <row r="21130" spans="1:26" ht="12.75" customHeight="1" x14ac:dyDescent="0.2">
      <c r="A21130" s="258"/>
      <c r="Z21130" s="258"/>
    </row>
    <row r="21131" spans="1:26" ht="12.75" customHeight="1" x14ac:dyDescent="0.2">
      <c r="A21131" s="258"/>
      <c r="Z21131" s="258"/>
    </row>
    <row r="21132" spans="1:26" ht="12.75" customHeight="1" x14ac:dyDescent="0.2">
      <c r="A21132" s="258"/>
      <c r="Z21132" s="258"/>
    </row>
    <row r="21133" spans="1:26" ht="12.75" customHeight="1" x14ac:dyDescent="0.2">
      <c r="A21133" s="258"/>
      <c r="Z21133" s="258"/>
    </row>
    <row r="21134" spans="1:26" ht="12.75" customHeight="1" x14ac:dyDescent="0.2">
      <c r="A21134" s="258"/>
      <c r="Z21134" s="258"/>
    </row>
    <row r="21135" spans="1:26" ht="12.75" customHeight="1" x14ac:dyDescent="0.2">
      <c r="A21135" s="258"/>
      <c r="Z21135" s="258"/>
    </row>
    <row r="21136" spans="1:26" ht="12.75" customHeight="1" x14ac:dyDescent="0.2">
      <c r="A21136" s="258"/>
      <c r="Z21136" s="258"/>
    </row>
    <row r="21137" spans="1:26" ht="12.75" customHeight="1" x14ac:dyDescent="0.2">
      <c r="A21137" s="258"/>
      <c r="Z21137" s="258"/>
    </row>
    <row r="21138" spans="1:26" ht="12.75" customHeight="1" x14ac:dyDescent="0.2">
      <c r="A21138" s="258"/>
      <c r="Z21138" s="258"/>
    </row>
    <row r="21139" spans="1:26" ht="12.75" customHeight="1" x14ac:dyDescent="0.2">
      <c r="A21139" s="258"/>
      <c r="Z21139" s="258"/>
    </row>
    <row r="21140" spans="1:26" ht="12.75" customHeight="1" x14ac:dyDescent="0.2">
      <c r="A21140" s="258"/>
      <c r="Z21140" s="258"/>
    </row>
    <row r="21141" spans="1:26" ht="12.75" customHeight="1" x14ac:dyDescent="0.2">
      <c r="A21141" s="258"/>
      <c r="Z21141" s="258"/>
    </row>
    <row r="21142" spans="1:26" ht="12.75" customHeight="1" x14ac:dyDescent="0.2">
      <c r="A21142" s="258"/>
      <c r="Z21142" s="258"/>
    </row>
    <row r="21143" spans="1:26" ht="12.75" customHeight="1" x14ac:dyDescent="0.2">
      <c r="A21143" s="258"/>
      <c r="Z21143" s="258"/>
    </row>
    <row r="21144" spans="1:26" ht="12.75" customHeight="1" x14ac:dyDescent="0.2">
      <c r="A21144" s="258"/>
      <c r="Z21144" s="258"/>
    </row>
    <row r="21145" spans="1:26" ht="12.75" customHeight="1" x14ac:dyDescent="0.2">
      <c r="A21145" s="258"/>
      <c r="Z21145" s="258"/>
    </row>
    <row r="21146" spans="1:26" ht="12.75" customHeight="1" x14ac:dyDescent="0.2">
      <c r="A21146" s="258"/>
      <c r="Z21146" s="258"/>
    </row>
    <row r="21147" spans="1:26" ht="12.75" customHeight="1" x14ac:dyDescent="0.2">
      <c r="A21147" s="258"/>
      <c r="Z21147" s="258"/>
    </row>
    <row r="21148" spans="1:26" ht="12.75" customHeight="1" x14ac:dyDescent="0.2">
      <c r="A21148" s="258"/>
      <c r="Z21148" s="258"/>
    </row>
    <row r="21149" spans="1:26" ht="12.75" customHeight="1" x14ac:dyDescent="0.2">
      <c r="A21149" s="258"/>
      <c r="Z21149" s="258"/>
    </row>
    <row r="21150" spans="1:26" ht="12.75" customHeight="1" x14ac:dyDescent="0.2">
      <c r="A21150" s="258"/>
      <c r="Z21150" s="258"/>
    </row>
    <row r="21151" spans="1:26" ht="12.75" customHeight="1" x14ac:dyDescent="0.2">
      <c r="A21151" s="258"/>
      <c r="Z21151" s="258"/>
    </row>
    <row r="21152" spans="1:26" ht="12.75" customHeight="1" x14ac:dyDescent="0.2">
      <c r="A21152" s="258"/>
      <c r="Z21152" s="258"/>
    </row>
    <row r="21153" spans="1:26" ht="12.75" customHeight="1" x14ac:dyDescent="0.2">
      <c r="A21153" s="258"/>
      <c r="Z21153" s="258"/>
    </row>
    <row r="21154" spans="1:26" ht="12.75" customHeight="1" x14ac:dyDescent="0.2">
      <c r="A21154" s="258"/>
      <c r="Z21154" s="258"/>
    </row>
    <row r="21155" spans="1:26" ht="12.75" customHeight="1" x14ac:dyDescent="0.2">
      <c r="A21155" s="258"/>
      <c r="Z21155" s="258"/>
    </row>
    <row r="21156" spans="1:26" ht="12.75" customHeight="1" x14ac:dyDescent="0.2">
      <c r="A21156" s="258"/>
      <c r="Z21156" s="258"/>
    </row>
    <row r="21157" spans="1:26" ht="12.75" customHeight="1" x14ac:dyDescent="0.2">
      <c r="A21157" s="258"/>
      <c r="Z21157" s="258"/>
    </row>
    <row r="21158" spans="1:26" ht="12.75" customHeight="1" x14ac:dyDescent="0.2">
      <c r="A21158" s="258"/>
      <c r="Z21158" s="258"/>
    </row>
    <row r="21159" spans="1:26" ht="12.75" customHeight="1" x14ac:dyDescent="0.2">
      <c r="A21159" s="258"/>
      <c r="Z21159" s="258"/>
    </row>
    <row r="21160" spans="1:26" ht="12.75" customHeight="1" x14ac:dyDescent="0.2">
      <c r="A21160" s="258"/>
      <c r="Z21160" s="258"/>
    </row>
    <row r="21161" spans="1:26" ht="12.75" customHeight="1" x14ac:dyDescent="0.2">
      <c r="A21161" s="258"/>
      <c r="Z21161" s="258"/>
    </row>
    <row r="21162" spans="1:26" ht="12.75" customHeight="1" x14ac:dyDescent="0.2">
      <c r="A21162" s="258"/>
      <c r="Z21162" s="258"/>
    </row>
    <row r="21163" spans="1:26" ht="12.75" customHeight="1" x14ac:dyDescent="0.2">
      <c r="A21163" s="258"/>
      <c r="Z21163" s="258"/>
    </row>
    <row r="21164" spans="1:26" ht="12.75" customHeight="1" x14ac:dyDescent="0.2">
      <c r="A21164" s="258"/>
      <c r="Z21164" s="258"/>
    </row>
    <row r="21165" spans="1:26" ht="12.75" customHeight="1" x14ac:dyDescent="0.2">
      <c r="A21165" s="258"/>
      <c r="Z21165" s="258"/>
    </row>
    <row r="21166" spans="1:26" ht="12.75" customHeight="1" x14ac:dyDescent="0.2">
      <c r="A21166" s="258"/>
      <c r="Z21166" s="258"/>
    </row>
    <row r="21167" spans="1:26" ht="12.75" customHeight="1" x14ac:dyDescent="0.2">
      <c r="A21167" s="258"/>
      <c r="Z21167" s="258"/>
    </row>
    <row r="21168" spans="1:26" ht="12.75" customHeight="1" x14ac:dyDescent="0.2">
      <c r="A21168" s="258"/>
      <c r="Z21168" s="258"/>
    </row>
    <row r="21169" spans="1:26" ht="12.75" customHeight="1" x14ac:dyDescent="0.2">
      <c r="A21169" s="258"/>
      <c r="Z21169" s="258"/>
    </row>
    <row r="21170" spans="1:26" ht="12.75" customHeight="1" x14ac:dyDescent="0.2">
      <c r="A21170" s="258"/>
      <c r="Z21170" s="258"/>
    </row>
    <row r="21171" spans="1:26" ht="12.75" customHeight="1" x14ac:dyDescent="0.2">
      <c r="A21171" s="258"/>
      <c r="Z21171" s="258"/>
    </row>
    <row r="21172" spans="1:26" ht="12.75" customHeight="1" x14ac:dyDescent="0.2">
      <c r="A21172" s="258"/>
      <c r="Z21172" s="258"/>
    </row>
    <row r="21173" spans="1:26" ht="12.75" customHeight="1" x14ac:dyDescent="0.2">
      <c r="A21173" s="258"/>
      <c r="Z21173" s="258"/>
    </row>
    <row r="21174" spans="1:26" ht="12.75" customHeight="1" x14ac:dyDescent="0.2">
      <c r="A21174" s="258"/>
      <c r="Z21174" s="258"/>
    </row>
    <row r="21175" spans="1:26" ht="12.75" customHeight="1" x14ac:dyDescent="0.2">
      <c r="A21175" s="258"/>
      <c r="Z21175" s="258"/>
    </row>
    <row r="21176" spans="1:26" ht="12.75" customHeight="1" x14ac:dyDescent="0.2">
      <c r="A21176" s="258"/>
      <c r="Z21176" s="258"/>
    </row>
    <row r="21177" spans="1:26" ht="12.75" customHeight="1" x14ac:dyDescent="0.2">
      <c r="A21177" s="258"/>
      <c r="Z21177" s="258"/>
    </row>
    <row r="21178" spans="1:26" ht="12.75" customHeight="1" x14ac:dyDescent="0.2">
      <c r="A21178" s="258"/>
      <c r="Z21178" s="258"/>
    </row>
    <row r="21179" spans="1:26" ht="12.75" customHeight="1" x14ac:dyDescent="0.2">
      <c r="A21179" s="258"/>
      <c r="Z21179" s="258"/>
    </row>
    <row r="21180" spans="1:26" ht="12.75" customHeight="1" x14ac:dyDescent="0.2">
      <c r="A21180" s="258"/>
      <c r="Z21180" s="258"/>
    </row>
    <row r="21181" spans="1:26" ht="12.75" customHeight="1" x14ac:dyDescent="0.2">
      <c r="A21181" s="258"/>
      <c r="Z21181" s="258"/>
    </row>
    <row r="21182" spans="1:26" ht="12.75" customHeight="1" x14ac:dyDescent="0.2">
      <c r="A21182" s="258"/>
      <c r="Z21182" s="258"/>
    </row>
    <row r="21183" spans="1:26" ht="12.75" customHeight="1" x14ac:dyDescent="0.2">
      <c r="A21183" s="258"/>
      <c r="Z21183" s="258"/>
    </row>
    <row r="21184" spans="1:26" ht="12.75" customHeight="1" x14ac:dyDescent="0.2">
      <c r="A21184" s="258"/>
      <c r="Z21184" s="258"/>
    </row>
    <row r="21185" spans="1:26" ht="12.75" customHeight="1" x14ac:dyDescent="0.2">
      <c r="A21185" s="258"/>
      <c r="Z21185" s="258"/>
    </row>
    <row r="21186" spans="1:26" ht="12.75" customHeight="1" x14ac:dyDescent="0.2">
      <c r="A21186" s="258"/>
      <c r="Z21186" s="258"/>
    </row>
    <row r="21187" spans="1:26" ht="12.75" customHeight="1" x14ac:dyDescent="0.2">
      <c r="A21187" s="258"/>
      <c r="Z21187" s="258"/>
    </row>
    <row r="21188" spans="1:26" ht="12.75" customHeight="1" x14ac:dyDescent="0.2">
      <c r="A21188" s="258"/>
      <c r="Z21188" s="258"/>
    </row>
    <row r="21189" spans="1:26" ht="12.75" customHeight="1" x14ac:dyDescent="0.2">
      <c r="A21189" s="258"/>
      <c r="Z21189" s="258"/>
    </row>
    <row r="21190" spans="1:26" ht="12.75" customHeight="1" x14ac:dyDescent="0.2">
      <c r="A21190" s="258"/>
      <c r="Z21190" s="258"/>
    </row>
    <row r="21191" spans="1:26" ht="12.75" customHeight="1" x14ac:dyDescent="0.2">
      <c r="A21191" s="258"/>
      <c r="Z21191" s="258"/>
    </row>
    <row r="21192" spans="1:26" ht="12.75" customHeight="1" x14ac:dyDescent="0.2">
      <c r="A21192" s="258"/>
      <c r="Z21192" s="258"/>
    </row>
    <row r="21193" spans="1:26" ht="12.75" customHeight="1" x14ac:dyDescent="0.2">
      <c r="A21193" s="258"/>
      <c r="Z21193" s="258"/>
    </row>
    <row r="21194" spans="1:26" ht="12.75" customHeight="1" x14ac:dyDescent="0.2">
      <c r="A21194" s="258"/>
      <c r="Z21194" s="258"/>
    </row>
    <row r="21195" spans="1:26" ht="12.75" customHeight="1" x14ac:dyDescent="0.2">
      <c r="A21195" s="258"/>
      <c r="Z21195" s="258"/>
    </row>
    <row r="21196" spans="1:26" ht="12.75" customHeight="1" x14ac:dyDescent="0.2">
      <c r="A21196" s="258"/>
      <c r="Z21196" s="258"/>
    </row>
    <row r="21197" spans="1:26" ht="12.75" customHeight="1" x14ac:dyDescent="0.2">
      <c r="A21197" s="258"/>
      <c r="Z21197" s="258"/>
    </row>
    <row r="21198" spans="1:26" ht="12.75" customHeight="1" x14ac:dyDescent="0.2">
      <c r="A21198" s="258"/>
      <c r="Z21198" s="258"/>
    </row>
    <row r="21199" spans="1:26" ht="12.75" customHeight="1" x14ac:dyDescent="0.2">
      <c r="A21199" s="258"/>
      <c r="Z21199" s="258"/>
    </row>
    <row r="21200" spans="1:26" ht="12.75" customHeight="1" x14ac:dyDescent="0.2">
      <c r="A21200" s="258"/>
      <c r="Z21200" s="258"/>
    </row>
    <row r="21201" spans="1:26" ht="12.75" customHeight="1" x14ac:dyDescent="0.2">
      <c r="A21201" s="258"/>
      <c r="Z21201" s="258"/>
    </row>
    <row r="21202" spans="1:26" ht="12.75" customHeight="1" x14ac:dyDescent="0.2">
      <c r="A21202" s="258"/>
      <c r="Z21202" s="258"/>
    </row>
    <row r="21203" spans="1:26" ht="12.75" customHeight="1" x14ac:dyDescent="0.2">
      <c r="A21203" s="258"/>
      <c r="Z21203" s="258"/>
    </row>
    <row r="21204" spans="1:26" ht="12.75" customHeight="1" x14ac:dyDescent="0.2">
      <c r="A21204" s="258"/>
      <c r="Z21204" s="258"/>
    </row>
    <row r="21205" spans="1:26" ht="12.75" customHeight="1" x14ac:dyDescent="0.2">
      <c r="A21205" s="258"/>
      <c r="Z21205" s="258"/>
    </row>
    <row r="21206" spans="1:26" ht="12.75" customHeight="1" x14ac:dyDescent="0.2">
      <c r="A21206" s="258"/>
      <c r="Z21206" s="258"/>
    </row>
    <row r="21207" spans="1:26" ht="12.75" customHeight="1" x14ac:dyDescent="0.2">
      <c r="A21207" s="258"/>
      <c r="Z21207" s="258"/>
    </row>
    <row r="21208" spans="1:26" ht="12.75" customHeight="1" x14ac:dyDescent="0.2">
      <c r="A21208" s="258"/>
      <c r="Z21208" s="258"/>
    </row>
    <row r="21209" spans="1:26" ht="12.75" customHeight="1" x14ac:dyDescent="0.2">
      <c r="A21209" s="258"/>
      <c r="Z21209" s="258"/>
    </row>
    <row r="21210" spans="1:26" ht="12.75" customHeight="1" x14ac:dyDescent="0.2">
      <c r="A21210" s="258"/>
      <c r="Z21210" s="258"/>
    </row>
    <row r="21211" spans="1:26" ht="12.75" customHeight="1" x14ac:dyDescent="0.2">
      <c r="A21211" s="258"/>
      <c r="Z21211" s="258"/>
    </row>
    <row r="21212" spans="1:26" ht="12.75" customHeight="1" x14ac:dyDescent="0.2">
      <c r="A21212" s="258"/>
      <c r="Z21212" s="258"/>
    </row>
    <row r="21213" spans="1:26" ht="12.75" customHeight="1" x14ac:dyDescent="0.2">
      <c r="A21213" s="258"/>
      <c r="Z21213" s="258"/>
    </row>
    <row r="21214" spans="1:26" ht="12.75" customHeight="1" x14ac:dyDescent="0.2">
      <c r="A21214" s="258"/>
      <c r="Z21214" s="258"/>
    </row>
    <row r="21215" spans="1:26" ht="12.75" customHeight="1" x14ac:dyDescent="0.2">
      <c r="A21215" s="258"/>
      <c r="Z21215" s="258"/>
    </row>
    <row r="21216" spans="1:26" ht="12.75" customHeight="1" x14ac:dyDescent="0.2">
      <c r="A21216" s="258"/>
      <c r="Z21216" s="258"/>
    </row>
    <row r="21217" spans="1:26" ht="12.75" customHeight="1" x14ac:dyDescent="0.2">
      <c r="A21217" s="258"/>
      <c r="Z21217" s="258"/>
    </row>
    <row r="21218" spans="1:26" ht="12.75" customHeight="1" x14ac:dyDescent="0.2">
      <c r="A21218" s="258"/>
      <c r="Z21218" s="258"/>
    </row>
    <row r="21219" spans="1:26" ht="12.75" customHeight="1" x14ac:dyDescent="0.2">
      <c r="A21219" s="258"/>
      <c r="Z21219" s="258"/>
    </row>
    <row r="21220" spans="1:26" ht="12.75" customHeight="1" x14ac:dyDescent="0.2">
      <c r="A21220" s="258"/>
      <c r="Z21220" s="258"/>
    </row>
    <row r="21221" spans="1:26" ht="12.75" customHeight="1" x14ac:dyDescent="0.2">
      <c r="A21221" s="258"/>
      <c r="Z21221" s="258"/>
    </row>
    <row r="21222" spans="1:26" ht="12.75" customHeight="1" x14ac:dyDescent="0.2">
      <c r="A21222" s="258"/>
      <c r="Z21222" s="258"/>
    </row>
    <row r="21223" spans="1:26" ht="12.75" customHeight="1" x14ac:dyDescent="0.2">
      <c r="A21223" s="258"/>
      <c r="Z21223" s="258"/>
    </row>
    <row r="21224" spans="1:26" ht="12.75" customHeight="1" x14ac:dyDescent="0.2">
      <c r="A21224" s="258"/>
      <c r="Z21224" s="258"/>
    </row>
    <row r="21225" spans="1:26" ht="12.75" customHeight="1" x14ac:dyDescent="0.2">
      <c r="A21225" s="258"/>
      <c r="Z21225" s="258"/>
    </row>
    <row r="21226" spans="1:26" ht="12.75" customHeight="1" x14ac:dyDescent="0.2">
      <c r="A21226" s="258"/>
      <c r="Z21226" s="258"/>
    </row>
    <row r="21227" spans="1:26" ht="12.75" customHeight="1" x14ac:dyDescent="0.2">
      <c r="A21227" s="258"/>
      <c r="Z21227" s="258"/>
    </row>
    <row r="21228" spans="1:26" ht="12.75" customHeight="1" x14ac:dyDescent="0.2">
      <c r="A21228" s="258"/>
      <c r="Z21228" s="258"/>
    </row>
    <row r="21229" spans="1:26" ht="12.75" customHeight="1" x14ac:dyDescent="0.2">
      <c r="A21229" s="258"/>
      <c r="Z21229" s="258"/>
    </row>
    <row r="21230" spans="1:26" ht="12.75" customHeight="1" x14ac:dyDescent="0.2">
      <c r="A21230" s="258"/>
      <c r="Z21230" s="258"/>
    </row>
    <row r="21231" spans="1:26" ht="12.75" customHeight="1" x14ac:dyDescent="0.2">
      <c r="A21231" s="258"/>
      <c r="Z21231" s="258"/>
    </row>
    <row r="21232" spans="1:26" ht="12.75" customHeight="1" x14ac:dyDescent="0.2">
      <c r="A21232" s="258"/>
      <c r="Z21232" s="258"/>
    </row>
    <row r="21233" spans="1:26" ht="12.75" customHeight="1" x14ac:dyDescent="0.2">
      <c r="A21233" s="258"/>
      <c r="Z21233" s="258"/>
    </row>
    <row r="21234" spans="1:26" ht="12.75" customHeight="1" x14ac:dyDescent="0.2">
      <c r="A21234" s="258"/>
      <c r="Z21234" s="258"/>
    </row>
    <row r="21235" spans="1:26" ht="12.75" customHeight="1" x14ac:dyDescent="0.2">
      <c r="A21235" s="258"/>
      <c r="Z21235" s="258"/>
    </row>
    <row r="21236" spans="1:26" ht="12.75" customHeight="1" x14ac:dyDescent="0.2">
      <c r="A21236" s="258"/>
      <c r="Z21236" s="258"/>
    </row>
    <row r="21237" spans="1:26" ht="12.75" customHeight="1" x14ac:dyDescent="0.2">
      <c r="A21237" s="258"/>
      <c r="Z21237" s="258"/>
    </row>
    <row r="21238" spans="1:26" ht="12.75" customHeight="1" x14ac:dyDescent="0.2">
      <c r="A21238" s="258"/>
      <c r="Z21238" s="258"/>
    </row>
    <row r="21239" spans="1:26" ht="12.75" customHeight="1" x14ac:dyDescent="0.2">
      <c r="A21239" s="258"/>
      <c r="Z21239" s="258"/>
    </row>
    <row r="21240" spans="1:26" ht="12.75" customHeight="1" x14ac:dyDescent="0.2">
      <c r="A21240" s="258"/>
      <c r="Z21240" s="258"/>
    </row>
    <row r="21241" spans="1:26" ht="12.75" customHeight="1" x14ac:dyDescent="0.2">
      <c r="A21241" s="258"/>
      <c r="Z21241" s="258"/>
    </row>
    <row r="21242" spans="1:26" ht="12.75" customHeight="1" x14ac:dyDescent="0.2">
      <c r="A21242" s="258"/>
      <c r="Z21242" s="258"/>
    </row>
    <row r="21243" spans="1:26" ht="12.75" customHeight="1" x14ac:dyDescent="0.2">
      <c r="A21243" s="258"/>
      <c r="Z21243" s="258"/>
    </row>
    <row r="21244" spans="1:26" ht="12.75" customHeight="1" x14ac:dyDescent="0.2">
      <c r="A21244" s="258"/>
      <c r="Z21244" s="258"/>
    </row>
    <row r="21245" spans="1:26" ht="12.75" customHeight="1" x14ac:dyDescent="0.2">
      <c r="A21245" s="258"/>
      <c r="Z21245" s="258"/>
    </row>
    <row r="21246" spans="1:26" ht="12.75" customHeight="1" x14ac:dyDescent="0.2">
      <c r="A21246" s="258"/>
      <c r="Z21246" s="258"/>
    </row>
    <row r="21247" spans="1:26" ht="12.75" customHeight="1" x14ac:dyDescent="0.2">
      <c r="A21247" s="258"/>
      <c r="Z21247" s="258"/>
    </row>
    <row r="21248" spans="1:26" ht="12.75" customHeight="1" x14ac:dyDescent="0.2">
      <c r="A21248" s="258"/>
      <c r="Z21248" s="258"/>
    </row>
    <row r="21249" spans="1:26" ht="12.75" customHeight="1" x14ac:dyDescent="0.2">
      <c r="A21249" s="258"/>
      <c r="Z21249" s="258"/>
    </row>
    <row r="21250" spans="1:26" ht="12.75" customHeight="1" x14ac:dyDescent="0.2">
      <c r="A21250" s="258"/>
      <c r="Z21250" s="258"/>
    </row>
    <row r="21251" spans="1:26" ht="12.75" customHeight="1" x14ac:dyDescent="0.2">
      <c r="A21251" s="258"/>
      <c r="Z21251" s="258"/>
    </row>
    <row r="21252" spans="1:26" ht="12.75" customHeight="1" x14ac:dyDescent="0.2">
      <c r="A21252" s="258"/>
      <c r="Z21252" s="258"/>
    </row>
    <row r="21253" spans="1:26" ht="12.75" customHeight="1" x14ac:dyDescent="0.2">
      <c r="A21253" s="258"/>
      <c r="Z21253" s="258"/>
    </row>
    <row r="21254" spans="1:26" ht="12.75" customHeight="1" x14ac:dyDescent="0.2">
      <c r="A21254" s="258"/>
      <c r="Z21254" s="258"/>
    </row>
    <row r="21255" spans="1:26" ht="12.75" customHeight="1" x14ac:dyDescent="0.2">
      <c r="A21255" s="258"/>
      <c r="Z21255" s="258"/>
    </row>
    <row r="21256" spans="1:26" ht="12.75" customHeight="1" x14ac:dyDescent="0.2">
      <c r="A21256" s="258"/>
      <c r="Z21256" s="258"/>
    </row>
    <row r="21257" spans="1:26" ht="12.75" customHeight="1" x14ac:dyDescent="0.2">
      <c r="A21257" s="258"/>
      <c r="Z21257" s="258"/>
    </row>
    <row r="21258" spans="1:26" ht="12.75" customHeight="1" x14ac:dyDescent="0.2">
      <c r="A21258" s="258"/>
      <c r="Z21258" s="258"/>
    </row>
    <row r="21259" spans="1:26" ht="12.75" customHeight="1" x14ac:dyDescent="0.2">
      <c r="A21259" s="258"/>
      <c r="Z21259" s="258"/>
    </row>
    <row r="21260" spans="1:26" ht="12.75" customHeight="1" x14ac:dyDescent="0.2">
      <c r="A21260" s="258"/>
      <c r="Z21260" s="258"/>
    </row>
    <row r="21261" spans="1:26" ht="12.75" customHeight="1" x14ac:dyDescent="0.2">
      <c r="A21261" s="258"/>
      <c r="Z21261" s="258"/>
    </row>
    <row r="21262" spans="1:26" ht="12.75" customHeight="1" x14ac:dyDescent="0.2">
      <c r="A21262" s="258"/>
      <c r="Z21262" s="258"/>
    </row>
    <row r="21263" spans="1:26" ht="12.75" customHeight="1" x14ac:dyDescent="0.2">
      <c r="A21263" s="258"/>
      <c r="Z21263" s="258"/>
    </row>
    <row r="21264" spans="1:26" ht="12.75" customHeight="1" x14ac:dyDescent="0.2">
      <c r="A21264" s="258"/>
      <c r="Z21264" s="258"/>
    </row>
    <row r="21265" spans="1:26" ht="12.75" customHeight="1" x14ac:dyDescent="0.2">
      <c r="A21265" s="258"/>
      <c r="Z21265" s="258"/>
    </row>
    <row r="21266" spans="1:26" ht="12.75" customHeight="1" x14ac:dyDescent="0.2">
      <c r="A21266" s="258"/>
      <c r="Z21266" s="258"/>
    </row>
    <row r="21267" spans="1:26" ht="12.75" customHeight="1" x14ac:dyDescent="0.2">
      <c r="A21267" s="258"/>
      <c r="Z21267" s="258"/>
    </row>
    <row r="21268" spans="1:26" ht="12.75" customHeight="1" x14ac:dyDescent="0.2">
      <c r="A21268" s="258"/>
      <c r="Z21268" s="258"/>
    </row>
    <row r="21269" spans="1:26" ht="12.75" customHeight="1" x14ac:dyDescent="0.2">
      <c r="A21269" s="258"/>
      <c r="Z21269" s="258"/>
    </row>
    <row r="21270" spans="1:26" ht="12.75" customHeight="1" x14ac:dyDescent="0.2">
      <c r="A21270" s="258"/>
      <c r="Z21270" s="258"/>
    </row>
    <row r="21271" spans="1:26" ht="12.75" customHeight="1" x14ac:dyDescent="0.2">
      <c r="A21271" s="258"/>
      <c r="Z21271" s="258"/>
    </row>
    <row r="21272" spans="1:26" ht="12.75" customHeight="1" x14ac:dyDescent="0.2">
      <c r="A21272" s="258"/>
      <c r="Z21272" s="258"/>
    </row>
    <row r="21273" spans="1:26" ht="12.75" customHeight="1" x14ac:dyDescent="0.2">
      <c r="A21273" s="258"/>
      <c r="Z21273" s="258"/>
    </row>
    <row r="21274" spans="1:26" ht="12.75" customHeight="1" x14ac:dyDescent="0.2">
      <c r="A21274" s="258"/>
      <c r="Z21274" s="258"/>
    </row>
    <row r="21275" spans="1:26" ht="12.75" customHeight="1" x14ac:dyDescent="0.2">
      <c r="A21275" s="258"/>
      <c r="Z21275" s="258"/>
    </row>
    <row r="21276" spans="1:26" ht="12.75" customHeight="1" x14ac:dyDescent="0.2">
      <c r="A21276" s="258"/>
      <c r="Z21276" s="258"/>
    </row>
    <row r="21277" spans="1:26" ht="12.75" customHeight="1" x14ac:dyDescent="0.2">
      <c r="A21277" s="258"/>
      <c r="Z21277" s="258"/>
    </row>
    <row r="21278" spans="1:26" ht="12.75" customHeight="1" x14ac:dyDescent="0.2">
      <c r="A21278" s="258"/>
      <c r="Z21278" s="258"/>
    </row>
    <row r="21279" spans="1:26" ht="12.75" customHeight="1" x14ac:dyDescent="0.2">
      <c r="A21279" s="258"/>
      <c r="Z21279" s="258"/>
    </row>
    <row r="21280" spans="1:26" ht="12.75" customHeight="1" x14ac:dyDescent="0.2">
      <c r="A21280" s="258"/>
      <c r="Z21280" s="258"/>
    </row>
    <row r="21281" spans="1:26" ht="12.75" customHeight="1" x14ac:dyDescent="0.2">
      <c r="A21281" s="258"/>
      <c r="Z21281" s="258"/>
    </row>
    <row r="21282" spans="1:26" ht="12.75" customHeight="1" x14ac:dyDescent="0.2">
      <c r="A21282" s="258"/>
      <c r="Z21282" s="258"/>
    </row>
    <row r="21283" spans="1:26" ht="12.75" customHeight="1" x14ac:dyDescent="0.2">
      <c r="A21283" s="258"/>
      <c r="Z21283" s="258"/>
    </row>
    <row r="21284" spans="1:26" ht="12.75" customHeight="1" x14ac:dyDescent="0.2">
      <c r="A21284" s="258"/>
      <c r="Z21284" s="258"/>
    </row>
    <row r="21285" spans="1:26" ht="12.75" customHeight="1" x14ac:dyDescent="0.2">
      <c r="A21285" s="258"/>
      <c r="Z21285" s="258"/>
    </row>
    <row r="21286" spans="1:26" ht="12.75" customHeight="1" x14ac:dyDescent="0.2">
      <c r="A21286" s="258"/>
      <c r="Z21286" s="258"/>
    </row>
    <row r="21287" spans="1:26" ht="12.75" customHeight="1" x14ac:dyDescent="0.2">
      <c r="A21287" s="258"/>
      <c r="Z21287" s="258"/>
    </row>
    <row r="21288" spans="1:26" ht="12.75" customHeight="1" x14ac:dyDescent="0.2">
      <c r="A21288" s="258"/>
      <c r="Z21288" s="258"/>
    </row>
    <row r="21289" spans="1:26" ht="12.75" customHeight="1" x14ac:dyDescent="0.2">
      <c r="A21289" s="258"/>
      <c r="Z21289" s="258"/>
    </row>
    <row r="21290" spans="1:26" ht="12.75" customHeight="1" x14ac:dyDescent="0.2">
      <c r="A21290" s="258"/>
      <c r="Z21290" s="258"/>
    </row>
    <row r="21291" spans="1:26" ht="12.75" customHeight="1" x14ac:dyDescent="0.2">
      <c r="A21291" s="258"/>
      <c r="Z21291" s="258"/>
    </row>
    <row r="21292" spans="1:26" ht="12.75" customHeight="1" x14ac:dyDescent="0.2">
      <c r="A21292" s="258"/>
      <c r="Z21292" s="258"/>
    </row>
    <row r="21293" spans="1:26" ht="12.75" customHeight="1" x14ac:dyDescent="0.2">
      <c r="A21293" s="258"/>
      <c r="Z21293" s="258"/>
    </row>
    <row r="21294" spans="1:26" ht="12.75" customHeight="1" x14ac:dyDescent="0.2">
      <c r="A21294" s="258"/>
      <c r="Z21294" s="258"/>
    </row>
    <row r="21295" spans="1:26" ht="12.75" customHeight="1" x14ac:dyDescent="0.2">
      <c r="A21295" s="258"/>
      <c r="Z21295" s="258"/>
    </row>
    <row r="21296" spans="1:26" ht="12.75" customHeight="1" x14ac:dyDescent="0.2">
      <c r="A21296" s="258"/>
      <c r="Z21296" s="258"/>
    </row>
    <row r="21297" spans="1:26" ht="12.75" customHeight="1" x14ac:dyDescent="0.2">
      <c r="A21297" s="258"/>
      <c r="Z21297" s="258"/>
    </row>
    <row r="21298" spans="1:26" ht="12.75" customHeight="1" x14ac:dyDescent="0.2">
      <c r="A21298" s="258"/>
      <c r="Z21298" s="258"/>
    </row>
    <row r="21299" spans="1:26" ht="12.75" customHeight="1" x14ac:dyDescent="0.2">
      <c r="A21299" s="258"/>
      <c r="Z21299" s="258"/>
    </row>
    <row r="21300" spans="1:26" ht="12.75" customHeight="1" x14ac:dyDescent="0.2">
      <c r="A21300" s="258"/>
      <c r="Z21300" s="258"/>
    </row>
    <row r="21301" spans="1:26" ht="12.75" customHeight="1" x14ac:dyDescent="0.2">
      <c r="A21301" s="258"/>
      <c r="Z21301" s="258"/>
    </row>
    <row r="21302" spans="1:26" ht="12.75" customHeight="1" x14ac:dyDescent="0.2">
      <c r="A21302" s="258"/>
      <c r="Z21302" s="258"/>
    </row>
    <row r="21303" spans="1:26" ht="12.75" customHeight="1" x14ac:dyDescent="0.2">
      <c r="A21303" s="258"/>
      <c r="Z21303" s="258"/>
    </row>
    <row r="21304" spans="1:26" ht="12.75" customHeight="1" x14ac:dyDescent="0.2">
      <c r="A21304" s="258"/>
      <c r="Z21304" s="258"/>
    </row>
    <row r="21305" spans="1:26" ht="12.75" customHeight="1" x14ac:dyDescent="0.2">
      <c r="A21305" s="258"/>
      <c r="Z21305" s="258"/>
    </row>
    <row r="21306" spans="1:26" ht="12.75" customHeight="1" x14ac:dyDescent="0.2">
      <c r="A21306" s="258"/>
      <c r="Z21306" s="258"/>
    </row>
    <row r="21307" spans="1:26" ht="12.75" customHeight="1" x14ac:dyDescent="0.2">
      <c r="A21307" s="258"/>
      <c r="Z21307" s="258"/>
    </row>
    <row r="21308" spans="1:26" ht="12.75" customHeight="1" x14ac:dyDescent="0.2">
      <c r="A21308" s="258"/>
      <c r="Z21308" s="258"/>
    </row>
    <row r="21309" spans="1:26" ht="12.75" customHeight="1" x14ac:dyDescent="0.2">
      <c r="A21309" s="258"/>
      <c r="Z21309" s="258"/>
    </row>
    <row r="21310" spans="1:26" ht="12.75" customHeight="1" x14ac:dyDescent="0.2">
      <c r="A21310" s="258"/>
      <c r="Z21310" s="258"/>
    </row>
    <row r="21311" spans="1:26" ht="12.75" customHeight="1" x14ac:dyDescent="0.2">
      <c r="A21311" s="258"/>
      <c r="Z21311" s="258"/>
    </row>
    <row r="21312" spans="1:26" ht="12.75" customHeight="1" x14ac:dyDescent="0.2">
      <c r="A21312" s="258"/>
      <c r="Z21312" s="258"/>
    </row>
    <row r="21313" spans="1:26" ht="12.75" customHeight="1" x14ac:dyDescent="0.2">
      <c r="A21313" s="258"/>
      <c r="Z21313" s="258"/>
    </row>
    <row r="21314" spans="1:26" ht="12.75" customHeight="1" x14ac:dyDescent="0.2">
      <c r="A21314" s="258"/>
      <c r="Z21314" s="258"/>
    </row>
    <row r="21315" spans="1:26" ht="12.75" customHeight="1" x14ac:dyDescent="0.2">
      <c r="A21315" s="258"/>
      <c r="Z21315" s="258"/>
    </row>
    <row r="21316" spans="1:26" ht="12.75" customHeight="1" x14ac:dyDescent="0.2">
      <c r="A21316" s="258"/>
      <c r="Z21316" s="258"/>
    </row>
    <row r="21317" spans="1:26" ht="12.75" customHeight="1" x14ac:dyDescent="0.2">
      <c r="A21317" s="258"/>
      <c r="Z21317" s="258"/>
    </row>
    <row r="21318" spans="1:26" ht="12.75" customHeight="1" x14ac:dyDescent="0.2">
      <c r="A21318" s="258"/>
      <c r="Z21318" s="258"/>
    </row>
    <row r="21319" spans="1:26" ht="12.75" customHeight="1" x14ac:dyDescent="0.2">
      <c r="A21319" s="258"/>
      <c r="Z21319" s="258"/>
    </row>
    <row r="21320" spans="1:26" ht="12.75" customHeight="1" x14ac:dyDescent="0.2">
      <c r="A21320" s="258"/>
      <c r="Z21320" s="258"/>
    </row>
    <row r="21321" spans="1:26" ht="12.75" customHeight="1" x14ac:dyDescent="0.2">
      <c r="A21321" s="258"/>
      <c r="Z21321" s="258"/>
    </row>
    <row r="21322" spans="1:26" ht="12.75" customHeight="1" x14ac:dyDescent="0.2">
      <c r="A21322" s="258"/>
      <c r="Z21322" s="258"/>
    </row>
    <row r="21323" spans="1:26" ht="12.75" customHeight="1" x14ac:dyDescent="0.2">
      <c r="A21323" s="258"/>
      <c r="Z21323" s="258"/>
    </row>
    <row r="21324" spans="1:26" ht="12.75" customHeight="1" x14ac:dyDescent="0.2">
      <c r="A21324" s="258"/>
      <c r="Z21324" s="258"/>
    </row>
    <row r="21325" spans="1:26" ht="12.75" customHeight="1" x14ac:dyDescent="0.2">
      <c r="A21325" s="258"/>
      <c r="Z21325" s="258"/>
    </row>
    <row r="21326" spans="1:26" ht="12.75" customHeight="1" x14ac:dyDescent="0.2">
      <c r="A21326" s="258"/>
      <c r="Z21326" s="258"/>
    </row>
    <row r="21327" spans="1:26" ht="12.75" customHeight="1" x14ac:dyDescent="0.2">
      <c r="A21327" s="258"/>
      <c r="Z21327" s="258"/>
    </row>
    <row r="21328" spans="1:26" ht="12.75" customHeight="1" x14ac:dyDescent="0.2">
      <c r="A21328" s="258"/>
      <c r="Z21328" s="258"/>
    </row>
    <row r="21329" spans="1:26" ht="12.75" customHeight="1" x14ac:dyDescent="0.2">
      <c r="A21329" s="258"/>
      <c r="Z21329" s="258"/>
    </row>
    <row r="21330" spans="1:26" ht="12.75" customHeight="1" x14ac:dyDescent="0.2">
      <c r="A21330" s="258"/>
      <c r="Z21330" s="258"/>
    </row>
    <row r="21331" spans="1:26" ht="12.75" customHeight="1" x14ac:dyDescent="0.2">
      <c r="A21331" s="258"/>
      <c r="Z21331" s="258"/>
    </row>
    <row r="21332" spans="1:26" ht="12.75" customHeight="1" x14ac:dyDescent="0.2">
      <c r="A21332" s="258"/>
      <c r="Z21332" s="258"/>
    </row>
    <row r="21333" spans="1:26" ht="12.75" customHeight="1" x14ac:dyDescent="0.2">
      <c r="A21333" s="258"/>
      <c r="Z21333" s="258"/>
    </row>
    <row r="21334" spans="1:26" ht="12.75" customHeight="1" x14ac:dyDescent="0.2">
      <c r="A21334" s="258"/>
      <c r="Z21334" s="258"/>
    </row>
    <row r="21335" spans="1:26" ht="12.75" customHeight="1" x14ac:dyDescent="0.2">
      <c r="A21335" s="258"/>
      <c r="Z21335" s="258"/>
    </row>
    <row r="21336" spans="1:26" ht="12.75" customHeight="1" x14ac:dyDescent="0.2">
      <c r="A21336" s="258"/>
      <c r="Z21336" s="258"/>
    </row>
    <row r="21337" spans="1:26" ht="12.75" customHeight="1" x14ac:dyDescent="0.2">
      <c r="A21337" s="258"/>
      <c r="Z21337" s="258"/>
    </row>
    <row r="21338" spans="1:26" ht="12.75" customHeight="1" x14ac:dyDescent="0.2">
      <c r="A21338" s="258"/>
      <c r="Z21338" s="258"/>
    </row>
    <row r="21339" spans="1:26" ht="12.75" customHeight="1" x14ac:dyDescent="0.2">
      <c r="A21339" s="258"/>
      <c r="Z21339" s="258"/>
    </row>
    <row r="21340" spans="1:26" ht="12.75" customHeight="1" x14ac:dyDescent="0.2">
      <c r="A21340" s="258"/>
      <c r="Z21340" s="258"/>
    </row>
    <row r="21341" spans="1:26" ht="12.75" customHeight="1" x14ac:dyDescent="0.2">
      <c r="A21341" s="258"/>
      <c r="Z21341" s="258"/>
    </row>
    <row r="21342" spans="1:26" ht="12.75" customHeight="1" x14ac:dyDescent="0.2">
      <c r="A21342" s="258"/>
      <c r="Z21342" s="258"/>
    </row>
    <row r="21343" spans="1:26" ht="12.75" customHeight="1" x14ac:dyDescent="0.2">
      <c r="A21343" s="258"/>
      <c r="Z21343" s="258"/>
    </row>
    <row r="21344" spans="1:26" ht="12.75" customHeight="1" x14ac:dyDescent="0.2">
      <c r="A21344" s="258"/>
      <c r="Z21344" s="258"/>
    </row>
    <row r="21345" spans="1:26" ht="12.75" customHeight="1" x14ac:dyDescent="0.2">
      <c r="A21345" s="258"/>
      <c r="Z21345" s="258"/>
    </row>
    <row r="21346" spans="1:26" ht="12.75" customHeight="1" x14ac:dyDescent="0.2">
      <c r="A21346" s="258"/>
      <c r="Z21346" s="258"/>
    </row>
    <row r="21347" spans="1:26" ht="12.75" customHeight="1" x14ac:dyDescent="0.2">
      <c r="A21347" s="258"/>
      <c r="Z21347" s="258"/>
    </row>
    <row r="21348" spans="1:26" ht="12.75" customHeight="1" x14ac:dyDescent="0.2">
      <c r="A21348" s="258"/>
      <c r="Z21348" s="258"/>
    </row>
    <row r="21349" spans="1:26" ht="12.75" customHeight="1" x14ac:dyDescent="0.2">
      <c r="A21349" s="258"/>
      <c r="Z21349" s="258"/>
    </row>
    <row r="21350" spans="1:26" ht="12.75" customHeight="1" x14ac:dyDescent="0.2">
      <c r="A21350" s="258"/>
      <c r="Z21350" s="258"/>
    </row>
    <row r="21351" spans="1:26" ht="12.75" customHeight="1" x14ac:dyDescent="0.2">
      <c r="A21351" s="258"/>
      <c r="Z21351" s="258"/>
    </row>
    <row r="21352" spans="1:26" ht="12.75" customHeight="1" x14ac:dyDescent="0.2">
      <c r="A21352" s="258"/>
      <c r="Z21352" s="258"/>
    </row>
    <row r="21353" spans="1:26" ht="12.75" customHeight="1" x14ac:dyDescent="0.2">
      <c r="A21353" s="258"/>
      <c r="Z21353" s="258"/>
    </row>
    <row r="21354" spans="1:26" ht="12.75" customHeight="1" x14ac:dyDescent="0.2">
      <c r="A21354" s="258"/>
      <c r="Z21354" s="258"/>
    </row>
    <row r="21355" spans="1:26" ht="12.75" customHeight="1" x14ac:dyDescent="0.2">
      <c r="A21355" s="258"/>
      <c r="Z21355" s="258"/>
    </row>
    <row r="21356" spans="1:26" ht="12.75" customHeight="1" x14ac:dyDescent="0.2">
      <c r="A21356" s="258"/>
      <c r="Z21356" s="258"/>
    </row>
    <row r="21357" spans="1:26" ht="12.75" customHeight="1" x14ac:dyDescent="0.2">
      <c r="A21357" s="258"/>
      <c r="Z21357" s="258"/>
    </row>
    <row r="21358" spans="1:26" ht="12.75" customHeight="1" x14ac:dyDescent="0.2">
      <c r="A21358" s="258"/>
      <c r="Z21358" s="258"/>
    </row>
    <row r="21359" spans="1:26" ht="12.75" customHeight="1" x14ac:dyDescent="0.2">
      <c r="A21359" s="258"/>
      <c r="Z21359" s="258"/>
    </row>
    <row r="21360" spans="1:26" ht="12.75" customHeight="1" x14ac:dyDescent="0.2">
      <c r="A21360" s="258"/>
      <c r="Z21360" s="258"/>
    </row>
    <row r="21361" spans="1:26" ht="12.75" customHeight="1" x14ac:dyDescent="0.2">
      <c r="A21361" s="258"/>
      <c r="Z21361" s="258"/>
    </row>
    <row r="21362" spans="1:26" ht="12.75" customHeight="1" x14ac:dyDescent="0.2">
      <c r="A21362" s="258"/>
      <c r="Z21362" s="258"/>
    </row>
    <row r="21363" spans="1:26" ht="12.75" customHeight="1" x14ac:dyDescent="0.2">
      <c r="A21363" s="258"/>
      <c r="Z21363" s="258"/>
    </row>
    <row r="21364" spans="1:26" ht="12.75" customHeight="1" x14ac:dyDescent="0.2">
      <c r="A21364" s="258"/>
      <c r="Z21364" s="258"/>
    </row>
    <row r="21365" spans="1:26" ht="12.75" customHeight="1" x14ac:dyDescent="0.2">
      <c r="A21365" s="258"/>
      <c r="Z21365" s="258"/>
    </row>
    <row r="21366" spans="1:26" ht="12.75" customHeight="1" x14ac:dyDescent="0.2">
      <c r="A21366" s="258"/>
      <c r="Z21366" s="258"/>
    </row>
    <row r="21367" spans="1:26" ht="12.75" customHeight="1" x14ac:dyDescent="0.2">
      <c r="A21367" s="258"/>
      <c r="Z21367" s="258"/>
    </row>
    <row r="21368" spans="1:26" ht="12.75" customHeight="1" x14ac:dyDescent="0.2">
      <c r="A21368" s="258"/>
      <c r="Z21368" s="258"/>
    </row>
    <row r="21369" spans="1:26" ht="12.75" customHeight="1" x14ac:dyDescent="0.2">
      <c r="A21369" s="258"/>
      <c r="Z21369" s="258"/>
    </row>
    <row r="21370" spans="1:26" ht="12.75" customHeight="1" x14ac:dyDescent="0.2">
      <c r="A21370" s="258"/>
      <c r="Z21370" s="258"/>
    </row>
    <row r="21371" spans="1:26" ht="12.75" customHeight="1" x14ac:dyDescent="0.2">
      <c r="A21371" s="258"/>
      <c r="Z21371" s="258"/>
    </row>
    <row r="21372" spans="1:26" ht="12.75" customHeight="1" x14ac:dyDescent="0.2">
      <c r="A21372" s="258"/>
      <c r="Z21372" s="258"/>
    </row>
    <row r="21373" spans="1:26" ht="12.75" customHeight="1" x14ac:dyDescent="0.2">
      <c r="A21373" s="258"/>
      <c r="Z21373" s="258"/>
    </row>
    <row r="21374" spans="1:26" ht="12.75" customHeight="1" x14ac:dyDescent="0.2">
      <c r="A21374" s="258"/>
      <c r="Z21374" s="258"/>
    </row>
    <row r="21375" spans="1:26" ht="12.75" customHeight="1" x14ac:dyDescent="0.2">
      <c r="A21375" s="258"/>
      <c r="Z21375" s="258"/>
    </row>
    <row r="21376" spans="1:26" ht="12.75" customHeight="1" x14ac:dyDescent="0.2">
      <c r="A21376" s="258"/>
      <c r="Z21376" s="258"/>
    </row>
    <row r="21377" spans="1:26" ht="12.75" customHeight="1" x14ac:dyDescent="0.2">
      <c r="A21377" s="258"/>
      <c r="Z21377" s="258"/>
    </row>
    <row r="21378" spans="1:26" ht="12.75" customHeight="1" x14ac:dyDescent="0.2">
      <c r="A21378" s="258"/>
      <c r="Z21378" s="258"/>
    </row>
    <row r="21379" spans="1:26" ht="12.75" customHeight="1" x14ac:dyDescent="0.2">
      <c r="A21379" s="258"/>
      <c r="Z21379" s="258"/>
    </row>
    <row r="21380" spans="1:26" ht="12.75" customHeight="1" x14ac:dyDescent="0.2">
      <c r="A21380" s="258"/>
      <c r="Z21380" s="258"/>
    </row>
    <row r="21381" spans="1:26" ht="12.75" customHeight="1" x14ac:dyDescent="0.2">
      <c r="A21381" s="258"/>
      <c r="Z21381" s="258"/>
    </row>
    <row r="21382" spans="1:26" ht="12.75" customHeight="1" x14ac:dyDescent="0.2">
      <c r="A21382" s="258"/>
      <c r="Z21382" s="258"/>
    </row>
    <row r="21383" spans="1:26" ht="12.75" customHeight="1" x14ac:dyDescent="0.2">
      <c r="A21383" s="258"/>
      <c r="Z21383" s="258"/>
    </row>
    <row r="21384" spans="1:26" ht="12.75" customHeight="1" x14ac:dyDescent="0.2">
      <c r="A21384" s="258"/>
      <c r="Z21384" s="258"/>
    </row>
    <row r="21385" spans="1:26" ht="12.75" customHeight="1" x14ac:dyDescent="0.2">
      <c r="A21385" s="258"/>
      <c r="Z21385" s="258"/>
    </row>
    <row r="21386" spans="1:26" ht="12.75" customHeight="1" x14ac:dyDescent="0.2">
      <c r="A21386" s="258"/>
      <c r="Z21386" s="258"/>
    </row>
    <row r="21387" spans="1:26" ht="12.75" customHeight="1" x14ac:dyDescent="0.2">
      <c r="A21387" s="258"/>
      <c r="Z21387" s="258"/>
    </row>
    <row r="21388" spans="1:26" ht="12.75" customHeight="1" x14ac:dyDescent="0.2">
      <c r="A21388" s="258"/>
      <c r="Z21388" s="258"/>
    </row>
    <row r="21389" spans="1:26" ht="12.75" customHeight="1" x14ac:dyDescent="0.2">
      <c r="A21389" s="258"/>
      <c r="Z21389" s="258"/>
    </row>
    <row r="21390" spans="1:26" ht="12.75" customHeight="1" x14ac:dyDescent="0.2">
      <c r="A21390" s="258"/>
      <c r="Z21390" s="258"/>
    </row>
    <row r="21391" spans="1:26" ht="12.75" customHeight="1" x14ac:dyDescent="0.2">
      <c r="A21391" s="258"/>
      <c r="Z21391" s="258"/>
    </row>
    <row r="21392" spans="1:26" ht="12.75" customHeight="1" x14ac:dyDescent="0.2">
      <c r="A21392" s="258"/>
      <c r="Z21392" s="258"/>
    </row>
    <row r="21393" spans="1:26" ht="12.75" customHeight="1" x14ac:dyDescent="0.2">
      <c r="A21393" s="258"/>
      <c r="Z21393" s="258"/>
    </row>
    <row r="21394" spans="1:26" ht="12.75" customHeight="1" x14ac:dyDescent="0.2">
      <c r="A21394" s="258"/>
      <c r="Z21394" s="258"/>
    </row>
    <row r="21395" spans="1:26" ht="12.75" customHeight="1" x14ac:dyDescent="0.2">
      <c r="A21395" s="258"/>
      <c r="Z21395" s="258"/>
    </row>
    <row r="21396" spans="1:26" ht="12.75" customHeight="1" x14ac:dyDescent="0.2">
      <c r="A21396" s="258"/>
      <c r="Z21396" s="258"/>
    </row>
    <row r="21397" spans="1:26" ht="12.75" customHeight="1" x14ac:dyDescent="0.2">
      <c r="A21397" s="258"/>
      <c r="Z21397" s="258"/>
    </row>
    <row r="21398" spans="1:26" ht="12.75" customHeight="1" x14ac:dyDescent="0.2">
      <c r="A21398" s="258"/>
      <c r="Z21398" s="258"/>
    </row>
    <row r="21399" spans="1:26" ht="12.75" customHeight="1" x14ac:dyDescent="0.2">
      <c r="A21399" s="258"/>
      <c r="Z21399" s="258"/>
    </row>
    <row r="21400" spans="1:26" ht="12.75" customHeight="1" x14ac:dyDescent="0.2">
      <c r="A21400" s="258"/>
      <c r="Z21400" s="258"/>
    </row>
    <row r="21401" spans="1:26" ht="12.75" customHeight="1" x14ac:dyDescent="0.2">
      <c r="A21401" s="258"/>
      <c r="Z21401" s="258"/>
    </row>
    <row r="21402" spans="1:26" ht="12.75" customHeight="1" x14ac:dyDescent="0.2">
      <c r="A21402" s="258"/>
      <c r="Z21402" s="258"/>
    </row>
    <row r="21403" spans="1:26" ht="12.75" customHeight="1" x14ac:dyDescent="0.2">
      <c r="A21403" s="258"/>
      <c r="Z21403" s="258"/>
    </row>
    <row r="21404" spans="1:26" ht="12.75" customHeight="1" x14ac:dyDescent="0.2">
      <c r="A21404" s="258"/>
      <c r="Z21404" s="258"/>
    </row>
    <row r="21405" spans="1:26" ht="12.75" customHeight="1" x14ac:dyDescent="0.2">
      <c r="A21405" s="258"/>
      <c r="Z21405" s="258"/>
    </row>
    <row r="21406" spans="1:26" ht="12.75" customHeight="1" x14ac:dyDescent="0.2">
      <c r="A21406" s="258"/>
      <c r="Z21406" s="258"/>
    </row>
    <row r="21407" spans="1:26" ht="12.75" customHeight="1" x14ac:dyDescent="0.2">
      <c r="A21407" s="258"/>
      <c r="Z21407" s="258"/>
    </row>
    <row r="21408" spans="1:26" ht="12.75" customHeight="1" x14ac:dyDescent="0.2">
      <c r="A21408" s="258"/>
      <c r="Z21408" s="258"/>
    </row>
    <row r="21409" spans="1:26" ht="12.75" customHeight="1" x14ac:dyDescent="0.2">
      <c r="A21409" s="258"/>
      <c r="Z21409" s="258"/>
    </row>
    <row r="21410" spans="1:26" ht="12.75" customHeight="1" x14ac:dyDescent="0.2">
      <c r="A21410" s="258"/>
      <c r="Z21410" s="258"/>
    </row>
    <row r="21411" spans="1:26" ht="12.75" customHeight="1" x14ac:dyDescent="0.2">
      <c r="A21411" s="258"/>
      <c r="Z21411" s="258"/>
    </row>
    <row r="21412" spans="1:26" ht="12.75" customHeight="1" x14ac:dyDescent="0.2">
      <c r="A21412" s="258"/>
      <c r="Z21412" s="258"/>
    </row>
    <row r="21413" spans="1:26" ht="12.75" customHeight="1" x14ac:dyDescent="0.2">
      <c r="A21413" s="258"/>
      <c r="Z21413" s="258"/>
    </row>
    <row r="21414" spans="1:26" ht="12.75" customHeight="1" x14ac:dyDescent="0.2">
      <c r="A21414" s="258"/>
      <c r="Z21414" s="258"/>
    </row>
    <row r="21415" spans="1:26" ht="12.75" customHeight="1" x14ac:dyDescent="0.2">
      <c r="A21415" s="258"/>
      <c r="Z21415" s="258"/>
    </row>
    <row r="21416" spans="1:26" ht="12.75" customHeight="1" x14ac:dyDescent="0.2">
      <c r="A21416" s="258"/>
      <c r="Z21416" s="258"/>
    </row>
    <row r="21417" spans="1:26" ht="12.75" customHeight="1" x14ac:dyDescent="0.2">
      <c r="A21417" s="258"/>
      <c r="Z21417" s="258"/>
    </row>
    <row r="21418" spans="1:26" ht="12.75" customHeight="1" x14ac:dyDescent="0.2">
      <c r="A21418" s="258"/>
      <c r="Z21418" s="258"/>
    </row>
    <row r="21419" spans="1:26" ht="12.75" customHeight="1" x14ac:dyDescent="0.2">
      <c r="A21419" s="258"/>
      <c r="Z21419" s="258"/>
    </row>
    <row r="21420" spans="1:26" ht="12.75" customHeight="1" x14ac:dyDescent="0.2">
      <c r="A21420" s="258"/>
      <c r="Z21420" s="258"/>
    </row>
    <row r="21421" spans="1:26" ht="12.75" customHeight="1" x14ac:dyDescent="0.2">
      <c r="A21421" s="258"/>
      <c r="Z21421" s="258"/>
    </row>
    <row r="21422" spans="1:26" ht="12.75" customHeight="1" x14ac:dyDescent="0.2">
      <c r="A21422" s="258"/>
      <c r="Z21422" s="258"/>
    </row>
    <row r="21423" spans="1:26" ht="12.75" customHeight="1" x14ac:dyDescent="0.2">
      <c r="A21423" s="258"/>
      <c r="Z21423" s="258"/>
    </row>
    <row r="21424" spans="1:26" ht="12.75" customHeight="1" x14ac:dyDescent="0.2">
      <c r="A21424" s="258"/>
      <c r="Z21424" s="258"/>
    </row>
    <row r="21425" spans="1:26" ht="12.75" customHeight="1" x14ac:dyDescent="0.2">
      <c r="A21425" s="258"/>
      <c r="Z21425" s="258"/>
    </row>
    <row r="21426" spans="1:26" ht="12.75" customHeight="1" x14ac:dyDescent="0.2">
      <c r="A21426" s="258"/>
      <c r="Z21426" s="258"/>
    </row>
    <row r="21427" spans="1:26" ht="12.75" customHeight="1" x14ac:dyDescent="0.2">
      <c r="A21427" s="258"/>
      <c r="Z21427" s="258"/>
    </row>
    <row r="21428" spans="1:26" ht="12.75" customHeight="1" x14ac:dyDescent="0.2">
      <c r="A21428" s="258"/>
      <c r="Z21428" s="258"/>
    </row>
    <row r="21429" spans="1:26" ht="12.75" customHeight="1" x14ac:dyDescent="0.2">
      <c r="A21429" s="258"/>
      <c r="Z21429" s="258"/>
    </row>
    <row r="21430" spans="1:26" ht="12.75" customHeight="1" x14ac:dyDescent="0.2">
      <c r="A21430" s="258"/>
      <c r="Z21430" s="258"/>
    </row>
    <row r="21431" spans="1:26" ht="12.75" customHeight="1" x14ac:dyDescent="0.2">
      <c r="A21431" s="258"/>
      <c r="Z21431" s="258"/>
    </row>
    <row r="21432" spans="1:26" ht="12.75" customHeight="1" x14ac:dyDescent="0.2">
      <c r="A21432" s="258"/>
      <c r="Z21432" s="258"/>
    </row>
    <row r="21433" spans="1:26" ht="12.75" customHeight="1" x14ac:dyDescent="0.2">
      <c r="A21433" s="258"/>
      <c r="Z21433" s="258"/>
    </row>
    <row r="21434" spans="1:26" ht="12.75" customHeight="1" x14ac:dyDescent="0.2">
      <c r="A21434" s="258"/>
      <c r="Z21434" s="258"/>
    </row>
    <row r="21435" spans="1:26" ht="12.75" customHeight="1" x14ac:dyDescent="0.2">
      <c r="A21435" s="258"/>
      <c r="Z21435" s="258"/>
    </row>
    <row r="21436" spans="1:26" ht="12.75" customHeight="1" x14ac:dyDescent="0.2">
      <c r="A21436" s="258"/>
      <c r="Z21436" s="258"/>
    </row>
    <row r="21437" spans="1:26" ht="12.75" customHeight="1" x14ac:dyDescent="0.2">
      <c r="A21437" s="258"/>
      <c r="Z21437" s="258"/>
    </row>
    <row r="21438" spans="1:26" ht="12.75" customHeight="1" x14ac:dyDescent="0.2">
      <c r="A21438" s="258"/>
      <c r="Z21438" s="258"/>
    </row>
    <row r="21439" spans="1:26" ht="12.75" customHeight="1" x14ac:dyDescent="0.2">
      <c r="A21439" s="258"/>
      <c r="Z21439" s="258"/>
    </row>
    <row r="21440" spans="1:26" ht="12.75" customHeight="1" x14ac:dyDescent="0.2">
      <c r="A21440" s="258"/>
      <c r="Z21440" s="258"/>
    </row>
    <row r="21441" spans="1:26" ht="12.75" customHeight="1" x14ac:dyDescent="0.2">
      <c r="A21441" s="258"/>
      <c r="Z21441" s="258"/>
    </row>
    <row r="21442" spans="1:26" ht="12.75" customHeight="1" x14ac:dyDescent="0.2">
      <c r="A21442" s="258"/>
      <c r="Z21442" s="258"/>
    </row>
    <row r="21443" spans="1:26" ht="12.75" customHeight="1" x14ac:dyDescent="0.2">
      <c r="A21443" s="258"/>
      <c r="Z21443" s="258"/>
    </row>
    <row r="21444" spans="1:26" ht="12.75" customHeight="1" x14ac:dyDescent="0.2">
      <c r="A21444" s="258"/>
      <c r="Z21444" s="258"/>
    </row>
    <row r="21445" spans="1:26" ht="12.75" customHeight="1" x14ac:dyDescent="0.2">
      <c r="A21445" s="258"/>
      <c r="Z21445" s="258"/>
    </row>
    <row r="21446" spans="1:26" ht="12.75" customHeight="1" x14ac:dyDescent="0.2">
      <c r="A21446" s="258"/>
      <c r="Z21446" s="258"/>
    </row>
    <row r="21447" spans="1:26" ht="12.75" customHeight="1" x14ac:dyDescent="0.2">
      <c r="A21447" s="258"/>
      <c r="Z21447" s="258"/>
    </row>
    <row r="21448" spans="1:26" ht="12.75" customHeight="1" x14ac:dyDescent="0.2">
      <c r="A21448" s="258"/>
      <c r="Z21448" s="258"/>
    </row>
    <row r="21449" spans="1:26" ht="12.75" customHeight="1" x14ac:dyDescent="0.2">
      <c r="A21449" s="258"/>
      <c r="Z21449" s="258"/>
    </row>
    <row r="21450" spans="1:26" ht="12.75" customHeight="1" x14ac:dyDescent="0.2">
      <c r="A21450" s="258"/>
      <c r="Z21450" s="258"/>
    </row>
    <row r="21451" spans="1:26" ht="12.75" customHeight="1" x14ac:dyDescent="0.2">
      <c r="A21451" s="258"/>
      <c r="Z21451" s="258"/>
    </row>
    <row r="21452" spans="1:26" ht="12.75" customHeight="1" x14ac:dyDescent="0.2">
      <c r="A21452" s="258"/>
      <c r="Z21452" s="258"/>
    </row>
    <row r="21453" spans="1:26" ht="12.75" customHeight="1" x14ac:dyDescent="0.2">
      <c r="A21453" s="258"/>
      <c r="Z21453" s="258"/>
    </row>
    <row r="21454" spans="1:26" ht="12.75" customHeight="1" x14ac:dyDescent="0.2">
      <c r="A21454" s="258"/>
      <c r="Z21454" s="258"/>
    </row>
    <row r="21455" spans="1:26" ht="12.75" customHeight="1" x14ac:dyDescent="0.2">
      <c r="A21455" s="258"/>
      <c r="Z21455" s="258"/>
    </row>
    <row r="21456" spans="1:26" ht="12.75" customHeight="1" x14ac:dyDescent="0.2">
      <c r="A21456" s="258"/>
      <c r="Z21456" s="258"/>
    </row>
    <row r="21457" spans="1:26" ht="12.75" customHeight="1" x14ac:dyDescent="0.2">
      <c r="A21457" s="258"/>
      <c r="Z21457" s="258"/>
    </row>
    <row r="21458" spans="1:26" ht="12.75" customHeight="1" x14ac:dyDescent="0.2">
      <c r="A21458" s="258"/>
      <c r="Z21458" s="258"/>
    </row>
    <row r="21459" spans="1:26" ht="12.75" customHeight="1" x14ac:dyDescent="0.2">
      <c r="A21459" s="258"/>
      <c r="Z21459" s="258"/>
    </row>
    <row r="21460" spans="1:26" ht="12.75" customHeight="1" x14ac:dyDescent="0.2">
      <c r="A21460" s="258"/>
      <c r="Z21460" s="258"/>
    </row>
    <row r="21461" spans="1:26" ht="12.75" customHeight="1" x14ac:dyDescent="0.2">
      <c r="A21461" s="258"/>
      <c r="Z21461" s="258"/>
    </row>
    <row r="21462" spans="1:26" ht="12.75" customHeight="1" x14ac:dyDescent="0.2">
      <c r="A21462" s="258"/>
      <c r="Z21462" s="258"/>
    </row>
    <row r="21463" spans="1:26" ht="12.75" customHeight="1" x14ac:dyDescent="0.2">
      <c r="A21463" s="258"/>
      <c r="Z21463" s="258"/>
    </row>
    <row r="21464" spans="1:26" ht="12.75" customHeight="1" x14ac:dyDescent="0.2">
      <c r="A21464" s="258"/>
      <c r="Z21464" s="258"/>
    </row>
    <row r="21465" spans="1:26" ht="12.75" customHeight="1" x14ac:dyDescent="0.2">
      <c r="A21465" s="258"/>
      <c r="Z21465" s="258"/>
    </row>
    <row r="21466" spans="1:26" ht="12.75" customHeight="1" x14ac:dyDescent="0.2">
      <c r="A21466" s="258"/>
      <c r="Z21466" s="258"/>
    </row>
    <row r="21467" spans="1:26" ht="12.75" customHeight="1" x14ac:dyDescent="0.2">
      <c r="A21467" s="258"/>
      <c r="Z21467" s="258"/>
    </row>
    <row r="21468" spans="1:26" ht="12.75" customHeight="1" x14ac:dyDescent="0.2">
      <c r="A21468" s="258"/>
      <c r="Z21468" s="258"/>
    </row>
    <row r="21469" spans="1:26" ht="12.75" customHeight="1" x14ac:dyDescent="0.2">
      <c r="A21469" s="258"/>
      <c r="Z21469" s="258"/>
    </row>
    <row r="21470" spans="1:26" ht="12.75" customHeight="1" x14ac:dyDescent="0.2">
      <c r="A21470" s="258"/>
      <c r="Z21470" s="258"/>
    </row>
    <row r="21471" spans="1:26" ht="12.75" customHeight="1" x14ac:dyDescent="0.2">
      <c r="A21471" s="258"/>
      <c r="Z21471" s="258"/>
    </row>
    <row r="21472" spans="1:26" ht="12.75" customHeight="1" x14ac:dyDescent="0.2">
      <c r="A21472" s="258"/>
      <c r="Z21472" s="258"/>
    </row>
    <row r="21473" spans="1:26" ht="12.75" customHeight="1" x14ac:dyDescent="0.2">
      <c r="A21473" s="258"/>
      <c r="Z21473" s="258"/>
    </row>
    <row r="21474" spans="1:26" ht="12.75" customHeight="1" x14ac:dyDescent="0.2">
      <c r="A21474" s="258"/>
      <c r="Z21474" s="258"/>
    </row>
    <row r="21475" spans="1:26" ht="12.75" customHeight="1" x14ac:dyDescent="0.2">
      <c r="A21475" s="258"/>
      <c r="Z21475" s="258"/>
    </row>
    <row r="21476" spans="1:26" ht="12.75" customHeight="1" x14ac:dyDescent="0.2">
      <c r="A21476" s="258"/>
      <c r="Z21476" s="258"/>
    </row>
    <row r="21477" spans="1:26" ht="12.75" customHeight="1" x14ac:dyDescent="0.2">
      <c r="A21477" s="258"/>
      <c r="Z21477" s="258"/>
    </row>
    <row r="21478" spans="1:26" ht="12.75" customHeight="1" x14ac:dyDescent="0.2">
      <c r="A21478" s="258"/>
      <c r="Z21478" s="258"/>
    </row>
    <row r="21479" spans="1:26" ht="12.75" customHeight="1" x14ac:dyDescent="0.2">
      <c r="A21479" s="258"/>
      <c r="Z21479" s="258"/>
    </row>
    <row r="21480" spans="1:26" ht="12.75" customHeight="1" x14ac:dyDescent="0.2">
      <c r="A21480" s="258"/>
      <c r="Z21480" s="258"/>
    </row>
    <row r="21481" spans="1:26" ht="12.75" customHeight="1" x14ac:dyDescent="0.2">
      <c r="A21481" s="258"/>
      <c r="Z21481" s="258"/>
    </row>
    <row r="21482" spans="1:26" ht="12.75" customHeight="1" x14ac:dyDescent="0.2">
      <c r="A21482" s="258"/>
      <c r="Z21482" s="258"/>
    </row>
    <row r="21483" spans="1:26" ht="12.75" customHeight="1" x14ac:dyDescent="0.2">
      <c r="A21483" s="258"/>
      <c r="Z21483" s="258"/>
    </row>
    <row r="21484" spans="1:26" ht="12.75" customHeight="1" x14ac:dyDescent="0.2">
      <c r="A21484" s="258"/>
      <c r="Z21484" s="258"/>
    </row>
    <row r="21485" spans="1:26" ht="12.75" customHeight="1" x14ac:dyDescent="0.2">
      <c r="A21485" s="258"/>
      <c r="Z21485" s="258"/>
    </row>
    <row r="21486" spans="1:26" ht="12.75" customHeight="1" x14ac:dyDescent="0.2">
      <c r="A21486" s="258"/>
      <c r="Z21486" s="258"/>
    </row>
    <row r="21487" spans="1:26" ht="12.75" customHeight="1" x14ac:dyDescent="0.2">
      <c r="A21487" s="258"/>
      <c r="Z21487" s="258"/>
    </row>
    <row r="21488" spans="1:26" ht="12.75" customHeight="1" x14ac:dyDescent="0.2">
      <c r="A21488" s="258"/>
      <c r="Z21488" s="258"/>
    </row>
    <row r="21489" spans="1:26" ht="12.75" customHeight="1" x14ac:dyDescent="0.2">
      <c r="A21489" s="258"/>
      <c r="Z21489" s="258"/>
    </row>
    <row r="21490" spans="1:26" ht="12.75" customHeight="1" x14ac:dyDescent="0.2">
      <c r="A21490" s="258"/>
      <c r="Z21490" s="258"/>
    </row>
    <row r="21491" spans="1:26" ht="12.75" customHeight="1" x14ac:dyDescent="0.2">
      <c r="A21491" s="258"/>
      <c r="Z21491" s="258"/>
    </row>
    <row r="21492" spans="1:26" ht="12.75" customHeight="1" x14ac:dyDescent="0.2">
      <c r="A21492" s="258"/>
      <c r="Z21492" s="258"/>
    </row>
    <row r="21493" spans="1:26" ht="12.75" customHeight="1" x14ac:dyDescent="0.2">
      <c r="A21493" s="258"/>
      <c r="Z21493" s="258"/>
    </row>
    <row r="21494" spans="1:26" ht="12.75" customHeight="1" x14ac:dyDescent="0.2">
      <c r="A21494" s="258"/>
      <c r="Z21494" s="258"/>
    </row>
    <row r="21495" spans="1:26" ht="12.75" customHeight="1" x14ac:dyDescent="0.2">
      <c r="A21495" s="258"/>
      <c r="Z21495" s="258"/>
    </row>
    <row r="21496" spans="1:26" ht="12.75" customHeight="1" x14ac:dyDescent="0.2">
      <c r="A21496" s="258"/>
      <c r="Z21496" s="258"/>
    </row>
    <row r="21497" spans="1:26" ht="12.75" customHeight="1" x14ac:dyDescent="0.2">
      <c r="A21497" s="258"/>
      <c r="Z21497" s="258"/>
    </row>
    <row r="21498" spans="1:26" ht="12.75" customHeight="1" x14ac:dyDescent="0.2">
      <c r="A21498" s="258"/>
      <c r="Z21498" s="258"/>
    </row>
    <row r="21499" spans="1:26" ht="12.75" customHeight="1" x14ac:dyDescent="0.2">
      <c r="A21499" s="258"/>
      <c r="Z21499" s="258"/>
    </row>
    <row r="21500" spans="1:26" ht="12.75" customHeight="1" x14ac:dyDescent="0.2">
      <c r="A21500" s="258"/>
      <c r="Z21500" s="258"/>
    </row>
    <row r="21501" spans="1:26" ht="12.75" customHeight="1" x14ac:dyDescent="0.2">
      <c r="A21501" s="258"/>
      <c r="Z21501" s="258"/>
    </row>
    <row r="21502" spans="1:26" ht="12.75" customHeight="1" x14ac:dyDescent="0.2">
      <c r="A21502" s="258"/>
      <c r="Z21502" s="258"/>
    </row>
    <row r="21503" spans="1:26" ht="12.75" customHeight="1" x14ac:dyDescent="0.2">
      <c r="A21503" s="258"/>
      <c r="Z21503" s="258"/>
    </row>
    <row r="21504" spans="1:26" ht="12.75" customHeight="1" x14ac:dyDescent="0.2">
      <c r="A21504" s="258"/>
      <c r="Z21504" s="258"/>
    </row>
    <row r="21505" spans="1:26" ht="12.75" customHeight="1" x14ac:dyDescent="0.2">
      <c r="A21505" s="258"/>
      <c r="Z21505" s="258"/>
    </row>
    <row r="21506" spans="1:26" ht="12.75" customHeight="1" x14ac:dyDescent="0.2">
      <c r="A21506" s="258"/>
      <c r="Z21506" s="258"/>
    </row>
    <row r="21507" spans="1:26" ht="12.75" customHeight="1" x14ac:dyDescent="0.2">
      <c r="A21507" s="258"/>
      <c r="Z21507" s="258"/>
    </row>
    <row r="21508" spans="1:26" ht="12.75" customHeight="1" x14ac:dyDescent="0.2">
      <c r="A21508" s="258"/>
      <c r="Z21508" s="258"/>
    </row>
    <row r="21509" spans="1:26" ht="12.75" customHeight="1" x14ac:dyDescent="0.2">
      <c r="A21509" s="258"/>
      <c r="Z21509" s="258"/>
    </row>
    <row r="21510" spans="1:26" ht="12.75" customHeight="1" x14ac:dyDescent="0.2">
      <c r="A21510" s="258"/>
      <c r="Z21510" s="258"/>
    </row>
    <row r="21511" spans="1:26" ht="12.75" customHeight="1" x14ac:dyDescent="0.2">
      <c r="A21511" s="258"/>
      <c r="Z21511" s="258"/>
    </row>
    <row r="21512" spans="1:26" ht="12.75" customHeight="1" x14ac:dyDescent="0.2">
      <c r="A21512" s="258"/>
      <c r="Z21512" s="258"/>
    </row>
    <row r="21513" spans="1:26" ht="12.75" customHeight="1" x14ac:dyDescent="0.2">
      <c r="A21513" s="258"/>
      <c r="Z21513" s="258"/>
    </row>
    <row r="21514" spans="1:26" ht="12.75" customHeight="1" x14ac:dyDescent="0.2">
      <c r="A21514" s="258"/>
      <c r="Z21514" s="258"/>
    </row>
    <row r="21515" spans="1:26" ht="12.75" customHeight="1" x14ac:dyDescent="0.2">
      <c r="A21515" s="258"/>
      <c r="Z21515" s="258"/>
    </row>
    <row r="21516" spans="1:26" ht="12.75" customHeight="1" x14ac:dyDescent="0.2">
      <c r="A21516" s="258"/>
      <c r="Z21516" s="258"/>
    </row>
    <row r="21517" spans="1:26" ht="12.75" customHeight="1" x14ac:dyDescent="0.2">
      <c r="A21517" s="258"/>
      <c r="Z21517" s="258"/>
    </row>
    <row r="21518" spans="1:26" ht="12.75" customHeight="1" x14ac:dyDescent="0.2">
      <c r="A21518" s="258"/>
      <c r="Z21518" s="258"/>
    </row>
    <row r="21519" spans="1:26" ht="12.75" customHeight="1" x14ac:dyDescent="0.2">
      <c r="A21519" s="258"/>
      <c r="Z21519" s="258"/>
    </row>
    <row r="21520" spans="1:26" ht="12.75" customHeight="1" x14ac:dyDescent="0.2">
      <c r="A21520" s="258"/>
      <c r="Z21520" s="258"/>
    </row>
    <row r="21521" spans="1:26" ht="12.75" customHeight="1" x14ac:dyDescent="0.2">
      <c r="A21521" s="258"/>
      <c r="Z21521" s="258"/>
    </row>
    <row r="21522" spans="1:26" ht="12.75" customHeight="1" x14ac:dyDescent="0.2">
      <c r="A21522" s="258"/>
      <c r="Z21522" s="258"/>
    </row>
    <row r="21523" spans="1:26" ht="12.75" customHeight="1" x14ac:dyDescent="0.2">
      <c r="A21523" s="258"/>
      <c r="Z21523" s="258"/>
    </row>
    <row r="21524" spans="1:26" ht="12.75" customHeight="1" x14ac:dyDescent="0.2">
      <c r="A21524" s="258"/>
      <c r="Z21524" s="258"/>
    </row>
    <row r="21525" spans="1:26" ht="12.75" customHeight="1" x14ac:dyDescent="0.2">
      <c r="A21525" s="258"/>
      <c r="Z21525" s="258"/>
    </row>
    <row r="21526" spans="1:26" ht="12.75" customHeight="1" x14ac:dyDescent="0.2">
      <c r="A21526" s="258"/>
      <c r="Z21526" s="258"/>
    </row>
    <row r="21527" spans="1:26" ht="12.75" customHeight="1" x14ac:dyDescent="0.2">
      <c r="A21527" s="258"/>
      <c r="Z21527" s="258"/>
    </row>
    <row r="21528" spans="1:26" ht="12.75" customHeight="1" x14ac:dyDescent="0.2">
      <c r="A21528" s="258"/>
      <c r="Z21528" s="258"/>
    </row>
    <row r="21529" spans="1:26" ht="12.75" customHeight="1" x14ac:dyDescent="0.2">
      <c r="A21529" s="258"/>
      <c r="Z21529" s="258"/>
    </row>
    <row r="21530" spans="1:26" ht="12.75" customHeight="1" x14ac:dyDescent="0.2">
      <c r="A21530" s="258"/>
      <c r="Z21530" s="258"/>
    </row>
    <row r="21531" spans="1:26" ht="12.75" customHeight="1" x14ac:dyDescent="0.2">
      <c r="A21531" s="258"/>
      <c r="Z21531" s="258"/>
    </row>
    <row r="21532" spans="1:26" ht="12.75" customHeight="1" x14ac:dyDescent="0.2">
      <c r="A21532" s="258"/>
      <c r="Z21532" s="258"/>
    </row>
    <row r="21533" spans="1:26" ht="12.75" customHeight="1" x14ac:dyDescent="0.2">
      <c r="A21533" s="258"/>
      <c r="Z21533" s="258"/>
    </row>
    <row r="21534" spans="1:26" ht="12.75" customHeight="1" x14ac:dyDescent="0.2">
      <c r="A21534" s="258"/>
      <c r="Z21534" s="258"/>
    </row>
    <row r="21535" spans="1:26" ht="12.75" customHeight="1" x14ac:dyDescent="0.2">
      <c r="A21535" s="258"/>
      <c r="Z21535" s="258"/>
    </row>
    <row r="21536" spans="1:26" ht="12.75" customHeight="1" x14ac:dyDescent="0.2">
      <c r="A21536" s="258"/>
      <c r="Z21536" s="258"/>
    </row>
    <row r="21537" spans="1:26" ht="12.75" customHeight="1" x14ac:dyDescent="0.2">
      <c r="A21537" s="258"/>
      <c r="Z21537" s="258"/>
    </row>
    <row r="21538" spans="1:26" ht="12.75" customHeight="1" x14ac:dyDescent="0.2">
      <c r="A21538" s="258"/>
      <c r="Z21538" s="258"/>
    </row>
    <row r="21539" spans="1:26" ht="12.75" customHeight="1" x14ac:dyDescent="0.2">
      <c r="A21539" s="258"/>
      <c r="Z21539" s="258"/>
    </row>
    <row r="21540" spans="1:26" ht="12.75" customHeight="1" x14ac:dyDescent="0.2">
      <c r="A21540" s="258"/>
      <c r="Z21540" s="258"/>
    </row>
    <row r="21541" spans="1:26" ht="12.75" customHeight="1" x14ac:dyDescent="0.2">
      <c r="A21541" s="258"/>
      <c r="Z21541" s="258"/>
    </row>
    <row r="21542" spans="1:26" ht="12.75" customHeight="1" x14ac:dyDescent="0.2">
      <c r="A21542" s="258"/>
      <c r="Z21542" s="258"/>
    </row>
    <row r="21543" spans="1:26" ht="12.75" customHeight="1" x14ac:dyDescent="0.2">
      <c r="A21543" s="258"/>
      <c r="Z21543" s="258"/>
    </row>
    <row r="21544" spans="1:26" ht="12.75" customHeight="1" x14ac:dyDescent="0.2">
      <c r="A21544" s="258"/>
      <c r="Z21544" s="258"/>
    </row>
    <row r="21545" spans="1:26" ht="12.75" customHeight="1" x14ac:dyDescent="0.2">
      <c r="A21545" s="258"/>
      <c r="Z21545" s="258"/>
    </row>
    <row r="21546" spans="1:26" ht="12.75" customHeight="1" x14ac:dyDescent="0.2">
      <c r="A21546" s="258"/>
      <c r="Z21546" s="258"/>
    </row>
    <row r="21547" spans="1:26" ht="12.75" customHeight="1" x14ac:dyDescent="0.2">
      <c r="A21547" s="258"/>
      <c r="Z21547" s="258"/>
    </row>
    <row r="21548" spans="1:26" ht="12.75" customHeight="1" x14ac:dyDescent="0.2">
      <c r="A21548" s="258"/>
      <c r="Z21548" s="258"/>
    </row>
    <row r="21549" spans="1:26" ht="12.75" customHeight="1" x14ac:dyDescent="0.2">
      <c r="A21549" s="258"/>
      <c r="Z21549" s="258"/>
    </row>
    <row r="21550" spans="1:26" ht="12.75" customHeight="1" x14ac:dyDescent="0.2">
      <c r="A21550" s="258"/>
      <c r="Z21550" s="258"/>
    </row>
    <row r="21551" spans="1:26" ht="12.75" customHeight="1" x14ac:dyDescent="0.2">
      <c r="A21551" s="258"/>
      <c r="Z21551" s="258"/>
    </row>
    <row r="21552" spans="1:26" ht="12.75" customHeight="1" x14ac:dyDescent="0.2">
      <c r="A21552" s="258"/>
      <c r="Z21552" s="258"/>
    </row>
    <row r="21553" spans="1:26" ht="12.75" customHeight="1" x14ac:dyDescent="0.2">
      <c r="A21553" s="258"/>
      <c r="Z21553" s="258"/>
    </row>
    <row r="21554" spans="1:26" ht="12.75" customHeight="1" x14ac:dyDescent="0.2">
      <c r="A21554" s="258"/>
      <c r="Z21554" s="258"/>
    </row>
    <row r="21555" spans="1:26" ht="12.75" customHeight="1" x14ac:dyDescent="0.2">
      <c r="A21555" s="258"/>
      <c r="Z21555" s="258"/>
    </row>
    <row r="21556" spans="1:26" ht="12.75" customHeight="1" x14ac:dyDescent="0.2">
      <c r="A21556" s="258"/>
      <c r="Z21556" s="258"/>
    </row>
    <row r="21557" spans="1:26" ht="12.75" customHeight="1" x14ac:dyDescent="0.2">
      <c r="A21557" s="258"/>
      <c r="Z21557" s="258"/>
    </row>
    <row r="21558" spans="1:26" ht="12.75" customHeight="1" x14ac:dyDescent="0.2">
      <c r="A21558" s="258"/>
      <c r="Z21558" s="258"/>
    </row>
    <row r="21559" spans="1:26" ht="12.75" customHeight="1" x14ac:dyDescent="0.2">
      <c r="A21559" s="258"/>
      <c r="Z21559" s="258"/>
    </row>
    <row r="21560" spans="1:26" ht="12.75" customHeight="1" x14ac:dyDescent="0.2">
      <c r="A21560" s="258"/>
      <c r="Z21560" s="258"/>
    </row>
    <row r="21561" spans="1:26" ht="12.75" customHeight="1" x14ac:dyDescent="0.2">
      <c r="A21561" s="258"/>
      <c r="Z21561" s="258"/>
    </row>
    <row r="21562" spans="1:26" ht="12.75" customHeight="1" x14ac:dyDescent="0.2">
      <c r="A21562" s="258"/>
      <c r="Z21562" s="258"/>
    </row>
    <row r="21563" spans="1:26" ht="12.75" customHeight="1" x14ac:dyDescent="0.2">
      <c r="A21563" s="258"/>
      <c r="Z21563" s="258"/>
    </row>
    <row r="21564" spans="1:26" ht="12.75" customHeight="1" x14ac:dyDescent="0.2">
      <c r="A21564" s="258"/>
      <c r="Z21564" s="258"/>
    </row>
    <row r="21565" spans="1:26" ht="12.75" customHeight="1" x14ac:dyDescent="0.2">
      <c r="A21565" s="258"/>
      <c r="Z21565" s="258"/>
    </row>
    <row r="21566" spans="1:26" ht="12.75" customHeight="1" x14ac:dyDescent="0.2">
      <c r="A21566" s="258"/>
      <c r="Z21566" s="258"/>
    </row>
    <row r="21567" spans="1:26" ht="12.75" customHeight="1" x14ac:dyDescent="0.2">
      <c r="A21567" s="258"/>
      <c r="Z21567" s="258"/>
    </row>
    <row r="21568" spans="1:26" ht="12.75" customHeight="1" x14ac:dyDescent="0.2">
      <c r="A21568" s="258"/>
      <c r="Z21568" s="258"/>
    </row>
    <row r="21569" spans="1:26" ht="12.75" customHeight="1" x14ac:dyDescent="0.2">
      <c r="A21569" s="258"/>
      <c r="Z21569" s="258"/>
    </row>
    <row r="21570" spans="1:26" ht="12.75" customHeight="1" x14ac:dyDescent="0.2">
      <c r="A21570" s="258"/>
      <c r="Z21570" s="258"/>
    </row>
    <row r="21571" spans="1:26" ht="12.75" customHeight="1" x14ac:dyDescent="0.2">
      <c r="A21571" s="258"/>
      <c r="Z21571" s="258"/>
    </row>
    <row r="21572" spans="1:26" ht="12.75" customHeight="1" x14ac:dyDescent="0.2">
      <c r="A21572" s="258"/>
      <c r="Z21572" s="258"/>
    </row>
    <row r="21573" spans="1:26" ht="12.75" customHeight="1" x14ac:dyDescent="0.2">
      <c r="A21573" s="258"/>
      <c r="Z21573" s="258"/>
    </row>
    <row r="21574" spans="1:26" ht="12.75" customHeight="1" x14ac:dyDescent="0.2">
      <c r="A21574" s="258"/>
      <c r="Z21574" s="258"/>
    </row>
    <row r="21575" spans="1:26" ht="12.75" customHeight="1" x14ac:dyDescent="0.2">
      <c r="A21575" s="258"/>
      <c r="Z21575" s="258"/>
    </row>
    <row r="21576" spans="1:26" ht="12.75" customHeight="1" x14ac:dyDescent="0.2">
      <c r="A21576" s="258"/>
      <c r="Z21576" s="258"/>
    </row>
    <row r="21577" spans="1:26" ht="12.75" customHeight="1" x14ac:dyDescent="0.2">
      <c r="A21577" s="258"/>
      <c r="Z21577" s="258"/>
    </row>
    <row r="21578" spans="1:26" ht="12.75" customHeight="1" x14ac:dyDescent="0.2">
      <c r="A21578" s="258"/>
      <c r="Z21578" s="258"/>
    </row>
    <row r="21579" spans="1:26" ht="12.75" customHeight="1" x14ac:dyDescent="0.2">
      <c r="A21579" s="258"/>
      <c r="Z21579" s="258"/>
    </row>
    <row r="21580" spans="1:26" ht="12.75" customHeight="1" x14ac:dyDescent="0.2">
      <c r="A21580" s="258"/>
      <c r="Z21580" s="258"/>
    </row>
    <row r="21581" spans="1:26" ht="12.75" customHeight="1" x14ac:dyDescent="0.2">
      <c r="A21581" s="258"/>
      <c r="Z21581" s="258"/>
    </row>
    <row r="21582" spans="1:26" ht="12.75" customHeight="1" x14ac:dyDescent="0.2">
      <c r="A21582" s="258"/>
      <c r="Z21582" s="258"/>
    </row>
    <row r="21583" spans="1:26" ht="12.75" customHeight="1" x14ac:dyDescent="0.2">
      <c r="A21583" s="258"/>
      <c r="Z21583" s="258"/>
    </row>
    <row r="21584" spans="1:26" ht="12.75" customHeight="1" x14ac:dyDescent="0.2">
      <c r="A21584" s="258"/>
      <c r="Z21584" s="258"/>
    </row>
    <row r="21585" spans="1:26" ht="12.75" customHeight="1" x14ac:dyDescent="0.2">
      <c r="A21585" s="258"/>
      <c r="Z21585" s="258"/>
    </row>
    <row r="21586" spans="1:26" ht="12.75" customHeight="1" x14ac:dyDescent="0.2">
      <c r="A21586" s="258"/>
      <c r="Z21586" s="258"/>
    </row>
    <row r="21587" spans="1:26" ht="12.75" customHeight="1" x14ac:dyDescent="0.2">
      <c r="A21587" s="258"/>
      <c r="Z21587" s="258"/>
    </row>
    <row r="21588" spans="1:26" ht="12.75" customHeight="1" x14ac:dyDescent="0.2">
      <c r="A21588" s="258"/>
      <c r="Z21588" s="258"/>
    </row>
    <row r="21589" spans="1:26" ht="12.75" customHeight="1" x14ac:dyDescent="0.2">
      <c r="A21589" s="258"/>
      <c r="Z21589" s="258"/>
    </row>
    <row r="21590" spans="1:26" ht="12.75" customHeight="1" x14ac:dyDescent="0.2">
      <c r="A21590" s="258"/>
      <c r="Z21590" s="258"/>
    </row>
    <row r="21591" spans="1:26" ht="12.75" customHeight="1" x14ac:dyDescent="0.2">
      <c r="A21591" s="258"/>
      <c r="Z21591" s="258"/>
    </row>
    <row r="21592" spans="1:26" ht="12.75" customHeight="1" x14ac:dyDescent="0.2">
      <c r="A21592" s="258"/>
      <c r="Z21592" s="258"/>
    </row>
    <row r="21593" spans="1:26" ht="12.75" customHeight="1" x14ac:dyDescent="0.2">
      <c r="A21593" s="258"/>
      <c r="Z21593" s="258"/>
    </row>
    <row r="21594" spans="1:26" ht="12.75" customHeight="1" x14ac:dyDescent="0.2">
      <c r="A21594" s="258"/>
      <c r="Z21594" s="258"/>
    </row>
    <row r="21595" spans="1:26" ht="12.75" customHeight="1" x14ac:dyDescent="0.2">
      <c r="A21595" s="258"/>
      <c r="Z21595" s="258"/>
    </row>
    <row r="21596" spans="1:26" ht="12.75" customHeight="1" x14ac:dyDescent="0.2">
      <c r="A21596" s="258"/>
      <c r="Z21596" s="258"/>
    </row>
    <row r="21597" spans="1:26" ht="12.75" customHeight="1" x14ac:dyDescent="0.2">
      <c r="A21597" s="258"/>
      <c r="Z21597" s="258"/>
    </row>
    <row r="21598" spans="1:26" ht="12.75" customHeight="1" x14ac:dyDescent="0.2">
      <c r="A21598" s="258"/>
      <c r="Z21598" s="258"/>
    </row>
    <row r="21599" spans="1:26" ht="12.75" customHeight="1" x14ac:dyDescent="0.2">
      <c r="A21599" s="258"/>
      <c r="Z21599" s="258"/>
    </row>
    <row r="21600" spans="1:26" ht="12.75" customHeight="1" x14ac:dyDescent="0.2">
      <c r="A21600" s="258"/>
      <c r="Z21600" s="258"/>
    </row>
    <row r="21601" spans="1:26" ht="12.75" customHeight="1" x14ac:dyDescent="0.2">
      <c r="A21601" s="258"/>
      <c r="Z21601" s="258"/>
    </row>
    <row r="21602" spans="1:26" ht="12.75" customHeight="1" x14ac:dyDescent="0.2">
      <c r="A21602" s="258"/>
      <c r="Z21602" s="258"/>
    </row>
    <row r="21603" spans="1:26" ht="12.75" customHeight="1" x14ac:dyDescent="0.2">
      <c r="A21603" s="258"/>
      <c r="Z21603" s="258"/>
    </row>
    <row r="21604" spans="1:26" ht="12.75" customHeight="1" x14ac:dyDescent="0.2">
      <c r="A21604" s="258"/>
      <c r="Z21604" s="258"/>
    </row>
    <row r="21605" spans="1:26" ht="12.75" customHeight="1" x14ac:dyDescent="0.2">
      <c r="A21605" s="258"/>
      <c r="Z21605" s="258"/>
    </row>
    <row r="21606" spans="1:26" ht="12.75" customHeight="1" x14ac:dyDescent="0.2">
      <c r="A21606" s="258"/>
      <c r="Z21606" s="258"/>
    </row>
    <row r="21607" spans="1:26" ht="12.75" customHeight="1" x14ac:dyDescent="0.2">
      <c r="A21607" s="258"/>
      <c r="Z21607" s="258"/>
    </row>
    <row r="21608" spans="1:26" ht="12.75" customHeight="1" x14ac:dyDescent="0.2">
      <c r="A21608" s="258"/>
      <c r="Z21608" s="258"/>
    </row>
    <row r="21609" spans="1:26" ht="12.75" customHeight="1" x14ac:dyDescent="0.2">
      <c r="A21609" s="258"/>
      <c r="Z21609" s="258"/>
    </row>
    <row r="21610" spans="1:26" ht="12.75" customHeight="1" x14ac:dyDescent="0.2">
      <c r="A21610" s="258"/>
      <c r="Z21610" s="258"/>
    </row>
    <row r="21611" spans="1:26" ht="12.75" customHeight="1" x14ac:dyDescent="0.2">
      <c r="A21611" s="258"/>
      <c r="Z21611" s="258"/>
    </row>
    <row r="21612" spans="1:26" ht="12.75" customHeight="1" x14ac:dyDescent="0.2">
      <c r="A21612" s="258"/>
      <c r="Z21612" s="258"/>
    </row>
    <row r="21613" spans="1:26" ht="12.75" customHeight="1" x14ac:dyDescent="0.2">
      <c r="A21613" s="258"/>
      <c r="Z21613" s="258"/>
    </row>
    <row r="21614" spans="1:26" ht="12.75" customHeight="1" x14ac:dyDescent="0.2">
      <c r="A21614" s="258"/>
      <c r="Z21614" s="258"/>
    </row>
    <row r="21615" spans="1:26" ht="12.75" customHeight="1" x14ac:dyDescent="0.2">
      <c r="A21615" s="258"/>
      <c r="Z21615" s="258"/>
    </row>
    <row r="21616" spans="1:26" ht="12.75" customHeight="1" x14ac:dyDescent="0.2">
      <c r="A21616" s="258"/>
      <c r="Z21616" s="258"/>
    </row>
    <row r="21617" spans="1:26" ht="12.75" customHeight="1" x14ac:dyDescent="0.2">
      <c r="A21617" s="258"/>
      <c r="Z21617" s="258"/>
    </row>
    <row r="21618" spans="1:26" ht="12.75" customHeight="1" x14ac:dyDescent="0.2">
      <c r="A21618" s="258"/>
      <c r="Z21618" s="258"/>
    </row>
    <row r="21619" spans="1:26" ht="12.75" customHeight="1" x14ac:dyDescent="0.2">
      <c r="A21619" s="258"/>
      <c r="Z21619" s="258"/>
    </row>
    <row r="21620" spans="1:26" ht="12.75" customHeight="1" x14ac:dyDescent="0.2">
      <c r="A21620" s="258"/>
      <c r="Z21620" s="258"/>
    </row>
    <row r="21621" spans="1:26" ht="12.75" customHeight="1" x14ac:dyDescent="0.2">
      <c r="A21621" s="258"/>
      <c r="Z21621" s="258"/>
    </row>
    <row r="21622" spans="1:26" ht="12.75" customHeight="1" x14ac:dyDescent="0.2">
      <c r="A21622" s="258"/>
      <c r="Z21622" s="258"/>
    </row>
    <row r="21623" spans="1:26" ht="12.75" customHeight="1" x14ac:dyDescent="0.2">
      <c r="A21623" s="258"/>
      <c r="Z21623" s="258"/>
    </row>
    <row r="21624" spans="1:26" ht="12.75" customHeight="1" x14ac:dyDescent="0.2">
      <c r="A21624" s="258"/>
      <c r="Z21624" s="258"/>
    </row>
    <row r="21625" spans="1:26" ht="12.75" customHeight="1" x14ac:dyDescent="0.2">
      <c r="A21625" s="258"/>
      <c r="Z21625" s="258"/>
    </row>
    <row r="21626" spans="1:26" ht="12.75" customHeight="1" x14ac:dyDescent="0.2">
      <c r="A21626" s="258"/>
      <c r="Z21626" s="258"/>
    </row>
    <row r="21627" spans="1:26" ht="12.75" customHeight="1" x14ac:dyDescent="0.2">
      <c r="A21627" s="258"/>
      <c r="Z21627" s="258"/>
    </row>
    <row r="21628" spans="1:26" ht="12.75" customHeight="1" x14ac:dyDescent="0.2">
      <c r="A21628" s="258"/>
      <c r="Z21628" s="258"/>
    </row>
    <row r="21629" spans="1:26" ht="12.75" customHeight="1" x14ac:dyDescent="0.2">
      <c r="A21629" s="258"/>
      <c r="Z21629" s="258"/>
    </row>
    <row r="21630" spans="1:26" ht="12.75" customHeight="1" x14ac:dyDescent="0.2">
      <c r="A21630" s="258"/>
      <c r="Z21630" s="258"/>
    </row>
    <row r="21631" spans="1:26" ht="12.75" customHeight="1" x14ac:dyDescent="0.2">
      <c r="A21631" s="258"/>
      <c r="Z21631" s="258"/>
    </row>
    <row r="21632" spans="1:26" ht="12.75" customHeight="1" x14ac:dyDescent="0.2">
      <c r="A21632" s="258"/>
      <c r="Z21632" s="258"/>
    </row>
    <row r="21633" spans="1:26" ht="12.75" customHeight="1" x14ac:dyDescent="0.2">
      <c r="A21633" s="258"/>
      <c r="Z21633" s="258"/>
    </row>
    <row r="21634" spans="1:26" ht="12.75" customHeight="1" x14ac:dyDescent="0.2">
      <c r="A21634" s="258"/>
      <c r="Z21634" s="258"/>
    </row>
    <row r="21635" spans="1:26" ht="12.75" customHeight="1" x14ac:dyDescent="0.2">
      <c r="A21635" s="258"/>
      <c r="Z21635" s="258"/>
    </row>
    <row r="21636" spans="1:26" ht="12.75" customHeight="1" x14ac:dyDescent="0.2">
      <c r="A21636" s="258"/>
      <c r="Z21636" s="258"/>
    </row>
    <row r="21637" spans="1:26" ht="12.75" customHeight="1" x14ac:dyDescent="0.2">
      <c r="A21637" s="258"/>
      <c r="Z21637" s="258"/>
    </row>
    <row r="21638" spans="1:26" ht="12.75" customHeight="1" x14ac:dyDescent="0.2">
      <c r="A21638" s="258"/>
      <c r="Z21638" s="258"/>
    </row>
    <row r="21639" spans="1:26" ht="12.75" customHeight="1" x14ac:dyDescent="0.2">
      <c r="A21639" s="258"/>
      <c r="Z21639" s="258"/>
    </row>
    <row r="21640" spans="1:26" ht="12.75" customHeight="1" x14ac:dyDescent="0.2">
      <c r="A21640" s="258"/>
      <c r="Z21640" s="258"/>
    </row>
    <row r="21641" spans="1:26" ht="12.75" customHeight="1" x14ac:dyDescent="0.2">
      <c r="A21641" s="258"/>
      <c r="Z21641" s="258"/>
    </row>
    <row r="21642" spans="1:26" ht="12.75" customHeight="1" x14ac:dyDescent="0.2">
      <c r="A21642" s="258"/>
      <c r="Z21642" s="258"/>
    </row>
    <row r="21643" spans="1:26" ht="12.75" customHeight="1" x14ac:dyDescent="0.2">
      <c r="A21643" s="258"/>
      <c r="Z21643" s="258"/>
    </row>
    <row r="21644" spans="1:26" ht="12.75" customHeight="1" x14ac:dyDescent="0.2">
      <c r="A21644" s="258"/>
      <c r="Z21644" s="258"/>
    </row>
    <row r="21645" spans="1:26" ht="12.75" customHeight="1" x14ac:dyDescent="0.2">
      <c r="A21645" s="258"/>
      <c r="Z21645" s="258"/>
    </row>
    <row r="21646" spans="1:26" ht="12.75" customHeight="1" x14ac:dyDescent="0.2">
      <c r="A21646" s="258"/>
      <c r="Z21646" s="258"/>
    </row>
    <row r="21647" spans="1:26" ht="12.75" customHeight="1" x14ac:dyDescent="0.2">
      <c r="A21647" s="258"/>
      <c r="Z21647" s="258"/>
    </row>
    <row r="21648" spans="1:26" ht="12.75" customHeight="1" x14ac:dyDescent="0.2">
      <c r="A21648" s="258"/>
      <c r="Z21648" s="258"/>
    </row>
    <row r="21649" spans="1:26" ht="12.75" customHeight="1" x14ac:dyDescent="0.2">
      <c r="A21649" s="258"/>
      <c r="Z21649" s="258"/>
    </row>
    <row r="21650" spans="1:26" ht="12.75" customHeight="1" x14ac:dyDescent="0.2">
      <c r="A21650" s="258"/>
      <c r="Z21650" s="258"/>
    </row>
    <row r="21651" spans="1:26" ht="12.75" customHeight="1" x14ac:dyDescent="0.2">
      <c r="A21651" s="258"/>
      <c r="Z21651" s="258"/>
    </row>
    <row r="21652" spans="1:26" ht="12.75" customHeight="1" x14ac:dyDescent="0.2">
      <c r="A21652" s="258"/>
      <c r="Z21652" s="258"/>
    </row>
    <row r="21653" spans="1:26" ht="12.75" customHeight="1" x14ac:dyDescent="0.2">
      <c r="A21653" s="258"/>
      <c r="Z21653" s="258"/>
    </row>
    <row r="21654" spans="1:26" ht="12.75" customHeight="1" x14ac:dyDescent="0.2">
      <c r="A21654" s="258"/>
      <c r="Z21654" s="258"/>
    </row>
    <row r="21655" spans="1:26" ht="12.75" customHeight="1" x14ac:dyDescent="0.2">
      <c r="A21655" s="258"/>
      <c r="Z21655" s="258"/>
    </row>
    <row r="21656" spans="1:26" ht="12.75" customHeight="1" x14ac:dyDescent="0.2">
      <c r="A21656" s="258"/>
      <c r="Z21656" s="258"/>
    </row>
    <row r="21657" spans="1:26" ht="12.75" customHeight="1" x14ac:dyDescent="0.2">
      <c r="A21657" s="258"/>
      <c r="Z21657" s="258"/>
    </row>
    <row r="21658" spans="1:26" ht="12.75" customHeight="1" x14ac:dyDescent="0.2">
      <c r="A21658" s="258"/>
      <c r="Z21658" s="258"/>
    </row>
    <row r="21659" spans="1:26" ht="12.75" customHeight="1" x14ac:dyDescent="0.2">
      <c r="A21659" s="258"/>
      <c r="Z21659" s="258"/>
    </row>
    <row r="21660" spans="1:26" ht="12.75" customHeight="1" x14ac:dyDescent="0.2">
      <c r="A21660" s="258"/>
      <c r="Z21660" s="258"/>
    </row>
    <row r="21661" spans="1:26" ht="12.75" customHeight="1" x14ac:dyDescent="0.2">
      <c r="A21661" s="258"/>
      <c r="Z21661" s="258"/>
    </row>
    <row r="21662" spans="1:26" ht="12.75" customHeight="1" x14ac:dyDescent="0.2">
      <c r="A21662" s="258"/>
      <c r="Z21662" s="258"/>
    </row>
    <row r="21663" spans="1:26" ht="12.75" customHeight="1" x14ac:dyDescent="0.2">
      <c r="A21663" s="258"/>
      <c r="Z21663" s="258"/>
    </row>
    <row r="21664" spans="1:26" ht="12.75" customHeight="1" x14ac:dyDescent="0.2">
      <c r="A21664" s="258"/>
      <c r="Z21664" s="258"/>
    </row>
    <row r="21665" spans="1:26" ht="12.75" customHeight="1" x14ac:dyDescent="0.2">
      <c r="A21665" s="258"/>
      <c r="Z21665" s="258"/>
    </row>
    <row r="21666" spans="1:26" ht="12.75" customHeight="1" x14ac:dyDescent="0.2">
      <c r="A21666" s="258"/>
      <c r="Z21666" s="258"/>
    </row>
    <row r="21667" spans="1:26" ht="12.75" customHeight="1" x14ac:dyDescent="0.2">
      <c r="A21667" s="258"/>
      <c r="Z21667" s="258"/>
    </row>
    <row r="21668" spans="1:26" ht="12.75" customHeight="1" x14ac:dyDescent="0.2">
      <c r="A21668" s="258"/>
      <c r="Z21668" s="258"/>
    </row>
    <row r="21669" spans="1:26" ht="12.75" customHeight="1" x14ac:dyDescent="0.2">
      <c r="A21669" s="258"/>
      <c r="Z21669" s="258"/>
    </row>
    <row r="21670" spans="1:26" ht="12.75" customHeight="1" x14ac:dyDescent="0.2">
      <c r="A21670" s="258"/>
      <c r="Z21670" s="258"/>
    </row>
    <row r="21671" spans="1:26" ht="12.75" customHeight="1" x14ac:dyDescent="0.2">
      <c r="A21671" s="258"/>
      <c r="Z21671" s="258"/>
    </row>
    <row r="21672" spans="1:26" ht="12.75" customHeight="1" x14ac:dyDescent="0.2">
      <c r="A21672" s="258"/>
      <c r="Z21672" s="258"/>
    </row>
    <row r="21673" spans="1:26" ht="12.75" customHeight="1" x14ac:dyDescent="0.2">
      <c r="A21673" s="258"/>
      <c r="Z21673" s="258"/>
    </row>
    <row r="21674" spans="1:26" ht="12.75" customHeight="1" x14ac:dyDescent="0.2">
      <c r="A21674" s="258"/>
      <c r="Z21674" s="258"/>
    </row>
    <row r="21675" spans="1:26" ht="12.75" customHeight="1" x14ac:dyDescent="0.2">
      <c r="A21675" s="258"/>
      <c r="Z21675" s="258"/>
    </row>
    <row r="21676" spans="1:26" ht="12.75" customHeight="1" x14ac:dyDescent="0.2">
      <c r="A21676" s="258"/>
      <c r="Z21676" s="258"/>
    </row>
    <row r="21677" spans="1:26" ht="12.75" customHeight="1" x14ac:dyDescent="0.2">
      <c r="A21677" s="258"/>
      <c r="Z21677" s="258"/>
    </row>
    <row r="21678" spans="1:26" ht="12.75" customHeight="1" x14ac:dyDescent="0.2">
      <c r="A21678" s="258"/>
      <c r="Z21678" s="258"/>
    </row>
    <row r="21679" spans="1:26" ht="12.75" customHeight="1" x14ac:dyDescent="0.2">
      <c r="A21679" s="258"/>
      <c r="Z21679" s="258"/>
    </row>
    <row r="21680" spans="1:26" ht="12.75" customHeight="1" x14ac:dyDescent="0.2">
      <c r="A21680" s="258"/>
      <c r="Z21680" s="258"/>
    </row>
    <row r="21681" spans="1:26" ht="12.75" customHeight="1" x14ac:dyDescent="0.2">
      <c r="A21681" s="258"/>
      <c r="Z21681" s="258"/>
    </row>
    <row r="21682" spans="1:26" ht="12.75" customHeight="1" x14ac:dyDescent="0.2">
      <c r="A21682" s="258"/>
      <c r="Z21682" s="258"/>
    </row>
    <row r="21683" spans="1:26" ht="12.75" customHeight="1" x14ac:dyDescent="0.2">
      <c r="A21683" s="258"/>
      <c r="Z21683" s="258"/>
    </row>
    <row r="21684" spans="1:26" ht="12.75" customHeight="1" x14ac:dyDescent="0.2">
      <c r="A21684" s="258"/>
      <c r="Z21684" s="258"/>
    </row>
    <row r="21685" spans="1:26" ht="12.75" customHeight="1" x14ac:dyDescent="0.2">
      <c r="A21685" s="258"/>
      <c r="Z21685" s="258"/>
    </row>
    <row r="21686" spans="1:26" ht="12.75" customHeight="1" x14ac:dyDescent="0.2">
      <c r="A21686" s="258"/>
      <c r="Z21686" s="258"/>
    </row>
    <row r="21687" spans="1:26" ht="12.75" customHeight="1" x14ac:dyDescent="0.2">
      <c r="A21687" s="258"/>
      <c r="Z21687" s="258"/>
    </row>
    <row r="21688" spans="1:26" ht="12.75" customHeight="1" x14ac:dyDescent="0.2">
      <c r="A21688" s="258"/>
      <c r="Z21688" s="258"/>
    </row>
    <row r="21689" spans="1:26" ht="12.75" customHeight="1" x14ac:dyDescent="0.2">
      <c r="A21689" s="258"/>
      <c r="Z21689" s="258"/>
    </row>
    <row r="21690" spans="1:26" ht="12.75" customHeight="1" x14ac:dyDescent="0.2">
      <c r="A21690" s="258"/>
      <c r="Z21690" s="258"/>
    </row>
    <row r="21691" spans="1:26" ht="12.75" customHeight="1" x14ac:dyDescent="0.2">
      <c r="A21691" s="258"/>
      <c r="Z21691" s="258"/>
    </row>
    <row r="21692" spans="1:26" ht="12.75" customHeight="1" x14ac:dyDescent="0.2">
      <c r="A21692" s="258"/>
      <c r="Z21692" s="258"/>
    </row>
    <row r="21693" spans="1:26" ht="12.75" customHeight="1" x14ac:dyDescent="0.2">
      <c r="A21693" s="258"/>
      <c r="Z21693" s="258"/>
    </row>
    <row r="21694" spans="1:26" ht="12.75" customHeight="1" x14ac:dyDescent="0.2">
      <c r="A21694" s="258"/>
      <c r="Z21694" s="258"/>
    </row>
    <row r="21695" spans="1:26" ht="12.75" customHeight="1" x14ac:dyDescent="0.2">
      <c r="A21695" s="258"/>
      <c r="Z21695" s="258"/>
    </row>
    <row r="21696" spans="1:26" ht="12.75" customHeight="1" x14ac:dyDescent="0.2">
      <c r="A21696" s="258"/>
      <c r="Z21696" s="258"/>
    </row>
    <row r="21697" spans="1:26" ht="12.75" customHeight="1" x14ac:dyDescent="0.2">
      <c r="A21697" s="258"/>
      <c r="Z21697" s="258"/>
    </row>
    <row r="21698" spans="1:26" ht="12.75" customHeight="1" x14ac:dyDescent="0.2">
      <c r="A21698" s="258"/>
      <c r="Z21698" s="258"/>
    </row>
    <row r="21699" spans="1:26" ht="12.75" customHeight="1" x14ac:dyDescent="0.2">
      <c r="A21699" s="258"/>
      <c r="Z21699" s="258"/>
    </row>
    <row r="21700" spans="1:26" ht="12.75" customHeight="1" x14ac:dyDescent="0.2">
      <c r="A21700" s="258"/>
      <c r="Z21700" s="258"/>
    </row>
    <row r="21701" spans="1:26" ht="12.75" customHeight="1" x14ac:dyDescent="0.2">
      <c r="A21701" s="258"/>
      <c r="Z21701" s="258"/>
    </row>
    <row r="21702" spans="1:26" ht="12.75" customHeight="1" x14ac:dyDescent="0.2">
      <c r="A21702" s="258"/>
      <c r="Z21702" s="258"/>
    </row>
    <row r="21703" spans="1:26" ht="12.75" customHeight="1" x14ac:dyDescent="0.2">
      <c r="A21703" s="258"/>
      <c r="Z21703" s="258"/>
    </row>
    <row r="21704" spans="1:26" ht="12.75" customHeight="1" x14ac:dyDescent="0.2">
      <c r="A21704" s="258"/>
      <c r="Z21704" s="258"/>
    </row>
    <row r="21705" spans="1:26" ht="12.75" customHeight="1" x14ac:dyDescent="0.2">
      <c r="A21705" s="258"/>
      <c r="Z21705" s="258"/>
    </row>
    <row r="21706" spans="1:26" ht="12.75" customHeight="1" x14ac:dyDescent="0.2">
      <c r="A21706" s="258"/>
      <c r="Z21706" s="258"/>
    </row>
    <row r="21707" spans="1:26" ht="12.75" customHeight="1" x14ac:dyDescent="0.2">
      <c r="A21707" s="258"/>
      <c r="Z21707" s="258"/>
    </row>
    <row r="21708" spans="1:26" ht="12.75" customHeight="1" x14ac:dyDescent="0.2">
      <c r="A21708" s="258"/>
      <c r="Z21708" s="258"/>
    </row>
    <row r="21709" spans="1:26" ht="12.75" customHeight="1" x14ac:dyDescent="0.2">
      <c r="A21709" s="258"/>
      <c r="Z21709" s="258"/>
    </row>
    <row r="21710" spans="1:26" ht="12.75" customHeight="1" x14ac:dyDescent="0.2">
      <c r="A21710" s="258"/>
      <c r="Z21710" s="258"/>
    </row>
    <row r="21711" spans="1:26" ht="12.75" customHeight="1" x14ac:dyDescent="0.2">
      <c r="A21711" s="258"/>
      <c r="Z21711" s="258"/>
    </row>
    <row r="21712" spans="1:26" ht="12.75" customHeight="1" x14ac:dyDescent="0.2">
      <c r="A21712" s="258"/>
      <c r="Z21712" s="258"/>
    </row>
    <row r="21713" spans="1:26" ht="12.75" customHeight="1" x14ac:dyDescent="0.2">
      <c r="A21713" s="258"/>
      <c r="Z21713" s="258"/>
    </row>
    <row r="21714" spans="1:26" ht="12.75" customHeight="1" x14ac:dyDescent="0.2">
      <c r="A21714" s="258"/>
      <c r="Z21714" s="258"/>
    </row>
    <row r="21715" spans="1:26" ht="12.75" customHeight="1" x14ac:dyDescent="0.2">
      <c r="A21715" s="258"/>
      <c r="Z21715" s="258"/>
    </row>
    <row r="21716" spans="1:26" ht="12.75" customHeight="1" x14ac:dyDescent="0.2">
      <c r="A21716" s="258"/>
      <c r="Z21716" s="258"/>
    </row>
    <row r="21717" spans="1:26" ht="12.75" customHeight="1" x14ac:dyDescent="0.2">
      <c r="A21717" s="258"/>
      <c r="Z21717" s="258"/>
    </row>
    <row r="21718" spans="1:26" ht="12.75" customHeight="1" x14ac:dyDescent="0.2">
      <c r="A21718" s="258"/>
      <c r="Z21718" s="258"/>
    </row>
    <row r="21719" spans="1:26" ht="12.75" customHeight="1" x14ac:dyDescent="0.2">
      <c r="A21719" s="258"/>
      <c r="Z21719" s="258"/>
    </row>
    <row r="21720" spans="1:26" ht="12.75" customHeight="1" x14ac:dyDescent="0.2">
      <c r="A21720" s="258"/>
      <c r="Z21720" s="258"/>
    </row>
    <row r="21721" spans="1:26" ht="12.75" customHeight="1" x14ac:dyDescent="0.2">
      <c r="A21721" s="258"/>
      <c r="Z21721" s="258"/>
    </row>
    <row r="21722" spans="1:26" ht="12.75" customHeight="1" x14ac:dyDescent="0.2">
      <c r="A21722" s="258"/>
      <c r="Z21722" s="258"/>
    </row>
    <row r="21723" spans="1:26" ht="12.75" customHeight="1" x14ac:dyDescent="0.2">
      <c r="A21723" s="258"/>
      <c r="Z21723" s="258"/>
    </row>
    <row r="21724" spans="1:26" ht="12.75" customHeight="1" x14ac:dyDescent="0.2">
      <c r="A21724" s="258"/>
      <c r="Z21724" s="258"/>
    </row>
    <row r="21725" spans="1:26" ht="12.75" customHeight="1" x14ac:dyDescent="0.2">
      <c r="A21725" s="258"/>
      <c r="Z21725" s="258"/>
    </row>
    <row r="21726" spans="1:26" ht="12.75" customHeight="1" x14ac:dyDescent="0.2">
      <c r="A21726" s="258"/>
      <c r="Z21726" s="258"/>
    </row>
    <row r="21727" spans="1:26" ht="12.75" customHeight="1" x14ac:dyDescent="0.2">
      <c r="A21727" s="258"/>
      <c r="Z21727" s="258"/>
    </row>
    <row r="21728" spans="1:26" ht="12.75" customHeight="1" x14ac:dyDescent="0.2">
      <c r="A21728" s="258"/>
      <c r="Z21728" s="258"/>
    </row>
    <row r="21729" spans="1:26" ht="12.75" customHeight="1" x14ac:dyDescent="0.2">
      <c r="A21729" s="258"/>
      <c r="Z21729" s="258"/>
    </row>
    <row r="21730" spans="1:26" ht="12.75" customHeight="1" x14ac:dyDescent="0.2">
      <c r="A21730" s="258"/>
      <c r="Z21730" s="258"/>
    </row>
    <row r="21731" spans="1:26" ht="12.75" customHeight="1" x14ac:dyDescent="0.2">
      <c r="A21731" s="258"/>
      <c r="Z21731" s="258"/>
    </row>
    <row r="21732" spans="1:26" ht="12.75" customHeight="1" x14ac:dyDescent="0.2">
      <c r="A21732" s="258"/>
      <c r="Z21732" s="258"/>
    </row>
    <row r="21733" spans="1:26" ht="12.75" customHeight="1" x14ac:dyDescent="0.2">
      <c r="A21733" s="258"/>
      <c r="Z21733" s="258"/>
    </row>
    <row r="21734" spans="1:26" ht="12.75" customHeight="1" x14ac:dyDescent="0.2">
      <c r="A21734" s="258"/>
      <c r="Z21734" s="258"/>
    </row>
    <row r="21735" spans="1:26" ht="12.75" customHeight="1" x14ac:dyDescent="0.2">
      <c r="A21735" s="258"/>
      <c r="Z21735" s="258"/>
    </row>
    <row r="21736" spans="1:26" ht="12.75" customHeight="1" x14ac:dyDescent="0.2">
      <c r="A21736" s="258"/>
      <c r="Z21736" s="258"/>
    </row>
    <row r="21737" spans="1:26" ht="12.75" customHeight="1" x14ac:dyDescent="0.2">
      <c r="A21737" s="258"/>
      <c r="Z21737" s="258"/>
    </row>
    <row r="21738" spans="1:26" ht="12.75" customHeight="1" x14ac:dyDescent="0.2">
      <c r="A21738" s="258"/>
      <c r="Z21738" s="258"/>
    </row>
    <row r="21739" spans="1:26" ht="12.75" customHeight="1" x14ac:dyDescent="0.2">
      <c r="A21739" s="258"/>
      <c r="Z21739" s="258"/>
    </row>
    <row r="21740" spans="1:26" ht="12.75" customHeight="1" x14ac:dyDescent="0.2">
      <c r="A21740" s="258"/>
      <c r="Z21740" s="258"/>
    </row>
    <row r="21741" spans="1:26" ht="12.75" customHeight="1" x14ac:dyDescent="0.2">
      <c r="A21741" s="258"/>
      <c r="Z21741" s="258"/>
    </row>
    <row r="21742" spans="1:26" ht="12.75" customHeight="1" x14ac:dyDescent="0.2">
      <c r="A21742" s="258"/>
      <c r="Z21742" s="258"/>
    </row>
    <row r="21743" spans="1:26" ht="12.75" customHeight="1" x14ac:dyDescent="0.2">
      <c r="A21743" s="258"/>
      <c r="Z21743" s="258"/>
    </row>
    <row r="21744" spans="1:26" ht="12.75" customHeight="1" x14ac:dyDescent="0.2">
      <c r="A21744" s="258"/>
      <c r="Z21744" s="258"/>
    </row>
    <row r="21745" spans="1:26" ht="12.75" customHeight="1" x14ac:dyDescent="0.2">
      <c r="A21745" s="258"/>
      <c r="Z21745" s="258"/>
    </row>
    <row r="21746" spans="1:26" ht="12.75" customHeight="1" x14ac:dyDescent="0.2">
      <c r="A21746" s="258"/>
      <c r="Z21746" s="258"/>
    </row>
    <row r="21747" spans="1:26" ht="12.75" customHeight="1" x14ac:dyDescent="0.2">
      <c r="A21747" s="258"/>
      <c r="Z21747" s="258"/>
    </row>
    <row r="21748" spans="1:26" ht="12.75" customHeight="1" x14ac:dyDescent="0.2">
      <c r="A21748" s="258"/>
      <c r="Z21748" s="258"/>
    </row>
    <row r="21749" spans="1:26" ht="12.75" customHeight="1" x14ac:dyDescent="0.2">
      <c r="A21749" s="258"/>
      <c r="Z21749" s="258"/>
    </row>
    <row r="21750" spans="1:26" ht="12.75" customHeight="1" x14ac:dyDescent="0.2">
      <c r="A21750" s="258"/>
      <c r="Z21750" s="258"/>
    </row>
    <row r="21751" spans="1:26" ht="12.75" customHeight="1" x14ac:dyDescent="0.2">
      <c r="A21751" s="258"/>
      <c r="Z21751" s="258"/>
    </row>
    <row r="21752" spans="1:26" ht="12.75" customHeight="1" x14ac:dyDescent="0.2">
      <c r="A21752" s="258"/>
      <c r="Z21752" s="258"/>
    </row>
    <row r="21753" spans="1:26" ht="12.75" customHeight="1" x14ac:dyDescent="0.2">
      <c r="A21753" s="258"/>
      <c r="Z21753" s="258"/>
    </row>
    <row r="21754" spans="1:26" ht="12.75" customHeight="1" x14ac:dyDescent="0.2">
      <c r="A21754" s="258"/>
      <c r="Z21754" s="258"/>
    </row>
    <row r="21755" spans="1:26" ht="12.75" customHeight="1" x14ac:dyDescent="0.2">
      <c r="A21755" s="258"/>
      <c r="Z21755" s="258"/>
    </row>
    <row r="21756" spans="1:26" ht="12.75" customHeight="1" x14ac:dyDescent="0.2">
      <c r="A21756" s="258"/>
      <c r="Z21756" s="258"/>
    </row>
    <row r="21757" spans="1:26" ht="12.75" customHeight="1" x14ac:dyDescent="0.2">
      <c r="A21757" s="258"/>
      <c r="Z21757" s="258"/>
    </row>
    <row r="21758" spans="1:26" ht="12.75" customHeight="1" x14ac:dyDescent="0.2">
      <c r="A21758" s="258"/>
      <c r="Z21758" s="258"/>
    </row>
    <row r="21759" spans="1:26" ht="12.75" customHeight="1" x14ac:dyDescent="0.2">
      <c r="A21759" s="258"/>
      <c r="Z21759" s="258"/>
    </row>
    <row r="21760" spans="1:26" ht="12.75" customHeight="1" x14ac:dyDescent="0.2">
      <c r="A21760" s="258"/>
      <c r="Z21760" s="258"/>
    </row>
    <row r="21761" spans="1:26" ht="12.75" customHeight="1" x14ac:dyDescent="0.2">
      <c r="A21761" s="258"/>
      <c r="Z21761" s="258"/>
    </row>
    <row r="21762" spans="1:26" ht="12.75" customHeight="1" x14ac:dyDescent="0.2">
      <c r="A21762" s="258"/>
      <c r="Z21762" s="258"/>
    </row>
    <row r="21763" spans="1:26" ht="12.75" customHeight="1" x14ac:dyDescent="0.2">
      <c r="A21763" s="258"/>
      <c r="Z21763" s="258"/>
    </row>
    <row r="21764" spans="1:26" ht="12.75" customHeight="1" x14ac:dyDescent="0.2">
      <c r="A21764" s="258"/>
      <c r="Z21764" s="258"/>
    </row>
    <row r="21765" spans="1:26" ht="12.75" customHeight="1" x14ac:dyDescent="0.2">
      <c r="A21765" s="258"/>
      <c r="Z21765" s="258"/>
    </row>
    <row r="21766" spans="1:26" ht="12.75" customHeight="1" x14ac:dyDescent="0.2">
      <c r="A21766" s="258"/>
      <c r="Z21766" s="258"/>
    </row>
    <row r="21767" spans="1:26" ht="12.75" customHeight="1" x14ac:dyDescent="0.2">
      <c r="A21767" s="258"/>
      <c r="Z21767" s="258"/>
    </row>
    <row r="21768" spans="1:26" ht="12.75" customHeight="1" x14ac:dyDescent="0.2">
      <c r="A21768" s="258"/>
      <c r="Z21768" s="258"/>
    </row>
    <row r="21769" spans="1:26" ht="12.75" customHeight="1" x14ac:dyDescent="0.2">
      <c r="A21769" s="258"/>
      <c r="Z21769" s="258"/>
    </row>
    <row r="21770" spans="1:26" ht="12.75" customHeight="1" x14ac:dyDescent="0.2">
      <c r="A21770" s="258"/>
      <c r="Z21770" s="258"/>
    </row>
    <row r="21771" spans="1:26" ht="12.75" customHeight="1" x14ac:dyDescent="0.2">
      <c r="A21771" s="258"/>
      <c r="Z21771" s="258"/>
    </row>
    <row r="21772" spans="1:26" ht="12.75" customHeight="1" x14ac:dyDescent="0.2">
      <c r="A21772" s="258"/>
      <c r="Z21772" s="258"/>
    </row>
    <row r="21773" spans="1:26" ht="12.75" customHeight="1" x14ac:dyDescent="0.2">
      <c r="A21773" s="258"/>
      <c r="Z21773" s="258"/>
    </row>
    <row r="21774" spans="1:26" ht="12.75" customHeight="1" x14ac:dyDescent="0.2">
      <c r="A21774" s="258"/>
      <c r="Z21774" s="258"/>
    </row>
    <row r="21775" spans="1:26" ht="12.75" customHeight="1" x14ac:dyDescent="0.2">
      <c r="A21775" s="258"/>
      <c r="Z21775" s="258"/>
    </row>
    <row r="21776" spans="1:26" ht="12.75" customHeight="1" x14ac:dyDescent="0.2">
      <c r="A21776" s="258"/>
      <c r="Z21776" s="258"/>
    </row>
    <row r="21777" spans="1:26" ht="12.75" customHeight="1" x14ac:dyDescent="0.2">
      <c r="A21777" s="258"/>
      <c r="Z21777" s="258"/>
    </row>
    <row r="21778" spans="1:26" ht="12.75" customHeight="1" x14ac:dyDescent="0.2">
      <c r="A21778" s="258"/>
      <c r="Z21778" s="258"/>
    </row>
    <row r="21779" spans="1:26" ht="12.75" customHeight="1" x14ac:dyDescent="0.2">
      <c r="A21779" s="258"/>
      <c r="Z21779" s="258"/>
    </row>
    <row r="21780" spans="1:26" ht="12.75" customHeight="1" x14ac:dyDescent="0.2">
      <c r="A21780" s="258"/>
      <c r="Z21780" s="258"/>
    </row>
    <row r="21781" spans="1:26" ht="12.75" customHeight="1" x14ac:dyDescent="0.2">
      <c r="A21781" s="258"/>
      <c r="Z21781" s="258"/>
    </row>
    <row r="21782" spans="1:26" ht="12.75" customHeight="1" x14ac:dyDescent="0.2">
      <c r="A21782" s="258"/>
      <c r="Z21782" s="258"/>
    </row>
    <row r="21783" spans="1:26" ht="12.75" customHeight="1" x14ac:dyDescent="0.2">
      <c r="A21783" s="258"/>
      <c r="Z21783" s="258"/>
    </row>
    <row r="21784" spans="1:26" ht="12.75" customHeight="1" x14ac:dyDescent="0.2">
      <c r="A21784" s="258"/>
      <c r="Z21784" s="258"/>
    </row>
    <row r="21785" spans="1:26" ht="12.75" customHeight="1" x14ac:dyDescent="0.2">
      <c r="A21785" s="258"/>
      <c r="Z21785" s="258"/>
    </row>
    <row r="21786" spans="1:26" ht="12.75" customHeight="1" x14ac:dyDescent="0.2">
      <c r="A21786" s="258"/>
      <c r="Z21786" s="258"/>
    </row>
    <row r="21787" spans="1:26" ht="12.75" customHeight="1" x14ac:dyDescent="0.2">
      <c r="A21787" s="258"/>
      <c r="Z21787" s="258"/>
    </row>
    <row r="21788" spans="1:26" ht="12.75" customHeight="1" x14ac:dyDescent="0.2">
      <c r="A21788" s="258"/>
      <c r="Z21788" s="258"/>
    </row>
    <row r="21789" spans="1:26" ht="12.75" customHeight="1" x14ac:dyDescent="0.2">
      <c r="A21789" s="258"/>
      <c r="Z21789" s="258"/>
    </row>
    <row r="21790" spans="1:26" ht="12.75" customHeight="1" x14ac:dyDescent="0.2">
      <c r="A21790" s="258"/>
      <c r="Z21790" s="258"/>
    </row>
    <row r="21791" spans="1:26" ht="12.75" customHeight="1" x14ac:dyDescent="0.2">
      <c r="A21791" s="258"/>
      <c r="Z21791" s="258"/>
    </row>
    <row r="21792" spans="1:26" ht="12.75" customHeight="1" x14ac:dyDescent="0.2">
      <c r="A21792" s="258"/>
      <c r="Z21792" s="258"/>
    </row>
    <row r="21793" spans="1:26" ht="12.75" customHeight="1" x14ac:dyDescent="0.2">
      <c r="A21793" s="258"/>
      <c r="Z21793" s="258"/>
    </row>
    <row r="21794" spans="1:26" ht="12.75" customHeight="1" x14ac:dyDescent="0.2">
      <c r="A21794" s="258"/>
      <c r="Z21794" s="258"/>
    </row>
    <row r="21795" spans="1:26" ht="12.75" customHeight="1" x14ac:dyDescent="0.2">
      <c r="A21795" s="258"/>
      <c r="Z21795" s="258"/>
    </row>
    <row r="21796" spans="1:26" ht="12.75" customHeight="1" x14ac:dyDescent="0.2">
      <c r="A21796" s="258"/>
      <c r="Z21796" s="258"/>
    </row>
    <row r="21797" spans="1:26" ht="12.75" customHeight="1" x14ac:dyDescent="0.2">
      <c r="A21797" s="258"/>
      <c r="Z21797" s="258"/>
    </row>
    <row r="21798" spans="1:26" ht="12.75" customHeight="1" x14ac:dyDescent="0.2">
      <c r="A21798" s="258"/>
      <c r="Z21798" s="258"/>
    </row>
    <row r="21799" spans="1:26" ht="12.75" customHeight="1" x14ac:dyDescent="0.2">
      <c r="A21799" s="258"/>
      <c r="Z21799" s="258"/>
    </row>
    <row r="21800" spans="1:26" ht="12.75" customHeight="1" x14ac:dyDescent="0.2">
      <c r="A21800" s="258"/>
      <c r="Z21800" s="258"/>
    </row>
    <row r="21801" spans="1:26" ht="12.75" customHeight="1" x14ac:dyDescent="0.2">
      <c r="A21801" s="258"/>
      <c r="Z21801" s="258"/>
    </row>
    <row r="21802" spans="1:26" ht="12.75" customHeight="1" x14ac:dyDescent="0.2">
      <c r="A21802" s="258"/>
      <c r="Z21802" s="258"/>
    </row>
    <row r="21803" spans="1:26" ht="12.75" customHeight="1" x14ac:dyDescent="0.2">
      <c r="A21803" s="258"/>
      <c r="Z21803" s="258"/>
    </row>
    <row r="21804" spans="1:26" ht="12.75" customHeight="1" x14ac:dyDescent="0.2">
      <c r="A21804" s="258"/>
      <c r="Z21804" s="258"/>
    </row>
    <row r="21805" spans="1:26" ht="12.75" customHeight="1" x14ac:dyDescent="0.2">
      <c r="A21805" s="258"/>
      <c r="Z21805" s="258"/>
    </row>
    <row r="21806" spans="1:26" ht="12.75" customHeight="1" x14ac:dyDescent="0.2">
      <c r="A21806" s="258"/>
      <c r="Z21806" s="258"/>
    </row>
    <row r="21807" spans="1:26" ht="12.75" customHeight="1" x14ac:dyDescent="0.2">
      <c r="A21807" s="258"/>
      <c r="Z21807" s="258"/>
    </row>
    <row r="21808" spans="1:26" ht="12.75" customHeight="1" x14ac:dyDescent="0.2">
      <c r="A21808" s="258"/>
      <c r="Z21808" s="258"/>
    </row>
    <row r="21809" spans="1:26" ht="12.75" customHeight="1" x14ac:dyDescent="0.2">
      <c r="A21809" s="258"/>
      <c r="Z21809" s="258"/>
    </row>
    <row r="21810" spans="1:26" ht="12.75" customHeight="1" x14ac:dyDescent="0.2">
      <c r="A21810" s="258"/>
      <c r="Z21810" s="258"/>
    </row>
    <row r="21811" spans="1:26" ht="12.75" customHeight="1" x14ac:dyDescent="0.2">
      <c r="A21811" s="258"/>
      <c r="Z21811" s="258"/>
    </row>
    <row r="21812" spans="1:26" ht="12.75" customHeight="1" x14ac:dyDescent="0.2">
      <c r="A21812" s="258"/>
      <c r="Z21812" s="258"/>
    </row>
    <row r="21813" spans="1:26" ht="12.75" customHeight="1" x14ac:dyDescent="0.2">
      <c r="A21813" s="258"/>
      <c r="Z21813" s="258"/>
    </row>
    <row r="21814" spans="1:26" ht="12.75" customHeight="1" x14ac:dyDescent="0.2">
      <c r="A21814" s="258"/>
      <c r="Z21814" s="258"/>
    </row>
    <row r="21815" spans="1:26" ht="12.75" customHeight="1" x14ac:dyDescent="0.2">
      <c r="A21815" s="258"/>
      <c r="Z21815" s="258"/>
    </row>
    <row r="21816" spans="1:26" ht="12.75" customHeight="1" x14ac:dyDescent="0.2">
      <c r="A21816" s="258"/>
      <c r="Z21816" s="258"/>
    </row>
    <row r="21817" spans="1:26" ht="12.75" customHeight="1" x14ac:dyDescent="0.2">
      <c r="A21817" s="258"/>
      <c r="Z21817" s="258"/>
    </row>
    <row r="21818" spans="1:26" ht="12.75" customHeight="1" x14ac:dyDescent="0.2">
      <c r="A21818" s="258"/>
      <c r="Z21818" s="258"/>
    </row>
    <row r="21819" spans="1:26" ht="12.75" customHeight="1" x14ac:dyDescent="0.2">
      <c r="A21819" s="258"/>
      <c r="Z21819" s="258"/>
    </row>
    <row r="21820" spans="1:26" ht="12.75" customHeight="1" x14ac:dyDescent="0.2">
      <c r="A21820" s="258"/>
      <c r="Z21820" s="258"/>
    </row>
    <row r="21821" spans="1:26" ht="12.75" customHeight="1" x14ac:dyDescent="0.2">
      <c r="A21821" s="258"/>
      <c r="Z21821" s="258"/>
    </row>
    <row r="21822" spans="1:26" ht="12.75" customHeight="1" x14ac:dyDescent="0.2">
      <c r="A21822" s="258"/>
      <c r="Z21822" s="258"/>
    </row>
    <row r="21823" spans="1:26" ht="12.75" customHeight="1" x14ac:dyDescent="0.2">
      <c r="A21823" s="258"/>
      <c r="Z21823" s="258"/>
    </row>
    <row r="21824" spans="1:26" ht="12.75" customHeight="1" x14ac:dyDescent="0.2">
      <c r="A21824" s="258"/>
      <c r="Z21824" s="258"/>
    </row>
    <row r="21825" spans="1:26" ht="12.75" customHeight="1" x14ac:dyDescent="0.2">
      <c r="A21825" s="258"/>
      <c r="Z21825" s="258"/>
    </row>
    <row r="21826" spans="1:26" ht="12.75" customHeight="1" x14ac:dyDescent="0.2">
      <c r="A21826" s="258"/>
      <c r="Z21826" s="258"/>
    </row>
    <row r="21827" spans="1:26" ht="12.75" customHeight="1" x14ac:dyDescent="0.2">
      <c r="A21827" s="258"/>
      <c r="Z21827" s="258"/>
    </row>
    <row r="21828" spans="1:26" ht="12.75" customHeight="1" x14ac:dyDescent="0.2">
      <c r="A21828" s="258"/>
      <c r="Z21828" s="258"/>
    </row>
    <row r="21829" spans="1:26" ht="12.75" customHeight="1" x14ac:dyDescent="0.2">
      <c r="A21829" s="258"/>
      <c r="Z21829" s="258"/>
    </row>
    <row r="21830" spans="1:26" ht="12.75" customHeight="1" x14ac:dyDescent="0.2">
      <c r="A21830" s="258"/>
      <c r="Z21830" s="258"/>
    </row>
    <row r="21831" spans="1:26" ht="12.75" customHeight="1" x14ac:dyDescent="0.2">
      <c r="A21831" s="258"/>
      <c r="Z21831" s="258"/>
    </row>
    <row r="21832" spans="1:26" ht="12.75" customHeight="1" x14ac:dyDescent="0.2">
      <c r="A21832" s="258"/>
      <c r="Z21832" s="258"/>
    </row>
    <row r="21833" spans="1:26" ht="12.75" customHeight="1" x14ac:dyDescent="0.2">
      <c r="A21833" s="258"/>
      <c r="Z21833" s="258"/>
    </row>
    <row r="21834" spans="1:26" ht="12.75" customHeight="1" x14ac:dyDescent="0.2">
      <c r="A21834" s="258"/>
      <c r="Z21834" s="258"/>
    </row>
    <row r="21835" spans="1:26" ht="12.75" customHeight="1" x14ac:dyDescent="0.2">
      <c r="A21835" s="258"/>
      <c r="Z21835" s="258"/>
    </row>
    <row r="21836" spans="1:26" ht="12.75" customHeight="1" x14ac:dyDescent="0.2">
      <c r="A21836" s="258"/>
      <c r="Z21836" s="258"/>
    </row>
    <row r="21837" spans="1:26" ht="12.75" customHeight="1" x14ac:dyDescent="0.2">
      <c r="A21837" s="258"/>
      <c r="Z21837" s="258"/>
    </row>
    <row r="21838" spans="1:26" ht="12.75" customHeight="1" x14ac:dyDescent="0.2">
      <c r="A21838" s="258"/>
      <c r="Z21838" s="258"/>
    </row>
    <row r="21839" spans="1:26" ht="12.75" customHeight="1" x14ac:dyDescent="0.2">
      <c r="A21839" s="258"/>
      <c r="Z21839" s="258"/>
    </row>
    <row r="21840" spans="1:26" ht="12.75" customHeight="1" x14ac:dyDescent="0.2">
      <c r="A21840" s="258"/>
      <c r="Z21840" s="258"/>
    </row>
    <row r="21841" spans="1:26" ht="12.75" customHeight="1" x14ac:dyDescent="0.2">
      <c r="A21841" s="258"/>
      <c r="Z21841" s="258"/>
    </row>
    <row r="21842" spans="1:26" ht="12.75" customHeight="1" x14ac:dyDescent="0.2">
      <c r="A21842" s="258"/>
      <c r="Z21842" s="258"/>
    </row>
    <row r="21843" spans="1:26" ht="12.75" customHeight="1" x14ac:dyDescent="0.2">
      <c r="A21843" s="258"/>
      <c r="Z21843" s="258"/>
    </row>
    <row r="21844" spans="1:26" ht="12.75" customHeight="1" x14ac:dyDescent="0.2">
      <c r="A21844" s="258"/>
      <c r="Z21844" s="258"/>
    </row>
    <row r="21845" spans="1:26" ht="12.75" customHeight="1" x14ac:dyDescent="0.2">
      <c r="A21845" s="258"/>
      <c r="Z21845" s="258"/>
    </row>
    <row r="21846" spans="1:26" ht="12.75" customHeight="1" x14ac:dyDescent="0.2">
      <c r="A21846" s="258"/>
      <c r="Z21846" s="258"/>
    </row>
    <row r="21847" spans="1:26" ht="12.75" customHeight="1" x14ac:dyDescent="0.2">
      <c r="A21847" s="258"/>
      <c r="Z21847" s="258"/>
    </row>
    <row r="21848" spans="1:26" ht="12.75" customHeight="1" x14ac:dyDescent="0.2">
      <c r="A21848" s="258"/>
      <c r="Z21848" s="258"/>
    </row>
    <row r="21849" spans="1:26" ht="12.75" customHeight="1" x14ac:dyDescent="0.2">
      <c r="A21849" s="258"/>
      <c r="Z21849" s="258"/>
    </row>
    <row r="21850" spans="1:26" ht="12.75" customHeight="1" x14ac:dyDescent="0.2">
      <c r="A21850" s="258"/>
      <c r="Z21850" s="258"/>
    </row>
    <row r="21851" spans="1:26" ht="12.75" customHeight="1" x14ac:dyDescent="0.2">
      <c r="A21851" s="258"/>
      <c r="Z21851" s="258"/>
    </row>
    <row r="21852" spans="1:26" ht="12.75" customHeight="1" x14ac:dyDescent="0.2">
      <c r="A21852" s="258"/>
      <c r="Z21852" s="258"/>
    </row>
    <row r="21853" spans="1:26" ht="12.75" customHeight="1" x14ac:dyDescent="0.2">
      <c r="A21853" s="258"/>
      <c r="Z21853" s="258"/>
    </row>
    <row r="21854" spans="1:26" ht="12.75" customHeight="1" x14ac:dyDescent="0.2">
      <c r="A21854" s="258"/>
      <c r="Z21854" s="258"/>
    </row>
    <row r="21855" spans="1:26" ht="12.75" customHeight="1" x14ac:dyDescent="0.2">
      <c r="A21855" s="258"/>
      <c r="Z21855" s="258"/>
    </row>
    <row r="21856" spans="1:26" ht="12.75" customHeight="1" x14ac:dyDescent="0.2">
      <c r="A21856" s="258"/>
      <c r="Z21856" s="258"/>
    </row>
    <row r="21857" spans="1:26" ht="12.75" customHeight="1" x14ac:dyDescent="0.2">
      <c r="A21857" s="258"/>
      <c r="Z21857" s="258"/>
    </row>
    <row r="21858" spans="1:26" ht="12.75" customHeight="1" x14ac:dyDescent="0.2">
      <c r="A21858" s="258"/>
      <c r="Z21858" s="258"/>
    </row>
    <row r="21859" spans="1:26" ht="12.75" customHeight="1" x14ac:dyDescent="0.2">
      <c r="A21859" s="258"/>
      <c r="Z21859" s="258"/>
    </row>
    <row r="21860" spans="1:26" ht="12.75" customHeight="1" x14ac:dyDescent="0.2">
      <c r="A21860" s="258"/>
      <c r="Z21860" s="258"/>
    </row>
    <row r="21861" spans="1:26" ht="12.75" customHeight="1" x14ac:dyDescent="0.2">
      <c r="A21861" s="258"/>
      <c r="Z21861" s="258"/>
    </row>
    <row r="21862" spans="1:26" ht="12.75" customHeight="1" x14ac:dyDescent="0.2">
      <c r="A21862" s="258"/>
      <c r="Z21862" s="258"/>
    </row>
    <row r="21863" spans="1:26" ht="12.75" customHeight="1" x14ac:dyDescent="0.2">
      <c r="A21863" s="258"/>
      <c r="Z21863" s="258"/>
    </row>
    <row r="21864" spans="1:26" ht="12.75" customHeight="1" x14ac:dyDescent="0.2">
      <c r="A21864" s="258"/>
      <c r="Z21864" s="258"/>
    </row>
    <row r="21865" spans="1:26" ht="12.75" customHeight="1" x14ac:dyDescent="0.2">
      <c r="A21865" s="258"/>
      <c r="Z21865" s="258"/>
    </row>
    <row r="21866" spans="1:26" ht="12.75" customHeight="1" x14ac:dyDescent="0.2">
      <c r="A21866" s="258"/>
      <c r="Z21866" s="258"/>
    </row>
    <row r="21867" spans="1:26" ht="12.75" customHeight="1" x14ac:dyDescent="0.2">
      <c r="A21867" s="258"/>
      <c r="Z21867" s="258"/>
    </row>
    <row r="21868" spans="1:26" ht="12.75" customHeight="1" x14ac:dyDescent="0.2">
      <c r="A21868" s="258"/>
      <c r="Z21868" s="258"/>
    </row>
    <row r="21869" spans="1:26" ht="12.75" customHeight="1" x14ac:dyDescent="0.2">
      <c r="A21869" s="258"/>
      <c r="Z21869" s="258"/>
    </row>
    <row r="21870" spans="1:26" ht="12.75" customHeight="1" x14ac:dyDescent="0.2">
      <c r="A21870" s="258"/>
      <c r="Z21870" s="258"/>
    </row>
    <row r="21871" spans="1:26" ht="12.75" customHeight="1" x14ac:dyDescent="0.2">
      <c r="A21871" s="258"/>
      <c r="Z21871" s="258"/>
    </row>
    <row r="21872" spans="1:26" ht="12.75" customHeight="1" x14ac:dyDescent="0.2">
      <c r="A21872" s="258"/>
      <c r="Z21872" s="258"/>
    </row>
    <row r="21873" spans="1:26" ht="12.75" customHeight="1" x14ac:dyDescent="0.2">
      <c r="A21873" s="258"/>
      <c r="Z21873" s="258"/>
    </row>
    <row r="21874" spans="1:26" ht="12.75" customHeight="1" x14ac:dyDescent="0.2">
      <c r="A21874" s="258"/>
      <c r="Z21874" s="258"/>
    </row>
    <row r="21875" spans="1:26" ht="12.75" customHeight="1" x14ac:dyDescent="0.2">
      <c r="A21875" s="258"/>
      <c r="Z21875" s="258"/>
    </row>
    <row r="21876" spans="1:26" ht="12.75" customHeight="1" x14ac:dyDescent="0.2">
      <c r="A21876" s="258"/>
      <c r="Z21876" s="258"/>
    </row>
    <row r="21877" spans="1:26" ht="12.75" customHeight="1" x14ac:dyDescent="0.2">
      <c r="A21877" s="258"/>
      <c r="Z21877" s="258"/>
    </row>
    <row r="21878" spans="1:26" ht="12.75" customHeight="1" x14ac:dyDescent="0.2">
      <c r="A21878" s="258"/>
      <c r="Z21878" s="258"/>
    </row>
    <row r="21879" spans="1:26" ht="12.75" customHeight="1" x14ac:dyDescent="0.2">
      <c r="A21879" s="258"/>
      <c r="Z21879" s="258"/>
    </row>
    <row r="21880" spans="1:26" ht="12.75" customHeight="1" x14ac:dyDescent="0.2">
      <c r="A21880" s="258"/>
      <c r="Z21880" s="258"/>
    </row>
    <row r="21881" spans="1:26" ht="12.75" customHeight="1" x14ac:dyDescent="0.2">
      <c r="A21881" s="258"/>
      <c r="Z21881" s="258"/>
    </row>
    <row r="21882" spans="1:26" ht="12.75" customHeight="1" x14ac:dyDescent="0.2">
      <c r="A21882" s="258"/>
      <c r="Z21882" s="258"/>
    </row>
    <row r="21883" spans="1:26" ht="12.75" customHeight="1" x14ac:dyDescent="0.2">
      <c r="A21883" s="258"/>
      <c r="Z21883" s="258"/>
    </row>
    <row r="21884" spans="1:26" ht="12.75" customHeight="1" x14ac:dyDescent="0.2">
      <c r="A21884" s="258"/>
      <c r="Z21884" s="258"/>
    </row>
    <row r="21885" spans="1:26" ht="12.75" customHeight="1" x14ac:dyDescent="0.2">
      <c r="A21885" s="258"/>
      <c r="Z21885" s="258"/>
    </row>
    <row r="21886" spans="1:26" ht="12.75" customHeight="1" x14ac:dyDescent="0.2">
      <c r="A21886" s="258"/>
      <c r="Z21886" s="258"/>
    </row>
    <row r="21887" spans="1:26" ht="12.75" customHeight="1" x14ac:dyDescent="0.2">
      <c r="A21887" s="258"/>
      <c r="Z21887" s="258"/>
    </row>
    <row r="21888" spans="1:26" ht="12.75" customHeight="1" x14ac:dyDescent="0.2">
      <c r="A21888" s="258"/>
      <c r="Z21888" s="258"/>
    </row>
    <row r="21889" spans="1:26" ht="12.75" customHeight="1" x14ac:dyDescent="0.2">
      <c r="A21889" s="258"/>
      <c r="Z21889" s="258"/>
    </row>
    <row r="21890" spans="1:26" ht="12.75" customHeight="1" x14ac:dyDescent="0.2">
      <c r="A21890" s="258"/>
      <c r="Z21890" s="258"/>
    </row>
    <row r="21891" spans="1:26" ht="12.75" customHeight="1" x14ac:dyDescent="0.2">
      <c r="A21891" s="258"/>
      <c r="Z21891" s="258"/>
    </row>
    <row r="21892" spans="1:26" ht="12.75" customHeight="1" x14ac:dyDescent="0.2">
      <c r="A21892" s="258"/>
      <c r="Z21892" s="258"/>
    </row>
    <row r="21893" spans="1:26" ht="12.75" customHeight="1" x14ac:dyDescent="0.2">
      <c r="A21893" s="258"/>
      <c r="Z21893" s="258"/>
    </row>
    <row r="21894" spans="1:26" ht="12.75" customHeight="1" x14ac:dyDescent="0.2">
      <c r="A21894" s="258"/>
      <c r="Z21894" s="258"/>
    </row>
    <row r="21895" spans="1:26" ht="12.75" customHeight="1" x14ac:dyDescent="0.2">
      <c r="A21895" s="258"/>
      <c r="Z21895" s="258"/>
    </row>
    <row r="21896" spans="1:26" ht="12.75" customHeight="1" x14ac:dyDescent="0.2">
      <c r="A21896" s="258"/>
      <c r="Z21896" s="258"/>
    </row>
    <row r="21897" spans="1:26" ht="12.75" customHeight="1" x14ac:dyDescent="0.2">
      <c r="A21897" s="258"/>
      <c r="Z21897" s="258"/>
    </row>
    <row r="21898" spans="1:26" ht="12.75" customHeight="1" x14ac:dyDescent="0.2">
      <c r="A21898" s="258"/>
      <c r="Z21898" s="258"/>
    </row>
    <row r="21899" spans="1:26" ht="12.75" customHeight="1" x14ac:dyDescent="0.2">
      <c r="A21899" s="258"/>
      <c r="Z21899" s="258"/>
    </row>
    <row r="21900" spans="1:26" ht="12.75" customHeight="1" x14ac:dyDescent="0.2">
      <c r="A21900" s="258"/>
      <c r="Z21900" s="258"/>
    </row>
    <row r="21901" spans="1:26" ht="12.75" customHeight="1" x14ac:dyDescent="0.2">
      <c r="A21901" s="258"/>
      <c r="Z21901" s="258"/>
    </row>
    <row r="21902" spans="1:26" ht="12.75" customHeight="1" x14ac:dyDescent="0.2">
      <c r="A21902" s="258"/>
      <c r="Z21902" s="258"/>
    </row>
    <row r="21903" spans="1:26" ht="12.75" customHeight="1" x14ac:dyDescent="0.2">
      <c r="A21903" s="258"/>
      <c r="Z21903" s="258"/>
    </row>
    <row r="21904" spans="1:26" ht="12.75" customHeight="1" x14ac:dyDescent="0.2">
      <c r="A21904" s="258"/>
      <c r="Z21904" s="258"/>
    </row>
    <row r="21905" spans="1:26" ht="12.75" customHeight="1" x14ac:dyDescent="0.2">
      <c r="A21905" s="258"/>
      <c r="Z21905" s="258"/>
    </row>
    <row r="21906" spans="1:26" ht="12.75" customHeight="1" x14ac:dyDescent="0.2">
      <c r="A21906" s="258"/>
      <c r="Z21906" s="258"/>
    </row>
    <row r="21907" spans="1:26" ht="12.75" customHeight="1" x14ac:dyDescent="0.2">
      <c r="A21907" s="258"/>
      <c r="Z21907" s="258"/>
    </row>
    <row r="21908" spans="1:26" ht="12.75" customHeight="1" x14ac:dyDescent="0.2">
      <c r="A21908" s="258"/>
      <c r="Z21908" s="258"/>
    </row>
    <row r="21909" spans="1:26" ht="12.75" customHeight="1" x14ac:dyDescent="0.2">
      <c r="A21909" s="258"/>
      <c r="Z21909" s="258"/>
    </row>
    <row r="21910" spans="1:26" ht="12.75" customHeight="1" x14ac:dyDescent="0.2">
      <c r="A21910" s="258"/>
      <c r="Z21910" s="258"/>
    </row>
    <row r="21911" spans="1:26" ht="12.75" customHeight="1" x14ac:dyDescent="0.2">
      <c r="A21911" s="258"/>
      <c r="Z21911" s="258"/>
    </row>
    <row r="21912" spans="1:26" ht="12.75" customHeight="1" x14ac:dyDescent="0.2">
      <c r="A21912" s="258"/>
      <c r="Z21912" s="258"/>
    </row>
    <row r="21913" spans="1:26" ht="12.75" customHeight="1" x14ac:dyDescent="0.2">
      <c r="A21913" s="258"/>
      <c r="Z21913" s="258"/>
    </row>
    <row r="21914" spans="1:26" ht="12.75" customHeight="1" x14ac:dyDescent="0.2">
      <c r="A21914" s="258"/>
      <c r="Z21914" s="258"/>
    </row>
    <row r="21915" spans="1:26" ht="12.75" customHeight="1" x14ac:dyDescent="0.2">
      <c r="A21915" s="258"/>
      <c r="Z21915" s="258"/>
    </row>
    <row r="21916" spans="1:26" ht="12.75" customHeight="1" x14ac:dyDescent="0.2">
      <c r="A21916" s="258"/>
      <c r="Z21916" s="258"/>
    </row>
    <row r="21917" spans="1:26" ht="12.75" customHeight="1" x14ac:dyDescent="0.2">
      <c r="A21917" s="258"/>
      <c r="Z21917" s="258"/>
    </row>
    <row r="21918" spans="1:26" ht="12.75" customHeight="1" x14ac:dyDescent="0.2">
      <c r="A21918" s="258"/>
      <c r="Z21918" s="258"/>
    </row>
    <row r="21919" spans="1:26" ht="12.75" customHeight="1" x14ac:dyDescent="0.2">
      <c r="A21919" s="258"/>
      <c r="Z21919" s="258"/>
    </row>
    <row r="21920" spans="1:26" ht="12.75" customHeight="1" x14ac:dyDescent="0.2">
      <c r="A21920" s="258"/>
      <c r="Z21920" s="258"/>
    </row>
    <row r="21921" spans="1:26" ht="12.75" customHeight="1" x14ac:dyDescent="0.2">
      <c r="A21921" s="258"/>
      <c r="Z21921" s="258"/>
    </row>
    <row r="21922" spans="1:26" ht="12.75" customHeight="1" x14ac:dyDescent="0.2">
      <c r="A21922" s="258"/>
      <c r="Z21922" s="258"/>
    </row>
    <row r="21923" spans="1:26" ht="12.75" customHeight="1" x14ac:dyDescent="0.2">
      <c r="A21923" s="258"/>
      <c r="Z21923" s="258"/>
    </row>
    <row r="21924" spans="1:26" ht="12.75" customHeight="1" x14ac:dyDescent="0.2">
      <c r="A21924" s="258"/>
      <c r="Z21924" s="258"/>
    </row>
    <row r="21925" spans="1:26" ht="12.75" customHeight="1" x14ac:dyDescent="0.2">
      <c r="A21925" s="258"/>
      <c r="Z21925" s="258"/>
    </row>
    <row r="21926" spans="1:26" ht="12.75" customHeight="1" x14ac:dyDescent="0.2">
      <c r="A21926" s="258"/>
      <c r="Z21926" s="258"/>
    </row>
    <row r="21927" spans="1:26" ht="12.75" customHeight="1" x14ac:dyDescent="0.2">
      <c r="A21927" s="258"/>
      <c r="Z21927" s="258"/>
    </row>
    <row r="21928" spans="1:26" ht="12.75" customHeight="1" x14ac:dyDescent="0.2">
      <c r="A21928" s="258"/>
      <c r="Z21928" s="258"/>
    </row>
    <row r="21929" spans="1:26" ht="12.75" customHeight="1" x14ac:dyDescent="0.2">
      <c r="A21929" s="258"/>
      <c r="Z21929" s="258"/>
    </row>
    <row r="21930" spans="1:26" ht="12.75" customHeight="1" x14ac:dyDescent="0.2">
      <c r="A21930" s="258"/>
      <c r="Z21930" s="258"/>
    </row>
    <row r="21931" spans="1:26" ht="12.75" customHeight="1" x14ac:dyDescent="0.2">
      <c r="A21931" s="258"/>
      <c r="Z21931" s="258"/>
    </row>
    <row r="21932" spans="1:26" ht="12.75" customHeight="1" x14ac:dyDescent="0.2">
      <c r="A21932" s="258"/>
      <c r="Z21932" s="258"/>
    </row>
    <row r="21933" spans="1:26" ht="12.75" customHeight="1" x14ac:dyDescent="0.2">
      <c r="A21933" s="258"/>
      <c r="Z21933" s="258"/>
    </row>
    <row r="21934" spans="1:26" ht="12.75" customHeight="1" x14ac:dyDescent="0.2">
      <c r="A21934" s="258"/>
      <c r="Z21934" s="258"/>
    </row>
    <row r="21935" spans="1:26" ht="12.75" customHeight="1" x14ac:dyDescent="0.2">
      <c r="A21935" s="258"/>
      <c r="Z21935" s="258"/>
    </row>
    <row r="21936" spans="1:26" ht="12.75" customHeight="1" x14ac:dyDescent="0.2">
      <c r="A21936" s="258"/>
      <c r="Z21936" s="258"/>
    </row>
    <row r="21937" spans="1:26" ht="12.75" customHeight="1" x14ac:dyDescent="0.2">
      <c r="A21937" s="258"/>
      <c r="Z21937" s="258"/>
    </row>
    <row r="21938" spans="1:26" ht="12.75" customHeight="1" x14ac:dyDescent="0.2">
      <c r="A21938" s="258"/>
      <c r="Z21938" s="258"/>
    </row>
    <row r="21939" spans="1:26" ht="12.75" customHeight="1" x14ac:dyDescent="0.2">
      <c r="A21939" s="258"/>
      <c r="Z21939" s="258"/>
    </row>
    <row r="21940" spans="1:26" ht="12.75" customHeight="1" x14ac:dyDescent="0.2">
      <c r="A21940" s="258"/>
      <c r="Z21940" s="258"/>
    </row>
    <row r="21941" spans="1:26" ht="12.75" customHeight="1" x14ac:dyDescent="0.2">
      <c r="A21941" s="258"/>
      <c r="Z21941" s="258"/>
    </row>
    <row r="21942" spans="1:26" ht="12.75" customHeight="1" x14ac:dyDescent="0.2">
      <c r="A21942" s="258"/>
      <c r="Z21942" s="258"/>
    </row>
    <row r="21943" spans="1:26" ht="12.75" customHeight="1" x14ac:dyDescent="0.2">
      <c r="A21943" s="258"/>
      <c r="Z21943" s="258"/>
    </row>
    <row r="21944" spans="1:26" ht="12.75" customHeight="1" x14ac:dyDescent="0.2">
      <c r="A21944" s="258"/>
      <c r="Z21944" s="258"/>
    </row>
    <row r="21945" spans="1:26" ht="12.75" customHeight="1" x14ac:dyDescent="0.2">
      <c r="A21945" s="258"/>
      <c r="Z21945" s="258"/>
    </row>
    <row r="21946" spans="1:26" ht="12.75" customHeight="1" x14ac:dyDescent="0.2">
      <c r="A21946" s="258"/>
      <c r="Z21946" s="258"/>
    </row>
    <row r="21947" spans="1:26" ht="12.75" customHeight="1" x14ac:dyDescent="0.2">
      <c r="A21947" s="258"/>
      <c r="Z21947" s="258"/>
    </row>
    <row r="21948" spans="1:26" ht="12.75" customHeight="1" x14ac:dyDescent="0.2">
      <c r="A21948" s="258"/>
      <c r="Z21948" s="258"/>
    </row>
    <row r="21949" spans="1:26" ht="12.75" customHeight="1" x14ac:dyDescent="0.2">
      <c r="A21949" s="258"/>
      <c r="Z21949" s="258"/>
    </row>
    <row r="21950" spans="1:26" ht="12.75" customHeight="1" x14ac:dyDescent="0.2">
      <c r="A21950" s="258"/>
      <c r="Z21950" s="258"/>
    </row>
    <row r="21951" spans="1:26" ht="12.75" customHeight="1" x14ac:dyDescent="0.2">
      <c r="A21951" s="258"/>
      <c r="Z21951" s="258"/>
    </row>
    <row r="21952" spans="1:26" ht="12.75" customHeight="1" x14ac:dyDescent="0.2">
      <c r="A21952" s="258"/>
      <c r="Z21952" s="258"/>
    </row>
    <row r="21953" spans="1:26" ht="12.75" customHeight="1" x14ac:dyDescent="0.2">
      <c r="A21953" s="258"/>
      <c r="Z21953" s="258"/>
    </row>
    <row r="21954" spans="1:26" ht="12.75" customHeight="1" x14ac:dyDescent="0.2">
      <c r="A21954" s="258"/>
      <c r="Z21954" s="258"/>
    </row>
    <row r="21955" spans="1:26" ht="12.75" customHeight="1" x14ac:dyDescent="0.2">
      <c r="A21955" s="258"/>
      <c r="Z21955" s="258"/>
    </row>
    <row r="21956" spans="1:26" ht="12.75" customHeight="1" x14ac:dyDescent="0.2">
      <c r="A21956" s="258"/>
      <c r="Z21956" s="258"/>
    </row>
    <row r="21957" spans="1:26" ht="12.75" customHeight="1" x14ac:dyDescent="0.2">
      <c r="A21957" s="258"/>
      <c r="Z21957" s="258"/>
    </row>
    <row r="21958" spans="1:26" ht="12.75" customHeight="1" x14ac:dyDescent="0.2">
      <c r="A21958" s="258"/>
      <c r="Z21958" s="258"/>
    </row>
    <row r="21959" spans="1:26" ht="12.75" customHeight="1" x14ac:dyDescent="0.2">
      <c r="A21959" s="258"/>
      <c r="Z21959" s="258"/>
    </row>
    <row r="21960" spans="1:26" ht="12.75" customHeight="1" x14ac:dyDescent="0.2">
      <c r="A21960" s="258"/>
      <c r="Z21960" s="258"/>
    </row>
    <row r="21961" spans="1:26" ht="12.75" customHeight="1" x14ac:dyDescent="0.2">
      <c r="A21961" s="258"/>
      <c r="Z21961" s="258"/>
    </row>
    <row r="21962" spans="1:26" ht="12.75" customHeight="1" x14ac:dyDescent="0.2">
      <c r="A21962" s="258"/>
      <c r="Z21962" s="258"/>
    </row>
    <row r="21963" spans="1:26" ht="12.75" customHeight="1" x14ac:dyDescent="0.2">
      <c r="A21963" s="258"/>
      <c r="Z21963" s="258"/>
    </row>
    <row r="21964" spans="1:26" ht="12.75" customHeight="1" x14ac:dyDescent="0.2">
      <c r="A21964" s="258"/>
      <c r="Z21964" s="258"/>
    </row>
    <row r="21965" spans="1:26" ht="12.75" customHeight="1" x14ac:dyDescent="0.2">
      <c r="A21965" s="258"/>
      <c r="Z21965" s="258"/>
    </row>
    <row r="21966" spans="1:26" ht="12.75" customHeight="1" x14ac:dyDescent="0.2">
      <c r="A21966" s="258"/>
      <c r="Z21966" s="258"/>
    </row>
    <row r="21967" spans="1:26" ht="12.75" customHeight="1" x14ac:dyDescent="0.2">
      <c r="A21967" s="258"/>
      <c r="Z21967" s="258"/>
    </row>
    <row r="21968" spans="1:26" ht="12.75" customHeight="1" x14ac:dyDescent="0.2">
      <c r="A21968" s="258"/>
      <c r="Z21968" s="258"/>
    </row>
    <row r="21969" spans="1:26" ht="12.75" customHeight="1" x14ac:dyDescent="0.2">
      <c r="A21969" s="258"/>
      <c r="Z21969" s="258"/>
    </row>
    <row r="21970" spans="1:26" ht="12.75" customHeight="1" x14ac:dyDescent="0.2">
      <c r="A21970" s="258"/>
      <c r="Z21970" s="258"/>
    </row>
    <row r="21971" spans="1:26" ht="12.75" customHeight="1" x14ac:dyDescent="0.2">
      <c r="A21971" s="258"/>
      <c r="Z21971" s="258"/>
    </row>
    <row r="21972" spans="1:26" ht="12.75" customHeight="1" x14ac:dyDescent="0.2">
      <c r="A21972" s="258"/>
      <c r="Z21972" s="258"/>
    </row>
    <row r="21973" spans="1:26" ht="12.75" customHeight="1" x14ac:dyDescent="0.2">
      <c r="A21973" s="258"/>
      <c r="Z21973" s="258"/>
    </row>
    <row r="21974" spans="1:26" ht="12.75" customHeight="1" x14ac:dyDescent="0.2">
      <c r="A21974" s="258"/>
      <c r="Z21974" s="258"/>
    </row>
    <row r="21975" spans="1:26" ht="12.75" customHeight="1" x14ac:dyDescent="0.2">
      <c r="A21975" s="258"/>
      <c r="Z21975" s="258"/>
    </row>
    <row r="21976" spans="1:26" ht="12.75" customHeight="1" x14ac:dyDescent="0.2">
      <c r="A21976" s="258"/>
      <c r="Z21976" s="258"/>
    </row>
    <row r="21977" spans="1:26" ht="12.75" customHeight="1" x14ac:dyDescent="0.2">
      <c r="A21977" s="258"/>
      <c r="Z21977" s="258"/>
    </row>
    <row r="21978" spans="1:26" ht="12.75" customHeight="1" x14ac:dyDescent="0.2">
      <c r="A21978" s="258"/>
      <c r="Z21978" s="258"/>
    </row>
    <row r="21979" spans="1:26" ht="12.75" customHeight="1" x14ac:dyDescent="0.2">
      <c r="A21979" s="258"/>
      <c r="Z21979" s="258"/>
    </row>
    <row r="21980" spans="1:26" ht="12.75" customHeight="1" x14ac:dyDescent="0.2">
      <c r="A21980" s="258"/>
      <c r="Z21980" s="258"/>
    </row>
    <row r="21981" spans="1:26" ht="12.75" customHeight="1" x14ac:dyDescent="0.2">
      <c r="A21981" s="258"/>
      <c r="Z21981" s="258"/>
    </row>
    <row r="21982" spans="1:26" ht="12.75" customHeight="1" x14ac:dyDescent="0.2">
      <c r="A21982" s="258"/>
      <c r="Z21982" s="258"/>
    </row>
    <row r="21983" spans="1:26" ht="12.75" customHeight="1" x14ac:dyDescent="0.2">
      <c r="A21983" s="258"/>
      <c r="Z21983" s="258"/>
    </row>
    <row r="21984" spans="1:26" ht="12.75" customHeight="1" x14ac:dyDescent="0.2">
      <c r="A21984" s="258"/>
      <c r="Z21984" s="258"/>
    </row>
    <row r="21985" spans="1:26" ht="12.75" customHeight="1" x14ac:dyDescent="0.2">
      <c r="A21985" s="258"/>
      <c r="Z21985" s="258"/>
    </row>
    <row r="21986" spans="1:26" ht="12.75" customHeight="1" x14ac:dyDescent="0.2">
      <c r="A21986" s="258"/>
      <c r="Z21986" s="258"/>
    </row>
    <row r="21987" spans="1:26" ht="12.75" customHeight="1" x14ac:dyDescent="0.2">
      <c r="A21987" s="258"/>
      <c r="Z21987" s="258"/>
    </row>
    <row r="21988" spans="1:26" ht="12.75" customHeight="1" x14ac:dyDescent="0.2">
      <c r="A21988" s="258"/>
      <c r="Z21988" s="258"/>
    </row>
    <row r="21989" spans="1:26" ht="12.75" customHeight="1" x14ac:dyDescent="0.2">
      <c r="A21989" s="258"/>
      <c r="Z21989" s="258"/>
    </row>
    <row r="21990" spans="1:26" ht="12.75" customHeight="1" x14ac:dyDescent="0.2">
      <c r="A21990" s="258"/>
      <c r="Z21990" s="258"/>
    </row>
    <row r="21991" spans="1:26" ht="12.75" customHeight="1" x14ac:dyDescent="0.2">
      <c r="A21991" s="258"/>
      <c r="Z21991" s="258"/>
    </row>
    <row r="21992" spans="1:26" ht="12.75" customHeight="1" x14ac:dyDescent="0.2">
      <c r="A21992" s="258"/>
      <c r="Z21992" s="258"/>
    </row>
    <row r="21993" spans="1:26" ht="12.75" customHeight="1" x14ac:dyDescent="0.2">
      <c r="A21993" s="258"/>
      <c r="Z21993" s="258"/>
    </row>
    <row r="21994" spans="1:26" ht="12.75" customHeight="1" x14ac:dyDescent="0.2">
      <c r="A21994" s="258"/>
      <c r="Z21994" s="258"/>
    </row>
    <row r="21995" spans="1:26" ht="12.75" customHeight="1" x14ac:dyDescent="0.2">
      <c r="A21995" s="258"/>
      <c r="Z21995" s="258"/>
    </row>
    <row r="21996" spans="1:26" ht="12.75" customHeight="1" x14ac:dyDescent="0.2">
      <c r="A21996" s="258"/>
      <c r="Z21996" s="258"/>
    </row>
    <row r="21997" spans="1:26" ht="12.75" customHeight="1" x14ac:dyDescent="0.2">
      <c r="A21997" s="258"/>
      <c r="Z21997" s="258"/>
    </row>
    <row r="21998" spans="1:26" ht="12.75" customHeight="1" x14ac:dyDescent="0.2">
      <c r="A21998" s="258"/>
      <c r="Z21998" s="258"/>
    </row>
    <row r="21999" spans="1:26" ht="12.75" customHeight="1" x14ac:dyDescent="0.2">
      <c r="A21999" s="258"/>
      <c r="Z21999" s="258"/>
    </row>
    <row r="22000" spans="1:26" ht="12.75" customHeight="1" x14ac:dyDescent="0.2">
      <c r="A22000" s="258"/>
      <c r="Z22000" s="258"/>
    </row>
    <row r="22001" spans="1:26" ht="12.75" customHeight="1" x14ac:dyDescent="0.2">
      <c r="A22001" s="258"/>
      <c r="Z22001" s="258"/>
    </row>
    <row r="22002" spans="1:26" ht="12.75" customHeight="1" x14ac:dyDescent="0.2">
      <c r="A22002" s="258"/>
      <c r="Z22002" s="258"/>
    </row>
    <row r="22003" spans="1:26" ht="12.75" customHeight="1" x14ac:dyDescent="0.2">
      <c r="A22003" s="258"/>
      <c r="Z22003" s="258"/>
    </row>
    <row r="22004" spans="1:26" ht="12.75" customHeight="1" x14ac:dyDescent="0.2">
      <c r="A22004" s="258"/>
      <c r="Z22004" s="258"/>
    </row>
    <row r="22005" spans="1:26" ht="12.75" customHeight="1" x14ac:dyDescent="0.2">
      <c r="A22005" s="258"/>
      <c r="Z22005" s="258"/>
    </row>
    <row r="22006" spans="1:26" ht="12.75" customHeight="1" x14ac:dyDescent="0.2">
      <c r="A22006" s="258"/>
      <c r="Z22006" s="258"/>
    </row>
    <row r="22007" spans="1:26" ht="12.75" customHeight="1" x14ac:dyDescent="0.2">
      <c r="A22007" s="258"/>
      <c r="Z22007" s="258"/>
    </row>
    <row r="22008" spans="1:26" ht="12.75" customHeight="1" x14ac:dyDescent="0.2">
      <c r="A22008" s="258"/>
      <c r="Z22008" s="258"/>
    </row>
    <row r="22009" spans="1:26" ht="12.75" customHeight="1" x14ac:dyDescent="0.2">
      <c r="A22009" s="258"/>
      <c r="Z22009" s="258"/>
    </row>
    <row r="22010" spans="1:26" ht="12.75" customHeight="1" x14ac:dyDescent="0.2">
      <c r="A22010" s="258"/>
      <c r="Z22010" s="258"/>
    </row>
    <row r="22011" spans="1:26" ht="12.75" customHeight="1" x14ac:dyDescent="0.2">
      <c r="A22011" s="258"/>
      <c r="Z22011" s="258"/>
    </row>
    <row r="22012" spans="1:26" ht="12.75" customHeight="1" x14ac:dyDescent="0.2">
      <c r="A22012" s="258"/>
      <c r="Z22012" s="258"/>
    </row>
    <row r="22013" spans="1:26" ht="12.75" customHeight="1" x14ac:dyDescent="0.2">
      <c r="A22013" s="258"/>
      <c r="Z22013" s="258"/>
    </row>
    <row r="22014" spans="1:26" ht="12.75" customHeight="1" x14ac:dyDescent="0.2">
      <c r="A22014" s="258"/>
      <c r="Z22014" s="258"/>
    </row>
    <row r="22015" spans="1:26" ht="12.75" customHeight="1" x14ac:dyDescent="0.2">
      <c r="A22015" s="258"/>
      <c r="Z22015" s="258"/>
    </row>
    <row r="22016" spans="1:26" ht="12.75" customHeight="1" x14ac:dyDescent="0.2">
      <c r="A22016" s="258"/>
      <c r="Z22016" s="258"/>
    </row>
    <row r="22017" spans="1:26" ht="12.75" customHeight="1" x14ac:dyDescent="0.2">
      <c r="A22017" s="258"/>
      <c r="Z22017" s="258"/>
    </row>
    <row r="22018" spans="1:26" ht="12.75" customHeight="1" x14ac:dyDescent="0.2">
      <c r="A22018" s="258"/>
      <c r="Z22018" s="258"/>
    </row>
    <row r="22019" spans="1:26" ht="12.75" customHeight="1" x14ac:dyDescent="0.2">
      <c r="A22019" s="258"/>
      <c r="Z22019" s="258"/>
    </row>
    <row r="22020" spans="1:26" ht="12.75" customHeight="1" x14ac:dyDescent="0.2">
      <c r="A22020" s="258"/>
      <c r="Z22020" s="258"/>
    </row>
    <row r="22021" spans="1:26" ht="12.75" customHeight="1" x14ac:dyDescent="0.2">
      <c r="A22021" s="258"/>
      <c r="Z22021" s="258"/>
    </row>
    <row r="22022" spans="1:26" ht="12.75" customHeight="1" x14ac:dyDescent="0.2">
      <c r="A22022" s="258"/>
      <c r="Z22022" s="258"/>
    </row>
    <row r="22023" spans="1:26" ht="12.75" customHeight="1" x14ac:dyDescent="0.2">
      <c r="A22023" s="258"/>
      <c r="Z22023" s="258"/>
    </row>
    <row r="22024" spans="1:26" ht="12.75" customHeight="1" x14ac:dyDescent="0.2">
      <c r="A22024" s="258"/>
      <c r="Z22024" s="258"/>
    </row>
    <row r="22025" spans="1:26" ht="12.75" customHeight="1" x14ac:dyDescent="0.2">
      <c r="A22025" s="258"/>
      <c r="Z22025" s="258"/>
    </row>
    <row r="22026" spans="1:26" ht="12.75" customHeight="1" x14ac:dyDescent="0.2">
      <c r="A22026" s="258"/>
      <c r="Z22026" s="258"/>
    </row>
    <row r="22027" spans="1:26" ht="12.75" customHeight="1" x14ac:dyDescent="0.2">
      <c r="A22027" s="258"/>
      <c r="Z22027" s="258"/>
    </row>
    <row r="22028" spans="1:26" ht="12.75" customHeight="1" x14ac:dyDescent="0.2">
      <c r="A22028" s="258"/>
      <c r="Z22028" s="258"/>
    </row>
    <row r="22029" spans="1:26" ht="12.75" customHeight="1" x14ac:dyDescent="0.2">
      <c r="A22029" s="258"/>
      <c r="Z22029" s="258"/>
    </row>
    <row r="22030" spans="1:26" ht="12.75" customHeight="1" x14ac:dyDescent="0.2">
      <c r="A22030" s="258"/>
      <c r="Z22030" s="258"/>
    </row>
    <row r="22031" spans="1:26" ht="12.75" customHeight="1" x14ac:dyDescent="0.2">
      <c r="A22031" s="258"/>
      <c r="Z22031" s="258"/>
    </row>
    <row r="22032" spans="1:26" ht="12.75" customHeight="1" x14ac:dyDescent="0.2">
      <c r="A22032" s="258"/>
      <c r="Z22032" s="258"/>
    </row>
    <row r="22033" spans="1:26" ht="12.75" customHeight="1" x14ac:dyDescent="0.2">
      <c r="A22033" s="258"/>
      <c r="Z22033" s="258"/>
    </row>
    <row r="22034" spans="1:26" ht="12.75" customHeight="1" x14ac:dyDescent="0.2">
      <c r="A22034" s="258"/>
      <c r="Z22034" s="258"/>
    </row>
    <row r="22035" spans="1:26" ht="12.75" customHeight="1" x14ac:dyDescent="0.2">
      <c r="A22035" s="258"/>
      <c r="Z22035" s="258"/>
    </row>
    <row r="22036" spans="1:26" ht="12.75" customHeight="1" x14ac:dyDescent="0.2">
      <c r="A22036" s="258"/>
      <c r="Z22036" s="258"/>
    </row>
    <row r="22037" spans="1:26" ht="12.75" customHeight="1" x14ac:dyDescent="0.2">
      <c r="A22037" s="258"/>
      <c r="Z22037" s="258"/>
    </row>
    <row r="22038" spans="1:26" ht="12.75" customHeight="1" x14ac:dyDescent="0.2">
      <c r="A22038" s="258"/>
      <c r="Z22038" s="258"/>
    </row>
    <row r="22039" spans="1:26" ht="12.75" customHeight="1" x14ac:dyDescent="0.2">
      <c r="A22039" s="258"/>
      <c r="Z22039" s="258"/>
    </row>
    <row r="22040" spans="1:26" ht="12.75" customHeight="1" x14ac:dyDescent="0.2">
      <c r="A22040" s="258"/>
      <c r="Z22040" s="258"/>
    </row>
    <row r="22041" spans="1:26" ht="12.75" customHeight="1" x14ac:dyDescent="0.2">
      <c r="A22041" s="258"/>
      <c r="Z22041" s="258"/>
    </row>
    <row r="22042" spans="1:26" ht="12.75" customHeight="1" x14ac:dyDescent="0.2">
      <c r="A22042" s="258"/>
      <c r="Z22042" s="258"/>
    </row>
    <row r="22043" spans="1:26" ht="12.75" customHeight="1" x14ac:dyDescent="0.2">
      <c r="A22043" s="258"/>
      <c r="Z22043" s="258"/>
    </row>
    <row r="22044" spans="1:26" ht="12.75" customHeight="1" x14ac:dyDescent="0.2">
      <c r="A22044" s="258"/>
      <c r="Z22044" s="258"/>
    </row>
    <row r="22045" spans="1:26" ht="12.75" customHeight="1" x14ac:dyDescent="0.2">
      <c r="A22045" s="258"/>
      <c r="Z22045" s="258"/>
    </row>
    <row r="22046" spans="1:26" ht="12.75" customHeight="1" x14ac:dyDescent="0.2">
      <c r="A22046" s="258"/>
      <c r="Z22046" s="258"/>
    </row>
    <row r="22047" spans="1:26" ht="12.75" customHeight="1" x14ac:dyDescent="0.2">
      <c r="A22047" s="258"/>
      <c r="Z22047" s="258"/>
    </row>
    <row r="22048" spans="1:26" ht="12.75" customHeight="1" x14ac:dyDescent="0.2">
      <c r="A22048" s="258"/>
      <c r="Z22048" s="258"/>
    </row>
    <row r="22049" spans="1:26" ht="12.75" customHeight="1" x14ac:dyDescent="0.2">
      <c r="A22049" s="258"/>
      <c r="Z22049" s="258"/>
    </row>
    <row r="22050" spans="1:26" ht="12.75" customHeight="1" x14ac:dyDescent="0.2">
      <c r="A22050" s="258"/>
      <c r="Z22050" s="258"/>
    </row>
    <row r="22051" spans="1:26" ht="12.75" customHeight="1" x14ac:dyDescent="0.2">
      <c r="A22051" s="258"/>
      <c r="Z22051" s="258"/>
    </row>
    <row r="22052" spans="1:26" ht="12.75" customHeight="1" x14ac:dyDescent="0.2">
      <c r="A22052" s="258"/>
      <c r="Z22052" s="258"/>
    </row>
    <row r="22053" spans="1:26" ht="12.75" customHeight="1" x14ac:dyDescent="0.2">
      <c r="A22053" s="258"/>
      <c r="Z22053" s="258"/>
    </row>
    <row r="22054" spans="1:26" ht="12.75" customHeight="1" x14ac:dyDescent="0.2">
      <c r="A22054" s="258"/>
      <c r="Z22054" s="258"/>
    </row>
    <row r="22055" spans="1:26" ht="12.75" customHeight="1" x14ac:dyDescent="0.2">
      <c r="A22055" s="258"/>
      <c r="Z22055" s="258"/>
    </row>
    <row r="22056" spans="1:26" ht="12.75" customHeight="1" x14ac:dyDescent="0.2">
      <c r="A22056" s="258"/>
      <c r="Z22056" s="258"/>
    </row>
    <row r="22057" spans="1:26" ht="12.75" customHeight="1" x14ac:dyDescent="0.2">
      <c r="A22057" s="258"/>
      <c r="Z22057" s="258"/>
    </row>
    <row r="22058" spans="1:26" ht="12.75" customHeight="1" x14ac:dyDescent="0.2">
      <c r="A22058" s="258"/>
      <c r="Z22058" s="258"/>
    </row>
    <row r="22059" spans="1:26" ht="12.75" customHeight="1" x14ac:dyDescent="0.2">
      <c r="A22059" s="258"/>
      <c r="Z22059" s="258"/>
    </row>
    <row r="22060" spans="1:26" ht="12.75" customHeight="1" x14ac:dyDescent="0.2">
      <c r="A22060" s="258"/>
      <c r="Z22060" s="258"/>
    </row>
    <row r="22061" spans="1:26" ht="12.75" customHeight="1" x14ac:dyDescent="0.2">
      <c r="A22061" s="258"/>
      <c r="Z22061" s="258"/>
    </row>
    <row r="22062" spans="1:26" ht="12.75" customHeight="1" x14ac:dyDescent="0.2">
      <c r="A22062" s="258"/>
      <c r="Z22062" s="258"/>
    </row>
    <row r="22063" spans="1:26" ht="12.75" customHeight="1" x14ac:dyDescent="0.2">
      <c r="A22063" s="258"/>
      <c r="Z22063" s="258"/>
    </row>
    <row r="22064" spans="1:26" ht="12.75" customHeight="1" x14ac:dyDescent="0.2">
      <c r="A22064" s="258"/>
      <c r="Z22064" s="258"/>
    </row>
    <row r="22065" spans="1:26" ht="12.75" customHeight="1" x14ac:dyDescent="0.2">
      <c r="A22065" s="258"/>
      <c r="Z22065" s="258"/>
    </row>
    <row r="22066" spans="1:26" ht="12.75" customHeight="1" x14ac:dyDescent="0.2">
      <c r="A22066" s="258"/>
      <c r="Z22066" s="258"/>
    </row>
    <row r="22067" spans="1:26" ht="12.75" customHeight="1" x14ac:dyDescent="0.2">
      <c r="A22067" s="258"/>
      <c r="Z22067" s="258"/>
    </row>
    <row r="22068" spans="1:26" ht="12.75" customHeight="1" x14ac:dyDescent="0.2">
      <c r="A22068" s="258"/>
      <c r="Z22068" s="258"/>
    </row>
    <row r="22069" spans="1:26" ht="12.75" customHeight="1" x14ac:dyDescent="0.2">
      <c r="A22069" s="258"/>
      <c r="Z22069" s="258"/>
    </row>
    <row r="22070" spans="1:26" ht="12.75" customHeight="1" x14ac:dyDescent="0.2">
      <c r="A22070" s="258"/>
      <c r="Z22070" s="258"/>
    </row>
    <row r="22071" spans="1:26" ht="12.75" customHeight="1" x14ac:dyDescent="0.2">
      <c r="A22071" s="258"/>
      <c r="Z22071" s="258"/>
    </row>
    <row r="22072" spans="1:26" ht="12.75" customHeight="1" x14ac:dyDescent="0.2">
      <c r="A22072" s="258"/>
      <c r="Z22072" s="258"/>
    </row>
    <row r="22073" spans="1:26" ht="12.75" customHeight="1" x14ac:dyDescent="0.2">
      <c r="A22073" s="258"/>
      <c r="Z22073" s="258"/>
    </row>
    <row r="22074" spans="1:26" ht="12.75" customHeight="1" x14ac:dyDescent="0.2">
      <c r="A22074" s="258"/>
      <c r="Z22074" s="258"/>
    </row>
    <row r="22075" spans="1:26" ht="12.75" customHeight="1" x14ac:dyDescent="0.2">
      <c r="A22075" s="258"/>
      <c r="Z22075" s="258"/>
    </row>
    <row r="22076" spans="1:26" ht="12.75" customHeight="1" x14ac:dyDescent="0.2">
      <c r="A22076" s="258"/>
      <c r="Z22076" s="258"/>
    </row>
    <row r="22077" spans="1:26" ht="12.75" customHeight="1" x14ac:dyDescent="0.2">
      <c r="A22077" s="258"/>
      <c r="Z22077" s="258"/>
    </row>
    <row r="22078" spans="1:26" ht="12.75" customHeight="1" x14ac:dyDescent="0.2">
      <c r="A22078" s="258"/>
      <c r="Z22078" s="258"/>
    </row>
    <row r="22079" spans="1:26" ht="12.75" customHeight="1" x14ac:dyDescent="0.2">
      <c r="A22079" s="258"/>
      <c r="Z22079" s="258"/>
    </row>
    <row r="22080" spans="1:26" ht="12.75" customHeight="1" x14ac:dyDescent="0.2">
      <c r="A22080" s="258"/>
      <c r="Z22080" s="258"/>
    </row>
    <row r="22081" spans="1:26" ht="12.75" customHeight="1" x14ac:dyDescent="0.2">
      <c r="A22081" s="258"/>
      <c r="Z22081" s="258"/>
    </row>
    <row r="22082" spans="1:26" ht="12.75" customHeight="1" x14ac:dyDescent="0.2">
      <c r="A22082" s="258"/>
      <c r="Z22082" s="258"/>
    </row>
    <row r="22083" spans="1:26" ht="12.75" customHeight="1" x14ac:dyDescent="0.2">
      <c r="A22083" s="258"/>
      <c r="Z22083" s="258"/>
    </row>
    <row r="22084" spans="1:26" ht="12.75" customHeight="1" x14ac:dyDescent="0.2">
      <c r="A22084" s="258"/>
      <c r="Z22084" s="258"/>
    </row>
    <row r="22085" spans="1:26" ht="12.75" customHeight="1" x14ac:dyDescent="0.2">
      <c r="A22085" s="258"/>
      <c r="Z22085" s="258"/>
    </row>
    <row r="22086" spans="1:26" ht="12.75" customHeight="1" x14ac:dyDescent="0.2">
      <c r="A22086" s="258"/>
      <c r="Z22086" s="258"/>
    </row>
    <row r="22087" spans="1:26" ht="12.75" customHeight="1" x14ac:dyDescent="0.2">
      <c r="A22087" s="258"/>
      <c r="Z22087" s="258"/>
    </row>
    <row r="22088" spans="1:26" ht="12.75" customHeight="1" x14ac:dyDescent="0.2">
      <c r="A22088" s="258"/>
      <c r="Z22088" s="258"/>
    </row>
    <row r="22089" spans="1:26" ht="12.75" customHeight="1" x14ac:dyDescent="0.2">
      <c r="A22089" s="258"/>
      <c r="Z22089" s="258"/>
    </row>
    <row r="22090" spans="1:26" ht="12.75" customHeight="1" x14ac:dyDescent="0.2">
      <c r="A22090" s="258"/>
      <c r="Z22090" s="258"/>
    </row>
    <row r="22091" spans="1:26" ht="12.75" customHeight="1" x14ac:dyDescent="0.2">
      <c r="A22091" s="258"/>
      <c r="Z22091" s="258"/>
    </row>
    <row r="22092" spans="1:26" ht="12.75" customHeight="1" x14ac:dyDescent="0.2">
      <c r="A22092" s="258"/>
      <c r="Z22092" s="258"/>
    </row>
    <row r="22093" spans="1:26" ht="12.75" customHeight="1" x14ac:dyDescent="0.2">
      <c r="A22093" s="258"/>
      <c r="Z22093" s="258"/>
    </row>
    <row r="22094" spans="1:26" ht="12.75" customHeight="1" x14ac:dyDescent="0.2">
      <c r="A22094" s="258"/>
      <c r="Z22094" s="258"/>
    </row>
    <row r="22095" spans="1:26" ht="12.75" customHeight="1" x14ac:dyDescent="0.2">
      <c r="A22095" s="258"/>
      <c r="Z22095" s="258"/>
    </row>
    <row r="22096" spans="1:26" ht="12.75" customHeight="1" x14ac:dyDescent="0.2">
      <c r="A22096" s="258"/>
      <c r="Z22096" s="258"/>
    </row>
    <row r="22097" spans="1:26" ht="12.75" customHeight="1" x14ac:dyDescent="0.2">
      <c r="A22097" s="258"/>
      <c r="Z22097" s="258"/>
    </row>
    <row r="22098" spans="1:26" ht="12.75" customHeight="1" x14ac:dyDescent="0.2">
      <c r="A22098" s="258"/>
      <c r="Z22098" s="258"/>
    </row>
    <row r="22099" spans="1:26" ht="12.75" customHeight="1" x14ac:dyDescent="0.2">
      <c r="A22099" s="258"/>
      <c r="Z22099" s="258"/>
    </row>
    <row r="22100" spans="1:26" ht="12.75" customHeight="1" x14ac:dyDescent="0.2">
      <c r="A22100" s="258"/>
      <c r="Z22100" s="258"/>
    </row>
    <row r="22101" spans="1:26" ht="12.75" customHeight="1" x14ac:dyDescent="0.2">
      <c r="A22101" s="258"/>
      <c r="Z22101" s="258"/>
    </row>
    <row r="22102" spans="1:26" ht="12.75" customHeight="1" x14ac:dyDescent="0.2">
      <c r="A22102" s="258"/>
      <c r="Z22102" s="258"/>
    </row>
    <row r="22103" spans="1:26" ht="12.75" customHeight="1" x14ac:dyDescent="0.2">
      <c r="A22103" s="258"/>
      <c r="Z22103" s="258"/>
    </row>
    <row r="22104" spans="1:26" ht="12.75" customHeight="1" x14ac:dyDescent="0.2">
      <c r="A22104" s="258"/>
      <c r="Z22104" s="258"/>
    </row>
    <row r="22105" spans="1:26" ht="12.75" customHeight="1" x14ac:dyDescent="0.2">
      <c r="A22105" s="258"/>
      <c r="Z22105" s="258"/>
    </row>
    <row r="22106" spans="1:26" ht="12.75" customHeight="1" x14ac:dyDescent="0.2">
      <c r="A22106" s="258"/>
      <c r="Z22106" s="258"/>
    </row>
    <row r="22107" spans="1:26" ht="12.75" customHeight="1" x14ac:dyDescent="0.2">
      <c r="A22107" s="258"/>
      <c r="Z22107" s="258"/>
    </row>
    <row r="22108" spans="1:26" ht="12.75" customHeight="1" x14ac:dyDescent="0.2">
      <c r="A22108" s="258"/>
      <c r="Z22108" s="258"/>
    </row>
    <row r="22109" spans="1:26" ht="12.75" customHeight="1" x14ac:dyDescent="0.2">
      <c r="A22109" s="258"/>
      <c r="Z22109" s="258"/>
    </row>
    <row r="22110" spans="1:26" ht="12.75" customHeight="1" x14ac:dyDescent="0.2">
      <c r="A22110" s="258"/>
      <c r="Z22110" s="258"/>
    </row>
    <row r="22111" spans="1:26" ht="12.75" customHeight="1" x14ac:dyDescent="0.2">
      <c r="A22111" s="258"/>
      <c r="Z22111" s="258"/>
    </row>
    <row r="22112" spans="1:26" ht="12.75" customHeight="1" x14ac:dyDescent="0.2">
      <c r="A22112" s="258"/>
      <c r="Z22112" s="258"/>
    </row>
    <row r="22113" spans="1:26" ht="12.75" customHeight="1" x14ac:dyDescent="0.2">
      <c r="A22113" s="258"/>
      <c r="Z22113" s="258"/>
    </row>
    <row r="22114" spans="1:26" ht="12.75" customHeight="1" x14ac:dyDescent="0.2">
      <c r="A22114" s="258"/>
      <c r="Z22114" s="258"/>
    </row>
    <row r="22115" spans="1:26" ht="12.75" customHeight="1" x14ac:dyDescent="0.2">
      <c r="A22115" s="258"/>
      <c r="Z22115" s="258"/>
    </row>
    <row r="22116" spans="1:26" ht="12.75" customHeight="1" x14ac:dyDescent="0.2">
      <c r="A22116" s="258"/>
      <c r="Z22116" s="258"/>
    </row>
    <row r="22117" spans="1:26" ht="12.75" customHeight="1" x14ac:dyDescent="0.2">
      <c r="A22117" s="258"/>
      <c r="Z22117" s="258"/>
    </row>
    <row r="22118" spans="1:26" ht="12.75" customHeight="1" x14ac:dyDescent="0.2">
      <c r="A22118" s="258"/>
      <c r="Z22118" s="258"/>
    </row>
    <row r="22119" spans="1:26" ht="12.75" customHeight="1" x14ac:dyDescent="0.2">
      <c r="A22119" s="258"/>
      <c r="Z22119" s="258"/>
    </row>
    <row r="22120" spans="1:26" ht="12.75" customHeight="1" x14ac:dyDescent="0.2">
      <c r="A22120" s="258"/>
      <c r="Z22120" s="258"/>
    </row>
    <row r="22121" spans="1:26" ht="12.75" customHeight="1" x14ac:dyDescent="0.2">
      <c r="A22121" s="258"/>
      <c r="Z22121" s="258"/>
    </row>
    <row r="22122" spans="1:26" ht="12.75" customHeight="1" x14ac:dyDescent="0.2">
      <c r="A22122" s="258"/>
      <c r="Z22122" s="258"/>
    </row>
    <row r="22123" spans="1:26" ht="12.75" customHeight="1" x14ac:dyDescent="0.2">
      <c r="A22123" s="258"/>
      <c r="Z22123" s="258"/>
    </row>
    <row r="22124" spans="1:26" ht="12.75" customHeight="1" x14ac:dyDescent="0.2">
      <c r="A22124" s="258"/>
      <c r="Z22124" s="258"/>
    </row>
    <row r="22125" spans="1:26" ht="12.75" customHeight="1" x14ac:dyDescent="0.2">
      <c r="A22125" s="258"/>
      <c r="Z22125" s="258"/>
    </row>
    <row r="22126" spans="1:26" ht="12.75" customHeight="1" x14ac:dyDescent="0.2">
      <c r="A22126" s="258"/>
      <c r="Z22126" s="258"/>
    </row>
    <row r="22127" spans="1:26" ht="12.75" customHeight="1" x14ac:dyDescent="0.2">
      <c r="A22127" s="258"/>
      <c r="Z22127" s="258"/>
    </row>
    <row r="22128" spans="1:26" ht="12.75" customHeight="1" x14ac:dyDescent="0.2">
      <c r="A22128" s="258"/>
      <c r="Z22128" s="258"/>
    </row>
    <row r="22129" spans="1:26" ht="12.75" customHeight="1" x14ac:dyDescent="0.2">
      <c r="A22129" s="258"/>
      <c r="Z22129" s="258"/>
    </row>
    <row r="22130" spans="1:26" ht="12.75" customHeight="1" x14ac:dyDescent="0.2">
      <c r="A22130" s="258"/>
      <c r="Z22130" s="258"/>
    </row>
    <row r="22131" spans="1:26" ht="12.75" customHeight="1" x14ac:dyDescent="0.2">
      <c r="A22131" s="258"/>
      <c r="Z22131" s="258"/>
    </row>
    <row r="22132" spans="1:26" ht="12.75" customHeight="1" x14ac:dyDescent="0.2">
      <c r="A22132" s="258"/>
      <c r="Z22132" s="258"/>
    </row>
    <row r="22133" spans="1:26" ht="12.75" customHeight="1" x14ac:dyDescent="0.2">
      <c r="A22133" s="258"/>
      <c r="Z22133" s="258"/>
    </row>
    <row r="22134" spans="1:26" ht="12.75" customHeight="1" x14ac:dyDescent="0.2">
      <c r="A22134" s="258"/>
      <c r="Z22134" s="258"/>
    </row>
    <row r="22135" spans="1:26" ht="12.75" customHeight="1" x14ac:dyDescent="0.2">
      <c r="A22135" s="258"/>
      <c r="Z22135" s="258"/>
    </row>
    <row r="22136" spans="1:26" ht="12.75" customHeight="1" x14ac:dyDescent="0.2">
      <c r="A22136" s="258"/>
      <c r="Z22136" s="258"/>
    </row>
    <row r="22137" spans="1:26" ht="12.75" customHeight="1" x14ac:dyDescent="0.2">
      <c r="A22137" s="258"/>
      <c r="Z22137" s="258"/>
    </row>
    <row r="22138" spans="1:26" ht="12.75" customHeight="1" x14ac:dyDescent="0.2">
      <c r="A22138" s="258"/>
      <c r="Z22138" s="258"/>
    </row>
    <row r="22139" spans="1:26" ht="12.75" customHeight="1" x14ac:dyDescent="0.2">
      <c r="A22139" s="258"/>
      <c r="Z22139" s="258"/>
    </row>
    <row r="22140" spans="1:26" ht="12.75" customHeight="1" x14ac:dyDescent="0.2">
      <c r="A22140" s="258"/>
      <c r="Z22140" s="258"/>
    </row>
    <row r="22141" spans="1:26" ht="12.75" customHeight="1" x14ac:dyDescent="0.2">
      <c r="A22141" s="258"/>
      <c r="Z22141" s="258"/>
    </row>
    <row r="22142" spans="1:26" ht="12.75" customHeight="1" x14ac:dyDescent="0.2">
      <c r="A22142" s="258"/>
      <c r="Z22142" s="258"/>
    </row>
    <row r="22143" spans="1:26" ht="12.75" customHeight="1" x14ac:dyDescent="0.2">
      <c r="A22143" s="258"/>
      <c r="Z22143" s="258"/>
    </row>
    <row r="22144" spans="1:26" ht="12.75" customHeight="1" x14ac:dyDescent="0.2">
      <c r="A22144" s="258"/>
      <c r="Z22144" s="258"/>
    </row>
    <row r="22145" spans="1:26" ht="12.75" customHeight="1" x14ac:dyDescent="0.2">
      <c r="A22145" s="258"/>
      <c r="Z22145" s="258"/>
    </row>
    <row r="22146" spans="1:26" ht="12.75" customHeight="1" x14ac:dyDescent="0.2">
      <c r="A22146" s="258"/>
      <c r="Z22146" s="258"/>
    </row>
    <row r="22147" spans="1:26" ht="12.75" customHeight="1" x14ac:dyDescent="0.2">
      <c r="A22147" s="258"/>
      <c r="Z22147" s="258"/>
    </row>
    <row r="22148" spans="1:26" ht="12.75" customHeight="1" x14ac:dyDescent="0.2">
      <c r="A22148" s="258"/>
      <c r="Z22148" s="258"/>
    </row>
    <row r="22149" spans="1:26" ht="12.75" customHeight="1" x14ac:dyDescent="0.2">
      <c r="A22149" s="258"/>
      <c r="Z22149" s="258"/>
    </row>
    <row r="22150" spans="1:26" ht="12.75" customHeight="1" x14ac:dyDescent="0.2">
      <c r="A22150" s="258"/>
      <c r="Z22150" s="258"/>
    </row>
    <row r="22151" spans="1:26" ht="12.75" customHeight="1" x14ac:dyDescent="0.2">
      <c r="A22151" s="258"/>
      <c r="Z22151" s="258"/>
    </row>
    <row r="22152" spans="1:26" ht="12.75" customHeight="1" x14ac:dyDescent="0.2">
      <c r="A22152" s="258"/>
      <c r="Z22152" s="258"/>
    </row>
    <row r="22153" spans="1:26" ht="12.75" customHeight="1" x14ac:dyDescent="0.2">
      <c r="A22153" s="258"/>
      <c r="Z22153" s="258"/>
    </row>
    <row r="22154" spans="1:26" ht="12.75" customHeight="1" x14ac:dyDescent="0.2">
      <c r="A22154" s="258"/>
      <c r="Z22154" s="258"/>
    </row>
    <row r="22155" spans="1:26" ht="12.75" customHeight="1" x14ac:dyDescent="0.2">
      <c r="A22155" s="258"/>
      <c r="Z22155" s="258"/>
    </row>
    <row r="22156" spans="1:26" ht="12.75" customHeight="1" x14ac:dyDescent="0.2">
      <c r="A22156" s="258"/>
      <c r="Z22156" s="258"/>
    </row>
    <row r="22157" spans="1:26" ht="12.75" customHeight="1" x14ac:dyDescent="0.2">
      <c r="A22157" s="258"/>
      <c r="Z22157" s="258"/>
    </row>
    <row r="22158" spans="1:26" ht="12.75" customHeight="1" x14ac:dyDescent="0.2">
      <c r="A22158" s="258"/>
      <c r="Z22158" s="258"/>
    </row>
    <row r="22159" spans="1:26" ht="12.75" customHeight="1" x14ac:dyDescent="0.2">
      <c r="A22159" s="258"/>
      <c r="Z22159" s="258"/>
    </row>
    <row r="22160" spans="1:26" ht="12.75" customHeight="1" x14ac:dyDescent="0.2">
      <c r="A22160" s="258"/>
      <c r="Z22160" s="258"/>
    </row>
    <row r="22161" spans="1:26" ht="12.75" customHeight="1" x14ac:dyDescent="0.2">
      <c r="A22161" s="258"/>
      <c r="Z22161" s="258"/>
    </row>
    <row r="22162" spans="1:26" ht="12.75" customHeight="1" x14ac:dyDescent="0.2">
      <c r="A22162" s="258"/>
      <c r="Z22162" s="258"/>
    </row>
    <row r="22163" spans="1:26" ht="12.75" customHeight="1" x14ac:dyDescent="0.2">
      <c r="A22163" s="258"/>
      <c r="Z22163" s="258"/>
    </row>
    <row r="22164" spans="1:26" ht="12.75" customHeight="1" x14ac:dyDescent="0.2">
      <c r="A22164" s="258"/>
      <c r="Z22164" s="258"/>
    </row>
    <row r="22165" spans="1:26" ht="12.75" customHeight="1" x14ac:dyDescent="0.2">
      <c r="A22165" s="258"/>
      <c r="Z22165" s="258"/>
    </row>
    <row r="22166" spans="1:26" ht="12.75" customHeight="1" x14ac:dyDescent="0.2">
      <c r="A22166" s="258"/>
      <c r="Z22166" s="258"/>
    </row>
    <row r="22167" spans="1:26" ht="12.75" customHeight="1" x14ac:dyDescent="0.2">
      <c r="A22167" s="258"/>
      <c r="Z22167" s="258"/>
    </row>
    <row r="22168" spans="1:26" ht="12.75" customHeight="1" x14ac:dyDescent="0.2">
      <c r="A22168" s="258"/>
      <c r="Z22168" s="258"/>
    </row>
    <row r="22169" spans="1:26" ht="12.75" customHeight="1" x14ac:dyDescent="0.2">
      <c r="A22169" s="258"/>
      <c r="Z22169" s="258"/>
    </row>
    <row r="22170" spans="1:26" ht="12.75" customHeight="1" x14ac:dyDescent="0.2">
      <c r="A22170" s="258"/>
      <c r="Z22170" s="258"/>
    </row>
    <row r="22171" spans="1:26" ht="12.75" customHeight="1" x14ac:dyDescent="0.2">
      <c r="A22171" s="258"/>
      <c r="Z22171" s="258"/>
    </row>
    <row r="22172" spans="1:26" ht="12.75" customHeight="1" x14ac:dyDescent="0.2">
      <c r="A22172" s="258"/>
      <c r="Z22172" s="258"/>
    </row>
    <row r="22173" spans="1:26" ht="12.75" customHeight="1" x14ac:dyDescent="0.2">
      <c r="A22173" s="258"/>
      <c r="Z22173" s="258"/>
    </row>
    <row r="22174" spans="1:26" ht="12.75" customHeight="1" x14ac:dyDescent="0.2">
      <c r="A22174" s="258"/>
      <c r="Z22174" s="258"/>
    </row>
    <row r="22175" spans="1:26" ht="12.75" customHeight="1" x14ac:dyDescent="0.2">
      <c r="A22175" s="258"/>
      <c r="Z22175" s="258"/>
    </row>
    <row r="22176" spans="1:26" ht="12.75" customHeight="1" x14ac:dyDescent="0.2">
      <c r="A22176" s="258"/>
      <c r="Z22176" s="258"/>
    </row>
    <row r="22177" spans="1:26" ht="12.75" customHeight="1" x14ac:dyDescent="0.2">
      <c r="A22177" s="258"/>
      <c r="Z22177" s="258"/>
    </row>
    <row r="22178" spans="1:26" ht="12.75" customHeight="1" x14ac:dyDescent="0.2">
      <c r="A22178" s="258"/>
      <c r="Z22178" s="258"/>
    </row>
    <row r="22179" spans="1:26" ht="12.75" customHeight="1" x14ac:dyDescent="0.2">
      <c r="A22179" s="258"/>
      <c r="Z22179" s="258"/>
    </row>
    <row r="22180" spans="1:26" ht="12.75" customHeight="1" x14ac:dyDescent="0.2">
      <c r="A22180" s="258"/>
      <c r="Z22180" s="258"/>
    </row>
    <row r="22181" spans="1:26" ht="12.75" customHeight="1" x14ac:dyDescent="0.2">
      <c r="A22181" s="258"/>
      <c r="Z22181" s="258"/>
    </row>
    <row r="22182" spans="1:26" ht="12.75" customHeight="1" x14ac:dyDescent="0.2">
      <c r="A22182" s="258"/>
      <c r="Z22182" s="258"/>
    </row>
    <row r="22183" spans="1:26" ht="12.75" customHeight="1" x14ac:dyDescent="0.2">
      <c r="A22183" s="258"/>
      <c r="Z22183" s="258"/>
    </row>
    <row r="22184" spans="1:26" ht="12.75" customHeight="1" x14ac:dyDescent="0.2">
      <c r="A22184" s="258"/>
      <c r="Z22184" s="258"/>
    </row>
    <row r="22185" spans="1:26" ht="12.75" customHeight="1" x14ac:dyDescent="0.2">
      <c r="A22185" s="258"/>
      <c r="Z22185" s="258"/>
    </row>
    <row r="22186" spans="1:26" ht="12.75" customHeight="1" x14ac:dyDescent="0.2">
      <c r="A22186" s="258"/>
      <c r="Z22186" s="258"/>
    </row>
    <row r="22187" spans="1:26" ht="12.75" customHeight="1" x14ac:dyDescent="0.2">
      <c r="A22187" s="258"/>
      <c r="Z22187" s="258"/>
    </row>
    <row r="22188" spans="1:26" ht="12.75" customHeight="1" x14ac:dyDescent="0.2">
      <c r="A22188" s="258"/>
      <c r="Z22188" s="258"/>
    </row>
    <row r="22189" spans="1:26" ht="12.75" customHeight="1" x14ac:dyDescent="0.2">
      <c r="A22189" s="258"/>
      <c r="Z22189" s="258"/>
    </row>
    <row r="22190" spans="1:26" ht="12.75" customHeight="1" x14ac:dyDescent="0.2">
      <c r="A22190" s="258"/>
      <c r="Z22190" s="258"/>
    </row>
    <row r="22191" spans="1:26" ht="12.75" customHeight="1" x14ac:dyDescent="0.2">
      <c r="A22191" s="258"/>
      <c r="Z22191" s="258"/>
    </row>
    <row r="22192" spans="1:26" ht="12.75" customHeight="1" x14ac:dyDescent="0.2">
      <c r="A22192" s="258"/>
      <c r="Z22192" s="258"/>
    </row>
    <row r="22193" spans="1:26" ht="12.75" customHeight="1" x14ac:dyDescent="0.2">
      <c r="A22193" s="258"/>
      <c r="Z22193" s="258"/>
    </row>
    <row r="22194" spans="1:26" ht="12.75" customHeight="1" x14ac:dyDescent="0.2">
      <c r="A22194" s="258"/>
      <c r="Z22194" s="258"/>
    </row>
    <row r="22195" spans="1:26" ht="12.75" customHeight="1" x14ac:dyDescent="0.2">
      <c r="A22195" s="258"/>
      <c r="Z22195" s="258"/>
    </row>
    <row r="22196" spans="1:26" ht="12.75" customHeight="1" x14ac:dyDescent="0.2">
      <c r="A22196" s="258"/>
      <c r="Z22196" s="258"/>
    </row>
    <row r="22197" spans="1:26" ht="12.75" customHeight="1" x14ac:dyDescent="0.2">
      <c r="A22197" s="258"/>
      <c r="Z22197" s="258"/>
    </row>
    <row r="22198" spans="1:26" ht="12.75" customHeight="1" x14ac:dyDescent="0.2">
      <c r="A22198" s="258"/>
      <c r="Z22198" s="258"/>
    </row>
    <row r="22199" spans="1:26" ht="12.75" customHeight="1" x14ac:dyDescent="0.2">
      <c r="A22199" s="258"/>
      <c r="Z22199" s="258"/>
    </row>
    <row r="22200" spans="1:26" ht="12.75" customHeight="1" x14ac:dyDescent="0.2">
      <c r="A22200" s="258"/>
      <c r="Z22200" s="258"/>
    </row>
    <row r="22201" spans="1:26" ht="12.75" customHeight="1" x14ac:dyDescent="0.2">
      <c r="A22201" s="258"/>
      <c r="Z22201" s="258"/>
    </row>
    <row r="22202" spans="1:26" ht="12.75" customHeight="1" x14ac:dyDescent="0.2">
      <c r="A22202" s="258"/>
      <c r="Z22202" s="258"/>
    </row>
    <row r="22203" spans="1:26" ht="12.75" customHeight="1" x14ac:dyDescent="0.2">
      <c r="A22203" s="258"/>
      <c r="Z22203" s="258"/>
    </row>
    <row r="22204" spans="1:26" ht="12.75" customHeight="1" x14ac:dyDescent="0.2">
      <c r="A22204" s="258"/>
      <c r="Z22204" s="258"/>
    </row>
    <row r="22205" spans="1:26" ht="12.75" customHeight="1" x14ac:dyDescent="0.2">
      <c r="A22205" s="258"/>
      <c r="Z22205" s="258"/>
    </row>
    <row r="22206" spans="1:26" ht="12.75" customHeight="1" x14ac:dyDescent="0.2">
      <c r="A22206" s="258"/>
      <c r="Z22206" s="258"/>
    </row>
    <row r="22207" spans="1:26" ht="12.75" customHeight="1" x14ac:dyDescent="0.2">
      <c r="A22207" s="258"/>
      <c r="Z22207" s="258"/>
    </row>
    <row r="22208" spans="1:26" ht="12.75" customHeight="1" x14ac:dyDescent="0.2">
      <c r="A22208" s="258"/>
      <c r="Z22208" s="258"/>
    </row>
    <row r="22209" spans="1:26" ht="12.75" customHeight="1" x14ac:dyDescent="0.2">
      <c r="A22209" s="258"/>
      <c r="Z22209" s="258"/>
    </row>
    <row r="22210" spans="1:26" ht="12.75" customHeight="1" x14ac:dyDescent="0.2">
      <c r="A22210" s="258"/>
      <c r="Z22210" s="258"/>
    </row>
    <row r="22211" spans="1:26" ht="12.75" customHeight="1" x14ac:dyDescent="0.2">
      <c r="A22211" s="258"/>
      <c r="Z22211" s="258"/>
    </row>
    <row r="22212" spans="1:26" ht="12.75" customHeight="1" x14ac:dyDescent="0.2">
      <c r="A22212" s="258"/>
      <c r="Z22212" s="258"/>
    </row>
    <row r="22213" spans="1:26" ht="12.75" customHeight="1" x14ac:dyDescent="0.2">
      <c r="A22213" s="258"/>
      <c r="Z22213" s="258"/>
    </row>
    <row r="22214" spans="1:26" ht="12.75" customHeight="1" x14ac:dyDescent="0.2">
      <c r="A22214" s="258"/>
      <c r="Z22214" s="258"/>
    </row>
    <row r="22215" spans="1:26" ht="12.75" customHeight="1" x14ac:dyDescent="0.2">
      <c r="A22215" s="258"/>
      <c r="Z22215" s="258"/>
    </row>
    <row r="22216" spans="1:26" ht="12.75" customHeight="1" x14ac:dyDescent="0.2">
      <c r="A22216" s="258"/>
      <c r="Z22216" s="258"/>
    </row>
    <row r="22217" spans="1:26" ht="12.75" customHeight="1" x14ac:dyDescent="0.2">
      <c r="A22217" s="258"/>
      <c r="Z22217" s="258"/>
    </row>
    <row r="22218" spans="1:26" ht="12.75" customHeight="1" x14ac:dyDescent="0.2">
      <c r="A22218" s="258"/>
      <c r="Z22218" s="258"/>
    </row>
    <row r="22219" spans="1:26" ht="12.75" customHeight="1" x14ac:dyDescent="0.2">
      <c r="A22219" s="258"/>
      <c r="Z22219" s="258"/>
    </row>
    <row r="22220" spans="1:26" ht="12.75" customHeight="1" x14ac:dyDescent="0.2">
      <c r="A22220" s="258"/>
      <c r="Z22220" s="258"/>
    </row>
    <row r="22221" spans="1:26" ht="12.75" customHeight="1" x14ac:dyDescent="0.2">
      <c r="A22221" s="258"/>
      <c r="Z22221" s="258"/>
    </row>
    <row r="22222" spans="1:26" ht="12.75" customHeight="1" x14ac:dyDescent="0.2">
      <c r="A22222" s="258"/>
      <c r="Z22222" s="258"/>
    </row>
    <row r="22223" spans="1:26" ht="12.75" customHeight="1" x14ac:dyDescent="0.2">
      <c r="A22223" s="258"/>
      <c r="Z22223" s="258"/>
    </row>
    <row r="22224" spans="1:26" ht="12.75" customHeight="1" x14ac:dyDescent="0.2">
      <c r="A22224" s="258"/>
      <c r="Z22224" s="258"/>
    </row>
    <row r="22225" spans="1:26" ht="12.75" customHeight="1" x14ac:dyDescent="0.2">
      <c r="A22225" s="258"/>
      <c r="Z22225" s="258"/>
    </row>
    <row r="22226" spans="1:26" ht="12.75" customHeight="1" x14ac:dyDescent="0.2">
      <c r="A22226" s="258"/>
      <c r="Z22226" s="258"/>
    </row>
    <row r="22227" spans="1:26" ht="12.75" customHeight="1" x14ac:dyDescent="0.2">
      <c r="A22227" s="258"/>
      <c r="Z22227" s="258"/>
    </row>
    <row r="22228" spans="1:26" ht="12.75" customHeight="1" x14ac:dyDescent="0.2">
      <c r="A22228" s="258"/>
      <c r="Z22228" s="258"/>
    </row>
    <row r="22229" spans="1:26" ht="12.75" customHeight="1" x14ac:dyDescent="0.2">
      <c r="A22229" s="258"/>
      <c r="Z22229" s="258"/>
    </row>
    <row r="22230" spans="1:26" ht="12.75" customHeight="1" x14ac:dyDescent="0.2">
      <c r="A22230" s="258"/>
      <c r="Z22230" s="258"/>
    </row>
    <row r="22231" spans="1:26" ht="12.75" customHeight="1" x14ac:dyDescent="0.2">
      <c r="A22231" s="258"/>
      <c r="Z22231" s="258"/>
    </row>
    <row r="22232" spans="1:26" ht="12.75" customHeight="1" x14ac:dyDescent="0.2">
      <c r="A22232" s="258"/>
      <c r="Z22232" s="258"/>
    </row>
    <row r="22233" spans="1:26" ht="12.75" customHeight="1" x14ac:dyDescent="0.2">
      <c r="A22233" s="258"/>
      <c r="Z22233" s="258"/>
    </row>
    <row r="22234" spans="1:26" ht="12.75" customHeight="1" x14ac:dyDescent="0.2">
      <c r="A22234" s="258"/>
      <c r="Z22234" s="258"/>
    </row>
    <row r="22235" spans="1:26" ht="12.75" customHeight="1" x14ac:dyDescent="0.2">
      <c r="A22235" s="258"/>
      <c r="Z22235" s="258"/>
    </row>
    <row r="22236" spans="1:26" ht="12.75" customHeight="1" x14ac:dyDescent="0.2">
      <c r="A22236" s="258"/>
      <c r="Z22236" s="258"/>
    </row>
    <row r="22237" spans="1:26" ht="12.75" customHeight="1" x14ac:dyDescent="0.2">
      <c r="A22237" s="258"/>
      <c r="Z22237" s="258"/>
    </row>
    <row r="22238" spans="1:26" ht="12.75" customHeight="1" x14ac:dyDescent="0.2">
      <c r="A22238" s="258"/>
      <c r="Z22238" s="258"/>
    </row>
    <row r="22239" spans="1:26" ht="12.75" customHeight="1" x14ac:dyDescent="0.2">
      <c r="A22239" s="258"/>
      <c r="Z22239" s="258"/>
    </row>
    <row r="22240" spans="1:26" ht="12.75" customHeight="1" x14ac:dyDescent="0.2">
      <c r="A22240" s="258"/>
      <c r="Z22240" s="258"/>
    </row>
    <row r="22241" spans="1:26" ht="12.75" customHeight="1" x14ac:dyDescent="0.2">
      <c r="A22241" s="258"/>
      <c r="Z22241" s="258"/>
    </row>
    <row r="22242" spans="1:26" ht="12.75" customHeight="1" x14ac:dyDescent="0.2">
      <c r="A22242" s="258"/>
      <c r="Z22242" s="258"/>
    </row>
    <row r="22243" spans="1:26" ht="12.75" customHeight="1" x14ac:dyDescent="0.2">
      <c r="A22243" s="258"/>
      <c r="Z22243" s="258"/>
    </row>
    <row r="22244" spans="1:26" ht="12.75" customHeight="1" x14ac:dyDescent="0.2">
      <c r="A22244" s="258"/>
      <c r="Z22244" s="258"/>
    </row>
    <row r="22245" spans="1:26" ht="12.75" customHeight="1" x14ac:dyDescent="0.2">
      <c r="A22245" s="258"/>
      <c r="Z22245" s="258"/>
    </row>
    <row r="22246" spans="1:26" ht="12.75" customHeight="1" x14ac:dyDescent="0.2">
      <c r="A22246" s="258"/>
      <c r="Z22246" s="258"/>
    </row>
    <row r="22247" spans="1:26" ht="12.75" customHeight="1" x14ac:dyDescent="0.2">
      <c r="A22247" s="258"/>
      <c r="Z22247" s="258"/>
    </row>
    <row r="22248" spans="1:26" ht="12.75" customHeight="1" x14ac:dyDescent="0.2">
      <c r="A22248" s="258"/>
      <c r="Z22248" s="258"/>
    </row>
    <row r="22249" spans="1:26" ht="12.75" customHeight="1" x14ac:dyDescent="0.2">
      <c r="A22249" s="258"/>
      <c r="Z22249" s="258"/>
    </row>
    <row r="22250" spans="1:26" ht="12.75" customHeight="1" x14ac:dyDescent="0.2">
      <c r="A22250" s="258"/>
      <c r="Z22250" s="258"/>
    </row>
    <row r="22251" spans="1:26" ht="12.75" customHeight="1" x14ac:dyDescent="0.2">
      <c r="A22251" s="258"/>
      <c r="Z22251" s="258"/>
    </row>
    <row r="22252" spans="1:26" ht="12.75" customHeight="1" x14ac:dyDescent="0.2">
      <c r="A22252" s="258"/>
      <c r="Z22252" s="258"/>
    </row>
    <row r="22253" spans="1:26" ht="12.75" customHeight="1" x14ac:dyDescent="0.2">
      <c r="A22253" s="258"/>
      <c r="Z22253" s="258"/>
    </row>
    <row r="22254" spans="1:26" ht="12.75" customHeight="1" x14ac:dyDescent="0.2">
      <c r="A22254" s="258"/>
      <c r="Z22254" s="258"/>
    </row>
    <row r="22255" spans="1:26" ht="12.75" customHeight="1" x14ac:dyDescent="0.2">
      <c r="A22255" s="258"/>
      <c r="Z22255" s="258"/>
    </row>
    <row r="22256" spans="1:26" ht="12.75" customHeight="1" x14ac:dyDescent="0.2">
      <c r="A22256" s="258"/>
      <c r="Z22256" s="258"/>
    </row>
    <row r="22257" spans="1:26" ht="12.75" customHeight="1" x14ac:dyDescent="0.2">
      <c r="A22257" s="258"/>
      <c r="Z22257" s="258"/>
    </row>
    <row r="22258" spans="1:26" ht="12.75" customHeight="1" x14ac:dyDescent="0.2">
      <c r="A22258" s="258"/>
      <c r="Z22258" s="258"/>
    </row>
    <row r="22259" spans="1:26" ht="12.75" customHeight="1" x14ac:dyDescent="0.2">
      <c r="A22259" s="258"/>
      <c r="Z22259" s="258"/>
    </row>
    <row r="22260" spans="1:26" ht="12.75" customHeight="1" x14ac:dyDescent="0.2">
      <c r="A22260" s="258"/>
      <c r="Z22260" s="258"/>
    </row>
    <row r="22261" spans="1:26" ht="12.75" customHeight="1" x14ac:dyDescent="0.2">
      <c r="A22261" s="258"/>
      <c r="Z22261" s="258"/>
    </row>
    <row r="22262" spans="1:26" ht="12.75" customHeight="1" x14ac:dyDescent="0.2">
      <c r="A22262" s="258"/>
      <c r="Z22262" s="258"/>
    </row>
    <row r="22263" spans="1:26" ht="12.75" customHeight="1" x14ac:dyDescent="0.2">
      <c r="A22263" s="258"/>
      <c r="Z22263" s="258"/>
    </row>
    <row r="22264" spans="1:26" ht="12.75" customHeight="1" x14ac:dyDescent="0.2">
      <c r="A22264" s="258"/>
      <c r="Z22264" s="258"/>
    </row>
    <row r="22265" spans="1:26" ht="12.75" customHeight="1" x14ac:dyDescent="0.2">
      <c r="A22265" s="258"/>
      <c r="Z22265" s="258"/>
    </row>
    <row r="22266" spans="1:26" ht="12.75" customHeight="1" x14ac:dyDescent="0.2">
      <c r="A22266" s="258"/>
      <c r="Z22266" s="258"/>
    </row>
    <row r="22267" spans="1:26" ht="12.75" customHeight="1" x14ac:dyDescent="0.2">
      <c r="A22267" s="258"/>
      <c r="Z22267" s="258"/>
    </row>
    <row r="22268" spans="1:26" ht="12.75" customHeight="1" x14ac:dyDescent="0.2">
      <c r="A22268" s="258"/>
      <c r="Z22268" s="258"/>
    </row>
    <row r="22269" spans="1:26" ht="12.75" customHeight="1" x14ac:dyDescent="0.2">
      <c r="A22269" s="258"/>
      <c r="Z22269" s="258"/>
    </row>
    <row r="22270" spans="1:26" ht="12.75" customHeight="1" x14ac:dyDescent="0.2">
      <c r="A22270" s="258"/>
      <c r="Z22270" s="258"/>
    </row>
    <row r="22271" spans="1:26" ht="12.75" customHeight="1" x14ac:dyDescent="0.2">
      <c r="A22271" s="258"/>
      <c r="Z22271" s="258"/>
    </row>
    <row r="22272" spans="1:26" ht="12.75" customHeight="1" x14ac:dyDescent="0.2">
      <c r="A22272" s="258"/>
      <c r="Z22272" s="258"/>
    </row>
    <row r="22273" spans="1:26" ht="12.75" customHeight="1" x14ac:dyDescent="0.2">
      <c r="A22273" s="258"/>
      <c r="Z22273" s="258"/>
    </row>
    <row r="22274" spans="1:26" ht="12.75" customHeight="1" x14ac:dyDescent="0.2">
      <c r="A22274" s="258"/>
      <c r="Z22274" s="258"/>
    </row>
    <row r="22275" spans="1:26" ht="12.75" customHeight="1" x14ac:dyDescent="0.2">
      <c r="A22275" s="258"/>
      <c r="Z22275" s="258"/>
    </row>
    <row r="22276" spans="1:26" ht="12.75" customHeight="1" x14ac:dyDescent="0.2">
      <c r="A22276" s="258"/>
      <c r="Z22276" s="258"/>
    </row>
    <row r="22277" spans="1:26" ht="12.75" customHeight="1" x14ac:dyDescent="0.2">
      <c r="A22277" s="258"/>
      <c r="Z22277" s="258"/>
    </row>
    <row r="22278" spans="1:26" ht="12.75" customHeight="1" x14ac:dyDescent="0.2">
      <c r="A22278" s="258"/>
      <c r="Z22278" s="258"/>
    </row>
    <row r="22279" spans="1:26" ht="12.75" customHeight="1" x14ac:dyDescent="0.2">
      <c r="A22279" s="258"/>
      <c r="Z22279" s="258"/>
    </row>
    <row r="22280" spans="1:26" ht="12.75" customHeight="1" x14ac:dyDescent="0.2">
      <c r="A22280" s="258"/>
      <c r="Z22280" s="258"/>
    </row>
    <row r="22281" spans="1:26" ht="12.75" customHeight="1" x14ac:dyDescent="0.2">
      <c r="A22281" s="258"/>
      <c r="Z22281" s="258"/>
    </row>
    <row r="22282" spans="1:26" ht="12.75" customHeight="1" x14ac:dyDescent="0.2">
      <c r="A22282" s="258"/>
      <c r="Z22282" s="258"/>
    </row>
    <row r="22283" spans="1:26" ht="12.75" customHeight="1" x14ac:dyDescent="0.2">
      <c r="A22283" s="258"/>
      <c r="Z22283" s="258"/>
    </row>
    <row r="22284" spans="1:26" ht="12.75" customHeight="1" x14ac:dyDescent="0.2">
      <c r="A22284" s="258"/>
      <c r="Z22284" s="258"/>
    </row>
    <row r="22285" spans="1:26" ht="12.75" customHeight="1" x14ac:dyDescent="0.2">
      <c r="A22285" s="258"/>
      <c r="Z22285" s="258"/>
    </row>
    <row r="22286" spans="1:26" ht="12.75" customHeight="1" x14ac:dyDescent="0.2">
      <c r="A22286" s="258"/>
      <c r="Z22286" s="258"/>
    </row>
    <row r="22287" spans="1:26" ht="12.75" customHeight="1" x14ac:dyDescent="0.2">
      <c r="A22287" s="258"/>
      <c r="Z22287" s="258"/>
    </row>
    <row r="22288" spans="1:26" ht="12.75" customHeight="1" x14ac:dyDescent="0.2">
      <c r="A22288" s="258"/>
      <c r="Z22288" s="258"/>
    </row>
    <row r="22289" spans="1:26" ht="12.75" customHeight="1" x14ac:dyDescent="0.2">
      <c r="A22289" s="258"/>
      <c r="Z22289" s="258"/>
    </row>
    <row r="22290" spans="1:26" ht="12.75" customHeight="1" x14ac:dyDescent="0.2">
      <c r="A22290" s="258"/>
      <c r="Z22290" s="258"/>
    </row>
    <row r="22291" spans="1:26" ht="12.75" customHeight="1" x14ac:dyDescent="0.2">
      <c r="A22291" s="258"/>
      <c r="Z22291" s="258"/>
    </row>
    <row r="22292" spans="1:26" ht="12.75" customHeight="1" x14ac:dyDescent="0.2">
      <c r="A22292" s="258"/>
      <c r="Z22292" s="258"/>
    </row>
    <row r="22293" spans="1:26" ht="12.75" customHeight="1" x14ac:dyDescent="0.2">
      <c r="A22293" s="258"/>
      <c r="Z22293" s="258"/>
    </row>
    <row r="22294" spans="1:26" ht="12.75" customHeight="1" x14ac:dyDescent="0.2">
      <c r="A22294" s="258"/>
      <c r="Z22294" s="258"/>
    </row>
    <row r="22295" spans="1:26" ht="12.75" customHeight="1" x14ac:dyDescent="0.2">
      <c r="A22295" s="258"/>
      <c r="Z22295" s="258"/>
    </row>
    <row r="22296" spans="1:26" ht="12.75" customHeight="1" x14ac:dyDescent="0.2">
      <c r="A22296" s="258"/>
      <c r="Z22296" s="258"/>
    </row>
    <row r="22297" spans="1:26" ht="12.75" customHeight="1" x14ac:dyDescent="0.2">
      <c r="A22297" s="258"/>
      <c r="Z22297" s="258"/>
    </row>
    <row r="22298" spans="1:26" ht="12.75" customHeight="1" x14ac:dyDescent="0.2">
      <c r="A22298" s="258"/>
      <c r="Z22298" s="258"/>
    </row>
    <row r="22299" spans="1:26" ht="12.75" customHeight="1" x14ac:dyDescent="0.2">
      <c r="A22299" s="258"/>
      <c r="Z22299" s="258"/>
    </row>
    <row r="22300" spans="1:26" ht="12.75" customHeight="1" x14ac:dyDescent="0.2">
      <c r="A22300" s="258"/>
      <c r="Z22300" s="258"/>
    </row>
    <row r="22301" spans="1:26" ht="12.75" customHeight="1" x14ac:dyDescent="0.2">
      <c r="A22301" s="258"/>
      <c r="Z22301" s="258"/>
    </row>
    <row r="22302" spans="1:26" ht="12.75" customHeight="1" x14ac:dyDescent="0.2">
      <c r="A22302" s="258"/>
      <c r="Z22302" s="258"/>
    </row>
    <row r="22303" spans="1:26" ht="12.75" customHeight="1" x14ac:dyDescent="0.2">
      <c r="A22303" s="258"/>
      <c r="Z22303" s="258"/>
    </row>
    <row r="22304" spans="1:26" ht="12.75" customHeight="1" x14ac:dyDescent="0.2">
      <c r="A22304" s="258"/>
      <c r="Z22304" s="258"/>
    </row>
    <row r="22305" spans="1:26" ht="12.75" customHeight="1" x14ac:dyDescent="0.2">
      <c r="A22305" s="258"/>
      <c r="Z22305" s="258"/>
    </row>
    <row r="22306" spans="1:26" ht="12.75" customHeight="1" x14ac:dyDescent="0.2">
      <c r="A22306" s="258"/>
      <c r="Z22306" s="258"/>
    </row>
    <row r="22307" spans="1:26" ht="12.75" customHeight="1" x14ac:dyDescent="0.2">
      <c r="A22307" s="258"/>
      <c r="Z22307" s="258"/>
    </row>
    <row r="22308" spans="1:26" ht="12.75" customHeight="1" x14ac:dyDescent="0.2">
      <c r="A22308" s="258"/>
      <c r="Z22308" s="258"/>
    </row>
    <row r="22309" spans="1:26" ht="12.75" customHeight="1" x14ac:dyDescent="0.2">
      <c r="A22309" s="258"/>
      <c r="Z22309" s="258"/>
    </row>
    <row r="22310" spans="1:26" ht="12.75" customHeight="1" x14ac:dyDescent="0.2">
      <c r="A22310" s="258"/>
      <c r="Z22310" s="258"/>
    </row>
    <row r="22311" spans="1:26" ht="12.75" customHeight="1" x14ac:dyDescent="0.2">
      <c r="A22311" s="258"/>
      <c r="Z22311" s="258"/>
    </row>
    <row r="22312" spans="1:26" ht="12.75" customHeight="1" x14ac:dyDescent="0.2">
      <c r="A22312" s="258"/>
      <c r="Z22312" s="258"/>
    </row>
    <row r="22313" spans="1:26" ht="12.75" customHeight="1" x14ac:dyDescent="0.2">
      <c r="A22313" s="258"/>
      <c r="Z22313" s="258"/>
    </row>
    <row r="22314" spans="1:26" ht="12.75" customHeight="1" x14ac:dyDescent="0.2">
      <c r="A22314" s="258"/>
      <c r="Z22314" s="258"/>
    </row>
    <row r="22315" spans="1:26" ht="12.75" customHeight="1" x14ac:dyDescent="0.2">
      <c r="A22315" s="258"/>
      <c r="Z22315" s="258"/>
    </row>
    <row r="22316" spans="1:26" ht="12.75" customHeight="1" x14ac:dyDescent="0.2">
      <c r="A22316" s="258"/>
      <c r="Z22316" s="258"/>
    </row>
    <row r="22317" spans="1:26" ht="12.75" customHeight="1" x14ac:dyDescent="0.2">
      <c r="A22317" s="258"/>
      <c r="Z22317" s="258"/>
    </row>
    <row r="22318" spans="1:26" ht="12.75" customHeight="1" x14ac:dyDescent="0.2">
      <c r="A22318" s="258"/>
      <c r="Z22318" s="258"/>
    </row>
    <row r="22319" spans="1:26" ht="12.75" customHeight="1" x14ac:dyDescent="0.2">
      <c r="A22319" s="258"/>
      <c r="Z22319" s="258"/>
    </row>
    <row r="22320" spans="1:26" ht="12.75" customHeight="1" x14ac:dyDescent="0.2">
      <c r="A22320" s="258"/>
      <c r="Z22320" s="258"/>
    </row>
    <row r="22321" spans="1:26" ht="12.75" customHeight="1" x14ac:dyDescent="0.2">
      <c r="A22321" s="258"/>
      <c r="Z22321" s="258"/>
    </row>
    <row r="22322" spans="1:26" ht="12.75" customHeight="1" x14ac:dyDescent="0.2">
      <c r="A22322" s="258"/>
      <c r="Z22322" s="258"/>
    </row>
    <row r="22323" spans="1:26" ht="12.75" customHeight="1" x14ac:dyDescent="0.2">
      <c r="A22323" s="258"/>
      <c r="Z22323" s="258"/>
    </row>
    <row r="22324" spans="1:26" ht="12.75" customHeight="1" x14ac:dyDescent="0.2">
      <c r="A22324" s="258"/>
      <c r="Z22324" s="258"/>
    </row>
    <row r="22325" spans="1:26" ht="12.75" customHeight="1" x14ac:dyDescent="0.2">
      <c r="A22325" s="258"/>
      <c r="Z22325" s="258"/>
    </row>
    <row r="22326" spans="1:26" ht="12.75" customHeight="1" x14ac:dyDescent="0.2">
      <c r="A22326" s="258"/>
      <c r="Z22326" s="258"/>
    </row>
    <row r="22327" spans="1:26" ht="12.75" customHeight="1" x14ac:dyDescent="0.2">
      <c r="A22327" s="258"/>
      <c r="Z22327" s="258"/>
    </row>
    <row r="22328" spans="1:26" ht="12.75" customHeight="1" x14ac:dyDescent="0.2">
      <c r="A22328" s="258"/>
      <c r="Z22328" s="258"/>
    </row>
    <row r="22329" spans="1:26" ht="12.75" customHeight="1" x14ac:dyDescent="0.2">
      <c r="A22329" s="258"/>
      <c r="Z22329" s="258"/>
    </row>
    <row r="22330" spans="1:26" ht="12.75" customHeight="1" x14ac:dyDescent="0.2">
      <c r="A22330" s="258"/>
      <c r="Z22330" s="258"/>
    </row>
    <row r="22331" spans="1:26" ht="12.75" customHeight="1" x14ac:dyDescent="0.2">
      <c r="A22331" s="258"/>
      <c r="Z22331" s="258"/>
    </row>
    <row r="22332" spans="1:26" ht="12.75" customHeight="1" x14ac:dyDescent="0.2">
      <c r="A22332" s="258"/>
      <c r="Z22332" s="258"/>
    </row>
    <row r="22333" spans="1:26" ht="12.75" customHeight="1" x14ac:dyDescent="0.2">
      <c r="A22333" s="258"/>
      <c r="Z22333" s="258"/>
    </row>
    <row r="22334" spans="1:26" ht="12.75" customHeight="1" x14ac:dyDescent="0.2">
      <c r="A22334" s="258"/>
      <c r="Z22334" s="258"/>
    </row>
    <row r="22335" spans="1:26" ht="12.75" customHeight="1" x14ac:dyDescent="0.2">
      <c r="A22335" s="258"/>
      <c r="Z22335" s="258"/>
    </row>
    <row r="22336" spans="1:26" ht="12.75" customHeight="1" x14ac:dyDescent="0.2">
      <c r="A22336" s="258"/>
      <c r="Z22336" s="258"/>
    </row>
    <row r="22337" spans="1:26" ht="12.75" customHeight="1" x14ac:dyDescent="0.2">
      <c r="A22337" s="258"/>
      <c r="Z22337" s="258"/>
    </row>
    <row r="22338" spans="1:26" ht="12.75" customHeight="1" x14ac:dyDescent="0.2">
      <c r="A22338" s="258"/>
      <c r="Z22338" s="258"/>
    </row>
    <row r="22339" spans="1:26" ht="12.75" customHeight="1" x14ac:dyDescent="0.2">
      <c r="A22339" s="258"/>
      <c r="Z22339" s="258"/>
    </row>
    <row r="22340" spans="1:26" ht="12.75" customHeight="1" x14ac:dyDescent="0.2">
      <c r="A22340" s="258"/>
      <c r="Z22340" s="258"/>
    </row>
    <row r="22341" spans="1:26" ht="12.75" customHeight="1" x14ac:dyDescent="0.2">
      <c r="A22341" s="258"/>
      <c r="Z22341" s="258"/>
    </row>
    <row r="22342" spans="1:26" ht="12.75" customHeight="1" x14ac:dyDescent="0.2">
      <c r="A22342" s="258"/>
      <c r="Z22342" s="258"/>
    </row>
    <row r="22343" spans="1:26" ht="12.75" customHeight="1" x14ac:dyDescent="0.2">
      <c r="A22343" s="258"/>
      <c r="Z22343" s="258"/>
    </row>
    <row r="22344" spans="1:26" ht="12.75" customHeight="1" x14ac:dyDescent="0.2">
      <c r="A22344" s="258"/>
      <c r="Z22344" s="258"/>
    </row>
    <row r="22345" spans="1:26" ht="12.75" customHeight="1" x14ac:dyDescent="0.2">
      <c r="A22345" s="258"/>
      <c r="Z22345" s="258"/>
    </row>
    <row r="22346" spans="1:26" ht="12.75" customHeight="1" x14ac:dyDescent="0.2">
      <c r="A22346" s="258"/>
      <c r="Z22346" s="258"/>
    </row>
    <row r="22347" spans="1:26" ht="12.75" customHeight="1" x14ac:dyDescent="0.2">
      <c r="A22347" s="258"/>
      <c r="Z22347" s="258"/>
    </row>
    <row r="22348" spans="1:26" ht="12.75" customHeight="1" x14ac:dyDescent="0.2">
      <c r="A22348" s="258"/>
      <c r="Z22348" s="258"/>
    </row>
    <row r="22349" spans="1:26" ht="12.75" customHeight="1" x14ac:dyDescent="0.2">
      <c r="A22349" s="258"/>
      <c r="Z22349" s="258"/>
    </row>
    <row r="22350" spans="1:26" ht="12.75" customHeight="1" x14ac:dyDescent="0.2">
      <c r="A22350" s="258"/>
      <c r="Z22350" s="258"/>
    </row>
    <row r="22351" spans="1:26" ht="12.75" customHeight="1" x14ac:dyDescent="0.2">
      <c r="A22351" s="258"/>
      <c r="Z22351" s="258"/>
    </row>
    <row r="22352" spans="1:26" ht="12.75" customHeight="1" x14ac:dyDescent="0.2">
      <c r="A22352" s="258"/>
      <c r="Z22352" s="258"/>
    </row>
    <row r="22353" spans="1:26" ht="12.75" customHeight="1" x14ac:dyDescent="0.2">
      <c r="A22353" s="258"/>
      <c r="Z22353" s="258"/>
    </row>
    <row r="22354" spans="1:26" ht="12.75" customHeight="1" x14ac:dyDescent="0.2">
      <c r="A22354" s="258"/>
      <c r="Z22354" s="258"/>
    </row>
    <row r="22355" spans="1:26" ht="12.75" customHeight="1" x14ac:dyDescent="0.2">
      <c r="A22355" s="258"/>
      <c r="Z22355" s="258"/>
    </row>
    <row r="22356" spans="1:26" ht="12.75" customHeight="1" x14ac:dyDescent="0.2">
      <c r="A22356" s="258"/>
      <c r="Z22356" s="258"/>
    </row>
    <row r="22357" spans="1:26" ht="12.75" customHeight="1" x14ac:dyDescent="0.2">
      <c r="A22357" s="258"/>
      <c r="Z22357" s="258"/>
    </row>
    <row r="22358" spans="1:26" ht="12.75" customHeight="1" x14ac:dyDescent="0.2">
      <c r="A22358" s="258"/>
      <c r="Z22358" s="258"/>
    </row>
    <row r="22359" spans="1:26" ht="12.75" customHeight="1" x14ac:dyDescent="0.2">
      <c r="A22359" s="258"/>
      <c r="Z22359" s="258"/>
    </row>
    <row r="22360" spans="1:26" ht="12.75" customHeight="1" x14ac:dyDescent="0.2">
      <c r="A22360" s="258"/>
      <c r="Z22360" s="258"/>
    </row>
    <row r="22361" spans="1:26" ht="12.75" customHeight="1" x14ac:dyDescent="0.2">
      <c r="A22361" s="258"/>
      <c r="Z22361" s="258"/>
    </row>
    <row r="22362" spans="1:26" ht="12.75" customHeight="1" x14ac:dyDescent="0.2">
      <c r="A22362" s="258"/>
      <c r="Z22362" s="258"/>
    </row>
    <row r="22363" spans="1:26" ht="12.75" customHeight="1" x14ac:dyDescent="0.2">
      <c r="A22363" s="258"/>
      <c r="Z22363" s="258"/>
    </row>
    <row r="22364" spans="1:26" ht="12.75" customHeight="1" x14ac:dyDescent="0.2">
      <c r="A22364" s="258"/>
      <c r="Z22364" s="258"/>
    </row>
    <row r="22365" spans="1:26" ht="12.75" customHeight="1" x14ac:dyDescent="0.2">
      <c r="A22365" s="258"/>
      <c r="Z22365" s="258"/>
    </row>
    <row r="22366" spans="1:26" ht="12.75" customHeight="1" x14ac:dyDescent="0.2">
      <c r="A22366" s="258"/>
      <c r="Z22366" s="258"/>
    </row>
    <row r="22367" spans="1:26" ht="12.75" customHeight="1" x14ac:dyDescent="0.2">
      <c r="A22367" s="258"/>
      <c r="Z22367" s="258"/>
    </row>
    <row r="22368" spans="1:26" ht="12.75" customHeight="1" x14ac:dyDescent="0.2">
      <c r="A22368" s="258"/>
      <c r="Z22368" s="258"/>
    </row>
    <row r="22369" spans="1:26" ht="12.75" customHeight="1" x14ac:dyDescent="0.2">
      <c r="A22369" s="258"/>
      <c r="Z22369" s="258"/>
    </row>
    <row r="22370" spans="1:26" ht="12.75" customHeight="1" x14ac:dyDescent="0.2">
      <c r="A22370" s="258"/>
      <c r="Z22370" s="258"/>
    </row>
    <row r="22371" spans="1:26" ht="12.75" customHeight="1" x14ac:dyDescent="0.2">
      <c r="A22371" s="258"/>
      <c r="Z22371" s="258"/>
    </row>
    <row r="22372" spans="1:26" ht="12.75" customHeight="1" x14ac:dyDescent="0.2">
      <c r="A22372" s="258"/>
      <c r="Z22372" s="258"/>
    </row>
    <row r="22373" spans="1:26" ht="12.75" customHeight="1" x14ac:dyDescent="0.2">
      <c r="A22373" s="258"/>
      <c r="Z22373" s="258"/>
    </row>
    <row r="22374" spans="1:26" ht="12.75" customHeight="1" x14ac:dyDescent="0.2">
      <c r="A22374" s="258"/>
      <c r="Z22374" s="258"/>
    </row>
    <row r="22375" spans="1:26" ht="12.75" customHeight="1" x14ac:dyDescent="0.2">
      <c r="A22375" s="258"/>
      <c r="Z22375" s="258"/>
    </row>
    <row r="22376" spans="1:26" ht="12.75" customHeight="1" x14ac:dyDescent="0.2">
      <c r="A22376" s="258"/>
      <c r="Z22376" s="258"/>
    </row>
    <row r="22377" spans="1:26" ht="12.75" customHeight="1" x14ac:dyDescent="0.2">
      <c r="A22377" s="258"/>
      <c r="Z22377" s="258"/>
    </row>
    <row r="22378" spans="1:26" ht="12.75" customHeight="1" x14ac:dyDescent="0.2">
      <c r="A22378" s="258"/>
      <c r="Z22378" s="258"/>
    </row>
    <row r="22379" spans="1:26" ht="12.75" customHeight="1" x14ac:dyDescent="0.2">
      <c r="A22379" s="258"/>
      <c r="Z22379" s="258"/>
    </row>
    <row r="22380" spans="1:26" ht="12.75" customHeight="1" x14ac:dyDescent="0.2">
      <c r="A22380" s="258"/>
      <c r="Z22380" s="258"/>
    </row>
    <row r="22381" spans="1:26" ht="12.75" customHeight="1" x14ac:dyDescent="0.2">
      <c r="A22381" s="258"/>
      <c r="Z22381" s="258"/>
    </row>
    <row r="22382" spans="1:26" ht="12.75" customHeight="1" x14ac:dyDescent="0.2">
      <c r="A22382" s="258"/>
      <c r="Z22382" s="258"/>
    </row>
    <row r="22383" spans="1:26" ht="12.75" customHeight="1" x14ac:dyDescent="0.2">
      <c r="A22383" s="258"/>
      <c r="Z22383" s="258"/>
    </row>
    <row r="22384" spans="1:26" ht="12.75" customHeight="1" x14ac:dyDescent="0.2">
      <c r="A22384" s="258"/>
      <c r="Z22384" s="258"/>
    </row>
    <row r="22385" spans="1:26" ht="12.75" customHeight="1" x14ac:dyDescent="0.2">
      <c r="A22385" s="258"/>
      <c r="Z22385" s="258"/>
    </row>
    <row r="22386" spans="1:26" ht="12.75" customHeight="1" x14ac:dyDescent="0.2">
      <c r="A22386" s="258"/>
      <c r="Z22386" s="258"/>
    </row>
    <row r="22387" spans="1:26" ht="12.75" customHeight="1" x14ac:dyDescent="0.2">
      <c r="A22387" s="258"/>
      <c r="Z22387" s="258"/>
    </row>
    <row r="22388" spans="1:26" ht="12.75" customHeight="1" x14ac:dyDescent="0.2">
      <c r="A22388" s="258"/>
      <c r="Z22388" s="258"/>
    </row>
    <row r="22389" spans="1:26" ht="12.75" customHeight="1" x14ac:dyDescent="0.2">
      <c r="A22389" s="258"/>
      <c r="Z22389" s="258"/>
    </row>
    <row r="22390" spans="1:26" ht="12.75" customHeight="1" x14ac:dyDescent="0.2">
      <c r="A22390" s="258"/>
      <c r="Z22390" s="258"/>
    </row>
    <row r="22391" spans="1:26" ht="12.75" customHeight="1" x14ac:dyDescent="0.2">
      <c r="A22391" s="258"/>
      <c r="Z22391" s="258"/>
    </row>
    <row r="22392" spans="1:26" ht="12.75" customHeight="1" x14ac:dyDescent="0.2">
      <c r="A22392" s="258"/>
      <c r="Z22392" s="258"/>
    </row>
    <row r="22393" spans="1:26" ht="12.75" customHeight="1" x14ac:dyDescent="0.2">
      <c r="A22393" s="258"/>
      <c r="Z22393" s="258"/>
    </row>
    <row r="22394" spans="1:26" ht="12.75" customHeight="1" x14ac:dyDescent="0.2">
      <c r="A22394" s="258"/>
      <c r="Z22394" s="258"/>
    </row>
    <row r="22395" spans="1:26" ht="12.75" customHeight="1" x14ac:dyDescent="0.2">
      <c r="A22395" s="258"/>
      <c r="Z22395" s="258"/>
    </row>
    <row r="22396" spans="1:26" ht="12.75" customHeight="1" x14ac:dyDescent="0.2">
      <c r="A22396" s="258"/>
      <c r="Z22396" s="258"/>
    </row>
    <row r="22397" spans="1:26" ht="12.75" customHeight="1" x14ac:dyDescent="0.2">
      <c r="A22397" s="258"/>
      <c r="Z22397" s="258"/>
    </row>
    <row r="22398" spans="1:26" ht="12.75" customHeight="1" x14ac:dyDescent="0.2">
      <c r="A22398" s="258"/>
      <c r="Z22398" s="258"/>
    </row>
    <row r="22399" spans="1:26" ht="12.75" customHeight="1" x14ac:dyDescent="0.2">
      <c r="A22399" s="258"/>
      <c r="Z22399" s="258"/>
    </row>
    <row r="22400" spans="1:26" ht="12.75" customHeight="1" x14ac:dyDescent="0.2">
      <c r="A22400" s="258"/>
      <c r="Z22400" s="258"/>
    </row>
    <row r="22401" spans="1:26" ht="12.75" customHeight="1" x14ac:dyDescent="0.2">
      <c r="A22401" s="258"/>
      <c r="Z22401" s="258"/>
    </row>
    <row r="22402" spans="1:26" ht="12.75" customHeight="1" x14ac:dyDescent="0.2">
      <c r="A22402" s="258"/>
      <c r="Z22402" s="258"/>
    </row>
    <row r="22403" spans="1:26" ht="12.75" customHeight="1" x14ac:dyDescent="0.2">
      <c r="A22403" s="258"/>
      <c r="Z22403" s="258"/>
    </row>
    <row r="22404" spans="1:26" ht="12.75" customHeight="1" x14ac:dyDescent="0.2">
      <c r="A22404" s="258"/>
      <c r="Z22404" s="258"/>
    </row>
    <row r="22405" spans="1:26" ht="12.75" customHeight="1" x14ac:dyDescent="0.2">
      <c r="A22405" s="258"/>
      <c r="Z22405" s="258"/>
    </row>
    <row r="22406" spans="1:26" ht="12.75" customHeight="1" x14ac:dyDescent="0.2">
      <c r="A22406" s="258"/>
      <c r="Z22406" s="258"/>
    </row>
    <row r="22407" spans="1:26" ht="12.75" customHeight="1" x14ac:dyDescent="0.2">
      <c r="A22407" s="258"/>
      <c r="Z22407" s="258"/>
    </row>
    <row r="22408" spans="1:26" ht="12.75" customHeight="1" x14ac:dyDescent="0.2">
      <c r="A22408" s="258"/>
      <c r="Z22408" s="258"/>
    </row>
    <row r="22409" spans="1:26" ht="12.75" customHeight="1" x14ac:dyDescent="0.2">
      <c r="A22409" s="258"/>
      <c r="Z22409" s="258"/>
    </row>
    <row r="22410" spans="1:26" ht="12.75" customHeight="1" x14ac:dyDescent="0.2">
      <c r="A22410" s="258"/>
      <c r="Z22410" s="258"/>
    </row>
    <row r="22411" spans="1:26" ht="12.75" customHeight="1" x14ac:dyDescent="0.2">
      <c r="A22411" s="258"/>
      <c r="Z22411" s="258"/>
    </row>
    <row r="22412" spans="1:26" ht="12.75" customHeight="1" x14ac:dyDescent="0.2">
      <c r="A22412" s="258"/>
      <c r="Z22412" s="258"/>
    </row>
    <row r="22413" spans="1:26" ht="12.75" customHeight="1" x14ac:dyDescent="0.2">
      <c r="A22413" s="258"/>
      <c r="Z22413" s="258"/>
    </row>
    <row r="22414" spans="1:26" ht="12.75" customHeight="1" x14ac:dyDescent="0.2">
      <c r="A22414" s="258"/>
      <c r="Z22414" s="258"/>
    </row>
    <row r="22415" spans="1:26" ht="12.75" customHeight="1" x14ac:dyDescent="0.2">
      <c r="A22415" s="258"/>
      <c r="Z22415" s="258"/>
    </row>
    <row r="22416" spans="1:26" ht="12.75" customHeight="1" x14ac:dyDescent="0.2">
      <c r="A22416" s="258"/>
      <c r="Z22416" s="258"/>
    </row>
    <row r="22417" spans="1:26" ht="12.75" customHeight="1" x14ac:dyDescent="0.2">
      <c r="A22417" s="258"/>
      <c r="Z22417" s="258"/>
    </row>
    <row r="22418" spans="1:26" ht="12.75" customHeight="1" x14ac:dyDescent="0.2">
      <c r="A22418" s="258"/>
      <c r="Z22418" s="258"/>
    </row>
    <row r="22419" spans="1:26" ht="12.75" customHeight="1" x14ac:dyDescent="0.2">
      <c r="A22419" s="258"/>
      <c r="Z22419" s="258"/>
    </row>
    <row r="22420" spans="1:26" ht="12.75" customHeight="1" x14ac:dyDescent="0.2">
      <c r="A22420" s="258"/>
      <c r="Z22420" s="258"/>
    </row>
    <row r="22421" spans="1:26" ht="12.75" customHeight="1" x14ac:dyDescent="0.2">
      <c r="A22421" s="258"/>
      <c r="Z22421" s="258"/>
    </row>
    <row r="22422" spans="1:26" ht="12.75" customHeight="1" x14ac:dyDescent="0.2">
      <c r="A22422" s="258"/>
      <c r="Z22422" s="258"/>
    </row>
    <row r="22423" spans="1:26" ht="12.75" customHeight="1" x14ac:dyDescent="0.2">
      <c r="A22423" s="258"/>
      <c r="Z22423" s="258"/>
    </row>
    <row r="22424" spans="1:26" ht="12.75" customHeight="1" x14ac:dyDescent="0.2">
      <c r="A22424" s="258"/>
      <c r="Z22424" s="258"/>
    </row>
    <row r="22425" spans="1:26" ht="12.75" customHeight="1" x14ac:dyDescent="0.2">
      <c r="A22425" s="258"/>
      <c r="Z22425" s="258"/>
    </row>
    <row r="22426" spans="1:26" ht="12.75" customHeight="1" x14ac:dyDescent="0.2">
      <c r="A22426" s="258"/>
      <c r="Z22426" s="258"/>
    </row>
    <row r="22427" spans="1:26" ht="12.75" customHeight="1" x14ac:dyDescent="0.2">
      <c r="A22427" s="258"/>
      <c r="Z22427" s="258"/>
    </row>
    <row r="22428" spans="1:26" ht="12.75" customHeight="1" x14ac:dyDescent="0.2">
      <c r="A22428" s="258"/>
      <c r="Z22428" s="258"/>
    </row>
    <row r="22429" spans="1:26" ht="12.75" customHeight="1" x14ac:dyDescent="0.2">
      <c r="A22429" s="258"/>
      <c r="Z22429" s="258"/>
    </row>
    <row r="22430" spans="1:26" ht="12.75" customHeight="1" x14ac:dyDescent="0.2">
      <c r="A22430" s="258"/>
      <c r="Z22430" s="258"/>
    </row>
    <row r="22431" spans="1:26" ht="12.75" customHeight="1" x14ac:dyDescent="0.2">
      <c r="A22431" s="258"/>
      <c r="Z22431" s="258"/>
    </row>
    <row r="22432" spans="1:26" ht="12.75" customHeight="1" x14ac:dyDescent="0.2">
      <c r="A22432" s="258"/>
      <c r="Z22432" s="258"/>
    </row>
    <row r="22433" spans="1:26" ht="12.75" customHeight="1" x14ac:dyDescent="0.2">
      <c r="A22433" s="258"/>
      <c r="Z22433" s="258"/>
    </row>
    <row r="22434" spans="1:26" ht="12.75" customHeight="1" x14ac:dyDescent="0.2">
      <c r="A22434" s="258"/>
      <c r="Z22434" s="258"/>
    </row>
    <row r="22435" spans="1:26" ht="12.75" customHeight="1" x14ac:dyDescent="0.2">
      <c r="A22435" s="258"/>
      <c r="Z22435" s="258"/>
    </row>
    <row r="22436" spans="1:26" ht="12.75" customHeight="1" x14ac:dyDescent="0.2">
      <c r="A22436" s="258"/>
      <c r="Z22436" s="258"/>
    </row>
    <row r="22437" spans="1:26" ht="12.75" customHeight="1" x14ac:dyDescent="0.2">
      <c r="A22437" s="258"/>
      <c r="Z22437" s="258"/>
    </row>
    <row r="22438" spans="1:26" ht="12.75" customHeight="1" x14ac:dyDescent="0.2">
      <c r="A22438" s="258"/>
      <c r="Z22438" s="258"/>
    </row>
    <row r="22439" spans="1:26" ht="12.75" customHeight="1" x14ac:dyDescent="0.2">
      <c r="A22439" s="258"/>
      <c r="Z22439" s="258"/>
    </row>
    <row r="22440" spans="1:26" ht="12.75" customHeight="1" x14ac:dyDescent="0.2">
      <c r="A22440" s="258"/>
      <c r="Z22440" s="258"/>
    </row>
    <row r="22441" spans="1:26" ht="12.75" customHeight="1" x14ac:dyDescent="0.2">
      <c r="A22441" s="258"/>
      <c r="Z22441" s="258"/>
    </row>
    <row r="22442" spans="1:26" ht="12.75" customHeight="1" x14ac:dyDescent="0.2">
      <c r="A22442" s="258"/>
      <c r="Z22442" s="258"/>
    </row>
    <row r="22443" spans="1:26" ht="12.75" customHeight="1" x14ac:dyDescent="0.2">
      <c r="A22443" s="258"/>
      <c r="Z22443" s="258"/>
    </row>
    <row r="22444" spans="1:26" ht="12.75" customHeight="1" x14ac:dyDescent="0.2">
      <c r="A22444" s="258"/>
      <c r="Z22444" s="258"/>
    </row>
    <row r="22445" spans="1:26" ht="12.75" customHeight="1" x14ac:dyDescent="0.2">
      <c r="A22445" s="258"/>
      <c r="Z22445" s="258"/>
    </row>
    <row r="22446" spans="1:26" ht="12.75" customHeight="1" x14ac:dyDescent="0.2">
      <c r="A22446" s="258"/>
      <c r="Z22446" s="258"/>
    </row>
    <row r="22447" spans="1:26" ht="12.75" customHeight="1" x14ac:dyDescent="0.2">
      <c r="A22447" s="258"/>
      <c r="Z22447" s="258"/>
    </row>
    <row r="22448" spans="1:26" ht="12.75" customHeight="1" x14ac:dyDescent="0.2">
      <c r="A22448" s="258"/>
      <c r="Z22448" s="258"/>
    </row>
    <row r="22449" spans="1:26" ht="12.75" customHeight="1" x14ac:dyDescent="0.2">
      <c r="A22449" s="258"/>
      <c r="Z22449" s="258"/>
    </row>
    <row r="22450" spans="1:26" ht="12.75" customHeight="1" x14ac:dyDescent="0.2">
      <c r="A22450" s="258"/>
      <c r="Z22450" s="258"/>
    </row>
    <row r="22451" spans="1:26" ht="12.75" customHeight="1" x14ac:dyDescent="0.2">
      <c r="A22451" s="258"/>
      <c r="Z22451" s="258"/>
    </row>
    <row r="22452" spans="1:26" ht="12.75" customHeight="1" x14ac:dyDescent="0.2">
      <c r="A22452" s="258"/>
      <c r="Z22452" s="258"/>
    </row>
    <row r="22453" spans="1:26" ht="12.75" customHeight="1" x14ac:dyDescent="0.2">
      <c r="A22453" s="258"/>
      <c r="Z22453" s="258"/>
    </row>
    <row r="22454" spans="1:26" ht="12.75" customHeight="1" x14ac:dyDescent="0.2">
      <c r="A22454" s="258"/>
      <c r="Z22454" s="258"/>
    </row>
    <row r="22455" spans="1:26" ht="12.75" customHeight="1" x14ac:dyDescent="0.2">
      <c r="A22455" s="258"/>
      <c r="Z22455" s="258"/>
    </row>
    <row r="22456" spans="1:26" ht="12.75" customHeight="1" x14ac:dyDescent="0.2">
      <c r="A22456" s="258"/>
      <c r="Z22456" s="258"/>
    </row>
    <row r="22457" spans="1:26" ht="12.75" customHeight="1" x14ac:dyDescent="0.2">
      <c r="A22457" s="258"/>
      <c r="Z22457" s="258"/>
    </row>
    <row r="22458" spans="1:26" ht="12.75" customHeight="1" x14ac:dyDescent="0.2">
      <c r="A22458" s="258"/>
      <c r="Z22458" s="258"/>
    </row>
    <row r="22459" spans="1:26" ht="12.75" customHeight="1" x14ac:dyDescent="0.2">
      <c r="A22459" s="258"/>
      <c r="Z22459" s="258"/>
    </row>
    <row r="22460" spans="1:26" ht="12.75" customHeight="1" x14ac:dyDescent="0.2">
      <c r="A22460" s="258"/>
      <c r="Z22460" s="258"/>
    </row>
    <row r="22461" spans="1:26" ht="12.75" customHeight="1" x14ac:dyDescent="0.2">
      <c r="A22461" s="258"/>
      <c r="Z22461" s="258"/>
    </row>
    <row r="22462" spans="1:26" ht="12.75" customHeight="1" x14ac:dyDescent="0.2">
      <c r="A22462" s="258"/>
      <c r="Z22462" s="258"/>
    </row>
    <row r="22463" spans="1:26" ht="12.75" customHeight="1" x14ac:dyDescent="0.2">
      <c r="A22463" s="258"/>
      <c r="Z22463" s="258"/>
    </row>
    <row r="22464" spans="1:26" ht="12.75" customHeight="1" x14ac:dyDescent="0.2">
      <c r="A22464" s="258"/>
      <c r="Z22464" s="258"/>
    </row>
    <row r="22465" spans="1:26" ht="12.75" customHeight="1" x14ac:dyDescent="0.2">
      <c r="A22465" s="258"/>
      <c r="Z22465" s="258"/>
    </row>
    <row r="22466" spans="1:26" ht="12.75" customHeight="1" x14ac:dyDescent="0.2">
      <c r="A22466" s="258"/>
      <c r="Z22466" s="258"/>
    </row>
    <row r="22467" spans="1:26" ht="12.75" customHeight="1" x14ac:dyDescent="0.2">
      <c r="A22467" s="258"/>
      <c r="Z22467" s="258"/>
    </row>
    <row r="22468" spans="1:26" ht="12.75" customHeight="1" x14ac:dyDescent="0.2">
      <c r="A22468" s="258"/>
      <c r="Z22468" s="258"/>
    </row>
    <row r="22469" spans="1:26" ht="12.75" customHeight="1" x14ac:dyDescent="0.2">
      <c r="A22469" s="258"/>
      <c r="Z22469" s="258"/>
    </row>
    <row r="22470" spans="1:26" ht="12.75" customHeight="1" x14ac:dyDescent="0.2">
      <c r="A22470" s="258"/>
      <c r="Z22470" s="258"/>
    </row>
    <row r="22471" spans="1:26" ht="12.75" customHeight="1" x14ac:dyDescent="0.2">
      <c r="A22471" s="258"/>
      <c r="Z22471" s="258"/>
    </row>
    <row r="22472" spans="1:26" ht="12.75" customHeight="1" x14ac:dyDescent="0.2">
      <c r="A22472" s="258"/>
      <c r="Z22472" s="258"/>
    </row>
    <row r="22473" spans="1:26" ht="12.75" customHeight="1" x14ac:dyDescent="0.2">
      <c r="A22473" s="258"/>
      <c r="Z22473" s="258"/>
    </row>
    <row r="22474" spans="1:26" ht="12.75" customHeight="1" x14ac:dyDescent="0.2">
      <c r="A22474" s="258"/>
      <c r="Z22474" s="258"/>
    </row>
    <row r="22475" spans="1:26" ht="12.75" customHeight="1" x14ac:dyDescent="0.2">
      <c r="A22475" s="258"/>
      <c r="Z22475" s="258"/>
    </row>
    <row r="22476" spans="1:26" ht="12.75" customHeight="1" x14ac:dyDescent="0.2">
      <c r="A22476" s="258"/>
      <c r="Z22476" s="258"/>
    </row>
    <row r="22477" spans="1:26" ht="12.75" customHeight="1" x14ac:dyDescent="0.2">
      <c r="A22477" s="258"/>
      <c r="Z22477" s="258"/>
    </row>
    <row r="22478" spans="1:26" ht="12.75" customHeight="1" x14ac:dyDescent="0.2">
      <c r="A22478" s="258"/>
      <c r="Z22478" s="258"/>
    </row>
    <row r="22479" spans="1:26" ht="12.75" customHeight="1" x14ac:dyDescent="0.2">
      <c r="A22479" s="258"/>
      <c r="Z22479" s="258"/>
    </row>
    <row r="22480" spans="1:26" ht="12.75" customHeight="1" x14ac:dyDescent="0.2">
      <c r="A22480" s="258"/>
      <c r="Z22480" s="258"/>
    </row>
    <row r="22481" spans="1:26" ht="12.75" customHeight="1" x14ac:dyDescent="0.2">
      <c r="A22481" s="258"/>
      <c r="Z22481" s="258"/>
    </row>
    <row r="22482" spans="1:26" ht="12.75" customHeight="1" x14ac:dyDescent="0.2">
      <c r="A22482" s="258"/>
      <c r="Z22482" s="258"/>
    </row>
    <row r="22483" spans="1:26" ht="12.75" customHeight="1" x14ac:dyDescent="0.2">
      <c r="A22483" s="258"/>
      <c r="Z22483" s="258"/>
    </row>
    <row r="22484" spans="1:26" ht="12.75" customHeight="1" x14ac:dyDescent="0.2">
      <c r="A22484" s="258"/>
      <c r="Z22484" s="258"/>
    </row>
    <row r="22485" spans="1:26" ht="12.75" customHeight="1" x14ac:dyDescent="0.2">
      <c r="A22485" s="258"/>
      <c r="Z22485" s="258"/>
    </row>
    <row r="22486" spans="1:26" ht="12.75" customHeight="1" x14ac:dyDescent="0.2">
      <c r="A22486" s="258"/>
      <c r="Z22486" s="258"/>
    </row>
    <row r="22487" spans="1:26" ht="12.75" customHeight="1" x14ac:dyDescent="0.2">
      <c r="A22487" s="258"/>
      <c r="Z22487" s="258"/>
    </row>
    <row r="22488" spans="1:26" ht="12.75" customHeight="1" x14ac:dyDescent="0.2">
      <c r="A22488" s="258"/>
      <c r="Z22488" s="258"/>
    </row>
    <row r="22489" spans="1:26" ht="12.75" customHeight="1" x14ac:dyDescent="0.2">
      <c r="A22489" s="258"/>
      <c r="Z22489" s="258"/>
    </row>
    <row r="22490" spans="1:26" ht="12.75" customHeight="1" x14ac:dyDescent="0.2">
      <c r="A22490" s="258"/>
      <c r="Z22490" s="258"/>
    </row>
    <row r="22491" spans="1:26" ht="12.75" customHeight="1" x14ac:dyDescent="0.2">
      <c r="A22491" s="258"/>
      <c r="Z22491" s="258"/>
    </row>
    <row r="22492" spans="1:26" ht="12.75" customHeight="1" x14ac:dyDescent="0.2">
      <c r="A22492" s="258"/>
      <c r="Z22492" s="258"/>
    </row>
    <row r="22493" spans="1:26" ht="12.75" customHeight="1" x14ac:dyDescent="0.2">
      <c r="A22493" s="258"/>
      <c r="Z22493" s="258"/>
    </row>
    <row r="22494" spans="1:26" ht="12.75" customHeight="1" x14ac:dyDescent="0.2">
      <c r="A22494" s="258"/>
      <c r="Z22494" s="258"/>
    </row>
    <row r="22495" spans="1:26" ht="12.75" customHeight="1" x14ac:dyDescent="0.2">
      <c r="A22495" s="258"/>
      <c r="Z22495" s="258"/>
    </row>
    <row r="22496" spans="1:26" ht="12.75" customHeight="1" x14ac:dyDescent="0.2">
      <c r="A22496" s="258"/>
      <c r="Z22496" s="258"/>
    </row>
    <row r="22497" spans="1:26" ht="12.75" customHeight="1" x14ac:dyDescent="0.2">
      <c r="A22497" s="258"/>
      <c r="Z22497" s="258"/>
    </row>
    <row r="22498" spans="1:26" ht="12.75" customHeight="1" x14ac:dyDescent="0.2">
      <c r="A22498" s="258"/>
      <c r="Z22498" s="258"/>
    </row>
    <row r="22499" spans="1:26" ht="12.75" customHeight="1" x14ac:dyDescent="0.2">
      <c r="A22499" s="258"/>
      <c r="Z22499" s="258"/>
    </row>
    <row r="22500" spans="1:26" ht="12.75" customHeight="1" x14ac:dyDescent="0.2">
      <c r="A22500" s="258"/>
      <c r="Z22500" s="258"/>
    </row>
    <row r="22501" spans="1:26" ht="12.75" customHeight="1" x14ac:dyDescent="0.2">
      <c r="A22501" s="258"/>
      <c r="Z22501" s="258"/>
    </row>
    <row r="22502" spans="1:26" ht="12.75" customHeight="1" x14ac:dyDescent="0.2">
      <c r="A22502" s="258"/>
      <c r="Z22502" s="258"/>
    </row>
    <row r="22503" spans="1:26" ht="12.75" customHeight="1" x14ac:dyDescent="0.2">
      <c r="A22503" s="258"/>
      <c r="Z22503" s="258"/>
    </row>
    <row r="22504" spans="1:26" ht="12.75" customHeight="1" x14ac:dyDescent="0.2">
      <c r="A22504" s="258"/>
      <c r="Z22504" s="258"/>
    </row>
    <row r="22505" spans="1:26" ht="12.75" customHeight="1" x14ac:dyDescent="0.2">
      <c r="A22505" s="258"/>
      <c r="Z22505" s="258"/>
    </row>
    <row r="22506" spans="1:26" ht="12.75" customHeight="1" x14ac:dyDescent="0.2">
      <c r="A22506" s="258"/>
      <c r="Z22506" s="258"/>
    </row>
    <row r="22507" spans="1:26" ht="12.75" customHeight="1" x14ac:dyDescent="0.2">
      <c r="A22507" s="258"/>
      <c r="Z22507" s="258"/>
    </row>
    <row r="22508" spans="1:26" ht="12.75" customHeight="1" x14ac:dyDescent="0.2">
      <c r="A22508" s="258"/>
      <c r="Z22508" s="258"/>
    </row>
    <row r="22509" spans="1:26" ht="12.75" customHeight="1" x14ac:dyDescent="0.2">
      <c r="A22509" s="258"/>
      <c r="Z22509" s="258"/>
    </row>
    <row r="22510" spans="1:26" ht="12.75" customHeight="1" x14ac:dyDescent="0.2">
      <c r="A22510" s="258"/>
      <c r="Z22510" s="258"/>
    </row>
    <row r="22511" spans="1:26" ht="12.75" customHeight="1" x14ac:dyDescent="0.2">
      <c r="A22511" s="258"/>
      <c r="Z22511" s="258"/>
    </row>
    <row r="22512" spans="1:26" ht="12.75" customHeight="1" x14ac:dyDescent="0.2">
      <c r="A22512" s="258"/>
      <c r="Z22512" s="258"/>
    </row>
    <row r="22513" spans="1:26" ht="12.75" customHeight="1" x14ac:dyDescent="0.2">
      <c r="A22513" s="258"/>
      <c r="Z22513" s="258"/>
    </row>
    <row r="22514" spans="1:26" ht="12.75" customHeight="1" x14ac:dyDescent="0.2">
      <c r="A22514" s="258"/>
      <c r="Z22514" s="258"/>
    </row>
    <row r="22515" spans="1:26" ht="12.75" customHeight="1" x14ac:dyDescent="0.2">
      <c r="A22515" s="258"/>
      <c r="Z22515" s="258"/>
    </row>
    <row r="22516" spans="1:26" ht="12.75" customHeight="1" x14ac:dyDescent="0.2">
      <c r="A22516" s="258"/>
      <c r="Z22516" s="258"/>
    </row>
    <row r="22517" spans="1:26" ht="12.75" customHeight="1" x14ac:dyDescent="0.2">
      <c r="A22517" s="258"/>
      <c r="Z22517" s="258"/>
    </row>
    <row r="22518" spans="1:26" ht="12.75" customHeight="1" x14ac:dyDescent="0.2">
      <c r="A22518" s="258"/>
      <c r="Z22518" s="258"/>
    </row>
    <row r="22519" spans="1:26" ht="12.75" customHeight="1" x14ac:dyDescent="0.2">
      <c r="A22519" s="258"/>
      <c r="Z22519" s="258"/>
    </row>
    <row r="22520" spans="1:26" ht="12.75" customHeight="1" x14ac:dyDescent="0.2">
      <c r="A22520" s="258"/>
      <c r="Z22520" s="258"/>
    </row>
    <row r="22521" spans="1:26" ht="12.75" customHeight="1" x14ac:dyDescent="0.2">
      <c r="A22521" s="258"/>
      <c r="Z22521" s="258"/>
    </row>
    <row r="22522" spans="1:26" ht="12.75" customHeight="1" x14ac:dyDescent="0.2">
      <c r="A22522" s="258"/>
      <c r="Z22522" s="258"/>
    </row>
    <row r="22523" spans="1:26" ht="12.75" customHeight="1" x14ac:dyDescent="0.2">
      <c r="A22523" s="258"/>
      <c r="Z22523" s="258"/>
    </row>
    <row r="22524" spans="1:26" ht="12.75" customHeight="1" x14ac:dyDescent="0.2">
      <c r="A22524" s="258"/>
      <c r="Z22524" s="258"/>
    </row>
    <row r="22525" spans="1:26" ht="12.75" customHeight="1" x14ac:dyDescent="0.2">
      <c r="A22525" s="258"/>
      <c r="Z22525" s="258"/>
    </row>
    <row r="22526" spans="1:26" ht="12.75" customHeight="1" x14ac:dyDescent="0.2">
      <c r="A22526" s="258"/>
      <c r="Z22526" s="258"/>
    </row>
    <row r="22527" spans="1:26" ht="12.75" customHeight="1" x14ac:dyDescent="0.2">
      <c r="A22527" s="258"/>
      <c r="Z22527" s="258"/>
    </row>
    <row r="22528" spans="1:26" ht="12.75" customHeight="1" x14ac:dyDescent="0.2">
      <c r="A22528" s="258"/>
      <c r="Z22528" s="258"/>
    </row>
    <row r="22529" spans="1:26" ht="12.75" customHeight="1" x14ac:dyDescent="0.2">
      <c r="A22529" s="258"/>
      <c r="Z22529" s="258"/>
    </row>
    <row r="22530" spans="1:26" ht="12.75" customHeight="1" x14ac:dyDescent="0.2">
      <c r="A22530" s="258"/>
      <c r="Z22530" s="258"/>
    </row>
    <row r="22531" spans="1:26" ht="12.75" customHeight="1" x14ac:dyDescent="0.2">
      <c r="A22531" s="258"/>
      <c r="Z22531" s="258"/>
    </row>
    <row r="22532" spans="1:26" ht="12.75" customHeight="1" x14ac:dyDescent="0.2">
      <c r="A22532" s="258"/>
      <c r="Z22532" s="258"/>
    </row>
    <row r="22533" spans="1:26" ht="12.75" customHeight="1" x14ac:dyDescent="0.2">
      <c r="A22533" s="258"/>
      <c r="Z22533" s="258"/>
    </row>
    <row r="22534" spans="1:26" ht="12.75" customHeight="1" x14ac:dyDescent="0.2">
      <c r="A22534" s="258"/>
      <c r="Z22534" s="258"/>
    </row>
    <row r="22535" spans="1:26" ht="12.75" customHeight="1" x14ac:dyDescent="0.2">
      <c r="A22535" s="258"/>
      <c r="Z22535" s="258"/>
    </row>
    <row r="22536" spans="1:26" ht="12.75" customHeight="1" x14ac:dyDescent="0.2">
      <c r="A22536" s="258"/>
      <c r="Z22536" s="258"/>
    </row>
    <row r="22537" spans="1:26" ht="12.75" customHeight="1" x14ac:dyDescent="0.2">
      <c r="A22537" s="258"/>
      <c r="Z22537" s="258"/>
    </row>
    <row r="22538" spans="1:26" ht="12.75" customHeight="1" x14ac:dyDescent="0.2">
      <c r="A22538" s="258"/>
      <c r="Z22538" s="258"/>
    </row>
    <row r="22539" spans="1:26" ht="12.75" customHeight="1" x14ac:dyDescent="0.2">
      <c r="A22539" s="258"/>
      <c r="Z22539" s="258"/>
    </row>
    <row r="22540" spans="1:26" ht="12.75" customHeight="1" x14ac:dyDescent="0.2">
      <c r="A22540" s="258"/>
      <c r="Z22540" s="258"/>
    </row>
    <row r="22541" spans="1:26" ht="12.75" customHeight="1" x14ac:dyDescent="0.2">
      <c r="A22541" s="258"/>
      <c r="Z22541" s="258"/>
    </row>
    <row r="22542" spans="1:26" ht="12.75" customHeight="1" x14ac:dyDescent="0.2">
      <c r="A22542" s="258"/>
      <c r="Z22542" s="258"/>
    </row>
    <row r="22543" spans="1:26" ht="12.75" customHeight="1" x14ac:dyDescent="0.2">
      <c r="A22543" s="258"/>
      <c r="Z22543" s="258"/>
    </row>
    <row r="22544" spans="1:26" ht="12.75" customHeight="1" x14ac:dyDescent="0.2">
      <c r="A22544" s="258"/>
      <c r="Z22544" s="258"/>
    </row>
    <row r="22545" spans="1:26" ht="12.75" customHeight="1" x14ac:dyDescent="0.2">
      <c r="A22545" s="258"/>
      <c r="Z22545" s="258"/>
    </row>
    <row r="22546" spans="1:26" ht="12.75" customHeight="1" x14ac:dyDescent="0.2">
      <c r="A22546" s="258"/>
      <c r="Z22546" s="258"/>
    </row>
    <row r="22547" spans="1:26" ht="12.75" customHeight="1" x14ac:dyDescent="0.2">
      <c r="A22547" s="258"/>
      <c r="Z22547" s="258"/>
    </row>
    <row r="22548" spans="1:26" ht="12.75" customHeight="1" x14ac:dyDescent="0.2">
      <c r="A22548" s="258"/>
      <c r="Z22548" s="258"/>
    </row>
    <row r="22549" spans="1:26" ht="12.75" customHeight="1" x14ac:dyDescent="0.2">
      <c r="A22549" s="258"/>
      <c r="Z22549" s="258"/>
    </row>
    <row r="22550" spans="1:26" ht="12.75" customHeight="1" x14ac:dyDescent="0.2">
      <c r="A22550" s="258"/>
      <c r="Z22550" s="258"/>
    </row>
    <row r="22551" spans="1:26" ht="12.75" customHeight="1" x14ac:dyDescent="0.2">
      <c r="A22551" s="258"/>
      <c r="Z22551" s="258"/>
    </row>
    <row r="22552" spans="1:26" ht="12.75" customHeight="1" x14ac:dyDescent="0.2">
      <c r="A22552" s="258"/>
      <c r="Z22552" s="258"/>
    </row>
    <row r="22553" spans="1:26" ht="12.75" customHeight="1" x14ac:dyDescent="0.2">
      <c r="A22553" s="258"/>
      <c r="Z22553" s="258"/>
    </row>
    <row r="22554" spans="1:26" ht="12.75" customHeight="1" x14ac:dyDescent="0.2">
      <c r="A22554" s="258"/>
      <c r="Z22554" s="258"/>
    </row>
    <row r="22555" spans="1:26" ht="12.75" customHeight="1" x14ac:dyDescent="0.2">
      <c r="A22555" s="258"/>
      <c r="Z22555" s="258"/>
    </row>
    <row r="22556" spans="1:26" ht="12.75" customHeight="1" x14ac:dyDescent="0.2">
      <c r="A22556" s="258"/>
      <c r="Z22556" s="258"/>
    </row>
    <row r="22557" spans="1:26" ht="12.75" customHeight="1" x14ac:dyDescent="0.2">
      <c r="A22557" s="258"/>
      <c r="Z22557" s="258"/>
    </row>
    <row r="22558" spans="1:26" ht="12.75" customHeight="1" x14ac:dyDescent="0.2">
      <c r="A22558" s="258"/>
      <c r="Z22558" s="258"/>
    </row>
    <row r="22559" spans="1:26" ht="12.75" customHeight="1" x14ac:dyDescent="0.2">
      <c r="A22559" s="258"/>
      <c r="Z22559" s="258"/>
    </row>
    <row r="22560" spans="1:26" ht="12.75" customHeight="1" x14ac:dyDescent="0.2">
      <c r="A22560" s="258"/>
      <c r="Z22560" s="258"/>
    </row>
    <row r="22561" spans="1:26" ht="12.75" customHeight="1" x14ac:dyDescent="0.2">
      <c r="A22561" s="258"/>
      <c r="Z22561" s="258"/>
    </row>
    <row r="22562" spans="1:26" ht="12.75" customHeight="1" x14ac:dyDescent="0.2">
      <c r="A22562" s="258"/>
      <c r="Z22562" s="258"/>
    </row>
    <row r="22563" spans="1:26" ht="12.75" customHeight="1" x14ac:dyDescent="0.2">
      <c r="A22563" s="258"/>
      <c r="Z22563" s="258"/>
    </row>
    <row r="22564" spans="1:26" ht="12.75" customHeight="1" x14ac:dyDescent="0.2">
      <c r="A22564" s="258"/>
      <c r="Z22564" s="258"/>
    </row>
    <row r="22565" spans="1:26" ht="12.75" customHeight="1" x14ac:dyDescent="0.2">
      <c r="A22565" s="258"/>
      <c r="Z22565" s="258"/>
    </row>
    <row r="22566" spans="1:26" ht="12.75" customHeight="1" x14ac:dyDescent="0.2">
      <c r="A22566" s="258"/>
      <c r="Z22566" s="258"/>
    </row>
    <row r="22567" spans="1:26" ht="12.75" customHeight="1" x14ac:dyDescent="0.2">
      <c r="A22567" s="258"/>
      <c r="Z22567" s="258"/>
    </row>
    <row r="22568" spans="1:26" ht="12.75" customHeight="1" x14ac:dyDescent="0.2">
      <c r="A22568" s="258"/>
      <c r="Z22568" s="258"/>
    </row>
    <row r="22569" spans="1:26" ht="12.75" customHeight="1" x14ac:dyDescent="0.2">
      <c r="A22569" s="258"/>
      <c r="Z22569" s="258"/>
    </row>
    <row r="22570" spans="1:26" ht="12.75" customHeight="1" x14ac:dyDescent="0.2">
      <c r="A22570" s="258"/>
      <c r="Z22570" s="258"/>
    </row>
    <row r="22571" spans="1:26" ht="12.75" customHeight="1" x14ac:dyDescent="0.2">
      <c r="A22571" s="258"/>
      <c r="Z22571" s="258"/>
    </row>
    <row r="22572" spans="1:26" ht="12.75" customHeight="1" x14ac:dyDescent="0.2">
      <c r="A22572" s="258"/>
      <c r="Z22572" s="258"/>
    </row>
    <row r="22573" spans="1:26" ht="12.75" customHeight="1" x14ac:dyDescent="0.2">
      <c r="A22573" s="258"/>
      <c r="Z22573" s="258"/>
    </row>
    <row r="22574" spans="1:26" ht="12.75" customHeight="1" x14ac:dyDescent="0.2">
      <c r="A22574" s="258"/>
      <c r="Z22574" s="258"/>
    </row>
    <row r="22575" spans="1:26" ht="12.75" customHeight="1" x14ac:dyDescent="0.2">
      <c r="A22575" s="258"/>
      <c r="Z22575" s="258"/>
    </row>
    <row r="22576" spans="1:26" ht="12.75" customHeight="1" x14ac:dyDescent="0.2">
      <c r="A22576" s="258"/>
      <c r="Z22576" s="258"/>
    </row>
    <row r="22577" spans="1:26" ht="12.75" customHeight="1" x14ac:dyDescent="0.2">
      <c r="A22577" s="258"/>
      <c r="Z22577" s="258"/>
    </row>
    <row r="22578" spans="1:26" ht="12.75" customHeight="1" x14ac:dyDescent="0.2">
      <c r="A22578" s="258"/>
      <c r="Z22578" s="258"/>
    </row>
    <row r="22579" spans="1:26" ht="12.75" customHeight="1" x14ac:dyDescent="0.2">
      <c r="A22579" s="258"/>
      <c r="Z22579" s="258"/>
    </row>
    <row r="22580" spans="1:26" ht="12.75" customHeight="1" x14ac:dyDescent="0.2">
      <c r="A22580" s="258"/>
      <c r="Z22580" s="258"/>
    </row>
    <row r="22581" spans="1:26" ht="12.75" customHeight="1" x14ac:dyDescent="0.2">
      <c r="A22581" s="258"/>
      <c r="Z22581" s="258"/>
    </row>
    <row r="22582" spans="1:26" ht="12.75" customHeight="1" x14ac:dyDescent="0.2">
      <c r="A22582" s="258"/>
      <c r="Z22582" s="258"/>
    </row>
    <row r="22583" spans="1:26" ht="12.75" customHeight="1" x14ac:dyDescent="0.2">
      <c r="A22583" s="258"/>
      <c r="Z22583" s="258"/>
    </row>
    <row r="22584" spans="1:26" ht="12.75" customHeight="1" x14ac:dyDescent="0.2">
      <c r="A22584" s="258"/>
      <c r="Z22584" s="258"/>
    </row>
    <row r="22585" spans="1:26" ht="12.75" customHeight="1" x14ac:dyDescent="0.2">
      <c r="A22585" s="258"/>
      <c r="Z22585" s="258"/>
    </row>
    <row r="22586" spans="1:26" ht="12.75" customHeight="1" x14ac:dyDescent="0.2">
      <c r="A22586" s="258"/>
      <c r="Z22586" s="258"/>
    </row>
    <row r="22587" spans="1:26" ht="12.75" customHeight="1" x14ac:dyDescent="0.2">
      <c r="A22587" s="258"/>
      <c r="Z22587" s="258"/>
    </row>
    <row r="22588" spans="1:26" ht="12.75" customHeight="1" x14ac:dyDescent="0.2">
      <c r="A22588" s="258"/>
      <c r="Z22588" s="258"/>
    </row>
    <row r="22589" spans="1:26" ht="12.75" customHeight="1" x14ac:dyDescent="0.2">
      <c r="A22589" s="258"/>
      <c r="Z22589" s="258"/>
    </row>
    <row r="22590" spans="1:26" ht="12.75" customHeight="1" x14ac:dyDescent="0.2">
      <c r="A22590" s="258"/>
      <c r="Z22590" s="258"/>
    </row>
    <row r="22591" spans="1:26" ht="12.75" customHeight="1" x14ac:dyDescent="0.2">
      <c r="A22591" s="258"/>
      <c r="Z22591" s="258"/>
    </row>
    <row r="22592" spans="1:26" ht="12.75" customHeight="1" x14ac:dyDescent="0.2">
      <c r="A22592" s="258"/>
      <c r="Z22592" s="258"/>
    </row>
    <row r="22593" spans="1:26" ht="12.75" customHeight="1" x14ac:dyDescent="0.2">
      <c r="A22593" s="258"/>
      <c r="Z22593" s="258"/>
    </row>
    <row r="22594" spans="1:26" ht="12.75" customHeight="1" x14ac:dyDescent="0.2">
      <c r="A22594" s="258"/>
      <c r="Z22594" s="258"/>
    </row>
    <row r="22595" spans="1:26" ht="12.75" customHeight="1" x14ac:dyDescent="0.2">
      <c r="A22595" s="258"/>
      <c r="Z22595" s="258"/>
    </row>
    <row r="22596" spans="1:26" ht="12.75" customHeight="1" x14ac:dyDescent="0.2">
      <c r="A22596" s="258"/>
      <c r="Z22596" s="258"/>
    </row>
    <row r="22597" spans="1:26" ht="12.75" customHeight="1" x14ac:dyDescent="0.2">
      <c r="A22597" s="258"/>
      <c r="Z22597" s="258"/>
    </row>
    <row r="22598" spans="1:26" ht="12.75" customHeight="1" x14ac:dyDescent="0.2">
      <c r="A22598" s="258"/>
      <c r="Z22598" s="258"/>
    </row>
    <row r="22599" spans="1:26" ht="12.75" customHeight="1" x14ac:dyDescent="0.2">
      <c r="A22599" s="258"/>
      <c r="Z22599" s="258"/>
    </row>
    <row r="22600" spans="1:26" ht="12.75" customHeight="1" x14ac:dyDescent="0.2">
      <c r="A22600" s="258"/>
      <c r="Z22600" s="258"/>
    </row>
    <row r="22601" spans="1:26" ht="12.75" customHeight="1" x14ac:dyDescent="0.2">
      <c r="A22601" s="258"/>
      <c r="Z22601" s="258"/>
    </row>
    <row r="22602" spans="1:26" ht="12.75" customHeight="1" x14ac:dyDescent="0.2">
      <c r="A22602" s="258"/>
      <c r="Z22602" s="258"/>
    </row>
    <row r="22603" spans="1:26" ht="12.75" customHeight="1" x14ac:dyDescent="0.2">
      <c r="A22603" s="258"/>
      <c r="Z22603" s="258"/>
    </row>
    <row r="22604" spans="1:26" ht="12.75" customHeight="1" x14ac:dyDescent="0.2">
      <c r="A22604" s="258"/>
      <c r="Z22604" s="258"/>
    </row>
    <row r="22605" spans="1:26" ht="12.75" customHeight="1" x14ac:dyDescent="0.2">
      <c r="A22605" s="258"/>
      <c r="Z22605" s="258"/>
    </row>
    <row r="22606" spans="1:26" ht="12.75" customHeight="1" x14ac:dyDescent="0.2">
      <c r="A22606" s="258"/>
      <c r="Z22606" s="258"/>
    </row>
    <row r="22607" spans="1:26" ht="12.75" customHeight="1" x14ac:dyDescent="0.2">
      <c r="A22607" s="258"/>
      <c r="Z22607" s="258"/>
    </row>
    <row r="22608" spans="1:26" ht="12.75" customHeight="1" x14ac:dyDescent="0.2">
      <c r="A22608" s="258"/>
      <c r="Z22608" s="258"/>
    </row>
    <row r="22609" spans="1:26" ht="12.75" customHeight="1" x14ac:dyDescent="0.2">
      <c r="A22609" s="258"/>
      <c r="Z22609" s="258"/>
    </row>
    <row r="22610" spans="1:26" ht="12.75" customHeight="1" x14ac:dyDescent="0.2">
      <c r="A22610" s="258"/>
      <c r="Z22610" s="258"/>
    </row>
    <row r="22611" spans="1:26" ht="12.75" customHeight="1" x14ac:dyDescent="0.2">
      <c r="A22611" s="258"/>
      <c r="Z22611" s="258"/>
    </row>
    <row r="22612" spans="1:26" ht="12.75" customHeight="1" x14ac:dyDescent="0.2">
      <c r="A22612" s="258"/>
      <c r="Z22612" s="258"/>
    </row>
    <row r="22613" spans="1:26" ht="12.75" customHeight="1" x14ac:dyDescent="0.2">
      <c r="A22613" s="258"/>
      <c r="Z22613" s="258"/>
    </row>
    <row r="22614" spans="1:26" ht="12.75" customHeight="1" x14ac:dyDescent="0.2">
      <c r="A22614" s="258"/>
      <c r="Z22614" s="258"/>
    </row>
    <row r="22615" spans="1:26" ht="12.75" customHeight="1" x14ac:dyDescent="0.2">
      <c r="A22615" s="258"/>
      <c r="Z22615" s="258"/>
    </row>
    <row r="22616" spans="1:26" ht="12.75" customHeight="1" x14ac:dyDescent="0.2">
      <c r="A22616" s="258"/>
      <c r="Z22616" s="258"/>
    </row>
    <row r="22617" spans="1:26" ht="12.75" customHeight="1" x14ac:dyDescent="0.2">
      <c r="A22617" s="258"/>
      <c r="Z22617" s="258"/>
    </row>
    <row r="22618" spans="1:26" ht="12.75" customHeight="1" x14ac:dyDescent="0.2">
      <c r="A22618" s="258"/>
      <c r="Z22618" s="258"/>
    </row>
    <row r="22619" spans="1:26" ht="12.75" customHeight="1" x14ac:dyDescent="0.2">
      <c r="A22619" s="258"/>
      <c r="Z22619" s="258"/>
    </row>
    <row r="22620" spans="1:26" ht="12.75" customHeight="1" x14ac:dyDescent="0.2">
      <c r="A22620" s="258"/>
      <c r="Z22620" s="258"/>
    </row>
    <row r="22621" spans="1:26" ht="12.75" customHeight="1" x14ac:dyDescent="0.2">
      <c r="A22621" s="258"/>
      <c r="Z22621" s="258"/>
    </row>
    <row r="22622" spans="1:26" ht="12.75" customHeight="1" x14ac:dyDescent="0.2">
      <c r="A22622" s="258"/>
      <c r="Z22622" s="258"/>
    </row>
    <row r="22623" spans="1:26" ht="12.75" customHeight="1" x14ac:dyDescent="0.2">
      <c r="A22623" s="258"/>
      <c r="Z22623" s="258"/>
    </row>
    <row r="22624" spans="1:26" ht="12.75" customHeight="1" x14ac:dyDescent="0.2">
      <c r="A22624" s="258"/>
      <c r="Z22624" s="258"/>
    </row>
    <row r="22625" spans="1:26" ht="12.75" customHeight="1" x14ac:dyDescent="0.2">
      <c r="A22625" s="258"/>
      <c r="Z22625" s="258"/>
    </row>
    <row r="22626" spans="1:26" ht="12.75" customHeight="1" x14ac:dyDescent="0.2">
      <c r="A22626" s="258"/>
      <c r="Z22626" s="258"/>
    </row>
    <row r="22627" spans="1:26" ht="12.75" customHeight="1" x14ac:dyDescent="0.2">
      <c r="A22627" s="258"/>
      <c r="Z22627" s="258"/>
    </row>
    <row r="22628" spans="1:26" ht="12.75" customHeight="1" x14ac:dyDescent="0.2">
      <c r="A22628" s="258"/>
      <c r="Z22628" s="258"/>
    </row>
    <row r="22629" spans="1:26" ht="12.75" customHeight="1" x14ac:dyDescent="0.2">
      <c r="A22629" s="258"/>
      <c r="Z22629" s="258"/>
    </row>
    <row r="22630" spans="1:26" ht="12.75" customHeight="1" x14ac:dyDescent="0.2">
      <c r="A22630" s="258"/>
      <c r="Z22630" s="258"/>
    </row>
    <row r="22631" spans="1:26" ht="12.75" customHeight="1" x14ac:dyDescent="0.2">
      <c r="A22631" s="258"/>
      <c r="Z22631" s="258"/>
    </row>
    <row r="22632" spans="1:26" ht="12.75" customHeight="1" x14ac:dyDescent="0.2">
      <c r="A22632" s="258"/>
      <c r="Z22632" s="258"/>
    </row>
    <row r="22633" spans="1:26" ht="12.75" customHeight="1" x14ac:dyDescent="0.2">
      <c r="A22633" s="258"/>
      <c r="Z22633" s="258"/>
    </row>
    <row r="22634" spans="1:26" ht="12.75" customHeight="1" x14ac:dyDescent="0.2">
      <c r="A22634" s="258"/>
      <c r="Z22634" s="258"/>
    </row>
    <row r="22635" spans="1:26" ht="12.75" customHeight="1" x14ac:dyDescent="0.2">
      <c r="A22635" s="258"/>
      <c r="Z22635" s="258"/>
    </row>
    <row r="22636" spans="1:26" ht="12.75" customHeight="1" x14ac:dyDescent="0.2">
      <c r="A22636" s="258"/>
      <c r="Z22636" s="258"/>
    </row>
    <row r="22637" spans="1:26" ht="12.75" customHeight="1" x14ac:dyDescent="0.2">
      <c r="A22637" s="258"/>
      <c r="Z22637" s="258"/>
    </row>
    <row r="22638" spans="1:26" ht="12.75" customHeight="1" x14ac:dyDescent="0.2">
      <c r="A22638" s="258"/>
      <c r="Z22638" s="258"/>
    </row>
    <row r="22639" spans="1:26" ht="12.75" customHeight="1" x14ac:dyDescent="0.2">
      <c r="A22639" s="258"/>
      <c r="Z22639" s="258"/>
    </row>
    <row r="22640" spans="1:26" ht="12.75" customHeight="1" x14ac:dyDescent="0.2">
      <c r="A22640" s="258"/>
      <c r="Z22640" s="258"/>
    </row>
    <row r="22641" spans="1:26" ht="12.75" customHeight="1" x14ac:dyDescent="0.2">
      <c r="A22641" s="258"/>
      <c r="Z22641" s="258"/>
    </row>
    <row r="22642" spans="1:26" ht="12.75" customHeight="1" x14ac:dyDescent="0.2">
      <c r="A22642" s="258"/>
      <c r="Z22642" s="258"/>
    </row>
    <row r="22643" spans="1:26" ht="12.75" customHeight="1" x14ac:dyDescent="0.2">
      <c r="A22643" s="258"/>
      <c r="Z22643" s="258"/>
    </row>
    <row r="22644" spans="1:26" ht="12.75" customHeight="1" x14ac:dyDescent="0.2">
      <c r="A22644" s="258"/>
      <c r="Z22644" s="258"/>
    </row>
    <row r="22645" spans="1:26" ht="12.75" customHeight="1" x14ac:dyDescent="0.2">
      <c r="A22645" s="258"/>
      <c r="Z22645" s="258"/>
    </row>
    <row r="22646" spans="1:26" ht="12.75" customHeight="1" x14ac:dyDescent="0.2">
      <c r="A22646" s="258"/>
      <c r="Z22646" s="258"/>
    </row>
    <row r="22647" spans="1:26" ht="12.75" customHeight="1" x14ac:dyDescent="0.2">
      <c r="A22647" s="258"/>
      <c r="Z22647" s="258"/>
    </row>
    <row r="22648" spans="1:26" ht="12.75" customHeight="1" x14ac:dyDescent="0.2">
      <c r="A22648" s="258"/>
      <c r="Z22648" s="258"/>
    </row>
    <row r="22649" spans="1:26" ht="12.75" customHeight="1" x14ac:dyDescent="0.2">
      <c r="A22649" s="258"/>
      <c r="Z22649" s="258"/>
    </row>
    <row r="22650" spans="1:26" ht="12.75" customHeight="1" x14ac:dyDescent="0.2">
      <c r="A22650" s="258"/>
      <c r="Z22650" s="258"/>
    </row>
    <row r="22651" spans="1:26" ht="12.75" customHeight="1" x14ac:dyDescent="0.2">
      <c r="A22651" s="258"/>
      <c r="Z22651" s="258"/>
    </row>
    <row r="22652" spans="1:26" ht="12.75" customHeight="1" x14ac:dyDescent="0.2">
      <c r="A22652" s="258"/>
      <c r="Z22652" s="258"/>
    </row>
    <row r="22653" spans="1:26" ht="12.75" customHeight="1" x14ac:dyDescent="0.2">
      <c r="A22653" s="258"/>
      <c r="Z22653" s="258"/>
    </row>
    <row r="22654" spans="1:26" ht="12.75" customHeight="1" x14ac:dyDescent="0.2">
      <c r="A22654" s="258"/>
      <c r="Z22654" s="258"/>
    </row>
    <row r="22655" spans="1:26" ht="12.75" customHeight="1" x14ac:dyDescent="0.2">
      <c r="A22655" s="258"/>
      <c r="Z22655" s="258"/>
    </row>
    <row r="22656" spans="1:26" ht="12.75" customHeight="1" x14ac:dyDescent="0.2">
      <c r="A22656" s="258"/>
      <c r="Z22656" s="258"/>
    </row>
    <row r="22657" spans="1:26" ht="12.75" customHeight="1" x14ac:dyDescent="0.2">
      <c r="A22657" s="258"/>
      <c r="Z22657" s="258"/>
    </row>
    <row r="22658" spans="1:26" ht="12.75" customHeight="1" x14ac:dyDescent="0.2">
      <c r="A22658" s="258"/>
      <c r="Z22658" s="258"/>
    </row>
    <row r="22659" spans="1:26" ht="12.75" customHeight="1" x14ac:dyDescent="0.2">
      <c r="A22659" s="258"/>
      <c r="Z22659" s="258"/>
    </row>
    <row r="22660" spans="1:26" ht="12.75" customHeight="1" x14ac:dyDescent="0.2">
      <c r="A22660" s="258"/>
      <c r="Z22660" s="258"/>
    </row>
    <row r="22661" spans="1:26" ht="12.75" customHeight="1" x14ac:dyDescent="0.2">
      <c r="A22661" s="258"/>
      <c r="Z22661" s="258"/>
    </row>
    <row r="22662" spans="1:26" ht="12.75" customHeight="1" x14ac:dyDescent="0.2">
      <c r="A22662" s="258"/>
      <c r="Z22662" s="258"/>
    </row>
    <row r="22663" spans="1:26" ht="12.75" customHeight="1" x14ac:dyDescent="0.2">
      <c r="A22663" s="258"/>
      <c r="Z22663" s="258"/>
    </row>
    <row r="22664" spans="1:26" ht="12.75" customHeight="1" x14ac:dyDescent="0.2">
      <c r="A22664" s="258"/>
      <c r="Z22664" s="258"/>
    </row>
    <row r="22665" spans="1:26" ht="12.75" customHeight="1" x14ac:dyDescent="0.2">
      <c r="A22665" s="258"/>
      <c r="Z22665" s="258"/>
    </row>
    <row r="22666" spans="1:26" ht="12.75" customHeight="1" x14ac:dyDescent="0.2">
      <c r="A22666" s="258"/>
      <c r="Z22666" s="258"/>
    </row>
    <row r="22667" spans="1:26" ht="12.75" customHeight="1" x14ac:dyDescent="0.2">
      <c r="A22667" s="258"/>
      <c r="Z22667" s="258"/>
    </row>
    <row r="22668" spans="1:26" ht="12.75" customHeight="1" x14ac:dyDescent="0.2">
      <c r="A22668" s="258"/>
      <c r="Z22668" s="258"/>
    </row>
    <row r="22669" spans="1:26" ht="12.75" customHeight="1" x14ac:dyDescent="0.2">
      <c r="A22669" s="258"/>
      <c r="Z22669" s="258"/>
    </row>
    <row r="22670" spans="1:26" ht="12.75" customHeight="1" x14ac:dyDescent="0.2">
      <c r="A22670" s="258"/>
      <c r="Z22670" s="258"/>
    </row>
    <row r="22671" spans="1:26" ht="12.75" customHeight="1" x14ac:dyDescent="0.2">
      <c r="A22671" s="258"/>
      <c r="Z22671" s="258"/>
    </row>
    <row r="22672" spans="1:26" ht="12.75" customHeight="1" x14ac:dyDescent="0.2">
      <c r="A22672" s="258"/>
      <c r="Z22672" s="258"/>
    </row>
    <row r="22673" spans="1:26" ht="12.75" customHeight="1" x14ac:dyDescent="0.2">
      <c r="A22673" s="258"/>
      <c r="Z22673" s="258"/>
    </row>
    <row r="22674" spans="1:26" ht="12.75" customHeight="1" x14ac:dyDescent="0.2">
      <c r="A22674" s="258"/>
      <c r="Z22674" s="258"/>
    </row>
    <row r="22675" spans="1:26" ht="12.75" customHeight="1" x14ac:dyDescent="0.2">
      <c r="A22675" s="258"/>
      <c r="Z22675" s="258"/>
    </row>
    <row r="22676" spans="1:26" ht="12.75" customHeight="1" x14ac:dyDescent="0.2">
      <c r="A22676" s="258"/>
      <c r="Z22676" s="258"/>
    </row>
    <row r="22677" spans="1:26" ht="12.75" customHeight="1" x14ac:dyDescent="0.2">
      <c r="A22677" s="258"/>
      <c r="Z22677" s="258"/>
    </row>
    <row r="22678" spans="1:26" ht="12.75" customHeight="1" x14ac:dyDescent="0.2">
      <c r="A22678" s="258"/>
      <c r="Z22678" s="258"/>
    </row>
    <row r="22679" spans="1:26" ht="12.75" customHeight="1" x14ac:dyDescent="0.2">
      <c r="A22679" s="258"/>
      <c r="Z22679" s="258"/>
    </row>
    <row r="22680" spans="1:26" ht="12.75" customHeight="1" x14ac:dyDescent="0.2">
      <c r="A22680" s="258"/>
      <c r="Z22680" s="258"/>
    </row>
    <row r="22681" spans="1:26" ht="12.75" customHeight="1" x14ac:dyDescent="0.2">
      <c r="A22681" s="258"/>
      <c r="Z22681" s="258"/>
    </row>
    <row r="22682" spans="1:26" ht="12.75" customHeight="1" x14ac:dyDescent="0.2">
      <c r="A22682" s="258"/>
      <c r="Z22682" s="258"/>
    </row>
    <row r="22683" spans="1:26" ht="12.75" customHeight="1" x14ac:dyDescent="0.2">
      <c r="A22683" s="258"/>
      <c r="Z22683" s="258"/>
    </row>
    <row r="22684" spans="1:26" ht="12.75" customHeight="1" x14ac:dyDescent="0.2">
      <c r="A22684" s="258"/>
      <c r="Z22684" s="258"/>
    </row>
    <row r="22685" spans="1:26" ht="12.75" customHeight="1" x14ac:dyDescent="0.2">
      <c r="A22685" s="258"/>
      <c r="Z22685" s="258"/>
    </row>
    <row r="22686" spans="1:26" ht="12.75" customHeight="1" x14ac:dyDescent="0.2">
      <c r="A22686" s="258"/>
      <c r="Z22686" s="258"/>
    </row>
    <row r="22687" spans="1:26" ht="12.75" customHeight="1" x14ac:dyDescent="0.2">
      <c r="A22687" s="258"/>
      <c r="Z22687" s="258"/>
    </row>
    <row r="22688" spans="1:26" ht="12.75" customHeight="1" x14ac:dyDescent="0.2">
      <c r="A22688" s="258"/>
      <c r="Z22688" s="258"/>
    </row>
    <row r="22689" spans="1:26" ht="12.75" customHeight="1" x14ac:dyDescent="0.2">
      <c r="A22689" s="258"/>
      <c r="Z22689" s="258"/>
    </row>
    <row r="22690" spans="1:26" ht="12.75" customHeight="1" x14ac:dyDescent="0.2">
      <c r="A22690" s="258"/>
      <c r="Z22690" s="258"/>
    </row>
    <row r="22691" spans="1:26" ht="12.75" customHeight="1" x14ac:dyDescent="0.2">
      <c r="A22691" s="258"/>
      <c r="Z22691" s="258"/>
    </row>
    <row r="22692" spans="1:26" ht="12.75" customHeight="1" x14ac:dyDescent="0.2">
      <c r="A22692" s="258"/>
      <c r="Z22692" s="258"/>
    </row>
    <row r="22693" spans="1:26" ht="12.75" customHeight="1" x14ac:dyDescent="0.2">
      <c r="A22693" s="258"/>
      <c r="Z22693" s="258"/>
    </row>
    <row r="22694" spans="1:26" ht="12.75" customHeight="1" x14ac:dyDescent="0.2">
      <c r="A22694" s="258"/>
      <c r="Z22694" s="258"/>
    </row>
    <row r="22695" spans="1:26" ht="12.75" customHeight="1" x14ac:dyDescent="0.2">
      <c r="A22695" s="258"/>
      <c r="Z22695" s="258"/>
    </row>
    <row r="22696" spans="1:26" ht="12.75" customHeight="1" x14ac:dyDescent="0.2">
      <c r="A22696" s="258"/>
      <c r="Z22696" s="258"/>
    </row>
    <row r="22697" spans="1:26" ht="12.75" customHeight="1" x14ac:dyDescent="0.2">
      <c r="A22697" s="258"/>
      <c r="Z22697" s="258"/>
    </row>
    <row r="22698" spans="1:26" ht="12.75" customHeight="1" x14ac:dyDescent="0.2">
      <c r="A22698" s="258"/>
      <c r="Z22698" s="258"/>
    </row>
    <row r="22699" spans="1:26" ht="12.75" customHeight="1" x14ac:dyDescent="0.2">
      <c r="A22699" s="258"/>
      <c r="Z22699" s="258"/>
    </row>
    <row r="22700" spans="1:26" ht="12.75" customHeight="1" x14ac:dyDescent="0.2">
      <c r="A22700" s="258"/>
      <c r="Z22700" s="258"/>
    </row>
    <row r="22701" spans="1:26" ht="12.75" customHeight="1" x14ac:dyDescent="0.2">
      <c r="A22701" s="258"/>
      <c r="Z22701" s="258"/>
    </row>
    <row r="22702" spans="1:26" ht="12.75" customHeight="1" x14ac:dyDescent="0.2">
      <c r="A22702" s="258"/>
      <c r="Z22702" s="258"/>
    </row>
    <row r="22703" spans="1:26" ht="12.75" customHeight="1" x14ac:dyDescent="0.2">
      <c r="A22703" s="258"/>
      <c r="Z22703" s="258"/>
    </row>
    <row r="22704" spans="1:26" ht="12.75" customHeight="1" x14ac:dyDescent="0.2">
      <c r="A22704" s="258"/>
      <c r="Z22704" s="258"/>
    </row>
    <row r="22705" spans="1:26" ht="12.75" customHeight="1" x14ac:dyDescent="0.2">
      <c r="A22705" s="258"/>
      <c r="Z22705" s="258"/>
    </row>
    <row r="22706" spans="1:26" ht="12.75" customHeight="1" x14ac:dyDescent="0.2">
      <c r="A22706" s="258"/>
      <c r="Z22706" s="258"/>
    </row>
    <row r="22707" spans="1:26" ht="12.75" customHeight="1" x14ac:dyDescent="0.2">
      <c r="A22707" s="258"/>
      <c r="Z22707" s="258"/>
    </row>
    <row r="22708" spans="1:26" ht="12.75" customHeight="1" x14ac:dyDescent="0.2">
      <c r="A22708" s="258"/>
      <c r="Z22708" s="258"/>
    </row>
    <row r="22709" spans="1:26" ht="12.75" customHeight="1" x14ac:dyDescent="0.2">
      <c r="A22709" s="258"/>
      <c r="Z22709" s="258"/>
    </row>
    <row r="22710" spans="1:26" ht="12.75" customHeight="1" x14ac:dyDescent="0.2">
      <c r="A22710" s="258"/>
      <c r="Z22710" s="258"/>
    </row>
    <row r="22711" spans="1:26" ht="12.75" customHeight="1" x14ac:dyDescent="0.2">
      <c r="A22711" s="258"/>
      <c r="Z22711" s="258"/>
    </row>
    <row r="22712" spans="1:26" ht="12.75" customHeight="1" x14ac:dyDescent="0.2">
      <c r="A22712" s="258"/>
      <c r="Z22712" s="258"/>
    </row>
    <row r="22713" spans="1:26" ht="12.75" customHeight="1" x14ac:dyDescent="0.2">
      <c r="A22713" s="258"/>
      <c r="Z22713" s="258"/>
    </row>
    <row r="22714" spans="1:26" ht="12.75" customHeight="1" x14ac:dyDescent="0.2">
      <c r="A22714" s="258"/>
      <c r="Z22714" s="258"/>
    </row>
    <row r="22715" spans="1:26" ht="12.75" customHeight="1" x14ac:dyDescent="0.2">
      <c r="A22715" s="258"/>
      <c r="Z22715" s="258"/>
    </row>
    <row r="22716" spans="1:26" ht="12.75" customHeight="1" x14ac:dyDescent="0.2">
      <c r="A22716" s="258"/>
      <c r="Z22716" s="258"/>
    </row>
    <row r="22717" spans="1:26" ht="12.75" customHeight="1" x14ac:dyDescent="0.2">
      <c r="A22717" s="258"/>
      <c r="Z22717" s="258"/>
    </row>
    <row r="22718" spans="1:26" ht="12.75" customHeight="1" x14ac:dyDescent="0.2">
      <c r="A22718" s="258"/>
      <c r="Z22718" s="258"/>
    </row>
    <row r="22719" spans="1:26" ht="12.75" customHeight="1" x14ac:dyDescent="0.2">
      <c r="A22719" s="258"/>
      <c r="Z22719" s="258"/>
    </row>
    <row r="22720" spans="1:26" ht="12.75" customHeight="1" x14ac:dyDescent="0.2">
      <c r="A22720" s="258"/>
      <c r="Z22720" s="258"/>
    </row>
    <row r="22721" spans="1:26" ht="12.75" customHeight="1" x14ac:dyDescent="0.2">
      <c r="A22721" s="258"/>
      <c r="Z22721" s="258"/>
    </row>
    <row r="22722" spans="1:26" ht="12.75" customHeight="1" x14ac:dyDescent="0.2">
      <c r="A22722" s="258"/>
      <c r="Z22722" s="258"/>
    </row>
    <row r="22723" spans="1:26" ht="12.75" customHeight="1" x14ac:dyDescent="0.2">
      <c r="A22723" s="258"/>
      <c r="Z22723" s="258"/>
    </row>
    <row r="22724" spans="1:26" ht="12.75" customHeight="1" x14ac:dyDescent="0.2">
      <c r="A22724" s="258"/>
      <c r="Z22724" s="258"/>
    </row>
    <row r="22725" spans="1:26" ht="12.75" customHeight="1" x14ac:dyDescent="0.2">
      <c r="A22725" s="258"/>
      <c r="Z22725" s="258"/>
    </row>
    <row r="22726" spans="1:26" ht="12.75" customHeight="1" x14ac:dyDescent="0.2">
      <c r="A22726" s="258"/>
      <c r="Z22726" s="258"/>
    </row>
    <row r="22727" spans="1:26" ht="12.75" customHeight="1" x14ac:dyDescent="0.2">
      <c r="A22727" s="258"/>
      <c r="Z22727" s="258"/>
    </row>
    <row r="22728" spans="1:26" ht="12.75" customHeight="1" x14ac:dyDescent="0.2">
      <c r="A22728" s="258"/>
      <c r="Z22728" s="258"/>
    </row>
    <row r="22729" spans="1:26" ht="12.75" customHeight="1" x14ac:dyDescent="0.2">
      <c r="A22729" s="258"/>
      <c r="Z22729" s="258"/>
    </row>
    <row r="22730" spans="1:26" ht="12.75" customHeight="1" x14ac:dyDescent="0.2">
      <c r="A22730" s="258"/>
      <c r="Z22730" s="258"/>
    </row>
    <row r="22731" spans="1:26" ht="12.75" customHeight="1" x14ac:dyDescent="0.2">
      <c r="A22731" s="258"/>
      <c r="Z22731" s="258"/>
    </row>
    <row r="22732" spans="1:26" ht="12.75" customHeight="1" x14ac:dyDescent="0.2">
      <c r="A22732" s="258"/>
      <c r="Z22732" s="258"/>
    </row>
    <row r="22733" spans="1:26" ht="12.75" customHeight="1" x14ac:dyDescent="0.2">
      <c r="A22733" s="258"/>
      <c r="Z22733" s="258"/>
    </row>
    <row r="22734" spans="1:26" ht="12.75" customHeight="1" x14ac:dyDescent="0.2">
      <c r="A22734" s="258"/>
      <c r="Z22734" s="258"/>
    </row>
    <row r="22735" spans="1:26" ht="12.75" customHeight="1" x14ac:dyDescent="0.2">
      <c r="A22735" s="258"/>
      <c r="Z22735" s="258"/>
    </row>
    <row r="22736" spans="1:26" ht="12.75" customHeight="1" x14ac:dyDescent="0.2">
      <c r="A22736" s="258"/>
      <c r="Z22736" s="258"/>
    </row>
    <row r="22737" spans="1:26" ht="12.75" customHeight="1" x14ac:dyDescent="0.2">
      <c r="A22737" s="258"/>
      <c r="Z22737" s="258"/>
    </row>
    <row r="22738" spans="1:26" ht="12.75" customHeight="1" x14ac:dyDescent="0.2">
      <c r="A22738" s="258"/>
      <c r="Z22738" s="258"/>
    </row>
    <row r="22739" spans="1:26" ht="12.75" customHeight="1" x14ac:dyDescent="0.2">
      <c r="A22739" s="258"/>
      <c r="Z22739" s="258"/>
    </row>
    <row r="22740" spans="1:26" ht="12.75" customHeight="1" x14ac:dyDescent="0.2">
      <c r="A22740" s="258"/>
      <c r="Z22740" s="258"/>
    </row>
    <row r="22741" spans="1:26" ht="12.75" customHeight="1" x14ac:dyDescent="0.2">
      <c r="A22741" s="258"/>
      <c r="Z22741" s="258"/>
    </row>
    <row r="22742" spans="1:26" ht="12.75" customHeight="1" x14ac:dyDescent="0.2">
      <c r="A22742" s="258"/>
      <c r="Z22742" s="258"/>
    </row>
    <row r="22743" spans="1:26" ht="12.75" customHeight="1" x14ac:dyDescent="0.2">
      <c r="A22743" s="258"/>
      <c r="Z22743" s="258"/>
    </row>
    <row r="22744" spans="1:26" ht="12.75" customHeight="1" x14ac:dyDescent="0.2">
      <c r="A22744" s="258"/>
      <c r="Z22744" s="258"/>
    </row>
    <row r="22745" spans="1:26" ht="12.75" customHeight="1" x14ac:dyDescent="0.2">
      <c r="A22745" s="258"/>
      <c r="Z22745" s="258"/>
    </row>
    <row r="22746" spans="1:26" ht="12.75" customHeight="1" x14ac:dyDescent="0.2">
      <c r="A22746" s="258"/>
      <c r="Z22746" s="258"/>
    </row>
    <row r="22747" spans="1:26" ht="12.75" customHeight="1" x14ac:dyDescent="0.2">
      <c r="A22747" s="258"/>
      <c r="Z22747" s="258"/>
    </row>
    <row r="22748" spans="1:26" ht="12.75" customHeight="1" x14ac:dyDescent="0.2">
      <c r="A22748" s="258"/>
      <c r="Z22748" s="258"/>
    </row>
    <row r="22749" spans="1:26" ht="12.75" customHeight="1" x14ac:dyDescent="0.2">
      <c r="A22749" s="258"/>
      <c r="Z22749" s="258"/>
    </row>
    <row r="22750" spans="1:26" ht="12.75" customHeight="1" x14ac:dyDescent="0.2">
      <c r="A22750" s="258"/>
      <c r="Z22750" s="258"/>
    </row>
    <row r="22751" spans="1:26" ht="12.75" customHeight="1" x14ac:dyDescent="0.2">
      <c r="A22751" s="258"/>
      <c r="Z22751" s="258"/>
    </row>
    <row r="22752" spans="1:26" ht="12.75" customHeight="1" x14ac:dyDescent="0.2">
      <c r="A22752" s="258"/>
      <c r="Z22752" s="258"/>
    </row>
    <row r="22753" spans="1:26" ht="12.75" customHeight="1" x14ac:dyDescent="0.2">
      <c r="A22753" s="258"/>
      <c r="Z22753" s="258"/>
    </row>
    <row r="22754" spans="1:26" ht="12.75" customHeight="1" x14ac:dyDescent="0.2">
      <c r="A22754" s="258"/>
      <c r="Z22754" s="258"/>
    </row>
    <row r="22755" spans="1:26" ht="12.75" customHeight="1" x14ac:dyDescent="0.2">
      <c r="A22755" s="258"/>
      <c r="Z22755" s="258"/>
    </row>
    <row r="22756" spans="1:26" ht="12.75" customHeight="1" x14ac:dyDescent="0.2">
      <c r="A22756" s="258"/>
      <c r="Z22756" s="258"/>
    </row>
    <row r="22757" spans="1:26" ht="12.75" customHeight="1" x14ac:dyDescent="0.2">
      <c r="A22757" s="258"/>
      <c r="Z22757" s="258"/>
    </row>
    <row r="22758" spans="1:26" ht="12.75" customHeight="1" x14ac:dyDescent="0.2">
      <c r="A22758" s="258"/>
      <c r="Z22758" s="258"/>
    </row>
    <row r="22759" spans="1:26" ht="12.75" customHeight="1" x14ac:dyDescent="0.2">
      <c r="A22759" s="258"/>
      <c r="Z22759" s="258"/>
    </row>
    <row r="22760" spans="1:26" ht="12.75" customHeight="1" x14ac:dyDescent="0.2">
      <c r="A22760" s="258"/>
      <c r="Z22760" s="258"/>
    </row>
    <row r="22761" spans="1:26" ht="12.75" customHeight="1" x14ac:dyDescent="0.2">
      <c r="A22761" s="258"/>
      <c r="Z22761" s="258"/>
    </row>
    <row r="22762" spans="1:26" ht="12.75" customHeight="1" x14ac:dyDescent="0.2">
      <c r="A22762" s="258"/>
      <c r="Z22762" s="258"/>
    </row>
    <row r="22763" spans="1:26" ht="12.75" customHeight="1" x14ac:dyDescent="0.2">
      <c r="A22763" s="258"/>
      <c r="Z22763" s="258"/>
    </row>
    <row r="22764" spans="1:26" ht="12.75" customHeight="1" x14ac:dyDescent="0.2">
      <c r="A22764" s="258"/>
      <c r="Z22764" s="258"/>
    </row>
    <row r="22765" spans="1:26" ht="12.75" customHeight="1" x14ac:dyDescent="0.2">
      <c r="A22765" s="258"/>
      <c r="Z22765" s="258"/>
    </row>
    <row r="22766" spans="1:26" ht="12.75" customHeight="1" x14ac:dyDescent="0.2">
      <c r="A22766" s="258"/>
      <c r="Z22766" s="258"/>
    </row>
    <row r="22767" spans="1:26" ht="12.75" customHeight="1" x14ac:dyDescent="0.2">
      <c r="A22767" s="258"/>
      <c r="Z22767" s="258"/>
    </row>
    <row r="22768" spans="1:26" ht="12.75" customHeight="1" x14ac:dyDescent="0.2">
      <c r="A22768" s="258"/>
      <c r="Z22768" s="258"/>
    </row>
    <row r="22769" spans="1:26" ht="12.75" customHeight="1" x14ac:dyDescent="0.2">
      <c r="A22769" s="258"/>
      <c r="Z22769" s="258"/>
    </row>
    <row r="22770" spans="1:26" ht="12.75" customHeight="1" x14ac:dyDescent="0.2">
      <c r="A22770" s="258"/>
      <c r="Z22770" s="258"/>
    </row>
    <row r="22771" spans="1:26" ht="12.75" customHeight="1" x14ac:dyDescent="0.2">
      <c r="A22771" s="258"/>
      <c r="Z22771" s="258"/>
    </row>
    <row r="22772" spans="1:26" ht="12.75" customHeight="1" x14ac:dyDescent="0.2">
      <c r="A22772" s="258"/>
      <c r="Z22772" s="258"/>
    </row>
    <row r="22773" spans="1:26" ht="12.75" customHeight="1" x14ac:dyDescent="0.2">
      <c r="A22773" s="258"/>
      <c r="Z22773" s="258"/>
    </row>
    <row r="22774" spans="1:26" ht="12.75" customHeight="1" x14ac:dyDescent="0.2">
      <c r="A22774" s="258"/>
      <c r="Z22774" s="258"/>
    </row>
    <row r="22775" spans="1:26" ht="12.75" customHeight="1" x14ac:dyDescent="0.2">
      <c r="A22775" s="258"/>
      <c r="Z22775" s="258"/>
    </row>
    <row r="22776" spans="1:26" ht="12.75" customHeight="1" x14ac:dyDescent="0.2">
      <c r="A22776" s="258"/>
      <c r="Z22776" s="258"/>
    </row>
    <row r="22777" spans="1:26" ht="12.75" customHeight="1" x14ac:dyDescent="0.2">
      <c r="A22777" s="258"/>
      <c r="Z22777" s="258"/>
    </row>
    <row r="22778" spans="1:26" ht="12.75" customHeight="1" x14ac:dyDescent="0.2">
      <c r="A22778" s="258"/>
      <c r="Z22778" s="258"/>
    </row>
    <row r="22779" spans="1:26" ht="12.75" customHeight="1" x14ac:dyDescent="0.2">
      <c r="A22779" s="258"/>
      <c r="Z22779" s="258"/>
    </row>
    <row r="22780" spans="1:26" ht="12.75" customHeight="1" x14ac:dyDescent="0.2">
      <c r="A22780" s="258"/>
      <c r="Z22780" s="258"/>
    </row>
    <row r="22781" spans="1:26" ht="12.75" customHeight="1" x14ac:dyDescent="0.2">
      <c r="A22781" s="258"/>
      <c r="Z22781" s="258"/>
    </row>
    <row r="22782" spans="1:26" ht="12.75" customHeight="1" x14ac:dyDescent="0.2">
      <c r="A22782" s="258"/>
      <c r="Z22782" s="258"/>
    </row>
    <row r="22783" spans="1:26" ht="12.75" customHeight="1" x14ac:dyDescent="0.2">
      <c r="A22783" s="258"/>
      <c r="Z22783" s="258"/>
    </row>
    <row r="22784" spans="1:26" ht="12.75" customHeight="1" x14ac:dyDescent="0.2">
      <c r="A22784" s="258"/>
      <c r="Z22784" s="258"/>
    </row>
    <row r="22785" spans="1:26" ht="12.75" customHeight="1" x14ac:dyDescent="0.2">
      <c r="A22785" s="258"/>
      <c r="Z22785" s="258"/>
    </row>
    <row r="22786" spans="1:26" ht="12.75" customHeight="1" x14ac:dyDescent="0.2">
      <c r="A22786" s="258"/>
      <c r="Z22786" s="258"/>
    </row>
    <row r="22787" spans="1:26" ht="12.75" customHeight="1" x14ac:dyDescent="0.2">
      <c r="A22787" s="258"/>
      <c r="Z22787" s="258"/>
    </row>
    <row r="22788" spans="1:26" ht="12.75" customHeight="1" x14ac:dyDescent="0.2">
      <c r="A22788" s="258"/>
      <c r="Z22788" s="258"/>
    </row>
    <row r="22789" spans="1:26" ht="12.75" customHeight="1" x14ac:dyDescent="0.2">
      <c r="A22789" s="258"/>
      <c r="Z22789" s="258"/>
    </row>
    <row r="22790" spans="1:26" ht="12.75" customHeight="1" x14ac:dyDescent="0.2">
      <c r="A22790" s="258"/>
      <c r="Z22790" s="258"/>
    </row>
    <row r="22791" spans="1:26" ht="12.75" customHeight="1" x14ac:dyDescent="0.2">
      <c r="A22791" s="258"/>
      <c r="Z22791" s="258"/>
    </row>
    <row r="22792" spans="1:26" ht="12.75" customHeight="1" x14ac:dyDescent="0.2">
      <c r="A22792" s="258"/>
      <c r="Z22792" s="258"/>
    </row>
    <row r="22793" spans="1:26" ht="12.75" customHeight="1" x14ac:dyDescent="0.2">
      <c r="A22793" s="258"/>
      <c r="Z22793" s="258"/>
    </row>
    <row r="22794" spans="1:26" ht="12.75" customHeight="1" x14ac:dyDescent="0.2">
      <c r="A22794" s="258"/>
      <c r="Z22794" s="258"/>
    </row>
    <row r="22795" spans="1:26" ht="12.75" customHeight="1" x14ac:dyDescent="0.2">
      <c r="A22795" s="258"/>
      <c r="Z22795" s="258"/>
    </row>
    <row r="22796" spans="1:26" ht="12.75" customHeight="1" x14ac:dyDescent="0.2">
      <c r="A22796" s="258"/>
      <c r="Z22796" s="258"/>
    </row>
    <row r="22797" spans="1:26" ht="12.75" customHeight="1" x14ac:dyDescent="0.2">
      <c r="A22797" s="258"/>
      <c r="Z22797" s="258"/>
    </row>
    <row r="22798" spans="1:26" ht="12.75" customHeight="1" x14ac:dyDescent="0.2">
      <c r="A22798" s="258"/>
      <c r="Z22798" s="258"/>
    </row>
    <row r="22799" spans="1:26" ht="12.75" customHeight="1" x14ac:dyDescent="0.2">
      <c r="A22799" s="258"/>
      <c r="Z22799" s="258"/>
    </row>
    <row r="22800" spans="1:26" ht="12.75" customHeight="1" x14ac:dyDescent="0.2">
      <c r="A22800" s="258"/>
      <c r="Z22800" s="258"/>
    </row>
    <row r="22801" spans="1:26" ht="12.75" customHeight="1" x14ac:dyDescent="0.2">
      <c r="A22801" s="258"/>
      <c r="Z22801" s="258"/>
    </row>
    <row r="22802" spans="1:26" ht="12.75" customHeight="1" x14ac:dyDescent="0.2">
      <c r="A22802" s="258"/>
      <c r="Z22802" s="258"/>
    </row>
    <row r="22803" spans="1:26" ht="12.75" customHeight="1" x14ac:dyDescent="0.2">
      <c r="A22803" s="258"/>
      <c r="Z22803" s="258"/>
    </row>
    <row r="22804" spans="1:26" ht="12.75" customHeight="1" x14ac:dyDescent="0.2">
      <c r="A22804" s="258"/>
      <c r="Z22804" s="258"/>
    </row>
    <row r="22805" spans="1:26" ht="12.75" customHeight="1" x14ac:dyDescent="0.2">
      <c r="A22805" s="258"/>
      <c r="Z22805" s="258"/>
    </row>
    <row r="22806" spans="1:26" ht="12.75" customHeight="1" x14ac:dyDescent="0.2">
      <c r="A22806" s="258"/>
      <c r="Z22806" s="258"/>
    </row>
    <row r="22807" spans="1:26" ht="12.75" customHeight="1" x14ac:dyDescent="0.2">
      <c r="A22807" s="258"/>
      <c r="Z22807" s="258"/>
    </row>
    <row r="22808" spans="1:26" ht="12.75" customHeight="1" x14ac:dyDescent="0.2">
      <c r="A22808" s="258"/>
      <c r="Z22808" s="258"/>
    </row>
    <row r="22809" spans="1:26" ht="12.75" customHeight="1" x14ac:dyDescent="0.2">
      <c r="A22809" s="258"/>
      <c r="Z22809" s="258"/>
    </row>
    <row r="22810" spans="1:26" ht="12.75" customHeight="1" x14ac:dyDescent="0.2">
      <c r="A22810" s="258"/>
      <c r="Z22810" s="258"/>
    </row>
    <row r="22811" spans="1:26" ht="12.75" customHeight="1" x14ac:dyDescent="0.2">
      <c r="A22811" s="258"/>
      <c r="Z22811" s="258"/>
    </row>
    <row r="22812" spans="1:26" ht="12.75" customHeight="1" x14ac:dyDescent="0.2">
      <c r="A22812" s="258"/>
      <c r="Z22812" s="258"/>
    </row>
    <row r="22813" spans="1:26" ht="12.75" customHeight="1" x14ac:dyDescent="0.2">
      <c r="A22813" s="258"/>
      <c r="Z22813" s="258"/>
    </row>
    <row r="22814" spans="1:26" ht="12.75" customHeight="1" x14ac:dyDescent="0.2">
      <c r="A22814" s="258"/>
      <c r="Z22814" s="258"/>
    </row>
    <row r="22815" spans="1:26" ht="12.75" customHeight="1" x14ac:dyDescent="0.2">
      <c r="A22815" s="258"/>
      <c r="Z22815" s="258"/>
    </row>
    <row r="22816" spans="1:26" ht="12.75" customHeight="1" x14ac:dyDescent="0.2">
      <c r="A22816" s="258"/>
      <c r="Z22816" s="258"/>
    </row>
    <row r="22817" spans="1:26" ht="12.75" customHeight="1" x14ac:dyDescent="0.2">
      <c r="A22817" s="258"/>
      <c r="Z22817" s="258"/>
    </row>
    <row r="22818" spans="1:26" ht="12.75" customHeight="1" x14ac:dyDescent="0.2">
      <c r="A22818" s="258"/>
      <c r="Z22818" s="258"/>
    </row>
    <row r="22819" spans="1:26" ht="12.75" customHeight="1" x14ac:dyDescent="0.2">
      <c r="A22819" s="258"/>
      <c r="Z22819" s="258"/>
    </row>
    <row r="22820" spans="1:26" ht="12.75" customHeight="1" x14ac:dyDescent="0.2">
      <c r="A22820" s="258"/>
      <c r="Z22820" s="258"/>
    </row>
    <row r="22821" spans="1:26" ht="12.75" customHeight="1" x14ac:dyDescent="0.2">
      <c r="A22821" s="258"/>
      <c r="Z22821" s="258"/>
    </row>
    <row r="22822" spans="1:26" ht="12.75" customHeight="1" x14ac:dyDescent="0.2">
      <c r="A22822" s="258"/>
      <c r="Z22822" s="258"/>
    </row>
    <row r="22823" spans="1:26" ht="12.75" customHeight="1" x14ac:dyDescent="0.2">
      <c r="A22823" s="258"/>
      <c r="Z22823" s="258"/>
    </row>
    <row r="22824" spans="1:26" ht="12.75" customHeight="1" x14ac:dyDescent="0.2">
      <c r="A22824" s="258"/>
      <c r="Z22824" s="258"/>
    </row>
    <row r="22825" spans="1:26" ht="12.75" customHeight="1" x14ac:dyDescent="0.2">
      <c r="A22825" s="258"/>
      <c r="Z22825" s="258"/>
    </row>
    <row r="22826" spans="1:26" ht="12.75" customHeight="1" x14ac:dyDescent="0.2">
      <c r="A22826" s="258"/>
      <c r="Z22826" s="258"/>
    </row>
    <row r="22827" spans="1:26" ht="12.75" customHeight="1" x14ac:dyDescent="0.2">
      <c r="A22827" s="258"/>
      <c r="Z22827" s="258"/>
    </row>
    <row r="22828" spans="1:26" ht="12.75" customHeight="1" x14ac:dyDescent="0.2">
      <c r="A22828" s="258"/>
      <c r="Z22828" s="258"/>
    </row>
    <row r="22829" spans="1:26" ht="12.75" customHeight="1" x14ac:dyDescent="0.2">
      <c r="A22829" s="258"/>
      <c r="Z22829" s="258"/>
    </row>
    <row r="22830" spans="1:26" ht="12.75" customHeight="1" x14ac:dyDescent="0.2">
      <c r="A22830" s="258"/>
      <c r="Z22830" s="258"/>
    </row>
    <row r="22831" spans="1:26" ht="12.75" customHeight="1" x14ac:dyDescent="0.2">
      <c r="A22831" s="258"/>
      <c r="Z22831" s="258"/>
    </row>
    <row r="22832" spans="1:26" ht="12.75" customHeight="1" x14ac:dyDescent="0.2">
      <c r="A22832" s="258"/>
      <c r="Z22832" s="258"/>
    </row>
    <row r="22833" spans="1:26" ht="12.75" customHeight="1" x14ac:dyDescent="0.2">
      <c r="A22833" s="258"/>
      <c r="Z22833" s="258"/>
    </row>
    <row r="22834" spans="1:26" ht="12.75" customHeight="1" x14ac:dyDescent="0.2">
      <c r="A22834" s="258"/>
      <c r="Z22834" s="258"/>
    </row>
    <row r="22835" spans="1:26" ht="12.75" customHeight="1" x14ac:dyDescent="0.2">
      <c r="A22835" s="258"/>
      <c r="Z22835" s="258"/>
    </row>
    <row r="22836" spans="1:26" ht="12.75" customHeight="1" x14ac:dyDescent="0.2">
      <c r="A22836" s="258"/>
      <c r="Z22836" s="258"/>
    </row>
    <row r="22837" spans="1:26" ht="12.75" customHeight="1" x14ac:dyDescent="0.2">
      <c r="A22837" s="258"/>
      <c r="Z22837" s="258"/>
    </row>
    <row r="22838" spans="1:26" ht="12.75" customHeight="1" x14ac:dyDescent="0.2">
      <c r="A22838" s="258"/>
      <c r="Z22838" s="258"/>
    </row>
    <row r="22839" spans="1:26" ht="12.75" customHeight="1" x14ac:dyDescent="0.2">
      <c r="A22839" s="258"/>
      <c r="Z22839" s="258"/>
    </row>
    <row r="22840" spans="1:26" ht="12.75" customHeight="1" x14ac:dyDescent="0.2">
      <c r="A22840" s="258"/>
      <c r="Z22840" s="258"/>
    </row>
    <row r="22841" spans="1:26" ht="12.75" customHeight="1" x14ac:dyDescent="0.2">
      <c r="A22841" s="258"/>
      <c r="Z22841" s="258"/>
    </row>
    <row r="22842" spans="1:26" ht="12.75" customHeight="1" x14ac:dyDescent="0.2">
      <c r="A22842" s="258"/>
      <c r="Z22842" s="258"/>
    </row>
    <row r="22843" spans="1:26" ht="12.75" customHeight="1" x14ac:dyDescent="0.2">
      <c r="A22843" s="258"/>
      <c r="Z22843" s="258"/>
    </row>
    <row r="22844" spans="1:26" ht="12.75" customHeight="1" x14ac:dyDescent="0.2">
      <c r="A22844" s="258"/>
      <c r="Z22844" s="258"/>
    </row>
    <row r="22845" spans="1:26" ht="12.75" customHeight="1" x14ac:dyDescent="0.2">
      <c r="A22845" s="258"/>
      <c r="Z22845" s="258"/>
    </row>
    <row r="22846" spans="1:26" ht="12.75" customHeight="1" x14ac:dyDescent="0.2">
      <c r="A22846" s="258"/>
      <c r="Z22846" s="258"/>
    </row>
    <row r="22847" spans="1:26" ht="12.75" customHeight="1" x14ac:dyDescent="0.2">
      <c r="A22847" s="258"/>
      <c r="Z22847" s="258"/>
    </row>
    <row r="22848" spans="1:26" ht="12.75" customHeight="1" x14ac:dyDescent="0.2">
      <c r="A22848" s="258"/>
      <c r="Z22848" s="258"/>
    </row>
    <row r="22849" spans="1:26" ht="12.75" customHeight="1" x14ac:dyDescent="0.2">
      <c r="A22849" s="258"/>
      <c r="Z22849" s="258"/>
    </row>
    <row r="22850" spans="1:26" ht="12.75" customHeight="1" x14ac:dyDescent="0.2">
      <c r="A22850" s="258"/>
      <c r="Z22850" s="258"/>
    </row>
    <row r="22851" spans="1:26" ht="12.75" customHeight="1" x14ac:dyDescent="0.2">
      <c r="A22851" s="258"/>
      <c r="Z22851" s="258"/>
    </row>
    <row r="22852" spans="1:26" ht="12.75" customHeight="1" x14ac:dyDescent="0.2">
      <c r="A22852" s="258"/>
      <c r="Z22852" s="258"/>
    </row>
    <row r="22853" spans="1:26" ht="12.75" customHeight="1" x14ac:dyDescent="0.2">
      <c r="A22853" s="258"/>
      <c r="Z22853" s="258"/>
    </row>
    <row r="22854" spans="1:26" ht="12.75" customHeight="1" x14ac:dyDescent="0.2">
      <c r="A22854" s="258"/>
      <c r="Z22854" s="258"/>
    </row>
    <row r="22855" spans="1:26" ht="12.75" customHeight="1" x14ac:dyDescent="0.2">
      <c r="A22855" s="258"/>
      <c r="Z22855" s="258"/>
    </row>
    <row r="22856" spans="1:26" ht="12.75" customHeight="1" x14ac:dyDescent="0.2">
      <c r="A22856" s="258"/>
      <c r="Z22856" s="258"/>
    </row>
    <row r="22857" spans="1:26" ht="12.75" customHeight="1" x14ac:dyDescent="0.2">
      <c r="A22857" s="258"/>
      <c r="Z22857" s="258"/>
    </row>
    <row r="22858" spans="1:26" ht="12.75" customHeight="1" x14ac:dyDescent="0.2">
      <c r="A22858" s="258"/>
      <c r="Z22858" s="258"/>
    </row>
    <row r="22859" spans="1:26" ht="12.75" customHeight="1" x14ac:dyDescent="0.2">
      <c r="A22859" s="258"/>
      <c r="Z22859" s="258"/>
    </row>
    <row r="22860" spans="1:26" ht="12.75" customHeight="1" x14ac:dyDescent="0.2">
      <c r="A22860" s="258"/>
      <c r="Z22860" s="258"/>
    </row>
    <row r="22861" spans="1:26" ht="12.75" customHeight="1" x14ac:dyDescent="0.2">
      <c r="A22861" s="258"/>
      <c r="Z22861" s="258"/>
    </row>
    <row r="22862" spans="1:26" ht="12.75" customHeight="1" x14ac:dyDescent="0.2">
      <c r="A22862" s="258"/>
      <c r="Z22862" s="258"/>
    </row>
    <row r="22863" spans="1:26" ht="12.75" customHeight="1" x14ac:dyDescent="0.2">
      <c r="A22863" s="258"/>
      <c r="Z22863" s="258"/>
    </row>
    <row r="22864" spans="1:26" ht="12.75" customHeight="1" x14ac:dyDescent="0.2">
      <c r="A22864" s="258"/>
      <c r="Z22864" s="258"/>
    </row>
    <row r="22865" spans="1:26" ht="12.75" customHeight="1" x14ac:dyDescent="0.2">
      <c r="A22865" s="258"/>
      <c r="Z22865" s="258"/>
    </row>
    <row r="22866" spans="1:26" ht="12.75" customHeight="1" x14ac:dyDescent="0.2">
      <c r="A22866" s="258"/>
      <c r="Z22866" s="258"/>
    </row>
    <row r="22867" spans="1:26" ht="12.75" customHeight="1" x14ac:dyDescent="0.2">
      <c r="A22867" s="258"/>
      <c r="Z22867" s="258"/>
    </row>
    <row r="22868" spans="1:26" ht="12.75" customHeight="1" x14ac:dyDescent="0.2">
      <c r="A22868" s="258"/>
      <c r="Z22868" s="258"/>
    </row>
    <row r="22869" spans="1:26" ht="12.75" customHeight="1" x14ac:dyDescent="0.2">
      <c r="A22869" s="258"/>
      <c r="Z22869" s="258"/>
    </row>
    <row r="22870" spans="1:26" ht="12.75" customHeight="1" x14ac:dyDescent="0.2">
      <c r="A22870" s="258"/>
      <c r="Z22870" s="258"/>
    </row>
    <row r="22871" spans="1:26" ht="12.75" customHeight="1" x14ac:dyDescent="0.2">
      <c r="A22871" s="258"/>
      <c r="Z22871" s="258"/>
    </row>
    <row r="22872" spans="1:26" ht="12.75" customHeight="1" x14ac:dyDescent="0.2">
      <c r="A22872" s="258"/>
      <c r="Z22872" s="258"/>
    </row>
    <row r="22873" spans="1:26" ht="12.75" customHeight="1" x14ac:dyDescent="0.2">
      <c r="A22873" s="258"/>
      <c r="Z22873" s="258"/>
    </row>
    <row r="22874" spans="1:26" ht="12.75" customHeight="1" x14ac:dyDescent="0.2">
      <c r="A22874" s="258"/>
      <c r="Z22874" s="258"/>
    </row>
    <row r="22875" spans="1:26" ht="12.75" customHeight="1" x14ac:dyDescent="0.2">
      <c r="A22875" s="258"/>
      <c r="Z22875" s="258"/>
    </row>
    <row r="22876" spans="1:26" ht="12.75" customHeight="1" x14ac:dyDescent="0.2">
      <c r="A22876" s="258"/>
      <c r="Z22876" s="258"/>
    </row>
    <row r="22877" spans="1:26" ht="12.75" customHeight="1" x14ac:dyDescent="0.2">
      <c r="A22877" s="258"/>
      <c r="Z22877" s="258"/>
    </row>
    <row r="22878" spans="1:26" ht="12.75" customHeight="1" x14ac:dyDescent="0.2">
      <c r="A22878" s="258"/>
      <c r="Z22878" s="258"/>
    </row>
    <row r="22879" spans="1:26" ht="12.75" customHeight="1" x14ac:dyDescent="0.2">
      <c r="A22879" s="258"/>
      <c r="Z22879" s="258"/>
    </row>
    <row r="22880" spans="1:26" ht="12.75" customHeight="1" x14ac:dyDescent="0.2">
      <c r="A22880" s="258"/>
      <c r="Z22880" s="258"/>
    </row>
    <row r="22881" spans="1:26" ht="12.75" customHeight="1" x14ac:dyDescent="0.2">
      <c r="A22881" s="258"/>
      <c r="Z22881" s="258"/>
    </row>
    <row r="22882" spans="1:26" ht="12.75" customHeight="1" x14ac:dyDescent="0.2">
      <c r="A22882" s="258"/>
      <c r="Z22882" s="258"/>
    </row>
    <row r="22883" spans="1:26" ht="12.75" customHeight="1" x14ac:dyDescent="0.2">
      <c r="A22883" s="258"/>
      <c r="Z22883" s="258"/>
    </row>
    <row r="22884" spans="1:26" ht="12.75" customHeight="1" x14ac:dyDescent="0.2">
      <c r="A22884" s="258"/>
      <c r="Z22884" s="258"/>
    </row>
    <row r="22885" spans="1:26" ht="12.75" customHeight="1" x14ac:dyDescent="0.2">
      <c r="A22885" s="258"/>
      <c r="Z22885" s="258"/>
    </row>
    <row r="22886" spans="1:26" ht="12.75" customHeight="1" x14ac:dyDescent="0.2">
      <c r="A22886" s="258"/>
      <c r="Z22886" s="258"/>
    </row>
    <row r="22887" spans="1:26" ht="12.75" customHeight="1" x14ac:dyDescent="0.2">
      <c r="A22887" s="258"/>
      <c r="Z22887" s="258"/>
    </row>
    <row r="22888" spans="1:26" ht="12.75" customHeight="1" x14ac:dyDescent="0.2">
      <c r="A22888" s="258"/>
      <c r="Z22888" s="258"/>
    </row>
    <row r="22889" spans="1:26" ht="12.75" customHeight="1" x14ac:dyDescent="0.2">
      <c r="A22889" s="258"/>
      <c r="Z22889" s="258"/>
    </row>
    <row r="22890" spans="1:26" ht="12.75" customHeight="1" x14ac:dyDescent="0.2">
      <c r="A22890" s="258"/>
      <c r="Z22890" s="258"/>
    </row>
    <row r="22891" spans="1:26" ht="12.75" customHeight="1" x14ac:dyDescent="0.2">
      <c r="A22891" s="258"/>
      <c r="Z22891" s="258"/>
    </row>
    <row r="22892" spans="1:26" ht="12.75" customHeight="1" x14ac:dyDescent="0.2">
      <c r="A22892" s="258"/>
      <c r="Z22892" s="258"/>
    </row>
    <row r="22893" spans="1:26" ht="12.75" customHeight="1" x14ac:dyDescent="0.2">
      <c r="A22893" s="258"/>
      <c r="Z22893" s="258"/>
    </row>
    <row r="22894" spans="1:26" ht="12.75" customHeight="1" x14ac:dyDescent="0.2">
      <c r="A22894" s="258"/>
      <c r="Z22894" s="258"/>
    </row>
    <row r="22895" spans="1:26" ht="12.75" customHeight="1" x14ac:dyDescent="0.2">
      <c r="A22895" s="258"/>
      <c r="Z22895" s="258"/>
    </row>
    <row r="22896" spans="1:26" ht="12.75" customHeight="1" x14ac:dyDescent="0.2">
      <c r="A22896" s="258"/>
      <c r="Z22896" s="258"/>
    </row>
    <row r="22897" spans="1:26" ht="12.75" customHeight="1" x14ac:dyDescent="0.2">
      <c r="A22897" s="258"/>
      <c r="Z22897" s="258"/>
    </row>
    <row r="22898" spans="1:26" ht="12.75" customHeight="1" x14ac:dyDescent="0.2">
      <c r="A22898" s="258"/>
      <c r="Z22898" s="258"/>
    </row>
    <row r="22899" spans="1:26" ht="12.75" customHeight="1" x14ac:dyDescent="0.2">
      <c r="A22899" s="258"/>
      <c r="Z22899" s="258"/>
    </row>
    <row r="22900" spans="1:26" ht="12.75" customHeight="1" x14ac:dyDescent="0.2">
      <c r="A22900" s="258"/>
      <c r="Z22900" s="258"/>
    </row>
    <row r="22901" spans="1:26" ht="12.75" customHeight="1" x14ac:dyDescent="0.2">
      <c r="A22901" s="258"/>
      <c r="Z22901" s="258"/>
    </row>
    <row r="22902" spans="1:26" ht="12.75" customHeight="1" x14ac:dyDescent="0.2">
      <c r="A22902" s="258"/>
      <c r="Z22902" s="258"/>
    </row>
    <row r="22903" spans="1:26" ht="12.75" customHeight="1" x14ac:dyDescent="0.2">
      <c r="A22903" s="258"/>
      <c r="Z22903" s="258"/>
    </row>
    <row r="22904" spans="1:26" ht="12.75" customHeight="1" x14ac:dyDescent="0.2">
      <c r="A22904" s="258"/>
      <c r="Z22904" s="258"/>
    </row>
    <row r="22905" spans="1:26" ht="12.75" customHeight="1" x14ac:dyDescent="0.2">
      <c r="A22905" s="258"/>
      <c r="Z22905" s="258"/>
    </row>
    <row r="22906" spans="1:26" ht="12.75" customHeight="1" x14ac:dyDescent="0.2">
      <c r="A22906" s="258"/>
      <c r="Z22906" s="258"/>
    </row>
    <row r="22907" spans="1:26" ht="12.75" customHeight="1" x14ac:dyDescent="0.2">
      <c r="A22907" s="258"/>
      <c r="Z22907" s="258"/>
    </row>
    <row r="22908" spans="1:26" ht="12.75" customHeight="1" x14ac:dyDescent="0.2">
      <c r="A22908" s="258"/>
      <c r="Z22908" s="258"/>
    </row>
    <row r="22909" spans="1:26" ht="12.75" customHeight="1" x14ac:dyDescent="0.2">
      <c r="A22909" s="258"/>
      <c r="Z22909" s="258"/>
    </row>
    <row r="22910" spans="1:26" ht="12.75" customHeight="1" x14ac:dyDescent="0.2">
      <c r="A22910" s="258"/>
      <c r="Z22910" s="258"/>
    </row>
    <row r="22911" spans="1:26" ht="12.75" customHeight="1" x14ac:dyDescent="0.2">
      <c r="A22911" s="258"/>
      <c r="Z22911" s="258"/>
    </row>
    <row r="22912" spans="1:26" ht="12.75" customHeight="1" x14ac:dyDescent="0.2">
      <c r="A22912" s="258"/>
      <c r="Z22912" s="258"/>
    </row>
    <row r="22913" spans="1:26" ht="12.75" customHeight="1" x14ac:dyDescent="0.2">
      <c r="A22913" s="258"/>
      <c r="Z22913" s="258"/>
    </row>
    <row r="22914" spans="1:26" ht="12.75" customHeight="1" x14ac:dyDescent="0.2">
      <c r="A22914" s="258"/>
      <c r="Z22914" s="258"/>
    </row>
    <row r="22915" spans="1:26" ht="12.75" customHeight="1" x14ac:dyDescent="0.2">
      <c r="A22915" s="258"/>
      <c r="Z22915" s="258"/>
    </row>
    <row r="22916" spans="1:26" ht="12.75" customHeight="1" x14ac:dyDescent="0.2">
      <c r="A22916" s="258"/>
      <c r="Z22916" s="258"/>
    </row>
    <row r="22917" spans="1:26" ht="12.75" customHeight="1" x14ac:dyDescent="0.2">
      <c r="A22917" s="258"/>
      <c r="Z22917" s="258"/>
    </row>
    <row r="22918" spans="1:26" ht="12.75" customHeight="1" x14ac:dyDescent="0.2">
      <c r="A22918" s="258"/>
      <c r="Z22918" s="258"/>
    </row>
    <row r="22919" spans="1:26" ht="12.75" customHeight="1" x14ac:dyDescent="0.2">
      <c r="A22919" s="258"/>
      <c r="Z22919" s="258"/>
    </row>
    <row r="22920" spans="1:26" ht="12.75" customHeight="1" x14ac:dyDescent="0.2">
      <c r="A22920" s="258"/>
      <c r="Z22920" s="258"/>
    </row>
    <row r="22921" spans="1:26" ht="12.75" customHeight="1" x14ac:dyDescent="0.2">
      <c r="A22921" s="258"/>
      <c r="Z22921" s="258"/>
    </row>
    <row r="22922" spans="1:26" ht="12.75" customHeight="1" x14ac:dyDescent="0.2">
      <c r="A22922" s="258"/>
      <c r="Z22922" s="258"/>
    </row>
    <row r="22923" spans="1:26" ht="12.75" customHeight="1" x14ac:dyDescent="0.2">
      <c r="A22923" s="258"/>
      <c r="Z22923" s="258"/>
    </row>
    <row r="22924" spans="1:26" ht="12.75" customHeight="1" x14ac:dyDescent="0.2">
      <c r="A22924" s="258"/>
      <c r="Z22924" s="258"/>
    </row>
    <row r="22925" spans="1:26" ht="12.75" customHeight="1" x14ac:dyDescent="0.2">
      <c r="A22925" s="258"/>
      <c r="Z22925" s="258"/>
    </row>
    <row r="22926" spans="1:26" ht="12.75" customHeight="1" x14ac:dyDescent="0.2">
      <c r="A22926" s="258"/>
      <c r="Z22926" s="258"/>
    </row>
    <row r="22927" spans="1:26" ht="12.75" customHeight="1" x14ac:dyDescent="0.2">
      <c r="A22927" s="258"/>
      <c r="Z22927" s="258"/>
    </row>
    <row r="22928" spans="1:26" ht="12.75" customHeight="1" x14ac:dyDescent="0.2">
      <c r="A22928" s="258"/>
      <c r="Z22928" s="258"/>
    </row>
    <row r="22929" spans="1:26" ht="12.75" customHeight="1" x14ac:dyDescent="0.2">
      <c r="A22929" s="258"/>
      <c r="Z22929" s="258"/>
    </row>
    <row r="22930" spans="1:26" ht="12.75" customHeight="1" x14ac:dyDescent="0.2">
      <c r="A22930" s="258"/>
      <c r="Z22930" s="258"/>
    </row>
    <row r="22931" spans="1:26" ht="12.75" customHeight="1" x14ac:dyDescent="0.2">
      <c r="A22931" s="258"/>
      <c r="Z22931" s="258"/>
    </row>
    <row r="22932" spans="1:26" ht="12.75" customHeight="1" x14ac:dyDescent="0.2">
      <c r="A22932" s="258"/>
      <c r="Z22932" s="258"/>
    </row>
    <row r="22933" spans="1:26" ht="12.75" customHeight="1" x14ac:dyDescent="0.2">
      <c r="A22933" s="258"/>
      <c r="Z22933" s="258"/>
    </row>
    <row r="22934" spans="1:26" ht="12.75" customHeight="1" x14ac:dyDescent="0.2">
      <c r="A22934" s="258"/>
      <c r="Z22934" s="258"/>
    </row>
    <row r="22935" spans="1:26" ht="12.75" customHeight="1" x14ac:dyDescent="0.2">
      <c r="A22935" s="258"/>
      <c r="Z22935" s="258"/>
    </row>
    <row r="22936" spans="1:26" ht="12.75" customHeight="1" x14ac:dyDescent="0.2">
      <c r="A22936" s="258"/>
      <c r="Z22936" s="258"/>
    </row>
    <row r="22937" spans="1:26" ht="12.75" customHeight="1" x14ac:dyDescent="0.2">
      <c r="A22937" s="258"/>
      <c r="Z22937" s="258"/>
    </row>
    <row r="22938" spans="1:26" ht="12.75" customHeight="1" x14ac:dyDescent="0.2">
      <c r="A22938" s="258"/>
      <c r="Z22938" s="258"/>
    </row>
    <row r="22939" spans="1:26" ht="12.75" customHeight="1" x14ac:dyDescent="0.2">
      <c r="A22939" s="258"/>
      <c r="Z22939" s="258"/>
    </row>
    <row r="22940" spans="1:26" ht="12.75" customHeight="1" x14ac:dyDescent="0.2">
      <c r="A22940" s="258"/>
      <c r="Z22940" s="258"/>
    </row>
    <row r="22941" spans="1:26" ht="12.75" customHeight="1" x14ac:dyDescent="0.2">
      <c r="A22941" s="258"/>
      <c r="Z22941" s="258"/>
    </row>
    <row r="22942" spans="1:26" ht="12.75" customHeight="1" x14ac:dyDescent="0.2">
      <c r="A22942" s="258"/>
      <c r="Z22942" s="258"/>
    </row>
    <row r="22943" spans="1:26" ht="12.75" customHeight="1" x14ac:dyDescent="0.2">
      <c r="A22943" s="258"/>
      <c r="Z22943" s="258"/>
    </row>
    <row r="22944" spans="1:26" ht="12.75" customHeight="1" x14ac:dyDescent="0.2">
      <c r="A22944" s="258"/>
      <c r="Z22944" s="258"/>
    </row>
    <row r="22945" spans="1:26" ht="12.75" customHeight="1" x14ac:dyDescent="0.2">
      <c r="A22945" s="258"/>
      <c r="Z22945" s="258"/>
    </row>
    <row r="22946" spans="1:26" ht="12.75" customHeight="1" x14ac:dyDescent="0.2">
      <c r="A22946" s="258"/>
      <c r="Z22946" s="258"/>
    </row>
    <row r="22947" spans="1:26" ht="12.75" customHeight="1" x14ac:dyDescent="0.2">
      <c r="A22947" s="258"/>
      <c r="Z22947" s="258"/>
    </row>
    <row r="22948" spans="1:26" ht="12.75" customHeight="1" x14ac:dyDescent="0.2">
      <c r="A22948" s="258"/>
      <c r="Z22948" s="258"/>
    </row>
    <row r="22949" spans="1:26" ht="12.75" customHeight="1" x14ac:dyDescent="0.2">
      <c r="A22949" s="258"/>
      <c r="Z22949" s="258"/>
    </row>
    <row r="22950" spans="1:26" ht="12.75" customHeight="1" x14ac:dyDescent="0.2">
      <c r="A22950" s="258"/>
      <c r="Z22950" s="258"/>
    </row>
    <row r="22951" spans="1:26" ht="12.75" customHeight="1" x14ac:dyDescent="0.2">
      <c r="A22951" s="258"/>
      <c r="Z22951" s="258"/>
    </row>
    <row r="22952" spans="1:26" ht="12.75" customHeight="1" x14ac:dyDescent="0.2">
      <c r="A22952" s="258"/>
      <c r="Z22952" s="258"/>
    </row>
    <row r="22953" spans="1:26" ht="12.75" customHeight="1" x14ac:dyDescent="0.2">
      <c r="A22953" s="258"/>
      <c r="Z22953" s="258"/>
    </row>
    <row r="22954" spans="1:26" ht="12.75" customHeight="1" x14ac:dyDescent="0.2">
      <c r="A22954" s="258"/>
      <c r="Z22954" s="258"/>
    </row>
    <row r="22955" spans="1:26" ht="12.75" customHeight="1" x14ac:dyDescent="0.2">
      <c r="A22955" s="258"/>
      <c r="Z22955" s="258"/>
    </row>
    <row r="22956" spans="1:26" ht="12.75" customHeight="1" x14ac:dyDescent="0.2">
      <c r="A22956" s="258"/>
      <c r="Z22956" s="258"/>
    </row>
    <row r="22957" spans="1:26" ht="12.75" customHeight="1" x14ac:dyDescent="0.2">
      <c r="A22957" s="258"/>
      <c r="Z22957" s="258"/>
    </row>
    <row r="22958" spans="1:26" ht="12.75" customHeight="1" x14ac:dyDescent="0.2">
      <c r="A22958" s="258"/>
      <c r="Z22958" s="258"/>
    </row>
    <row r="22959" spans="1:26" ht="12.75" customHeight="1" x14ac:dyDescent="0.2">
      <c r="A22959" s="258"/>
      <c r="Z22959" s="258"/>
    </row>
    <row r="22960" spans="1:26" ht="12.75" customHeight="1" x14ac:dyDescent="0.2">
      <c r="A22960" s="258"/>
      <c r="Z22960" s="258"/>
    </row>
    <row r="22961" spans="1:26" ht="12.75" customHeight="1" x14ac:dyDescent="0.2">
      <c r="A22961" s="258"/>
      <c r="Z22961" s="258"/>
    </row>
    <row r="22962" spans="1:26" ht="12.75" customHeight="1" x14ac:dyDescent="0.2">
      <c r="A22962" s="258"/>
      <c r="Z22962" s="258"/>
    </row>
    <row r="22963" spans="1:26" ht="12.75" customHeight="1" x14ac:dyDescent="0.2">
      <c r="A22963" s="258"/>
      <c r="Z22963" s="258"/>
    </row>
    <row r="22964" spans="1:26" ht="12.75" customHeight="1" x14ac:dyDescent="0.2">
      <c r="A22964" s="258"/>
      <c r="Z22964" s="258"/>
    </row>
    <row r="22965" spans="1:26" ht="12.75" customHeight="1" x14ac:dyDescent="0.2">
      <c r="A22965" s="258"/>
      <c r="Z22965" s="258"/>
    </row>
    <row r="22966" spans="1:26" ht="12.75" customHeight="1" x14ac:dyDescent="0.2">
      <c r="A22966" s="258"/>
      <c r="Z22966" s="258"/>
    </row>
    <row r="22967" spans="1:26" ht="12.75" customHeight="1" x14ac:dyDescent="0.2">
      <c r="A22967" s="258"/>
      <c r="Z22967" s="258"/>
    </row>
    <row r="22968" spans="1:26" ht="12.75" customHeight="1" x14ac:dyDescent="0.2">
      <c r="A22968" s="258"/>
      <c r="Z22968" s="258"/>
    </row>
    <row r="22969" spans="1:26" ht="12.75" customHeight="1" x14ac:dyDescent="0.2">
      <c r="A22969" s="258"/>
      <c r="Z22969" s="258"/>
    </row>
    <row r="22970" spans="1:26" ht="12.75" customHeight="1" x14ac:dyDescent="0.2">
      <c r="A22970" s="258"/>
      <c r="Z22970" s="258"/>
    </row>
    <row r="22971" spans="1:26" ht="12.75" customHeight="1" x14ac:dyDescent="0.2">
      <c r="A22971" s="258"/>
      <c r="Z22971" s="258"/>
    </row>
    <row r="22972" spans="1:26" ht="12.75" customHeight="1" x14ac:dyDescent="0.2">
      <c r="A22972" s="258"/>
      <c r="Z22972" s="258"/>
    </row>
    <row r="22973" spans="1:26" ht="12.75" customHeight="1" x14ac:dyDescent="0.2">
      <c r="A22973" s="258"/>
      <c r="Z22973" s="258"/>
    </row>
    <row r="22974" spans="1:26" ht="12.75" customHeight="1" x14ac:dyDescent="0.2">
      <c r="A22974" s="258"/>
      <c r="Z22974" s="258"/>
    </row>
    <row r="22975" spans="1:26" ht="12.75" customHeight="1" x14ac:dyDescent="0.2">
      <c r="A22975" s="258"/>
      <c r="Z22975" s="258"/>
    </row>
    <row r="22976" spans="1:26" ht="12.75" customHeight="1" x14ac:dyDescent="0.2">
      <c r="A22976" s="258"/>
      <c r="Z22976" s="258"/>
    </row>
    <row r="22977" spans="1:26" ht="12.75" customHeight="1" x14ac:dyDescent="0.2">
      <c r="A22977" s="258"/>
      <c r="Z22977" s="258"/>
    </row>
    <row r="22978" spans="1:26" ht="12.75" customHeight="1" x14ac:dyDescent="0.2">
      <c r="A22978" s="258"/>
      <c r="Z22978" s="258"/>
    </row>
    <row r="22979" spans="1:26" ht="12.75" customHeight="1" x14ac:dyDescent="0.2">
      <c r="A22979" s="258"/>
      <c r="Z22979" s="258"/>
    </row>
    <row r="22980" spans="1:26" ht="12.75" customHeight="1" x14ac:dyDescent="0.2">
      <c r="A22980" s="258"/>
      <c r="Z22980" s="258"/>
    </row>
    <row r="22981" spans="1:26" ht="12.75" customHeight="1" x14ac:dyDescent="0.2">
      <c r="A22981" s="258"/>
      <c r="Z22981" s="258"/>
    </row>
    <row r="22982" spans="1:26" ht="12.75" customHeight="1" x14ac:dyDescent="0.2">
      <c r="A22982" s="258"/>
      <c r="Z22982" s="258"/>
    </row>
    <row r="22983" spans="1:26" ht="12.75" customHeight="1" x14ac:dyDescent="0.2">
      <c r="A22983" s="258"/>
      <c r="Z22983" s="258"/>
    </row>
    <row r="22984" spans="1:26" ht="12.75" customHeight="1" x14ac:dyDescent="0.2">
      <c r="A22984" s="258"/>
      <c r="Z22984" s="258"/>
    </row>
    <row r="22985" spans="1:26" ht="12.75" customHeight="1" x14ac:dyDescent="0.2">
      <c r="A22985" s="258"/>
      <c r="Z22985" s="258"/>
    </row>
    <row r="22986" spans="1:26" ht="12.75" customHeight="1" x14ac:dyDescent="0.2">
      <c r="A22986" s="258"/>
      <c r="Z22986" s="258"/>
    </row>
    <row r="22987" spans="1:26" ht="12.75" customHeight="1" x14ac:dyDescent="0.2">
      <c r="A22987" s="258"/>
      <c r="Z22987" s="258"/>
    </row>
    <row r="22988" spans="1:26" ht="12.75" customHeight="1" x14ac:dyDescent="0.2">
      <c r="A22988" s="258"/>
      <c r="Z22988" s="258"/>
    </row>
    <row r="22989" spans="1:26" ht="12.75" customHeight="1" x14ac:dyDescent="0.2">
      <c r="A22989" s="258"/>
      <c r="Z22989" s="258"/>
    </row>
    <row r="22990" spans="1:26" ht="12.75" customHeight="1" x14ac:dyDescent="0.2">
      <c r="A22990" s="258"/>
      <c r="Z22990" s="258"/>
    </row>
    <row r="22991" spans="1:26" ht="12.75" customHeight="1" x14ac:dyDescent="0.2">
      <c r="A22991" s="258"/>
      <c r="Z22991" s="258"/>
    </row>
    <row r="22992" spans="1:26" ht="12.75" customHeight="1" x14ac:dyDescent="0.2">
      <c r="A22992" s="258"/>
      <c r="Z22992" s="258"/>
    </row>
    <row r="22993" spans="1:26" ht="12.75" customHeight="1" x14ac:dyDescent="0.2">
      <c r="A22993" s="258"/>
      <c r="Z22993" s="258"/>
    </row>
    <row r="22994" spans="1:26" ht="12.75" customHeight="1" x14ac:dyDescent="0.2">
      <c r="A22994" s="258"/>
      <c r="Z22994" s="258"/>
    </row>
    <row r="22995" spans="1:26" ht="12.75" customHeight="1" x14ac:dyDescent="0.2">
      <c r="A22995" s="258"/>
      <c r="Z22995" s="258"/>
    </row>
    <row r="22996" spans="1:26" ht="12.75" customHeight="1" x14ac:dyDescent="0.2">
      <c r="A22996" s="258"/>
      <c r="Z22996" s="258"/>
    </row>
    <row r="22997" spans="1:26" ht="12.75" customHeight="1" x14ac:dyDescent="0.2">
      <c r="A22997" s="258"/>
      <c r="Z22997" s="258"/>
    </row>
    <row r="22998" spans="1:26" ht="12.75" customHeight="1" x14ac:dyDescent="0.2">
      <c r="A22998" s="258"/>
      <c r="Z22998" s="258"/>
    </row>
    <row r="22999" spans="1:26" ht="12.75" customHeight="1" x14ac:dyDescent="0.2">
      <c r="A22999" s="258"/>
      <c r="Z22999" s="258"/>
    </row>
    <row r="23000" spans="1:26" ht="12.75" customHeight="1" x14ac:dyDescent="0.2">
      <c r="A23000" s="258"/>
      <c r="Z23000" s="258"/>
    </row>
    <row r="23001" spans="1:26" ht="12.75" customHeight="1" x14ac:dyDescent="0.2">
      <c r="A23001" s="258"/>
      <c r="Z23001" s="258"/>
    </row>
    <row r="23002" spans="1:26" ht="12.75" customHeight="1" x14ac:dyDescent="0.2">
      <c r="A23002" s="258"/>
      <c r="Z23002" s="258"/>
    </row>
    <row r="23003" spans="1:26" ht="12.75" customHeight="1" x14ac:dyDescent="0.2">
      <c r="A23003" s="258"/>
      <c r="Z23003" s="258"/>
    </row>
    <row r="23004" spans="1:26" ht="12.75" customHeight="1" x14ac:dyDescent="0.2">
      <c r="A23004" s="258"/>
      <c r="Z23004" s="258"/>
    </row>
    <row r="23005" spans="1:26" ht="12.75" customHeight="1" x14ac:dyDescent="0.2">
      <c r="A23005" s="258"/>
      <c r="Z23005" s="258"/>
    </row>
    <row r="23006" spans="1:26" ht="12.75" customHeight="1" x14ac:dyDescent="0.2">
      <c r="A23006" s="258"/>
      <c r="Z23006" s="258"/>
    </row>
    <row r="23007" spans="1:26" ht="12.75" customHeight="1" x14ac:dyDescent="0.2">
      <c r="A23007" s="258"/>
      <c r="Z23007" s="258"/>
    </row>
    <row r="23008" spans="1:26" ht="12.75" customHeight="1" x14ac:dyDescent="0.2">
      <c r="A23008" s="258"/>
      <c r="Z23008" s="258"/>
    </row>
    <row r="23009" spans="1:26" ht="12.75" customHeight="1" x14ac:dyDescent="0.2">
      <c r="A23009" s="258"/>
      <c r="Z23009" s="258"/>
    </row>
    <row r="23010" spans="1:26" ht="12.75" customHeight="1" x14ac:dyDescent="0.2">
      <c r="A23010" s="258"/>
      <c r="Z23010" s="258"/>
    </row>
    <row r="23011" spans="1:26" ht="12.75" customHeight="1" x14ac:dyDescent="0.2">
      <c r="A23011" s="258"/>
      <c r="Z23011" s="258"/>
    </row>
    <row r="23012" spans="1:26" ht="12.75" customHeight="1" x14ac:dyDescent="0.2">
      <c r="A23012" s="258"/>
      <c r="Z23012" s="258"/>
    </row>
    <row r="23013" spans="1:26" ht="12.75" customHeight="1" x14ac:dyDescent="0.2">
      <c r="A23013" s="258"/>
      <c r="Z23013" s="258"/>
    </row>
    <row r="23014" spans="1:26" ht="12.75" customHeight="1" x14ac:dyDescent="0.2">
      <c r="A23014" s="258"/>
      <c r="Z23014" s="258"/>
    </row>
    <row r="23015" spans="1:26" ht="12.75" customHeight="1" x14ac:dyDescent="0.2">
      <c r="A23015" s="258"/>
      <c r="Z23015" s="258"/>
    </row>
    <row r="23016" spans="1:26" ht="12.75" customHeight="1" x14ac:dyDescent="0.2">
      <c r="A23016" s="258"/>
      <c r="Z23016" s="258"/>
    </row>
    <row r="23017" spans="1:26" ht="12.75" customHeight="1" x14ac:dyDescent="0.2">
      <c r="A23017" s="258"/>
      <c r="Z23017" s="258"/>
    </row>
    <row r="23018" spans="1:26" ht="12.75" customHeight="1" x14ac:dyDescent="0.2">
      <c r="A23018" s="258"/>
      <c r="Z23018" s="258"/>
    </row>
    <row r="23019" spans="1:26" ht="12.75" customHeight="1" x14ac:dyDescent="0.2">
      <c r="A23019" s="258"/>
      <c r="Z23019" s="258"/>
    </row>
    <row r="23020" spans="1:26" ht="12.75" customHeight="1" x14ac:dyDescent="0.2">
      <c r="A23020" s="258"/>
      <c r="Z23020" s="258"/>
    </row>
    <row r="23021" spans="1:26" ht="12.75" customHeight="1" x14ac:dyDescent="0.2">
      <c r="A23021" s="258"/>
      <c r="Z23021" s="258"/>
    </row>
    <row r="23022" spans="1:26" ht="12.75" customHeight="1" x14ac:dyDescent="0.2">
      <c r="A23022" s="258"/>
      <c r="Z23022" s="258"/>
    </row>
    <row r="23023" spans="1:26" ht="12.75" customHeight="1" x14ac:dyDescent="0.2">
      <c r="A23023" s="258"/>
      <c r="Z23023" s="258"/>
    </row>
    <row r="23024" spans="1:26" ht="12.75" customHeight="1" x14ac:dyDescent="0.2">
      <c r="A23024" s="258"/>
      <c r="Z23024" s="258"/>
    </row>
    <row r="23025" spans="1:26" ht="12.75" customHeight="1" x14ac:dyDescent="0.2">
      <c r="A23025" s="258"/>
      <c r="Z23025" s="258"/>
    </row>
    <row r="23026" spans="1:26" ht="12.75" customHeight="1" x14ac:dyDescent="0.2">
      <c r="A23026" s="258"/>
      <c r="Z23026" s="258"/>
    </row>
    <row r="23027" spans="1:26" ht="12.75" customHeight="1" x14ac:dyDescent="0.2">
      <c r="A23027" s="258"/>
      <c r="Z23027" s="258"/>
    </row>
    <row r="23028" spans="1:26" ht="12.75" customHeight="1" x14ac:dyDescent="0.2">
      <c r="A23028" s="258"/>
      <c r="Z23028" s="258"/>
    </row>
    <row r="23029" spans="1:26" ht="12.75" customHeight="1" x14ac:dyDescent="0.2">
      <c r="A23029" s="258"/>
      <c r="Z23029" s="258"/>
    </row>
    <row r="23030" spans="1:26" ht="12.75" customHeight="1" x14ac:dyDescent="0.2">
      <c r="A23030" s="258"/>
      <c r="Z23030" s="258"/>
    </row>
    <row r="23031" spans="1:26" ht="12.75" customHeight="1" x14ac:dyDescent="0.2">
      <c r="A23031" s="258"/>
      <c r="Z23031" s="258"/>
    </row>
    <row r="23032" spans="1:26" ht="12.75" customHeight="1" x14ac:dyDescent="0.2">
      <c r="A23032" s="258"/>
      <c r="Z23032" s="258"/>
    </row>
    <row r="23033" spans="1:26" ht="12.75" customHeight="1" x14ac:dyDescent="0.2">
      <c r="A23033" s="258"/>
      <c r="Z23033" s="258"/>
    </row>
    <row r="23034" spans="1:26" ht="12.75" customHeight="1" x14ac:dyDescent="0.2">
      <c r="A23034" s="258"/>
      <c r="Z23034" s="258"/>
    </row>
    <row r="23035" spans="1:26" ht="12.75" customHeight="1" x14ac:dyDescent="0.2">
      <c r="A23035" s="258"/>
      <c r="Z23035" s="258"/>
    </row>
    <row r="23036" spans="1:26" ht="12.75" customHeight="1" x14ac:dyDescent="0.2">
      <c r="A23036" s="258"/>
      <c r="Z23036" s="258"/>
    </row>
    <row r="23037" spans="1:26" ht="12.75" customHeight="1" x14ac:dyDescent="0.2">
      <c r="A23037" s="258"/>
      <c r="Z23037" s="258"/>
    </row>
    <row r="23038" spans="1:26" ht="12.75" customHeight="1" x14ac:dyDescent="0.2">
      <c r="A23038" s="258"/>
      <c r="Z23038" s="258"/>
    </row>
    <row r="23039" spans="1:26" ht="12.75" customHeight="1" x14ac:dyDescent="0.2">
      <c r="A23039" s="258"/>
      <c r="Z23039" s="258"/>
    </row>
    <row r="23040" spans="1:26" ht="12.75" customHeight="1" x14ac:dyDescent="0.2">
      <c r="A23040" s="258"/>
      <c r="Z23040" s="258"/>
    </row>
    <row r="23041" spans="1:26" ht="12.75" customHeight="1" x14ac:dyDescent="0.2">
      <c r="A23041" s="258"/>
      <c r="Z23041" s="258"/>
    </row>
    <row r="23042" spans="1:26" ht="12.75" customHeight="1" x14ac:dyDescent="0.2">
      <c r="A23042" s="258"/>
      <c r="Z23042" s="258"/>
    </row>
    <row r="23043" spans="1:26" ht="12.75" customHeight="1" x14ac:dyDescent="0.2">
      <c r="A23043" s="258"/>
      <c r="Z23043" s="258"/>
    </row>
    <row r="23044" spans="1:26" ht="12.75" customHeight="1" x14ac:dyDescent="0.2">
      <c r="A23044" s="258"/>
      <c r="Z23044" s="258"/>
    </row>
    <row r="23045" spans="1:26" ht="12.75" customHeight="1" x14ac:dyDescent="0.2">
      <c r="A23045" s="258"/>
      <c r="Z23045" s="258"/>
    </row>
    <row r="23046" spans="1:26" ht="12.75" customHeight="1" x14ac:dyDescent="0.2">
      <c r="A23046" s="258"/>
      <c r="Z23046" s="258"/>
    </row>
    <row r="23047" spans="1:26" ht="12.75" customHeight="1" x14ac:dyDescent="0.2">
      <c r="A23047" s="258"/>
      <c r="Z23047" s="258"/>
    </row>
    <row r="23048" spans="1:26" ht="12.75" customHeight="1" x14ac:dyDescent="0.2">
      <c r="A23048" s="258"/>
      <c r="Z23048" s="258"/>
    </row>
    <row r="23049" spans="1:26" ht="12.75" customHeight="1" x14ac:dyDescent="0.2">
      <c r="A23049" s="258"/>
      <c r="Z23049" s="258"/>
    </row>
    <row r="23050" spans="1:26" ht="12.75" customHeight="1" x14ac:dyDescent="0.2">
      <c r="A23050" s="258"/>
      <c r="Z23050" s="258"/>
    </row>
    <row r="23051" spans="1:26" ht="12.75" customHeight="1" x14ac:dyDescent="0.2">
      <c r="A23051" s="258"/>
      <c r="Z23051" s="258"/>
    </row>
    <row r="23052" spans="1:26" ht="12.75" customHeight="1" x14ac:dyDescent="0.2">
      <c r="A23052" s="258"/>
      <c r="Z23052" s="258"/>
    </row>
    <row r="23053" spans="1:26" ht="12.75" customHeight="1" x14ac:dyDescent="0.2">
      <c r="A23053" s="258"/>
      <c r="Z23053" s="258"/>
    </row>
    <row r="23054" spans="1:26" ht="12.75" customHeight="1" x14ac:dyDescent="0.2">
      <c r="A23054" s="258"/>
      <c r="Z23054" s="258"/>
    </row>
    <row r="23055" spans="1:26" ht="12.75" customHeight="1" x14ac:dyDescent="0.2">
      <c r="A23055" s="258"/>
      <c r="Z23055" s="258"/>
    </row>
    <row r="23056" spans="1:26" ht="12.75" customHeight="1" x14ac:dyDescent="0.2">
      <c r="A23056" s="258"/>
      <c r="Z23056" s="258"/>
    </row>
    <row r="23057" spans="1:26" ht="12.75" customHeight="1" x14ac:dyDescent="0.2">
      <c r="A23057" s="258"/>
      <c r="Z23057" s="258"/>
    </row>
    <row r="23058" spans="1:26" ht="12.75" customHeight="1" x14ac:dyDescent="0.2">
      <c r="A23058" s="258"/>
      <c r="Z23058" s="258"/>
    </row>
    <row r="23059" spans="1:26" ht="12.75" customHeight="1" x14ac:dyDescent="0.2">
      <c r="A23059" s="258"/>
      <c r="Z23059" s="258"/>
    </row>
    <row r="23060" spans="1:26" ht="12.75" customHeight="1" x14ac:dyDescent="0.2">
      <c r="A23060" s="258"/>
      <c r="Z23060" s="258"/>
    </row>
    <row r="23061" spans="1:26" ht="12.75" customHeight="1" x14ac:dyDescent="0.2">
      <c r="A23061" s="258"/>
      <c r="Z23061" s="258"/>
    </row>
    <row r="23062" spans="1:26" ht="12.75" customHeight="1" x14ac:dyDescent="0.2">
      <c r="A23062" s="258"/>
      <c r="Z23062" s="258"/>
    </row>
    <row r="23063" spans="1:26" ht="12.75" customHeight="1" x14ac:dyDescent="0.2">
      <c r="A23063" s="258"/>
      <c r="Z23063" s="258"/>
    </row>
    <row r="23064" spans="1:26" ht="12.75" customHeight="1" x14ac:dyDescent="0.2">
      <c r="A23064" s="258"/>
      <c r="Z23064" s="258"/>
    </row>
    <row r="23065" spans="1:26" ht="12.75" customHeight="1" x14ac:dyDescent="0.2">
      <c r="A23065" s="258"/>
      <c r="Z23065" s="258"/>
    </row>
    <row r="23066" spans="1:26" ht="12.75" customHeight="1" x14ac:dyDescent="0.2">
      <c r="A23066" s="258"/>
      <c r="Z23066" s="258"/>
    </row>
    <row r="23067" spans="1:26" ht="12.75" customHeight="1" x14ac:dyDescent="0.2">
      <c r="A23067" s="258"/>
      <c r="Z23067" s="258"/>
    </row>
    <row r="23068" spans="1:26" ht="12.75" customHeight="1" x14ac:dyDescent="0.2">
      <c r="A23068" s="258"/>
      <c r="Z23068" s="258"/>
    </row>
    <row r="23069" spans="1:26" ht="12.75" customHeight="1" x14ac:dyDescent="0.2">
      <c r="A23069" s="258"/>
      <c r="Z23069" s="258"/>
    </row>
    <row r="23070" spans="1:26" ht="12.75" customHeight="1" x14ac:dyDescent="0.2">
      <c r="A23070" s="258"/>
      <c r="Z23070" s="258"/>
    </row>
    <row r="23071" spans="1:26" ht="12.75" customHeight="1" x14ac:dyDescent="0.2">
      <c r="A23071" s="258"/>
      <c r="Z23071" s="258"/>
    </row>
    <row r="23072" spans="1:26" ht="12.75" customHeight="1" x14ac:dyDescent="0.2">
      <c r="A23072" s="258"/>
      <c r="Z23072" s="258"/>
    </row>
    <row r="23073" spans="1:26" ht="12.75" customHeight="1" x14ac:dyDescent="0.2">
      <c r="A23073" s="258"/>
      <c r="Z23073" s="258"/>
    </row>
    <row r="23074" spans="1:26" ht="12.75" customHeight="1" x14ac:dyDescent="0.2">
      <c r="A23074" s="258"/>
      <c r="Z23074" s="258"/>
    </row>
    <row r="23075" spans="1:26" ht="12.75" customHeight="1" x14ac:dyDescent="0.2">
      <c r="A23075" s="258"/>
      <c r="Z23075" s="258"/>
    </row>
    <row r="23076" spans="1:26" ht="12.75" customHeight="1" x14ac:dyDescent="0.2">
      <c r="A23076" s="258"/>
      <c r="Z23076" s="258"/>
    </row>
    <row r="23077" spans="1:26" ht="12.75" customHeight="1" x14ac:dyDescent="0.2">
      <c r="A23077" s="258"/>
      <c r="Z23077" s="258"/>
    </row>
    <row r="23078" spans="1:26" ht="12.75" customHeight="1" x14ac:dyDescent="0.2">
      <c r="A23078" s="258"/>
      <c r="Z23078" s="258"/>
    </row>
    <row r="23079" spans="1:26" ht="12.75" customHeight="1" x14ac:dyDescent="0.2">
      <c r="A23079" s="258"/>
      <c r="Z23079" s="258"/>
    </row>
    <row r="23080" spans="1:26" ht="12.75" customHeight="1" x14ac:dyDescent="0.2">
      <c r="A23080" s="258"/>
      <c r="Z23080" s="258"/>
    </row>
    <row r="23081" spans="1:26" ht="12.75" customHeight="1" x14ac:dyDescent="0.2">
      <c r="A23081" s="258"/>
      <c r="Z23081" s="258"/>
    </row>
    <row r="23082" spans="1:26" ht="12.75" customHeight="1" x14ac:dyDescent="0.2">
      <c r="A23082" s="258"/>
      <c r="Z23082" s="258"/>
    </row>
    <row r="23083" spans="1:26" ht="12.75" customHeight="1" x14ac:dyDescent="0.2">
      <c r="A23083" s="258"/>
      <c r="Z23083" s="258"/>
    </row>
    <row r="23084" spans="1:26" ht="12.75" customHeight="1" x14ac:dyDescent="0.2">
      <c r="A23084" s="258"/>
      <c r="Z23084" s="258"/>
    </row>
    <row r="23085" spans="1:26" ht="12.75" customHeight="1" x14ac:dyDescent="0.2">
      <c r="A23085" s="258"/>
      <c r="Z23085" s="258"/>
    </row>
    <row r="23086" spans="1:26" ht="12.75" customHeight="1" x14ac:dyDescent="0.2">
      <c r="A23086" s="258"/>
      <c r="Z23086" s="258"/>
    </row>
    <row r="23087" spans="1:26" ht="12.75" customHeight="1" x14ac:dyDescent="0.2">
      <c r="A23087" s="258"/>
      <c r="Z23087" s="258"/>
    </row>
    <row r="23088" spans="1:26" ht="12.75" customHeight="1" x14ac:dyDescent="0.2">
      <c r="A23088" s="258"/>
      <c r="Z23088" s="258"/>
    </row>
    <row r="23089" spans="1:26" ht="12.75" customHeight="1" x14ac:dyDescent="0.2">
      <c r="A23089" s="258"/>
      <c r="Z23089" s="258"/>
    </row>
    <row r="23090" spans="1:26" ht="12.75" customHeight="1" x14ac:dyDescent="0.2">
      <c r="A23090" s="258"/>
      <c r="Z23090" s="258"/>
    </row>
    <row r="23091" spans="1:26" ht="12.75" customHeight="1" x14ac:dyDescent="0.2">
      <c r="A23091" s="258"/>
      <c r="Z23091" s="258"/>
    </row>
    <row r="23092" spans="1:26" ht="12.75" customHeight="1" x14ac:dyDescent="0.2">
      <c r="A23092" s="258"/>
      <c r="Z23092" s="258"/>
    </row>
    <row r="23093" spans="1:26" ht="12.75" customHeight="1" x14ac:dyDescent="0.2">
      <c r="A23093" s="258"/>
      <c r="Z23093" s="258"/>
    </row>
    <row r="23094" spans="1:26" ht="12.75" customHeight="1" x14ac:dyDescent="0.2">
      <c r="A23094" s="258"/>
      <c r="Z23094" s="258"/>
    </row>
    <row r="23095" spans="1:26" ht="12.75" customHeight="1" x14ac:dyDescent="0.2">
      <c r="A23095" s="258"/>
      <c r="Z23095" s="258"/>
    </row>
    <row r="23096" spans="1:26" ht="12.75" customHeight="1" x14ac:dyDescent="0.2">
      <c r="A23096" s="258"/>
      <c r="Z23096" s="258"/>
    </row>
    <row r="23097" spans="1:26" ht="12.75" customHeight="1" x14ac:dyDescent="0.2">
      <c r="A23097" s="258"/>
      <c r="Z23097" s="258"/>
    </row>
    <row r="23098" spans="1:26" ht="12.75" customHeight="1" x14ac:dyDescent="0.2">
      <c r="A23098" s="258"/>
      <c r="Z23098" s="258"/>
    </row>
    <row r="23099" spans="1:26" ht="12.75" customHeight="1" x14ac:dyDescent="0.2">
      <c r="A23099" s="258"/>
      <c r="Z23099" s="258"/>
    </row>
    <row r="23100" spans="1:26" ht="12.75" customHeight="1" x14ac:dyDescent="0.2">
      <c r="A23100" s="258"/>
      <c r="Z23100" s="258"/>
    </row>
    <row r="23101" spans="1:26" ht="12.75" customHeight="1" x14ac:dyDescent="0.2">
      <c r="A23101" s="258"/>
      <c r="Z23101" s="258"/>
    </row>
    <row r="23102" spans="1:26" ht="12.75" customHeight="1" x14ac:dyDescent="0.2">
      <c r="A23102" s="258"/>
      <c r="Z23102" s="258"/>
    </row>
    <row r="23103" spans="1:26" ht="12.75" customHeight="1" x14ac:dyDescent="0.2">
      <c r="A23103" s="258"/>
      <c r="Z23103" s="258"/>
    </row>
    <row r="23104" spans="1:26" ht="12.75" customHeight="1" x14ac:dyDescent="0.2">
      <c r="A23104" s="258"/>
      <c r="Z23104" s="258"/>
    </row>
    <row r="23105" spans="1:26" ht="12.75" customHeight="1" x14ac:dyDescent="0.2">
      <c r="A23105" s="258"/>
      <c r="Z23105" s="258"/>
    </row>
    <row r="23106" spans="1:26" ht="12.75" customHeight="1" x14ac:dyDescent="0.2">
      <c r="A23106" s="258"/>
      <c r="Z23106" s="258"/>
    </row>
    <row r="23107" spans="1:26" ht="12.75" customHeight="1" x14ac:dyDescent="0.2">
      <c r="A23107" s="258"/>
      <c r="Z23107" s="258"/>
    </row>
    <row r="23108" spans="1:26" ht="12.75" customHeight="1" x14ac:dyDescent="0.2">
      <c r="A23108" s="258"/>
      <c r="Z23108" s="258"/>
    </row>
    <row r="23109" spans="1:26" ht="12.75" customHeight="1" x14ac:dyDescent="0.2">
      <c r="A23109" s="258"/>
      <c r="Z23109" s="258"/>
    </row>
    <row r="23110" spans="1:26" ht="12.75" customHeight="1" x14ac:dyDescent="0.2">
      <c r="A23110" s="258"/>
      <c r="Z23110" s="258"/>
    </row>
    <row r="23111" spans="1:26" ht="12.75" customHeight="1" x14ac:dyDescent="0.2">
      <c r="A23111" s="258"/>
      <c r="Z23111" s="258"/>
    </row>
    <row r="23112" spans="1:26" ht="12.75" customHeight="1" x14ac:dyDescent="0.2">
      <c r="A23112" s="258"/>
      <c r="Z23112" s="258"/>
    </row>
    <row r="23113" spans="1:26" ht="12.75" customHeight="1" x14ac:dyDescent="0.2">
      <c r="A23113" s="258"/>
      <c r="Z23113" s="258"/>
    </row>
    <row r="23114" spans="1:26" ht="12.75" customHeight="1" x14ac:dyDescent="0.2">
      <c r="A23114" s="258"/>
      <c r="Z23114" s="258"/>
    </row>
    <row r="23115" spans="1:26" ht="12.75" customHeight="1" x14ac:dyDescent="0.2">
      <c r="A23115" s="258"/>
      <c r="Z23115" s="258"/>
    </row>
    <row r="23116" spans="1:26" ht="12.75" customHeight="1" x14ac:dyDescent="0.2">
      <c r="A23116" s="258"/>
      <c r="Z23116" s="258"/>
    </row>
    <row r="23117" spans="1:26" ht="12.75" customHeight="1" x14ac:dyDescent="0.2">
      <c r="A23117" s="258"/>
      <c r="Z23117" s="258"/>
    </row>
    <row r="23118" spans="1:26" ht="12.75" customHeight="1" x14ac:dyDescent="0.2">
      <c r="A23118" s="258"/>
      <c r="Z23118" s="258"/>
    </row>
    <row r="23119" spans="1:26" ht="12.75" customHeight="1" x14ac:dyDescent="0.2">
      <c r="A23119" s="258"/>
      <c r="Z23119" s="258"/>
    </row>
    <row r="23120" spans="1:26" ht="12.75" customHeight="1" x14ac:dyDescent="0.2">
      <c r="A23120" s="258"/>
      <c r="Z23120" s="258"/>
    </row>
    <row r="23121" spans="1:26" ht="12.75" customHeight="1" x14ac:dyDescent="0.2">
      <c r="A23121" s="258"/>
      <c r="Z23121" s="258"/>
    </row>
    <row r="23122" spans="1:26" ht="12.75" customHeight="1" x14ac:dyDescent="0.2">
      <c r="A23122" s="258"/>
      <c r="Z23122" s="258"/>
    </row>
    <row r="23123" spans="1:26" ht="12.75" customHeight="1" x14ac:dyDescent="0.2">
      <c r="A23123" s="258"/>
      <c r="Z23123" s="258"/>
    </row>
    <row r="23124" spans="1:26" ht="12.75" customHeight="1" x14ac:dyDescent="0.2">
      <c r="A23124" s="258"/>
      <c r="Z23124" s="258"/>
    </row>
    <row r="23125" spans="1:26" ht="12.75" customHeight="1" x14ac:dyDescent="0.2">
      <c r="A23125" s="258"/>
      <c r="Z23125" s="258"/>
    </row>
    <row r="23126" spans="1:26" ht="12.75" customHeight="1" x14ac:dyDescent="0.2">
      <c r="A23126" s="258"/>
      <c r="Z23126" s="258"/>
    </row>
    <row r="23127" spans="1:26" ht="12.75" customHeight="1" x14ac:dyDescent="0.2">
      <c r="A23127" s="258"/>
      <c r="Z23127" s="258"/>
    </row>
    <row r="23128" spans="1:26" ht="12.75" customHeight="1" x14ac:dyDescent="0.2">
      <c r="A23128" s="258"/>
      <c r="Z23128" s="258"/>
    </row>
    <row r="23129" spans="1:26" ht="12.75" customHeight="1" x14ac:dyDescent="0.2">
      <c r="A23129" s="258"/>
      <c r="Z23129" s="258"/>
    </row>
    <row r="23130" spans="1:26" ht="12.75" customHeight="1" x14ac:dyDescent="0.2">
      <c r="A23130" s="258"/>
      <c r="Z23130" s="258"/>
    </row>
    <row r="23131" spans="1:26" ht="12.75" customHeight="1" x14ac:dyDescent="0.2">
      <c r="A23131" s="258"/>
      <c r="Z23131" s="258"/>
    </row>
    <row r="23132" spans="1:26" ht="12.75" customHeight="1" x14ac:dyDescent="0.2">
      <c r="A23132" s="258"/>
      <c r="Z23132" s="258"/>
    </row>
    <row r="23133" spans="1:26" ht="12.75" customHeight="1" x14ac:dyDescent="0.2">
      <c r="A23133" s="258"/>
      <c r="Z23133" s="258"/>
    </row>
    <row r="23134" spans="1:26" ht="12.75" customHeight="1" x14ac:dyDescent="0.2">
      <c r="A23134" s="258"/>
      <c r="Z23134" s="258"/>
    </row>
    <row r="23135" spans="1:26" ht="12.75" customHeight="1" x14ac:dyDescent="0.2">
      <c r="A23135" s="258"/>
      <c r="Z23135" s="258"/>
    </row>
    <row r="23136" spans="1:26" ht="12.75" customHeight="1" x14ac:dyDescent="0.2">
      <c r="A23136" s="258"/>
      <c r="Z23136" s="258"/>
    </row>
    <row r="23137" spans="1:26" ht="12.75" customHeight="1" x14ac:dyDescent="0.2">
      <c r="A23137" s="258"/>
      <c r="Z23137" s="258"/>
    </row>
    <row r="23138" spans="1:26" ht="12.75" customHeight="1" x14ac:dyDescent="0.2">
      <c r="A23138" s="258"/>
      <c r="Z23138" s="258"/>
    </row>
    <row r="23139" spans="1:26" ht="12.75" customHeight="1" x14ac:dyDescent="0.2">
      <c r="A23139" s="258"/>
      <c r="Z23139" s="258"/>
    </row>
    <row r="23140" spans="1:26" ht="12.75" customHeight="1" x14ac:dyDescent="0.2">
      <c r="A23140" s="258"/>
      <c r="Z23140" s="258"/>
    </row>
    <row r="23141" spans="1:26" ht="12.75" customHeight="1" x14ac:dyDescent="0.2">
      <c r="A23141" s="258"/>
      <c r="Z23141" s="258"/>
    </row>
    <row r="23142" spans="1:26" ht="12.75" customHeight="1" x14ac:dyDescent="0.2">
      <c r="A23142" s="258"/>
      <c r="Z23142" s="258"/>
    </row>
    <row r="23143" spans="1:26" ht="12.75" customHeight="1" x14ac:dyDescent="0.2">
      <c r="A23143" s="258"/>
      <c r="Z23143" s="258"/>
    </row>
    <row r="23144" spans="1:26" ht="12.75" customHeight="1" x14ac:dyDescent="0.2">
      <c r="A23144" s="258"/>
      <c r="Z23144" s="258"/>
    </row>
    <row r="23145" spans="1:26" ht="12.75" customHeight="1" x14ac:dyDescent="0.2">
      <c r="A23145" s="258"/>
      <c r="Z23145" s="258"/>
    </row>
    <row r="23146" spans="1:26" ht="12.75" customHeight="1" x14ac:dyDescent="0.2">
      <c r="A23146" s="258"/>
      <c r="Z23146" s="258"/>
    </row>
    <row r="23147" spans="1:26" ht="12.75" customHeight="1" x14ac:dyDescent="0.2">
      <c r="A23147" s="258"/>
      <c r="Z23147" s="258"/>
    </row>
    <row r="23148" spans="1:26" ht="12.75" customHeight="1" x14ac:dyDescent="0.2">
      <c r="A23148" s="258"/>
      <c r="Z23148" s="258"/>
    </row>
    <row r="23149" spans="1:26" ht="12.75" customHeight="1" x14ac:dyDescent="0.2">
      <c r="A23149" s="258"/>
      <c r="Z23149" s="258"/>
    </row>
    <row r="23150" spans="1:26" ht="12.75" customHeight="1" x14ac:dyDescent="0.2">
      <c r="A23150" s="258"/>
      <c r="Z23150" s="258"/>
    </row>
    <row r="23151" spans="1:26" ht="12.75" customHeight="1" x14ac:dyDescent="0.2">
      <c r="A23151" s="258"/>
      <c r="Z23151" s="258"/>
    </row>
    <row r="23152" spans="1:26" ht="12.75" customHeight="1" x14ac:dyDescent="0.2">
      <c r="A23152" s="258"/>
      <c r="Z23152" s="258"/>
    </row>
    <row r="23153" spans="1:26" ht="12.75" customHeight="1" x14ac:dyDescent="0.2">
      <c r="A23153" s="258"/>
      <c r="Z23153" s="258"/>
    </row>
    <row r="23154" spans="1:26" ht="12.75" customHeight="1" x14ac:dyDescent="0.2">
      <c r="A23154" s="258"/>
      <c r="Z23154" s="258"/>
    </row>
    <row r="23155" spans="1:26" ht="12.75" customHeight="1" x14ac:dyDescent="0.2">
      <c r="A23155" s="258"/>
      <c r="Z23155" s="258"/>
    </row>
    <row r="23156" spans="1:26" ht="12.75" customHeight="1" x14ac:dyDescent="0.2">
      <c r="A23156" s="258"/>
      <c r="Z23156" s="258"/>
    </row>
    <row r="23157" spans="1:26" ht="12.75" customHeight="1" x14ac:dyDescent="0.2">
      <c r="A23157" s="258"/>
      <c r="Z23157" s="258"/>
    </row>
    <row r="23158" spans="1:26" ht="12.75" customHeight="1" x14ac:dyDescent="0.2">
      <c r="A23158" s="258"/>
      <c r="Z23158" s="258"/>
    </row>
    <row r="23159" spans="1:26" ht="12.75" customHeight="1" x14ac:dyDescent="0.2">
      <c r="A23159" s="258"/>
      <c r="Z23159" s="258"/>
    </row>
    <row r="23160" spans="1:26" ht="12.75" customHeight="1" x14ac:dyDescent="0.2">
      <c r="A23160" s="258"/>
      <c r="Z23160" s="258"/>
    </row>
    <row r="23161" spans="1:26" ht="12.75" customHeight="1" x14ac:dyDescent="0.2">
      <c r="A23161" s="258"/>
      <c r="Z23161" s="258"/>
    </row>
    <row r="23162" spans="1:26" ht="12.75" customHeight="1" x14ac:dyDescent="0.2">
      <c r="A23162" s="258"/>
      <c r="Z23162" s="258"/>
    </row>
    <row r="23163" spans="1:26" ht="12.75" customHeight="1" x14ac:dyDescent="0.2">
      <c r="A23163" s="258"/>
      <c r="Z23163" s="258"/>
    </row>
    <row r="23164" spans="1:26" ht="12.75" customHeight="1" x14ac:dyDescent="0.2">
      <c r="A23164" s="258"/>
      <c r="Z23164" s="258"/>
    </row>
    <row r="23165" spans="1:26" ht="12.75" customHeight="1" x14ac:dyDescent="0.2">
      <c r="A23165" s="258"/>
      <c r="Z23165" s="258"/>
    </row>
    <row r="23166" spans="1:26" ht="12.75" customHeight="1" x14ac:dyDescent="0.2">
      <c r="A23166" s="258"/>
      <c r="Z23166" s="258"/>
    </row>
    <row r="23167" spans="1:26" ht="12.75" customHeight="1" x14ac:dyDescent="0.2">
      <c r="A23167" s="258"/>
      <c r="Z23167" s="258"/>
    </row>
    <row r="23168" spans="1:26" ht="12.75" customHeight="1" x14ac:dyDescent="0.2">
      <c r="A23168" s="258"/>
      <c r="Z23168" s="258"/>
    </row>
    <row r="23169" spans="1:26" ht="12.75" customHeight="1" x14ac:dyDescent="0.2">
      <c r="A23169" s="258"/>
      <c r="Z23169" s="258"/>
    </row>
    <row r="23170" spans="1:26" ht="12.75" customHeight="1" x14ac:dyDescent="0.2">
      <c r="A23170" s="258"/>
      <c r="Z23170" s="258"/>
    </row>
    <row r="23171" spans="1:26" ht="12.75" customHeight="1" x14ac:dyDescent="0.2">
      <c r="A23171" s="258"/>
      <c r="Z23171" s="258"/>
    </row>
    <row r="23172" spans="1:26" ht="12.75" customHeight="1" x14ac:dyDescent="0.2">
      <c r="A23172" s="258"/>
      <c r="Z23172" s="258"/>
    </row>
    <row r="23173" spans="1:26" ht="12.75" customHeight="1" x14ac:dyDescent="0.2">
      <c r="A23173" s="258"/>
      <c r="Z23173" s="258"/>
    </row>
    <row r="23174" spans="1:26" ht="12.75" customHeight="1" x14ac:dyDescent="0.2">
      <c r="A23174" s="258"/>
      <c r="Z23174" s="258"/>
    </row>
    <row r="23175" spans="1:26" ht="12.75" customHeight="1" x14ac:dyDescent="0.2">
      <c r="A23175" s="258"/>
      <c r="Z23175" s="258"/>
    </row>
    <row r="23176" spans="1:26" ht="12.75" customHeight="1" x14ac:dyDescent="0.2">
      <c r="A23176" s="258"/>
      <c r="Z23176" s="258"/>
    </row>
    <row r="23177" spans="1:26" ht="12.75" customHeight="1" x14ac:dyDescent="0.2">
      <c r="A23177" s="258"/>
      <c r="Z23177" s="258"/>
    </row>
    <row r="23178" spans="1:26" ht="12.75" customHeight="1" x14ac:dyDescent="0.2">
      <c r="A23178" s="258"/>
      <c r="Z23178" s="258"/>
    </row>
    <row r="23179" spans="1:26" ht="12.75" customHeight="1" x14ac:dyDescent="0.2">
      <c r="A23179" s="258"/>
      <c r="Z23179" s="258"/>
    </row>
    <row r="23180" spans="1:26" ht="12.75" customHeight="1" x14ac:dyDescent="0.2">
      <c r="A23180" s="258"/>
      <c r="Z23180" s="258"/>
    </row>
    <row r="23181" spans="1:26" ht="12.75" customHeight="1" x14ac:dyDescent="0.2">
      <c r="A23181" s="258"/>
      <c r="Z23181" s="258"/>
    </row>
    <row r="23182" spans="1:26" ht="12.75" customHeight="1" x14ac:dyDescent="0.2">
      <c r="A23182" s="258"/>
      <c r="Z23182" s="258"/>
    </row>
    <row r="23183" spans="1:26" ht="12.75" customHeight="1" x14ac:dyDescent="0.2">
      <c r="A23183" s="258"/>
      <c r="Z23183" s="258"/>
    </row>
    <row r="23184" spans="1:26" ht="12.75" customHeight="1" x14ac:dyDescent="0.2">
      <c r="A23184" s="258"/>
      <c r="Z23184" s="258"/>
    </row>
    <row r="23185" spans="1:26" ht="12.75" customHeight="1" x14ac:dyDescent="0.2">
      <c r="A23185" s="258"/>
      <c r="Z23185" s="258"/>
    </row>
    <row r="23186" spans="1:26" ht="12.75" customHeight="1" x14ac:dyDescent="0.2">
      <c r="A23186" s="258"/>
      <c r="Z23186" s="258"/>
    </row>
    <row r="23187" spans="1:26" ht="12.75" customHeight="1" x14ac:dyDescent="0.2">
      <c r="A23187" s="258"/>
      <c r="Z23187" s="258"/>
    </row>
    <row r="23188" spans="1:26" ht="12.75" customHeight="1" x14ac:dyDescent="0.2">
      <c r="A23188" s="258"/>
      <c r="Z23188" s="258"/>
    </row>
    <row r="23189" spans="1:26" ht="12.75" customHeight="1" x14ac:dyDescent="0.2">
      <c r="A23189" s="258"/>
      <c r="Z23189" s="258"/>
    </row>
    <row r="23190" spans="1:26" ht="12.75" customHeight="1" x14ac:dyDescent="0.2">
      <c r="A23190" s="258"/>
      <c r="Z23190" s="258"/>
    </row>
    <row r="23191" spans="1:26" ht="12.75" customHeight="1" x14ac:dyDescent="0.2">
      <c r="A23191" s="258"/>
      <c r="Z23191" s="258"/>
    </row>
    <row r="23192" spans="1:26" ht="12.75" customHeight="1" x14ac:dyDescent="0.2">
      <c r="A23192" s="258"/>
      <c r="Z23192" s="258"/>
    </row>
    <row r="23193" spans="1:26" ht="12.75" customHeight="1" x14ac:dyDescent="0.2">
      <c r="A23193" s="258"/>
      <c r="Z23193" s="258"/>
    </row>
    <row r="23194" spans="1:26" ht="12.75" customHeight="1" x14ac:dyDescent="0.2">
      <c r="A23194" s="258"/>
      <c r="Z23194" s="258"/>
    </row>
    <row r="23195" spans="1:26" ht="12.75" customHeight="1" x14ac:dyDescent="0.2">
      <c r="A23195" s="258"/>
      <c r="Z23195" s="258"/>
    </row>
    <row r="23196" spans="1:26" ht="12.75" customHeight="1" x14ac:dyDescent="0.2">
      <c r="A23196" s="258"/>
      <c r="Z23196" s="258"/>
    </row>
    <row r="23197" spans="1:26" ht="12.75" customHeight="1" x14ac:dyDescent="0.2">
      <c r="A23197" s="258"/>
      <c r="Z23197" s="258"/>
    </row>
    <row r="23198" spans="1:26" ht="12.75" customHeight="1" x14ac:dyDescent="0.2">
      <c r="A23198" s="258"/>
      <c r="Z23198" s="258"/>
    </row>
    <row r="23199" spans="1:26" ht="12.75" customHeight="1" x14ac:dyDescent="0.2">
      <c r="A23199" s="258"/>
      <c r="Z23199" s="258"/>
    </row>
    <row r="23200" spans="1:26" ht="12.75" customHeight="1" x14ac:dyDescent="0.2">
      <c r="A23200" s="258"/>
      <c r="Z23200" s="258"/>
    </row>
    <row r="23201" spans="1:26" ht="12.75" customHeight="1" x14ac:dyDescent="0.2">
      <c r="A23201" s="258"/>
      <c r="Z23201" s="258"/>
    </row>
    <row r="23202" spans="1:26" ht="12.75" customHeight="1" x14ac:dyDescent="0.2">
      <c r="A23202" s="258"/>
      <c r="Z23202" s="258"/>
    </row>
    <row r="23203" spans="1:26" ht="12.75" customHeight="1" x14ac:dyDescent="0.2">
      <c r="A23203" s="258"/>
      <c r="Z23203" s="258"/>
    </row>
    <row r="23204" spans="1:26" ht="12.75" customHeight="1" x14ac:dyDescent="0.2">
      <c r="A23204" s="258"/>
      <c r="Z23204" s="258"/>
    </row>
    <row r="23205" spans="1:26" ht="12.75" customHeight="1" x14ac:dyDescent="0.2">
      <c r="A23205" s="258"/>
      <c r="Z23205" s="258"/>
    </row>
    <row r="23206" spans="1:26" ht="12.75" customHeight="1" x14ac:dyDescent="0.2">
      <c r="A23206" s="258"/>
      <c r="Z23206" s="258"/>
    </row>
    <row r="23207" spans="1:26" ht="12.75" customHeight="1" x14ac:dyDescent="0.2">
      <c r="A23207" s="258"/>
      <c r="Z23207" s="258"/>
    </row>
    <row r="23208" spans="1:26" ht="12.75" customHeight="1" x14ac:dyDescent="0.2">
      <c r="A23208" s="258"/>
      <c r="Z23208" s="258"/>
    </row>
    <row r="23209" spans="1:26" ht="12.75" customHeight="1" x14ac:dyDescent="0.2">
      <c r="A23209" s="258"/>
      <c r="Z23209" s="258"/>
    </row>
    <row r="23210" spans="1:26" ht="12.75" customHeight="1" x14ac:dyDescent="0.2">
      <c r="A23210" s="258"/>
      <c r="Z23210" s="258"/>
    </row>
    <row r="23211" spans="1:26" ht="12.75" customHeight="1" x14ac:dyDescent="0.2">
      <c r="A23211" s="258"/>
      <c r="Z23211" s="258"/>
    </row>
    <row r="23212" spans="1:26" ht="12.75" customHeight="1" x14ac:dyDescent="0.2">
      <c r="A23212" s="258"/>
      <c r="Z23212" s="258"/>
    </row>
    <row r="23213" spans="1:26" ht="12.75" customHeight="1" x14ac:dyDescent="0.2">
      <c r="A23213" s="258"/>
      <c r="Z23213" s="258"/>
    </row>
    <row r="23214" spans="1:26" ht="12.75" customHeight="1" x14ac:dyDescent="0.2">
      <c r="A23214" s="258"/>
      <c r="Z23214" s="258"/>
    </row>
    <row r="23215" spans="1:26" ht="12.75" customHeight="1" x14ac:dyDescent="0.2">
      <c r="A23215" s="258"/>
      <c r="Z23215" s="258"/>
    </row>
    <row r="23216" spans="1:26" ht="12.75" customHeight="1" x14ac:dyDescent="0.2">
      <c r="A23216" s="258"/>
      <c r="Z23216" s="258"/>
    </row>
    <row r="23217" spans="1:26" ht="12.75" customHeight="1" x14ac:dyDescent="0.2">
      <c r="A23217" s="258"/>
      <c r="Z23217" s="258"/>
    </row>
    <row r="23218" spans="1:26" ht="12.75" customHeight="1" x14ac:dyDescent="0.2">
      <c r="A23218" s="258"/>
      <c r="Z23218" s="258"/>
    </row>
    <row r="23219" spans="1:26" ht="12.75" customHeight="1" x14ac:dyDescent="0.2">
      <c r="A23219" s="258"/>
      <c r="Z23219" s="258"/>
    </row>
    <row r="23220" spans="1:26" ht="12.75" customHeight="1" x14ac:dyDescent="0.2">
      <c r="A23220" s="258"/>
      <c r="Z23220" s="258"/>
    </row>
    <row r="23221" spans="1:26" ht="12.75" customHeight="1" x14ac:dyDescent="0.2">
      <c r="A23221" s="258"/>
      <c r="Z23221" s="258"/>
    </row>
    <row r="23222" spans="1:26" ht="12.75" customHeight="1" x14ac:dyDescent="0.2">
      <c r="A23222" s="258"/>
      <c r="Z23222" s="258"/>
    </row>
    <row r="23223" spans="1:26" ht="12.75" customHeight="1" x14ac:dyDescent="0.2">
      <c r="A23223" s="258"/>
      <c r="Z23223" s="258"/>
    </row>
    <row r="23224" spans="1:26" ht="12.75" customHeight="1" x14ac:dyDescent="0.2">
      <c r="A23224" s="258"/>
      <c r="Z23224" s="258"/>
    </row>
    <row r="23225" spans="1:26" ht="12.75" customHeight="1" x14ac:dyDescent="0.2">
      <c r="A23225" s="258"/>
      <c r="Z23225" s="258"/>
    </row>
    <row r="23226" spans="1:26" ht="12.75" customHeight="1" x14ac:dyDescent="0.2">
      <c r="A23226" s="258"/>
      <c r="Z23226" s="258"/>
    </row>
    <row r="23227" spans="1:26" ht="12.75" customHeight="1" x14ac:dyDescent="0.2">
      <c r="A23227" s="258"/>
      <c r="Z23227" s="258"/>
    </row>
    <row r="23228" spans="1:26" ht="12.75" customHeight="1" x14ac:dyDescent="0.2">
      <c r="A23228" s="258"/>
      <c r="Z23228" s="258"/>
    </row>
    <row r="23229" spans="1:26" ht="12.75" customHeight="1" x14ac:dyDescent="0.2">
      <c r="A23229" s="258"/>
      <c r="Z23229" s="258"/>
    </row>
    <row r="23230" spans="1:26" ht="12.75" customHeight="1" x14ac:dyDescent="0.2">
      <c r="A23230" s="258"/>
      <c r="Z23230" s="258"/>
    </row>
    <row r="23231" spans="1:26" ht="12.75" customHeight="1" x14ac:dyDescent="0.2">
      <c r="A23231" s="258"/>
      <c r="Z23231" s="258"/>
    </row>
    <row r="23232" spans="1:26" ht="12.75" customHeight="1" x14ac:dyDescent="0.2">
      <c r="A23232" s="258"/>
      <c r="Z23232" s="258"/>
    </row>
    <row r="23233" spans="1:26" ht="12.75" customHeight="1" x14ac:dyDescent="0.2">
      <c r="A23233" s="258"/>
      <c r="Z23233" s="258"/>
    </row>
    <row r="23234" spans="1:26" ht="12.75" customHeight="1" x14ac:dyDescent="0.2">
      <c r="A23234" s="258"/>
      <c r="Z23234" s="258"/>
    </row>
    <row r="23235" spans="1:26" ht="12.75" customHeight="1" x14ac:dyDescent="0.2">
      <c r="A23235" s="258"/>
      <c r="Z23235" s="258"/>
    </row>
    <row r="23236" spans="1:26" ht="12.75" customHeight="1" x14ac:dyDescent="0.2">
      <c r="A23236" s="258"/>
      <c r="Z23236" s="258"/>
    </row>
    <row r="23237" spans="1:26" ht="12.75" customHeight="1" x14ac:dyDescent="0.2">
      <c r="A23237" s="258"/>
      <c r="Z23237" s="258"/>
    </row>
    <row r="23238" spans="1:26" ht="12.75" customHeight="1" x14ac:dyDescent="0.2">
      <c r="A23238" s="258"/>
      <c r="Z23238" s="258"/>
    </row>
    <row r="23239" spans="1:26" ht="12.75" customHeight="1" x14ac:dyDescent="0.2">
      <c r="A23239" s="258"/>
      <c r="Z23239" s="258"/>
    </row>
    <row r="23240" spans="1:26" ht="12.75" customHeight="1" x14ac:dyDescent="0.2">
      <c r="A23240" s="258"/>
      <c r="Z23240" s="258"/>
    </row>
    <row r="23241" spans="1:26" ht="12.75" customHeight="1" x14ac:dyDescent="0.2">
      <c r="A23241" s="258"/>
      <c r="Z23241" s="258"/>
    </row>
    <row r="23242" spans="1:26" ht="12.75" customHeight="1" x14ac:dyDescent="0.2">
      <c r="A23242" s="258"/>
      <c r="Z23242" s="258"/>
    </row>
    <row r="23243" spans="1:26" ht="12.75" customHeight="1" x14ac:dyDescent="0.2">
      <c r="A23243" s="258"/>
      <c r="Z23243" s="258"/>
    </row>
    <row r="23244" spans="1:26" ht="12.75" customHeight="1" x14ac:dyDescent="0.2">
      <c r="A23244" s="258"/>
      <c r="Z23244" s="258"/>
    </row>
    <row r="23245" spans="1:26" ht="12.75" customHeight="1" x14ac:dyDescent="0.2">
      <c r="A23245" s="258"/>
      <c r="Z23245" s="258"/>
    </row>
    <row r="23246" spans="1:26" ht="12.75" customHeight="1" x14ac:dyDescent="0.2">
      <c r="A23246" s="258"/>
      <c r="Z23246" s="258"/>
    </row>
    <row r="23247" spans="1:26" ht="12.75" customHeight="1" x14ac:dyDescent="0.2">
      <c r="A23247" s="258"/>
      <c r="Z23247" s="258"/>
    </row>
    <row r="23248" spans="1:26" ht="12.75" customHeight="1" x14ac:dyDescent="0.2">
      <c r="A23248" s="258"/>
      <c r="Z23248" s="258"/>
    </row>
    <row r="23249" spans="1:26" ht="12.75" customHeight="1" x14ac:dyDescent="0.2">
      <c r="A23249" s="258"/>
      <c r="Z23249" s="258"/>
    </row>
    <row r="23250" spans="1:26" ht="12.75" customHeight="1" x14ac:dyDescent="0.2">
      <c r="A23250" s="258"/>
      <c r="Z23250" s="258"/>
    </row>
    <row r="23251" spans="1:26" ht="12.75" customHeight="1" x14ac:dyDescent="0.2">
      <c r="A23251" s="258"/>
      <c r="Z23251" s="258"/>
    </row>
    <row r="23252" spans="1:26" ht="12.75" customHeight="1" x14ac:dyDescent="0.2">
      <c r="A23252" s="258"/>
      <c r="Z23252" s="258"/>
    </row>
    <row r="23253" spans="1:26" ht="12.75" customHeight="1" x14ac:dyDescent="0.2">
      <c r="A23253" s="258"/>
      <c r="Z23253" s="258"/>
    </row>
    <row r="23254" spans="1:26" ht="12.75" customHeight="1" x14ac:dyDescent="0.2">
      <c r="A23254" s="258"/>
      <c r="Z23254" s="258"/>
    </row>
    <row r="23255" spans="1:26" ht="12.75" customHeight="1" x14ac:dyDescent="0.2">
      <c r="A23255" s="258"/>
      <c r="Z23255" s="258"/>
    </row>
    <row r="23256" spans="1:26" ht="12.75" customHeight="1" x14ac:dyDescent="0.2">
      <c r="A23256" s="258"/>
      <c r="Z23256" s="258"/>
    </row>
    <row r="23257" spans="1:26" ht="12.75" customHeight="1" x14ac:dyDescent="0.2">
      <c r="A23257" s="258"/>
      <c r="Z23257" s="258"/>
    </row>
    <row r="23258" spans="1:26" ht="12.75" customHeight="1" x14ac:dyDescent="0.2">
      <c r="A23258" s="258"/>
      <c r="Z23258" s="258"/>
    </row>
    <row r="23259" spans="1:26" ht="12.75" customHeight="1" x14ac:dyDescent="0.2">
      <c r="A23259" s="258"/>
      <c r="Z23259" s="258"/>
    </row>
    <row r="23260" spans="1:26" ht="12.75" customHeight="1" x14ac:dyDescent="0.2">
      <c r="A23260" s="258"/>
      <c r="Z23260" s="258"/>
    </row>
    <row r="23261" spans="1:26" ht="12.75" customHeight="1" x14ac:dyDescent="0.2">
      <c r="A23261" s="258"/>
      <c r="Z23261" s="258"/>
    </row>
    <row r="23262" spans="1:26" ht="12.75" customHeight="1" x14ac:dyDescent="0.2">
      <c r="A23262" s="258"/>
      <c r="Z23262" s="258"/>
    </row>
    <row r="23263" spans="1:26" ht="12.75" customHeight="1" x14ac:dyDescent="0.2">
      <c r="A23263" s="258"/>
      <c r="Z23263" s="258"/>
    </row>
    <row r="23264" spans="1:26" ht="12.75" customHeight="1" x14ac:dyDescent="0.2">
      <c r="A23264" s="258"/>
      <c r="Z23264" s="258"/>
    </row>
    <row r="23265" spans="1:26" ht="12.75" customHeight="1" x14ac:dyDescent="0.2">
      <c r="A23265" s="258"/>
      <c r="Z23265" s="258"/>
    </row>
    <row r="23266" spans="1:26" ht="12.75" customHeight="1" x14ac:dyDescent="0.2">
      <c r="A23266" s="258"/>
      <c r="Z23266" s="258"/>
    </row>
    <row r="23267" spans="1:26" ht="12.75" customHeight="1" x14ac:dyDescent="0.2">
      <c r="A23267" s="258"/>
      <c r="Z23267" s="258"/>
    </row>
    <row r="23268" spans="1:26" ht="12.75" customHeight="1" x14ac:dyDescent="0.2">
      <c r="A23268" s="258"/>
      <c r="Z23268" s="258"/>
    </row>
    <row r="23269" spans="1:26" ht="12.75" customHeight="1" x14ac:dyDescent="0.2">
      <c r="A23269" s="258"/>
      <c r="Z23269" s="258"/>
    </row>
    <row r="23270" spans="1:26" ht="12.75" customHeight="1" x14ac:dyDescent="0.2">
      <c r="A23270" s="258"/>
      <c r="Z23270" s="258"/>
    </row>
    <row r="23271" spans="1:26" ht="12.75" customHeight="1" x14ac:dyDescent="0.2">
      <c r="A23271" s="258"/>
      <c r="Z23271" s="258"/>
    </row>
    <row r="23272" spans="1:26" ht="12.75" customHeight="1" x14ac:dyDescent="0.2">
      <c r="A23272" s="258"/>
      <c r="Z23272" s="258"/>
    </row>
    <row r="23273" spans="1:26" ht="12.75" customHeight="1" x14ac:dyDescent="0.2">
      <c r="A23273" s="258"/>
      <c r="Z23273" s="258"/>
    </row>
    <row r="23274" spans="1:26" ht="12.75" customHeight="1" x14ac:dyDescent="0.2">
      <c r="A23274" s="258"/>
      <c r="Z23274" s="258"/>
    </row>
    <row r="23275" spans="1:26" ht="12.75" customHeight="1" x14ac:dyDescent="0.2">
      <c r="A23275" s="258"/>
      <c r="Z23275" s="258"/>
    </row>
    <row r="23276" spans="1:26" ht="12.75" customHeight="1" x14ac:dyDescent="0.2">
      <c r="A23276" s="258"/>
      <c r="Z23276" s="258"/>
    </row>
    <row r="23277" spans="1:26" ht="12.75" customHeight="1" x14ac:dyDescent="0.2">
      <c r="A23277" s="258"/>
      <c r="Z23277" s="258"/>
    </row>
    <row r="23278" spans="1:26" ht="12.75" customHeight="1" x14ac:dyDescent="0.2">
      <c r="A23278" s="258"/>
      <c r="Z23278" s="258"/>
    </row>
    <row r="23279" spans="1:26" ht="12.75" customHeight="1" x14ac:dyDescent="0.2">
      <c r="A23279" s="258"/>
      <c r="Z23279" s="258"/>
    </row>
    <row r="23280" spans="1:26" ht="12.75" customHeight="1" x14ac:dyDescent="0.2">
      <c r="A23280" s="258"/>
      <c r="Z23280" s="258"/>
    </row>
    <row r="23281" spans="1:26" ht="12.75" customHeight="1" x14ac:dyDescent="0.2">
      <c r="A23281" s="258"/>
      <c r="Z23281" s="258"/>
    </row>
    <row r="23282" spans="1:26" ht="12.75" customHeight="1" x14ac:dyDescent="0.2">
      <c r="A23282" s="258"/>
      <c r="Z23282" s="258"/>
    </row>
    <row r="23283" spans="1:26" ht="12.75" customHeight="1" x14ac:dyDescent="0.2">
      <c r="A23283" s="258"/>
      <c r="Z23283" s="258"/>
    </row>
    <row r="23284" spans="1:26" ht="12.75" customHeight="1" x14ac:dyDescent="0.2">
      <c r="A23284" s="258"/>
      <c r="Z23284" s="258"/>
    </row>
    <row r="23285" spans="1:26" ht="12.75" customHeight="1" x14ac:dyDescent="0.2">
      <c r="A23285" s="258"/>
      <c r="Z23285" s="258"/>
    </row>
    <row r="23286" spans="1:26" ht="12.75" customHeight="1" x14ac:dyDescent="0.2">
      <c r="A23286" s="258"/>
      <c r="Z23286" s="258"/>
    </row>
    <row r="23287" spans="1:26" ht="12.75" customHeight="1" x14ac:dyDescent="0.2">
      <c r="A23287" s="258"/>
      <c r="Z23287" s="258"/>
    </row>
    <row r="23288" spans="1:26" ht="12.75" customHeight="1" x14ac:dyDescent="0.2">
      <c r="A23288" s="258"/>
      <c r="Z23288" s="258"/>
    </row>
    <row r="23289" spans="1:26" ht="12.75" customHeight="1" x14ac:dyDescent="0.2">
      <c r="A23289" s="258"/>
      <c r="Z23289" s="258"/>
    </row>
    <row r="23290" spans="1:26" ht="12.75" customHeight="1" x14ac:dyDescent="0.2">
      <c r="A23290" s="258"/>
      <c r="Z23290" s="258"/>
    </row>
    <row r="23291" spans="1:26" ht="12.75" customHeight="1" x14ac:dyDescent="0.2">
      <c r="A23291" s="258"/>
      <c r="Z23291" s="258"/>
    </row>
    <row r="23292" spans="1:26" ht="12.75" customHeight="1" x14ac:dyDescent="0.2">
      <c r="A23292" s="258"/>
      <c r="Z23292" s="258"/>
    </row>
    <row r="23293" spans="1:26" ht="12.75" customHeight="1" x14ac:dyDescent="0.2">
      <c r="A23293" s="258"/>
      <c r="Z23293" s="258"/>
    </row>
    <row r="23294" spans="1:26" ht="12.75" customHeight="1" x14ac:dyDescent="0.2">
      <c r="A23294" s="258"/>
      <c r="Z23294" s="258"/>
    </row>
    <row r="23295" spans="1:26" ht="12.75" customHeight="1" x14ac:dyDescent="0.2">
      <c r="A23295" s="258"/>
      <c r="Z23295" s="258"/>
    </row>
    <row r="23296" spans="1:26" ht="12.75" customHeight="1" x14ac:dyDescent="0.2">
      <c r="A23296" s="258"/>
      <c r="Z23296" s="258"/>
    </row>
    <row r="23297" spans="1:26" ht="12.75" customHeight="1" x14ac:dyDescent="0.2">
      <c r="A23297" s="258"/>
      <c r="Z23297" s="258"/>
    </row>
    <row r="23298" spans="1:26" ht="12.75" customHeight="1" x14ac:dyDescent="0.2">
      <c r="A23298" s="258"/>
      <c r="Z23298" s="258"/>
    </row>
    <row r="23299" spans="1:26" ht="12.75" customHeight="1" x14ac:dyDescent="0.2">
      <c r="A23299" s="258"/>
      <c r="Z23299" s="258"/>
    </row>
    <row r="23300" spans="1:26" ht="12.75" customHeight="1" x14ac:dyDescent="0.2">
      <c r="A23300" s="258"/>
      <c r="Z23300" s="258"/>
    </row>
    <row r="23301" spans="1:26" ht="12.75" customHeight="1" x14ac:dyDescent="0.2">
      <c r="A23301" s="258"/>
      <c r="Z23301" s="258"/>
    </row>
    <row r="23302" spans="1:26" ht="12.75" customHeight="1" x14ac:dyDescent="0.2">
      <c r="A23302" s="258"/>
      <c r="Z23302" s="258"/>
    </row>
    <row r="23303" spans="1:26" ht="12.75" customHeight="1" x14ac:dyDescent="0.2">
      <c r="A23303" s="258"/>
      <c r="Z23303" s="258"/>
    </row>
    <row r="23304" spans="1:26" ht="12.75" customHeight="1" x14ac:dyDescent="0.2">
      <c r="A23304" s="258"/>
      <c r="Z23304" s="258"/>
    </row>
    <row r="23305" spans="1:26" ht="12.75" customHeight="1" x14ac:dyDescent="0.2">
      <c r="A23305" s="258"/>
      <c r="Z23305" s="258"/>
    </row>
    <row r="23306" spans="1:26" ht="12.75" customHeight="1" x14ac:dyDescent="0.2">
      <c r="A23306" s="258"/>
      <c r="Z23306" s="258"/>
    </row>
    <row r="23307" spans="1:26" ht="12.75" customHeight="1" x14ac:dyDescent="0.2">
      <c r="A23307" s="258"/>
      <c r="Z23307" s="258"/>
    </row>
    <row r="23308" spans="1:26" ht="12.75" customHeight="1" x14ac:dyDescent="0.2">
      <c r="A23308" s="258"/>
      <c r="Z23308" s="258"/>
    </row>
    <row r="23309" spans="1:26" ht="12.75" customHeight="1" x14ac:dyDescent="0.2">
      <c r="A23309" s="258"/>
      <c r="Z23309" s="258"/>
    </row>
    <row r="23310" spans="1:26" ht="12.75" customHeight="1" x14ac:dyDescent="0.2">
      <c r="A23310" s="258"/>
      <c r="Z23310" s="258"/>
    </row>
    <row r="23311" spans="1:26" ht="12.75" customHeight="1" x14ac:dyDescent="0.2">
      <c r="A23311" s="258"/>
      <c r="Z23311" s="258"/>
    </row>
    <row r="23312" spans="1:26" ht="12.75" customHeight="1" x14ac:dyDescent="0.2">
      <c r="A23312" s="258"/>
      <c r="Z23312" s="258"/>
    </row>
    <row r="23313" spans="1:26" ht="12.75" customHeight="1" x14ac:dyDescent="0.2">
      <c r="A23313" s="258"/>
      <c r="Z23313" s="258"/>
    </row>
    <row r="23314" spans="1:26" ht="12.75" customHeight="1" x14ac:dyDescent="0.2">
      <c r="A23314" s="258"/>
      <c r="Z23314" s="258"/>
    </row>
    <row r="23315" spans="1:26" ht="12.75" customHeight="1" x14ac:dyDescent="0.2">
      <c r="A23315" s="258"/>
      <c r="Z23315" s="258"/>
    </row>
    <row r="23316" spans="1:26" ht="12.75" customHeight="1" x14ac:dyDescent="0.2">
      <c r="A23316" s="258"/>
      <c r="Z23316" s="258"/>
    </row>
    <row r="23317" spans="1:26" ht="12.75" customHeight="1" x14ac:dyDescent="0.2">
      <c r="A23317" s="258"/>
      <c r="Z23317" s="258"/>
    </row>
    <row r="23318" spans="1:26" ht="12.75" customHeight="1" x14ac:dyDescent="0.2">
      <c r="A23318" s="258"/>
      <c r="Z23318" s="258"/>
    </row>
    <row r="23319" spans="1:26" ht="12.75" customHeight="1" x14ac:dyDescent="0.2">
      <c r="A23319" s="258"/>
      <c r="Z23319" s="258"/>
    </row>
    <row r="23320" spans="1:26" ht="12.75" customHeight="1" x14ac:dyDescent="0.2">
      <c r="A23320" s="258"/>
      <c r="Z23320" s="258"/>
    </row>
    <row r="23321" spans="1:26" ht="12.75" customHeight="1" x14ac:dyDescent="0.2">
      <c r="A23321" s="258"/>
      <c r="Z23321" s="258"/>
    </row>
    <row r="23322" spans="1:26" ht="12.75" customHeight="1" x14ac:dyDescent="0.2">
      <c r="A23322" s="258"/>
      <c r="Z23322" s="258"/>
    </row>
    <row r="23323" spans="1:26" ht="12.75" customHeight="1" x14ac:dyDescent="0.2">
      <c r="A23323" s="258"/>
      <c r="Z23323" s="258"/>
    </row>
    <row r="23324" spans="1:26" ht="12.75" customHeight="1" x14ac:dyDescent="0.2">
      <c r="A23324" s="258"/>
      <c r="Z23324" s="258"/>
    </row>
    <row r="23325" spans="1:26" ht="12.75" customHeight="1" x14ac:dyDescent="0.2">
      <c r="A23325" s="258"/>
      <c r="Z23325" s="258"/>
    </row>
    <row r="23326" spans="1:26" ht="12.75" customHeight="1" x14ac:dyDescent="0.2">
      <c r="A23326" s="258"/>
      <c r="Z23326" s="258"/>
    </row>
    <row r="23327" spans="1:26" ht="12.75" customHeight="1" x14ac:dyDescent="0.2">
      <c r="A23327" s="258"/>
      <c r="Z23327" s="258"/>
    </row>
    <row r="23328" spans="1:26" ht="12.75" customHeight="1" x14ac:dyDescent="0.2">
      <c r="A23328" s="258"/>
      <c r="Z23328" s="258"/>
    </row>
    <row r="23329" spans="1:26" ht="12.75" customHeight="1" x14ac:dyDescent="0.2">
      <c r="A23329" s="258"/>
      <c r="Z23329" s="258"/>
    </row>
    <row r="23330" spans="1:26" ht="12.75" customHeight="1" x14ac:dyDescent="0.2">
      <c r="A23330" s="258"/>
      <c r="Z23330" s="258"/>
    </row>
    <row r="23331" spans="1:26" ht="12.75" customHeight="1" x14ac:dyDescent="0.2">
      <c r="A23331" s="258"/>
      <c r="Z23331" s="258"/>
    </row>
    <row r="23332" spans="1:26" ht="12.75" customHeight="1" x14ac:dyDescent="0.2">
      <c r="A23332" s="258"/>
      <c r="Z23332" s="258"/>
    </row>
    <row r="23333" spans="1:26" ht="12.75" customHeight="1" x14ac:dyDescent="0.2">
      <c r="A23333" s="258"/>
      <c r="Z23333" s="258"/>
    </row>
    <row r="23334" spans="1:26" ht="12.75" customHeight="1" x14ac:dyDescent="0.2">
      <c r="A23334" s="258"/>
      <c r="Z23334" s="258"/>
    </row>
    <row r="23335" spans="1:26" ht="12.75" customHeight="1" x14ac:dyDescent="0.2">
      <c r="A23335" s="258"/>
      <c r="Z23335" s="258"/>
    </row>
    <row r="23336" spans="1:26" ht="12.75" customHeight="1" x14ac:dyDescent="0.2">
      <c r="A23336" s="258"/>
      <c r="Z23336" s="258"/>
    </row>
    <row r="23337" spans="1:26" ht="12.75" customHeight="1" x14ac:dyDescent="0.2">
      <c r="A23337" s="258"/>
      <c r="Z23337" s="258"/>
    </row>
    <row r="23338" spans="1:26" ht="12.75" customHeight="1" x14ac:dyDescent="0.2">
      <c r="A23338" s="258"/>
      <c r="Z23338" s="258"/>
    </row>
    <row r="23339" spans="1:26" ht="12.75" customHeight="1" x14ac:dyDescent="0.2">
      <c r="A23339" s="258"/>
      <c r="Z23339" s="258"/>
    </row>
    <row r="23340" spans="1:26" ht="12.75" customHeight="1" x14ac:dyDescent="0.2">
      <c r="A23340" s="258"/>
      <c r="Z23340" s="258"/>
    </row>
    <row r="23341" spans="1:26" ht="12.75" customHeight="1" x14ac:dyDescent="0.2">
      <c r="A23341" s="258"/>
      <c r="Z23341" s="258"/>
    </row>
    <row r="23342" spans="1:26" ht="12.75" customHeight="1" x14ac:dyDescent="0.2">
      <c r="A23342" s="258"/>
      <c r="Z23342" s="258"/>
    </row>
    <row r="23343" spans="1:26" ht="12.75" customHeight="1" x14ac:dyDescent="0.2">
      <c r="A23343" s="258"/>
      <c r="Z23343" s="258"/>
    </row>
    <row r="23344" spans="1:26" ht="12.75" customHeight="1" x14ac:dyDescent="0.2">
      <c r="A23344" s="258"/>
      <c r="Z23344" s="258"/>
    </row>
    <row r="23345" spans="1:26" ht="12.75" customHeight="1" x14ac:dyDescent="0.2">
      <c r="A23345" s="258"/>
      <c r="Z23345" s="258"/>
    </row>
    <row r="23346" spans="1:26" ht="12.75" customHeight="1" x14ac:dyDescent="0.2">
      <c r="A23346" s="258"/>
      <c r="Z23346" s="258"/>
    </row>
    <row r="23347" spans="1:26" ht="12.75" customHeight="1" x14ac:dyDescent="0.2">
      <c r="A23347" s="258"/>
      <c r="Z23347" s="258"/>
    </row>
    <row r="23348" spans="1:26" ht="12.75" customHeight="1" x14ac:dyDescent="0.2">
      <c r="A23348" s="258"/>
      <c r="Z23348" s="258"/>
    </row>
    <row r="23349" spans="1:26" ht="12.75" customHeight="1" x14ac:dyDescent="0.2">
      <c r="A23349" s="258"/>
      <c r="Z23349" s="258"/>
    </row>
    <row r="23350" spans="1:26" ht="12.75" customHeight="1" x14ac:dyDescent="0.2">
      <c r="A23350" s="258"/>
      <c r="Z23350" s="258"/>
    </row>
    <row r="23351" spans="1:26" ht="12.75" customHeight="1" x14ac:dyDescent="0.2">
      <c r="A23351" s="258"/>
      <c r="Z23351" s="258"/>
    </row>
    <row r="23352" spans="1:26" ht="12.75" customHeight="1" x14ac:dyDescent="0.2">
      <c r="A23352" s="258"/>
      <c r="Z23352" s="258"/>
    </row>
    <row r="23353" spans="1:26" ht="12.75" customHeight="1" x14ac:dyDescent="0.2">
      <c r="A23353" s="258"/>
      <c r="Z23353" s="258"/>
    </row>
    <row r="23354" spans="1:26" ht="12.75" customHeight="1" x14ac:dyDescent="0.2">
      <c r="A23354" s="258"/>
      <c r="Z23354" s="258"/>
    </row>
    <row r="23355" spans="1:26" ht="12.75" customHeight="1" x14ac:dyDescent="0.2">
      <c r="A23355" s="258"/>
      <c r="Z23355" s="258"/>
    </row>
    <row r="23356" spans="1:26" ht="12.75" customHeight="1" x14ac:dyDescent="0.2">
      <c r="A23356" s="258"/>
      <c r="Z23356" s="258"/>
    </row>
    <row r="23357" spans="1:26" ht="12.75" customHeight="1" x14ac:dyDescent="0.2">
      <c r="A23357" s="258"/>
      <c r="Z23357" s="258"/>
    </row>
    <row r="23358" spans="1:26" ht="12.75" customHeight="1" x14ac:dyDescent="0.2">
      <c r="A23358" s="258"/>
      <c r="Z23358" s="258"/>
    </row>
    <row r="23359" spans="1:26" ht="12.75" customHeight="1" x14ac:dyDescent="0.2">
      <c r="A23359" s="258"/>
      <c r="Z23359" s="258"/>
    </row>
    <row r="23360" spans="1:26" ht="12.75" customHeight="1" x14ac:dyDescent="0.2">
      <c r="A23360" s="258"/>
      <c r="Z23360" s="258"/>
    </row>
    <row r="23361" spans="1:26" ht="12.75" customHeight="1" x14ac:dyDescent="0.2">
      <c r="A23361" s="258"/>
      <c r="Z23361" s="258"/>
    </row>
    <row r="23362" spans="1:26" ht="12.75" customHeight="1" x14ac:dyDescent="0.2">
      <c r="A23362" s="258"/>
      <c r="Z23362" s="258"/>
    </row>
    <row r="23363" spans="1:26" ht="12.75" customHeight="1" x14ac:dyDescent="0.2">
      <c r="A23363" s="258"/>
      <c r="Z23363" s="258"/>
    </row>
    <row r="23364" spans="1:26" ht="12.75" customHeight="1" x14ac:dyDescent="0.2">
      <c r="A23364" s="258"/>
      <c r="Z23364" s="258"/>
    </row>
    <row r="23365" spans="1:26" ht="12.75" customHeight="1" x14ac:dyDescent="0.2">
      <c r="A23365" s="258"/>
      <c r="Z23365" s="258"/>
    </row>
    <row r="23366" spans="1:26" ht="12.75" customHeight="1" x14ac:dyDescent="0.2">
      <c r="A23366" s="258"/>
      <c r="Z23366" s="258"/>
    </row>
    <row r="23367" spans="1:26" ht="12.75" customHeight="1" x14ac:dyDescent="0.2">
      <c r="A23367" s="258"/>
      <c r="Z23367" s="258"/>
    </row>
    <row r="23368" spans="1:26" ht="12.75" customHeight="1" x14ac:dyDescent="0.2">
      <c r="A23368" s="258"/>
      <c r="Z23368" s="258"/>
    </row>
    <row r="23369" spans="1:26" ht="12.75" customHeight="1" x14ac:dyDescent="0.2">
      <c r="A23369" s="258"/>
      <c r="Z23369" s="258"/>
    </row>
    <row r="23370" spans="1:26" ht="12.75" customHeight="1" x14ac:dyDescent="0.2">
      <c r="A23370" s="258"/>
      <c r="Z23370" s="258"/>
    </row>
    <row r="23371" spans="1:26" ht="12.75" customHeight="1" x14ac:dyDescent="0.2">
      <c r="A23371" s="258"/>
      <c r="Z23371" s="258"/>
    </row>
    <row r="23372" spans="1:26" ht="12.75" customHeight="1" x14ac:dyDescent="0.2">
      <c r="A23372" s="258"/>
      <c r="Z23372" s="258"/>
    </row>
    <row r="23373" spans="1:26" ht="12.75" customHeight="1" x14ac:dyDescent="0.2">
      <c r="A23373" s="258"/>
      <c r="Z23373" s="258"/>
    </row>
    <row r="23374" spans="1:26" ht="12.75" customHeight="1" x14ac:dyDescent="0.2">
      <c r="A23374" s="258"/>
      <c r="Z23374" s="258"/>
    </row>
    <row r="23375" spans="1:26" ht="12.75" customHeight="1" x14ac:dyDescent="0.2">
      <c r="A23375" s="258"/>
      <c r="Z23375" s="258"/>
    </row>
    <row r="23376" spans="1:26" ht="12.75" customHeight="1" x14ac:dyDescent="0.2">
      <c r="A23376" s="258"/>
      <c r="Z23376" s="258"/>
    </row>
    <row r="23377" spans="1:26" ht="12.75" customHeight="1" x14ac:dyDescent="0.2">
      <c r="A23377" s="258"/>
      <c r="Z23377" s="258"/>
    </row>
    <row r="23378" spans="1:26" ht="12.75" customHeight="1" x14ac:dyDescent="0.2">
      <c r="A23378" s="258"/>
      <c r="Z23378" s="258"/>
    </row>
    <row r="23379" spans="1:26" ht="12.75" customHeight="1" x14ac:dyDescent="0.2">
      <c r="A23379" s="258"/>
      <c r="Z23379" s="258"/>
    </row>
    <row r="23380" spans="1:26" ht="12.75" customHeight="1" x14ac:dyDescent="0.2">
      <c r="A23380" s="258"/>
      <c r="Z23380" s="258"/>
    </row>
    <row r="23381" spans="1:26" ht="12.75" customHeight="1" x14ac:dyDescent="0.2">
      <c r="A23381" s="258"/>
      <c r="Z23381" s="258"/>
    </row>
    <row r="23382" spans="1:26" ht="12.75" customHeight="1" x14ac:dyDescent="0.2">
      <c r="A23382" s="258"/>
      <c r="Z23382" s="258"/>
    </row>
    <row r="23383" spans="1:26" ht="12.75" customHeight="1" x14ac:dyDescent="0.2">
      <c r="A23383" s="258"/>
      <c r="Z23383" s="258"/>
    </row>
    <row r="23384" spans="1:26" ht="12.75" customHeight="1" x14ac:dyDescent="0.2">
      <c r="A23384" s="258"/>
      <c r="Z23384" s="258"/>
    </row>
    <row r="23385" spans="1:26" ht="12.75" customHeight="1" x14ac:dyDescent="0.2">
      <c r="A23385" s="258"/>
      <c r="Z23385" s="258"/>
    </row>
    <row r="23386" spans="1:26" ht="12.75" customHeight="1" x14ac:dyDescent="0.2">
      <c r="A23386" s="258"/>
      <c r="Z23386" s="258"/>
    </row>
    <row r="23387" spans="1:26" ht="12.75" customHeight="1" x14ac:dyDescent="0.2">
      <c r="A23387" s="258"/>
      <c r="Z23387" s="258"/>
    </row>
    <row r="23388" spans="1:26" ht="12.75" customHeight="1" x14ac:dyDescent="0.2">
      <c r="A23388" s="258"/>
      <c r="Z23388" s="258"/>
    </row>
    <row r="23389" spans="1:26" ht="12.75" customHeight="1" x14ac:dyDescent="0.2">
      <c r="A23389" s="258"/>
      <c r="Z23389" s="258"/>
    </row>
    <row r="23390" spans="1:26" ht="12.75" customHeight="1" x14ac:dyDescent="0.2">
      <c r="A23390" s="258"/>
      <c r="Z23390" s="258"/>
    </row>
    <row r="23391" spans="1:26" ht="12.75" customHeight="1" x14ac:dyDescent="0.2">
      <c r="A23391" s="258"/>
      <c r="Z23391" s="258"/>
    </row>
    <row r="23392" spans="1:26" ht="12.75" customHeight="1" x14ac:dyDescent="0.2">
      <c r="A23392" s="258"/>
      <c r="Z23392" s="258"/>
    </row>
    <row r="23393" spans="1:26" ht="12.75" customHeight="1" x14ac:dyDescent="0.2">
      <c r="A23393" s="258"/>
      <c r="Z23393" s="258"/>
    </row>
    <row r="23394" spans="1:26" ht="12.75" customHeight="1" x14ac:dyDescent="0.2">
      <c r="A23394" s="258"/>
      <c r="Z23394" s="258"/>
    </row>
    <row r="23395" spans="1:26" ht="12.75" customHeight="1" x14ac:dyDescent="0.2">
      <c r="A23395" s="258"/>
      <c r="Z23395" s="258"/>
    </row>
    <row r="23396" spans="1:26" ht="12.75" customHeight="1" x14ac:dyDescent="0.2">
      <c r="A23396" s="258"/>
      <c r="Z23396" s="258"/>
    </row>
    <row r="23397" spans="1:26" ht="12.75" customHeight="1" x14ac:dyDescent="0.2">
      <c r="A23397" s="258"/>
      <c r="Z23397" s="258"/>
    </row>
    <row r="23398" spans="1:26" ht="12.75" customHeight="1" x14ac:dyDescent="0.2">
      <c r="A23398" s="258"/>
      <c r="Z23398" s="258"/>
    </row>
    <row r="23399" spans="1:26" ht="12.75" customHeight="1" x14ac:dyDescent="0.2">
      <c r="A23399" s="258"/>
      <c r="Z23399" s="258"/>
    </row>
    <row r="23400" spans="1:26" ht="12.75" customHeight="1" x14ac:dyDescent="0.2">
      <c r="A23400" s="258"/>
      <c r="Z23400" s="258"/>
    </row>
    <row r="23401" spans="1:26" ht="12.75" customHeight="1" x14ac:dyDescent="0.2">
      <c r="A23401" s="258"/>
      <c r="Z23401" s="258"/>
    </row>
    <row r="23402" spans="1:26" ht="12.75" customHeight="1" x14ac:dyDescent="0.2">
      <c r="A23402" s="258"/>
      <c r="Z23402" s="258"/>
    </row>
    <row r="23403" spans="1:26" ht="12.75" customHeight="1" x14ac:dyDescent="0.2">
      <c r="A23403" s="258"/>
      <c r="Z23403" s="258"/>
    </row>
    <row r="23404" spans="1:26" ht="12.75" customHeight="1" x14ac:dyDescent="0.2">
      <c r="A23404" s="258"/>
      <c r="Z23404" s="258"/>
    </row>
    <row r="23405" spans="1:26" ht="12.75" customHeight="1" x14ac:dyDescent="0.2">
      <c r="A23405" s="258"/>
      <c r="Z23405" s="258"/>
    </row>
    <row r="23406" spans="1:26" ht="12.75" customHeight="1" x14ac:dyDescent="0.2">
      <c r="A23406" s="258"/>
      <c r="Z23406" s="258"/>
    </row>
    <row r="23407" spans="1:26" ht="12.75" customHeight="1" x14ac:dyDescent="0.2">
      <c r="A23407" s="258"/>
      <c r="Z23407" s="258"/>
    </row>
    <row r="23408" spans="1:26" ht="12.75" customHeight="1" x14ac:dyDescent="0.2">
      <c r="A23408" s="258"/>
      <c r="Z23408" s="258"/>
    </row>
    <row r="23409" spans="1:26" ht="12.75" customHeight="1" x14ac:dyDescent="0.2">
      <c r="A23409" s="258"/>
      <c r="Z23409" s="258"/>
    </row>
    <row r="23410" spans="1:26" ht="12.75" customHeight="1" x14ac:dyDescent="0.2">
      <c r="A23410" s="258"/>
      <c r="Z23410" s="258"/>
    </row>
    <row r="23411" spans="1:26" ht="12.75" customHeight="1" x14ac:dyDescent="0.2">
      <c r="A23411" s="258"/>
      <c r="Z23411" s="258"/>
    </row>
    <row r="23412" spans="1:26" ht="12.75" customHeight="1" x14ac:dyDescent="0.2">
      <c r="A23412" s="258"/>
      <c r="Z23412" s="258"/>
    </row>
    <row r="23413" spans="1:26" ht="12.75" customHeight="1" x14ac:dyDescent="0.2">
      <c r="A23413" s="258"/>
      <c r="Z23413" s="258"/>
    </row>
    <row r="23414" spans="1:26" ht="12.75" customHeight="1" x14ac:dyDescent="0.2">
      <c r="A23414" s="258"/>
      <c r="Z23414" s="258"/>
    </row>
    <row r="23415" spans="1:26" ht="12.75" customHeight="1" x14ac:dyDescent="0.2">
      <c r="A23415" s="258"/>
      <c r="Z23415" s="258"/>
    </row>
    <row r="23416" spans="1:26" ht="12.75" customHeight="1" x14ac:dyDescent="0.2">
      <c r="A23416" s="258"/>
      <c r="Z23416" s="258"/>
    </row>
    <row r="23417" spans="1:26" ht="12.75" customHeight="1" x14ac:dyDescent="0.2">
      <c r="A23417" s="258"/>
      <c r="Z23417" s="258"/>
    </row>
    <row r="23418" spans="1:26" ht="12.75" customHeight="1" x14ac:dyDescent="0.2">
      <c r="A23418" s="258"/>
      <c r="Z23418" s="258"/>
    </row>
    <row r="23419" spans="1:26" ht="12.75" customHeight="1" x14ac:dyDescent="0.2">
      <c r="A23419" s="258"/>
      <c r="Z23419" s="258"/>
    </row>
    <row r="23420" spans="1:26" ht="12.75" customHeight="1" x14ac:dyDescent="0.2">
      <c r="A23420" s="258"/>
      <c r="Z23420" s="258"/>
    </row>
    <row r="23421" spans="1:26" ht="12.75" customHeight="1" x14ac:dyDescent="0.2">
      <c r="A23421" s="258"/>
      <c r="Z23421" s="258"/>
    </row>
    <row r="23422" spans="1:26" ht="12.75" customHeight="1" x14ac:dyDescent="0.2">
      <c r="A23422" s="258"/>
      <c r="Z23422" s="258"/>
    </row>
    <row r="23423" spans="1:26" ht="12.75" customHeight="1" x14ac:dyDescent="0.2">
      <c r="A23423" s="258"/>
      <c r="Z23423" s="258"/>
    </row>
    <row r="23424" spans="1:26" ht="12.75" customHeight="1" x14ac:dyDescent="0.2">
      <c r="A23424" s="258"/>
      <c r="Z23424" s="258"/>
    </row>
    <row r="23425" spans="1:26" ht="12.75" customHeight="1" x14ac:dyDescent="0.2">
      <c r="A23425" s="258"/>
      <c r="Z23425" s="258"/>
    </row>
    <row r="23426" spans="1:26" ht="12.75" customHeight="1" x14ac:dyDescent="0.2">
      <c r="A23426" s="258"/>
      <c r="Z23426" s="258"/>
    </row>
    <row r="23427" spans="1:26" ht="12.75" customHeight="1" x14ac:dyDescent="0.2">
      <c r="A23427" s="258"/>
      <c r="Z23427" s="258"/>
    </row>
    <row r="23428" spans="1:26" ht="12.75" customHeight="1" x14ac:dyDescent="0.2">
      <c r="A23428" s="258"/>
      <c r="Z23428" s="258"/>
    </row>
    <row r="23429" spans="1:26" ht="12.75" customHeight="1" x14ac:dyDescent="0.2">
      <c r="A23429" s="258"/>
      <c r="Z23429" s="258"/>
    </row>
    <row r="23430" spans="1:26" ht="12.75" customHeight="1" x14ac:dyDescent="0.2">
      <c r="A23430" s="258"/>
      <c r="Z23430" s="258"/>
    </row>
    <row r="23431" spans="1:26" ht="12.75" customHeight="1" x14ac:dyDescent="0.2">
      <c r="A23431" s="258"/>
      <c r="Z23431" s="258"/>
    </row>
    <row r="23432" spans="1:26" ht="12.75" customHeight="1" x14ac:dyDescent="0.2">
      <c r="A23432" s="258"/>
      <c r="Z23432" s="258"/>
    </row>
    <row r="23433" spans="1:26" ht="12.75" customHeight="1" x14ac:dyDescent="0.2">
      <c r="A23433" s="258"/>
      <c r="Z23433" s="258"/>
    </row>
    <row r="23434" spans="1:26" ht="12.75" customHeight="1" x14ac:dyDescent="0.2">
      <c r="A23434" s="258"/>
      <c r="Z23434" s="258"/>
    </row>
    <row r="23435" spans="1:26" ht="12.75" customHeight="1" x14ac:dyDescent="0.2">
      <c r="A23435" s="258"/>
      <c r="Z23435" s="258"/>
    </row>
    <row r="23436" spans="1:26" ht="12.75" customHeight="1" x14ac:dyDescent="0.2">
      <c r="A23436" s="258"/>
      <c r="Z23436" s="258"/>
    </row>
    <row r="23437" spans="1:26" ht="12.75" customHeight="1" x14ac:dyDescent="0.2">
      <c r="A23437" s="258"/>
      <c r="Z23437" s="258"/>
    </row>
    <row r="23438" spans="1:26" ht="12.75" customHeight="1" x14ac:dyDescent="0.2">
      <c r="A23438" s="258"/>
      <c r="Z23438" s="258"/>
    </row>
    <row r="23439" spans="1:26" ht="12.75" customHeight="1" x14ac:dyDescent="0.2">
      <c r="A23439" s="258"/>
      <c r="Z23439" s="258"/>
    </row>
    <row r="23440" spans="1:26" ht="12.75" customHeight="1" x14ac:dyDescent="0.2">
      <c r="A23440" s="258"/>
      <c r="Z23440" s="258"/>
    </row>
    <row r="23441" spans="1:26" ht="12.75" customHeight="1" x14ac:dyDescent="0.2">
      <c r="A23441" s="258"/>
      <c r="Z23441" s="258"/>
    </row>
    <row r="23442" spans="1:26" ht="12.75" customHeight="1" x14ac:dyDescent="0.2">
      <c r="A23442" s="258"/>
      <c r="Z23442" s="258"/>
    </row>
    <row r="23443" spans="1:26" ht="12.75" customHeight="1" x14ac:dyDescent="0.2">
      <c r="A23443" s="258"/>
      <c r="Z23443" s="258"/>
    </row>
    <row r="23444" spans="1:26" ht="12.75" customHeight="1" x14ac:dyDescent="0.2">
      <c r="A23444" s="258"/>
      <c r="Z23444" s="258"/>
    </row>
    <row r="23445" spans="1:26" ht="12.75" customHeight="1" x14ac:dyDescent="0.2">
      <c r="A23445" s="258"/>
      <c r="Z23445" s="258"/>
    </row>
    <row r="23446" spans="1:26" ht="12.75" customHeight="1" x14ac:dyDescent="0.2">
      <c r="A23446" s="258"/>
      <c r="Z23446" s="258"/>
    </row>
    <row r="23447" spans="1:26" ht="12.75" customHeight="1" x14ac:dyDescent="0.2">
      <c r="A23447" s="258"/>
      <c r="Z23447" s="258"/>
    </row>
    <row r="23448" spans="1:26" ht="12.75" customHeight="1" x14ac:dyDescent="0.2">
      <c r="A23448" s="258"/>
      <c r="Z23448" s="258"/>
    </row>
    <row r="23449" spans="1:26" ht="12.75" customHeight="1" x14ac:dyDescent="0.2">
      <c r="A23449" s="258"/>
      <c r="Z23449" s="258"/>
    </row>
    <row r="23450" spans="1:26" ht="12.75" customHeight="1" x14ac:dyDescent="0.2">
      <c r="A23450" s="258"/>
      <c r="Z23450" s="258"/>
    </row>
    <row r="23451" spans="1:26" ht="12.75" customHeight="1" x14ac:dyDescent="0.2">
      <c r="A23451" s="258"/>
      <c r="Z23451" s="258"/>
    </row>
    <row r="23452" spans="1:26" ht="12.75" customHeight="1" x14ac:dyDescent="0.2">
      <c r="A23452" s="258"/>
      <c r="Z23452" s="258"/>
    </row>
    <row r="23453" spans="1:26" ht="12.75" customHeight="1" x14ac:dyDescent="0.2">
      <c r="A23453" s="258"/>
      <c r="Z23453" s="258"/>
    </row>
    <row r="23454" spans="1:26" ht="12.75" customHeight="1" x14ac:dyDescent="0.2">
      <c r="A23454" s="258"/>
      <c r="Z23454" s="258"/>
    </row>
    <row r="23455" spans="1:26" ht="12.75" customHeight="1" x14ac:dyDescent="0.2">
      <c r="A23455" s="258"/>
      <c r="Z23455" s="258"/>
    </row>
    <row r="23456" spans="1:26" ht="12.75" customHeight="1" x14ac:dyDescent="0.2">
      <c r="A23456" s="258"/>
      <c r="Z23456" s="258"/>
    </row>
    <row r="23457" spans="1:26" ht="12.75" customHeight="1" x14ac:dyDescent="0.2">
      <c r="A23457" s="258"/>
      <c r="Z23457" s="258"/>
    </row>
    <row r="23458" spans="1:26" ht="12.75" customHeight="1" x14ac:dyDescent="0.2">
      <c r="A23458" s="258"/>
      <c r="Z23458" s="258"/>
    </row>
    <row r="23459" spans="1:26" ht="12.75" customHeight="1" x14ac:dyDescent="0.2">
      <c r="A23459" s="258"/>
      <c r="Z23459" s="258"/>
    </row>
    <row r="23460" spans="1:26" ht="12.75" customHeight="1" x14ac:dyDescent="0.2">
      <c r="A23460" s="258"/>
      <c r="Z23460" s="258"/>
    </row>
    <row r="23461" spans="1:26" ht="12.75" customHeight="1" x14ac:dyDescent="0.2">
      <c r="A23461" s="258"/>
      <c r="Z23461" s="258"/>
    </row>
    <row r="23462" spans="1:26" ht="12.75" customHeight="1" x14ac:dyDescent="0.2">
      <c r="A23462" s="258"/>
      <c r="Z23462" s="258"/>
    </row>
    <row r="23463" spans="1:26" ht="12.75" customHeight="1" x14ac:dyDescent="0.2">
      <c r="A23463" s="258"/>
      <c r="Z23463" s="258"/>
    </row>
    <row r="23464" spans="1:26" ht="12.75" customHeight="1" x14ac:dyDescent="0.2">
      <c r="A23464" s="258"/>
      <c r="Z23464" s="258"/>
    </row>
    <row r="23465" spans="1:26" ht="12.75" customHeight="1" x14ac:dyDescent="0.2">
      <c r="A23465" s="258"/>
      <c r="Z23465" s="258"/>
    </row>
    <row r="23466" spans="1:26" ht="12.75" customHeight="1" x14ac:dyDescent="0.2">
      <c r="A23466" s="258"/>
      <c r="Z23466" s="258"/>
    </row>
    <row r="23467" spans="1:26" ht="12.75" customHeight="1" x14ac:dyDescent="0.2">
      <c r="A23467" s="258"/>
      <c r="Z23467" s="258"/>
    </row>
    <row r="23468" spans="1:26" ht="12.75" customHeight="1" x14ac:dyDescent="0.2">
      <c r="A23468" s="258"/>
      <c r="Z23468" s="258"/>
    </row>
    <row r="23469" spans="1:26" ht="12.75" customHeight="1" x14ac:dyDescent="0.2">
      <c r="A23469" s="258"/>
      <c r="Z23469" s="258"/>
    </row>
    <row r="23470" spans="1:26" ht="12.75" customHeight="1" x14ac:dyDescent="0.2">
      <c r="A23470" s="258"/>
      <c r="Z23470" s="258"/>
    </row>
    <row r="23471" spans="1:26" ht="12.75" customHeight="1" x14ac:dyDescent="0.2">
      <c r="A23471" s="258"/>
      <c r="Z23471" s="258"/>
    </row>
    <row r="23472" spans="1:26" ht="12.75" customHeight="1" x14ac:dyDescent="0.2">
      <c r="A23472" s="258"/>
      <c r="Z23472" s="258"/>
    </row>
    <row r="23473" spans="1:26" ht="12.75" customHeight="1" x14ac:dyDescent="0.2">
      <c r="A23473" s="258"/>
      <c r="Z23473" s="258"/>
    </row>
    <row r="23474" spans="1:26" ht="12.75" customHeight="1" x14ac:dyDescent="0.2">
      <c r="A23474" s="258"/>
      <c r="Z23474" s="258"/>
    </row>
    <row r="23475" spans="1:26" ht="12.75" customHeight="1" x14ac:dyDescent="0.2">
      <c r="A23475" s="258"/>
      <c r="Z23475" s="258"/>
    </row>
    <row r="23476" spans="1:26" ht="12.75" customHeight="1" x14ac:dyDescent="0.2">
      <c r="A23476" s="258"/>
      <c r="Z23476" s="258"/>
    </row>
    <row r="23477" spans="1:26" ht="12.75" customHeight="1" x14ac:dyDescent="0.2">
      <c r="A23477" s="258"/>
      <c r="Z23477" s="258"/>
    </row>
    <row r="23478" spans="1:26" ht="12.75" customHeight="1" x14ac:dyDescent="0.2">
      <c r="A23478" s="258"/>
      <c r="Z23478" s="258"/>
    </row>
    <row r="23479" spans="1:26" ht="12.75" customHeight="1" x14ac:dyDescent="0.2">
      <c r="A23479" s="258"/>
      <c r="Z23479" s="258"/>
    </row>
    <row r="23480" spans="1:26" ht="12.75" customHeight="1" x14ac:dyDescent="0.2">
      <c r="A23480" s="258"/>
      <c r="Z23480" s="258"/>
    </row>
    <row r="23481" spans="1:26" ht="12.75" customHeight="1" x14ac:dyDescent="0.2">
      <c r="A23481" s="258"/>
      <c r="Z23481" s="258"/>
    </row>
    <row r="23482" spans="1:26" ht="12.75" customHeight="1" x14ac:dyDescent="0.2">
      <c r="A23482" s="258"/>
      <c r="Z23482" s="258"/>
    </row>
    <row r="23483" spans="1:26" ht="12.75" customHeight="1" x14ac:dyDescent="0.2">
      <c r="A23483" s="258"/>
      <c r="Z23483" s="258"/>
    </row>
    <row r="23484" spans="1:26" ht="12.75" customHeight="1" x14ac:dyDescent="0.2">
      <c r="A23484" s="258"/>
      <c r="Z23484" s="258"/>
    </row>
    <row r="23485" spans="1:26" ht="12.75" customHeight="1" x14ac:dyDescent="0.2">
      <c r="A23485" s="258"/>
      <c r="Z23485" s="258"/>
    </row>
    <row r="23486" spans="1:26" ht="12.75" customHeight="1" x14ac:dyDescent="0.2">
      <c r="A23486" s="258"/>
      <c r="Z23486" s="258"/>
    </row>
    <row r="23487" spans="1:26" ht="12.75" customHeight="1" x14ac:dyDescent="0.2">
      <c r="A23487" s="258"/>
      <c r="Z23487" s="258"/>
    </row>
    <row r="23488" spans="1:26" ht="12.75" customHeight="1" x14ac:dyDescent="0.2">
      <c r="A23488" s="258"/>
      <c r="Z23488" s="258"/>
    </row>
    <row r="23489" spans="1:26" ht="12.75" customHeight="1" x14ac:dyDescent="0.2">
      <c r="A23489" s="258"/>
      <c r="Z23489" s="258"/>
    </row>
    <row r="23490" spans="1:26" ht="12.75" customHeight="1" x14ac:dyDescent="0.2">
      <c r="A23490" s="258"/>
      <c r="Z23490" s="258"/>
    </row>
    <row r="23491" spans="1:26" ht="12.75" customHeight="1" x14ac:dyDescent="0.2">
      <c r="A23491" s="258"/>
      <c r="Z23491" s="258"/>
    </row>
    <row r="23492" spans="1:26" ht="12.75" customHeight="1" x14ac:dyDescent="0.2">
      <c r="A23492" s="258"/>
      <c r="Z23492" s="258"/>
    </row>
    <row r="23493" spans="1:26" ht="12.75" customHeight="1" x14ac:dyDescent="0.2">
      <c r="A23493" s="258"/>
      <c r="Z23493" s="258"/>
    </row>
    <row r="23494" spans="1:26" ht="12.75" customHeight="1" x14ac:dyDescent="0.2">
      <c r="A23494" s="258"/>
      <c r="Z23494" s="258"/>
    </row>
    <row r="23495" spans="1:26" ht="12.75" customHeight="1" x14ac:dyDescent="0.2">
      <c r="A23495" s="258"/>
      <c r="Z23495" s="258"/>
    </row>
    <row r="23496" spans="1:26" ht="12.75" customHeight="1" x14ac:dyDescent="0.2">
      <c r="A23496" s="258"/>
      <c r="Z23496" s="258"/>
    </row>
    <row r="23497" spans="1:26" ht="12.75" customHeight="1" x14ac:dyDescent="0.2">
      <c r="A23497" s="258"/>
      <c r="Z23497" s="258"/>
    </row>
    <row r="23498" spans="1:26" ht="12.75" customHeight="1" x14ac:dyDescent="0.2">
      <c r="A23498" s="258"/>
      <c r="Z23498" s="258"/>
    </row>
    <row r="23499" spans="1:26" ht="12.75" customHeight="1" x14ac:dyDescent="0.2">
      <c r="A23499" s="258"/>
      <c r="Z23499" s="258"/>
    </row>
    <row r="23500" spans="1:26" ht="12.75" customHeight="1" x14ac:dyDescent="0.2">
      <c r="A23500" s="258"/>
      <c r="Z23500" s="258"/>
    </row>
    <row r="23501" spans="1:26" ht="12.75" customHeight="1" x14ac:dyDescent="0.2">
      <c r="A23501" s="258"/>
      <c r="Z23501" s="258"/>
    </row>
    <row r="23502" spans="1:26" ht="12.75" customHeight="1" x14ac:dyDescent="0.2">
      <c r="A23502" s="258"/>
      <c r="Z23502" s="258"/>
    </row>
    <row r="23503" spans="1:26" ht="12.75" customHeight="1" x14ac:dyDescent="0.2">
      <c r="A23503" s="258"/>
      <c r="Z23503" s="258"/>
    </row>
    <row r="23504" spans="1:26" ht="12.75" customHeight="1" x14ac:dyDescent="0.2">
      <c r="A23504" s="258"/>
      <c r="Z23504" s="258"/>
    </row>
    <row r="23505" spans="1:26" ht="12.75" customHeight="1" x14ac:dyDescent="0.2">
      <c r="A23505" s="258"/>
      <c r="Z23505" s="258"/>
    </row>
    <row r="23506" spans="1:26" ht="12.75" customHeight="1" x14ac:dyDescent="0.2">
      <c r="A23506" s="258"/>
      <c r="Z23506" s="258"/>
    </row>
    <row r="23507" spans="1:26" ht="12.75" customHeight="1" x14ac:dyDescent="0.2">
      <c r="A23507" s="258"/>
      <c r="Z23507" s="258"/>
    </row>
    <row r="23508" spans="1:26" ht="12.75" customHeight="1" x14ac:dyDescent="0.2">
      <c r="A23508" s="258"/>
      <c r="Z23508" s="258"/>
    </row>
    <row r="23509" spans="1:26" ht="12.75" customHeight="1" x14ac:dyDescent="0.2">
      <c r="A23509" s="258"/>
      <c r="Z23509" s="258"/>
    </row>
    <row r="23510" spans="1:26" ht="12.75" customHeight="1" x14ac:dyDescent="0.2">
      <c r="A23510" s="258"/>
      <c r="Z23510" s="258"/>
    </row>
    <row r="23511" spans="1:26" ht="12.75" customHeight="1" x14ac:dyDescent="0.2">
      <c r="A23511" s="258"/>
      <c r="Z23511" s="258"/>
    </row>
    <row r="23512" spans="1:26" ht="12.75" customHeight="1" x14ac:dyDescent="0.2">
      <c r="A23512" s="258"/>
      <c r="Z23512" s="258"/>
    </row>
    <row r="23513" spans="1:26" ht="12.75" customHeight="1" x14ac:dyDescent="0.2">
      <c r="A23513" s="258"/>
      <c r="Z23513" s="258"/>
    </row>
    <row r="23514" spans="1:26" ht="12.75" customHeight="1" x14ac:dyDescent="0.2">
      <c r="A23514" s="258"/>
      <c r="Z23514" s="258"/>
    </row>
    <row r="23515" spans="1:26" ht="12.75" customHeight="1" x14ac:dyDescent="0.2">
      <c r="A23515" s="258"/>
      <c r="Z23515" s="258"/>
    </row>
    <row r="23516" spans="1:26" ht="12.75" customHeight="1" x14ac:dyDescent="0.2">
      <c r="A23516" s="258"/>
      <c r="Z23516" s="258"/>
    </row>
    <row r="23517" spans="1:26" ht="12.75" customHeight="1" x14ac:dyDescent="0.2">
      <c r="A23517" s="258"/>
      <c r="Z23517" s="258"/>
    </row>
    <row r="23518" spans="1:26" ht="12.75" customHeight="1" x14ac:dyDescent="0.2">
      <c r="A23518" s="258"/>
      <c r="Z23518" s="258"/>
    </row>
    <row r="23519" spans="1:26" ht="12.75" customHeight="1" x14ac:dyDescent="0.2">
      <c r="A23519" s="258"/>
      <c r="Z23519" s="258"/>
    </row>
    <row r="23520" spans="1:26" ht="12.75" customHeight="1" x14ac:dyDescent="0.2">
      <c r="A23520" s="258"/>
      <c r="Z23520" s="258"/>
    </row>
    <row r="23521" spans="1:26" ht="12.75" customHeight="1" x14ac:dyDescent="0.2">
      <c r="A23521" s="258"/>
      <c r="Z23521" s="258"/>
    </row>
    <row r="23522" spans="1:26" ht="12.75" customHeight="1" x14ac:dyDescent="0.2">
      <c r="A23522" s="258"/>
      <c r="Z23522" s="258"/>
    </row>
    <row r="23523" spans="1:26" ht="12.75" customHeight="1" x14ac:dyDescent="0.2">
      <c r="A23523" s="258"/>
      <c r="Z23523" s="258"/>
    </row>
    <row r="23524" spans="1:26" ht="12.75" customHeight="1" x14ac:dyDescent="0.2">
      <c r="A23524" s="258"/>
      <c r="Z23524" s="258"/>
    </row>
    <row r="23525" spans="1:26" ht="12.75" customHeight="1" x14ac:dyDescent="0.2">
      <c r="A23525" s="258"/>
      <c r="Z23525" s="258"/>
    </row>
    <row r="23526" spans="1:26" ht="12.75" customHeight="1" x14ac:dyDescent="0.2">
      <c r="A23526" s="258"/>
      <c r="Z23526" s="258"/>
    </row>
    <row r="23527" spans="1:26" ht="12.75" customHeight="1" x14ac:dyDescent="0.2">
      <c r="A23527" s="258"/>
      <c r="Z23527" s="258"/>
    </row>
    <row r="23528" spans="1:26" ht="12.75" customHeight="1" x14ac:dyDescent="0.2">
      <c r="A23528" s="258"/>
      <c r="Z23528" s="258"/>
    </row>
    <row r="23529" spans="1:26" ht="12.75" customHeight="1" x14ac:dyDescent="0.2">
      <c r="A23529" s="258"/>
      <c r="Z23529" s="258"/>
    </row>
    <row r="23530" spans="1:26" ht="12.75" customHeight="1" x14ac:dyDescent="0.2">
      <c r="A23530" s="258"/>
      <c r="Z23530" s="258"/>
    </row>
    <row r="23531" spans="1:26" ht="12.75" customHeight="1" x14ac:dyDescent="0.2">
      <c r="A23531" s="258"/>
      <c r="Z23531" s="258"/>
    </row>
    <row r="23532" spans="1:26" ht="12.75" customHeight="1" x14ac:dyDescent="0.2">
      <c r="A23532" s="258"/>
      <c r="Z23532" s="258"/>
    </row>
    <row r="23533" spans="1:26" ht="12.75" customHeight="1" x14ac:dyDescent="0.2">
      <c r="A23533" s="258"/>
      <c r="Z23533" s="258"/>
    </row>
    <row r="23534" spans="1:26" ht="12.75" customHeight="1" x14ac:dyDescent="0.2">
      <c r="A23534" s="258"/>
      <c r="Z23534" s="258"/>
    </row>
    <row r="23535" spans="1:26" ht="12.75" customHeight="1" x14ac:dyDescent="0.2">
      <c r="A23535" s="258"/>
      <c r="Z23535" s="258"/>
    </row>
    <row r="23536" spans="1:26" ht="12.75" customHeight="1" x14ac:dyDescent="0.2">
      <c r="A23536" s="258"/>
      <c r="Z23536" s="258"/>
    </row>
    <row r="23537" spans="1:26" ht="12.75" customHeight="1" x14ac:dyDescent="0.2">
      <c r="A23537" s="258"/>
      <c r="Z23537" s="258"/>
    </row>
    <row r="23538" spans="1:26" ht="12.75" customHeight="1" x14ac:dyDescent="0.2">
      <c r="A23538" s="258"/>
      <c r="Z23538" s="258"/>
    </row>
    <row r="23539" spans="1:26" ht="12.75" customHeight="1" x14ac:dyDescent="0.2">
      <c r="A23539" s="258"/>
      <c r="Z23539" s="258"/>
    </row>
    <row r="23540" spans="1:26" ht="12.75" customHeight="1" x14ac:dyDescent="0.2">
      <c r="A23540" s="258"/>
      <c r="Z23540" s="258"/>
    </row>
    <row r="23541" spans="1:26" ht="12.75" customHeight="1" x14ac:dyDescent="0.2">
      <c r="A23541" s="258"/>
      <c r="Z23541" s="258"/>
    </row>
    <row r="23542" spans="1:26" ht="12.75" customHeight="1" x14ac:dyDescent="0.2">
      <c r="A23542" s="258"/>
      <c r="Z23542" s="258"/>
    </row>
    <row r="23543" spans="1:26" ht="12.75" customHeight="1" x14ac:dyDescent="0.2">
      <c r="A23543" s="258"/>
      <c r="Z23543" s="258"/>
    </row>
    <row r="23544" spans="1:26" ht="12.75" customHeight="1" x14ac:dyDescent="0.2">
      <c r="A23544" s="258"/>
      <c r="Z23544" s="258"/>
    </row>
    <row r="23545" spans="1:26" ht="12.75" customHeight="1" x14ac:dyDescent="0.2">
      <c r="A23545" s="258"/>
      <c r="Z23545" s="258"/>
    </row>
    <row r="23546" spans="1:26" ht="12.75" customHeight="1" x14ac:dyDescent="0.2">
      <c r="A23546" s="258"/>
      <c r="Z23546" s="258"/>
    </row>
    <row r="23547" spans="1:26" ht="12.75" customHeight="1" x14ac:dyDescent="0.2">
      <c r="A23547" s="258"/>
      <c r="Z23547" s="258"/>
    </row>
    <row r="23548" spans="1:26" ht="12.75" customHeight="1" x14ac:dyDescent="0.2">
      <c r="A23548" s="258"/>
      <c r="Z23548" s="258"/>
    </row>
    <row r="23549" spans="1:26" ht="12.75" customHeight="1" x14ac:dyDescent="0.2">
      <c r="A23549" s="258"/>
      <c r="Z23549" s="258"/>
    </row>
    <row r="23550" spans="1:26" ht="12.75" customHeight="1" x14ac:dyDescent="0.2">
      <c r="A23550" s="258"/>
      <c r="Z23550" s="258"/>
    </row>
    <row r="23551" spans="1:26" ht="12.75" customHeight="1" x14ac:dyDescent="0.2">
      <c r="A23551" s="258"/>
      <c r="Z23551" s="258"/>
    </row>
    <row r="23552" spans="1:26" ht="12.75" customHeight="1" x14ac:dyDescent="0.2">
      <c r="A23552" s="258"/>
      <c r="Z23552" s="258"/>
    </row>
    <row r="23553" spans="1:26" ht="12.75" customHeight="1" x14ac:dyDescent="0.2">
      <c r="A23553" s="258"/>
      <c r="Z23553" s="258"/>
    </row>
    <row r="23554" spans="1:26" ht="12.75" customHeight="1" x14ac:dyDescent="0.2">
      <c r="A23554" s="258"/>
      <c r="Z23554" s="258"/>
    </row>
    <row r="23555" spans="1:26" ht="12.75" customHeight="1" x14ac:dyDescent="0.2">
      <c r="A23555" s="258"/>
      <c r="Z23555" s="258"/>
    </row>
    <row r="23556" spans="1:26" ht="12.75" customHeight="1" x14ac:dyDescent="0.2">
      <c r="A23556" s="258"/>
      <c r="Z23556" s="258"/>
    </row>
    <row r="23557" spans="1:26" ht="12.75" customHeight="1" x14ac:dyDescent="0.2">
      <c r="A23557" s="258"/>
      <c r="Z23557" s="258"/>
    </row>
    <row r="23558" spans="1:26" ht="12.75" customHeight="1" x14ac:dyDescent="0.2">
      <c r="A23558" s="258"/>
      <c r="Z23558" s="258"/>
    </row>
    <row r="23559" spans="1:26" ht="12.75" customHeight="1" x14ac:dyDescent="0.2">
      <c r="A23559" s="258"/>
      <c r="Z23559" s="258"/>
    </row>
    <row r="23560" spans="1:26" ht="12.75" customHeight="1" x14ac:dyDescent="0.2">
      <c r="A23560" s="258"/>
      <c r="Z23560" s="258"/>
    </row>
    <row r="23561" spans="1:26" ht="12.75" customHeight="1" x14ac:dyDescent="0.2">
      <c r="A23561" s="258"/>
      <c r="Z23561" s="258"/>
    </row>
    <row r="23562" spans="1:26" ht="12.75" customHeight="1" x14ac:dyDescent="0.2">
      <c r="A23562" s="258"/>
      <c r="Z23562" s="258"/>
    </row>
    <row r="23563" spans="1:26" ht="12.75" customHeight="1" x14ac:dyDescent="0.2">
      <c r="A23563" s="258"/>
      <c r="Z23563" s="258"/>
    </row>
    <row r="23564" spans="1:26" ht="12.75" customHeight="1" x14ac:dyDescent="0.2">
      <c r="A23564" s="258"/>
      <c r="Z23564" s="258"/>
    </row>
    <row r="23565" spans="1:26" ht="12.75" customHeight="1" x14ac:dyDescent="0.2">
      <c r="A23565" s="258"/>
      <c r="Z23565" s="258"/>
    </row>
    <row r="23566" spans="1:26" ht="12.75" customHeight="1" x14ac:dyDescent="0.2">
      <c r="A23566" s="258"/>
      <c r="Z23566" s="258"/>
    </row>
    <row r="23567" spans="1:26" ht="12.75" customHeight="1" x14ac:dyDescent="0.2">
      <c r="A23567" s="258"/>
      <c r="Z23567" s="258"/>
    </row>
    <row r="23568" spans="1:26" ht="12.75" customHeight="1" x14ac:dyDescent="0.2">
      <c r="A23568" s="258"/>
      <c r="Z23568" s="258"/>
    </row>
    <row r="23569" spans="1:26" ht="12.75" customHeight="1" x14ac:dyDescent="0.2">
      <c r="A23569" s="258"/>
      <c r="Z23569" s="258"/>
    </row>
    <row r="23570" spans="1:26" ht="12.75" customHeight="1" x14ac:dyDescent="0.2">
      <c r="A23570" s="258"/>
      <c r="Z23570" s="258"/>
    </row>
    <row r="23571" spans="1:26" ht="12.75" customHeight="1" x14ac:dyDescent="0.2">
      <c r="A23571" s="258"/>
      <c r="Z23571" s="258"/>
    </row>
    <row r="23572" spans="1:26" ht="12.75" customHeight="1" x14ac:dyDescent="0.2">
      <c r="A23572" s="258"/>
      <c r="Z23572" s="258"/>
    </row>
    <row r="23573" spans="1:26" ht="12.75" customHeight="1" x14ac:dyDescent="0.2">
      <c r="A23573" s="258"/>
      <c r="Z23573" s="258"/>
    </row>
    <row r="23574" spans="1:26" ht="12.75" customHeight="1" x14ac:dyDescent="0.2">
      <c r="A23574" s="258"/>
      <c r="Z23574" s="258"/>
    </row>
    <row r="23575" spans="1:26" ht="12.75" customHeight="1" x14ac:dyDescent="0.2">
      <c r="A23575" s="258"/>
      <c r="Z23575" s="258"/>
    </row>
    <row r="23576" spans="1:26" ht="12.75" customHeight="1" x14ac:dyDescent="0.2">
      <c r="A23576" s="258"/>
      <c r="Z23576" s="258"/>
    </row>
    <row r="23577" spans="1:26" ht="12.75" customHeight="1" x14ac:dyDescent="0.2">
      <c r="A23577" s="258"/>
      <c r="Z23577" s="258"/>
    </row>
    <row r="23578" spans="1:26" ht="12.75" customHeight="1" x14ac:dyDescent="0.2">
      <c r="A23578" s="258"/>
      <c r="Z23578" s="258"/>
    </row>
    <row r="23579" spans="1:26" ht="12.75" customHeight="1" x14ac:dyDescent="0.2">
      <c r="A23579" s="258"/>
      <c r="Z23579" s="258"/>
    </row>
    <row r="23580" spans="1:26" ht="12.75" customHeight="1" x14ac:dyDescent="0.2">
      <c r="A23580" s="258"/>
      <c r="Z23580" s="258"/>
    </row>
    <row r="23581" spans="1:26" ht="12.75" customHeight="1" x14ac:dyDescent="0.2">
      <c r="A23581" s="258"/>
      <c r="Z23581" s="258"/>
    </row>
    <row r="23582" spans="1:26" ht="12.75" customHeight="1" x14ac:dyDescent="0.2">
      <c r="A23582" s="258"/>
      <c r="Z23582" s="258"/>
    </row>
    <row r="23583" spans="1:26" ht="12.75" customHeight="1" x14ac:dyDescent="0.2">
      <c r="A23583" s="258"/>
      <c r="Z23583" s="258"/>
    </row>
    <row r="23584" spans="1:26" ht="12.75" customHeight="1" x14ac:dyDescent="0.2">
      <c r="A23584" s="258"/>
      <c r="Z23584" s="258"/>
    </row>
    <row r="23585" spans="1:26" ht="12.75" customHeight="1" x14ac:dyDescent="0.2">
      <c r="A23585" s="258"/>
      <c r="Z23585" s="258"/>
    </row>
    <row r="23586" spans="1:26" ht="12.75" customHeight="1" x14ac:dyDescent="0.2">
      <c r="A23586" s="258"/>
      <c r="Z23586" s="258"/>
    </row>
    <row r="23587" spans="1:26" ht="12.75" customHeight="1" x14ac:dyDescent="0.2">
      <c r="A23587" s="258"/>
      <c r="Z23587" s="258"/>
    </row>
    <row r="23588" spans="1:26" ht="12.75" customHeight="1" x14ac:dyDescent="0.2">
      <c r="A23588" s="258"/>
      <c r="Z23588" s="258"/>
    </row>
    <row r="23589" spans="1:26" ht="12.75" customHeight="1" x14ac:dyDescent="0.2">
      <c r="A23589" s="258"/>
      <c r="Z23589" s="258"/>
    </row>
    <row r="23590" spans="1:26" ht="12.75" customHeight="1" x14ac:dyDescent="0.2">
      <c r="A23590" s="258"/>
      <c r="Z23590" s="258"/>
    </row>
    <row r="23591" spans="1:26" ht="12.75" customHeight="1" x14ac:dyDescent="0.2">
      <c r="A23591" s="258"/>
      <c r="Z23591" s="258"/>
    </row>
    <row r="23592" spans="1:26" ht="12.75" customHeight="1" x14ac:dyDescent="0.2">
      <c r="A23592" s="258"/>
      <c r="Z23592" s="258"/>
    </row>
    <row r="23593" spans="1:26" ht="12.75" customHeight="1" x14ac:dyDescent="0.2">
      <c r="A23593" s="258"/>
      <c r="Z23593" s="258"/>
    </row>
    <row r="23594" spans="1:26" ht="12.75" customHeight="1" x14ac:dyDescent="0.2">
      <c r="A23594" s="258"/>
      <c r="Z23594" s="258"/>
    </row>
    <row r="23595" spans="1:26" ht="12.75" customHeight="1" x14ac:dyDescent="0.2">
      <c r="A23595" s="258"/>
      <c r="Z23595" s="258"/>
    </row>
    <row r="23596" spans="1:26" ht="12.75" customHeight="1" x14ac:dyDescent="0.2">
      <c r="A23596" s="258"/>
      <c r="Z23596" s="258"/>
    </row>
    <row r="23597" spans="1:26" ht="12.75" customHeight="1" x14ac:dyDescent="0.2">
      <c r="A23597" s="258"/>
      <c r="Z23597" s="258"/>
    </row>
    <row r="23598" spans="1:26" ht="12.75" customHeight="1" x14ac:dyDescent="0.2">
      <c r="A23598" s="258"/>
      <c r="Z23598" s="258"/>
    </row>
    <row r="23599" spans="1:26" ht="12.75" customHeight="1" x14ac:dyDescent="0.2">
      <c r="A23599" s="258"/>
      <c r="Z23599" s="258"/>
    </row>
    <row r="23600" spans="1:26" ht="12.75" customHeight="1" x14ac:dyDescent="0.2">
      <c r="A23600" s="258"/>
      <c r="Z23600" s="258"/>
    </row>
    <row r="23601" spans="1:26" ht="12.75" customHeight="1" x14ac:dyDescent="0.2">
      <c r="A23601" s="258"/>
      <c r="Z23601" s="258"/>
    </row>
    <row r="23602" spans="1:26" ht="12.75" customHeight="1" x14ac:dyDescent="0.2">
      <c r="A23602" s="258"/>
      <c r="Z23602" s="258"/>
    </row>
    <row r="23603" spans="1:26" ht="12.75" customHeight="1" x14ac:dyDescent="0.2">
      <c r="A23603" s="258"/>
      <c r="Z23603" s="258"/>
    </row>
    <row r="23604" spans="1:26" ht="12.75" customHeight="1" x14ac:dyDescent="0.2">
      <c r="A23604" s="258"/>
      <c r="Z23604" s="258"/>
    </row>
    <row r="23605" spans="1:26" ht="12.75" customHeight="1" x14ac:dyDescent="0.2">
      <c r="A23605" s="258"/>
      <c r="Z23605" s="258"/>
    </row>
    <row r="23606" spans="1:26" ht="12.75" customHeight="1" x14ac:dyDescent="0.2">
      <c r="A23606" s="258"/>
      <c r="Z23606" s="258"/>
    </row>
    <row r="23607" spans="1:26" ht="12.75" customHeight="1" x14ac:dyDescent="0.2">
      <c r="A23607" s="258"/>
      <c r="Z23607" s="258"/>
    </row>
    <row r="23608" spans="1:26" ht="12.75" customHeight="1" x14ac:dyDescent="0.2">
      <c r="A23608" s="258"/>
      <c r="Z23608" s="258"/>
    </row>
    <row r="23609" spans="1:26" ht="12.75" customHeight="1" x14ac:dyDescent="0.2">
      <c r="A23609" s="258"/>
      <c r="Z23609" s="258"/>
    </row>
    <row r="23610" spans="1:26" ht="12.75" customHeight="1" x14ac:dyDescent="0.2">
      <c r="A23610" s="258"/>
      <c r="Z23610" s="258"/>
    </row>
    <row r="23611" spans="1:26" ht="12.75" customHeight="1" x14ac:dyDescent="0.2">
      <c r="A23611" s="258"/>
      <c r="Z23611" s="258"/>
    </row>
    <row r="23612" spans="1:26" ht="12.75" customHeight="1" x14ac:dyDescent="0.2">
      <c r="A23612" s="258"/>
      <c r="Z23612" s="258"/>
    </row>
    <row r="23613" spans="1:26" ht="12.75" customHeight="1" x14ac:dyDescent="0.2">
      <c r="A23613" s="258"/>
      <c r="Z23613" s="258"/>
    </row>
    <row r="23614" spans="1:26" ht="12.75" customHeight="1" x14ac:dyDescent="0.2">
      <c r="A23614" s="258"/>
      <c r="Z23614" s="258"/>
    </row>
    <row r="23615" spans="1:26" ht="12.75" customHeight="1" x14ac:dyDescent="0.2">
      <c r="A23615" s="258"/>
      <c r="Z23615" s="258"/>
    </row>
    <row r="23616" spans="1:26" ht="12.75" customHeight="1" x14ac:dyDescent="0.2">
      <c r="A23616" s="258"/>
      <c r="Z23616" s="258"/>
    </row>
    <row r="23617" spans="1:26" ht="12.75" customHeight="1" x14ac:dyDescent="0.2">
      <c r="A23617" s="258"/>
      <c r="Z23617" s="258"/>
    </row>
    <row r="23618" spans="1:26" ht="12.75" customHeight="1" x14ac:dyDescent="0.2">
      <c r="A23618" s="258"/>
      <c r="Z23618" s="258"/>
    </row>
    <row r="23619" spans="1:26" ht="12.75" customHeight="1" x14ac:dyDescent="0.2">
      <c r="A23619" s="258"/>
      <c r="Z23619" s="258"/>
    </row>
    <row r="23620" spans="1:26" ht="12.75" customHeight="1" x14ac:dyDescent="0.2">
      <c r="A23620" s="258"/>
      <c r="Z23620" s="258"/>
    </row>
    <row r="23621" spans="1:26" ht="12.75" customHeight="1" x14ac:dyDescent="0.2">
      <c r="A23621" s="258"/>
      <c r="Z23621" s="258"/>
    </row>
    <row r="23622" spans="1:26" ht="12.75" customHeight="1" x14ac:dyDescent="0.2">
      <c r="A23622" s="258"/>
      <c r="Z23622" s="258"/>
    </row>
    <row r="23623" spans="1:26" ht="12.75" customHeight="1" x14ac:dyDescent="0.2">
      <c r="A23623" s="258"/>
      <c r="Z23623" s="258"/>
    </row>
    <row r="23624" spans="1:26" ht="12.75" customHeight="1" x14ac:dyDescent="0.2">
      <c r="A23624" s="258"/>
      <c r="Z23624" s="258"/>
    </row>
    <row r="23625" spans="1:26" ht="12.75" customHeight="1" x14ac:dyDescent="0.2">
      <c r="A23625" s="258"/>
      <c r="Z23625" s="258"/>
    </row>
    <row r="23626" spans="1:26" ht="12.75" customHeight="1" x14ac:dyDescent="0.2">
      <c r="A23626" s="258"/>
      <c r="Z23626" s="258"/>
    </row>
    <row r="23627" spans="1:26" ht="12.75" customHeight="1" x14ac:dyDescent="0.2">
      <c r="A23627" s="258"/>
      <c r="Z23627" s="258"/>
    </row>
    <row r="23628" spans="1:26" ht="12.75" customHeight="1" x14ac:dyDescent="0.2">
      <c r="A23628" s="258"/>
      <c r="Z23628" s="258"/>
    </row>
    <row r="23629" spans="1:26" ht="12.75" customHeight="1" x14ac:dyDescent="0.2">
      <c r="A23629" s="258"/>
      <c r="Z23629" s="258"/>
    </row>
    <row r="23630" spans="1:26" ht="12.75" customHeight="1" x14ac:dyDescent="0.2">
      <c r="A23630" s="258"/>
      <c r="Z23630" s="258"/>
    </row>
    <row r="23631" spans="1:26" ht="12.75" customHeight="1" x14ac:dyDescent="0.2">
      <c r="A23631" s="258"/>
      <c r="Z23631" s="258"/>
    </row>
    <row r="23632" spans="1:26" ht="12.75" customHeight="1" x14ac:dyDescent="0.2">
      <c r="A23632" s="258"/>
      <c r="Z23632" s="258"/>
    </row>
    <row r="23633" spans="1:26" ht="12.75" customHeight="1" x14ac:dyDescent="0.2">
      <c r="A23633" s="258"/>
      <c r="Z23633" s="258"/>
    </row>
    <row r="23634" spans="1:26" ht="12.75" customHeight="1" x14ac:dyDescent="0.2">
      <c r="A23634" s="258"/>
      <c r="Z23634" s="258"/>
    </row>
    <row r="23635" spans="1:26" ht="12.75" customHeight="1" x14ac:dyDescent="0.2">
      <c r="A23635" s="258"/>
      <c r="Z23635" s="258"/>
    </row>
    <row r="23636" spans="1:26" ht="12.75" customHeight="1" x14ac:dyDescent="0.2">
      <c r="A23636" s="258"/>
      <c r="Z23636" s="258"/>
    </row>
    <row r="23637" spans="1:26" ht="12.75" customHeight="1" x14ac:dyDescent="0.2">
      <c r="A23637" s="258"/>
      <c r="Z23637" s="258"/>
    </row>
    <row r="23638" spans="1:26" ht="12.75" customHeight="1" x14ac:dyDescent="0.2">
      <c r="A23638" s="258"/>
      <c r="Z23638" s="258"/>
    </row>
    <row r="23639" spans="1:26" ht="12.75" customHeight="1" x14ac:dyDescent="0.2">
      <c r="A23639" s="258"/>
      <c r="Z23639" s="258"/>
    </row>
    <row r="23640" spans="1:26" ht="12.75" customHeight="1" x14ac:dyDescent="0.2">
      <c r="A23640" s="258"/>
      <c r="Z23640" s="258"/>
    </row>
    <row r="23641" spans="1:26" ht="12.75" customHeight="1" x14ac:dyDescent="0.2">
      <c r="A23641" s="258"/>
      <c r="Z23641" s="258"/>
    </row>
    <row r="23642" spans="1:26" ht="12.75" customHeight="1" x14ac:dyDescent="0.2">
      <c r="A23642" s="258"/>
      <c r="Z23642" s="258"/>
    </row>
    <row r="23643" spans="1:26" ht="12.75" customHeight="1" x14ac:dyDescent="0.2">
      <c r="A23643" s="258"/>
      <c r="Z23643" s="258"/>
    </row>
    <row r="23644" spans="1:26" ht="12.75" customHeight="1" x14ac:dyDescent="0.2">
      <c r="A23644" s="258"/>
      <c r="Z23644" s="258"/>
    </row>
    <row r="23645" spans="1:26" ht="12.75" customHeight="1" x14ac:dyDescent="0.2">
      <c r="A23645" s="258"/>
      <c r="Z23645" s="258"/>
    </row>
    <row r="23646" spans="1:26" ht="12.75" customHeight="1" x14ac:dyDescent="0.2">
      <c r="A23646" s="258"/>
      <c r="Z23646" s="258"/>
    </row>
    <row r="23647" spans="1:26" ht="12.75" customHeight="1" x14ac:dyDescent="0.2">
      <c r="A23647" s="258"/>
      <c r="Z23647" s="258"/>
    </row>
    <row r="23648" spans="1:26" ht="12.75" customHeight="1" x14ac:dyDescent="0.2">
      <c r="A23648" s="258"/>
      <c r="Z23648" s="258"/>
    </row>
    <row r="23649" spans="1:26" ht="12.75" customHeight="1" x14ac:dyDescent="0.2">
      <c r="A23649" s="258"/>
      <c r="Z23649" s="258"/>
    </row>
    <row r="23650" spans="1:26" ht="12.75" customHeight="1" x14ac:dyDescent="0.2">
      <c r="A23650" s="258"/>
      <c r="Z23650" s="258"/>
    </row>
    <row r="23651" spans="1:26" ht="12.75" customHeight="1" x14ac:dyDescent="0.2">
      <c r="A23651" s="258"/>
      <c r="Z23651" s="258"/>
    </row>
    <row r="23652" spans="1:26" ht="12.75" customHeight="1" x14ac:dyDescent="0.2">
      <c r="A23652" s="258"/>
      <c r="Z23652" s="258"/>
    </row>
    <row r="23653" spans="1:26" ht="12.75" customHeight="1" x14ac:dyDescent="0.2">
      <c r="A23653" s="258"/>
      <c r="Z23653" s="258"/>
    </row>
    <row r="23654" spans="1:26" ht="12.75" customHeight="1" x14ac:dyDescent="0.2">
      <c r="A23654" s="258"/>
      <c r="Z23654" s="258"/>
    </row>
    <row r="23655" spans="1:26" ht="12.75" customHeight="1" x14ac:dyDescent="0.2">
      <c r="A23655" s="258"/>
      <c r="Z23655" s="258"/>
    </row>
    <row r="23656" spans="1:26" ht="12.75" customHeight="1" x14ac:dyDescent="0.2">
      <c r="A23656" s="258"/>
      <c r="Z23656" s="258"/>
    </row>
    <row r="23657" spans="1:26" ht="12.75" customHeight="1" x14ac:dyDescent="0.2">
      <c r="A23657" s="258"/>
      <c r="Z23657" s="258"/>
    </row>
    <row r="23658" spans="1:26" ht="12.75" customHeight="1" x14ac:dyDescent="0.2">
      <c r="A23658" s="258"/>
      <c r="Z23658" s="258"/>
    </row>
    <row r="23659" spans="1:26" ht="12.75" customHeight="1" x14ac:dyDescent="0.2">
      <c r="A23659" s="258"/>
      <c r="Z23659" s="258"/>
    </row>
    <row r="23660" spans="1:26" ht="12.75" customHeight="1" x14ac:dyDescent="0.2">
      <c r="A23660" s="258"/>
      <c r="Z23660" s="258"/>
    </row>
    <row r="23661" spans="1:26" ht="12.75" customHeight="1" x14ac:dyDescent="0.2">
      <c r="A23661" s="258"/>
      <c r="Z23661" s="258"/>
    </row>
    <row r="23662" spans="1:26" ht="12.75" customHeight="1" x14ac:dyDescent="0.2">
      <c r="A23662" s="258"/>
      <c r="Z23662" s="258"/>
    </row>
    <row r="23663" spans="1:26" ht="12.75" customHeight="1" x14ac:dyDescent="0.2">
      <c r="A23663" s="258"/>
      <c r="Z23663" s="258"/>
    </row>
    <row r="23664" spans="1:26" ht="12.75" customHeight="1" x14ac:dyDescent="0.2">
      <c r="A23664" s="258"/>
      <c r="Z23664" s="258"/>
    </row>
    <row r="23665" spans="1:26" ht="12.75" customHeight="1" x14ac:dyDescent="0.2">
      <c r="A23665" s="258"/>
      <c r="Z23665" s="258"/>
    </row>
    <row r="23666" spans="1:26" ht="12.75" customHeight="1" x14ac:dyDescent="0.2">
      <c r="A23666" s="258"/>
      <c r="Z23666" s="258"/>
    </row>
    <row r="23667" spans="1:26" ht="12.75" customHeight="1" x14ac:dyDescent="0.2">
      <c r="A23667" s="258"/>
      <c r="Z23667" s="258"/>
    </row>
    <row r="23668" spans="1:26" ht="12.75" customHeight="1" x14ac:dyDescent="0.2">
      <c r="A23668" s="258"/>
      <c r="Z23668" s="258"/>
    </row>
    <row r="23669" spans="1:26" ht="12.75" customHeight="1" x14ac:dyDescent="0.2">
      <c r="A23669" s="258"/>
      <c r="Z23669" s="258"/>
    </row>
    <row r="23670" spans="1:26" ht="12.75" customHeight="1" x14ac:dyDescent="0.2">
      <c r="A23670" s="258"/>
      <c r="Z23670" s="258"/>
    </row>
    <row r="23671" spans="1:26" ht="12.75" customHeight="1" x14ac:dyDescent="0.2">
      <c r="A23671" s="258"/>
      <c r="Z23671" s="258"/>
    </row>
    <row r="23672" spans="1:26" ht="12.75" customHeight="1" x14ac:dyDescent="0.2">
      <c r="A23672" s="258"/>
      <c r="Z23672" s="258"/>
    </row>
    <row r="23673" spans="1:26" ht="12.75" customHeight="1" x14ac:dyDescent="0.2">
      <c r="A23673" s="258"/>
      <c r="Z23673" s="258"/>
    </row>
    <row r="23674" spans="1:26" ht="12.75" customHeight="1" x14ac:dyDescent="0.2">
      <c r="A23674" s="258"/>
      <c r="Z23674" s="258"/>
    </row>
    <row r="23675" spans="1:26" ht="12.75" customHeight="1" x14ac:dyDescent="0.2">
      <c r="A23675" s="258"/>
      <c r="Z23675" s="258"/>
    </row>
    <row r="23676" spans="1:26" ht="12.75" customHeight="1" x14ac:dyDescent="0.2">
      <c r="A23676" s="258"/>
      <c r="Z23676" s="258"/>
    </row>
    <row r="23677" spans="1:26" ht="12.75" customHeight="1" x14ac:dyDescent="0.2">
      <c r="A23677" s="258"/>
      <c r="Z23677" s="258"/>
    </row>
    <row r="23678" spans="1:26" ht="12.75" customHeight="1" x14ac:dyDescent="0.2">
      <c r="A23678" s="258"/>
      <c r="Z23678" s="258"/>
    </row>
    <row r="23679" spans="1:26" ht="12.75" customHeight="1" x14ac:dyDescent="0.2">
      <c r="A23679" s="258"/>
      <c r="Z23679" s="258"/>
    </row>
    <row r="23680" spans="1:26" ht="12.75" customHeight="1" x14ac:dyDescent="0.2">
      <c r="A23680" s="258"/>
      <c r="Z23680" s="258"/>
    </row>
    <row r="23681" spans="1:26" ht="12.75" customHeight="1" x14ac:dyDescent="0.2">
      <c r="A23681" s="258"/>
      <c r="Z23681" s="258"/>
    </row>
    <row r="23682" spans="1:26" ht="12.75" customHeight="1" x14ac:dyDescent="0.2">
      <c r="A23682" s="258"/>
      <c r="Z23682" s="258"/>
    </row>
    <row r="23683" spans="1:26" ht="12.75" customHeight="1" x14ac:dyDescent="0.2">
      <c r="A23683" s="258"/>
      <c r="Z23683" s="258"/>
    </row>
    <row r="23684" spans="1:26" ht="12.75" customHeight="1" x14ac:dyDescent="0.2">
      <c r="A23684" s="258"/>
      <c r="Z23684" s="258"/>
    </row>
    <row r="23685" spans="1:26" ht="12.75" customHeight="1" x14ac:dyDescent="0.2">
      <c r="A23685" s="258"/>
      <c r="Z23685" s="258"/>
    </row>
    <row r="23686" spans="1:26" ht="12.75" customHeight="1" x14ac:dyDescent="0.2">
      <c r="A23686" s="258"/>
      <c r="Z23686" s="258"/>
    </row>
    <row r="23687" spans="1:26" ht="12.75" customHeight="1" x14ac:dyDescent="0.2">
      <c r="A23687" s="258"/>
      <c r="Z23687" s="258"/>
    </row>
    <row r="23688" spans="1:26" ht="12.75" customHeight="1" x14ac:dyDescent="0.2">
      <c r="A23688" s="258"/>
      <c r="Z23688" s="258"/>
    </row>
    <row r="23689" spans="1:26" ht="12.75" customHeight="1" x14ac:dyDescent="0.2">
      <c r="A23689" s="258"/>
      <c r="Z23689" s="258"/>
    </row>
    <row r="23690" spans="1:26" ht="12.75" customHeight="1" x14ac:dyDescent="0.2">
      <c r="A23690" s="258"/>
      <c r="Z23690" s="258"/>
    </row>
    <row r="23691" spans="1:26" ht="12.75" customHeight="1" x14ac:dyDescent="0.2">
      <c r="A23691" s="258"/>
      <c r="Z23691" s="258"/>
    </row>
    <row r="23692" spans="1:26" ht="12.75" customHeight="1" x14ac:dyDescent="0.2">
      <c r="A23692" s="258"/>
      <c r="Z23692" s="258"/>
    </row>
    <row r="23693" spans="1:26" ht="12.75" customHeight="1" x14ac:dyDescent="0.2">
      <c r="A23693" s="258"/>
      <c r="Z23693" s="258"/>
    </row>
    <row r="23694" spans="1:26" ht="12.75" customHeight="1" x14ac:dyDescent="0.2">
      <c r="A23694" s="258"/>
      <c r="Z23694" s="258"/>
    </row>
    <row r="23695" spans="1:26" ht="12.75" customHeight="1" x14ac:dyDescent="0.2">
      <c r="A23695" s="258"/>
      <c r="Z23695" s="258"/>
    </row>
    <row r="23696" spans="1:26" ht="12.75" customHeight="1" x14ac:dyDescent="0.2">
      <c r="A23696" s="258"/>
      <c r="Z23696" s="258"/>
    </row>
    <row r="23697" spans="1:26" ht="12.75" customHeight="1" x14ac:dyDescent="0.2">
      <c r="A23697" s="258"/>
      <c r="Z23697" s="258"/>
    </row>
    <row r="23698" spans="1:26" ht="12.75" customHeight="1" x14ac:dyDescent="0.2">
      <c r="A23698" s="258"/>
      <c r="Z23698" s="258"/>
    </row>
    <row r="23699" spans="1:26" ht="12.75" customHeight="1" x14ac:dyDescent="0.2">
      <c r="A23699" s="258"/>
      <c r="Z23699" s="258"/>
    </row>
    <row r="23700" spans="1:26" ht="12.75" customHeight="1" x14ac:dyDescent="0.2">
      <c r="A23700" s="258"/>
      <c r="Z23700" s="258"/>
    </row>
    <row r="23701" spans="1:26" ht="12.75" customHeight="1" x14ac:dyDescent="0.2">
      <c r="A23701" s="258"/>
      <c r="Z23701" s="258"/>
    </row>
    <row r="23702" spans="1:26" ht="12.75" customHeight="1" x14ac:dyDescent="0.2">
      <c r="A23702" s="258"/>
      <c r="Z23702" s="258"/>
    </row>
    <row r="23703" spans="1:26" ht="12.75" customHeight="1" x14ac:dyDescent="0.2">
      <c r="A23703" s="258"/>
      <c r="Z23703" s="258"/>
    </row>
    <row r="23704" spans="1:26" ht="12.75" customHeight="1" x14ac:dyDescent="0.2">
      <c r="A23704" s="258"/>
      <c r="Z23704" s="258"/>
    </row>
    <row r="23705" spans="1:26" ht="12.75" customHeight="1" x14ac:dyDescent="0.2">
      <c r="A23705" s="258"/>
      <c r="Z23705" s="258"/>
    </row>
    <row r="23706" spans="1:26" ht="12.75" customHeight="1" x14ac:dyDescent="0.2">
      <c r="A23706" s="258"/>
      <c r="Z23706" s="258"/>
    </row>
    <row r="23707" spans="1:26" ht="12.75" customHeight="1" x14ac:dyDescent="0.2">
      <c r="A23707" s="258"/>
      <c r="Z23707" s="258"/>
    </row>
    <row r="23708" spans="1:26" ht="12.75" customHeight="1" x14ac:dyDescent="0.2">
      <c r="A23708" s="258"/>
      <c r="Z23708" s="258"/>
    </row>
    <row r="23709" spans="1:26" ht="12.75" customHeight="1" x14ac:dyDescent="0.2">
      <c r="A23709" s="258"/>
      <c r="Z23709" s="258"/>
    </row>
    <row r="23710" spans="1:26" ht="12.75" customHeight="1" x14ac:dyDescent="0.2">
      <c r="A23710" s="258"/>
      <c r="Z23710" s="258"/>
    </row>
    <row r="23711" spans="1:26" ht="12.75" customHeight="1" x14ac:dyDescent="0.2">
      <c r="A23711" s="258"/>
      <c r="Z23711" s="258"/>
    </row>
    <row r="23712" spans="1:26" ht="12.75" customHeight="1" x14ac:dyDescent="0.2">
      <c r="A23712" s="258"/>
      <c r="Z23712" s="258"/>
    </row>
    <row r="23713" spans="1:26" ht="12.75" customHeight="1" x14ac:dyDescent="0.2">
      <c r="A23713" s="258"/>
      <c r="Z23713" s="258"/>
    </row>
    <row r="23714" spans="1:26" ht="12.75" customHeight="1" x14ac:dyDescent="0.2">
      <c r="A23714" s="258"/>
      <c r="Z23714" s="258"/>
    </row>
    <row r="23715" spans="1:26" ht="12.75" customHeight="1" x14ac:dyDescent="0.2">
      <c r="A23715" s="258"/>
      <c r="Z23715" s="258"/>
    </row>
    <row r="23716" spans="1:26" ht="12.75" customHeight="1" x14ac:dyDescent="0.2">
      <c r="A23716" s="258"/>
      <c r="Z23716" s="258"/>
    </row>
    <row r="23717" spans="1:26" ht="12.75" customHeight="1" x14ac:dyDescent="0.2">
      <c r="A23717" s="258"/>
      <c r="Z23717" s="258"/>
    </row>
    <row r="23718" spans="1:26" ht="12.75" customHeight="1" x14ac:dyDescent="0.2">
      <c r="A23718" s="258"/>
      <c r="Z23718" s="258"/>
    </row>
    <row r="23719" spans="1:26" ht="12.75" customHeight="1" x14ac:dyDescent="0.2">
      <c r="A23719" s="258"/>
      <c r="Z23719" s="258"/>
    </row>
    <row r="23720" spans="1:26" ht="12.75" customHeight="1" x14ac:dyDescent="0.2">
      <c r="A23720" s="258"/>
      <c r="Z23720" s="258"/>
    </row>
    <row r="23721" spans="1:26" ht="12.75" customHeight="1" x14ac:dyDescent="0.2">
      <c r="A23721" s="258"/>
      <c r="Z23721" s="258"/>
    </row>
    <row r="23722" spans="1:26" ht="12.75" customHeight="1" x14ac:dyDescent="0.2">
      <c r="A23722" s="258"/>
      <c r="Z23722" s="258"/>
    </row>
    <row r="23723" spans="1:26" ht="12.75" customHeight="1" x14ac:dyDescent="0.2">
      <c r="A23723" s="258"/>
      <c r="Z23723" s="258"/>
    </row>
    <row r="23724" spans="1:26" ht="12.75" customHeight="1" x14ac:dyDescent="0.2">
      <c r="A23724" s="258"/>
      <c r="Z23724" s="258"/>
    </row>
    <row r="23725" spans="1:26" ht="12.75" customHeight="1" x14ac:dyDescent="0.2">
      <c r="A23725" s="258"/>
      <c r="Z23725" s="258"/>
    </row>
    <row r="23726" spans="1:26" ht="12.75" customHeight="1" x14ac:dyDescent="0.2">
      <c r="A23726" s="258"/>
      <c r="Z23726" s="258"/>
    </row>
    <row r="23727" spans="1:26" ht="12.75" customHeight="1" x14ac:dyDescent="0.2">
      <c r="A23727" s="258"/>
      <c r="Z23727" s="258"/>
    </row>
    <row r="23728" spans="1:26" ht="12.75" customHeight="1" x14ac:dyDescent="0.2">
      <c r="A23728" s="258"/>
      <c r="Z23728" s="258"/>
    </row>
    <row r="23729" spans="1:26" ht="12.75" customHeight="1" x14ac:dyDescent="0.2">
      <c r="A23729" s="258"/>
      <c r="Z23729" s="258"/>
    </row>
    <row r="23730" spans="1:26" ht="12.75" customHeight="1" x14ac:dyDescent="0.2">
      <c r="A23730" s="258"/>
      <c r="Z23730" s="258"/>
    </row>
    <row r="23731" spans="1:26" ht="12.75" customHeight="1" x14ac:dyDescent="0.2">
      <c r="A23731" s="258"/>
      <c r="Z23731" s="258"/>
    </row>
    <row r="23732" spans="1:26" ht="12.75" customHeight="1" x14ac:dyDescent="0.2">
      <c r="A23732" s="258"/>
      <c r="Z23732" s="258"/>
    </row>
    <row r="23733" spans="1:26" ht="12.75" customHeight="1" x14ac:dyDescent="0.2">
      <c r="A23733" s="258"/>
      <c r="Z23733" s="258"/>
    </row>
    <row r="23734" spans="1:26" ht="12.75" customHeight="1" x14ac:dyDescent="0.2">
      <c r="A23734" s="258"/>
      <c r="Z23734" s="258"/>
    </row>
    <row r="23735" spans="1:26" ht="12.75" customHeight="1" x14ac:dyDescent="0.2">
      <c r="A23735" s="258"/>
      <c r="Z23735" s="258"/>
    </row>
    <row r="23736" spans="1:26" ht="12.75" customHeight="1" x14ac:dyDescent="0.2">
      <c r="A23736" s="258"/>
      <c r="Z23736" s="258"/>
    </row>
    <row r="23737" spans="1:26" ht="12.75" customHeight="1" x14ac:dyDescent="0.2">
      <c r="A23737" s="258"/>
      <c r="Z23737" s="258"/>
    </row>
    <row r="23738" spans="1:26" ht="12.75" customHeight="1" x14ac:dyDescent="0.2">
      <c r="A23738" s="258"/>
      <c r="Z23738" s="258"/>
    </row>
    <row r="23739" spans="1:26" ht="12.75" customHeight="1" x14ac:dyDescent="0.2">
      <c r="A23739" s="258"/>
      <c r="Z23739" s="258"/>
    </row>
    <row r="23740" spans="1:26" ht="12.75" customHeight="1" x14ac:dyDescent="0.2">
      <c r="A23740" s="258"/>
      <c r="Z23740" s="258"/>
    </row>
    <row r="23741" spans="1:26" ht="12.75" customHeight="1" x14ac:dyDescent="0.2">
      <c r="A23741" s="258"/>
      <c r="Z23741" s="258"/>
    </row>
    <row r="23742" spans="1:26" ht="12.75" customHeight="1" x14ac:dyDescent="0.2">
      <c r="A23742" s="258"/>
      <c r="Z23742" s="258"/>
    </row>
    <row r="23743" spans="1:26" ht="12.75" customHeight="1" x14ac:dyDescent="0.2">
      <c r="A23743" s="258"/>
      <c r="Z23743" s="258"/>
    </row>
    <row r="23744" spans="1:26" ht="12.75" customHeight="1" x14ac:dyDescent="0.2">
      <c r="A23744" s="258"/>
      <c r="Z23744" s="258"/>
    </row>
    <row r="23745" spans="1:26" ht="12.75" customHeight="1" x14ac:dyDescent="0.2">
      <c r="A23745" s="258"/>
      <c r="Z23745" s="258"/>
    </row>
    <row r="23746" spans="1:26" ht="12.75" customHeight="1" x14ac:dyDescent="0.2">
      <c r="A23746" s="258"/>
      <c r="Z23746" s="258"/>
    </row>
    <row r="23747" spans="1:26" ht="12.75" customHeight="1" x14ac:dyDescent="0.2">
      <c r="A23747" s="258"/>
      <c r="Z23747" s="258"/>
    </row>
    <row r="23748" spans="1:26" ht="12.75" customHeight="1" x14ac:dyDescent="0.2">
      <c r="A23748" s="258"/>
      <c r="Z23748" s="258"/>
    </row>
    <row r="23749" spans="1:26" ht="12.75" customHeight="1" x14ac:dyDescent="0.2">
      <c r="A23749" s="258"/>
      <c r="Z23749" s="258"/>
    </row>
    <row r="23750" spans="1:26" ht="12.75" customHeight="1" x14ac:dyDescent="0.2">
      <c r="A23750" s="258"/>
      <c r="Z23750" s="258"/>
    </row>
    <row r="23751" spans="1:26" ht="12.75" customHeight="1" x14ac:dyDescent="0.2">
      <c r="A23751" s="258"/>
      <c r="Z23751" s="258"/>
    </row>
    <row r="23752" spans="1:26" ht="12.75" customHeight="1" x14ac:dyDescent="0.2">
      <c r="A23752" s="258"/>
      <c r="Z23752" s="258"/>
    </row>
    <row r="23753" spans="1:26" ht="12.75" customHeight="1" x14ac:dyDescent="0.2">
      <c r="A23753" s="258"/>
      <c r="Z23753" s="258"/>
    </row>
    <row r="23754" spans="1:26" ht="12.75" customHeight="1" x14ac:dyDescent="0.2">
      <c r="A23754" s="258"/>
      <c r="Z23754" s="258"/>
    </row>
    <row r="23755" spans="1:26" ht="12.75" customHeight="1" x14ac:dyDescent="0.2">
      <c r="A23755" s="258"/>
      <c r="Z23755" s="258"/>
    </row>
    <row r="23756" spans="1:26" ht="12.75" customHeight="1" x14ac:dyDescent="0.2">
      <c r="A23756" s="258"/>
      <c r="Z23756" s="258"/>
    </row>
    <row r="23757" spans="1:26" ht="12.75" customHeight="1" x14ac:dyDescent="0.2">
      <c r="A23757" s="258"/>
      <c r="Z23757" s="258"/>
    </row>
    <row r="23758" spans="1:26" ht="12.75" customHeight="1" x14ac:dyDescent="0.2">
      <c r="A23758" s="258"/>
      <c r="Z23758" s="258"/>
    </row>
    <row r="23759" spans="1:26" ht="12.75" customHeight="1" x14ac:dyDescent="0.2">
      <c r="A23759" s="258"/>
      <c r="Z23759" s="258"/>
    </row>
    <row r="23760" spans="1:26" ht="12.75" customHeight="1" x14ac:dyDescent="0.2">
      <c r="A23760" s="258"/>
      <c r="Z23760" s="258"/>
    </row>
    <row r="23761" spans="1:26" ht="12.75" customHeight="1" x14ac:dyDescent="0.2">
      <c r="A23761" s="258"/>
      <c r="Z23761" s="258"/>
    </row>
    <row r="23762" spans="1:26" ht="12.75" customHeight="1" x14ac:dyDescent="0.2">
      <c r="A23762" s="258"/>
      <c r="Z23762" s="258"/>
    </row>
    <row r="23763" spans="1:26" ht="12.75" customHeight="1" x14ac:dyDescent="0.2">
      <c r="A23763" s="258"/>
      <c r="Z23763" s="258"/>
    </row>
    <row r="23764" spans="1:26" ht="12.75" customHeight="1" x14ac:dyDescent="0.2">
      <c r="A23764" s="258"/>
      <c r="Z23764" s="258"/>
    </row>
    <row r="23765" spans="1:26" ht="12.75" customHeight="1" x14ac:dyDescent="0.2">
      <c r="A23765" s="258"/>
      <c r="Z23765" s="258"/>
    </row>
    <row r="23766" spans="1:26" ht="12.75" customHeight="1" x14ac:dyDescent="0.2">
      <c r="A23766" s="258"/>
      <c r="Z23766" s="258"/>
    </row>
    <row r="23767" spans="1:26" ht="12.75" customHeight="1" x14ac:dyDescent="0.2">
      <c r="A23767" s="258"/>
      <c r="Z23767" s="258"/>
    </row>
    <row r="23768" spans="1:26" ht="12.75" customHeight="1" x14ac:dyDescent="0.2">
      <c r="A23768" s="258"/>
      <c r="Z23768" s="258"/>
    </row>
    <row r="23769" spans="1:26" ht="12.75" customHeight="1" x14ac:dyDescent="0.2">
      <c r="A23769" s="258"/>
      <c r="Z23769" s="258"/>
    </row>
    <row r="23770" spans="1:26" ht="12.75" customHeight="1" x14ac:dyDescent="0.2">
      <c r="A23770" s="258"/>
      <c r="Z23770" s="258"/>
    </row>
    <row r="23771" spans="1:26" ht="12.75" customHeight="1" x14ac:dyDescent="0.2">
      <c r="A23771" s="258"/>
      <c r="Z23771" s="258"/>
    </row>
    <row r="23772" spans="1:26" ht="12.75" customHeight="1" x14ac:dyDescent="0.2">
      <c r="A23772" s="258"/>
      <c r="Z23772" s="258"/>
    </row>
    <row r="23773" spans="1:26" ht="12.75" customHeight="1" x14ac:dyDescent="0.2">
      <c r="A23773" s="258"/>
      <c r="Z23773" s="258"/>
    </row>
    <row r="23774" spans="1:26" ht="12.75" customHeight="1" x14ac:dyDescent="0.2">
      <c r="A23774" s="258"/>
      <c r="Z23774" s="258"/>
    </row>
    <row r="23775" spans="1:26" ht="12.75" customHeight="1" x14ac:dyDescent="0.2">
      <c r="A23775" s="258"/>
      <c r="Z23775" s="258"/>
    </row>
    <row r="23776" spans="1:26" ht="12.75" customHeight="1" x14ac:dyDescent="0.2">
      <c r="A23776" s="258"/>
      <c r="Z23776" s="258"/>
    </row>
    <row r="23777" spans="1:26" ht="12.75" customHeight="1" x14ac:dyDescent="0.2">
      <c r="A23777" s="258"/>
      <c r="Z23777" s="258"/>
    </row>
    <row r="23778" spans="1:26" ht="12.75" customHeight="1" x14ac:dyDescent="0.2">
      <c r="A23778" s="258"/>
      <c r="Z23778" s="258"/>
    </row>
    <row r="23779" spans="1:26" ht="12.75" customHeight="1" x14ac:dyDescent="0.2">
      <c r="A23779" s="258"/>
      <c r="Z23779" s="258"/>
    </row>
    <row r="23780" spans="1:26" ht="12.75" customHeight="1" x14ac:dyDescent="0.2">
      <c r="A23780" s="258"/>
      <c r="Z23780" s="258"/>
    </row>
    <row r="23781" spans="1:26" ht="12.75" customHeight="1" x14ac:dyDescent="0.2">
      <c r="A23781" s="258"/>
      <c r="Z23781" s="258"/>
    </row>
    <row r="23782" spans="1:26" ht="12.75" customHeight="1" x14ac:dyDescent="0.2">
      <c r="A23782" s="258"/>
      <c r="Z23782" s="258"/>
    </row>
    <row r="23783" spans="1:26" ht="12.75" customHeight="1" x14ac:dyDescent="0.2">
      <c r="A23783" s="258"/>
      <c r="Z23783" s="258"/>
    </row>
    <row r="23784" spans="1:26" ht="12.75" customHeight="1" x14ac:dyDescent="0.2">
      <c r="A23784" s="258"/>
      <c r="Z23784" s="258"/>
    </row>
    <row r="23785" spans="1:26" ht="12.75" customHeight="1" x14ac:dyDescent="0.2">
      <c r="A23785" s="258"/>
      <c r="Z23785" s="258"/>
    </row>
    <row r="23786" spans="1:26" ht="12.75" customHeight="1" x14ac:dyDescent="0.2">
      <c r="A23786" s="258"/>
      <c r="Z23786" s="258"/>
    </row>
    <row r="23787" spans="1:26" ht="12.75" customHeight="1" x14ac:dyDescent="0.2">
      <c r="A23787" s="258"/>
      <c r="Z23787" s="258"/>
    </row>
    <row r="23788" spans="1:26" ht="12.75" customHeight="1" x14ac:dyDescent="0.2">
      <c r="A23788" s="258"/>
      <c r="Z23788" s="258"/>
    </row>
    <row r="23789" spans="1:26" ht="12.75" customHeight="1" x14ac:dyDescent="0.2">
      <c r="A23789" s="258"/>
      <c r="Z23789" s="258"/>
    </row>
    <row r="23790" spans="1:26" ht="12.75" customHeight="1" x14ac:dyDescent="0.2">
      <c r="A23790" s="258"/>
      <c r="Z23790" s="258"/>
    </row>
    <row r="23791" spans="1:26" ht="12.75" customHeight="1" x14ac:dyDescent="0.2">
      <c r="A23791" s="258"/>
      <c r="Z23791" s="258"/>
    </row>
    <row r="23792" spans="1:26" ht="12.75" customHeight="1" x14ac:dyDescent="0.2">
      <c r="A23792" s="258"/>
      <c r="Z23792" s="258"/>
    </row>
    <row r="23793" spans="1:26" ht="12.75" customHeight="1" x14ac:dyDescent="0.2">
      <c r="A23793" s="258"/>
      <c r="Z23793" s="258"/>
    </row>
    <row r="23794" spans="1:26" ht="12.75" customHeight="1" x14ac:dyDescent="0.2">
      <c r="A23794" s="258"/>
      <c r="Z23794" s="258"/>
    </row>
    <row r="23795" spans="1:26" ht="12.75" customHeight="1" x14ac:dyDescent="0.2">
      <c r="A23795" s="258"/>
      <c r="Z23795" s="258"/>
    </row>
    <row r="23796" spans="1:26" ht="12.75" customHeight="1" x14ac:dyDescent="0.2">
      <c r="A23796" s="258"/>
      <c r="Z23796" s="258"/>
    </row>
    <row r="23797" spans="1:26" ht="12.75" customHeight="1" x14ac:dyDescent="0.2">
      <c r="A23797" s="258"/>
      <c r="Z23797" s="258"/>
    </row>
    <row r="23798" spans="1:26" ht="12.75" customHeight="1" x14ac:dyDescent="0.2">
      <c r="A23798" s="258"/>
      <c r="Z23798" s="258"/>
    </row>
    <row r="23799" spans="1:26" ht="12.75" customHeight="1" x14ac:dyDescent="0.2">
      <c r="A23799" s="258"/>
      <c r="Z23799" s="258"/>
    </row>
    <row r="23800" spans="1:26" ht="12.75" customHeight="1" x14ac:dyDescent="0.2">
      <c r="A23800" s="258"/>
      <c r="Z23800" s="258"/>
    </row>
    <row r="23801" spans="1:26" ht="12.75" customHeight="1" x14ac:dyDescent="0.2">
      <c r="A23801" s="258"/>
      <c r="Z23801" s="258"/>
    </row>
    <row r="23802" spans="1:26" ht="12.75" customHeight="1" x14ac:dyDescent="0.2">
      <c r="A23802" s="258"/>
      <c r="Z23802" s="258"/>
    </row>
    <row r="23803" spans="1:26" ht="12.75" customHeight="1" x14ac:dyDescent="0.2">
      <c r="A23803" s="258"/>
      <c r="Z23803" s="258"/>
    </row>
    <row r="23804" spans="1:26" ht="12.75" customHeight="1" x14ac:dyDescent="0.2">
      <c r="A23804" s="258"/>
      <c r="Z23804" s="258"/>
    </row>
    <row r="23805" spans="1:26" ht="12.75" customHeight="1" x14ac:dyDescent="0.2">
      <c r="A23805" s="258"/>
      <c r="Z23805" s="258"/>
    </row>
    <row r="23806" spans="1:26" ht="12.75" customHeight="1" x14ac:dyDescent="0.2">
      <c r="A23806" s="258"/>
      <c r="Z23806" s="258"/>
    </row>
    <row r="23807" spans="1:26" ht="12.75" customHeight="1" x14ac:dyDescent="0.2">
      <c r="A23807" s="258"/>
      <c r="Z23807" s="258"/>
    </row>
    <row r="23808" spans="1:26" ht="12.75" customHeight="1" x14ac:dyDescent="0.2">
      <c r="A23808" s="258"/>
      <c r="Z23808" s="258"/>
    </row>
    <row r="23809" spans="1:26" ht="12.75" customHeight="1" x14ac:dyDescent="0.2">
      <c r="A23809" s="258"/>
      <c r="Z23809" s="258"/>
    </row>
    <row r="23810" spans="1:26" ht="12.75" customHeight="1" x14ac:dyDescent="0.2">
      <c r="A23810" s="258"/>
      <c r="Z23810" s="258"/>
    </row>
    <row r="23811" spans="1:26" ht="12.75" customHeight="1" x14ac:dyDescent="0.2">
      <c r="A23811" s="258"/>
      <c r="Z23811" s="258"/>
    </row>
    <row r="23812" spans="1:26" ht="12.75" customHeight="1" x14ac:dyDescent="0.2">
      <c r="A23812" s="258"/>
      <c r="Z23812" s="258"/>
    </row>
    <row r="23813" spans="1:26" ht="12.75" customHeight="1" x14ac:dyDescent="0.2">
      <c r="A23813" s="258"/>
      <c r="Z23813" s="258"/>
    </row>
    <row r="23814" spans="1:26" ht="12.75" customHeight="1" x14ac:dyDescent="0.2">
      <c r="A23814" s="258"/>
      <c r="Z23814" s="258"/>
    </row>
    <row r="23815" spans="1:26" ht="12.75" customHeight="1" x14ac:dyDescent="0.2">
      <c r="A23815" s="258"/>
      <c r="Z23815" s="258"/>
    </row>
    <row r="23816" spans="1:26" ht="12.75" customHeight="1" x14ac:dyDescent="0.2">
      <c r="A23816" s="258"/>
      <c r="Z23816" s="258"/>
    </row>
    <row r="23817" spans="1:26" ht="12.75" customHeight="1" x14ac:dyDescent="0.2">
      <c r="A23817" s="258"/>
      <c r="Z23817" s="258"/>
    </row>
    <row r="23818" spans="1:26" ht="12.75" customHeight="1" x14ac:dyDescent="0.2">
      <c r="A23818" s="258"/>
      <c r="Z23818" s="258"/>
    </row>
    <row r="23819" spans="1:26" ht="12.75" customHeight="1" x14ac:dyDescent="0.2">
      <c r="A23819" s="258"/>
      <c r="Z23819" s="258"/>
    </row>
    <row r="23820" spans="1:26" ht="12.75" customHeight="1" x14ac:dyDescent="0.2">
      <c r="A23820" s="258"/>
      <c r="Z23820" s="258"/>
    </row>
    <row r="23821" spans="1:26" ht="12.75" customHeight="1" x14ac:dyDescent="0.2">
      <c r="A23821" s="258"/>
      <c r="Z23821" s="258"/>
    </row>
    <row r="23822" spans="1:26" ht="12.75" customHeight="1" x14ac:dyDescent="0.2">
      <c r="A23822" s="258"/>
      <c r="Z23822" s="258"/>
    </row>
    <row r="23823" spans="1:26" ht="12.75" customHeight="1" x14ac:dyDescent="0.2">
      <c r="A23823" s="258"/>
      <c r="Z23823" s="258"/>
    </row>
    <row r="23824" spans="1:26" ht="12.75" customHeight="1" x14ac:dyDescent="0.2">
      <c r="A23824" s="258"/>
      <c r="Z23824" s="258"/>
    </row>
    <row r="23825" spans="1:26" ht="12.75" customHeight="1" x14ac:dyDescent="0.2">
      <c r="A23825" s="258"/>
      <c r="Z23825" s="258"/>
    </row>
    <row r="23826" spans="1:26" ht="12.75" customHeight="1" x14ac:dyDescent="0.2">
      <c r="A23826" s="258"/>
      <c r="Z23826" s="258"/>
    </row>
    <row r="23827" spans="1:26" ht="12.75" customHeight="1" x14ac:dyDescent="0.2">
      <c r="A23827" s="258"/>
      <c r="Z23827" s="258"/>
    </row>
    <row r="23828" spans="1:26" ht="12.75" customHeight="1" x14ac:dyDescent="0.2">
      <c r="A23828" s="258"/>
      <c r="Z23828" s="258"/>
    </row>
    <row r="23829" spans="1:26" ht="12.75" customHeight="1" x14ac:dyDescent="0.2">
      <c r="A23829" s="258"/>
      <c r="Z23829" s="258"/>
    </row>
    <row r="23830" spans="1:26" ht="12.75" customHeight="1" x14ac:dyDescent="0.2">
      <c r="A23830" s="258"/>
      <c r="Z23830" s="258"/>
    </row>
    <row r="23831" spans="1:26" ht="12.75" customHeight="1" x14ac:dyDescent="0.2">
      <c r="A23831" s="258"/>
      <c r="Z23831" s="258"/>
    </row>
    <row r="23832" spans="1:26" ht="12.75" customHeight="1" x14ac:dyDescent="0.2">
      <c r="A23832" s="258"/>
      <c r="Z23832" s="258"/>
    </row>
    <row r="23833" spans="1:26" ht="12.75" customHeight="1" x14ac:dyDescent="0.2">
      <c r="A23833" s="258"/>
      <c r="Z23833" s="258"/>
    </row>
    <row r="23834" spans="1:26" ht="12.75" customHeight="1" x14ac:dyDescent="0.2">
      <c r="A23834" s="258"/>
      <c r="Z23834" s="258"/>
    </row>
    <row r="23835" spans="1:26" ht="12.75" customHeight="1" x14ac:dyDescent="0.2">
      <c r="A23835" s="258"/>
      <c r="Z23835" s="258"/>
    </row>
    <row r="23836" spans="1:26" ht="12.75" customHeight="1" x14ac:dyDescent="0.2">
      <c r="A23836" s="258"/>
      <c r="Z23836" s="258"/>
    </row>
    <row r="23837" spans="1:26" ht="12.75" customHeight="1" x14ac:dyDescent="0.2">
      <c r="A23837" s="258"/>
      <c r="Z23837" s="258"/>
    </row>
    <row r="23838" spans="1:26" ht="12.75" customHeight="1" x14ac:dyDescent="0.2">
      <c r="A23838" s="258"/>
      <c r="Z23838" s="258"/>
    </row>
    <row r="23839" spans="1:26" ht="12.75" customHeight="1" x14ac:dyDescent="0.2">
      <c r="A23839" s="258"/>
      <c r="Z23839" s="258"/>
    </row>
    <row r="23840" spans="1:26" ht="12.75" customHeight="1" x14ac:dyDescent="0.2">
      <c r="A23840" s="258"/>
      <c r="Z23840" s="258"/>
    </row>
    <row r="23841" spans="1:26" ht="12.75" customHeight="1" x14ac:dyDescent="0.2">
      <c r="A23841" s="258"/>
      <c r="Z23841" s="258"/>
    </row>
    <row r="23842" spans="1:26" ht="12.75" customHeight="1" x14ac:dyDescent="0.2">
      <c r="A23842" s="258"/>
      <c r="Z23842" s="258"/>
    </row>
    <row r="23843" spans="1:26" ht="12.75" customHeight="1" x14ac:dyDescent="0.2">
      <c r="A23843" s="258"/>
      <c r="Z23843" s="258"/>
    </row>
    <row r="23844" spans="1:26" ht="12.75" customHeight="1" x14ac:dyDescent="0.2">
      <c r="A23844" s="258"/>
      <c r="Z23844" s="258"/>
    </row>
    <row r="23845" spans="1:26" ht="12.75" customHeight="1" x14ac:dyDescent="0.2">
      <c r="A23845" s="258"/>
      <c r="Z23845" s="258"/>
    </row>
    <row r="23846" spans="1:26" ht="12.75" customHeight="1" x14ac:dyDescent="0.2">
      <c r="A23846" s="258"/>
      <c r="Z23846" s="258"/>
    </row>
    <row r="23847" spans="1:26" ht="12.75" customHeight="1" x14ac:dyDescent="0.2">
      <c r="A23847" s="258"/>
      <c r="Z23847" s="258"/>
    </row>
    <row r="23848" spans="1:26" ht="12.75" customHeight="1" x14ac:dyDescent="0.2">
      <c r="A23848" s="258"/>
      <c r="Z23848" s="258"/>
    </row>
    <row r="23849" spans="1:26" ht="12.75" customHeight="1" x14ac:dyDescent="0.2">
      <c r="A23849" s="258"/>
      <c r="Z23849" s="258"/>
    </row>
    <row r="23850" spans="1:26" ht="12.75" customHeight="1" x14ac:dyDescent="0.2">
      <c r="A23850" s="258"/>
      <c r="Z23850" s="258"/>
    </row>
    <row r="23851" spans="1:26" ht="12.75" customHeight="1" x14ac:dyDescent="0.2">
      <c r="A23851" s="258"/>
      <c r="Z23851" s="258"/>
    </row>
    <row r="23852" spans="1:26" ht="12.75" customHeight="1" x14ac:dyDescent="0.2">
      <c r="A23852" s="258"/>
      <c r="Z23852" s="258"/>
    </row>
    <row r="23853" spans="1:26" ht="12.75" customHeight="1" x14ac:dyDescent="0.2">
      <c r="A23853" s="258"/>
      <c r="Z23853" s="258"/>
    </row>
    <row r="23854" spans="1:26" ht="12.75" customHeight="1" x14ac:dyDescent="0.2">
      <c r="A23854" s="258"/>
      <c r="Z23854" s="258"/>
    </row>
    <row r="23855" spans="1:26" ht="12.75" customHeight="1" x14ac:dyDescent="0.2">
      <c r="A23855" s="258"/>
      <c r="Z23855" s="258"/>
    </row>
    <row r="23856" spans="1:26" ht="12.75" customHeight="1" x14ac:dyDescent="0.2">
      <c r="A23856" s="258"/>
      <c r="Z23856" s="258"/>
    </row>
    <row r="23857" spans="1:26" ht="12.75" customHeight="1" x14ac:dyDescent="0.2">
      <c r="A23857" s="258"/>
      <c r="Z23857" s="258"/>
    </row>
    <row r="23858" spans="1:26" ht="12.75" customHeight="1" x14ac:dyDescent="0.2">
      <c r="A23858" s="258"/>
      <c r="Z23858" s="258"/>
    </row>
    <row r="23859" spans="1:26" ht="12.75" customHeight="1" x14ac:dyDescent="0.2">
      <c r="A23859" s="258"/>
      <c r="Z23859" s="258"/>
    </row>
    <row r="23860" spans="1:26" ht="12.75" customHeight="1" x14ac:dyDescent="0.2">
      <c r="A23860" s="258"/>
      <c r="Z23860" s="258"/>
    </row>
    <row r="23861" spans="1:26" ht="12.75" customHeight="1" x14ac:dyDescent="0.2">
      <c r="A23861" s="258"/>
      <c r="Z23861" s="258"/>
    </row>
    <row r="23862" spans="1:26" ht="12.75" customHeight="1" x14ac:dyDescent="0.2">
      <c r="A23862" s="258"/>
      <c r="Z23862" s="258"/>
    </row>
    <row r="23863" spans="1:26" ht="12.75" customHeight="1" x14ac:dyDescent="0.2">
      <c r="A23863" s="258"/>
      <c r="Z23863" s="258"/>
    </row>
    <row r="23864" spans="1:26" ht="12.75" customHeight="1" x14ac:dyDescent="0.2">
      <c r="A23864" s="258"/>
      <c r="Z23864" s="258"/>
    </row>
    <row r="23865" spans="1:26" ht="12.75" customHeight="1" x14ac:dyDescent="0.2">
      <c r="A23865" s="258"/>
      <c r="Z23865" s="258"/>
    </row>
    <row r="23866" spans="1:26" ht="12.75" customHeight="1" x14ac:dyDescent="0.2">
      <c r="A23866" s="258"/>
      <c r="Z23866" s="258"/>
    </row>
    <row r="23867" spans="1:26" ht="12.75" customHeight="1" x14ac:dyDescent="0.2">
      <c r="A23867" s="258"/>
      <c r="Z23867" s="258"/>
    </row>
    <row r="23868" spans="1:26" ht="12.75" customHeight="1" x14ac:dyDescent="0.2">
      <c r="A23868" s="258"/>
      <c r="Z23868" s="258"/>
    </row>
    <row r="23869" spans="1:26" ht="12.75" customHeight="1" x14ac:dyDescent="0.2">
      <c r="A23869" s="258"/>
      <c r="Z23869" s="258"/>
    </row>
    <row r="23870" spans="1:26" ht="12.75" customHeight="1" x14ac:dyDescent="0.2">
      <c r="A23870" s="258"/>
      <c r="Z23870" s="258"/>
    </row>
    <row r="23871" spans="1:26" ht="12.75" customHeight="1" x14ac:dyDescent="0.2">
      <c r="A23871" s="258"/>
      <c r="Z23871" s="258"/>
    </row>
    <row r="23872" spans="1:26" ht="12.75" customHeight="1" x14ac:dyDescent="0.2">
      <c r="A23872" s="258"/>
      <c r="Z23872" s="258"/>
    </row>
    <row r="23873" spans="1:26" ht="12.75" customHeight="1" x14ac:dyDescent="0.2">
      <c r="A23873" s="258"/>
      <c r="Z23873" s="258"/>
    </row>
    <row r="23874" spans="1:26" ht="12.75" customHeight="1" x14ac:dyDescent="0.2">
      <c r="A23874" s="258"/>
      <c r="Z23874" s="258"/>
    </row>
    <row r="23875" spans="1:26" ht="12.75" customHeight="1" x14ac:dyDescent="0.2">
      <c r="A23875" s="258"/>
      <c r="Z23875" s="258"/>
    </row>
    <row r="23876" spans="1:26" ht="12.75" customHeight="1" x14ac:dyDescent="0.2">
      <c r="A23876" s="258"/>
      <c r="Z23876" s="258"/>
    </row>
    <row r="23877" spans="1:26" ht="12.75" customHeight="1" x14ac:dyDescent="0.2">
      <c r="A23877" s="258"/>
      <c r="Z23877" s="258"/>
    </row>
    <row r="23878" spans="1:26" ht="12.75" customHeight="1" x14ac:dyDescent="0.2">
      <c r="A23878" s="258"/>
      <c r="Z23878" s="258"/>
    </row>
    <row r="23879" spans="1:26" ht="12.75" customHeight="1" x14ac:dyDescent="0.2">
      <c r="A23879" s="258"/>
      <c r="Z23879" s="258"/>
    </row>
    <row r="23880" spans="1:26" ht="12.75" customHeight="1" x14ac:dyDescent="0.2">
      <c r="A23880" s="258"/>
      <c r="Z23880" s="258"/>
    </row>
    <row r="23881" spans="1:26" ht="12.75" customHeight="1" x14ac:dyDescent="0.2">
      <c r="A23881" s="258"/>
      <c r="Z23881" s="258"/>
    </row>
    <row r="23882" spans="1:26" ht="12.75" customHeight="1" x14ac:dyDescent="0.2">
      <c r="A23882" s="258"/>
      <c r="Z23882" s="258"/>
    </row>
    <row r="23883" spans="1:26" ht="12.75" customHeight="1" x14ac:dyDescent="0.2">
      <c r="A23883" s="258"/>
      <c r="Z23883" s="258"/>
    </row>
    <row r="23884" spans="1:26" ht="12.75" customHeight="1" x14ac:dyDescent="0.2">
      <c r="A23884" s="258"/>
      <c r="Z23884" s="258"/>
    </row>
    <row r="23885" spans="1:26" ht="12.75" customHeight="1" x14ac:dyDescent="0.2">
      <c r="A23885" s="258"/>
      <c r="Z23885" s="258"/>
    </row>
    <row r="23886" spans="1:26" ht="12.75" customHeight="1" x14ac:dyDescent="0.2">
      <c r="A23886" s="258"/>
      <c r="Z23886" s="258"/>
    </row>
    <row r="23887" spans="1:26" ht="12.75" customHeight="1" x14ac:dyDescent="0.2">
      <c r="A23887" s="258"/>
      <c r="Z23887" s="258"/>
    </row>
    <row r="23888" spans="1:26" ht="12.75" customHeight="1" x14ac:dyDescent="0.2">
      <c r="A23888" s="258"/>
      <c r="Z23888" s="258"/>
    </row>
    <row r="23889" spans="1:26" ht="12.75" customHeight="1" x14ac:dyDescent="0.2">
      <c r="A23889" s="258"/>
      <c r="Z23889" s="258"/>
    </row>
    <row r="23890" spans="1:26" ht="12.75" customHeight="1" x14ac:dyDescent="0.2">
      <c r="A23890" s="258"/>
      <c r="Z23890" s="258"/>
    </row>
    <row r="23891" spans="1:26" ht="12.75" customHeight="1" x14ac:dyDescent="0.2">
      <c r="A23891" s="258"/>
      <c r="Z23891" s="258"/>
    </row>
    <row r="23892" spans="1:26" ht="12.75" customHeight="1" x14ac:dyDescent="0.2">
      <c r="A23892" s="258"/>
      <c r="Z23892" s="258"/>
    </row>
    <row r="23893" spans="1:26" ht="12.75" customHeight="1" x14ac:dyDescent="0.2">
      <c r="A23893" s="258"/>
      <c r="Z23893" s="258"/>
    </row>
    <row r="23894" spans="1:26" ht="12.75" customHeight="1" x14ac:dyDescent="0.2">
      <c r="A23894" s="258"/>
      <c r="Z23894" s="258"/>
    </row>
    <row r="23895" spans="1:26" ht="12.75" customHeight="1" x14ac:dyDescent="0.2">
      <c r="A23895" s="258"/>
      <c r="Z23895" s="258"/>
    </row>
    <row r="23896" spans="1:26" ht="12.75" customHeight="1" x14ac:dyDescent="0.2">
      <c r="A23896" s="258"/>
      <c r="Z23896" s="258"/>
    </row>
    <row r="23897" spans="1:26" ht="12.75" customHeight="1" x14ac:dyDescent="0.2">
      <c r="A23897" s="258"/>
      <c r="Z23897" s="258"/>
    </row>
    <row r="23898" spans="1:26" ht="12.75" customHeight="1" x14ac:dyDescent="0.2">
      <c r="A23898" s="258"/>
      <c r="Z23898" s="258"/>
    </row>
    <row r="23899" spans="1:26" ht="12.75" customHeight="1" x14ac:dyDescent="0.2">
      <c r="A23899" s="258"/>
      <c r="Z23899" s="258"/>
    </row>
    <row r="23900" spans="1:26" ht="12.75" customHeight="1" x14ac:dyDescent="0.2">
      <c r="A23900" s="258"/>
      <c r="Z23900" s="258"/>
    </row>
    <row r="23901" spans="1:26" ht="12.75" customHeight="1" x14ac:dyDescent="0.2">
      <c r="A23901" s="258"/>
      <c r="Z23901" s="258"/>
    </row>
    <row r="23902" spans="1:26" ht="12.75" customHeight="1" x14ac:dyDescent="0.2">
      <c r="A23902" s="258"/>
      <c r="Z23902" s="258"/>
    </row>
    <row r="23903" spans="1:26" ht="12.75" customHeight="1" x14ac:dyDescent="0.2">
      <c r="A23903" s="258"/>
      <c r="Z23903" s="258"/>
    </row>
    <row r="23904" spans="1:26" ht="12.75" customHeight="1" x14ac:dyDescent="0.2">
      <c r="A23904" s="258"/>
      <c r="Z23904" s="258"/>
    </row>
    <row r="23905" spans="1:26" ht="12.75" customHeight="1" x14ac:dyDescent="0.2">
      <c r="A23905" s="258"/>
      <c r="Z23905" s="258"/>
    </row>
    <row r="23906" spans="1:26" ht="12.75" customHeight="1" x14ac:dyDescent="0.2">
      <c r="A23906" s="258"/>
      <c r="Z23906" s="258"/>
    </row>
    <row r="23907" spans="1:26" ht="12.75" customHeight="1" x14ac:dyDescent="0.2">
      <c r="A23907" s="258"/>
      <c r="Z23907" s="258"/>
    </row>
    <row r="23908" spans="1:26" ht="12.75" customHeight="1" x14ac:dyDescent="0.2">
      <c r="A23908" s="258"/>
      <c r="Z23908" s="258"/>
    </row>
    <row r="23909" spans="1:26" ht="12.75" customHeight="1" x14ac:dyDescent="0.2">
      <c r="A23909" s="258"/>
      <c r="Z23909" s="258"/>
    </row>
    <row r="23910" spans="1:26" ht="12.75" customHeight="1" x14ac:dyDescent="0.2">
      <c r="A23910" s="258"/>
      <c r="Z23910" s="258"/>
    </row>
    <row r="23911" spans="1:26" ht="12.75" customHeight="1" x14ac:dyDescent="0.2">
      <c r="A23911" s="258"/>
      <c r="Z23911" s="258"/>
    </row>
    <row r="23912" spans="1:26" ht="12.75" customHeight="1" x14ac:dyDescent="0.2">
      <c r="A23912" s="258"/>
      <c r="Z23912" s="258"/>
    </row>
    <row r="23913" spans="1:26" ht="12.75" customHeight="1" x14ac:dyDescent="0.2">
      <c r="A23913" s="258"/>
      <c r="Z23913" s="258"/>
    </row>
    <row r="23914" spans="1:26" ht="12.75" customHeight="1" x14ac:dyDescent="0.2">
      <c r="A23914" s="258"/>
      <c r="Z23914" s="258"/>
    </row>
    <row r="23915" spans="1:26" ht="12.75" customHeight="1" x14ac:dyDescent="0.2">
      <c r="A23915" s="258"/>
      <c r="Z23915" s="258"/>
    </row>
    <row r="23916" spans="1:26" ht="12.75" customHeight="1" x14ac:dyDescent="0.2">
      <c r="A23916" s="258"/>
      <c r="Z23916" s="258"/>
    </row>
    <row r="23917" spans="1:26" ht="12.75" customHeight="1" x14ac:dyDescent="0.2">
      <c r="A23917" s="258"/>
      <c r="Z23917" s="258"/>
    </row>
    <row r="23918" spans="1:26" ht="12.75" customHeight="1" x14ac:dyDescent="0.2">
      <c r="A23918" s="258"/>
      <c r="Z23918" s="258"/>
    </row>
    <row r="23919" spans="1:26" ht="12.75" customHeight="1" x14ac:dyDescent="0.2">
      <c r="A23919" s="258"/>
      <c r="Z23919" s="258"/>
    </row>
    <row r="23920" spans="1:26" ht="12.75" customHeight="1" x14ac:dyDescent="0.2">
      <c r="A23920" s="258"/>
      <c r="Z23920" s="258"/>
    </row>
    <row r="23921" spans="1:26" ht="12.75" customHeight="1" x14ac:dyDescent="0.2">
      <c r="A23921" s="258"/>
      <c r="Z23921" s="258"/>
    </row>
    <row r="23922" spans="1:26" ht="12.75" customHeight="1" x14ac:dyDescent="0.2">
      <c r="A23922" s="258"/>
      <c r="Z23922" s="258"/>
    </row>
    <row r="23923" spans="1:26" ht="12.75" customHeight="1" x14ac:dyDescent="0.2">
      <c r="A23923" s="258"/>
      <c r="Z23923" s="258"/>
    </row>
    <row r="23924" spans="1:26" ht="12.75" customHeight="1" x14ac:dyDescent="0.2">
      <c r="A23924" s="258"/>
      <c r="Z23924" s="258"/>
    </row>
    <row r="23925" spans="1:26" ht="12.75" customHeight="1" x14ac:dyDescent="0.2">
      <c r="A23925" s="258"/>
      <c r="Z23925" s="258"/>
    </row>
    <row r="23926" spans="1:26" ht="12.75" customHeight="1" x14ac:dyDescent="0.2">
      <c r="A23926" s="258"/>
      <c r="Z23926" s="258"/>
    </row>
    <row r="23927" spans="1:26" ht="12.75" customHeight="1" x14ac:dyDescent="0.2">
      <c r="A23927" s="258"/>
      <c r="Z23927" s="258"/>
    </row>
    <row r="23928" spans="1:26" ht="12.75" customHeight="1" x14ac:dyDescent="0.2">
      <c r="A23928" s="258"/>
      <c r="Z23928" s="258"/>
    </row>
    <row r="23929" spans="1:26" ht="12.75" customHeight="1" x14ac:dyDescent="0.2">
      <c r="A23929" s="258"/>
      <c r="Z23929" s="258"/>
    </row>
    <row r="23930" spans="1:26" ht="12.75" customHeight="1" x14ac:dyDescent="0.2">
      <c r="A23930" s="258"/>
      <c r="Z23930" s="258"/>
    </row>
    <row r="23931" spans="1:26" ht="12.75" customHeight="1" x14ac:dyDescent="0.2">
      <c r="A23931" s="258"/>
      <c r="Z23931" s="258"/>
    </row>
    <row r="23932" spans="1:26" ht="12.75" customHeight="1" x14ac:dyDescent="0.2">
      <c r="A23932" s="258"/>
      <c r="Z23932" s="258"/>
    </row>
    <row r="23933" spans="1:26" ht="12.75" customHeight="1" x14ac:dyDescent="0.2">
      <c r="A23933" s="258"/>
      <c r="Z23933" s="258"/>
    </row>
    <row r="23934" spans="1:26" ht="12.75" customHeight="1" x14ac:dyDescent="0.2">
      <c r="A23934" s="258"/>
      <c r="Z23934" s="258"/>
    </row>
    <row r="23935" spans="1:26" ht="12.75" customHeight="1" x14ac:dyDescent="0.2">
      <c r="A23935" s="258"/>
      <c r="Z23935" s="258"/>
    </row>
    <row r="23936" spans="1:26" ht="12.75" customHeight="1" x14ac:dyDescent="0.2">
      <c r="A23936" s="258"/>
      <c r="Z23936" s="258"/>
    </row>
    <row r="23937" spans="1:26" ht="12.75" customHeight="1" x14ac:dyDescent="0.2">
      <c r="A23937" s="258"/>
      <c r="Z23937" s="258"/>
    </row>
    <row r="23938" spans="1:26" ht="12.75" customHeight="1" x14ac:dyDescent="0.2">
      <c r="A23938" s="258"/>
      <c r="Z23938" s="258"/>
    </row>
    <row r="23939" spans="1:26" ht="12.75" customHeight="1" x14ac:dyDescent="0.2">
      <c r="A23939" s="258"/>
      <c r="Z23939" s="258"/>
    </row>
    <row r="23940" spans="1:26" ht="12.75" customHeight="1" x14ac:dyDescent="0.2">
      <c r="A23940" s="258"/>
      <c r="Z23940" s="258"/>
    </row>
    <row r="23941" spans="1:26" ht="12.75" customHeight="1" x14ac:dyDescent="0.2">
      <c r="A23941" s="258"/>
      <c r="Z23941" s="258"/>
    </row>
    <row r="23942" spans="1:26" ht="12.75" customHeight="1" x14ac:dyDescent="0.2">
      <c r="A23942" s="258"/>
      <c r="Z23942" s="258"/>
    </row>
    <row r="23943" spans="1:26" ht="12.75" customHeight="1" x14ac:dyDescent="0.2">
      <c r="A23943" s="258"/>
      <c r="Z23943" s="258"/>
    </row>
    <row r="23944" spans="1:26" ht="12.75" customHeight="1" x14ac:dyDescent="0.2">
      <c r="A23944" s="258"/>
      <c r="Z23944" s="258"/>
    </row>
    <row r="23945" spans="1:26" ht="12.75" customHeight="1" x14ac:dyDescent="0.2">
      <c r="A23945" s="258"/>
      <c r="Z23945" s="258"/>
    </row>
    <row r="23946" spans="1:26" ht="12.75" customHeight="1" x14ac:dyDescent="0.2">
      <c r="A23946" s="258"/>
      <c r="Z23946" s="258"/>
    </row>
    <row r="23947" spans="1:26" ht="12.75" customHeight="1" x14ac:dyDescent="0.2">
      <c r="A23947" s="258"/>
      <c r="Z23947" s="258"/>
    </row>
    <row r="23948" spans="1:26" ht="12.75" customHeight="1" x14ac:dyDescent="0.2">
      <c r="A23948" s="258"/>
      <c r="Z23948" s="258"/>
    </row>
    <row r="23949" spans="1:26" ht="12.75" customHeight="1" x14ac:dyDescent="0.2">
      <c r="A23949" s="258"/>
      <c r="Z23949" s="258"/>
    </row>
    <row r="23950" spans="1:26" ht="12.75" customHeight="1" x14ac:dyDescent="0.2">
      <c r="A23950" s="258"/>
      <c r="Z23950" s="258"/>
    </row>
    <row r="23951" spans="1:26" ht="12.75" customHeight="1" x14ac:dyDescent="0.2">
      <c r="A23951" s="258"/>
      <c r="Z23951" s="258"/>
    </row>
    <row r="23952" spans="1:26" ht="12.75" customHeight="1" x14ac:dyDescent="0.2">
      <c r="A23952" s="258"/>
      <c r="Z23952" s="258"/>
    </row>
    <row r="23953" spans="1:26" ht="12.75" customHeight="1" x14ac:dyDescent="0.2">
      <c r="A23953" s="258"/>
      <c r="Z23953" s="258"/>
    </row>
    <row r="23954" spans="1:26" ht="12.75" customHeight="1" x14ac:dyDescent="0.2">
      <c r="A23954" s="258"/>
      <c r="Z23954" s="258"/>
    </row>
    <row r="23955" spans="1:26" ht="12.75" customHeight="1" x14ac:dyDescent="0.2">
      <c r="A23955" s="258"/>
      <c r="Z23955" s="258"/>
    </row>
    <row r="23956" spans="1:26" ht="12.75" customHeight="1" x14ac:dyDescent="0.2">
      <c r="A23956" s="258"/>
      <c r="Z23956" s="258"/>
    </row>
    <row r="23957" spans="1:26" ht="12.75" customHeight="1" x14ac:dyDescent="0.2">
      <c r="A23957" s="258"/>
      <c r="Z23957" s="258"/>
    </row>
    <row r="23958" spans="1:26" ht="12.75" customHeight="1" x14ac:dyDescent="0.2">
      <c r="A23958" s="258"/>
      <c r="Z23958" s="258"/>
    </row>
    <row r="23959" spans="1:26" ht="12.75" customHeight="1" x14ac:dyDescent="0.2">
      <c r="A23959" s="258"/>
      <c r="Z23959" s="258"/>
    </row>
    <row r="23960" spans="1:26" ht="12.75" customHeight="1" x14ac:dyDescent="0.2">
      <c r="A23960" s="258"/>
      <c r="Z23960" s="258"/>
    </row>
    <row r="23961" spans="1:26" ht="12.75" customHeight="1" x14ac:dyDescent="0.2">
      <c r="A23961" s="258"/>
      <c r="Z23961" s="258"/>
    </row>
    <row r="23962" spans="1:26" ht="12.75" customHeight="1" x14ac:dyDescent="0.2">
      <c r="A23962" s="258"/>
      <c r="Z23962" s="258"/>
    </row>
    <row r="23963" spans="1:26" ht="12.75" customHeight="1" x14ac:dyDescent="0.2">
      <c r="A23963" s="258"/>
      <c r="Z23963" s="258"/>
    </row>
    <row r="23964" spans="1:26" ht="12.75" customHeight="1" x14ac:dyDescent="0.2">
      <c r="A23964" s="258"/>
      <c r="Z23964" s="258"/>
    </row>
    <row r="23965" spans="1:26" ht="12.75" customHeight="1" x14ac:dyDescent="0.2">
      <c r="A23965" s="258"/>
      <c r="Z23965" s="258"/>
    </row>
    <row r="23966" spans="1:26" ht="12.75" customHeight="1" x14ac:dyDescent="0.2">
      <c r="A23966" s="258"/>
      <c r="Z23966" s="258"/>
    </row>
    <row r="23967" spans="1:26" ht="12.75" customHeight="1" x14ac:dyDescent="0.2">
      <c r="A23967" s="258"/>
      <c r="Z23967" s="258"/>
    </row>
    <row r="23968" spans="1:26" ht="12.75" customHeight="1" x14ac:dyDescent="0.2">
      <c r="A23968" s="258"/>
      <c r="Z23968" s="258"/>
    </row>
    <row r="23969" spans="1:26" ht="12.75" customHeight="1" x14ac:dyDescent="0.2">
      <c r="A23969" s="258"/>
      <c r="Z23969" s="258"/>
    </row>
    <row r="23970" spans="1:26" ht="12.75" customHeight="1" x14ac:dyDescent="0.2">
      <c r="A23970" s="258"/>
      <c r="Z23970" s="258"/>
    </row>
    <row r="23971" spans="1:26" ht="12.75" customHeight="1" x14ac:dyDescent="0.2">
      <c r="A23971" s="258"/>
      <c r="Z23971" s="258"/>
    </row>
    <row r="23972" spans="1:26" ht="12.75" customHeight="1" x14ac:dyDescent="0.2">
      <c r="A23972" s="258"/>
      <c r="Z23972" s="258"/>
    </row>
    <row r="23973" spans="1:26" ht="12.75" customHeight="1" x14ac:dyDescent="0.2">
      <c r="A23973" s="258"/>
      <c r="Z23973" s="258"/>
    </row>
    <row r="23974" spans="1:26" ht="12.75" customHeight="1" x14ac:dyDescent="0.2">
      <c r="A23974" s="258"/>
      <c r="Z23974" s="258"/>
    </row>
    <row r="23975" spans="1:26" ht="12.75" customHeight="1" x14ac:dyDescent="0.2">
      <c r="A23975" s="258"/>
      <c r="Z23975" s="258"/>
    </row>
    <row r="23976" spans="1:26" ht="12.75" customHeight="1" x14ac:dyDescent="0.2">
      <c r="A23976" s="258"/>
      <c r="Z23976" s="258"/>
    </row>
    <row r="23977" spans="1:26" ht="12.75" customHeight="1" x14ac:dyDescent="0.2">
      <c r="A23977" s="258"/>
      <c r="Z23977" s="258"/>
    </row>
    <row r="23978" spans="1:26" ht="12.75" customHeight="1" x14ac:dyDescent="0.2">
      <c r="A23978" s="258"/>
      <c r="Z23978" s="258"/>
    </row>
    <row r="23979" spans="1:26" ht="12.75" customHeight="1" x14ac:dyDescent="0.2">
      <c r="A23979" s="258"/>
      <c r="Z23979" s="258"/>
    </row>
    <row r="23980" spans="1:26" ht="12.75" customHeight="1" x14ac:dyDescent="0.2">
      <c r="A23980" s="258"/>
      <c r="Z23980" s="258"/>
    </row>
    <row r="23981" spans="1:26" ht="12.75" customHeight="1" x14ac:dyDescent="0.2">
      <c r="A23981" s="258"/>
      <c r="Z23981" s="258"/>
    </row>
    <row r="23982" spans="1:26" ht="12.75" customHeight="1" x14ac:dyDescent="0.2">
      <c r="A23982" s="258"/>
      <c r="Z23982" s="258"/>
    </row>
    <row r="23983" spans="1:26" ht="12.75" customHeight="1" x14ac:dyDescent="0.2">
      <c r="A23983" s="258"/>
      <c r="Z23983" s="258"/>
    </row>
    <row r="23984" spans="1:26" ht="12.75" customHeight="1" x14ac:dyDescent="0.2">
      <c r="A23984" s="258"/>
      <c r="Z23984" s="258"/>
    </row>
    <row r="23985" spans="1:26" ht="12.75" customHeight="1" x14ac:dyDescent="0.2">
      <c r="A23985" s="258"/>
      <c r="Z23985" s="258"/>
    </row>
    <row r="23986" spans="1:26" ht="12.75" customHeight="1" x14ac:dyDescent="0.2">
      <c r="A23986" s="258"/>
      <c r="Z23986" s="258"/>
    </row>
    <row r="23987" spans="1:26" ht="12.75" customHeight="1" x14ac:dyDescent="0.2">
      <c r="A23987" s="258"/>
      <c r="Z23987" s="258"/>
    </row>
    <row r="23988" spans="1:26" ht="12.75" customHeight="1" x14ac:dyDescent="0.2">
      <c r="A23988" s="258"/>
      <c r="Z23988" s="258"/>
    </row>
    <row r="23989" spans="1:26" ht="12.75" customHeight="1" x14ac:dyDescent="0.2">
      <c r="A23989" s="258"/>
      <c r="Z23989" s="258"/>
    </row>
    <row r="23990" spans="1:26" ht="12.75" customHeight="1" x14ac:dyDescent="0.2">
      <c r="A23990" s="258"/>
      <c r="Z23990" s="258"/>
    </row>
    <row r="23991" spans="1:26" ht="12.75" customHeight="1" x14ac:dyDescent="0.2">
      <c r="A23991" s="258"/>
      <c r="Z23991" s="258"/>
    </row>
    <row r="23992" spans="1:26" ht="12.75" customHeight="1" x14ac:dyDescent="0.2">
      <c r="A23992" s="258"/>
      <c r="Z23992" s="258"/>
    </row>
    <row r="23993" spans="1:26" ht="12.75" customHeight="1" x14ac:dyDescent="0.2">
      <c r="A23993" s="258"/>
      <c r="Z23993" s="258"/>
    </row>
    <row r="23994" spans="1:26" ht="12.75" customHeight="1" x14ac:dyDescent="0.2">
      <c r="A23994" s="258"/>
      <c r="Z23994" s="258"/>
    </row>
    <row r="23995" spans="1:26" ht="12.75" customHeight="1" x14ac:dyDescent="0.2">
      <c r="A23995" s="258"/>
      <c r="Z23995" s="258"/>
    </row>
    <row r="23996" spans="1:26" ht="12.75" customHeight="1" x14ac:dyDescent="0.2">
      <c r="A23996" s="258"/>
      <c r="Z23996" s="258"/>
    </row>
    <row r="23997" spans="1:26" ht="12.75" customHeight="1" x14ac:dyDescent="0.2">
      <c r="A23997" s="258"/>
      <c r="Z23997" s="258"/>
    </row>
    <row r="23998" spans="1:26" ht="12.75" customHeight="1" x14ac:dyDescent="0.2">
      <c r="A23998" s="258"/>
      <c r="Z23998" s="258"/>
    </row>
    <row r="23999" spans="1:26" ht="12.75" customHeight="1" x14ac:dyDescent="0.2">
      <c r="A23999" s="258"/>
      <c r="Z23999" s="258"/>
    </row>
    <row r="24000" spans="1:26" ht="12.75" customHeight="1" x14ac:dyDescent="0.2">
      <c r="A24000" s="258"/>
      <c r="Z24000" s="258"/>
    </row>
    <row r="24001" spans="1:26" ht="12.75" customHeight="1" x14ac:dyDescent="0.2">
      <c r="A24001" s="258"/>
      <c r="Z24001" s="258"/>
    </row>
    <row r="24002" spans="1:26" ht="12.75" customHeight="1" x14ac:dyDescent="0.2">
      <c r="A24002" s="258"/>
      <c r="Z24002" s="258"/>
    </row>
    <row r="24003" spans="1:26" ht="12.75" customHeight="1" x14ac:dyDescent="0.2">
      <c r="A24003" s="258"/>
      <c r="Z24003" s="258"/>
    </row>
    <row r="24004" spans="1:26" ht="12.75" customHeight="1" x14ac:dyDescent="0.2">
      <c r="A24004" s="258"/>
      <c r="Z24004" s="258"/>
    </row>
    <row r="24005" spans="1:26" ht="12.75" customHeight="1" x14ac:dyDescent="0.2">
      <c r="A24005" s="258"/>
      <c r="Z24005" s="258"/>
    </row>
    <row r="24006" spans="1:26" ht="12.75" customHeight="1" x14ac:dyDescent="0.2">
      <c r="A24006" s="258"/>
      <c r="Z24006" s="258"/>
    </row>
    <row r="24007" spans="1:26" ht="12.75" customHeight="1" x14ac:dyDescent="0.2">
      <c r="A24007" s="258"/>
      <c r="Z24007" s="258"/>
    </row>
    <row r="24008" spans="1:26" ht="12.75" customHeight="1" x14ac:dyDescent="0.2">
      <c r="A24008" s="258"/>
      <c r="Z24008" s="258"/>
    </row>
    <row r="24009" spans="1:26" ht="12.75" customHeight="1" x14ac:dyDescent="0.2">
      <c r="A24009" s="258"/>
      <c r="Z24009" s="258"/>
    </row>
    <row r="24010" spans="1:26" ht="12.75" customHeight="1" x14ac:dyDescent="0.2">
      <c r="A24010" s="258"/>
      <c r="Z24010" s="258"/>
    </row>
    <row r="24011" spans="1:26" ht="12.75" customHeight="1" x14ac:dyDescent="0.2">
      <c r="A24011" s="258"/>
      <c r="Z24011" s="258"/>
    </row>
    <row r="24012" spans="1:26" ht="12.75" customHeight="1" x14ac:dyDescent="0.2">
      <c r="A24012" s="258"/>
      <c r="Z24012" s="258"/>
    </row>
    <row r="24013" spans="1:26" ht="12.75" customHeight="1" x14ac:dyDescent="0.2">
      <c r="A24013" s="258"/>
      <c r="Z24013" s="258"/>
    </row>
    <row r="24014" spans="1:26" ht="12.75" customHeight="1" x14ac:dyDescent="0.2">
      <c r="A24014" s="258"/>
      <c r="Z24014" s="258"/>
    </row>
    <row r="24015" spans="1:26" ht="12.75" customHeight="1" x14ac:dyDescent="0.2">
      <c r="A24015" s="258"/>
      <c r="Z24015" s="258"/>
    </row>
    <row r="24016" spans="1:26" ht="12.75" customHeight="1" x14ac:dyDescent="0.2">
      <c r="A24016" s="258"/>
      <c r="Z24016" s="258"/>
    </row>
    <row r="24017" spans="1:26" ht="12.75" customHeight="1" x14ac:dyDescent="0.2">
      <c r="A24017" s="258"/>
      <c r="Z24017" s="258"/>
    </row>
    <row r="24018" spans="1:26" ht="12.75" customHeight="1" x14ac:dyDescent="0.2">
      <c r="A24018" s="258"/>
      <c r="Z24018" s="258"/>
    </row>
    <row r="24019" spans="1:26" ht="12.75" customHeight="1" x14ac:dyDescent="0.2">
      <c r="A24019" s="258"/>
      <c r="Z24019" s="258"/>
    </row>
    <row r="24020" spans="1:26" ht="12.75" customHeight="1" x14ac:dyDescent="0.2">
      <c r="A24020" s="258"/>
      <c r="Z24020" s="258"/>
    </row>
    <row r="24021" spans="1:26" ht="12.75" customHeight="1" x14ac:dyDescent="0.2">
      <c r="A24021" s="258"/>
      <c r="Z24021" s="258"/>
    </row>
    <row r="24022" spans="1:26" ht="12.75" customHeight="1" x14ac:dyDescent="0.2">
      <c r="A24022" s="258"/>
      <c r="Z24022" s="258"/>
    </row>
    <row r="24023" spans="1:26" ht="12.75" customHeight="1" x14ac:dyDescent="0.2">
      <c r="A24023" s="258"/>
      <c r="Z24023" s="258"/>
    </row>
    <row r="24024" spans="1:26" ht="12.75" customHeight="1" x14ac:dyDescent="0.2">
      <c r="A24024" s="258"/>
      <c r="Z24024" s="258"/>
    </row>
    <row r="24025" spans="1:26" ht="12.75" customHeight="1" x14ac:dyDescent="0.2">
      <c r="A24025" s="258"/>
      <c r="Z24025" s="258"/>
    </row>
    <row r="24026" spans="1:26" ht="12.75" customHeight="1" x14ac:dyDescent="0.2">
      <c r="A24026" s="258"/>
      <c r="Z24026" s="258"/>
    </row>
    <row r="24027" spans="1:26" ht="12.75" customHeight="1" x14ac:dyDescent="0.2">
      <c r="A24027" s="258"/>
      <c r="Z24027" s="258"/>
    </row>
    <row r="24028" spans="1:26" ht="12.75" customHeight="1" x14ac:dyDescent="0.2">
      <c r="A24028" s="258"/>
      <c r="Z24028" s="258"/>
    </row>
    <row r="24029" spans="1:26" ht="12.75" customHeight="1" x14ac:dyDescent="0.2">
      <c r="A24029" s="258"/>
      <c r="Z24029" s="258"/>
    </row>
    <row r="24030" spans="1:26" ht="12.75" customHeight="1" x14ac:dyDescent="0.2">
      <c r="A24030" s="258"/>
      <c r="Z24030" s="258"/>
    </row>
    <row r="24031" spans="1:26" ht="12.75" customHeight="1" x14ac:dyDescent="0.2">
      <c r="A24031" s="258"/>
      <c r="Z24031" s="258"/>
    </row>
    <row r="24032" spans="1:26" ht="12.75" customHeight="1" x14ac:dyDescent="0.2">
      <c r="A24032" s="258"/>
      <c r="Z24032" s="258"/>
    </row>
    <row r="24033" spans="1:26" ht="12.75" customHeight="1" x14ac:dyDescent="0.2">
      <c r="A24033" s="258"/>
      <c r="Z24033" s="258"/>
    </row>
    <row r="24034" spans="1:26" ht="12.75" customHeight="1" x14ac:dyDescent="0.2">
      <c r="A24034" s="258"/>
      <c r="Z24034" s="258"/>
    </row>
    <row r="24035" spans="1:26" ht="12.75" customHeight="1" x14ac:dyDescent="0.2">
      <c r="A24035" s="258"/>
      <c r="Z24035" s="258"/>
    </row>
    <row r="24036" spans="1:26" ht="12.75" customHeight="1" x14ac:dyDescent="0.2">
      <c r="A24036" s="258"/>
      <c r="Z24036" s="258"/>
    </row>
    <row r="24037" spans="1:26" ht="12.75" customHeight="1" x14ac:dyDescent="0.2">
      <c r="A24037" s="258"/>
      <c r="Z24037" s="258"/>
    </row>
    <row r="24038" spans="1:26" ht="12.75" customHeight="1" x14ac:dyDescent="0.2">
      <c r="A24038" s="258"/>
      <c r="Z24038" s="258"/>
    </row>
    <row r="24039" spans="1:26" ht="12.75" customHeight="1" x14ac:dyDescent="0.2">
      <c r="A24039" s="258"/>
      <c r="Z24039" s="258"/>
    </row>
    <row r="24040" spans="1:26" ht="12.75" customHeight="1" x14ac:dyDescent="0.2">
      <c r="A24040" s="258"/>
      <c r="Z24040" s="258"/>
    </row>
    <row r="24041" spans="1:26" ht="12.75" customHeight="1" x14ac:dyDescent="0.2">
      <c r="A24041" s="258"/>
      <c r="Z24041" s="258"/>
    </row>
    <row r="24042" spans="1:26" ht="12.75" customHeight="1" x14ac:dyDescent="0.2">
      <c r="A24042" s="258"/>
      <c r="Z24042" s="258"/>
    </row>
    <row r="24043" spans="1:26" ht="12.75" customHeight="1" x14ac:dyDescent="0.2">
      <c r="A24043" s="258"/>
      <c r="Z24043" s="258"/>
    </row>
    <row r="24044" spans="1:26" ht="12.75" customHeight="1" x14ac:dyDescent="0.2">
      <c r="A24044" s="258"/>
      <c r="Z24044" s="258"/>
    </row>
    <row r="24045" spans="1:26" ht="12.75" customHeight="1" x14ac:dyDescent="0.2">
      <c r="A24045" s="258"/>
      <c r="Z24045" s="258"/>
    </row>
    <row r="24046" spans="1:26" ht="12.75" customHeight="1" x14ac:dyDescent="0.2">
      <c r="A24046" s="258"/>
      <c r="Z24046" s="258"/>
    </row>
    <row r="24047" spans="1:26" ht="12.75" customHeight="1" x14ac:dyDescent="0.2">
      <c r="A24047" s="258"/>
      <c r="Z24047" s="258"/>
    </row>
    <row r="24048" spans="1:26" ht="12.75" customHeight="1" x14ac:dyDescent="0.2">
      <c r="A24048" s="258"/>
      <c r="Z24048" s="258"/>
    </row>
    <row r="24049" spans="1:26" ht="12.75" customHeight="1" x14ac:dyDescent="0.2">
      <c r="A24049" s="258"/>
      <c r="Z24049" s="258"/>
    </row>
    <row r="24050" spans="1:26" ht="12.75" customHeight="1" x14ac:dyDescent="0.2">
      <c r="A24050" s="258"/>
      <c r="Z24050" s="258"/>
    </row>
    <row r="24051" spans="1:26" ht="12.75" customHeight="1" x14ac:dyDescent="0.2">
      <c r="A24051" s="258"/>
      <c r="Z24051" s="258"/>
    </row>
    <row r="24052" spans="1:26" ht="12.75" customHeight="1" x14ac:dyDescent="0.2">
      <c r="A24052" s="258"/>
      <c r="Z24052" s="258"/>
    </row>
    <row r="24053" spans="1:26" ht="12.75" customHeight="1" x14ac:dyDescent="0.2">
      <c r="A24053" s="258"/>
      <c r="Z24053" s="258"/>
    </row>
    <row r="24054" spans="1:26" ht="12.75" customHeight="1" x14ac:dyDescent="0.2">
      <c r="A24054" s="258"/>
      <c r="Z24054" s="258"/>
    </row>
    <row r="24055" spans="1:26" ht="12.75" customHeight="1" x14ac:dyDescent="0.2">
      <c r="A24055" s="258"/>
      <c r="Z24055" s="258"/>
    </row>
    <row r="24056" spans="1:26" ht="12.75" customHeight="1" x14ac:dyDescent="0.2">
      <c r="A24056" s="258"/>
      <c r="Z24056" s="258"/>
    </row>
    <row r="24057" spans="1:26" ht="12.75" customHeight="1" x14ac:dyDescent="0.2">
      <c r="A24057" s="258"/>
      <c r="Z24057" s="258"/>
    </row>
    <row r="24058" spans="1:26" ht="12.75" customHeight="1" x14ac:dyDescent="0.2">
      <c r="A24058" s="258"/>
      <c r="Z24058" s="258"/>
    </row>
    <row r="24059" spans="1:26" ht="12.75" customHeight="1" x14ac:dyDescent="0.2">
      <c r="A24059" s="258"/>
      <c r="Z24059" s="258"/>
    </row>
    <row r="24060" spans="1:26" ht="12.75" customHeight="1" x14ac:dyDescent="0.2">
      <c r="A24060" s="258"/>
      <c r="Z24060" s="258"/>
    </row>
    <row r="24061" spans="1:26" ht="12.75" customHeight="1" x14ac:dyDescent="0.2">
      <c r="A24061" s="258"/>
      <c r="Z24061" s="258"/>
    </row>
    <row r="24062" spans="1:26" ht="12.75" customHeight="1" x14ac:dyDescent="0.2">
      <c r="A24062" s="258"/>
      <c r="Z24062" s="258"/>
    </row>
    <row r="24063" spans="1:26" ht="12.75" customHeight="1" x14ac:dyDescent="0.2">
      <c r="A24063" s="258"/>
      <c r="Z24063" s="258"/>
    </row>
    <row r="24064" spans="1:26" ht="12.75" customHeight="1" x14ac:dyDescent="0.2">
      <c r="A24064" s="258"/>
      <c r="Z24064" s="258"/>
    </row>
    <row r="24065" spans="1:26" ht="12.75" customHeight="1" x14ac:dyDescent="0.2">
      <c r="A24065" s="258"/>
      <c r="Z24065" s="258"/>
    </row>
    <row r="24066" spans="1:26" ht="12.75" customHeight="1" x14ac:dyDescent="0.2">
      <c r="A24066" s="258"/>
      <c r="Z24066" s="258"/>
    </row>
    <row r="24067" spans="1:26" ht="12.75" customHeight="1" x14ac:dyDescent="0.2">
      <c r="A24067" s="258"/>
      <c r="Z24067" s="258"/>
    </row>
    <row r="24068" spans="1:26" ht="12.75" customHeight="1" x14ac:dyDescent="0.2">
      <c r="A24068" s="258"/>
      <c r="Z24068" s="258"/>
    </row>
    <row r="24069" spans="1:26" ht="12.75" customHeight="1" x14ac:dyDescent="0.2">
      <c r="A24069" s="258"/>
      <c r="Z24069" s="258"/>
    </row>
    <row r="24070" spans="1:26" ht="12.75" customHeight="1" x14ac:dyDescent="0.2">
      <c r="A24070" s="258"/>
      <c r="Z24070" s="258"/>
    </row>
    <row r="24071" spans="1:26" ht="12.75" customHeight="1" x14ac:dyDescent="0.2">
      <c r="A24071" s="258"/>
      <c r="Z24071" s="258"/>
    </row>
    <row r="24072" spans="1:26" ht="12.75" customHeight="1" x14ac:dyDescent="0.2">
      <c r="A24072" s="258"/>
      <c r="Z24072" s="258"/>
    </row>
    <row r="24073" spans="1:26" ht="12.75" customHeight="1" x14ac:dyDescent="0.2">
      <c r="A24073" s="258"/>
      <c r="Z24073" s="258"/>
    </row>
    <row r="24074" spans="1:26" ht="12.75" customHeight="1" x14ac:dyDescent="0.2">
      <c r="A24074" s="258"/>
      <c r="Z24074" s="258"/>
    </row>
    <row r="24075" spans="1:26" ht="12.75" customHeight="1" x14ac:dyDescent="0.2">
      <c r="A24075" s="258"/>
      <c r="Z24075" s="258"/>
    </row>
    <row r="24076" spans="1:26" ht="12.75" customHeight="1" x14ac:dyDescent="0.2">
      <c r="A24076" s="258"/>
      <c r="Z24076" s="258"/>
    </row>
    <row r="24077" spans="1:26" ht="12.75" customHeight="1" x14ac:dyDescent="0.2">
      <c r="A24077" s="258"/>
      <c r="Z24077" s="258"/>
    </row>
    <row r="24078" spans="1:26" ht="12.75" customHeight="1" x14ac:dyDescent="0.2">
      <c r="A24078" s="258"/>
      <c r="Z24078" s="258"/>
    </row>
    <row r="24079" spans="1:26" ht="12.75" customHeight="1" x14ac:dyDescent="0.2">
      <c r="A24079" s="258"/>
      <c r="Z24079" s="258"/>
    </row>
    <row r="24080" spans="1:26" ht="12.75" customHeight="1" x14ac:dyDescent="0.2">
      <c r="A24080" s="258"/>
      <c r="Z24080" s="258"/>
    </row>
    <row r="24081" spans="1:26" ht="12.75" customHeight="1" x14ac:dyDescent="0.2">
      <c r="A24081" s="258"/>
      <c r="Z24081" s="258"/>
    </row>
    <row r="24082" spans="1:26" ht="12.75" customHeight="1" x14ac:dyDescent="0.2">
      <c r="A24082" s="258"/>
      <c r="Z24082" s="258"/>
    </row>
    <row r="24083" spans="1:26" ht="12.75" customHeight="1" x14ac:dyDescent="0.2">
      <c r="A24083" s="258"/>
      <c r="Z24083" s="258"/>
    </row>
    <row r="24084" spans="1:26" ht="12.75" customHeight="1" x14ac:dyDescent="0.2">
      <c r="A24084" s="258"/>
      <c r="Z24084" s="258"/>
    </row>
    <row r="24085" spans="1:26" ht="12.75" customHeight="1" x14ac:dyDescent="0.2">
      <c r="A24085" s="258"/>
      <c r="Z24085" s="258"/>
    </row>
    <row r="24086" spans="1:26" ht="12.75" customHeight="1" x14ac:dyDescent="0.2">
      <c r="A24086" s="258"/>
      <c r="Z24086" s="258"/>
    </row>
    <row r="24087" spans="1:26" ht="12.75" customHeight="1" x14ac:dyDescent="0.2">
      <c r="A24087" s="258"/>
      <c r="Z24087" s="258"/>
    </row>
    <row r="24088" spans="1:26" ht="12.75" customHeight="1" x14ac:dyDescent="0.2">
      <c r="A24088" s="258"/>
      <c r="Z24088" s="258"/>
    </row>
    <row r="24089" spans="1:26" ht="12.75" customHeight="1" x14ac:dyDescent="0.2">
      <c r="A24089" s="258"/>
      <c r="Z24089" s="258"/>
    </row>
    <row r="24090" spans="1:26" ht="12.75" customHeight="1" x14ac:dyDescent="0.2">
      <c r="A24090" s="258"/>
      <c r="Z24090" s="258"/>
    </row>
    <row r="24091" spans="1:26" ht="12.75" customHeight="1" x14ac:dyDescent="0.2">
      <c r="A24091" s="258"/>
      <c r="Z24091" s="258"/>
    </row>
    <row r="24092" spans="1:26" ht="12.75" customHeight="1" x14ac:dyDescent="0.2">
      <c r="A24092" s="258"/>
      <c r="Z24092" s="258"/>
    </row>
    <row r="24093" spans="1:26" ht="12.75" customHeight="1" x14ac:dyDescent="0.2">
      <c r="A24093" s="258"/>
      <c r="Z24093" s="258"/>
    </row>
    <row r="24094" spans="1:26" ht="12.75" customHeight="1" x14ac:dyDescent="0.2">
      <c r="A24094" s="258"/>
      <c r="Z24094" s="258"/>
    </row>
    <row r="24095" spans="1:26" ht="12.75" customHeight="1" x14ac:dyDescent="0.2">
      <c r="A24095" s="258"/>
      <c r="Z24095" s="258"/>
    </row>
    <row r="24096" spans="1:26" ht="12.75" customHeight="1" x14ac:dyDescent="0.2">
      <c r="A24096" s="258"/>
      <c r="Z24096" s="258"/>
    </row>
    <row r="24097" spans="1:26" ht="12.75" customHeight="1" x14ac:dyDescent="0.2">
      <c r="A24097" s="258"/>
      <c r="Z24097" s="258"/>
    </row>
    <row r="24098" spans="1:26" ht="12.75" customHeight="1" x14ac:dyDescent="0.2">
      <c r="A24098" s="258"/>
      <c r="Z24098" s="258"/>
    </row>
    <row r="24099" spans="1:26" ht="12.75" customHeight="1" x14ac:dyDescent="0.2">
      <c r="A24099" s="258"/>
      <c r="Z24099" s="258"/>
    </row>
    <row r="24100" spans="1:26" ht="12.75" customHeight="1" x14ac:dyDescent="0.2">
      <c r="A24100" s="258"/>
      <c r="Z24100" s="258"/>
    </row>
    <row r="24101" spans="1:26" ht="12.75" customHeight="1" x14ac:dyDescent="0.2">
      <c r="A24101" s="258"/>
      <c r="Z24101" s="258"/>
    </row>
    <row r="24102" spans="1:26" ht="12.75" customHeight="1" x14ac:dyDescent="0.2">
      <c r="A24102" s="258"/>
      <c r="Z24102" s="258"/>
    </row>
    <row r="24103" spans="1:26" ht="12.75" customHeight="1" x14ac:dyDescent="0.2">
      <c r="A24103" s="258"/>
      <c r="Z24103" s="258"/>
    </row>
    <row r="24104" spans="1:26" ht="12.75" customHeight="1" x14ac:dyDescent="0.2">
      <c r="A24104" s="258"/>
      <c r="Z24104" s="258"/>
    </row>
    <row r="24105" spans="1:26" ht="12.75" customHeight="1" x14ac:dyDescent="0.2">
      <c r="A24105" s="258"/>
      <c r="Z24105" s="258"/>
    </row>
    <row r="24106" spans="1:26" ht="12.75" customHeight="1" x14ac:dyDescent="0.2">
      <c r="A24106" s="258"/>
      <c r="Z24106" s="258"/>
    </row>
    <row r="24107" spans="1:26" ht="12.75" customHeight="1" x14ac:dyDescent="0.2">
      <c r="A24107" s="258"/>
      <c r="Z24107" s="258"/>
    </row>
    <row r="24108" spans="1:26" ht="12.75" customHeight="1" x14ac:dyDescent="0.2">
      <c r="A24108" s="258"/>
      <c r="Z24108" s="258"/>
    </row>
    <row r="24109" spans="1:26" ht="12.75" customHeight="1" x14ac:dyDescent="0.2">
      <c r="A24109" s="258"/>
      <c r="Z24109" s="258"/>
    </row>
    <row r="24110" spans="1:26" ht="12.75" customHeight="1" x14ac:dyDescent="0.2">
      <c r="A24110" s="258"/>
      <c r="Z24110" s="258"/>
    </row>
    <row r="24111" spans="1:26" ht="12.75" customHeight="1" x14ac:dyDescent="0.2">
      <c r="A24111" s="258"/>
      <c r="Z24111" s="258"/>
    </row>
    <row r="24112" spans="1:26" ht="12.75" customHeight="1" x14ac:dyDescent="0.2">
      <c r="A24112" s="258"/>
      <c r="Z24112" s="258"/>
    </row>
    <row r="24113" spans="1:26" ht="12.75" customHeight="1" x14ac:dyDescent="0.2">
      <c r="A24113" s="258"/>
      <c r="Z24113" s="258"/>
    </row>
    <row r="24114" spans="1:26" ht="12.75" customHeight="1" x14ac:dyDescent="0.2">
      <c r="A24114" s="258"/>
      <c r="Z24114" s="258"/>
    </row>
    <row r="24115" spans="1:26" ht="12.75" customHeight="1" x14ac:dyDescent="0.2">
      <c r="A24115" s="258"/>
      <c r="Z24115" s="258"/>
    </row>
    <row r="24116" spans="1:26" ht="12.75" customHeight="1" x14ac:dyDescent="0.2">
      <c r="A24116" s="258"/>
      <c r="Z24116" s="258"/>
    </row>
    <row r="24117" spans="1:26" ht="12.75" customHeight="1" x14ac:dyDescent="0.2">
      <c r="A24117" s="258"/>
      <c r="Z24117" s="258"/>
    </row>
    <row r="24118" spans="1:26" ht="12.75" customHeight="1" x14ac:dyDescent="0.2">
      <c r="A24118" s="258"/>
      <c r="Z24118" s="258"/>
    </row>
    <row r="24119" spans="1:26" ht="12.75" customHeight="1" x14ac:dyDescent="0.2">
      <c r="A24119" s="258"/>
      <c r="Z24119" s="258"/>
    </row>
    <row r="24120" spans="1:26" ht="12.75" customHeight="1" x14ac:dyDescent="0.2">
      <c r="A24120" s="258"/>
      <c r="Z24120" s="258"/>
    </row>
    <row r="24121" spans="1:26" ht="12.75" customHeight="1" x14ac:dyDescent="0.2">
      <c r="A24121" s="258"/>
      <c r="Z24121" s="258"/>
    </row>
    <row r="24122" spans="1:26" ht="12.75" customHeight="1" x14ac:dyDescent="0.2">
      <c r="A24122" s="258"/>
      <c r="Z24122" s="258"/>
    </row>
    <row r="24123" spans="1:26" ht="12.75" customHeight="1" x14ac:dyDescent="0.2">
      <c r="A24123" s="258"/>
      <c r="Z24123" s="258"/>
    </row>
    <row r="24124" spans="1:26" ht="12.75" customHeight="1" x14ac:dyDescent="0.2">
      <c r="A24124" s="258"/>
      <c r="Z24124" s="258"/>
    </row>
    <row r="24125" spans="1:26" ht="12.75" customHeight="1" x14ac:dyDescent="0.2">
      <c r="A24125" s="258"/>
      <c r="Z24125" s="258"/>
    </row>
    <row r="24126" spans="1:26" ht="12.75" customHeight="1" x14ac:dyDescent="0.2">
      <c r="A24126" s="258"/>
      <c r="Z24126" s="258"/>
    </row>
    <row r="24127" spans="1:26" ht="12.75" customHeight="1" x14ac:dyDescent="0.2">
      <c r="A24127" s="258"/>
      <c r="Z24127" s="258"/>
    </row>
    <row r="24128" spans="1:26" ht="12.75" customHeight="1" x14ac:dyDescent="0.2">
      <c r="A24128" s="258"/>
      <c r="Z24128" s="258"/>
    </row>
    <row r="24129" spans="1:26" ht="12.75" customHeight="1" x14ac:dyDescent="0.2">
      <c r="A24129" s="258"/>
      <c r="Z24129" s="258"/>
    </row>
    <row r="24130" spans="1:26" ht="12.75" customHeight="1" x14ac:dyDescent="0.2">
      <c r="A24130" s="258"/>
      <c r="Z24130" s="258"/>
    </row>
    <row r="24131" spans="1:26" ht="12.75" customHeight="1" x14ac:dyDescent="0.2">
      <c r="A24131" s="258"/>
      <c r="Z24131" s="258"/>
    </row>
    <row r="24132" spans="1:26" ht="12.75" customHeight="1" x14ac:dyDescent="0.2">
      <c r="A24132" s="258"/>
      <c r="Z24132" s="258"/>
    </row>
    <row r="24133" spans="1:26" ht="12.75" customHeight="1" x14ac:dyDescent="0.2">
      <c r="A24133" s="258"/>
      <c r="Z24133" s="258"/>
    </row>
    <row r="24134" spans="1:26" ht="12.75" customHeight="1" x14ac:dyDescent="0.2">
      <c r="A24134" s="258"/>
      <c r="Z24134" s="258"/>
    </row>
    <row r="24135" spans="1:26" ht="12.75" customHeight="1" x14ac:dyDescent="0.2">
      <c r="A24135" s="258"/>
      <c r="Z24135" s="258"/>
    </row>
    <row r="24136" spans="1:26" ht="12.75" customHeight="1" x14ac:dyDescent="0.2">
      <c r="A24136" s="258"/>
      <c r="Z24136" s="258"/>
    </row>
    <row r="24137" spans="1:26" ht="12.75" customHeight="1" x14ac:dyDescent="0.2">
      <c r="A24137" s="258"/>
      <c r="Z24137" s="258"/>
    </row>
    <row r="24138" spans="1:26" ht="12.75" customHeight="1" x14ac:dyDescent="0.2">
      <c r="A24138" s="258"/>
      <c r="Z24138" s="258"/>
    </row>
    <row r="24139" spans="1:26" ht="12.75" customHeight="1" x14ac:dyDescent="0.2">
      <c r="A24139" s="258"/>
      <c r="Z24139" s="258"/>
    </row>
    <row r="24140" spans="1:26" ht="12.75" customHeight="1" x14ac:dyDescent="0.2">
      <c r="A24140" s="258"/>
      <c r="Z24140" s="258"/>
    </row>
    <row r="24141" spans="1:26" ht="12.75" customHeight="1" x14ac:dyDescent="0.2">
      <c r="A24141" s="258"/>
      <c r="Z24141" s="258"/>
    </row>
    <row r="24142" spans="1:26" ht="12.75" customHeight="1" x14ac:dyDescent="0.2">
      <c r="A24142" s="258"/>
      <c r="Z24142" s="258"/>
    </row>
    <row r="24143" spans="1:26" ht="12.75" customHeight="1" x14ac:dyDescent="0.2">
      <c r="A24143" s="258"/>
      <c r="Z24143" s="258"/>
    </row>
    <row r="24144" spans="1:26" ht="12.75" customHeight="1" x14ac:dyDescent="0.2">
      <c r="A24144" s="258"/>
      <c r="Z24144" s="258"/>
    </row>
    <row r="24145" spans="1:26" ht="12.75" customHeight="1" x14ac:dyDescent="0.2">
      <c r="A24145" s="258"/>
      <c r="Z24145" s="258"/>
    </row>
    <row r="24146" spans="1:26" ht="12.75" customHeight="1" x14ac:dyDescent="0.2">
      <c r="A24146" s="258"/>
      <c r="Z24146" s="258"/>
    </row>
    <row r="24147" spans="1:26" ht="12.75" customHeight="1" x14ac:dyDescent="0.2">
      <c r="A24147" s="258"/>
      <c r="Z24147" s="258"/>
    </row>
    <row r="24148" spans="1:26" ht="12.75" customHeight="1" x14ac:dyDescent="0.2">
      <c r="A24148" s="258"/>
      <c r="Z24148" s="258"/>
    </row>
    <row r="24149" spans="1:26" ht="12.75" customHeight="1" x14ac:dyDescent="0.2">
      <c r="A24149" s="258"/>
      <c r="Z24149" s="258"/>
    </row>
    <row r="24150" spans="1:26" ht="12.75" customHeight="1" x14ac:dyDescent="0.2">
      <c r="A24150" s="258"/>
      <c r="Z24150" s="258"/>
    </row>
    <row r="24151" spans="1:26" ht="12.75" customHeight="1" x14ac:dyDescent="0.2">
      <c r="A24151" s="258"/>
      <c r="Z24151" s="258"/>
    </row>
    <row r="24152" spans="1:26" ht="12.75" customHeight="1" x14ac:dyDescent="0.2">
      <c r="A24152" s="258"/>
      <c r="Z24152" s="258"/>
    </row>
    <row r="24153" spans="1:26" ht="12.75" customHeight="1" x14ac:dyDescent="0.2">
      <c r="A24153" s="258"/>
      <c r="Z24153" s="258"/>
    </row>
    <row r="24154" spans="1:26" ht="12.75" customHeight="1" x14ac:dyDescent="0.2">
      <c r="A24154" s="258"/>
      <c r="Z24154" s="258"/>
    </row>
    <row r="24155" spans="1:26" ht="12.75" customHeight="1" x14ac:dyDescent="0.2">
      <c r="A24155" s="258"/>
      <c r="Z24155" s="258"/>
    </row>
    <row r="24156" spans="1:26" ht="12.75" customHeight="1" x14ac:dyDescent="0.2">
      <c r="A24156" s="258"/>
      <c r="Z24156" s="258"/>
    </row>
    <row r="24157" spans="1:26" ht="12.75" customHeight="1" x14ac:dyDescent="0.2">
      <c r="A24157" s="258"/>
      <c r="Z24157" s="258"/>
    </row>
    <row r="24158" spans="1:26" ht="12.75" customHeight="1" x14ac:dyDescent="0.2">
      <c r="A24158" s="258"/>
      <c r="Z24158" s="258"/>
    </row>
    <row r="24159" spans="1:26" ht="12.75" customHeight="1" x14ac:dyDescent="0.2">
      <c r="A24159" s="258"/>
      <c r="Z24159" s="258"/>
    </row>
    <row r="24160" spans="1:26" ht="12.75" customHeight="1" x14ac:dyDescent="0.2">
      <c r="A24160" s="258"/>
      <c r="Z24160" s="258"/>
    </row>
    <row r="24161" spans="1:26" ht="12.75" customHeight="1" x14ac:dyDescent="0.2">
      <c r="A24161" s="258"/>
      <c r="Z24161" s="258"/>
    </row>
    <row r="24162" spans="1:26" ht="12.75" customHeight="1" x14ac:dyDescent="0.2">
      <c r="A24162" s="258"/>
      <c r="Z24162" s="258"/>
    </row>
    <row r="24163" spans="1:26" ht="12.75" customHeight="1" x14ac:dyDescent="0.2">
      <c r="A24163" s="258"/>
      <c r="Z24163" s="258"/>
    </row>
    <row r="24164" spans="1:26" ht="12.75" customHeight="1" x14ac:dyDescent="0.2">
      <c r="A24164" s="258"/>
      <c r="Z24164" s="258"/>
    </row>
    <row r="24165" spans="1:26" ht="12.75" customHeight="1" x14ac:dyDescent="0.2">
      <c r="A24165" s="258"/>
      <c r="Z24165" s="258"/>
    </row>
    <row r="24166" spans="1:26" ht="12.75" customHeight="1" x14ac:dyDescent="0.2">
      <c r="A24166" s="258"/>
      <c r="Z24166" s="258"/>
    </row>
    <row r="24167" spans="1:26" ht="12.75" customHeight="1" x14ac:dyDescent="0.2">
      <c r="A24167" s="258"/>
      <c r="Z24167" s="258"/>
    </row>
    <row r="24168" spans="1:26" ht="12.75" customHeight="1" x14ac:dyDescent="0.2">
      <c r="A24168" s="258"/>
      <c r="Z24168" s="258"/>
    </row>
    <row r="24169" spans="1:26" ht="12.75" customHeight="1" x14ac:dyDescent="0.2">
      <c r="A24169" s="258"/>
      <c r="Z24169" s="258"/>
    </row>
    <row r="24170" spans="1:26" ht="12.75" customHeight="1" x14ac:dyDescent="0.2">
      <c r="A24170" s="258"/>
      <c r="Z24170" s="258"/>
    </row>
    <row r="24171" spans="1:26" ht="12.75" customHeight="1" x14ac:dyDescent="0.2">
      <c r="A24171" s="258"/>
      <c r="Z24171" s="258"/>
    </row>
    <row r="24172" spans="1:26" ht="12.75" customHeight="1" x14ac:dyDescent="0.2">
      <c r="A24172" s="258"/>
      <c r="Z24172" s="258"/>
    </row>
    <row r="24173" spans="1:26" ht="12.75" customHeight="1" x14ac:dyDescent="0.2">
      <c r="A24173" s="258"/>
      <c r="Z24173" s="258"/>
    </row>
    <row r="24174" spans="1:26" ht="12.75" customHeight="1" x14ac:dyDescent="0.2">
      <c r="A24174" s="258"/>
      <c r="Z24174" s="258"/>
    </row>
    <row r="24175" spans="1:26" ht="12.75" customHeight="1" x14ac:dyDescent="0.2">
      <c r="A24175" s="258"/>
      <c r="Z24175" s="258"/>
    </row>
    <row r="24176" spans="1:26" ht="12.75" customHeight="1" x14ac:dyDescent="0.2">
      <c r="A24176" s="258"/>
      <c r="Z24176" s="258"/>
    </row>
    <row r="24177" spans="1:26" ht="12.75" customHeight="1" x14ac:dyDescent="0.2">
      <c r="A24177" s="258"/>
      <c r="Z24177" s="258"/>
    </row>
    <row r="24178" spans="1:26" ht="12.75" customHeight="1" x14ac:dyDescent="0.2">
      <c r="A24178" s="258"/>
      <c r="Z24178" s="258"/>
    </row>
    <row r="24179" spans="1:26" ht="12.75" customHeight="1" x14ac:dyDescent="0.2">
      <c r="A24179" s="258"/>
      <c r="Z24179" s="258"/>
    </row>
    <row r="24180" spans="1:26" ht="12.75" customHeight="1" x14ac:dyDescent="0.2">
      <c r="A24180" s="258"/>
      <c r="Z24180" s="258"/>
    </row>
    <row r="24181" spans="1:26" ht="12.75" customHeight="1" x14ac:dyDescent="0.2">
      <c r="A24181" s="258"/>
      <c r="Z24181" s="258"/>
    </row>
    <row r="24182" spans="1:26" ht="12.75" customHeight="1" x14ac:dyDescent="0.2">
      <c r="A24182" s="258"/>
      <c r="Z24182" s="258"/>
    </row>
    <row r="24183" spans="1:26" ht="12.75" customHeight="1" x14ac:dyDescent="0.2">
      <c r="A24183" s="258"/>
      <c r="Z24183" s="258"/>
    </row>
    <row r="24184" spans="1:26" ht="12.75" customHeight="1" x14ac:dyDescent="0.2">
      <c r="A24184" s="258"/>
      <c r="Z24184" s="258"/>
    </row>
    <row r="24185" spans="1:26" ht="12.75" customHeight="1" x14ac:dyDescent="0.2">
      <c r="A24185" s="258"/>
      <c r="Z24185" s="258"/>
    </row>
    <row r="24186" spans="1:26" ht="12.75" customHeight="1" x14ac:dyDescent="0.2">
      <c r="A24186" s="258"/>
      <c r="Z24186" s="258"/>
    </row>
    <row r="24187" spans="1:26" ht="12.75" customHeight="1" x14ac:dyDescent="0.2">
      <c r="A24187" s="258"/>
      <c r="Z24187" s="258"/>
    </row>
    <row r="24188" spans="1:26" ht="12.75" customHeight="1" x14ac:dyDescent="0.2">
      <c r="A24188" s="258"/>
      <c r="Z24188" s="258"/>
    </row>
    <row r="24189" spans="1:26" ht="12.75" customHeight="1" x14ac:dyDescent="0.2">
      <c r="A24189" s="258"/>
      <c r="Z24189" s="258"/>
    </row>
    <row r="24190" spans="1:26" ht="12.75" customHeight="1" x14ac:dyDescent="0.2">
      <c r="A24190" s="258"/>
      <c r="Z24190" s="258"/>
    </row>
    <row r="24191" spans="1:26" ht="12.75" customHeight="1" x14ac:dyDescent="0.2">
      <c r="A24191" s="258"/>
      <c r="Z24191" s="258"/>
    </row>
    <row r="24192" spans="1:26" ht="12.75" customHeight="1" x14ac:dyDescent="0.2">
      <c r="A24192" s="258"/>
      <c r="Z24192" s="258"/>
    </row>
    <row r="24193" spans="1:26" ht="12.75" customHeight="1" x14ac:dyDescent="0.2">
      <c r="A24193" s="258"/>
      <c r="Z24193" s="258"/>
    </row>
    <row r="24194" spans="1:26" ht="12.75" customHeight="1" x14ac:dyDescent="0.2">
      <c r="A24194" s="258"/>
      <c r="Z24194" s="258"/>
    </row>
    <row r="24195" spans="1:26" ht="12.75" customHeight="1" x14ac:dyDescent="0.2">
      <c r="A24195" s="258"/>
      <c r="Z24195" s="258"/>
    </row>
    <row r="24196" spans="1:26" ht="12.75" customHeight="1" x14ac:dyDescent="0.2">
      <c r="A24196" s="258"/>
      <c r="Z24196" s="258"/>
    </row>
    <row r="24197" spans="1:26" ht="12.75" customHeight="1" x14ac:dyDescent="0.2">
      <c r="A24197" s="258"/>
      <c r="Z24197" s="258"/>
    </row>
    <row r="24198" spans="1:26" ht="12.75" customHeight="1" x14ac:dyDescent="0.2">
      <c r="A24198" s="258"/>
      <c r="Z24198" s="258"/>
    </row>
    <row r="24199" spans="1:26" ht="12.75" customHeight="1" x14ac:dyDescent="0.2">
      <c r="A24199" s="258"/>
      <c r="Z24199" s="258"/>
    </row>
    <row r="24200" spans="1:26" ht="12.75" customHeight="1" x14ac:dyDescent="0.2">
      <c r="A24200" s="258"/>
      <c r="Z24200" s="258"/>
    </row>
    <row r="24201" spans="1:26" ht="12.75" customHeight="1" x14ac:dyDescent="0.2">
      <c r="A24201" s="258"/>
      <c r="Z24201" s="258"/>
    </row>
    <row r="24202" spans="1:26" ht="12.75" customHeight="1" x14ac:dyDescent="0.2">
      <c r="A24202" s="258"/>
      <c r="Z24202" s="258"/>
    </row>
    <row r="24203" spans="1:26" ht="12.75" customHeight="1" x14ac:dyDescent="0.2">
      <c r="A24203" s="258"/>
      <c r="Z24203" s="258"/>
    </row>
    <row r="24204" spans="1:26" ht="12.75" customHeight="1" x14ac:dyDescent="0.2">
      <c r="A24204" s="258"/>
      <c r="Z24204" s="258"/>
    </row>
    <row r="24205" spans="1:26" ht="12.75" customHeight="1" x14ac:dyDescent="0.2">
      <c r="A24205" s="258"/>
      <c r="Z24205" s="258"/>
    </row>
    <row r="24206" spans="1:26" ht="12.75" customHeight="1" x14ac:dyDescent="0.2">
      <c r="A24206" s="258"/>
      <c r="Z24206" s="258"/>
    </row>
    <row r="24207" spans="1:26" ht="12.75" customHeight="1" x14ac:dyDescent="0.2">
      <c r="A24207" s="258"/>
      <c r="Z24207" s="258"/>
    </row>
    <row r="24208" spans="1:26" ht="12.75" customHeight="1" x14ac:dyDescent="0.2">
      <c r="A24208" s="258"/>
      <c r="Z24208" s="258"/>
    </row>
    <row r="24209" spans="1:26" ht="12.75" customHeight="1" x14ac:dyDescent="0.2">
      <c r="A24209" s="258"/>
      <c r="Z24209" s="258"/>
    </row>
    <row r="24210" spans="1:26" ht="12.75" customHeight="1" x14ac:dyDescent="0.2">
      <c r="A24210" s="258"/>
      <c r="Z24210" s="258"/>
    </row>
    <row r="24211" spans="1:26" ht="12.75" customHeight="1" x14ac:dyDescent="0.2">
      <c r="A24211" s="258"/>
      <c r="Z24211" s="258"/>
    </row>
    <row r="24212" spans="1:26" ht="12.75" customHeight="1" x14ac:dyDescent="0.2">
      <c r="A24212" s="258"/>
      <c r="Z24212" s="258"/>
    </row>
    <row r="24213" spans="1:26" ht="12.75" customHeight="1" x14ac:dyDescent="0.2">
      <c r="A24213" s="258"/>
      <c r="Z24213" s="258"/>
    </row>
    <row r="24214" spans="1:26" ht="12.75" customHeight="1" x14ac:dyDescent="0.2">
      <c r="A24214" s="258"/>
      <c r="Z24214" s="258"/>
    </row>
    <row r="24215" spans="1:26" ht="12.75" customHeight="1" x14ac:dyDescent="0.2">
      <c r="A24215" s="258"/>
      <c r="Z24215" s="258"/>
    </row>
    <row r="24216" spans="1:26" ht="12.75" customHeight="1" x14ac:dyDescent="0.2">
      <c r="A24216" s="258"/>
      <c r="Z24216" s="258"/>
    </row>
    <row r="24217" spans="1:26" ht="12.75" customHeight="1" x14ac:dyDescent="0.2">
      <c r="A24217" s="258"/>
      <c r="Z24217" s="258"/>
    </row>
    <row r="24218" spans="1:26" ht="12.75" customHeight="1" x14ac:dyDescent="0.2">
      <c r="A24218" s="258"/>
      <c r="Z24218" s="258"/>
    </row>
    <row r="24219" spans="1:26" ht="12.75" customHeight="1" x14ac:dyDescent="0.2">
      <c r="A24219" s="258"/>
      <c r="Z24219" s="258"/>
    </row>
    <row r="24220" spans="1:26" ht="12.75" customHeight="1" x14ac:dyDescent="0.2">
      <c r="A24220" s="258"/>
      <c r="Z24220" s="258"/>
    </row>
    <row r="24221" spans="1:26" ht="12.75" customHeight="1" x14ac:dyDescent="0.2">
      <c r="A24221" s="258"/>
      <c r="Z24221" s="258"/>
    </row>
    <row r="24222" spans="1:26" ht="12.75" customHeight="1" x14ac:dyDescent="0.2">
      <c r="A24222" s="258"/>
      <c r="Z24222" s="258"/>
    </row>
    <row r="24223" spans="1:26" ht="12.75" customHeight="1" x14ac:dyDescent="0.2">
      <c r="A24223" s="258"/>
      <c r="Z24223" s="258"/>
    </row>
    <row r="24224" spans="1:26" ht="12.75" customHeight="1" x14ac:dyDescent="0.2">
      <c r="A24224" s="258"/>
      <c r="Z24224" s="258"/>
    </row>
    <row r="24225" spans="1:26" ht="12.75" customHeight="1" x14ac:dyDescent="0.2">
      <c r="A24225" s="258"/>
      <c r="Z24225" s="258"/>
    </row>
    <row r="24226" spans="1:26" ht="12.75" customHeight="1" x14ac:dyDescent="0.2">
      <c r="A24226" s="258"/>
      <c r="Z24226" s="258"/>
    </row>
    <row r="24227" spans="1:26" ht="12.75" customHeight="1" x14ac:dyDescent="0.2">
      <c r="A24227" s="258"/>
      <c r="Z24227" s="258"/>
    </row>
    <row r="24228" spans="1:26" ht="12.75" customHeight="1" x14ac:dyDescent="0.2">
      <c r="A24228" s="258"/>
      <c r="Z24228" s="258"/>
    </row>
    <row r="24229" spans="1:26" ht="12.75" customHeight="1" x14ac:dyDescent="0.2">
      <c r="A24229" s="258"/>
      <c r="Z24229" s="258"/>
    </row>
    <row r="24230" spans="1:26" ht="12.75" customHeight="1" x14ac:dyDescent="0.2">
      <c r="A24230" s="258"/>
      <c r="Z24230" s="258"/>
    </row>
    <row r="24231" spans="1:26" ht="12.75" customHeight="1" x14ac:dyDescent="0.2">
      <c r="A24231" s="258"/>
      <c r="Z24231" s="258"/>
    </row>
    <row r="24232" spans="1:26" ht="12.75" customHeight="1" x14ac:dyDescent="0.2">
      <c r="A24232" s="258"/>
      <c r="Z24232" s="258"/>
    </row>
    <row r="24233" spans="1:26" ht="12.75" customHeight="1" x14ac:dyDescent="0.2">
      <c r="A24233" s="258"/>
      <c r="Z24233" s="258"/>
    </row>
    <row r="24234" spans="1:26" ht="12.75" customHeight="1" x14ac:dyDescent="0.2">
      <c r="A24234" s="258"/>
      <c r="Z24234" s="258"/>
    </row>
    <row r="24235" spans="1:26" ht="12.75" customHeight="1" x14ac:dyDescent="0.2">
      <c r="A24235" s="258"/>
      <c r="Z24235" s="258"/>
    </row>
    <row r="24236" spans="1:26" ht="12.75" customHeight="1" x14ac:dyDescent="0.2">
      <c r="A24236" s="258"/>
      <c r="Z24236" s="258"/>
    </row>
    <row r="24237" spans="1:26" ht="12.75" customHeight="1" x14ac:dyDescent="0.2">
      <c r="A24237" s="258"/>
      <c r="Z24237" s="258"/>
    </row>
    <row r="24238" spans="1:26" ht="12.75" customHeight="1" x14ac:dyDescent="0.2">
      <c r="A24238" s="258"/>
      <c r="Z24238" s="258"/>
    </row>
    <row r="24239" spans="1:26" ht="12.75" customHeight="1" x14ac:dyDescent="0.2">
      <c r="A24239" s="258"/>
      <c r="Z24239" s="258"/>
    </row>
    <row r="24240" spans="1:26" ht="12.75" customHeight="1" x14ac:dyDescent="0.2">
      <c r="A24240" s="258"/>
      <c r="Z24240" s="258"/>
    </row>
    <row r="24241" spans="1:26" ht="12.75" customHeight="1" x14ac:dyDescent="0.2">
      <c r="A24241" s="258"/>
      <c r="Z24241" s="258"/>
    </row>
    <row r="24242" spans="1:26" ht="12.75" customHeight="1" x14ac:dyDescent="0.2">
      <c r="A24242" s="258"/>
      <c r="Z24242" s="258"/>
    </row>
    <row r="24243" spans="1:26" ht="12.75" customHeight="1" x14ac:dyDescent="0.2">
      <c r="A24243" s="258"/>
      <c r="Z24243" s="258"/>
    </row>
    <row r="24244" spans="1:26" ht="12.75" customHeight="1" x14ac:dyDescent="0.2">
      <c r="A24244" s="258"/>
      <c r="Z24244" s="258"/>
    </row>
    <row r="24245" spans="1:26" ht="12.75" customHeight="1" x14ac:dyDescent="0.2">
      <c r="A24245" s="258"/>
      <c r="Z24245" s="258"/>
    </row>
    <row r="24246" spans="1:26" ht="12.75" customHeight="1" x14ac:dyDescent="0.2">
      <c r="A24246" s="258"/>
      <c r="Z24246" s="258"/>
    </row>
    <row r="24247" spans="1:26" ht="12.75" customHeight="1" x14ac:dyDescent="0.2">
      <c r="A24247" s="258"/>
      <c r="Z24247" s="258"/>
    </row>
    <row r="24248" spans="1:26" ht="12.75" customHeight="1" x14ac:dyDescent="0.2">
      <c r="A24248" s="258"/>
      <c r="Z24248" s="258"/>
    </row>
    <row r="24249" spans="1:26" ht="12.75" customHeight="1" x14ac:dyDescent="0.2">
      <c r="A24249" s="258"/>
      <c r="Z24249" s="258"/>
    </row>
    <row r="24250" spans="1:26" ht="12.75" customHeight="1" x14ac:dyDescent="0.2">
      <c r="A24250" s="258"/>
      <c r="Z24250" s="258"/>
    </row>
    <row r="24251" spans="1:26" ht="12.75" customHeight="1" x14ac:dyDescent="0.2">
      <c r="A24251" s="258"/>
      <c r="Z24251" s="258"/>
    </row>
    <row r="24252" spans="1:26" ht="12.75" customHeight="1" x14ac:dyDescent="0.2">
      <c r="A24252" s="258"/>
      <c r="Z24252" s="258"/>
    </row>
    <row r="24253" spans="1:26" ht="12.75" customHeight="1" x14ac:dyDescent="0.2">
      <c r="A24253" s="258"/>
      <c r="Z24253" s="258"/>
    </row>
    <row r="24254" spans="1:26" ht="12.75" customHeight="1" x14ac:dyDescent="0.2">
      <c r="A24254" s="258"/>
      <c r="Z24254" s="258"/>
    </row>
    <row r="24255" spans="1:26" ht="12.75" customHeight="1" x14ac:dyDescent="0.2">
      <c r="A24255" s="258"/>
      <c r="Z24255" s="258"/>
    </row>
    <row r="24256" spans="1:26" ht="12.75" customHeight="1" x14ac:dyDescent="0.2">
      <c r="A24256" s="258"/>
      <c r="Z24256" s="258"/>
    </row>
    <row r="24257" spans="1:26" ht="12.75" customHeight="1" x14ac:dyDescent="0.2">
      <c r="A24257" s="258"/>
      <c r="Z24257" s="258"/>
    </row>
    <row r="24258" spans="1:26" ht="12.75" customHeight="1" x14ac:dyDescent="0.2">
      <c r="A24258" s="258"/>
      <c r="Z24258" s="258"/>
    </row>
    <row r="24259" spans="1:26" ht="12.75" customHeight="1" x14ac:dyDescent="0.2">
      <c r="A24259" s="258"/>
      <c r="Z24259" s="258"/>
    </row>
    <row r="24260" spans="1:26" ht="12.75" customHeight="1" x14ac:dyDescent="0.2">
      <c r="A24260" s="258"/>
      <c r="Z24260" s="258"/>
    </row>
    <row r="24261" spans="1:26" ht="12.75" customHeight="1" x14ac:dyDescent="0.2">
      <c r="A24261" s="258"/>
      <c r="Z24261" s="258"/>
    </row>
    <row r="24262" spans="1:26" ht="12.75" customHeight="1" x14ac:dyDescent="0.2">
      <c r="A24262" s="258"/>
      <c r="Z24262" s="258"/>
    </row>
    <row r="24263" spans="1:26" ht="12.75" customHeight="1" x14ac:dyDescent="0.2">
      <c r="A24263" s="258"/>
      <c r="Z24263" s="258"/>
    </row>
    <row r="24264" spans="1:26" ht="12.75" customHeight="1" x14ac:dyDescent="0.2">
      <c r="A24264" s="258"/>
      <c r="Z24264" s="258"/>
    </row>
    <row r="24265" spans="1:26" ht="12.75" customHeight="1" x14ac:dyDescent="0.2">
      <c r="A24265" s="258"/>
      <c r="Z24265" s="258"/>
    </row>
    <row r="24266" spans="1:26" ht="12.75" customHeight="1" x14ac:dyDescent="0.2">
      <c r="A24266" s="258"/>
      <c r="Z24266" s="258"/>
    </row>
    <row r="24267" spans="1:26" ht="12.75" customHeight="1" x14ac:dyDescent="0.2">
      <c r="A24267" s="258"/>
      <c r="Z24267" s="258"/>
    </row>
    <row r="24268" spans="1:26" ht="12.75" customHeight="1" x14ac:dyDescent="0.2">
      <c r="A24268" s="258"/>
      <c r="Z24268" s="258"/>
    </row>
    <row r="24269" spans="1:26" ht="12.75" customHeight="1" x14ac:dyDescent="0.2">
      <c r="A24269" s="258"/>
      <c r="Z24269" s="258"/>
    </row>
    <row r="24270" spans="1:26" ht="12.75" customHeight="1" x14ac:dyDescent="0.2">
      <c r="A24270" s="258"/>
      <c r="Z24270" s="258"/>
    </row>
    <row r="24271" spans="1:26" ht="12.75" customHeight="1" x14ac:dyDescent="0.2">
      <c r="A24271" s="258"/>
      <c r="Z24271" s="258"/>
    </row>
    <row r="24272" spans="1:26" ht="12.75" customHeight="1" x14ac:dyDescent="0.2">
      <c r="A24272" s="258"/>
      <c r="Z24272" s="258"/>
    </row>
    <row r="24273" spans="1:26" ht="12.75" customHeight="1" x14ac:dyDescent="0.2">
      <c r="A24273" s="258"/>
      <c r="Z24273" s="258"/>
    </row>
    <row r="24274" spans="1:26" ht="12.75" customHeight="1" x14ac:dyDescent="0.2">
      <c r="A24274" s="258"/>
      <c r="Z24274" s="258"/>
    </row>
    <row r="24275" spans="1:26" ht="12.75" customHeight="1" x14ac:dyDescent="0.2">
      <c r="A24275" s="258"/>
      <c r="Z24275" s="258"/>
    </row>
    <row r="24276" spans="1:26" ht="12.75" customHeight="1" x14ac:dyDescent="0.2">
      <c r="A24276" s="258"/>
      <c r="Z24276" s="258"/>
    </row>
    <row r="24277" spans="1:26" ht="12.75" customHeight="1" x14ac:dyDescent="0.2">
      <c r="A24277" s="258"/>
      <c r="Z24277" s="258"/>
    </row>
    <row r="24278" spans="1:26" ht="12.75" customHeight="1" x14ac:dyDescent="0.2">
      <c r="A24278" s="258"/>
      <c r="Z24278" s="258"/>
    </row>
    <row r="24279" spans="1:26" ht="12.75" customHeight="1" x14ac:dyDescent="0.2">
      <c r="A24279" s="258"/>
      <c r="Z24279" s="258"/>
    </row>
    <row r="24280" spans="1:26" ht="12.75" customHeight="1" x14ac:dyDescent="0.2">
      <c r="A24280" s="258"/>
      <c r="Z24280" s="258"/>
    </row>
    <row r="24281" spans="1:26" ht="12.75" customHeight="1" x14ac:dyDescent="0.2">
      <c r="A24281" s="258"/>
      <c r="Z24281" s="258"/>
    </row>
    <row r="24282" spans="1:26" ht="12.75" customHeight="1" x14ac:dyDescent="0.2">
      <c r="A24282" s="258"/>
      <c r="Z24282" s="258"/>
    </row>
    <row r="24283" spans="1:26" ht="12.75" customHeight="1" x14ac:dyDescent="0.2">
      <c r="A24283" s="258"/>
      <c r="Z24283" s="258"/>
    </row>
    <row r="24284" spans="1:26" ht="12.75" customHeight="1" x14ac:dyDescent="0.2">
      <c r="A24284" s="258"/>
      <c r="Z24284" s="258"/>
    </row>
    <row r="24285" spans="1:26" ht="12.75" customHeight="1" x14ac:dyDescent="0.2">
      <c r="A24285" s="258"/>
      <c r="Z24285" s="258"/>
    </row>
    <row r="24286" spans="1:26" ht="12.75" customHeight="1" x14ac:dyDescent="0.2">
      <c r="A24286" s="258"/>
      <c r="Z24286" s="258"/>
    </row>
    <row r="24287" spans="1:26" ht="12.75" customHeight="1" x14ac:dyDescent="0.2">
      <c r="A24287" s="258"/>
      <c r="Z24287" s="258"/>
    </row>
    <row r="24288" spans="1:26" ht="12.75" customHeight="1" x14ac:dyDescent="0.2">
      <c r="A24288" s="258"/>
      <c r="Z24288" s="258"/>
    </row>
    <row r="24289" spans="1:26" ht="12.75" customHeight="1" x14ac:dyDescent="0.2">
      <c r="A24289" s="258"/>
      <c r="Z24289" s="258"/>
    </row>
    <row r="24290" spans="1:26" ht="12.75" customHeight="1" x14ac:dyDescent="0.2">
      <c r="A24290" s="258"/>
      <c r="Z24290" s="258"/>
    </row>
    <row r="24291" spans="1:26" ht="12.75" customHeight="1" x14ac:dyDescent="0.2">
      <c r="A24291" s="258"/>
      <c r="Z24291" s="258"/>
    </row>
    <row r="24292" spans="1:26" ht="12.75" customHeight="1" x14ac:dyDescent="0.2">
      <c r="A24292" s="258"/>
      <c r="Z24292" s="258"/>
    </row>
    <row r="24293" spans="1:26" ht="12.75" customHeight="1" x14ac:dyDescent="0.2">
      <c r="A24293" s="258"/>
      <c r="Z24293" s="258"/>
    </row>
    <row r="24294" spans="1:26" ht="12.75" customHeight="1" x14ac:dyDescent="0.2">
      <c r="A24294" s="258"/>
      <c r="Z24294" s="258"/>
    </row>
    <row r="24295" spans="1:26" ht="12.75" customHeight="1" x14ac:dyDescent="0.2">
      <c r="A24295" s="258"/>
      <c r="Z24295" s="258"/>
    </row>
    <row r="24296" spans="1:26" ht="12.75" customHeight="1" x14ac:dyDescent="0.2">
      <c r="A24296" s="258"/>
      <c r="Z24296" s="258"/>
    </row>
    <row r="24297" spans="1:26" ht="12.75" customHeight="1" x14ac:dyDescent="0.2">
      <c r="A24297" s="258"/>
      <c r="Z24297" s="258"/>
    </row>
    <row r="24298" spans="1:26" ht="12.75" customHeight="1" x14ac:dyDescent="0.2">
      <c r="A24298" s="258"/>
      <c r="Z24298" s="258"/>
    </row>
    <row r="24299" spans="1:26" ht="12.75" customHeight="1" x14ac:dyDescent="0.2">
      <c r="A24299" s="258"/>
      <c r="Z24299" s="258"/>
    </row>
    <row r="24300" spans="1:26" ht="12.75" customHeight="1" x14ac:dyDescent="0.2">
      <c r="A24300" s="258"/>
      <c r="Z24300" s="258"/>
    </row>
    <row r="24301" spans="1:26" ht="12.75" customHeight="1" x14ac:dyDescent="0.2">
      <c r="A24301" s="258"/>
      <c r="Z24301" s="258"/>
    </row>
    <row r="24302" spans="1:26" ht="12.75" customHeight="1" x14ac:dyDescent="0.2">
      <c r="A24302" s="258"/>
      <c r="Z24302" s="258"/>
    </row>
    <row r="24303" spans="1:26" ht="12.75" customHeight="1" x14ac:dyDescent="0.2">
      <c r="A24303" s="258"/>
      <c r="Z24303" s="258"/>
    </row>
    <row r="24304" spans="1:26" ht="12.75" customHeight="1" x14ac:dyDescent="0.2">
      <c r="A24304" s="258"/>
      <c r="Z24304" s="258"/>
    </row>
    <row r="24305" spans="1:26" ht="12.75" customHeight="1" x14ac:dyDescent="0.2">
      <c r="A24305" s="258"/>
      <c r="Z24305" s="258"/>
    </row>
    <row r="24306" spans="1:26" ht="12.75" customHeight="1" x14ac:dyDescent="0.2">
      <c r="A24306" s="258"/>
      <c r="Z24306" s="258"/>
    </row>
    <row r="24307" spans="1:26" ht="12.75" customHeight="1" x14ac:dyDescent="0.2">
      <c r="A24307" s="258"/>
      <c r="Z24307" s="258"/>
    </row>
    <row r="24308" spans="1:26" ht="12.75" customHeight="1" x14ac:dyDescent="0.2">
      <c r="A24308" s="258"/>
      <c r="Z24308" s="258"/>
    </row>
    <row r="24309" spans="1:26" ht="12.75" customHeight="1" x14ac:dyDescent="0.2">
      <c r="A24309" s="258"/>
      <c r="Z24309" s="258"/>
    </row>
    <row r="24310" spans="1:26" ht="12.75" customHeight="1" x14ac:dyDescent="0.2">
      <c r="A24310" s="258"/>
      <c r="Z24310" s="258"/>
    </row>
    <row r="24311" spans="1:26" ht="12.75" customHeight="1" x14ac:dyDescent="0.2">
      <c r="A24311" s="258"/>
      <c r="Z24311" s="258"/>
    </row>
    <row r="24312" spans="1:26" ht="12.75" customHeight="1" x14ac:dyDescent="0.2">
      <c r="A24312" s="258"/>
      <c r="Z24312" s="258"/>
    </row>
    <row r="24313" spans="1:26" ht="12.75" customHeight="1" x14ac:dyDescent="0.2">
      <c r="A24313" s="258"/>
      <c r="Z24313" s="258"/>
    </row>
    <row r="24314" spans="1:26" ht="12.75" customHeight="1" x14ac:dyDescent="0.2">
      <c r="A24314" s="258"/>
      <c r="Z24314" s="258"/>
    </row>
    <row r="24315" spans="1:26" ht="12.75" customHeight="1" x14ac:dyDescent="0.2">
      <c r="A24315" s="258"/>
      <c r="Z24315" s="258"/>
    </row>
    <row r="24316" spans="1:26" ht="12.75" customHeight="1" x14ac:dyDescent="0.2">
      <c r="A24316" s="258"/>
      <c r="Z24316" s="258"/>
    </row>
    <row r="24317" spans="1:26" ht="12.75" customHeight="1" x14ac:dyDescent="0.2">
      <c r="A24317" s="258"/>
      <c r="Z24317" s="258"/>
    </row>
    <row r="24318" spans="1:26" ht="12.75" customHeight="1" x14ac:dyDescent="0.2">
      <c r="A24318" s="258"/>
      <c r="Z24318" s="258"/>
    </row>
    <row r="24319" spans="1:26" ht="12.75" customHeight="1" x14ac:dyDescent="0.2">
      <c r="A24319" s="258"/>
      <c r="Z24319" s="258"/>
    </row>
    <row r="24320" spans="1:26" ht="12.75" customHeight="1" x14ac:dyDescent="0.2">
      <c r="A24320" s="258"/>
      <c r="Z24320" s="258"/>
    </row>
    <row r="24321" spans="1:26" ht="12.75" customHeight="1" x14ac:dyDescent="0.2">
      <c r="A24321" s="258"/>
      <c r="Z24321" s="258"/>
    </row>
    <row r="24322" spans="1:26" ht="12.75" customHeight="1" x14ac:dyDescent="0.2">
      <c r="A24322" s="258"/>
      <c r="Z24322" s="258"/>
    </row>
    <row r="24323" spans="1:26" ht="12.75" customHeight="1" x14ac:dyDescent="0.2">
      <c r="A24323" s="258"/>
      <c r="Z24323" s="258"/>
    </row>
    <row r="24324" spans="1:26" ht="12.75" customHeight="1" x14ac:dyDescent="0.2">
      <c r="A24324" s="258"/>
      <c r="Z24324" s="258"/>
    </row>
    <row r="24325" spans="1:26" ht="12.75" customHeight="1" x14ac:dyDescent="0.2">
      <c r="A24325" s="258"/>
      <c r="Z24325" s="258"/>
    </row>
    <row r="24326" spans="1:26" ht="12.75" customHeight="1" x14ac:dyDescent="0.2">
      <c r="A24326" s="258"/>
      <c r="Z24326" s="258"/>
    </row>
    <row r="24327" spans="1:26" ht="12.75" customHeight="1" x14ac:dyDescent="0.2">
      <c r="A24327" s="258"/>
      <c r="Z24327" s="258"/>
    </row>
    <row r="24328" spans="1:26" ht="12.75" customHeight="1" x14ac:dyDescent="0.2">
      <c r="A24328" s="258"/>
      <c r="Z24328" s="258"/>
    </row>
    <row r="24329" spans="1:26" ht="12.75" customHeight="1" x14ac:dyDescent="0.2">
      <c r="A24329" s="258"/>
      <c r="Z24329" s="258"/>
    </row>
    <row r="24330" spans="1:26" ht="12.75" customHeight="1" x14ac:dyDescent="0.2">
      <c r="A24330" s="258"/>
      <c r="Z24330" s="258"/>
    </row>
    <row r="24331" spans="1:26" ht="12.75" customHeight="1" x14ac:dyDescent="0.2">
      <c r="A24331" s="258"/>
      <c r="Z24331" s="258"/>
    </row>
    <row r="24332" spans="1:26" ht="12.75" customHeight="1" x14ac:dyDescent="0.2">
      <c r="A24332" s="258"/>
      <c r="Z24332" s="258"/>
    </row>
    <row r="24333" spans="1:26" ht="12.75" customHeight="1" x14ac:dyDescent="0.2">
      <c r="A24333" s="258"/>
      <c r="Z24333" s="258"/>
    </row>
    <row r="24334" spans="1:26" ht="12.75" customHeight="1" x14ac:dyDescent="0.2">
      <c r="A24334" s="258"/>
      <c r="Z24334" s="258"/>
    </row>
    <row r="24335" spans="1:26" ht="12.75" customHeight="1" x14ac:dyDescent="0.2">
      <c r="A24335" s="258"/>
      <c r="Z24335" s="258"/>
    </row>
    <row r="24336" spans="1:26" ht="12.75" customHeight="1" x14ac:dyDescent="0.2">
      <c r="A24336" s="258"/>
      <c r="Z24336" s="258"/>
    </row>
    <row r="24337" spans="1:26" ht="12.75" customHeight="1" x14ac:dyDescent="0.2">
      <c r="A24337" s="258"/>
      <c r="Z24337" s="258"/>
    </row>
    <row r="24338" spans="1:26" ht="12.75" customHeight="1" x14ac:dyDescent="0.2">
      <c r="A24338" s="258"/>
      <c r="Z24338" s="258"/>
    </row>
    <row r="24339" spans="1:26" ht="12.75" customHeight="1" x14ac:dyDescent="0.2">
      <c r="A24339" s="258"/>
      <c r="Z24339" s="258"/>
    </row>
    <row r="24340" spans="1:26" ht="12.75" customHeight="1" x14ac:dyDescent="0.2">
      <c r="A24340" s="258"/>
      <c r="Z24340" s="258"/>
    </row>
    <row r="24341" spans="1:26" ht="12.75" customHeight="1" x14ac:dyDescent="0.2">
      <c r="A24341" s="258"/>
      <c r="Z24341" s="258"/>
    </row>
    <row r="24342" spans="1:26" ht="12.75" customHeight="1" x14ac:dyDescent="0.2">
      <c r="A24342" s="258"/>
      <c r="Z24342" s="258"/>
    </row>
    <row r="24343" spans="1:26" ht="12.75" customHeight="1" x14ac:dyDescent="0.2">
      <c r="A24343" s="258"/>
      <c r="Z24343" s="258"/>
    </row>
    <row r="24344" spans="1:26" ht="12.75" customHeight="1" x14ac:dyDescent="0.2">
      <c r="A24344" s="258"/>
      <c r="Z24344" s="258"/>
    </row>
    <row r="24345" spans="1:26" ht="12.75" customHeight="1" x14ac:dyDescent="0.2">
      <c r="A24345" s="258"/>
      <c r="Z24345" s="258"/>
    </row>
    <row r="24346" spans="1:26" ht="12.75" customHeight="1" x14ac:dyDescent="0.2">
      <c r="A24346" s="258"/>
      <c r="Z24346" s="258"/>
    </row>
    <row r="24347" spans="1:26" ht="12.75" customHeight="1" x14ac:dyDescent="0.2">
      <c r="A24347" s="258"/>
      <c r="Z24347" s="258"/>
    </row>
    <row r="24348" spans="1:26" ht="12.75" customHeight="1" x14ac:dyDescent="0.2">
      <c r="A24348" s="258"/>
      <c r="Z24348" s="258"/>
    </row>
    <row r="24349" spans="1:26" ht="12.75" customHeight="1" x14ac:dyDescent="0.2">
      <c r="A24349" s="258"/>
      <c r="Z24349" s="258"/>
    </row>
    <row r="24350" spans="1:26" ht="12.75" customHeight="1" x14ac:dyDescent="0.2">
      <c r="A24350" s="258"/>
      <c r="Z24350" s="258"/>
    </row>
    <row r="24351" spans="1:26" ht="12.75" customHeight="1" x14ac:dyDescent="0.2">
      <c r="A24351" s="258"/>
      <c r="Z24351" s="258"/>
    </row>
    <row r="24352" spans="1:26" ht="12.75" customHeight="1" x14ac:dyDescent="0.2">
      <c r="A24352" s="258"/>
      <c r="Z24352" s="258"/>
    </row>
    <row r="24353" spans="1:26" ht="12.75" customHeight="1" x14ac:dyDescent="0.2">
      <c r="A24353" s="258"/>
      <c r="Z24353" s="258"/>
    </row>
    <row r="24354" spans="1:26" ht="12.75" customHeight="1" x14ac:dyDescent="0.2">
      <c r="A24354" s="258"/>
      <c r="Z24354" s="258"/>
    </row>
    <row r="24355" spans="1:26" ht="12.75" customHeight="1" x14ac:dyDescent="0.2">
      <c r="A24355" s="258"/>
      <c r="Z24355" s="258"/>
    </row>
    <row r="24356" spans="1:26" ht="12.75" customHeight="1" x14ac:dyDescent="0.2">
      <c r="A24356" s="258"/>
      <c r="Z24356" s="258"/>
    </row>
    <row r="24357" spans="1:26" ht="12.75" customHeight="1" x14ac:dyDescent="0.2">
      <c r="A24357" s="258"/>
      <c r="Z24357" s="258"/>
    </row>
    <row r="24358" spans="1:26" ht="12.75" customHeight="1" x14ac:dyDescent="0.2">
      <c r="A24358" s="258"/>
      <c r="Z24358" s="258"/>
    </row>
    <row r="24359" spans="1:26" ht="12.75" customHeight="1" x14ac:dyDescent="0.2">
      <c r="A24359" s="258"/>
      <c r="Z24359" s="258"/>
    </row>
    <row r="24360" spans="1:26" ht="12.75" customHeight="1" x14ac:dyDescent="0.2">
      <c r="A24360" s="258"/>
      <c r="Z24360" s="258"/>
    </row>
    <row r="24361" spans="1:26" ht="12.75" customHeight="1" x14ac:dyDescent="0.2">
      <c r="A24361" s="258"/>
      <c r="Z24361" s="258"/>
    </row>
    <row r="24362" spans="1:26" ht="12.75" customHeight="1" x14ac:dyDescent="0.2">
      <c r="A24362" s="258"/>
      <c r="Z24362" s="258"/>
    </row>
    <row r="24363" spans="1:26" ht="12.75" customHeight="1" x14ac:dyDescent="0.2">
      <c r="A24363" s="258"/>
      <c r="Z24363" s="258"/>
    </row>
    <row r="24364" spans="1:26" ht="12.75" customHeight="1" x14ac:dyDescent="0.2">
      <c r="A24364" s="258"/>
      <c r="Z24364" s="258"/>
    </row>
    <row r="24365" spans="1:26" ht="12.75" customHeight="1" x14ac:dyDescent="0.2">
      <c r="A24365" s="258"/>
      <c r="Z24365" s="258"/>
    </row>
    <row r="24366" spans="1:26" ht="12.75" customHeight="1" x14ac:dyDescent="0.2">
      <c r="A24366" s="258"/>
      <c r="Z24366" s="258"/>
    </row>
    <row r="24367" spans="1:26" ht="12.75" customHeight="1" x14ac:dyDescent="0.2">
      <c r="A24367" s="258"/>
      <c r="Z24367" s="258"/>
    </row>
    <row r="24368" spans="1:26" ht="12.75" customHeight="1" x14ac:dyDescent="0.2">
      <c r="A24368" s="258"/>
      <c r="Z24368" s="258"/>
    </row>
    <row r="24369" spans="1:26" ht="12.75" customHeight="1" x14ac:dyDescent="0.2">
      <c r="A24369" s="258"/>
      <c r="Z24369" s="258"/>
    </row>
    <row r="24370" spans="1:26" ht="12.75" customHeight="1" x14ac:dyDescent="0.2">
      <c r="A24370" s="258"/>
      <c r="Z24370" s="258"/>
    </row>
    <row r="24371" spans="1:26" ht="12.75" customHeight="1" x14ac:dyDescent="0.2">
      <c r="A24371" s="258"/>
      <c r="Z24371" s="258"/>
    </row>
    <row r="24372" spans="1:26" ht="12.75" customHeight="1" x14ac:dyDescent="0.2">
      <c r="A24372" s="258"/>
      <c r="Z24372" s="258"/>
    </row>
    <row r="24373" spans="1:26" ht="12.75" customHeight="1" x14ac:dyDescent="0.2">
      <c r="A24373" s="258"/>
      <c r="Z24373" s="258"/>
    </row>
    <row r="24374" spans="1:26" ht="12.75" customHeight="1" x14ac:dyDescent="0.2">
      <c r="A24374" s="258"/>
      <c r="Z24374" s="258"/>
    </row>
    <row r="24375" spans="1:26" ht="12.75" customHeight="1" x14ac:dyDescent="0.2">
      <c r="A24375" s="258"/>
      <c r="Z24375" s="258"/>
    </row>
    <row r="24376" spans="1:26" ht="12.75" customHeight="1" x14ac:dyDescent="0.2">
      <c r="A24376" s="258"/>
      <c r="Z24376" s="258"/>
    </row>
    <row r="24377" spans="1:26" ht="12.75" customHeight="1" x14ac:dyDescent="0.2">
      <c r="A24377" s="258"/>
      <c r="Z24377" s="258"/>
    </row>
    <row r="24378" spans="1:26" ht="12.75" customHeight="1" x14ac:dyDescent="0.2">
      <c r="A24378" s="258"/>
      <c r="Z24378" s="258"/>
    </row>
    <row r="24379" spans="1:26" ht="12.75" customHeight="1" x14ac:dyDescent="0.2">
      <c r="A24379" s="258"/>
      <c r="Z24379" s="258"/>
    </row>
    <row r="24380" spans="1:26" ht="12.75" customHeight="1" x14ac:dyDescent="0.2">
      <c r="A24380" s="258"/>
      <c r="Z24380" s="258"/>
    </row>
    <row r="24381" spans="1:26" ht="12.75" customHeight="1" x14ac:dyDescent="0.2">
      <c r="A24381" s="258"/>
      <c r="Z24381" s="258"/>
    </row>
    <row r="24382" spans="1:26" ht="12.75" customHeight="1" x14ac:dyDescent="0.2">
      <c r="A24382" s="258"/>
      <c r="Z24382" s="258"/>
    </row>
    <row r="24383" spans="1:26" ht="12.75" customHeight="1" x14ac:dyDescent="0.2">
      <c r="A24383" s="258"/>
      <c r="Z24383" s="258"/>
    </row>
    <row r="24384" spans="1:26" ht="12.75" customHeight="1" x14ac:dyDescent="0.2">
      <c r="A24384" s="258"/>
      <c r="Z24384" s="258"/>
    </row>
    <row r="24385" spans="1:26" ht="12.75" customHeight="1" x14ac:dyDescent="0.2">
      <c r="A24385" s="258"/>
      <c r="Z24385" s="258"/>
    </row>
    <row r="24386" spans="1:26" ht="12.75" customHeight="1" x14ac:dyDescent="0.2">
      <c r="A24386" s="258"/>
      <c r="Z24386" s="258"/>
    </row>
    <row r="24387" spans="1:26" ht="12.75" customHeight="1" x14ac:dyDescent="0.2">
      <c r="A24387" s="258"/>
      <c r="Z24387" s="258"/>
    </row>
    <row r="24388" spans="1:26" ht="12.75" customHeight="1" x14ac:dyDescent="0.2">
      <c r="A24388" s="258"/>
      <c r="Z24388" s="258"/>
    </row>
    <row r="24389" spans="1:26" ht="12.75" customHeight="1" x14ac:dyDescent="0.2">
      <c r="A24389" s="258"/>
      <c r="Z24389" s="258"/>
    </row>
    <row r="24390" spans="1:26" ht="12.75" customHeight="1" x14ac:dyDescent="0.2">
      <c r="A24390" s="258"/>
      <c r="Z24390" s="258"/>
    </row>
    <row r="24391" spans="1:26" ht="12.75" customHeight="1" x14ac:dyDescent="0.2">
      <c r="A24391" s="258"/>
      <c r="Z24391" s="258"/>
    </row>
    <row r="24392" spans="1:26" ht="12.75" customHeight="1" x14ac:dyDescent="0.2">
      <c r="A24392" s="258"/>
      <c r="Z24392" s="258"/>
    </row>
    <row r="24393" spans="1:26" ht="12.75" customHeight="1" x14ac:dyDescent="0.2">
      <c r="A24393" s="258"/>
      <c r="Z24393" s="258"/>
    </row>
    <row r="24394" spans="1:26" ht="12.75" customHeight="1" x14ac:dyDescent="0.2">
      <c r="A24394" s="258"/>
      <c r="Z24394" s="258"/>
    </row>
    <row r="24395" spans="1:26" ht="12.75" customHeight="1" x14ac:dyDescent="0.2">
      <c r="A24395" s="258"/>
      <c r="Z24395" s="258"/>
    </row>
    <row r="24396" spans="1:26" ht="12.75" customHeight="1" x14ac:dyDescent="0.2">
      <c r="A24396" s="258"/>
      <c r="Z24396" s="258"/>
    </row>
    <row r="24397" spans="1:26" ht="12.75" customHeight="1" x14ac:dyDescent="0.2">
      <c r="A24397" s="258"/>
      <c r="Z24397" s="258"/>
    </row>
    <row r="24398" spans="1:26" ht="12.75" customHeight="1" x14ac:dyDescent="0.2">
      <c r="A24398" s="258"/>
      <c r="Z24398" s="258"/>
    </row>
    <row r="24399" spans="1:26" ht="12.75" customHeight="1" x14ac:dyDescent="0.2">
      <c r="A24399" s="258"/>
      <c r="Z24399" s="258"/>
    </row>
    <row r="24400" spans="1:26" ht="12.75" customHeight="1" x14ac:dyDescent="0.2">
      <c r="A24400" s="258"/>
      <c r="Z24400" s="258"/>
    </row>
    <row r="24401" spans="1:26" ht="12.75" customHeight="1" x14ac:dyDescent="0.2">
      <c r="A24401" s="258"/>
      <c r="Z24401" s="258"/>
    </row>
    <row r="24402" spans="1:26" ht="12.75" customHeight="1" x14ac:dyDescent="0.2">
      <c r="A24402" s="258"/>
      <c r="Z24402" s="258"/>
    </row>
    <row r="24403" spans="1:26" ht="12.75" customHeight="1" x14ac:dyDescent="0.2">
      <c r="A24403" s="258"/>
      <c r="Z24403" s="258"/>
    </row>
    <row r="24404" spans="1:26" ht="12.75" customHeight="1" x14ac:dyDescent="0.2">
      <c r="A24404" s="258"/>
      <c r="Z24404" s="258"/>
    </row>
    <row r="24405" spans="1:26" ht="12.75" customHeight="1" x14ac:dyDescent="0.2">
      <c r="A24405" s="258"/>
      <c r="Z24405" s="258"/>
    </row>
    <row r="24406" spans="1:26" ht="12.75" customHeight="1" x14ac:dyDescent="0.2">
      <c r="A24406" s="258"/>
      <c r="Z24406" s="258"/>
    </row>
    <row r="24407" spans="1:26" ht="12.75" customHeight="1" x14ac:dyDescent="0.2">
      <c r="A24407" s="258"/>
      <c r="Z24407" s="258"/>
    </row>
    <row r="24408" spans="1:26" ht="12.75" customHeight="1" x14ac:dyDescent="0.2">
      <c r="A24408" s="258"/>
      <c r="Z24408" s="258"/>
    </row>
    <row r="24409" spans="1:26" ht="12.75" customHeight="1" x14ac:dyDescent="0.2">
      <c r="A24409" s="258"/>
      <c r="Z24409" s="258"/>
    </row>
    <row r="24410" spans="1:26" ht="12.75" customHeight="1" x14ac:dyDescent="0.2">
      <c r="A24410" s="258"/>
      <c r="Z24410" s="258"/>
    </row>
    <row r="24411" spans="1:26" ht="12.75" customHeight="1" x14ac:dyDescent="0.2">
      <c r="A24411" s="258"/>
      <c r="Z24411" s="258"/>
    </row>
    <row r="24412" spans="1:26" ht="12.75" customHeight="1" x14ac:dyDescent="0.2">
      <c r="A24412" s="258"/>
      <c r="Z24412" s="258"/>
    </row>
    <row r="24413" spans="1:26" ht="12.75" customHeight="1" x14ac:dyDescent="0.2">
      <c r="A24413" s="258"/>
      <c r="Z24413" s="258"/>
    </row>
    <row r="24414" spans="1:26" ht="12.75" customHeight="1" x14ac:dyDescent="0.2">
      <c r="A24414" s="258"/>
      <c r="Z24414" s="258"/>
    </row>
    <row r="24415" spans="1:26" ht="12.75" customHeight="1" x14ac:dyDescent="0.2">
      <c r="A24415" s="258"/>
      <c r="Z24415" s="258"/>
    </row>
    <row r="24416" spans="1:26" ht="12.75" customHeight="1" x14ac:dyDescent="0.2">
      <c r="A24416" s="258"/>
      <c r="Z24416" s="258"/>
    </row>
    <row r="24417" spans="1:26" ht="12.75" customHeight="1" x14ac:dyDescent="0.2">
      <c r="A24417" s="258"/>
      <c r="Z24417" s="258"/>
    </row>
    <row r="24418" spans="1:26" ht="12.75" customHeight="1" x14ac:dyDescent="0.2">
      <c r="A24418" s="258"/>
      <c r="Z24418" s="258"/>
    </row>
    <row r="24419" spans="1:26" ht="12.75" customHeight="1" x14ac:dyDescent="0.2">
      <c r="A24419" s="258"/>
      <c r="Z24419" s="258"/>
    </row>
    <row r="24420" spans="1:26" ht="12.75" customHeight="1" x14ac:dyDescent="0.2">
      <c r="A24420" s="258"/>
      <c r="Z24420" s="258"/>
    </row>
    <row r="24421" spans="1:26" ht="12.75" customHeight="1" x14ac:dyDescent="0.2">
      <c r="A24421" s="258"/>
      <c r="Z24421" s="258"/>
    </row>
    <row r="24422" spans="1:26" ht="12.75" customHeight="1" x14ac:dyDescent="0.2">
      <c r="A24422" s="258"/>
      <c r="Z24422" s="258"/>
    </row>
    <row r="24423" spans="1:26" ht="12.75" customHeight="1" x14ac:dyDescent="0.2">
      <c r="A24423" s="258"/>
      <c r="Z24423" s="258"/>
    </row>
    <row r="24424" spans="1:26" ht="12.75" customHeight="1" x14ac:dyDescent="0.2">
      <c r="A24424" s="258"/>
      <c r="Z24424" s="258"/>
    </row>
    <row r="24425" spans="1:26" ht="12.75" customHeight="1" x14ac:dyDescent="0.2">
      <c r="A24425" s="258"/>
      <c r="Z24425" s="258"/>
    </row>
    <row r="24426" spans="1:26" ht="12.75" customHeight="1" x14ac:dyDescent="0.2">
      <c r="A24426" s="258"/>
      <c r="Z24426" s="258"/>
    </row>
    <row r="24427" spans="1:26" ht="12.75" customHeight="1" x14ac:dyDescent="0.2">
      <c r="A24427" s="258"/>
      <c r="Z24427" s="258"/>
    </row>
    <row r="24428" spans="1:26" ht="12.75" customHeight="1" x14ac:dyDescent="0.2">
      <c r="A24428" s="258"/>
      <c r="Z24428" s="258"/>
    </row>
    <row r="24429" spans="1:26" ht="12.75" customHeight="1" x14ac:dyDescent="0.2">
      <c r="A24429" s="258"/>
      <c r="Z24429" s="258"/>
    </row>
    <row r="24430" spans="1:26" ht="12.75" customHeight="1" x14ac:dyDescent="0.2">
      <c r="A24430" s="258"/>
      <c r="Z24430" s="258"/>
    </row>
    <row r="24431" spans="1:26" ht="12.75" customHeight="1" x14ac:dyDescent="0.2">
      <c r="A24431" s="258"/>
      <c r="Z24431" s="258"/>
    </row>
    <row r="24432" spans="1:26" ht="12.75" customHeight="1" x14ac:dyDescent="0.2">
      <c r="A24432" s="258"/>
      <c r="Z24432" s="258"/>
    </row>
    <row r="24433" spans="1:26" ht="12.75" customHeight="1" x14ac:dyDescent="0.2">
      <c r="A24433" s="258"/>
      <c r="Z24433" s="258"/>
    </row>
    <row r="24434" spans="1:26" ht="12.75" customHeight="1" x14ac:dyDescent="0.2">
      <c r="A24434" s="258"/>
      <c r="Z24434" s="258"/>
    </row>
    <row r="24435" spans="1:26" ht="12.75" customHeight="1" x14ac:dyDescent="0.2">
      <c r="A24435" s="258"/>
      <c r="Z24435" s="258"/>
    </row>
    <row r="24436" spans="1:26" ht="12.75" customHeight="1" x14ac:dyDescent="0.2">
      <c r="A24436" s="258"/>
      <c r="Z24436" s="258"/>
    </row>
    <row r="24437" spans="1:26" ht="12.75" customHeight="1" x14ac:dyDescent="0.2">
      <c r="A24437" s="258"/>
      <c r="Z24437" s="258"/>
    </row>
    <row r="24438" spans="1:26" ht="12.75" customHeight="1" x14ac:dyDescent="0.2">
      <c r="A24438" s="258"/>
      <c r="Z24438" s="258"/>
    </row>
    <row r="24439" spans="1:26" ht="12.75" customHeight="1" x14ac:dyDescent="0.2">
      <c r="A24439" s="258"/>
      <c r="Z24439" s="258"/>
    </row>
    <row r="24440" spans="1:26" ht="12.75" customHeight="1" x14ac:dyDescent="0.2">
      <c r="A24440" s="258"/>
      <c r="Z24440" s="258"/>
    </row>
    <row r="24441" spans="1:26" ht="12.75" customHeight="1" x14ac:dyDescent="0.2">
      <c r="A24441" s="258"/>
      <c r="Z24441" s="258"/>
    </row>
    <row r="24442" spans="1:26" ht="12.75" customHeight="1" x14ac:dyDescent="0.2">
      <c r="A24442" s="258"/>
      <c r="Z24442" s="258"/>
    </row>
    <row r="24443" spans="1:26" ht="12.75" customHeight="1" x14ac:dyDescent="0.2">
      <c r="A24443" s="258"/>
      <c r="Z24443" s="258"/>
    </row>
    <row r="24444" spans="1:26" ht="12.75" customHeight="1" x14ac:dyDescent="0.2">
      <c r="A24444" s="258"/>
      <c r="Z24444" s="258"/>
    </row>
    <row r="24445" spans="1:26" ht="12.75" customHeight="1" x14ac:dyDescent="0.2">
      <c r="A24445" s="258"/>
      <c r="Z24445" s="258"/>
    </row>
    <row r="24446" spans="1:26" ht="12.75" customHeight="1" x14ac:dyDescent="0.2">
      <c r="A24446" s="258"/>
      <c r="Z24446" s="258"/>
    </row>
    <row r="24447" spans="1:26" ht="12.75" customHeight="1" x14ac:dyDescent="0.2">
      <c r="A24447" s="258"/>
      <c r="Z24447" s="258"/>
    </row>
    <row r="24448" spans="1:26" ht="12.75" customHeight="1" x14ac:dyDescent="0.2">
      <c r="A24448" s="258"/>
      <c r="Z24448" s="258"/>
    </row>
    <row r="24449" spans="1:26" ht="12.75" customHeight="1" x14ac:dyDescent="0.2">
      <c r="A24449" s="258"/>
      <c r="Z24449" s="258"/>
    </row>
    <row r="24450" spans="1:26" ht="12.75" customHeight="1" x14ac:dyDescent="0.2">
      <c r="A24450" s="258"/>
      <c r="Z24450" s="258"/>
    </row>
    <row r="24451" spans="1:26" ht="12.75" customHeight="1" x14ac:dyDescent="0.2">
      <c r="A24451" s="258"/>
      <c r="Z24451" s="258"/>
    </row>
    <row r="24452" spans="1:26" ht="12.75" customHeight="1" x14ac:dyDescent="0.2">
      <c r="A24452" s="258"/>
      <c r="Z24452" s="258"/>
    </row>
    <row r="24453" spans="1:26" ht="12.75" customHeight="1" x14ac:dyDescent="0.2">
      <c r="A24453" s="258"/>
      <c r="Z24453" s="258"/>
    </row>
    <row r="24454" spans="1:26" ht="12.75" customHeight="1" x14ac:dyDescent="0.2">
      <c r="A24454" s="258"/>
      <c r="Z24454" s="258"/>
    </row>
    <row r="24455" spans="1:26" ht="12.75" customHeight="1" x14ac:dyDescent="0.2">
      <c r="A24455" s="258"/>
      <c r="Z24455" s="258"/>
    </row>
    <row r="24456" spans="1:26" ht="12.75" customHeight="1" x14ac:dyDescent="0.2">
      <c r="A24456" s="258"/>
      <c r="Z24456" s="258"/>
    </row>
    <row r="24457" spans="1:26" ht="12.75" customHeight="1" x14ac:dyDescent="0.2">
      <c r="A24457" s="258"/>
      <c r="Z24457" s="258"/>
    </row>
    <row r="24458" spans="1:26" ht="12.75" customHeight="1" x14ac:dyDescent="0.2">
      <c r="A24458" s="258"/>
      <c r="Z24458" s="258"/>
    </row>
    <row r="24459" spans="1:26" ht="12.75" customHeight="1" x14ac:dyDescent="0.2">
      <c r="A24459" s="258"/>
      <c r="Z24459" s="258"/>
    </row>
    <row r="24460" spans="1:26" ht="12.75" customHeight="1" x14ac:dyDescent="0.2">
      <c r="A24460" s="258"/>
      <c r="Z24460" s="258"/>
    </row>
    <row r="24461" spans="1:26" ht="12.75" customHeight="1" x14ac:dyDescent="0.2">
      <c r="A24461" s="258"/>
      <c r="Z24461" s="258"/>
    </row>
    <row r="24462" spans="1:26" ht="12.75" customHeight="1" x14ac:dyDescent="0.2">
      <c r="A24462" s="258"/>
      <c r="Z24462" s="258"/>
    </row>
    <row r="24463" spans="1:26" ht="12.75" customHeight="1" x14ac:dyDescent="0.2">
      <c r="A24463" s="258"/>
      <c r="Z24463" s="258"/>
    </row>
    <row r="24464" spans="1:26" ht="12.75" customHeight="1" x14ac:dyDescent="0.2">
      <c r="A24464" s="258"/>
      <c r="Z24464" s="258"/>
    </row>
    <row r="24465" spans="1:26" ht="12.75" customHeight="1" x14ac:dyDescent="0.2">
      <c r="A24465" s="258"/>
      <c r="Z24465" s="258"/>
    </row>
    <row r="24466" spans="1:26" ht="12.75" customHeight="1" x14ac:dyDescent="0.2">
      <c r="A24466" s="258"/>
      <c r="Z24466" s="258"/>
    </row>
    <row r="24467" spans="1:26" ht="12.75" customHeight="1" x14ac:dyDescent="0.2">
      <c r="A24467" s="258"/>
      <c r="Z24467" s="258"/>
    </row>
    <row r="24468" spans="1:26" ht="12.75" customHeight="1" x14ac:dyDescent="0.2">
      <c r="A24468" s="258"/>
      <c r="Z24468" s="258"/>
    </row>
    <row r="24469" spans="1:26" ht="12.75" customHeight="1" x14ac:dyDescent="0.2">
      <c r="A24469" s="258"/>
      <c r="Z24469" s="258"/>
    </row>
    <row r="24470" spans="1:26" ht="12.75" customHeight="1" x14ac:dyDescent="0.2">
      <c r="A24470" s="258"/>
      <c r="Z24470" s="258"/>
    </row>
    <row r="24471" spans="1:26" ht="12.75" customHeight="1" x14ac:dyDescent="0.2">
      <c r="A24471" s="258"/>
      <c r="Z24471" s="258"/>
    </row>
    <row r="24472" spans="1:26" ht="12.75" customHeight="1" x14ac:dyDescent="0.2">
      <c r="A24472" s="258"/>
      <c r="Z24472" s="258"/>
    </row>
    <row r="24473" spans="1:26" ht="12.75" customHeight="1" x14ac:dyDescent="0.2">
      <c r="A24473" s="258"/>
      <c r="Z24473" s="258"/>
    </row>
    <row r="24474" spans="1:26" ht="12.75" customHeight="1" x14ac:dyDescent="0.2">
      <c r="A24474" s="258"/>
      <c r="Z24474" s="258"/>
    </row>
    <row r="24475" spans="1:26" ht="12.75" customHeight="1" x14ac:dyDescent="0.2">
      <c r="A24475" s="258"/>
      <c r="Z24475" s="258"/>
    </row>
    <row r="24476" spans="1:26" ht="12.75" customHeight="1" x14ac:dyDescent="0.2">
      <c r="A24476" s="258"/>
      <c r="Z24476" s="258"/>
    </row>
    <row r="24477" spans="1:26" ht="12.75" customHeight="1" x14ac:dyDescent="0.2">
      <c r="A24477" s="258"/>
      <c r="Z24477" s="258"/>
    </row>
    <row r="24478" spans="1:26" ht="12.75" customHeight="1" x14ac:dyDescent="0.2">
      <c r="A24478" s="258"/>
      <c r="Z24478" s="258"/>
    </row>
    <row r="24479" spans="1:26" ht="12.75" customHeight="1" x14ac:dyDescent="0.2">
      <c r="A24479" s="258"/>
      <c r="Z24479" s="258"/>
    </row>
    <row r="24480" spans="1:26" ht="12.75" customHeight="1" x14ac:dyDescent="0.2">
      <c r="A24480" s="258"/>
      <c r="Z24480" s="258"/>
    </row>
    <row r="24481" spans="1:26" ht="12.75" customHeight="1" x14ac:dyDescent="0.2">
      <c r="A24481" s="258"/>
      <c r="Z24481" s="258"/>
    </row>
    <row r="24482" spans="1:26" ht="12.75" customHeight="1" x14ac:dyDescent="0.2">
      <c r="A24482" s="258"/>
      <c r="Z24482" s="258"/>
    </row>
    <row r="24483" spans="1:26" ht="12.75" customHeight="1" x14ac:dyDescent="0.2">
      <c r="A24483" s="258"/>
      <c r="Z24483" s="258"/>
    </row>
    <row r="24484" spans="1:26" ht="12.75" customHeight="1" x14ac:dyDescent="0.2">
      <c r="A24484" s="258"/>
      <c r="Z24484" s="258"/>
    </row>
    <row r="24485" spans="1:26" ht="12.75" customHeight="1" x14ac:dyDescent="0.2">
      <c r="A24485" s="258"/>
      <c r="Z24485" s="258"/>
    </row>
    <row r="24486" spans="1:26" ht="12.75" customHeight="1" x14ac:dyDescent="0.2">
      <c r="A24486" s="258"/>
      <c r="Z24486" s="258"/>
    </row>
    <row r="24487" spans="1:26" ht="12.75" customHeight="1" x14ac:dyDescent="0.2">
      <c r="A24487" s="258"/>
      <c r="Z24487" s="258"/>
    </row>
    <row r="24488" spans="1:26" ht="12.75" customHeight="1" x14ac:dyDescent="0.2">
      <c r="A24488" s="258"/>
      <c r="Z24488" s="258"/>
    </row>
    <row r="24489" spans="1:26" ht="12.75" customHeight="1" x14ac:dyDescent="0.2">
      <c r="A24489" s="258"/>
      <c r="Z24489" s="258"/>
    </row>
    <row r="24490" spans="1:26" ht="12.75" customHeight="1" x14ac:dyDescent="0.2">
      <c r="A24490" s="258"/>
      <c r="Z24490" s="258"/>
    </row>
    <row r="24491" spans="1:26" ht="12.75" customHeight="1" x14ac:dyDescent="0.2">
      <c r="A24491" s="258"/>
      <c r="Z24491" s="258"/>
    </row>
    <row r="24492" spans="1:26" ht="12.75" customHeight="1" x14ac:dyDescent="0.2">
      <c r="A24492" s="258"/>
      <c r="Z24492" s="258"/>
    </row>
    <row r="24493" spans="1:26" ht="12.75" customHeight="1" x14ac:dyDescent="0.2">
      <c r="A24493" s="258"/>
      <c r="Z24493" s="258"/>
    </row>
    <row r="24494" spans="1:26" ht="12.75" customHeight="1" x14ac:dyDescent="0.2">
      <c r="A24494" s="258"/>
      <c r="Z24494" s="258"/>
    </row>
    <row r="24495" spans="1:26" ht="12.75" customHeight="1" x14ac:dyDescent="0.2">
      <c r="A24495" s="258"/>
      <c r="Z24495" s="258"/>
    </row>
    <row r="24496" spans="1:26" ht="12.75" customHeight="1" x14ac:dyDescent="0.2">
      <c r="A24496" s="258"/>
      <c r="Z24496" s="258"/>
    </row>
    <row r="24497" spans="1:26" ht="12.75" customHeight="1" x14ac:dyDescent="0.2">
      <c r="A24497" s="258"/>
      <c r="Z24497" s="258"/>
    </row>
    <row r="24498" spans="1:26" ht="12.75" customHeight="1" x14ac:dyDescent="0.2">
      <c r="A24498" s="258"/>
      <c r="Z24498" s="258"/>
    </row>
    <row r="24499" spans="1:26" ht="12.75" customHeight="1" x14ac:dyDescent="0.2">
      <c r="A24499" s="258"/>
      <c r="Z24499" s="258"/>
    </row>
    <row r="24500" spans="1:26" ht="12.75" customHeight="1" x14ac:dyDescent="0.2">
      <c r="A24500" s="258"/>
      <c r="Z24500" s="258"/>
    </row>
    <row r="24501" spans="1:26" ht="12.75" customHeight="1" x14ac:dyDescent="0.2">
      <c r="A24501" s="258"/>
      <c r="Z24501" s="258"/>
    </row>
    <row r="24502" spans="1:26" ht="12.75" customHeight="1" x14ac:dyDescent="0.2">
      <c r="A24502" s="258"/>
      <c r="Z24502" s="258"/>
    </row>
    <row r="24503" spans="1:26" ht="12.75" customHeight="1" x14ac:dyDescent="0.2">
      <c r="A24503" s="258"/>
      <c r="Z24503" s="258"/>
    </row>
    <row r="24504" spans="1:26" ht="12.75" customHeight="1" x14ac:dyDescent="0.2">
      <c r="A24504" s="258"/>
      <c r="Z24504" s="258"/>
    </row>
    <row r="24505" spans="1:26" ht="12.75" customHeight="1" x14ac:dyDescent="0.2">
      <c r="A24505" s="258"/>
      <c r="Z24505" s="258"/>
    </row>
    <row r="24506" spans="1:26" ht="12.75" customHeight="1" x14ac:dyDescent="0.2">
      <c r="A24506" s="258"/>
      <c r="Z24506" s="258"/>
    </row>
    <row r="24507" spans="1:26" ht="12.75" customHeight="1" x14ac:dyDescent="0.2">
      <c r="A24507" s="258"/>
      <c r="Z24507" s="258"/>
    </row>
    <row r="24508" spans="1:26" ht="12.75" customHeight="1" x14ac:dyDescent="0.2">
      <c r="A24508" s="258"/>
      <c r="Z24508" s="258"/>
    </row>
    <row r="24509" spans="1:26" ht="12.75" customHeight="1" x14ac:dyDescent="0.2">
      <c r="A24509" s="258"/>
      <c r="Z24509" s="258"/>
    </row>
    <row r="24510" spans="1:26" ht="12.75" customHeight="1" x14ac:dyDescent="0.2">
      <c r="A24510" s="258"/>
      <c r="Z24510" s="258"/>
    </row>
    <row r="24511" spans="1:26" ht="12.75" customHeight="1" x14ac:dyDescent="0.2">
      <c r="A24511" s="258"/>
      <c r="Z24511" s="258"/>
    </row>
    <row r="24512" spans="1:26" ht="12.75" customHeight="1" x14ac:dyDescent="0.2">
      <c r="A24512" s="258"/>
      <c r="Z24512" s="258"/>
    </row>
    <row r="24513" spans="1:26" ht="12.75" customHeight="1" x14ac:dyDescent="0.2">
      <c r="A24513" s="258"/>
      <c r="Z24513" s="258"/>
    </row>
    <row r="24514" spans="1:26" ht="12.75" customHeight="1" x14ac:dyDescent="0.2">
      <c r="A24514" s="258"/>
      <c r="Z24514" s="258"/>
    </row>
    <row r="24515" spans="1:26" ht="12.75" customHeight="1" x14ac:dyDescent="0.2">
      <c r="A24515" s="258"/>
      <c r="Z24515" s="258"/>
    </row>
    <row r="24516" spans="1:26" ht="12.75" customHeight="1" x14ac:dyDescent="0.2">
      <c r="A24516" s="258"/>
      <c r="Z24516" s="258"/>
    </row>
    <row r="24517" spans="1:26" ht="12.75" customHeight="1" x14ac:dyDescent="0.2">
      <c r="A24517" s="258"/>
      <c r="Z24517" s="258"/>
    </row>
    <row r="24518" spans="1:26" ht="12.75" customHeight="1" x14ac:dyDescent="0.2">
      <c r="A24518" s="258"/>
      <c r="Z24518" s="258"/>
    </row>
    <row r="24519" spans="1:26" ht="12.75" customHeight="1" x14ac:dyDescent="0.2">
      <c r="A24519" s="258"/>
      <c r="Z24519" s="258"/>
    </row>
    <row r="24520" spans="1:26" ht="12.75" customHeight="1" x14ac:dyDescent="0.2">
      <c r="A24520" s="258"/>
      <c r="Z24520" s="258"/>
    </row>
    <row r="24521" spans="1:26" ht="12.75" customHeight="1" x14ac:dyDescent="0.2">
      <c r="A24521" s="258"/>
      <c r="Z24521" s="258"/>
    </row>
    <row r="24522" spans="1:26" ht="12.75" customHeight="1" x14ac:dyDescent="0.2">
      <c r="A24522" s="258"/>
      <c r="Z24522" s="258"/>
    </row>
    <row r="24523" spans="1:26" ht="12.75" customHeight="1" x14ac:dyDescent="0.2">
      <c r="A24523" s="258"/>
      <c r="Z24523" s="258"/>
    </row>
    <row r="24524" spans="1:26" ht="12.75" customHeight="1" x14ac:dyDescent="0.2">
      <c r="A24524" s="258"/>
      <c r="Z24524" s="258"/>
    </row>
    <row r="24525" spans="1:26" ht="12.75" customHeight="1" x14ac:dyDescent="0.2">
      <c r="A24525" s="258"/>
      <c r="Z24525" s="258"/>
    </row>
    <row r="24526" spans="1:26" ht="12.75" customHeight="1" x14ac:dyDescent="0.2">
      <c r="A24526" s="258"/>
      <c r="Z24526" s="258"/>
    </row>
    <row r="24527" spans="1:26" ht="12.75" customHeight="1" x14ac:dyDescent="0.2">
      <c r="A24527" s="258"/>
      <c r="Z24527" s="258"/>
    </row>
    <row r="24528" spans="1:26" ht="12.75" customHeight="1" x14ac:dyDescent="0.2">
      <c r="A24528" s="258"/>
      <c r="Z24528" s="258"/>
    </row>
    <row r="24529" spans="1:26" ht="12.75" customHeight="1" x14ac:dyDescent="0.2">
      <c r="A24529" s="258"/>
      <c r="Z24529" s="258"/>
    </row>
    <row r="24530" spans="1:26" ht="12.75" customHeight="1" x14ac:dyDescent="0.2">
      <c r="A24530" s="258"/>
      <c r="Z24530" s="258"/>
    </row>
    <row r="24531" spans="1:26" ht="12.75" customHeight="1" x14ac:dyDescent="0.2">
      <c r="A24531" s="258"/>
      <c r="Z24531" s="258"/>
    </row>
    <row r="24532" spans="1:26" ht="12.75" customHeight="1" x14ac:dyDescent="0.2">
      <c r="A24532" s="258"/>
      <c r="Z24532" s="258"/>
    </row>
    <row r="24533" spans="1:26" ht="12.75" customHeight="1" x14ac:dyDescent="0.2">
      <c r="A24533" s="258"/>
      <c r="Z24533" s="258"/>
    </row>
    <row r="24534" spans="1:26" ht="12.75" customHeight="1" x14ac:dyDescent="0.2">
      <c r="A24534" s="258"/>
      <c r="Z24534" s="258"/>
    </row>
    <row r="24535" spans="1:26" ht="12.75" customHeight="1" x14ac:dyDescent="0.2">
      <c r="A24535" s="258"/>
      <c r="Z24535" s="258"/>
    </row>
    <row r="24536" spans="1:26" ht="12.75" customHeight="1" x14ac:dyDescent="0.2">
      <c r="A24536" s="258"/>
      <c r="Z24536" s="258"/>
    </row>
    <row r="24537" spans="1:26" ht="12.75" customHeight="1" x14ac:dyDescent="0.2">
      <c r="A24537" s="258"/>
      <c r="Z24537" s="258"/>
    </row>
    <row r="24538" spans="1:26" ht="12.75" customHeight="1" x14ac:dyDescent="0.2">
      <c r="A24538" s="258"/>
      <c r="Z24538" s="258"/>
    </row>
    <row r="24539" spans="1:26" ht="12.75" customHeight="1" x14ac:dyDescent="0.2">
      <c r="A24539" s="258"/>
      <c r="Z24539" s="258"/>
    </row>
    <row r="24540" spans="1:26" ht="12.75" customHeight="1" x14ac:dyDescent="0.2">
      <c r="A24540" s="258"/>
      <c r="Z24540" s="258"/>
    </row>
    <row r="24541" spans="1:26" ht="12.75" customHeight="1" x14ac:dyDescent="0.2">
      <c r="A24541" s="258"/>
      <c r="Z24541" s="258"/>
    </row>
    <row r="24542" spans="1:26" ht="12.75" customHeight="1" x14ac:dyDescent="0.2">
      <c r="A24542" s="258"/>
      <c r="Z24542" s="258"/>
    </row>
    <row r="24543" spans="1:26" ht="12.75" customHeight="1" x14ac:dyDescent="0.2">
      <c r="A24543" s="258"/>
      <c r="Z24543" s="258"/>
    </row>
    <row r="24544" spans="1:26" ht="12.75" customHeight="1" x14ac:dyDescent="0.2">
      <c r="A24544" s="258"/>
      <c r="Z24544" s="258"/>
    </row>
    <row r="24545" spans="1:26" ht="12.75" customHeight="1" x14ac:dyDescent="0.2">
      <c r="A24545" s="258"/>
      <c r="Z24545" s="258"/>
    </row>
    <row r="24546" spans="1:26" ht="12.75" customHeight="1" x14ac:dyDescent="0.2">
      <c r="A24546" s="258"/>
      <c r="Z24546" s="258"/>
    </row>
    <row r="24547" spans="1:26" ht="12.75" customHeight="1" x14ac:dyDescent="0.2">
      <c r="A24547" s="258"/>
      <c r="Z24547" s="258"/>
    </row>
    <row r="24548" spans="1:26" ht="12.75" customHeight="1" x14ac:dyDescent="0.2">
      <c r="A24548" s="258"/>
      <c r="Z24548" s="258"/>
    </row>
    <row r="24549" spans="1:26" ht="12.75" customHeight="1" x14ac:dyDescent="0.2">
      <c r="A24549" s="258"/>
      <c r="Z24549" s="258"/>
    </row>
    <row r="24550" spans="1:26" ht="12.75" customHeight="1" x14ac:dyDescent="0.2">
      <c r="A24550" s="258"/>
      <c r="Z24550" s="258"/>
    </row>
    <row r="24551" spans="1:26" ht="12.75" customHeight="1" x14ac:dyDescent="0.2">
      <c r="A24551" s="258"/>
      <c r="Z24551" s="258"/>
    </row>
    <row r="24552" spans="1:26" ht="12.75" customHeight="1" x14ac:dyDescent="0.2">
      <c r="A24552" s="258"/>
      <c r="Z24552" s="258"/>
    </row>
    <row r="24553" spans="1:26" ht="12.75" customHeight="1" x14ac:dyDescent="0.2">
      <c r="A24553" s="258"/>
      <c r="Z24553" s="258"/>
    </row>
    <row r="24554" spans="1:26" ht="12.75" customHeight="1" x14ac:dyDescent="0.2">
      <c r="A24554" s="258"/>
      <c r="Z24554" s="258"/>
    </row>
    <row r="24555" spans="1:26" ht="12.75" customHeight="1" x14ac:dyDescent="0.2">
      <c r="A24555" s="258"/>
      <c r="Z24555" s="258"/>
    </row>
    <row r="24556" spans="1:26" ht="12.75" customHeight="1" x14ac:dyDescent="0.2">
      <c r="A24556" s="258"/>
      <c r="Z24556" s="258"/>
    </row>
    <row r="24557" spans="1:26" ht="12.75" customHeight="1" x14ac:dyDescent="0.2">
      <c r="A24557" s="258"/>
      <c r="Z24557" s="258"/>
    </row>
    <row r="24558" spans="1:26" ht="12.75" customHeight="1" x14ac:dyDescent="0.2">
      <c r="A24558" s="258"/>
      <c r="Z24558" s="258"/>
    </row>
    <row r="24559" spans="1:26" ht="12.75" customHeight="1" x14ac:dyDescent="0.2">
      <c r="A24559" s="258"/>
      <c r="Z24559" s="258"/>
    </row>
    <row r="24560" spans="1:26" ht="12.75" customHeight="1" x14ac:dyDescent="0.2">
      <c r="A24560" s="258"/>
      <c r="Z24560" s="258"/>
    </row>
    <row r="24561" spans="1:26" ht="12.75" customHeight="1" x14ac:dyDescent="0.2">
      <c r="A24561" s="258"/>
      <c r="Z24561" s="258"/>
    </row>
    <row r="24562" spans="1:26" ht="12.75" customHeight="1" x14ac:dyDescent="0.2">
      <c r="A24562" s="258"/>
      <c r="Z24562" s="258"/>
    </row>
    <row r="24563" spans="1:26" ht="12.75" customHeight="1" x14ac:dyDescent="0.2">
      <c r="A24563" s="258"/>
      <c r="Z24563" s="258"/>
    </row>
    <row r="24564" spans="1:26" ht="12.75" customHeight="1" x14ac:dyDescent="0.2">
      <c r="A24564" s="258"/>
      <c r="Z24564" s="258"/>
    </row>
    <row r="24565" spans="1:26" ht="12.75" customHeight="1" x14ac:dyDescent="0.2">
      <c r="A24565" s="258"/>
      <c r="Z24565" s="258"/>
    </row>
    <row r="24566" spans="1:26" ht="12.75" customHeight="1" x14ac:dyDescent="0.2">
      <c r="A24566" s="258"/>
      <c r="Z24566" s="258"/>
    </row>
    <row r="24567" spans="1:26" ht="12.75" customHeight="1" x14ac:dyDescent="0.2">
      <c r="A24567" s="258"/>
      <c r="Z24567" s="258"/>
    </row>
    <row r="24568" spans="1:26" ht="12.75" customHeight="1" x14ac:dyDescent="0.2">
      <c r="A24568" s="258"/>
      <c r="Z24568" s="258"/>
    </row>
    <row r="24569" spans="1:26" ht="12.75" customHeight="1" x14ac:dyDescent="0.2">
      <c r="A24569" s="258"/>
      <c r="Z24569" s="258"/>
    </row>
    <row r="24570" spans="1:26" ht="12.75" customHeight="1" x14ac:dyDescent="0.2">
      <c r="A24570" s="258"/>
      <c r="Z24570" s="258"/>
    </row>
    <row r="24571" spans="1:26" ht="12.75" customHeight="1" x14ac:dyDescent="0.2">
      <c r="A24571" s="258"/>
      <c r="Z24571" s="258"/>
    </row>
    <row r="24572" spans="1:26" ht="12.75" customHeight="1" x14ac:dyDescent="0.2">
      <c r="A24572" s="258"/>
      <c r="Z24572" s="258"/>
    </row>
    <row r="24573" spans="1:26" ht="12.75" customHeight="1" x14ac:dyDescent="0.2">
      <c r="A24573" s="258"/>
      <c r="Z24573" s="258"/>
    </row>
    <row r="24574" spans="1:26" ht="12.75" customHeight="1" x14ac:dyDescent="0.2">
      <c r="A24574" s="258"/>
      <c r="Z24574" s="258"/>
    </row>
    <row r="24575" spans="1:26" ht="12.75" customHeight="1" x14ac:dyDescent="0.2">
      <c r="A24575" s="258"/>
      <c r="Z24575" s="258"/>
    </row>
    <row r="24576" spans="1:26" ht="12.75" customHeight="1" x14ac:dyDescent="0.2">
      <c r="A24576" s="258"/>
      <c r="Z24576" s="258"/>
    </row>
    <row r="24577" spans="1:26" ht="12.75" customHeight="1" x14ac:dyDescent="0.2">
      <c r="A24577" s="258"/>
      <c r="Z24577" s="258"/>
    </row>
    <row r="24578" spans="1:26" ht="12.75" customHeight="1" x14ac:dyDescent="0.2">
      <c r="A24578" s="258"/>
      <c r="Z24578" s="258"/>
    </row>
    <row r="24579" spans="1:26" ht="12.75" customHeight="1" x14ac:dyDescent="0.2">
      <c r="A24579" s="258"/>
      <c r="Z24579" s="258"/>
    </row>
    <row r="24580" spans="1:26" ht="12.75" customHeight="1" x14ac:dyDescent="0.2">
      <c r="A24580" s="258"/>
      <c r="Z24580" s="258"/>
    </row>
    <row r="24581" spans="1:26" ht="12.75" customHeight="1" x14ac:dyDescent="0.2">
      <c r="A24581" s="258"/>
      <c r="Z24581" s="258"/>
    </row>
    <row r="24582" spans="1:26" ht="12.75" customHeight="1" x14ac:dyDescent="0.2">
      <c r="A24582" s="258"/>
      <c r="Z24582" s="258"/>
    </row>
    <row r="24583" spans="1:26" ht="12.75" customHeight="1" x14ac:dyDescent="0.2">
      <c r="A24583" s="258"/>
      <c r="Z24583" s="258"/>
    </row>
    <row r="24584" spans="1:26" ht="12.75" customHeight="1" x14ac:dyDescent="0.2">
      <c r="A24584" s="258"/>
      <c r="Z24584" s="258"/>
    </row>
    <row r="24585" spans="1:26" ht="12.75" customHeight="1" x14ac:dyDescent="0.2">
      <c r="A24585" s="258"/>
      <c r="Z24585" s="258"/>
    </row>
    <row r="24586" spans="1:26" ht="12.75" customHeight="1" x14ac:dyDescent="0.2">
      <c r="A24586" s="258"/>
      <c r="Z24586" s="258"/>
    </row>
    <row r="24587" spans="1:26" ht="12.75" customHeight="1" x14ac:dyDescent="0.2">
      <c r="A24587" s="258"/>
      <c r="Z24587" s="258"/>
    </row>
    <row r="24588" spans="1:26" ht="12.75" customHeight="1" x14ac:dyDescent="0.2">
      <c r="A24588" s="258"/>
      <c r="Z24588" s="258"/>
    </row>
    <row r="24589" spans="1:26" ht="12.75" customHeight="1" x14ac:dyDescent="0.2">
      <c r="A24589" s="258"/>
      <c r="Z24589" s="258"/>
    </row>
    <row r="24590" spans="1:26" ht="12.75" customHeight="1" x14ac:dyDescent="0.2">
      <c r="A24590" s="258"/>
      <c r="Z24590" s="258"/>
    </row>
    <row r="24591" spans="1:26" ht="12.75" customHeight="1" x14ac:dyDescent="0.2">
      <c r="A24591" s="258"/>
      <c r="Z24591" s="258"/>
    </row>
    <row r="24592" spans="1:26" ht="12.75" customHeight="1" x14ac:dyDescent="0.2">
      <c r="A24592" s="258"/>
      <c r="Z24592" s="258"/>
    </row>
    <row r="24593" spans="1:26" ht="12.75" customHeight="1" x14ac:dyDescent="0.2">
      <c r="A24593" s="258"/>
      <c r="Z24593" s="258"/>
    </row>
    <row r="24594" spans="1:26" ht="12.75" customHeight="1" x14ac:dyDescent="0.2">
      <c r="A24594" s="258"/>
      <c r="Z24594" s="258"/>
    </row>
    <row r="24595" spans="1:26" ht="12.75" customHeight="1" x14ac:dyDescent="0.2">
      <c r="A24595" s="258"/>
      <c r="Z24595" s="258"/>
    </row>
    <row r="24596" spans="1:26" ht="12.75" customHeight="1" x14ac:dyDescent="0.2">
      <c r="A24596" s="258"/>
      <c r="Z24596" s="258"/>
    </row>
    <row r="24597" spans="1:26" ht="12.75" customHeight="1" x14ac:dyDescent="0.2">
      <c r="A24597" s="258"/>
      <c r="Z24597" s="258"/>
    </row>
    <row r="24598" spans="1:26" ht="12.75" customHeight="1" x14ac:dyDescent="0.2">
      <c r="A24598" s="258"/>
      <c r="Z24598" s="258"/>
    </row>
    <row r="24599" spans="1:26" ht="12.75" customHeight="1" x14ac:dyDescent="0.2">
      <c r="A24599" s="258"/>
      <c r="Z24599" s="258"/>
    </row>
    <row r="24600" spans="1:26" ht="12.75" customHeight="1" x14ac:dyDescent="0.2">
      <c r="A24600" s="258"/>
      <c r="Z24600" s="258"/>
    </row>
    <row r="24601" spans="1:26" ht="12.75" customHeight="1" x14ac:dyDescent="0.2">
      <c r="A24601" s="258"/>
      <c r="Z24601" s="258"/>
    </row>
    <row r="24602" spans="1:26" ht="12.75" customHeight="1" x14ac:dyDescent="0.2">
      <c r="A24602" s="258"/>
      <c r="Z24602" s="258"/>
    </row>
    <row r="24603" spans="1:26" ht="12.75" customHeight="1" x14ac:dyDescent="0.2">
      <c r="A24603" s="258"/>
      <c r="Z24603" s="258"/>
    </row>
    <row r="24604" spans="1:26" ht="12.75" customHeight="1" x14ac:dyDescent="0.2">
      <c r="A24604" s="258"/>
      <c r="Z24604" s="258"/>
    </row>
    <row r="24605" spans="1:26" ht="12.75" customHeight="1" x14ac:dyDescent="0.2">
      <c r="A24605" s="258"/>
      <c r="Z24605" s="258"/>
    </row>
    <row r="24606" spans="1:26" ht="12.75" customHeight="1" x14ac:dyDescent="0.2">
      <c r="A24606" s="258"/>
      <c r="Z24606" s="258"/>
    </row>
    <row r="24607" spans="1:26" ht="12.75" customHeight="1" x14ac:dyDescent="0.2">
      <c r="A24607" s="258"/>
      <c r="Z24607" s="258"/>
    </row>
    <row r="24608" spans="1:26" ht="12.75" customHeight="1" x14ac:dyDescent="0.2">
      <c r="A24608" s="258"/>
      <c r="Z24608" s="258"/>
    </row>
    <row r="24609" spans="1:26" ht="12.75" customHeight="1" x14ac:dyDescent="0.2">
      <c r="A24609" s="258"/>
      <c r="Z24609" s="258"/>
    </row>
    <row r="24610" spans="1:26" ht="12.75" customHeight="1" x14ac:dyDescent="0.2">
      <c r="A24610" s="258"/>
      <c r="Z24610" s="258"/>
    </row>
    <row r="24611" spans="1:26" ht="12.75" customHeight="1" x14ac:dyDescent="0.2">
      <c r="A24611" s="258"/>
      <c r="Z24611" s="258"/>
    </row>
    <row r="24612" spans="1:26" ht="12.75" customHeight="1" x14ac:dyDescent="0.2">
      <c r="A24612" s="258"/>
      <c r="Z24612" s="258"/>
    </row>
    <row r="24613" spans="1:26" ht="12.75" customHeight="1" x14ac:dyDescent="0.2">
      <c r="A24613" s="258"/>
      <c r="Z24613" s="258"/>
    </row>
    <row r="24614" spans="1:26" ht="12.75" customHeight="1" x14ac:dyDescent="0.2">
      <c r="A24614" s="258"/>
      <c r="Z24614" s="258"/>
    </row>
    <row r="24615" spans="1:26" ht="12.75" customHeight="1" x14ac:dyDescent="0.2">
      <c r="A24615" s="258"/>
      <c r="Z24615" s="258"/>
    </row>
    <row r="24616" spans="1:26" ht="12.75" customHeight="1" x14ac:dyDescent="0.2">
      <c r="A24616" s="258"/>
      <c r="Z24616" s="258"/>
    </row>
    <row r="24617" spans="1:26" ht="12.75" customHeight="1" x14ac:dyDescent="0.2">
      <c r="A24617" s="258"/>
      <c r="Z24617" s="258"/>
    </row>
    <row r="24618" spans="1:26" ht="12.75" customHeight="1" x14ac:dyDescent="0.2">
      <c r="A24618" s="258"/>
      <c r="Z24618" s="258"/>
    </row>
    <row r="24619" spans="1:26" ht="12.75" customHeight="1" x14ac:dyDescent="0.2">
      <c r="A24619" s="258"/>
      <c r="Z24619" s="258"/>
    </row>
    <row r="24620" spans="1:26" ht="12.75" customHeight="1" x14ac:dyDescent="0.2">
      <c r="A24620" s="258"/>
      <c r="Z24620" s="258"/>
    </row>
    <row r="24621" spans="1:26" ht="12.75" customHeight="1" x14ac:dyDescent="0.2">
      <c r="A24621" s="258"/>
      <c r="Z24621" s="258"/>
    </row>
    <row r="24622" spans="1:26" ht="12.75" customHeight="1" x14ac:dyDescent="0.2">
      <c r="A24622" s="258"/>
      <c r="Z24622" s="258"/>
    </row>
    <row r="24623" spans="1:26" ht="12.75" customHeight="1" x14ac:dyDescent="0.2">
      <c r="A24623" s="258"/>
      <c r="Z24623" s="258"/>
    </row>
    <row r="24624" spans="1:26" ht="12.75" customHeight="1" x14ac:dyDescent="0.2">
      <c r="A24624" s="258"/>
      <c r="Z24624" s="258"/>
    </row>
    <row r="24625" spans="1:26" ht="12.75" customHeight="1" x14ac:dyDescent="0.2">
      <c r="A24625" s="258"/>
      <c r="Z24625" s="258"/>
    </row>
    <row r="24626" spans="1:26" ht="12.75" customHeight="1" x14ac:dyDescent="0.2">
      <c r="A24626" s="258"/>
      <c r="Z24626" s="258"/>
    </row>
    <row r="24627" spans="1:26" ht="12.75" customHeight="1" x14ac:dyDescent="0.2">
      <c r="A24627" s="258"/>
      <c r="Z24627" s="258"/>
    </row>
    <row r="24628" spans="1:26" ht="12.75" customHeight="1" x14ac:dyDescent="0.2">
      <c r="A24628" s="258"/>
      <c r="Z24628" s="258"/>
    </row>
    <row r="24629" spans="1:26" ht="12.75" customHeight="1" x14ac:dyDescent="0.2">
      <c r="A24629" s="258"/>
      <c r="Z24629" s="258"/>
    </row>
    <row r="24630" spans="1:26" ht="12.75" customHeight="1" x14ac:dyDescent="0.2">
      <c r="A24630" s="258"/>
      <c r="Z24630" s="258"/>
    </row>
    <row r="24631" spans="1:26" ht="12.75" customHeight="1" x14ac:dyDescent="0.2">
      <c r="A24631" s="258"/>
      <c r="Z24631" s="258"/>
    </row>
    <row r="24632" spans="1:26" ht="12.75" customHeight="1" x14ac:dyDescent="0.2">
      <c r="A24632" s="258"/>
      <c r="Z24632" s="258"/>
    </row>
    <row r="24633" spans="1:26" ht="12.75" customHeight="1" x14ac:dyDescent="0.2">
      <c r="A24633" s="258"/>
      <c r="Z24633" s="258"/>
    </row>
    <row r="24634" spans="1:26" ht="12.75" customHeight="1" x14ac:dyDescent="0.2">
      <c r="A24634" s="258"/>
      <c r="Z24634" s="258"/>
    </row>
    <row r="24635" spans="1:26" ht="12.75" customHeight="1" x14ac:dyDescent="0.2">
      <c r="A24635" s="258"/>
      <c r="Z24635" s="258"/>
    </row>
    <row r="24636" spans="1:26" ht="12.75" customHeight="1" x14ac:dyDescent="0.2">
      <c r="A24636" s="258"/>
      <c r="Z24636" s="258"/>
    </row>
    <row r="24637" spans="1:26" ht="12.75" customHeight="1" x14ac:dyDescent="0.2">
      <c r="A24637" s="258"/>
      <c r="Z24637" s="258"/>
    </row>
    <row r="24638" spans="1:26" ht="12.75" customHeight="1" x14ac:dyDescent="0.2">
      <c r="A24638" s="258"/>
      <c r="Z24638" s="258"/>
    </row>
    <row r="24639" spans="1:26" ht="12.75" customHeight="1" x14ac:dyDescent="0.2">
      <c r="A24639" s="258"/>
      <c r="Z24639" s="258"/>
    </row>
    <row r="24640" spans="1:26" ht="12.75" customHeight="1" x14ac:dyDescent="0.2">
      <c r="A24640" s="258"/>
      <c r="Z24640" s="258"/>
    </row>
    <row r="24641" spans="1:26" ht="12.75" customHeight="1" x14ac:dyDescent="0.2">
      <c r="A24641" s="258"/>
      <c r="Z24641" s="258"/>
    </row>
    <row r="24642" spans="1:26" ht="12.75" customHeight="1" x14ac:dyDescent="0.2">
      <c r="A24642" s="258"/>
      <c r="Z24642" s="258"/>
    </row>
    <row r="24643" spans="1:26" ht="12.75" customHeight="1" x14ac:dyDescent="0.2">
      <c r="A24643" s="258"/>
      <c r="Z24643" s="258"/>
    </row>
    <row r="24644" spans="1:26" ht="12.75" customHeight="1" x14ac:dyDescent="0.2">
      <c r="A24644" s="258"/>
      <c r="Z24644" s="258"/>
    </row>
    <row r="24645" spans="1:26" ht="12.75" customHeight="1" x14ac:dyDescent="0.2">
      <c r="A24645" s="258"/>
      <c r="Z24645" s="258"/>
    </row>
    <row r="24646" spans="1:26" ht="12.75" customHeight="1" x14ac:dyDescent="0.2">
      <c r="A24646" s="258"/>
      <c r="Z24646" s="258"/>
    </row>
    <row r="24647" spans="1:26" ht="12.75" customHeight="1" x14ac:dyDescent="0.2">
      <c r="A24647" s="258"/>
      <c r="Z24647" s="258"/>
    </row>
    <row r="24648" spans="1:26" ht="12.75" customHeight="1" x14ac:dyDescent="0.2">
      <c r="A24648" s="258"/>
      <c r="Z24648" s="258"/>
    </row>
    <row r="24649" spans="1:26" ht="12.75" customHeight="1" x14ac:dyDescent="0.2">
      <c r="A24649" s="258"/>
      <c r="Z24649" s="258"/>
    </row>
    <row r="24650" spans="1:26" ht="12.75" customHeight="1" x14ac:dyDescent="0.2">
      <c r="A24650" s="258"/>
      <c r="Z24650" s="258"/>
    </row>
    <row r="24651" spans="1:26" ht="12.75" customHeight="1" x14ac:dyDescent="0.2">
      <c r="A24651" s="258"/>
      <c r="Z24651" s="258"/>
    </row>
    <row r="24652" spans="1:26" ht="12.75" customHeight="1" x14ac:dyDescent="0.2">
      <c r="A24652" s="258"/>
      <c r="Z24652" s="258"/>
    </row>
    <row r="24653" spans="1:26" ht="12.75" customHeight="1" x14ac:dyDescent="0.2">
      <c r="A24653" s="258"/>
      <c r="Z24653" s="258"/>
    </row>
    <row r="24654" spans="1:26" ht="12.75" customHeight="1" x14ac:dyDescent="0.2">
      <c r="A24654" s="258"/>
      <c r="Z24654" s="258"/>
    </row>
    <row r="24655" spans="1:26" ht="12.75" customHeight="1" x14ac:dyDescent="0.2">
      <c r="A24655" s="258"/>
      <c r="Z24655" s="258"/>
    </row>
    <row r="24656" spans="1:26" ht="12.75" customHeight="1" x14ac:dyDescent="0.2">
      <c r="A24656" s="258"/>
      <c r="Z24656" s="258"/>
    </row>
    <row r="24657" spans="1:26" ht="12.75" customHeight="1" x14ac:dyDescent="0.2">
      <c r="A24657" s="258"/>
      <c r="Z24657" s="258"/>
    </row>
    <row r="24658" spans="1:26" ht="12.75" customHeight="1" x14ac:dyDescent="0.2">
      <c r="A24658" s="258"/>
      <c r="Z24658" s="258"/>
    </row>
    <row r="24659" spans="1:26" ht="12.75" customHeight="1" x14ac:dyDescent="0.2">
      <c r="A24659" s="258"/>
      <c r="Z24659" s="258"/>
    </row>
    <row r="24660" spans="1:26" ht="12.75" customHeight="1" x14ac:dyDescent="0.2">
      <c r="A24660" s="258"/>
      <c r="Z24660" s="258"/>
    </row>
    <row r="24661" spans="1:26" ht="12.75" customHeight="1" x14ac:dyDescent="0.2">
      <c r="A24661" s="258"/>
      <c r="Z24661" s="258"/>
    </row>
    <row r="24662" spans="1:26" ht="12.75" customHeight="1" x14ac:dyDescent="0.2">
      <c r="A24662" s="258"/>
      <c r="Z24662" s="258"/>
    </row>
    <row r="24663" spans="1:26" ht="12.75" customHeight="1" x14ac:dyDescent="0.2">
      <c r="A24663" s="258"/>
      <c r="Z24663" s="258"/>
    </row>
    <row r="24664" spans="1:26" ht="12.75" customHeight="1" x14ac:dyDescent="0.2">
      <c r="A24664" s="258"/>
      <c r="Z24664" s="258"/>
    </row>
    <row r="24665" spans="1:26" ht="12.75" customHeight="1" x14ac:dyDescent="0.2">
      <c r="A24665" s="258"/>
      <c r="Z24665" s="258"/>
    </row>
    <row r="24666" spans="1:26" ht="12.75" customHeight="1" x14ac:dyDescent="0.2">
      <c r="A24666" s="258"/>
      <c r="Z24666" s="258"/>
    </row>
    <row r="24667" spans="1:26" ht="12.75" customHeight="1" x14ac:dyDescent="0.2">
      <c r="A24667" s="258"/>
      <c r="Z24667" s="258"/>
    </row>
    <row r="24668" spans="1:26" ht="12.75" customHeight="1" x14ac:dyDescent="0.2">
      <c r="A24668" s="258"/>
      <c r="Z24668" s="258"/>
    </row>
    <row r="24669" spans="1:26" ht="12.75" customHeight="1" x14ac:dyDescent="0.2">
      <c r="A24669" s="258"/>
      <c r="Z24669" s="258"/>
    </row>
    <row r="24670" spans="1:26" ht="12.75" customHeight="1" x14ac:dyDescent="0.2">
      <c r="A24670" s="258"/>
      <c r="Z24670" s="258"/>
    </row>
    <row r="24671" spans="1:26" ht="12.75" customHeight="1" x14ac:dyDescent="0.2">
      <c r="A24671" s="258"/>
      <c r="Z24671" s="258"/>
    </row>
    <row r="24672" spans="1:26" ht="12.75" customHeight="1" x14ac:dyDescent="0.2">
      <c r="A24672" s="258"/>
      <c r="Z24672" s="258"/>
    </row>
    <row r="24673" spans="1:26" ht="12.75" customHeight="1" x14ac:dyDescent="0.2">
      <c r="A24673" s="258"/>
      <c r="Z24673" s="258"/>
    </row>
    <row r="24674" spans="1:26" ht="12.75" customHeight="1" x14ac:dyDescent="0.2">
      <c r="A24674" s="258"/>
      <c r="Z24674" s="258"/>
    </row>
    <row r="24675" spans="1:26" ht="12.75" customHeight="1" x14ac:dyDescent="0.2">
      <c r="A24675" s="258"/>
      <c r="Z24675" s="258"/>
    </row>
    <row r="24676" spans="1:26" ht="12.75" customHeight="1" x14ac:dyDescent="0.2">
      <c r="A24676" s="258"/>
      <c r="Z24676" s="258"/>
    </row>
    <row r="24677" spans="1:26" ht="12.75" customHeight="1" x14ac:dyDescent="0.2">
      <c r="A24677" s="258"/>
      <c r="Z24677" s="258"/>
    </row>
    <row r="24678" spans="1:26" ht="12.75" customHeight="1" x14ac:dyDescent="0.2">
      <c r="A24678" s="258"/>
      <c r="Z24678" s="258"/>
    </row>
    <row r="24679" spans="1:26" ht="12.75" customHeight="1" x14ac:dyDescent="0.2">
      <c r="A24679" s="258"/>
      <c r="Z24679" s="258"/>
    </row>
    <row r="24680" spans="1:26" ht="12.75" customHeight="1" x14ac:dyDescent="0.2">
      <c r="A24680" s="258"/>
      <c r="Z24680" s="258"/>
    </row>
    <row r="24681" spans="1:26" ht="12.75" customHeight="1" x14ac:dyDescent="0.2">
      <c r="A24681" s="258"/>
      <c r="Z24681" s="258"/>
    </row>
    <row r="24682" spans="1:26" ht="12.75" customHeight="1" x14ac:dyDescent="0.2">
      <c r="A24682" s="258"/>
      <c r="Z24682" s="258"/>
    </row>
    <row r="24683" spans="1:26" ht="12.75" customHeight="1" x14ac:dyDescent="0.2">
      <c r="A24683" s="258"/>
      <c r="Z24683" s="258"/>
    </row>
    <row r="24684" spans="1:26" ht="12.75" customHeight="1" x14ac:dyDescent="0.2">
      <c r="A24684" s="258"/>
      <c r="Z24684" s="258"/>
    </row>
    <row r="24685" spans="1:26" ht="12.75" customHeight="1" x14ac:dyDescent="0.2">
      <c r="A24685" s="258"/>
      <c r="Z24685" s="258"/>
    </row>
    <row r="24686" spans="1:26" ht="12.75" customHeight="1" x14ac:dyDescent="0.2">
      <c r="A24686" s="258"/>
      <c r="Z24686" s="258"/>
    </row>
    <row r="24687" spans="1:26" ht="12.75" customHeight="1" x14ac:dyDescent="0.2">
      <c r="A24687" s="258"/>
      <c r="Z24687" s="258"/>
    </row>
    <row r="24688" spans="1:26" ht="12.75" customHeight="1" x14ac:dyDescent="0.2">
      <c r="A24688" s="258"/>
      <c r="Z24688" s="258"/>
    </row>
    <row r="24689" spans="1:26" ht="12.75" customHeight="1" x14ac:dyDescent="0.2">
      <c r="A24689" s="258"/>
      <c r="Z24689" s="258"/>
    </row>
    <row r="24690" spans="1:26" ht="12.75" customHeight="1" x14ac:dyDescent="0.2">
      <c r="A24690" s="258"/>
      <c r="Z24690" s="258"/>
    </row>
    <row r="24691" spans="1:26" ht="12.75" customHeight="1" x14ac:dyDescent="0.2">
      <c r="A24691" s="258"/>
      <c r="Z24691" s="258"/>
    </row>
    <row r="24692" spans="1:26" ht="12.75" customHeight="1" x14ac:dyDescent="0.2">
      <c r="A24692" s="258"/>
      <c r="Z24692" s="258"/>
    </row>
    <row r="24693" spans="1:26" ht="12.75" customHeight="1" x14ac:dyDescent="0.2">
      <c r="A24693" s="258"/>
      <c r="Z24693" s="258"/>
    </row>
    <row r="24694" spans="1:26" ht="12.75" customHeight="1" x14ac:dyDescent="0.2">
      <c r="A24694" s="258"/>
      <c r="Z24694" s="258"/>
    </row>
    <row r="24695" spans="1:26" ht="12.75" customHeight="1" x14ac:dyDescent="0.2">
      <c r="A24695" s="258"/>
      <c r="Z24695" s="258"/>
    </row>
    <row r="24696" spans="1:26" ht="12.75" customHeight="1" x14ac:dyDescent="0.2">
      <c r="A24696" s="258"/>
      <c r="Z24696" s="258"/>
    </row>
    <row r="24697" spans="1:26" ht="12.75" customHeight="1" x14ac:dyDescent="0.2">
      <c r="A24697" s="258"/>
      <c r="Z24697" s="258"/>
    </row>
    <row r="24698" spans="1:26" ht="12.75" customHeight="1" x14ac:dyDescent="0.2">
      <c r="A24698" s="258"/>
      <c r="Z24698" s="258"/>
    </row>
    <row r="24699" spans="1:26" ht="12.75" customHeight="1" x14ac:dyDescent="0.2">
      <c r="A24699" s="258"/>
      <c r="Z24699" s="258"/>
    </row>
    <row r="24700" spans="1:26" ht="12.75" customHeight="1" x14ac:dyDescent="0.2">
      <c r="A24700" s="258"/>
      <c r="Z24700" s="258"/>
    </row>
    <row r="24701" spans="1:26" ht="12.75" customHeight="1" x14ac:dyDescent="0.2">
      <c r="A24701" s="258"/>
      <c r="Z24701" s="258"/>
    </row>
    <row r="24702" spans="1:26" ht="12.75" customHeight="1" x14ac:dyDescent="0.2">
      <c r="A24702" s="258"/>
      <c r="Z24702" s="258"/>
    </row>
    <row r="24703" spans="1:26" ht="12.75" customHeight="1" x14ac:dyDescent="0.2">
      <c r="A24703" s="258"/>
      <c r="Z24703" s="258"/>
    </row>
    <row r="24704" spans="1:26" ht="12.75" customHeight="1" x14ac:dyDescent="0.2">
      <c r="A24704" s="258"/>
      <c r="Z24704" s="258"/>
    </row>
    <row r="24705" spans="1:26" ht="12.75" customHeight="1" x14ac:dyDescent="0.2">
      <c r="A24705" s="258"/>
      <c r="Z24705" s="258"/>
    </row>
    <row r="24706" spans="1:26" ht="12.75" customHeight="1" x14ac:dyDescent="0.2">
      <c r="A24706" s="258"/>
      <c r="Z24706" s="258"/>
    </row>
    <row r="24707" spans="1:26" ht="12.75" customHeight="1" x14ac:dyDescent="0.2">
      <c r="A24707" s="258"/>
      <c r="Z24707" s="258"/>
    </row>
    <row r="24708" spans="1:26" ht="12.75" customHeight="1" x14ac:dyDescent="0.2">
      <c r="A24708" s="258"/>
      <c r="Z24708" s="258"/>
    </row>
    <row r="24709" spans="1:26" ht="12.75" customHeight="1" x14ac:dyDescent="0.2">
      <c r="A24709" s="258"/>
      <c r="Z24709" s="258"/>
    </row>
    <row r="24710" spans="1:26" ht="12.75" customHeight="1" x14ac:dyDescent="0.2">
      <c r="A24710" s="258"/>
      <c r="Z24710" s="258"/>
    </row>
    <row r="24711" spans="1:26" ht="12.75" customHeight="1" x14ac:dyDescent="0.2">
      <c r="A24711" s="258"/>
      <c r="Z24711" s="258"/>
    </row>
    <row r="24712" spans="1:26" ht="12.75" customHeight="1" x14ac:dyDescent="0.2">
      <c r="A24712" s="258"/>
      <c r="Z24712" s="258"/>
    </row>
    <row r="24713" spans="1:26" ht="12.75" customHeight="1" x14ac:dyDescent="0.2">
      <c r="A24713" s="258"/>
      <c r="Z24713" s="258"/>
    </row>
    <row r="24714" spans="1:26" ht="12.75" customHeight="1" x14ac:dyDescent="0.2">
      <c r="A24714" s="258"/>
      <c r="Z24714" s="258"/>
    </row>
    <row r="24715" spans="1:26" ht="12.75" customHeight="1" x14ac:dyDescent="0.2">
      <c r="A24715" s="258"/>
      <c r="Z24715" s="258"/>
    </row>
    <row r="24716" spans="1:26" ht="12.75" customHeight="1" x14ac:dyDescent="0.2">
      <c r="A24716" s="258"/>
      <c r="Z24716" s="258"/>
    </row>
    <row r="24717" spans="1:26" ht="12.75" customHeight="1" x14ac:dyDescent="0.2">
      <c r="A24717" s="258"/>
      <c r="Z24717" s="258"/>
    </row>
    <row r="24718" spans="1:26" ht="12.75" customHeight="1" x14ac:dyDescent="0.2">
      <c r="A24718" s="258"/>
      <c r="Z24718" s="258"/>
    </row>
    <row r="24719" spans="1:26" ht="12.75" customHeight="1" x14ac:dyDescent="0.2">
      <c r="A24719" s="258"/>
      <c r="Z24719" s="258"/>
    </row>
    <row r="24720" spans="1:26" ht="12.75" customHeight="1" x14ac:dyDescent="0.2">
      <c r="A24720" s="258"/>
      <c r="Z24720" s="258"/>
    </row>
    <row r="24721" spans="1:26" ht="12.75" customHeight="1" x14ac:dyDescent="0.2">
      <c r="A24721" s="258"/>
      <c r="Z24721" s="258"/>
    </row>
    <row r="24722" spans="1:26" ht="12.75" customHeight="1" x14ac:dyDescent="0.2">
      <c r="A24722" s="258"/>
      <c r="Z24722" s="258"/>
    </row>
    <row r="24723" spans="1:26" ht="12.75" customHeight="1" x14ac:dyDescent="0.2">
      <c r="A24723" s="258"/>
      <c r="Z24723" s="258"/>
    </row>
    <row r="24724" spans="1:26" ht="12.75" customHeight="1" x14ac:dyDescent="0.2">
      <c r="A24724" s="258"/>
      <c r="Z24724" s="258"/>
    </row>
    <row r="24725" spans="1:26" ht="12.75" customHeight="1" x14ac:dyDescent="0.2">
      <c r="A24725" s="258"/>
      <c r="Z24725" s="258"/>
    </row>
    <row r="24726" spans="1:26" ht="12.75" customHeight="1" x14ac:dyDescent="0.2">
      <c r="A24726" s="258"/>
      <c r="Z24726" s="258"/>
    </row>
    <row r="24727" spans="1:26" ht="12.75" customHeight="1" x14ac:dyDescent="0.2">
      <c r="A24727" s="258"/>
      <c r="Z24727" s="258"/>
    </row>
    <row r="24728" spans="1:26" ht="12.75" customHeight="1" x14ac:dyDescent="0.2">
      <c r="A24728" s="258"/>
      <c r="Z24728" s="258"/>
    </row>
    <row r="24729" spans="1:26" ht="12.75" customHeight="1" x14ac:dyDescent="0.2">
      <c r="A24729" s="258"/>
      <c r="Z24729" s="258"/>
    </row>
    <row r="24730" spans="1:26" ht="12.75" customHeight="1" x14ac:dyDescent="0.2">
      <c r="A24730" s="258"/>
      <c r="Z24730" s="258"/>
    </row>
    <row r="24731" spans="1:26" ht="12.75" customHeight="1" x14ac:dyDescent="0.2">
      <c r="A24731" s="258"/>
      <c r="Z24731" s="258"/>
    </row>
    <row r="24732" spans="1:26" ht="12.75" customHeight="1" x14ac:dyDescent="0.2">
      <c r="A24732" s="258"/>
      <c r="Z24732" s="258"/>
    </row>
    <row r="24733" spans="1:26" ht="12.75" customHeight="1" x14ac:dyDescent="0.2">
      <c r="A24733" s="258"/>
      <c r="Z24733" s="258"/>
    </row>
    <row r="24734" spans="1:26" ht="12.75" customHeight="1" x14ac:dyDescent="0.2">
      <c r="A24734" s="258"/>
      <c r="Z24734" s="258"/>
    </row>
    <row r="24735" spans="1:26" ht="12.75" customHeight="1" x14ac:dyDescent="0.2">
      <c r="A24735" s="258"/>
      <c r="Z24735" s="258"/>
    </row>
    <row r="24736" spans="1:26" ht="12.75" customHeight="1" x14ac:dyDescent="0.2">
      <c r="A24736" s="258"/>
      <c r="Z24736" s="258"/>
    </row>
    <row r="24737" spans="1:26" ht="12.75" customHeight="1" x14ac:dyDescent="0.2">
      <c r="A24737" s="258"/>
      <c r="Z24737" s="258"/>
    </row>
    <row r="24738" spans="1:26" ht="12.75" customHeight="1" x14ac:dyDescent="0.2">
      <c r="A24738" s="258"/>
      <c r="Z24738" s="258"/>
    </row>
    <row r="24739" spans="1:26" ht="12.75" customHeight="1" x14ac:dyDescent="0.2">
      <c r="A24739" s="258"/>
      <c r="Z24739" s="258"/>
    </row>
    <row r="24740" spans="1:26" ht="12.75" customHeight="1" x14ac:dyDescent="0.2">
      <c r="A24740" s="258"/>
      <c r="Z24740" s="258"/>
    </row>
    <row r="24741" spans="1:26" ht="12.75" customHeight="1" x14ac:dyDescent="0.2">
      <c r="A24741" s="258"/>
      <c r="Z24741" s="258"/>
    </row>
    <row r="24742" spans="1:26" ht="12.75" customHeight="1" x14ac:dyDescent="0.2">
      <c r="A24742" s="258"/>
      <c r="Z24742" s="258"/>
    </row>
    <row r="24743" spans="1:26" ht="12.75" customHeight="1" x14ac:dyDescent="0.2">
      <c r="A24743" s="258"/>
      <c r="Z24743" s="258"/>
    </row>
    <row r="24744" spans="1:26" ht="12.75" customHeight="1" x14ac:dyDescent="0.2">
      <c r="A24744" s="258"/>
      <c r="Z24744" s="258"/>
    </row>
    <row r="24745" spans="1:26" ht="12.75" customHeight="1" x14ac:dyDescent="0.2">
      <c r="A24745" s="258"/>
      <c r="Z24745" s="258"/>
    </row>
    <row r="24746" spans="1:26" ht="12.75" customHeight="1" x14ac:dyDescent="0.2">
      <c r="A24746" s="258"/>
      <c r="Z24746" s="258"/>
    </row>
    <row r="24747" spans="1:26" ht="12.75" customHeight="1" x14ac:dyDescent="0.2">
      <c r="A24747" s="258"/>
      <c r="Z24747" s="258"/>
    </row>
    <row r="24748" spans="1:26" ht="12.75" customHeight="1" x14ac:dyDescent="0.2">
      <c r="A24748" s="258"/>
      <c r="Z24748" s="258"/>
    </row>
    <row r="24749" spans="1:26" ht="12.75" customHeight="1" x14ac:dyDescent="0.2">
      <c r="A24749" s="258"/>
      <c r="Z24749" s="258"/>
    </row>
    <row r="24750" spans="1:26" ht="12.75" customHeight="1" x14ac:dyDescent="0.2">
      <c r="A24750" s="258"/>
      <c r="Z24750" s="258"/>
    </row>
    <row r="24751" spans="1:26" ht="12.75" customHeight="1" x14ac:dyDescent="0.2">
      <c r="A24751" s="258"/>
      <c r="Z24751" s="258"/>
    </row>
    <row r="24752" spans="1:26" ht="12.75" customHeight="1" x14ac:dyDescent="0.2">
      <c r="A24752" s="258"/>
      <c r="Z24752" s="258"/>
    </row>
    <row r="24753" spans="1:26" ht="12.75" customHeight="1" x14ac:dyDescent="0.2">
      <c r="A24753" s="258"/>
      <c r="Z24753" s="258"/>
    </row>
    <row r="24754" spans="1:26" ht="12.75" customHeight="1" x14ac:dyDescent="0.2">
      <c r="A24754" s="258"/>
      <c r="Z24754" s="258"/>
    </row>
    <row r="24755" spans="1:26" ht="12.75" customHeight="1" x14ac:dyDescent="0.2">
      <c r="A24755" s="258"/>
      <c r="Z24755" s="258"/>
    </row>
    <row r="24756" spans="1:26" ht="12.75" customHeight="1" x14ac:dyDescent="0.2">
      <c r="A24756" s="258"/>
      <c r="Z24756" s="258"/>
    </row>
    <row r="24757" spans="1:26" ht="12.75" customHeight="1" x14ac:dyDescent="0.2">
      <c r="A24757" s="258"/>
      <c r="Z24757" s="258"/>
    </row>
    <row r="24758" spans="1:26" ht="12.75" customHeight="1" x14ac:dyDescent="0.2">
      <c r="A24758" s="258"/>
      <c r="Z24758" s="258"/>
    </row>
    <row r="24759" spans="1:26" ht="12.75" customHeight="1" x14ac:dyDescent="0.2">
      <c r="A24759" s="258"/>
      <c r="Z24759" s="258"/>
    </row>
    <row r="24760" spans="1:26" ht="12.75" customHeight="1" x14ac:dyDescent="0.2">
      <c r="A24760" s="258"/>
      <c r="Z24760" s="258"/>
    </row>
    <row r="24761" spans="1:26" ht="12.75" customHeight="1" x14ac:dyDescent="0.2">
      <c r="A24761" s="258"/>
      <c r="Z24761" s="258"/>
    </row>
    <row r="24762" spans="1:26" ht="12.75" customHeight="1" x14ac:dyDescent="0.2">
      <c r="A24762" s="258"/>
      <c r="Z24762" s="258"/>
    </row>
    <row r="24763" spans="1:26" ht="12.75" customHeight="1" x14ac:dyDescent="0.2">
      <c r="A24763" s="258"/>
      <c r="Z24763" s="258"/>
    </row>
    <row r="24764" spans="1:26" ht="12.75" customHeight="1" x14ac:dyDescent="0.2">
      <c r="A24764" s="258"/>
      <c r="Z24764" s="258"/>
    </row>
    <row r="24765" spans="1:26" ht="12.75" customHeight="1" x14ac:dyDescent="0.2">
      <c r="A24765" s="258"/>
      <c r="Z24765" s="258"/>
    </row>
    <row r="24766" spans="1:26" ht="12.75" customHeight="1" x14ac:dyDescent="0.2">
      <c r="A24766" s="258"/>
      <c r="Z24766" s="258"/>
    </row>
    <row r="24767" spans="1:26" ht="12.75" customHeight="1" x14ac:dyDescent="0.2">
      <c r="A24767" s="258"/>
      <c r="Z24767" s="258"/>
    </row>
    <row r="24768" spans="1:26" ht="12.75" customHeight="1" x14ac:dyDescent="0.2">
      <c r="A24768" s="258"/>
      <c r="Z24768" s="258"/>
    </row>
    <row r="24769" spans="1:26" ht="12.75" customHeight="1" x14ac:dyDescent="0.2">
      <c r="A24769" s="258"/>
      <c r="Z24769" s="258"/>
    </row>
    <row r="24770" spans="1:26" ht="12.75" customHeight="1" x14ac:dyDescent="0.2">
      <c r="A24770" s="258"/>
      <c r="Z24770" s="258"/>
    </row>
    <row r="24771" spans="1:26" ht="12.75" customHeight="1" x14ac:dyDescent="0.2">
      <c r="A24771" s="258"/>
      <c r="Z24771" s="258"/>
    </row>
    <row r="24772" spans="1:26" ht="12.75" customHeight="1" x14ac:dyDescent="0.2">
      <c r="A24772" s="258"/>
      <c r="Z24772" s="258"/>
    </row>
    <row r="24773" spans="1:26" ht="12.75" customHeight="1" x14ac:dyDescent="0.2">
      <c r="A24773" s="258"/>
      <c r="Z24773" s="258"/>
    </row>
    <row r="24774" spans="1:26" ht="12.75" customHeight="1" x14ac:dyDescent="0.2">
      <c r="A24774" s="258"/>
      <c r="Z24774" s="258"/>
    </row>
    <row r="24775" spans="1:26" ht="12.75" customHeight="1" x14ac:dyDescent="0.2">
      <c r="A24775" s="258"/>
      <c r="Z24775" s="258"/>
    </row>
    <row r="24776" spans="1:26" ht="12.75" customHeight="1" x14ac:dyDescent="0.2">
      <c r="A24776" s="258"/>
      <c r="Z24776" s="258"/>
    </row>
    <row r="24777" spans="1:26" ht="12.75" customHeight="1" x14ac:dyDescent="0.2">
      <c r="A24777" s="258"/>
      <c r="Z24777" s="258"/>
    </row>
    <row r="24778" spans="1:26" ht="12.75" customHeight="1" x14ac:dyDescent="0.2">
      <c r="A24778" s="258"/>
      <c r="Z24778" s="258"/>
    </row>
    <row r="24779" spans="1:26" ht="12.75" customHeight="1" x14ac:dyDescent="0.2">
      <c r="A24779" s="258"/>
      <c r="Z24779" s="258"/>
    </row>
    <row r="24780" spans="1:26" ht="12.75" customHeight="1" x14ac:dyDescent="0.2">
      <c r="A24780" s="258"/>
      <c r="Z24780" s="258"/>
    </row>
    <row r="24781" spans="1:26" ht="12.75" customHeight="1" x14ac:dyDescent="0.2">
      <c r="A24781" s="258"/>
      <c r="Z24781" s="258"/>
    </row>
    <row r="24782" spans="1:26" ht="12.75" customHeight="1" x14ac:dyDescent="0.2">
      <c r="A24782" s="258"/>
      <c r="Z24782" s="258"/>
    </row>
    <row r="24783" spans="1:26" ht="12.75" customHeight="1" x14ac:dyDescent="0.2">
      <c r="A24783" s="258"/>
      <c r="Z24783" s="258"/>
    </row>
    <row r="24784" spans="1:26" ht="12.75" customHeight="1" x14ac:dyDescent="0.2">
      <c r="A24784" s="258"/>
      <c r="Z24784" s="258"/>
    </row>
    <row r="24785" spans="1:26" ht="12.75" customHeight="1" x14ac:dyDescent="0.2">
      <c r="A24785" s="258"/>
      <c r="Z24785" s="258"/>
    </row>
    <row r="24786" spans="1:26" ht="12.75" customHeight="1" x14ac:dyDescent="0.2">
      <c r="A24786" s="258"/>
      <c r="Z24786" s="258"/>
    </row>
    <row r="24787" spans="1:26" ht="12.75" customHeight="1" x14ac:dyDescent="0.2">
      <c r="A24787" s="258"/>
      <c r="Z24787" s="258"/>
    </row>
    <row r="24788" spans="1:26" ht="12.75" customHeight="1" x14ac:dyDescent="0.2">
      <c r="A24788" s="258"/>
      <c r="Z24788" s="258"/>
    </row>
    <row r="24789" spans="1:26" ht="12.75" customHeight="1" x14ac:dyDescent="0.2">
      <c r="A24789" s="258"/>
      <c r="Z24789" s="258"/>
    </row>
    <row r="24790" spans="1:26" ht="12.75" customHeight="1" x14ac:dyDescent="0.2">
      <c r="A24790" s="258"/>
      <c r="Z24790" s="258"/>
    </row>
    <row r="24791" spans="1:26" ht="12.75" customHeight="1" x14ac:dyDescent="0.2">
      <c r="A24791" s="258"/>
      <c r="Z24791" s="258"/>
    </row>
    <row r="24792" spans="1:26" ht="12.75" customHeight="1" x14ac:dyDescent="0.2">
      <c r="A24792" s="258"/>
      <c r="Z24792" s="258"/>
    </row>
    <row r="24793" spans="1:26" ht="12.75" customHeight="1" x14ac:dyDescent="0.2">
      <c r="A24793" s="258"/>
      <c r="Z24793" s="258"/>
    </row>
    <row r="24794" spans="1:26" ht="12.75" customHeight="1" x14ac:dyDescent="0.2">
      <c r="A24794" s="258"/>
      <c r="Z24794" s="258"/>
    </row>
    <row r="24795" spans="1:26" ht="12.75" customHeight="1" x14ac:dyDescent="0.2">
      <c r="A24795" s="258"/>
      <c r="Z24795" s="258"/>
    </row>
    <row r="24796" spans="1:26" ht="12.75" customHeight="1" x14ac:dyDescent="0.2">
      <c r="A24796" s="258"/>
      <c r="Z24796" s="258"/>
    </row>
    <row r="24797" spans="1:26" ht="12.75" customHeight="1" x14ac:dyDescent="0.2">
      <c r="A24797" s="258"/>
      <c r="Z24797" s="258"/>
    </row>
    <row r="24798" spans="1:26" ht="12.75" customHeight="1" x14ac:dyDescent="0.2">
      <c r="A24798" s="258"/>
      <c r="Z24798" s="258"/>
    </row>
    <row r="24799" spans="1:26" ht="12.75" customHeight="1" x14ac:dyDescent="0.2">
      <c r="A24799" s="258"/>
      <c r="Z24799" s="258"/>
    </row>
    <row r="24800" spans="1:26" ht="12.75" customHeight="1" x14ac:dyDescent="0.2">
      <c r="A24800" s="258"/>
      <c r="Z24800" s="258"/>
    </row>
    <row r="24801" spans="1:26" ht="12.75" customHeight="1" x14ac:dyDescent="0.2">
      <c r="A24801" s="258"/>
      <c r="Z24801" s="258"/>
    </row>
    <row r="24802" spans="1:26" ht="12.75" customHeight="1" x14ac:dyDescent="0.2">
      <c r="A24802" s="258"/>
      <c r="Z24802" s="258"/>
    </row>
    <row r="24803" spans="1:26" ht="12.75" customHeight="1" x14ac:dyDescent="0.2">
      <c r="A24803" s="258"/>
      <c r="Z24803" s="258"/>
    </row>
    <row r="24804" spans="1:26" ht="12.75" customHeight="1" x14ac:dyDescent="0.2">
      <c r="A24804" s="258"/>
      <c r="Z24804" s="258"/>
    </row>
    <row r="24805" spans="1:26" ht="12.75" customHeight="1" x14ac:dyDescent="0.2">
      <c r="A24805" s="258"/>
      <c r="Z24805" s="258"/>
    </row>
    <row r="24806" spans="1:26" ht="12.75" customHeight="1" x14ac:dyDescent="0.2">
      <c r="A24806" s="258"/>
      <c r="Z24806" s="258"/>
    </row>
    <row r="24807" spans="1:26" ht="12.75" customHeight="1" x14ac:dyDescent="0.2">
      <c r="A24807" s="258"/>
      <c r="Z24807" s="258"/>
    </row>
    <row r="24808" spans="1:26" ht="12.75" customHeight="1" x14ac:dyDescent="0.2">
      <c r="A24808" s="258"/>
      <c r="Z24808" s="258"/>
    </row>
    <row r="24809" spans="1:26" ht="12.75" customHeight="1" x14ac:dyDescent="0.2">
      <c r="A24809" s="258"/>
      <c r="Z24809" s="258"/>
    </row>
    <row r="24810" spans="1:26" ht="12.75" customHeight="1" x14ac:dyDescent="0.2">
      <c r="A24810" s="258"/>
      <c r="Z24810" s="258"/>
    </row>
    <row r="24811" spans="1:26" ht="12.75" customHeight="1" x14ac:dyDescent="0.2">
      <c r="A24811" s="258"/>
      <c r="Z24811" s="258"/>
    </row>
    <row r="24812" spans="1:26" ht="12.75" customHeight="1" x14ac:dyDescent="0.2">
      <c r="A24812" s="258"/>
      <c r="Z24812" s="258"/>
    </row>
    <row r="24813" spans="1:26" ht="12.75" customHeight="1" x14ac:dyDescent="0.2">
      <c r="A24813" s="258"/>
      <c r="Z24813" s="258"/>
    </row>
    <row r="24814" spans="1:26" ht="12.75" customHeight="1" x14ac:dyDescent="0.2">
      <c r="A24814" s="258"/>
      <c r="Z24814" s="258"/>
    </row>
    <row r="24815" spans="1:26" ht="12.75" customHeight="1" x14ac:dyDescent="0.2">
      <c r="A24815" s="258"/>
      <c r="Z24815" s="258"/>
    </row>
    <row r="24816" spans="1:26" ht="12.75" customHeight="1" x14ac:dyDescent="0.2">
      <c r="A24816" s="258"/>
      <c r="Z24816" s="258"/>
    </row>
    <row r="24817" spans="1:26" ht="12.75" customHeight="1" x14ac:dyDescent="0.2">
      <c r="A24817" s="258"/>
      <c r="Z24817" s="258"/>
    </row>
    <row r="24818" spans="1:26" ht="12.75" customHeight="1" x14ac:dyDescent="0.2">
      <c r="A24818" s="258"/>
      <c r="Z24818" s="258"/>
    </row>
    <row r="24819" spans="1:26" ht="12.75" customHeight="1" x14ac:dyDescent="0.2">
      <c r="A24819" s="258"/>
      <c r="Z24819" s="258"/>
    </row>
    <row r="24820" spans="1:26" ht="12.75" customHeight="1" x14ac:dyDescent="0.2">
      <c r="A24820" s="258"/>
      <c r="Z24820" s="258"/>
    </row>
    <row r="24821" spans="1:26" ht="12.75" customHeight="1" x14ac:dyDescent="0.2">
      <c r="A24821" s="258"/>
      <c r="Z24821" s="258"/>
    </row>
    <row r="24822" spans="1:26" ht="12.75" customHeight="1" x14ac:dyDescent="0.2">
      <c r="A24822" s="258"/>
      <c r="Z24822" s="258"/>
    </row>
    <row r="24823" spans="1:26" ht="12.75" customHeight="1" x14ac:dyDescent="0.2">
      <c r="A24823" s="258"/>
      <c r="Z24823" s="258"/>
    </row>
    <row r="24824" spans="1:26" ht="12.75" customHeight="1" x14ac:dyDescent="0.2">
      <c r="A24824" s="258"/>
      <c r="Z24824" s="258"/>
    </row>
    <row r="24825" spans="1:26" ht="12.75" customHeight="1" x14ac:dyDescent="0.2">
      <c r="A24825" s="258"/>
      <c r="Z24825" s="258"/>
    </row>
    <row r="24826" spans="1:26" ht="12.75" customHeight="1" x14ac:dyDescent="0.2">
      <c r="A24826" s="258"/>
      <c r="Z24826" s="258"/>
    </row>
    <row r="24827" spans="1:26" ht="12.75" customHeight="1" x14ac:dyDescent="0.2">
      <c r="A24827" s="258"/>
      <c r="Z24827" s="258"/>
    </row>
    <row r="24828" spans="1:26" ht="12.75" customHeight="1" x14ac:dyDescent="0.2">
      <c r="A24828" s="258"/>
      <c r="Z24828" s="258"/>
    </row>
    <row r="24829" spans="1:26" ht="12.75" customHeight="1" x14ac:dyDescent="0.2">
      <c r="A24829" s="258"/>
      <c r="Z24829" s="258"/>
    </row>
    <row r="24830" spans="1:26" ht="12.75" customHeight="1" x14ac:dyDescent="0.2">
      <c r="A24830" s="258"/>
      <c r="Z24830" s="258"/>
    </row>
    <row r="24831" spans="1:26" ht="12.75" customHeight="1" x14ac:dyDescent="0.2">
      <c r="A24831" s="258"/>
      <c r="Z24831" s="258"/>
    </row>
    <row r="24832" spans="1:26" ht="12.75" customHeight="1" x14ac:dyDescent="0.2">
      <c r="A24832" s="258"/>
      <c r="Z24832" s="258"/>
    </row>
    <row r="24833" spans="1:26" ht="12.75" customHeight="1" x14ac:dyDescent="0.2">
      <c r="A24833" s="258"/>
      <c r="Z24833" s="258"/>
    </row>
    <row r="24834" spans="1:26" ht="12.75" customHeight="1" x14ac:dyDescent="0.2">
      <c r="A24834" s="258"/>
      <c r="Z24834" s="258"/>
    </row>
    <row r="24835" spans="1:26" ht="12.75" customHeight="1" x14ac:dyDescent="0.2">
      <c r="A24835" s="258"/>
      <c r="Z24835" s="258"/>
    </row>
    <row r="24836" spans="1:26" ht="12.75" customHeight="1" x14ac:dyDescent="0.2">
      <c r="A24836" s="258"/>
      <c r="Z24836" s="258"/>
    </row>
    <row r="24837" spans="1:26" ht="12.75" customHeight="1" x14ac:dyDescent="0.2">
      <c r="A24837" s="258"/>
      <c r="Z24837" s="258"/>
    </row>
    <row r="24838" spans="1:26" ht="12.75" customHeight="1" x14ac:dyDescent="0.2">
      <c r="A24838" s="258"/>
      <c r="Z24838" s="258"/>
    </row>
    <row r="24839" spans="1:26" ht="12.75" customHeight="1" x14ac:dyDescent="0.2">
      <c r="A24839" s="258"/>
      <c r="Z24839" s="258"/>
    </row>
    <row r="24840" spans="1:26" ht="12.75" customHeight="1" x14ac:dyDescent="0.2">
      <c r="A24840" s="258"/>
      <c r="Z24840" s="258"/>
    </row>
    <row r="24841" spans="1:26" ht="12.75" customHeight="1" x14ac:dyDescent="0.2">
      <c r="A24841" s="258"/>
      <c r="Z24841" s="258"/>
    </row>
    <row r="24842" spans="1:26" ht="12.75" customHeight="1" x14ac:dyDescent="0.2">
      <c r="A24842" s="258"/>
      <c r="Z24842" s="258"/>
    </row>
    <row r="24843" spans="1:26" ht="12.75" customHeight="1" x14ac:dyDescent="0.2">
      <c r="A24843" s="258"/>
      <c r="Z24843" s="258"/>
    </row>
    <row r="24844" spans="1:26" ht="12.75" customHeight="1" x14ac:dyDescent="0.2">
      <c r="A24844" s="258"/>
      <c r="Z24844" s="258"/>
    </row>
    <row r="24845" spans="1:26" ht="12.75" customHeight="1" x14ac:dyDescent="0.2">
      <c r="A24845" s="258"/>
      <c r="Z24845" s="258"/>
    </row>
    <row r="24846" spans="1:26" ht="12.75" customHeight="1" x14ac:dyDescent="0.2">
      <c r="A24846" s="258"/>
      <c r="Z24846" s="258"/>
    </row>
    <row r="24847" spans="1:26" ht="12.75" customHeight="1" x14ac:dyDescent="0.2">
      <c r="A24847" s="258"/>
      <c r="Z24847" s="258"/>
    </row>
    <row r="24848" spans="1:26" ht="12.75" customHeight="1" x14ac:dyDescent="0.2">
      <c r="A24848" s="258"/>
      <c r="Z24848" s="258"/>
    </row>
    <row r="24849" spans="1:26" ht="12.75" customHeight="1" x14ac:dyDescent="0.2">
      <c r="A24849" s="258"/>
      <c r="Z24849" s="258"/>
    </row>
    <row r="24850" spans="1:26" ht="12.75" customHeight="1" x14ac:dyDescent="0.2">
      <c r="A24850" s="258"/>
      <c r="Z24850" s="258"/>
    </row>
    <row r="24851" spans="1:26" ht="12.75" customHeight="1" x14ac:dyDescent="0.2">
      <c r="A24851" s="258"/>
      <c r="Z24851" s="258"/>
    </row>
    <row r="24852" spans="1:26" ht="12.75" customHeight="1" x14ac:dyDescent="0.2">
      <c r="A24852" s="258"/>
      <c r="Z24852" s="258"/>
    </row>
    <row r="24853" spans="1:26" ht="12.75" customHeight="1" x14ac:dyDescent="0.2">
      <c r="A24853" s="258"/>
      <c r="Z24853" s="258"/>
    </row>
    <row r="24854" spans="1:26" ht="12.75" customHeight="1" x14ac:dyDescent="0.2">
      <c r="A24854" s="258"/>
      <c r="Z24854" s="258"/>
    </row>
    <row r="24855" spans="1:26" ht="12.75" customHeight="1" x14ac:dyDescent="0.2">
      <c r="A24855" s="258"/>
      <c r="Z24855" s="258"/>
    </row>
    <row r="24856" spans="1:26" ht="12.75" customHeight="1" x14ac:dyDescent="0.2">
      <c r="A24856" s="258"/>
      <c r="Z24856" s="258"/>
    </row>
    <row r="24857" spans="1:26" ht="12.75" customHeight="1" x14ac:dyDescent="0.2">
      <c r="A24857" s="258"/>
      <c r="Z24857" s="258"/>
    </row>
    <row r="24858" spans="1:26" ht="12.75" customHeight="1" x14ac:dyDescent="0.2">
      <c r="A24858" s="258"/>
      <c r="Z24858" s="258"/>
    </row>
    <row r="24859" spans="1:26" ht="12.75" customHeight="1" x14ac:dyDescent="0.2">
      <c r="A24859" s="258"/>
      <c r="Z24859" s="258"/>
    </row>
    <row r="24860" spans="1:26" ht="12.75" customHeight="1" x14ac:dyDescent="0.2">
      <c r="A24860" s="258"/>
      <c r="Z24860" s="258"/>
    </row>
    <row r="24861" spans="1:26" ht="12.75" customHeight="1" x14ac:dyDescent="0.2">
      <c r="A24861" s="258"/>
      <c r="Z24861" s="258"/>
    </row>
    <row r="24862" spans="1:26" ht="12.75" customHeight="1" x14ac:dyDescent="0.2">
      <c r="A24862" s="258"/>
      <c r="Z24862" s="258"/>
    </row>
    <row r="24863" spans="1:26" ht="12.75" customHeight="1" x14ac:dyDescent="0.2">
      <c r="A24863" s="258"/>
      <c r="Z24863" s="258"/>
    </row>
    <row r="24864" spans="1:26" ht="12.75" customHeight="1" x14ac:dyDescent="0.2">
      <c r="A24864" s="258"/>
      <c r="Z24864" s="258"/>
    </row>
    <row r="24865" spans="1:26" ht="12.75" customHeight="1" x14ac:dyDescent="0.2">
      <c r="A24865" s="258"/>
      <c r="Z24865" s="258"/>
    </row>
    <row r="24866" spans="1:26" ht="12.75" customHeight="1" x14ac:dyDescent="0.2">
      <c r="A24866" s="258"/>
      <c r="Z24866" s="258"/>
    </row>
    <row r="24867" spans="1:26" ht="12.75" customHeight="1" x14ac:dyDescent="0.2">
      <c r="A24867" s="258"/>
      <c r="Z24867" s="258"/>
    </row>
    <row r="24868" spans="1:26" ht="12.75" customHeight="1" x14ac:dyDescent="0.2">
      <c r="A24868" s="258"/>
      <c r="Z24868" s="258"/>
    </row>
    <row r="24869" spans="1:26" ht="12.75" customHeight="1" x14ac:dyDescent="0.2">
      <c r="A24869" s="258"/>
      <c r="Z24869" s="258"/>
    </row>
    <row r="24870" spans="1:26" ht="12.75" customHeight="1" x14ac:dyDescent="0.2">
      <c r="A24870" s="258"/>
      <c r="Z24870" s="258"/>
    </row>
    <row r="24871" spans="1:26" ht="12.75" customHeight="1" x14ac:dyDescent="0.2">
      <c r="A24871" s="258"/>
      <c r="Z24871" s="258"/>
    </row>
    <row r="24872" spans="1:26" ht="12.75" customHeight="1" x14ac:dyDescent="0.2">
      <c r="A24872" s="258"/>
      <c r="Z24872" s="258"/>
    </row>
    <row r="24873" spans="1:26" ht="12.75" customHeight="1" x14ac:dyDescent="0.2">
      <c r="A24873" s="258"/>
      <c r="Z24873" s="258"/>
    </row>
    <row r="24874" spans="1:26" ht="12.75" customHeight="1" x14ac:dyDescent="0.2">
      <c r="A24874" s="258"/>
      <c r="Z24874" s="258"/>
    </row>
    <row r="24875" spans="1:26" ht="12.75" customHeight="1" x14ac:dyDescent="0.2">
      <c r="A24875" s="258"/>
      <c r="Z24875" s="258"/>
    </row>
    <row r="24876" spans="1:26" ht="12.75" customHeight="1" x14ac:dyDescent="0.2">
      <c r="A24876" s="258"/>
      <c r="Z24876" s="258"/>
    </row>
    <row r="24877" spans="1:26" ht="12.75" customHeight="1" x14ac:dyDescent="0.2">
      <c r="A24877" s="258"/>
      <c r="Z24877" s="258"/>
    </row>
    <row r="24878" spans="1:26" ht="12.75" customHeight="1" x14ac:dyDescent="0.2">
      <c r="A24878" s="258"/>
      <c r="Z24878" s="258"/>
    </row>
    <row r="24879" spans="1:26" ht="12.75" customHeight="1" x14ac:dyDescent="0.2">
      <c r="A24879" s="258"/>
      <c r="Z24879" s="258"/>
    </row>
    <row r="24880" spans="1:26" ht="12.75" customHeight="1" x14ac:dyDescent="0.2">
      <c r="A24880" s="258"/>
      <c r="Z24880" s="258"/>
    </row>
    <row r="24881" spans="1:26" ht="12.75" customHeight="1" x14ac:dyDescent="0.2">
      <c r="A24881" s="258"/>
      <c r="Z24881" s="258"/>
    </row>
    <row r="24882" spans="1:26" ht="12.75" customHeight="1" x14ac:dyDescent="0.2">
      <c r="A24882" s="258"/>
      <c r="Z24882" s="258"/>
    </row>
    <row r="24883" spans="1:26" ht="12.75" customHeight="1" x14ac:dyDescent="0.2">
      <c r="A24883" s="258"/>
      <c r="Z24883" s="258"/>
    </row>
    <row r="24884" spans="1:26" ht="12.75" customHeight="1" x14ac:dyDescent="0.2">
      <c r="A24884" s="258"/>
      <c r="Z24884" s="258"/>
    </row>
    <row r="24885" spans="1:26" ht="12.75" customHeight="1" x14ac:dyDescent="0.2">
      <c r="A24885" s="258"/>
      <c r="Z24885" s="258"/>
    </row>
    <row r="24886" spans="1:26" ht="12.75" customHeight="1" x14ac:dyDescent="0.2">
      <c r="A24886" s="258"/>
      <c r="Z24886" s="258"/>
    </row>
    <row r="24887" spans="1:26" ht="12.75" customHeight="1" x14ac:dyDescent="0.2">
      <c r="A24887" s="258"/>
      <c r="Z24887" s="258"/>
    </row>
    <row r="24888" spans="1:26" ht="12.75" customHeight="1" x14ac:dyDescent="0.2">
      <c r="A24888" s="258"/>
      <c r="Z24888" s="258"/>
    </row>
    <row r="24889" spans="1:26" ht="12.75" customHeight="1" x14ac:dyDescent="0.2">
      <c r="A24889" s="258"/>
      <c r="Z24889" s="258"/>
    </row>
    <row r="24890" spans="1:26" ht="12.75" customHeight="1" x14ac:dyDescent="0.2">
      <c r="A24890" s="258"/>
      <c r="Z24890" s="258"/>
    </row>
    <row r="24891" spans="1:26" ht="12.75" customHeight="1" x14ac:dyDescent="0.2">
      <c r="A24891" s="258"/>
      <c r="Z24891" s="258"/>
    </row>
    <row r="24892" spans="1:26" ht="12.75" customHeight="1" x14ac:dyDescent="0.2">
      <c r="A24892" s="258"/>
      <c r="Z24892" s="258"/>
    </row>
    <row r="24893" spans="1:26" ht="12.75" customHeight="1" x14ac:dyDescent="0.2">
      <c r="A24893" s="258"/>
      <c r="Z24893" s="258"/>
    </row>
    <row r="24894" spans="1:26" ht="12.75" customHeight="1" x14ac:dyDescent="0.2">
      <c r="A24894" s="258"/>
      <c r="Z24894" s="258"/>
    </row>
    <row r="24895" spans="1:26" ht="12.75" customHeight="1" x14ac:dyDescent="0.2">
      <c r="A24895" s="258"/>
      <c r="Z24895" s="258"/>
    </row>
    <row r="24896" spans="1:26" ht="12.75" customHeight="1" x14ac:dyDescent="0.2">
      <c r="A24896" s="258"/>
      <c r="Z24896" s="258"/>
    </row>
    <row r="24897" spans="1:26" ht="12.75" customHeight="1" x14ac:dyDescent="0.2">
      <c r="A24897" s="258"/>
      <c r="Z24897" s="258"/>
    </row>
    <row r="24898" spans="1:26" ht="12.75" customHeight="1" x14ac:dyDescent="0.2">
      <c r="A24898" s="258"/>
      <c r="Z24898" s="258"/>
    </row>
    <row r="24899" spans="1:26" ht="12.75" customHeight="1" x14ac:dyDescent="0.2">
      <c r="A24899" s="258"/>
      <c r="Z24899" s="258"/>
    </row>
    <row r="24900" spans="1:26" ht="12.75" customHeight="1" x14ac:dyDescent="0.2">
      <c r="A24900" s="258"/>
      <c r="Z24900" s="258"/>
    </row>
    <row r="24901" spans="1:26" ht="12.75" customHeight="1" x14ac:dyDescent="0.2">
      <c r="A24901" s="258"/>
      <c r="Z24901" s="258"/>
    </row>
    <row r="24902" spans="1:26" ht="12.75" customHeight="1" x14ac:dyDescent="0.2">
      <c r="A24902" s="258"/>
      <c r="Z24902" s="258"/>
    </row>
    <row r="24903" spans="1:26" ht="12.75" customHeight="1" x14ac:dyDescent="0.2">
      <c r="A24903" s="258"/>
      <c r="Z24903" s="258"/>
    </row>
    <row r="24904" spans="1:26" ht="12.75" customHeight="1" x14ac:dyDescent="0.2">
      <c r="A24904" s="258"/>
      <c r="Z24904" s="258"/>
    </row>
    <row r="24905" spans="1:26" ht="12.75" customHeight="1" x14ac:dyDescent="0.2">
      <c r="A24905" s="258"/>
      <c r="Z24905" s="258"/>
    </row>
    <row r="24906" spans="1:26" ht="12.75" customHeight="1" x14ac:dyDescent="0.2">
      <c r="A24906" s="258"/>
      <c r="Z24906" s="258"/>
    </row>
    <row r="24907" spans="1:26" ht="12.75" customHeight="1" x14ac:dyDescent="0.2">
      <c r="A24907" s="258"/>
      <c r="Z24907" s="258"/>
    </row>
    <row r="24908" spans="1:26" ht="12.75" customHeight="1" x14ac:dyDescent="0.2">
      <c r="A24908" s="258"/>
      <c r="Z24908" s="258"/>
    </row>
    <row r="24909" spans="1:26" ht="12.75" customHeight="1" x14ac:dyDescent="0.2">
      <c r="A24909" s="258"/>
      <c r="Z24909" s="258"/>
    </row>
    <row r="24910" spans="1:26" ht="12.75" customHeight="1" x14ac:dyDescent="0.2">
      <c r="A24910" s="258"/>
      <c r="Z24910" s="258"/>
    </row>
    <row r="24911" spans="1:26" ht="12.75" customHeight="1" x14ac:dyDescent="0.2">
      <c r="A24911" s="258"/>
      <c r="Z24911" s="258"/>
    </row>
    <row r="24912" spans="1:26" ht="12.75" customHeight="1" x14ac:dyDescent="0.2">
      <c r="A24912" s="258"/>
      <c r="Z24912" s="258"/>
    </row>
    <row r="24913" spans="1:26" ht="12.75" customHeight="1" x14ac:dyDescent="0.2">
      <c r="A24913" s="258"/>
      <c r="Z24913" s="258"/>
    </row>
    <row r="24914" spans="1:26" ht="12.75" customHeight="1" x14ac:dyDescent="0.2">
      <c r="A24914" s="258"/>
      <c r="Z24914" s="258"/>
    </row>
    <row r="24915" spans="1:26" ht="12.75" customHeight="1" x14ac:dyDescent="0.2">
      <c r="A24915" s="258"/>
      <c r="Z24915" s="258"/>
    </row>
    <row r="24916" spans="1:26" ht="12.75" customHeight="1" x14ac:dyDescent="0.2">
      <c r="A24916" s="258"/>
      <c r="Z24916" s="258"/>
    </row>
    <row r="24917" spans="1:26" ht="12.75" customHeight="1" x14ac:dyDescent="0.2">
      <c r="A24917" s="258"/>
      <c r="Z24917" s="258"/>
    </row>
    <row r="24918" spans="1:26" ht="12.75" customHeight="1" x14ac:dyDescent="0.2">
      <c r="A24918" s="258"/>
      <c r="Z24918" s="258"/>
    </row>
    <row r="24919" spans="1:26" ht="12.75" customHeight="1" x14ac:dyDescent="0.2">
      <c r="A24919" s="258"/>
      <c r="Z24919" s="258"/>
    </row>
    <row r="24920" spans="1:26" ht="12.75" customHeight="1" x14ac:dyDescent="0.2">
      <c r="A24920" s="258"/>
      <c r="Z24920" s="258"/>
    </row>
    <row r="24921" spans="1:26" ht="12.75" customHeight="1" x14ac:dyDescent="0.2">
      <c r="A24921" s="258"/>
      <c r="Z24921" s="258"/>
    </row>
    <row r="24922" spans="1:26" ht="12.75" customHeight="1" x14ac:dyDescent="0.2">
      <c r="A24922" s="258"/>
      <c r="Z24922" s="258"/>
    </row>
    <row r="24923" spans="1:26" ht="12.75" customHeight="1" x14ac:dyDescent="0.2">
      <c r="A24923" s="258"/>
      <c r="Z24923" s="258"/>
    </row>
    <row r="24924" spans="1:26" ht="12.75" customHeight="1" x14ac:dyDescent="0.2">
      <c r="A24924" s="258"/>
      <c r="Z24924" s="258"/>
    </row>
    <row r="24925" spans="1:26" ht="12.75" customHeight="1" x14ac:dyDescent="0.2">
      <c r="A24925" s="258"/>
      <c r="Z24925" s="258"/>
    </row>
    <row r="24926" spans="1:26" ht="12.75" customHeight="1" x14ac:dyDescent="0.2">
      <c r="A24926" s="258"/>
      <c r="Z24926" s="258"/>
    </row>
    <row r="24927" spans="1:26" ht="12.75" customHeight="1" x14ac:dyDescent="0.2">
      <c r="A24927" s="258"/>
      <c r="Z24927" s="258"/>
    </row>
    <row r="24928" spans="1:26" ht="12.75" customHeight="1" x14ac:dyDescent="0.2">
      <c r="A24928" s="258"/>
      <c r="Z24928" s="258"/>
    </row>
    <row r="24929" spans="1:26" ht="12.75" customHeight="1" x14ac:dyDescent="0.2">
      <c r="A24929" s="258"/>
      <c r="Z24929" s="258"/>
    </row>
    <row r="24930" spans="1:26" ht="12.75" customHeight="1" x14ac:dyDescent="0.2">
      <c r="A24930" s="258"/>
      <c r="Z24930" s="258"/>
    </row>
    <row r="24931" spans="1:26" ht="12.75" customHeight="1" x14ac:dyDescent="0.2">
      <c r="A24931" s="258"/>
      <c r="Z24931" s="258"/>
    </row>
    <row r="24932" spans="1:26" ht="12.75" customHeight="1" x14ac:dyDescent="0.2">
      <c r="A24932" s="258"/>
      <c r="Z24932" s="258"/>
    </row>
    <row r="24933" spans="1:26" ht="12.75" customHeight="1" x14ac:dyDescent="0.2">
      <c r="A24933" s="258"/>
      <c r="Z24933" s="258"/>
    </row>
    <row r="24934" spans="1:26" ht="12.75" customHeight="1" x14ac:dyDescent="0.2">
      <c r="A24934" s="258"/>
      <c r="Z24934" s="258"/>
    </row>
    <row r="24935" spans="1:26" ht="12.75" customHeight="1" x14ac:dyDescent="0.2">
      <c r="A24935" s="258"/>
      <c r="Z24935" s="258"/>
    </row>
    <row r="24936" spans="1:26" ht="12.75" customHeight="1" x14ac:dyDescent="0.2">
      <c r="A24936" s="258"/>
      <c r="Z24936" s="258"/>
    </row>
    <row r="24937" spans="1:26" ht="12.75" customHeight="1" x14ac:dyDescent="0.2">
      <c r="A24937" s="258"/>
      <c r="Z24937" s="258"/>
    </row>
    <row r="24938" spans="1:26" ht="12.75" customHeight="1" x14ac:dyDescent="0.2">
      <c r="A24938" s="258"/>
      <c r="Z24938" s="258"/>
    </row>
    <row r="24939" spans="1:26" ht="12.75" customHeight="1" x14ac:dyDescent="0.2">
      <c r="A24939" s="258"/>
      <c r="Z24939" s="258"/>
    </row>
    <row r="24940" spans="1:26" ht="12.75" customHeight="1" x14ac:dyDescent="0.2">
      <c r="A24940" s="258"/>
      <c r="Z24940" s="258"/>
    </row>
    <row r="24941" spans="1:26" ht="12.75" customHeight="1" x14ac:dyDescent="0.2">
      <c r="A24941" s="258"/>
      <c r="Z24941" s="258"/>
    </row>
    <row r="24942" spans="1:26" ht="12.75" customHeight="1" x14ac:dyDescent="0.2">
      <c r="A24942" s="258"/>
      <c r="Z24942" s="258"/>
    </row>
    <row r="24943" spans="1:26" ht="12.75" customHeight="1" x14ac:dyDescent="0.2">
      <c r="A24943" s="258"/>
      <c r="Z24943" s="258"/>
    </row>
    <row r="24944" spans="1:26" ht="12.75" customHeight="1" x14ac:dyDescent="0.2">
      <c r="A24944" s="258"/>
      <c r="Z24944" s="258"/>
    </row>
    <row r="24945" spans="1:26" ht="12.75" customHeight="1" x14ac:dyDescent="0.2">
      <c r="A24945" s="258"/>
      <c r="Z24945" s="258"/>
    </row>
    <row r="24946" spans="1:26" ht="12.75" customHeight="1" x14ac:dyDescent="0.2">
      <c r="A24946" s="258"/>
      <c r="Z24946" s="258"/>
    </row>
    <row r="24947" spans="1:26" ht="12.75" customHeight="1" x14ac:dyDescent="0.2">
      <c r="A24947" s="258"/>
      <c r="Z24947" s="258"/>
    </row>
    <row r="24948" spans="1:26" ht="12.75" customHeight="1" x14ac:dyDescent="0.2">
      <c r="A24948" s="258"/>
      <c r="Z24948" s="258"/>
    </row>
    <row r="24949" spans="1:26" ht="12.75" customHeight="1" x14ac:dyDescent="0.2">
      <c r="A24949" s="258"/>
      <c r="Z24949" s="258"/>
    </row>
    <row r="24950" spans="1:26" ht="12.75" customHeight="1" x14ac:dyDescent="0.2">
      <c r="A24950" s="258"/>
      <c r="Z24950" s="258"/>
    </row>
    <row r="24951" spans="1:26" ht="12.75" customHeight="1" x14ac:dyDescent="0.2">
      <c r="A24951" s="258"/>
      <c r="Z24951" s="258"/>
    </row>
    <row r="24952" spans="1:26" ht="12.75" customHeight="1" x14ac:dyDescent="0.2">
      <c r="A24952" s="258"/>
      <c r="Z24952" s="258"/>
    </row>
    <row r="24953" spans="1:26" ht="12.75" customHeight="1" x14ac:dyDescent="0.2">
      <c r="A24953" s="258"/>
      <c r="Z24953" s="258"/>
    </row>
    <row r="24954" spans="1:26" ht="12.75" customHeight="1" x14ac:dyDescent="0.2">
      <c r="A24954" s="258"/>
      <c r="Z24954" s="258"/>
    </row>
    <row r="24955" spans="1:26" ht="12.75" customHeight="1" x14ac:dyDescent="0.2">
      <c r="A24955" s="258"/>
      <c r="Z24955" s="258"/>
    </row>
    <row r="24956" spans="1:26" ht="12.75" customHeight="1" x14ac:dyDescent="0.2">
      <c r="A24956" s="258"/>
      <c r="Z24956" s="258"/>
    </row>
    <row r="24957" spans="1:26" ht="12.75" customHeight="1" x14ac:dyDescent="0.2">
      <c r="A24957" s="258"/>
      <c r="Z24957" s="258"/>
    </row>
    <row r="24958" spans="1:26" ht="12.75" customHeight="1" x14ac:dyDescent="0.2">
      <c r="A24958" s="258"/>
      <c r="Z24958" s="258"/>
    </row>
    <row r="24959" spans="1:26" ht="12.75" customHeight="1" x14ac:dyDescent="0.2">
      <c r="A24959" s="258"/>
      <c r="Z24959" s="258"/>
    </row>
    <row r="24960" spans="1:26" ht="12.75" customHeight="1" x14ac:dyDescent="0.2">
      <c r="A24960" s="258"/>
      <c r="Z24960" s="258"/>
    </row>
    <row r="24961" spans="1:26" ht="12.75" customHeight="1" x14ac:dyDescent="0.2">
      <c r="A24961" s="258"/>
      <c r="Z24961" s="258"/>
    </row>
    <row r="24962" spans="1:26" ht="12.75" customHeight="1" x14ac:dyDescent="0.2">
      <c r="A24962" s="258"/>
      <c r="Z24962" s="258"/>
    </row>
    <row r="24963" spans="1:26" ht="12.75" customHeight="1" x14ac:dyDescent="0.2">
      <c r="A24963" s="258"/>
      <c r="Z24963" s="258"/>
    </row>
    <row r="24964" spans="1:26" ht="12.75" customHeight="1" x14ac:dyDescent="0.2">
      <c r="A24964" s="258"/>
      <c r="Z24964" s="258"/>
    </row>
    <row r="24965" spans="1:26" ht="12.75" customHeight="1" x14ac:dyDescent="0.2">
      <c r="A24965" s="258"/>
      <c r="Z24965" s="258"/>
    </row>
    <row r="24966" spans="1:26" ht="12.75" customHeight="1" x14ac:dyDescent="0.2">
      <c r="A24966" s="258"/>
      <c r="Z24966" s="258"/>
    </row>
    <row r="24967" spans="1:26" ht="12.75" customHeight="1" x14ac:dyDescent="0.2">
      <c r="A24967" s="258"/>
      <c r="Z24967" s="258"/>
    </row>
    <row r="24968" spans="1:26" ht="12.75" customHeight="1" x14ac:dyDescent="0.2">
      <c r="A24968" s="258"/>
      <c r="Z24968" s="258"/>
    </row>
    <row r="24969" spans="1:26" ht="12.75" customHeight="1" x14ac:dyDescent="0.2">
      <c r="A24969" s="258"/>
      <c r="Z24969" s="258"/>
    </row>
    <row r="24970" spans="1:26" ht="12.75" customHeight="1" x14ac:dyDescent="0.2">
      <c r="A24970" s="258"/>
      <c r="Z24970" s="258"/>
    </row>
    <row r="24971" spans="1:26" ht="12.75" customHeight="1" x14ac:dyDescent="0.2">
      <c r="A24971" s="258"/>
      <c r="Z24971" s="258"/>
    </row>
    <row r="24972" spans="1:26" ht="12.75" customHeight="1" x14ac:dyDescent="0.2">
      <c r="A24972" s="258"/>
      <c r="Z24972" s="258"/>
    </row>
    <row r="24973" spans="1:26" ht="12.75" customHeight="1" x14ac:dyDescent="0.2">
      <c r="A24973" s="258"/>
      <c r="Z24973" s="258"/>
    </row>
    <row r="24974" spans="1:26" ht="12.75" customHeight="1" x14ac:dyDescent="0.2">
      <c r="A24974" s="258"/>
      <c r="Z24974" s="258"/>
    </row>
    <row r="24975" spans="1:26" ht="12.75" customHeight="1" x14ac:dyDescent="0.2">
      <c r="A24975" s="258"/>
      <c r="Z24975" s="258"/>
    </row>
    <row r="24976" spans="1:26" ht="12.75" customHeight="1" x14ac:dyDescent="0.2">
      <c r="A24976" s="258"/>
      <c r="Z24976" s="258"/>
    </row>
    <row r="24977" spans="1:26" ht="12.75" customHeight="1" x14ac:dyDescent="0.2">
      <c r="A24977" s="258"/>
      <c r="Z24977" s="258"/>
    </row>
    <row r="24978" spans="1:26" ht="12.75" customHeight="1" x14ac:dyDescent="0.2">
      <c r="A24978" s="258"/>
      <c r="Z24978" s="258"/>
    </row>
    <row r="24979" spans="1:26" ht="12.75" customHeight="1" x14ac:dyDescent="0.2">
      <c r="A24979" s="258"/>
      <c r="Z24979" s="258"/>
    </row>
    <row r="24980" spans="1:26" ht="12.75" customHeight="1" x14ac:dyDescent="0.2">
      <c r="A24980" s="258"/>
      <c r="Z24980" s="258"/>
    </row>
    <row r="24981" spans="1:26" ht="12.75" customHeight="1" x14ac:dyDescent="0.2">
      <c r="A24981" s="258"/>
      <c r="Z24981" s="258"/>
    </row>
    <row r="24982" spans="1:26" ht="12.75" customHeight="1" x14ac:dyDescent="0.2">
      <c r="A24982" s="258"/>
      <c r="Z24982" s="258"/>
    </row>
    <row r="24983" spans="1:26" ht="12.75" customHeight="1" x14ac:dyDescent="0.2">
      <c r="A24983" s="258"/>
      <c r="Z24983" s="258"/>
    </row>
    <row r="24984" spans="1:26" ht="12.75" customHeight="1" x14ac:dyDescent="0.2">
      <c r="A24984" s="258"/>
      <c r="Z24984" s="258"/>
    </row>
    <row r="24985" spans="1:26" ht="12.75" customHeight="1" x14ac:dyDescent="0.2">
      <c r="A24985" s="258"/>
      <c r="Z24985" s="258"/>
    </row>
    <row r="24986" spans="1:26" ht="12.75" customHeight="1" x14ac:dyDescent="0.2">
      <c r="A24986" s="258"/>
      <c r="Z24986" s="258"/>
    </row>
    <row r="24987" spans="1:26" ht="12.75" customHeight="1" x14ac:dyDescent="0.2">
      <c r="A24987" s="258"/>
      <c r="Z24987" s="258"/>
    </row>
    <row r="24988" spans="1:26" ht="12.75" customHeight="1" x14ac:dyDescent="0.2">
      <c r="A24988" s="258"/>
      <c r="Z24988" s="258"/>
    </row>
    <row r="24989" spans="1:26" ht="12.75" customHeight="1" x14ac:dyDescent="0.2">
      <c r="A24989" s="258"/>
      <c r="Z24989" s="258"/>
    </row>
    <row r="24990" spans="1:26" ht="12.75" customHeight="1" x14ac:dyDescent="0.2">
      <c r="A24990" s="258"/>
      <c r="Z24990" s="258"/>
    </row>
    <row r="24991" spans="1:26" ht="12.75" customHeight="1" x14ac:dyDescent="0.2">
      <c r="A24991" s="258"/>
      <c r="Z24991" s="258"/>
    </row>
    <row r="24992" spans="1:26" ht="12.75" customHeight="1" x14ac:dyDescent="0.2">
      <c r="A24992" s="258"/>
      <c r="Z24992" s="258"/>
    </row>
    <row r="24993" spans="1:26" ht="12.75" customHeight="1" x14ac:dyDescent="0.2">
      <c r="A24993" s="258"/>
      <c r="Z24993" s="258"/>
    </row>
    <row r="24994" spans="1:26" ht="12.75" customHeight="1" x14ac:dyDescent="0.2">
      <c r="A24994" s="258"/>
      <c r="Z24994" s="258"/>
    </row>
    <row r="24995" spans="1:26" ht="12.75" customHeight="1" x14ac:dyDescent="0.2">
      <c r="A24995" s="258"/>
      <c r="Z24995" s="258"/>
    </row>
    <row r="24996" spans="1:26" ht="12.75" customHeight="1" x14ac:dyDescent="0.2">
      <c r="A24996" s="258"/>
      <c r="Z24996" s="258"/>
    </row>
    <row r="24997" spans="1:26" ht="12.75" customHeight="1" x14ac:dyDescent="0.2">
      <c r="A24997" s="258"/>
      <c r="Z24997" s="258"/>
    </row>
    <row r="24998" spans="1:26" ht="12.75" customHeight="1" x14ac:dyDescent="0.2">
      <c r="A24998" s="258"/>
      <c r="Z24998" s="258"/>
    </row>
    <row r="24999" spans="1:26" ht="12.75" customHeight="1" x14ac:dyDescent="0.2">
      <c r="A24999" s="258"/>
      <c r="Z24999" s="258"/>
    </row>
    <row r="25000" spans="1:26" ht="12.75" customHeight="1" x14ac:dyDescent="0.2">
      <c r="A25000" s="258"/>
      <c r="Z25000" s="258"/>
    </row>
    <row r="25001" spans="1:26" ht="12.75" customHeight="1" x14ac:dyDescent="0.2">
      <c r="A25001" s="258"/>
      <c r="Z25001" s="258"/>
    </row>
    <row r="25002" spans="1:26" ht="12.75" customHeight="1" x14ac:dyDescent="0.2">
      <c r="A25002" s="258"/>
      <c r="Z25002" s="258"/>
    </row>
    <row r="25003" spans="1:26" ht="12.75" customHeight="1" x14ac:dyDescent="0.2">
      <c r="A25003" s="258"/>
      <c r="Z25003" s="258"/>
    </row>
    <row r="25004" spans="1:26" ht="12.75" customHeight="1" x14ac:dyDescent="0.2">
      <c r="A25004" s="258"/>
      <c r="Z25004" s="258"/>
    </row>
    <row r="25005" spans="1:26" ht="12.75" customHeight="1" x14ac:dyDescent="0.2">
      <c r="A25005" s="258"/>
      <c r="Z25005" s="258"/>
    </row>
    <row r="25006" spans="1:26" ht="12.75" customHeight="1" x14ac:dyDescent="0.2">
      <c r="A25006" s="258"/>
      <c r="Z25006" s="258"/>
    </row>
    <row r="25007" spans="1:26" ht="12.75" customHeight="1" x14ac:dyDescent="0.2">
      <c r="A25007" s="258"/>
      <c r="Z25007" s="258"/>
    </row>
    <row r="25008" spans="1:26" ht="12.75" customHeight="1" x14ac:dyDescent="0.2">
      <c r="A25008" s="258"/>
      <c r="Z25008" s="258"/>
    </row>
    <row r="25009" spans="1:26" ht="12.75" customHeight="1" x14ac:dyDescent="0.2">
      <c r="A25009" s="258"/>
      <c r="Z25009" s="258"/>
    </row>
    <row r="25010" spans="1:26" ht="12.75" customHeight="1" x14ac:dyDescent="0.2">
      <c r="A25010" s="258"/>
      <c r="Z25010" s="258"/>
    </row>
    <row r="25011" spans="1:26" ht="12.75" customHeight="1" x14ac:dyDescent="0.2">
      <c r="A25011" s="258"/>
      <c r="Z25011" s="258"/>
    </row>
    <row r="25012" spans="1:26" ht="12.75" customHeight="1" x14ac:dyDescent="0.2">
      <c r="A25012" s="258"/>
      <c r="Z25012" s="258"/>
    </row>
    <row r="25013" spans="1:26" ht="12.75" customHeight="1" x14ac:dyDescent="0.2">
      <c r="A25013" s="258"/>
      <c r="Z25013" s="258"/>
    </row>
    <row r="25014" spans="1:26" ht="12.75" customHeight="1" x14ac:dyDescent="0.2">
      <c r="A25014" s="258"/>
      <c r="Z25014" s="258"/>
    </row>
    <row r="25015" spans="1:26" ht="12.75" customHeight="1" x14ac:dyDescent="0.2">
      <c r="A25015" s="258"/>
      <c r="Z25015" s="258"/>
    </row>
    <row r="25016" spans="1:26" ht="12.75" customHeight="1" x14ac:dyDescent="0.2">
      <c r="A25016" s="258"/>
      <c r="Z25016" s="258"/>
    </row>
    <row r="25017" spans="1:26" ht="12.75" customHeight="1" x14ac:dyDescent="0.2">
      <c r="A25017" s="258"/>
      <c r="Z25017" s="258"/>
    </row>
    <row r="25018" spans="1:26" ht="12.75" customHeight="1" x14ac:dyDescent="0.2">
      <c r="A25018" s="258"/>
      <c r="Z25018" s="258"/>
    </row>
    <row r="25019" spans="1:26" ht="12.75" customHeight="1" x14ac:dyDescent="0.2">
      <c r="A25019" s="258"/>
      <c r="Z25019" s="258"/>
    </row>
    <row r="25020" spans="1:26" ht="12.75" customHeight="1" x14ac:dyDescent="0.2">
      <c r="A25020" s="258"/>
      <c r="Z25020" s="258"/>
    </row>
    <row r="25021" spans="1:26" ht="12.75" customHeight="1" x14ac:dyDescent="0.2">
      <c r="A25021" s="258"/>
      <c r="Z25021" s="258"/>
    </row>
    <row r="25022" spans="1:26" ht="12.75" customHeight="1" x14ac:dyDescent="0.2">
      <c r="A25022" s="258"/>
      <c r="Z25022" s="258"/>
    </row>
    <row r="25023" spans="1:26" ht="12.75" customHeight="1" x14ac:dyDescent="0.2">
      <c r="A25023" s="258"/>
      <c r="Z25023" s="258"/>
    </row>
    <row r="25024" spans="1:26" ht="12.75" customHeight="1" x14ac:dyDescent="0.2">
      <c r="A25024" s="258"/>
      <c r="Z25024" s="258"/>
    </row>
    <row r="25025" spans="1:26" ht="12.75" customHeight="1" x14ac:dyDescent="0.2">
      <c r="A25025" s="258"/>
      <c r="Z25025" s="258"/>
    </row>
    <row r="25026" spans="1:26" ht="12.75" customHeight="1" x14ac:dyDescent="0.2">
      <c r="A25026" s="258"/>
      <c r="Z25026" s="258"/>
    </row>
    <row r="25027" spans="1:26" ht="12.75" customHeight="1" x14ac:dyDescent="0.2">
      <c r="A25027" s="258"/>
      <c r="Z25027" s="258"/>
    </row>
    <row r="25028" spans="1:26" ht="12.75" customHeight="1" x14ac:dyDescent="0.2">
      <c r="A25028" s="258"/>
      <c r="Z25028" s="258"/>
    </row>
    <row r="25029" spans="1:26" ht="12.75" customHeight="1" x14ac:dyDescent="0.2">
      <c r="A25029" s="258"/>
      <c r="Z25029" s="258"/>
    </row>
    <row r="25030" spans="1:26" ht="12.75" customHeight="1" x14ac:dyDescent="0.2">
      <c r="A25030" s="258"/>
      <c r="Z25030" s="258"/>
    </row>
    <row r="25031" spans="1:26" ht="12.75" customHeight="1" x14ac:dyDescent="0.2">
      <c r="A25031" s="258"/>
      <c r="Z25031" s="258"/>
    </row>
    <row r="25032" spans="1:26" ht="12.75" customHeight="1" x14ac:dyDescent="0.2">
      <c r="A25032" s="258"/>
      <c r="Z25032" s="258"/>
    </row>
    <row r="25033" spans="1:26" ht="12.75" customHeight="1" x14ac:dyDescent="0.2">
      <c r="A25033" s="258"/>
      <c r="Z25033" s="258"/>
    </row>
    <row r="25034" spans="1:26" ht="12.75" customHeight="1" x14ac:dyDescent="0.2">
      <c r="A25034" s="258"/>
      <c r="Z25034" s="258"/>
    </row>
    <row r="25035" spans="1:26" ht="12.75" customHeight="1" x14ac:dyDescent="0.2">
      <c r="A25035" s="258"/>
      <c r="Z25035" s="258"/>
    </row>
    <row r="25036" spans="1:26" ht="12.75" customHeight="1" x14ac:dyDescent="0.2">
      <c r="A25036" s="258"/>
      <c r="Z25036" s="258"/>
    </row>
    <row r="25037" spans="1:26" ht="12.75" customHeight="1" x14ac:dyDescent="0.2">
      <c r="A25037" s="258"/>
      <c r="Z25037" s="258"/>
    </row>
    <row r="25038" spans="1:26" ht="12.75" customHeight="1" x14ac:dyDescent="0.2">
      <c r="A25038" s="258"/>
      <c r="Z25038" s="258"/>
    </row>
    <row r="25039" spans="1:26" ht="12.75" customHeight="1" x14ac:dyDescent="0.2">
      <c r="A25039" s="258"/>
      <c r="Z25039" s="258"/>
    </row>
    <row r="25040" spans="1:26" ht="12.75" customHeight="1" x14ac:dyDescent="0.2">
      <c r="A25040" s="258"/>
      <c r="Z25040" s="258"/>
    </row>
    <row r="25041" spans="1:26" ht="12.75" customHeight="1" x14ac:dyDescent="0.2">
      <c r="A25041" s="258"/>
      <c r="Z25041" s="258"/>
    </row>
    <row r="25042" spans="1:26" ht="12.75" customHeight="1" x14ac:dyDescent="0.2">
      <c r="A25042" s="258"/>
      <c r="Z25042" s="258"/>
    </row>
    <row r="25043" spans="1:26" ht="12.75" customHeight="1" x14ac:dyDescent="0.2">
      <c r="A25043" s="258"/>
      <c r="Z25043" s="258"/>
    </row>
    <row r="25044" spans="1:26" ht="12.75" customHeight="1" x14ac:dyDescent="0.2">
      <c r="A25044" s="258"/>
      <c r="Z25044" s="258"/>
    </row>
    <row r="25045" spans="1:26" ht="12.75" customHeight="1" x14ac:dyDescent="0.2">
      <c r="A25045" s="258"/>
      <c r="Z25045" s="258"/>
    </row>
    <row r="25046" spans="1:26" ht="12.75" customHeight="1" x14ac:dyDescent="0.2">
      <c r="A25046" s="258"/>
      <c r="Z25046" s="258"/>
    </row>
    <row r="25047" spans="1:26" ht="12.75" customHeight="1" x14ac:dyDescent="0.2">
      <c r="A25047" s="258"/>
      <c r="Z25047" s="258"/>
    </row>
    <row r="25048" spans="1:26" ht="12.75" customHeight="1" x14ac:dyDescent="0.2">
      <c r="A25048" s="258"/>
      <c r="Z25048" s="258"/>
    </row>
    <row r="25049" spans="1:26" ht="12.75" customHeight="1" x14ac:dyDescent="0.2">
      <c r="A25049" s="258"/>
      <c r="Z25049" s="258"/>
    </row>
    <row r="25050" spans="1:26" ht="12.75" customHeight="1" x14ac:dyDescent="0.2">
      <c r="A25050" s="258"/>
      <c r="Z25050" s="258"/>
    </row>
    <row r="25051" spans="1:26" ht="12.75" customHeight="1" x14ac:dyDescent="0.2">
      <c r="A25051" s="258"/>
      <c r="Z25051" s="258"/>
    </row>
    <row r="25052" spans="1:26" ht="12.75" customHeight="1" x14ac:dyDescent="0.2">
      <c r="A25052" s="258"/>
      <c r="Z25052" s="258"/>
    </row>
    <row r="25053" spans="1:26" ht="12.75" customHeight="1" x14ac:dyDescent="0.2">
      <c r="A25053" s="258"/>
      <c r="Z25053" s="258"/>
    </row>
    <row r="25054" spans="1:26" ht="12.75" customHeight="1" x14ac:dyDescent="0.2">
      <c r="A25054" s="258"/>
      <c r="Z25054" s="258"/>
    </row>
    <row r="25055" spans="1:26" ht="12.75" customHeight="1" x14ac:dyDescent="0.2">
      <c r="A25055" s="258"/>
      <c r="Z25055" s="258"/>
    </row>
    <row r="25056" spans="1:26" ht="12.75" customHeight="1" x14ac:dyDescent="0.2">
      <c r="A25056" s="258"/>
      <c r="Z25056" s="258"/>
    </row>
    <row r="25057" spans="1:26" ht="12.75" customHeight="1" x14ac:dyDescent="0.2">
      <c r="A25057" s="258"/>
      <c r="Z25057" s="258"/>
    </row>
    <row r="25058" spans="1:26" ht="12.75" customHeight="1" x14ac:dyDescent="0.2">
      <c r="A25058" s="258"/>
      <c r="Z25058" s="258"/>
    </row>
    <row r="25059" spans="1:26" ht="12.75" customHeight="1" x14ac:dyDescent="0.2">
      <c r="A25059" s="258"/>
      <c r="Z25059" s="258"/>
    </row>
    <row r="25060" spans="1:26" ht="12.75" customHeight="1" x14ac:dyDescent="0.2">
      <c r="A25060" s="258"/>
      <c r="Z25060" s="258"/>
    </row>
    <row r="25061" spans="1:26" ht="12.75" customHeight="1" x14ac:dyDescent="0.2">
      <c r="A25061" s="258"/>
      <c r="Z25061" s="258"/>
    </row>
    <row r="25062" spans="1:26" ht="12.75" customHeight="1" x14ac:dyDescent="0.2">
      <c r="A25062" s="258"/>
      <c r="Z25062" s="258"/>
    </row>
    <row r="25063" spans="1:26" ht="12.75" customHeight="1" x14ac:dyDescent="0.2">
      <c r="A25063" s="258"/>
      <c r="Z25063" s="258"/>
    </row>
    <row r="25064" spans="1:26" ht="12.75" customHeight="1" x14ac:dyDescent="0.2">
      <c r="A25064" s="258"/>
      <c r="Z25064" s="258"/>
    </row>
    <row r="25065" spans="1:26" ht="12.75" customHeight="1" x14ac:dyDescent="0.2">
      <c r="A25065" s="258"/>
      <c r="Z25065" s="258"/>
    </row>
    <row r="25066" spans="1:26" ht="12.75" customHeight="1" x14ac:dyDescent="0.2">
      <c r="A25066" s="258"/>
      <c r="Z25066" s="258"/>
    </row>
    <row r="25067" spans="1:26" ht="12.75" customHeight="1" x14ac:dyDescent="0.2">
      <c r="A25067" s="258"/>
      <c r="Z25067" s="258"/>
    </row>
    <row r="25068" spans="1:26" ht="12.75" customHeight="1" x14ac:dyDescent="0.2">
      <c r="A25068" s="258"/>
      <c r="Z25068" s="258"/>
    </row>
    <row r="25069" spans="1:26" ht="12.75" customHeight="1" x14ac:dyDescent="0.2">
      <c r="A25069" s="258"/>
      <c r="Z25069" s="258"/>
    </row>
    <row r="25070" spans="1:26" ht="12.75" customHeight="1" x14ac:dyDescent="0.2">
      <c r="A25070" s="258"/>
      <c r="Z25070" s="258"/>
    </row>
    <row r="25071" spans="1:26" ht="12.75" customHeight="1" x14ac:dyDescent="0.2">
      <c r="A25071" s="258"/>
      <c r="Z25071" s="258"/>
    </row>
    <row r="25072" spans="1:26" ht="12.75" customHeight="1" x14ac:dyDescent="0.2">
      <c r="A25072" s="258"/>
      <c r="Z25072" s="258"/>
    </row>
    <row r="25073" spans="1:26" ht="12.75" customHeight="1" x14ac:dyDescent="0.2">
      <c r="A25073" s="258"/>
      <c r="Z25073" s="258"/>
    </row>
    <row r="25074" spans="1:26" ht="12.75" customHeight="1" x14ac:dyDescent="0.2">
      <c r="A25074" s="258"/>
      <c r="Z25074" s="258"/>
    </row>
    <row r="25075" spans="1:26" ht="12.75" customHeight="1" x14ac:dyDescent="0.2">
      <c r="A25075" s="258"/>
      <c r="Z25075" s="258"/>
    </row>
    <row r="25076" spans="1:26" ht="12.75" customHeight="1" x14ac:dyDescent="0.2">
      <c r="A25076" s="258"/>
      <c r="Z25076" s="258"/>
    </row>
    <row r="25077" spans="1:26" ht="12.75" customHeight="1" x14ac:dyDescent="0.2">
      <c r="A25077" s="258"/>
      <c r="Z25077" s="258"/>
    </row>
    <row r="25078" spans="1:26" ht="12.75" customHeight="1" x14ac:dyDescent="0.2">
      <c r="A25078" s="258"/>
      <c r="Z25078" s="258"/>
    </row>
    <row r="25079" spans="1:26" ht="12.75" customHeight="1" x14ac:dyDescent="0.2">
      <c r="A25079" s="258"/>
      <c r="Z25079" s="258"/>
    </row>
    <row r="25080" spans="1:26" ht="12.75" customHeight="1" x14ac:dyDescent="0.2">
      <c r="A25080" s="258"/>
      <c r="Z25080" s="258"/>
    </row>
    <row r="25081" spans="1:26" ht="12.75" customHeight="1" x14ac:dyDescent="0.2">
      <c r="A25081" s="258"/>
      <c r="Z25081" s="258"/>
    </row>
    <row r="25082" spans="1:26" ht="12.75" customHeight="1" x14ac:dyDescent="0.2">
      <c r="A25082" s="258"/>
      <c r="Z25082" s="258"/>
    </row>
    <row r="25083" spans="1:26" ht="12.75" customHeight="1" x14ac:dyDescent="0.2">
      <c r="A25083" s="258"/>
      <c r="Z25083" s="258"/>
    </row>
    <row r="25084" spans="1:26" ht="12.75" customHeight="1" x14ac:dyDescent="0.2">
      <c r="A25084" s="258"/>
      <c r="Z25084" s="258"/>
    </row>
    <row r="25085" spans="1:26" ht="12.75" customHeight="1" x14ac:dyDescent="0.2">
      <c r="A25085" s="258"/>
      <c r="Z25085" s="258"/>
    </row>
    <row r="25086" spans="1:26" ht="12.75" customHeight="1" x14ac:dyDescent="0.2">
      <c r="A25086" s="258"/>
      <c r="Z25086" s="258"/>
    </row>
    <row r="25087" spans="1:26" ht="12.75" customHeight="1" x14ac:dyDescent="0.2">
      <c r="A25087" s="258"/>
      <c r="Z25087" s="258"/>
    </row>
    <row r="25088" spans="1:26" ht="12.75" customHeight="1" x14ac:dyDescent="0.2">
      <c r="A25088" s="258"/>
      <c r="Z25088" s="258"/>
    </row>
    <row r="25089" spans="1:26" ht="12.75" customHeight="1" x14ac:dyDescent="0.2">
      <c r="A25089" s="258"/>
      <c r="Z25089" s="258"/>
    </row>
    <row r="25090" spans="1:26" ht="12.75" customHeight="1" x14ac:dyDescent="0.2">
      <c r="A25090" s="258"/>
      <c r="Z25090" s="258"/>
    </row>
    <row r="25091" spans="1:26" ht="12.75" customHeight="1" x14ac:dyDescent="0.2">
      <c r="A25091" s="258"/>
      <c r="Z25091" s="258"/>
    </row>
    <row r="25092" spans="1:26" ht="12.75" customHeight="1" x14ac:dyDescent="0.2">
      <c r="A25092" s="258"/>
      <c r="Z25092" s="258"/>
    </row>
    <row r="25093" spans="1:26" ht="12.75" customHeight="1" x14ac:dyDescent="0.2">
      <c r="A25093" s="258"/>
      <c r="Z25093" s="258"/>
    </row>
    <row r="25094" spans="1:26" ht="12.75" customHeight="1" x14ac:dyDescent="0.2">
      <c r="A25094" s="258"/>
      <c r="Z25094" s="258"/>
    </row>
    <row r="25095" spans="1:26" ht="12.75" customHeight="1" x14ac:dyDescent="0.2">
      <c r="A25095" s="258"/>
      <c r="Z25095" s="258"/>
    </row>
    <row r="25096" spans="1:26" ht="12.75" customHeight="1" x14ac:dyDescent="0.2">
      <c r="A25096" s="258"/>
      <c r="Z25096" s="258"/>
    </row>
    <row r="25097" spans="1:26" ht="12.75" customHeight="1" x14ac:dyDescent="0.2">
      <c r="A25097" s="258"/>
      <c r="Z25097" s="258"/>
    </row>
    <row r="25098" spans="1:26" ht="12.75" customHeight="1" x14ac:dyDescent="0.2">
      <c r="A25098" s="258"/>
      <c r="Z25098" s="258"/>
    </row>
    <row r="25099" spans="1:26" ht="12.75" customHeight="1" x14ac:dyDescent="0.2">
      <c r="A25099" s="258"/>
      <c r="Z25099" s="258"/>
    </row>
    <row r="25100" spans="1:26" ht="12.75" customHeight="1" x14ac:dyDescent="0.2">
      <c r="A25100" s="258"/>
      <c r="Z25100" s="258"/>
    </row>
    <row r="25101" spans="1:26" ht="12.75" customHeight="1" x14ac:dyDescent="0.2">
      <c r="A25101" s="258"/>
      <c r="Z25101" s="258"/>
    </row>
    <row r="25102" spans="1:26" ht="12.75" customHeight="1" x14ac:dyDescent="0.2">
      <c r="A25102" s="258"/>
      <c r="Z25102" s="258"/>
    </row>
    <row r="25103" spans="1:26" ht="12.75" customHeight="1" x14ac:dyDescent="0.2">
      <c r="A25103" s="258"/>
      <c r="Z25103" s="258"/>
    </row>
    <row r="25104" spans="1:26" ht="12.75" customHeight="1" x14ac:dyDescent="0.2">
      <c r="A25104" s="258"/>
      <c r="Z25104" s="258"/>
    </row>
    <row r="25105" spans="1:26" ht="12.75" customHeight="1" x14ac:dyDescent="0.2">
      <c r="A25105" s="258"/>
      <c r="Z25105" s="258"/>
    </row>
    <row r="25106" spans="1:26" ht="12.75" customHeight="1" x14ac:dyDescent="0.2">
      <c r="A25106" s="258"/>
      <c r="Z25106" s="258"/>
    </row>
    <row r="25107" spans="1:26" ht="12.75" customHeight="1" x14ac:dyDescent="0.2">
      <c r="A25107" s="258"/>
      <c r="Z25107" s="258"/>
    </row>
    <row r="25108" spans="1:26" ht="12.75" customHeight="1" x14ac:dyDescent="0.2">
      <c r="A25108" s="258"/>
      <c r="Z25108" s="258"/>
    </row>
    <row r="25109" spans="1:26" ht="12.75" customHeight="1" x14ac:dyDescent="0.2">
      <c r="A25109" s="258"/>
      <c r="Z25109" s="258"/>
    </row>
    <row r="25110" spans="1:26" ht="12.75" customHeight="1" x14ac:dyDescent="0.2">
      <c r="A25110" s="258"/>
      <c r="Z25110" s="258"/>
    </row>
    <row r="25111" spans="1:26" ht="12.75" customHeight="1" x14ac:dyDescent="0.2">
      <c r="A25111" s="258"/>
      <c r="Z25111" s="258"/>
    </row>
    <row r="25112" spans="1:26" ht="12.75" customHeight="1" x14ac:dyDescent="0.2">
      <c r="A25112" s="258"/>
      <c r="Z25112" s="258"/>
    </row>
    <row r="25113" spans="1:26" ht="12.75" customHeight="1" x14ac:dyDescent="0.2">
      <c r="A25113" s="258"/>
      <c r="Z25113" s="258"/>
    </row>
    <row r="25114" spans="1:26" ht="12.75" customHeight="1" x14ac:dyDescent="0.2">
      <c r="A25114" s="258"/>
      <c r="Z25114" s="258"/>
    </row>
    <row r="25115" spans="1:26" ht="12.75" customHeight="1" x14ac:dyDescent="0.2">
      <c r="A25115" s="258"/>
      <c r="Z25115" s="258"/>
    </row>
    <row r="25116" spans="1:26" ht="12.75" customHeight="1" x14ac:dyDescent="0.2">
      <c r="A25116" s="258"/>
      <c r="Z25116" s="258"/>
    </row>
    <row r="25117" spans="1:26" ht="12.75" customHeight="1" x14ac:dyDescent="0.2">
      <c r="A25117" s="258"/>
      <c r="Z25117" s="258"/>
    </row>
    <row r="25118" spans="1:26" ht="12.75" customHeight="1" x14ac:dyDescent="0.2">
      <c r="A25118" s="258"/>
      <c r="Z25118" s="258"/>
    </row>
    <row r="25119" spans="1:26" ht="12.75" customHeight="1" x14ac:dyDescent="0.2">
      <c r="A25119" s="258"/>
      <c r="Z25119" s="258"/>
    </row>
    <row r="25120" spans="1:26" ht="12.75" customHeight="1" x14ac:dyDescent="0.2">
      <c r="A25120" s="258"/>
      <c r="Z25120" s="258"/>
    </row>
    <row r="25121" spans="1:26" ht="12.75" customHeight="1" x14ac:dyDescent="0.2">
      <c r="A25121" s="258"/>
      <c r="Z25121" s="258"/>
    </row>
    <row r="25122" spans="1:26" ht="12.75" customHeight="1" x14ac:dyDescent="0.2">
      <c r="A25122" s="258"/>
      <c r="Z25122" s="258"/>
    </row>
    <row r="25123" spans="1:26" ht="12.75" customHeight="1" x14ac:dyDescent="0.2">
      <c r="A25123" s="258"/>
      <c r="Z25123" s="258"/>
    </row>
    <row r="25124" spans="1:26" ht="12.75" customHeight="1" x14ac:dyDescent="0.2">
      <c r="A25124" s="258"/>
      <c r="Z25124" s="258"/>
    </row>
    <row r="25125" spans="1:26" ht="12.75" customHeight="1" x14ac:dyDescent="0.2">
      <c r="A25125" s="258"/>
      <c r="Z25125" s="258"/>
    </row>
    <row r="25126" spans="1:26" ht="12.75" customHeight="1" x14ac:dyDescent="0.2">
      <c r="A25126" s="258"/>
      <c r="Z25126" s="258"/>
    </row>
    <row r="25127" spans="1:26" ht="12.75" customHeight="1" x14ac:dyDescent="0.2">
      <c r="A25127" s="258"/>
      <c r="Z25127" s="258"/>
    </row>
    <row r="25128" spans="1:26" ht="12.75" customHeight="1" x14ac:dyDescent="0.2">
      <c r="A25128" s="258"/>
      <c r="Z25128" s="258"/>
    </row>
    <row r="25129" spans="1:26" ht="12.75" customHeight="1" x14ac:dyDescent="0.2">
      <c r="A25129" s="258"/>
      <c r="Z25129" s="258"/>
    </row>
    <row r="25130" spans="1:26" ht="12.75" customHeight="1" x14ac:dyDescent="0.2">
      <c r="A25130" s="258"/>
      <c r="Z25130" s="258"/>
    </row>
    <row r="25131" spans="1:26" ht="12.75" customHeight="1" x14ac:dyDescent="0.2">
      <c r="A25131" s="258"/>
      <c r="Z25131" s="258"/>
    </row>
    <row r="25132" spans="1:26" ht="12.75" customHeight="1" x14ac:dyDescent="0.2">
      <c r="A25132" s="258"/>
      <c r="Z25132" s="258"/>
    </row>
    <row r="25133" spans="1:26" ht="12.75" customHeight="1" x14ac:dyDescent="0.2">
      <c r="A25133" s="258"/>
      <c r="Z25133" s="258"/>
    </row>
    <row r="25134" spans="1:26" ht="12.75" customHeight="1" x14ac:dyDescent="0.2">
      <c r="A25134" s="258"/>
      <c r="Z25134" s="258"/>
    </row>
    <row r="25135" spans="1:26" ht="12.75" customHeight="1" x14ac:dyDescent="0.2">
      <c r="A25135" s="258"/>
      <c r="Z25135" s="258"/>
    </row>
    <row r="25136" spans="1:26" ht="12.75" customHeight="1" x14ac:dyDescent="0.2">
      <c r="A25136" s="258"/>
      <c r="Z25136" s="258"/>
    </row>
    <row r="25137" spans="1:26" ht="12.75" customHeight="1" x14ac:dyDescent="0.2">
      <c r="A25137" s="258"/>
      <c r="Z25137" s="258"/>
    </row>
    <row r="25138" spans="1:26" ht="12.75" customHeight="1" x14ac:dyDescent="0.2">
      <c r="A25138" s="258"/>
      <c r="Z25138" s="258"/>
    </row>
    <row r="25139" spans="1:26" ht="12.75" customHeight="1" x14ac:dyDescent="0.2">
      <c r="A25139" s="258"/>
      <c r="Z25139" s="258"/>
    </row>
    <row r="25140" spans="1:26" ht="12.75" customHeight="1" x14ac:dyDescent="0.2">
      <c r="A25140" s="258"/>
      <c r="Z25140" s="258"/>
    </row>
    <row r="25141" spans="1:26" ht="12.75" customHeight="1" x14ac:dyDescent="0.2">
      <c r="A25141" s="258"/>
      <c r="Z25141" s="258"/>
    </row>
    <row r="25142" spans="1:26" ht="12.75" customHeight="1" x14ac:dyDescent="0.2">
      <c r="A25142" s="258"/>
      <c r="Z25142" s="258"/>
    </row>
    <row r="25143" spans="1:26" ht="12.75" customHeight="1" x14ac:dyDescent="0.2">
      <c r="A25143" s="258"/>
      <c r="Z25143" s="258"/>
    </row>
    <row r="25144" spans="1:26" ht="12.75" customHeight="1" x14ac:dyDescent="0.2">
      <c r="A25144" s="258"/>
      <c r="Z25144" s="258"/>
    </row>
    <row r="25145" spans="1:26" ht="12.75" customHeight="1" x14ac:dyDescent="0.2">
      <c r="A25145" s="258"/>
      <c r="Z25145" s="258"/>
    </row>
    <row r="25146" spans="1:26" ht="12.75" customHeight="1" x14ac:dyDescent="0.2">
      <c r="A25146" s="258"/>
      <c r="Z25146" s="258"/>
    </row>
    <row r="25147" spans="1:26" ht="12.75" customHeight="1" x14ac:dyDescent="0.2">
      <c r="A25147" s="258"/>
      <c r="Z25147" s="258"/>
    </row>
    <row r="25148" spans="1:26" ht="12.75" customHeight="1" x14ac:dyDescent="0.2">
      <c r="A25148" s="258"/>
      <c r="Z25148" s="258"/>
    </row>
    <row r="25149" spans="1:26" ht="12.75" customHeight="1" x14ac:dyDescent="0.2">
      <c r="A25149" s="258"/>
      <c r="Z25149" s="258"/>
    </row>
    <row r="25150" spans="1:26" ht="12.75" customHeight="1" x14ac:dyDescent="0.2">
      <c r="A25150" s="258"/>
      <c r="Z25150" s="258"/>
    </row>
    <row r="25151" spans="1:26" ht="12.75" customHeight="1" x14ac:dyDescent="0.2">
      <c r="A25151" s="258"/>
      <c r="Z25151" s="258"/>
    </row>
    <row r="25152" spans="1:26" ht="12.75" customHeight="1" x14ac:dyDescent="0.2">
      <c r="A25152" s="258"/>
      <c r="Z25152" s="258"/>
    </row>
    <row r="25153" spans="1:26" ht="12.75" customHeight="1" x14ac:dyDescent="0.2">
      <c r="A25153" s="258"/>
      <c r="Z25153" s="258"/>
    </row>
    <row r="25154" spans="1:26" ht="12.75" customHeight="1" x14ac:dyDescent="0.2">
      <c r="A25154" s="258"/>
      <c r="Z25154" s="258"/>
    </row>
    <row r="25155" spans="1:26" ht="12.75" customHeight="1" x14ac:dyDescent="0.2">
      <c r="A25155" s="258"/>
      <c r="Z25155" s="258"/>
    </row>
    <row r="25156" spans="1:26" ht="12.75" customHeight="1" x14ac:dyDescent="0.2">
      <c r="A25156" s="258"/>
      <c r="Z25156" s="258"/>
    </row>
    <row r="25157" spans="1:26" ht="12.75" customHeight="1" x14ac:dyDescent="0.2">
      <c r="A25157" s="258"/>
      <c r="Z25157" s="258"/>
    </row>
    <row r="25158" spans="1:26" ht="12.75" customHeight="1" x14ac:dyDescent="0.2">
      <c r="A25158" s="258"/>
      <c r="Z25158" s="258"/>
    </row>
    <row r="25159" spans="1:26" ht="12.75" customHeight="1" x14ac:dyDescent="0.2">
      <c r="A25159" s="258"/>
      <c r="Z25159" s="258"/>
    </row>
    <row r="25160" spans="1:26" ht="12.75" customHeight="1" x14ac:dyDescent="0.2">
      <c r="A25160" s="258"/>
      <c r="Z25160" s="258"/>
    </row>
    <row r="25161" spans="1:26" ht="12.75" customHeight="1" x14ac:dyDescent="0.2">
      <c r="A25161" s="258"/>
      <c r="Z25161" s="258"/>
    </row>
    <row r="25162" spans="1:26" ht="12.75" customHeight="1" x14ac:dyDescent="0.2">
      <c r="A25162" s="258"/>
      <c r="Z25162" s="258"/>
    </row>
    <row r="25163" spans="1:26" ht="12.75" customHeight="1" x14ac:dyDescent="0.2">
      <c r="A25163" s="258"/>
      <c r="Z25163" s="258"/>
    </row>
    <row r="25164" spans="1:26" ht="12.75" customHeight="1" x14ac:dyDescent="0.2">
      <c r="A25164" s="258"/>
      <c r="Z25164" s="258"/>
    </row>
    <row r="25165" spans="1:26" ht="12.75" customHeight="1" x14ac:dyDescent="0.2">
      <c r="A25165" s="258"/>
      <c r="Z25165" s="258"/>
    </row>
    <row r="25166" spans="1:26" ht="12.75" customHeight="1" x14ac:dyDescent="0.2">
      <c r="A25166" s="258"/>
      <c r="Z25166" s="258"/>
    </row>
    <row r="25167" spans="1:26" ht="12.75" customHeight="1" x14ac:dyDescent="0.2">
      <c r="A25167" s="258"/>
      <c r="Z25167" s="258"/>
    </row>
    <row r="25168" spans="1:26" ht="12.75" customHeight="1" x14ac:dyDescent="0.2">
      <c r="A25168" s="258"/>
      <c r="Z25168" s="258"/>
    </row>
    <row r="25169" spans="1:26" ht="12.75" customHeight="1" x14ac:dyDescent="0.2">
      <c r="A25169" s="258"/>
      <c r="Z25169" s="258"/>
    </row>
    <row r="25170" spans="1:26" ht="12.75" customHeight="1" x14ac:dyDescent="0.2">
      <c r="A25170" s="258"/>
      <c r="Z25170" s="258"/>
    </row>
    <row r="25171" spans="1:26" ht="12.75" customHeight="1" x14ac:dyDescent="0.2">
      <c r="A25171" s="258"/>
      <c r="Z25171" s="258"/>
    </row>
    <row r="25172" spans="1:26" ht="12.75" customHeight="1" x14ac:dyDescent="0.2">
      <c r="A25172" s="258"/>
      <c r="Z25172" s="258"/>
    </row>
    <row r="25173" spans="1:26" ht="12.75" customHeight="1" x14ac:dyDescent="0.2">
      <c r="A25173" s="258"/>
      <c r="Z25173" s="258"/>
    </row>
    <row r="25174" spans="1:26" ht="12.75" customHeight="1" x14ac:dyDescent="0.2">
      <c r="A25174" s="258"/>
      <c r="Z25174" s="258"/>
    </row>
    <row r="25175" spans="1:26" ht="12.75" customHeight="1" x14ac:dyDescent="0.2">
      <c r="A25175" s="258"/>
      <c r="Z25175" s="258"/>
    </row>
    <row r="25176" spans="1:26" ht="12.75" customHeight="1" x14ac:dyDescent="0.2">
      <c r="A25176" s="258"/>
      <c r="Z25176" s="258"/>
    </row>
    <row r="25177" spans="1:26" ht="12.75" customHeight="1" x14ac:dyDescent="0.2">
      <c r="A25177" s="258"/>
      <c r="Z25177" s="258"/>
    </row>
    <row r="25178" spans="1:26" ht="12.75" customHeight="1" x14ac:dyDescent="0.2">
      <c r="A25178" s="258"/>
      <c r="Z25178" s="258"/>
    </row>
    <row r="25179" spans="1:26" ht="12.75" customHeight="1" x14ac:dyDescent="0.2">
      <c r="A25179" s="258"/>
      <c r="Z25179" s="258"/>
    </row>
    <row r="25180" spans="1:26" ht="12.75" customHeight="1" x14ac:dyDescent="0.2">
      <c r="A25180" s="258"/>
      <c r="Z25180" s="258"/>
    </row>
    <row r="25181" spans="1:26" ht="12.75" customHeight="1" x14ac:dyDescent="0.2">
      <c r="A25181" s="258"/>
      <c r="Z25181" s="258"/>
    </row>
    <row r="25182" spans="1:26" ht="12.75" customHeight="1" x14ac:dyDescent="0.2">
      <c r="A25182" s="258"/>
      <c r="Z25182" s="258"/>
    </row>
    <row r="25183" spans="1:26" ht="12.75" customHeight="1" x14ac:dyDescent="0.2">
      <c r="A25183" s="258"/>
      <c r="Z25183" s="258"/>
    </row>
    <row r="25184" spans="1:26" ht="12.75" customHeight="1" x14ac:dyDescent="0.2">
      <c r="A25184" s="258"/>
      <c r="Z25184" s="258"/>
    </row>
    <row r="25185" spans="1:26" ht="12.75" customHeight="1" x14ac:dyDescent="0.2">
      <c r="A25185" s="258"/>
      <c r="Z25185" s="258"/>
    </row>
    <row r="25186" spans="1:26" ht="12.75" customHeight="1" x14ac:dyDescent="0.2">
      <c r="A25186" s="258"/>
      <c r="Z25186" s="258"/>
    </row>
    <row r="25187" spans="1:26" ht="12.75" customHeight="1" x14ac:dyDescent="0.2">
      <c r="A25187" s="258"/>
      <c r="Z25187" s="258"/>
    </row>
    <row r="25188" spans="1:26" ht="12.75" customHeight="1" x14ac:dyDescent="0.2">
      <c r="A25188" s="258"/>
      <c r="Z25188" s="258"/>
    </row>
    <row r="25189" spans="1:26" ht="12.75" customHeight="1" x14ac:dyDescent="0.2">
      <c r="A25189" s="258"/>
      <c r="Z25189" s="258"/>
    </row>
    <row r="25190" spans="1:26" ht="12.75" customHeight="1" x14ac:dyDescent="0.2">
      <c r="A25190" s="258"/>
      <c r="Z25190" s="258"/>
    </row>
    <row r="25191" spans="1:26" ht="12.75" customHeight="1" x14ac:dyDescent="0.2">
      <c r="A25191" s="258"/>
      <c r="Z25191" s="258"/>
    </row>
    <row r="25192" spans="1:26" ht="12.75" customHeight="1" x14ac:dyDescent="0.2">
      <c r="A25192" s="258"/>
      <c r="Z25192" s="258"/>
    </row>
    <row r="25193" spans="1:26" ht="12.75" customHeight="1" x14ac:dyDescent="0.2">
      <c r="A25193" s="258"/>
      <c r="Z25193" s="258"/>
    </row>
    <row r="25194" spans="1:26" ht="12.75" customHeight="1" x14ac:dyDescent="0.2">
      <c r="A25194" s="258"/>
      <c r="Z25194" s="258"/>
    </row>
    <row r="25195" spans="1:26" ht="12.75" customHeight="1" x14ac:dyDescent="0.2">
      <c r="A25195" s="258"/>
      <c r="Z25195" s="258"/>
    </row>
    <row r="25196" spans="1:26" ht="12.75" customHeight="1" x14ac:dyDescent="0.2">
      <c r="A25196" s="258"/>
      <c r="Z25196" s="258"/>
    </row>
    <row r="25197" spans="1:26" ht="12.75" customHeight="1" x14ac:dyDescent="0.2">
      <c r="A25197" s="258"/>
      <c r="Z25197" s="258"/>
    </row>
    <row r="25198" spans="1:26" ht="12.75" customHeight="1" x14ac:dyDescent="0.2">
      <c r="A25198" s="258"/>
      <c r="Z25198" s="258"/>
    </row>
    <row r="25199" spans="1:26" ht="12.75" customHeight="1" x14ac:dyDescent="0.2">
      <c r="A25199" s="258"/>
      <c r="Z25199" s="258"/>
    </row>
    <row r="25200" spans="1:26" ht="12.75" customHeight="1" x14ac:dyDescent="0.2">
      <c r="A25200" s="258"/>
      <c r="Z25200" s="258"/>
    </row>
    <row r="25201" spans="1:26" ht="12.75" customHeight="1" x14ac:dyDescent="0.2">
      <c r="A25201" s="258"/>
      <c r="Z25201" s="258"/>
    </row>
    <row r="25202" spans="1:26" ht="12.75" customHeight="1" x14ac:dyDescent="0.2">
      <c r="A25202" s="258"/>
      <c r="Z25202" s="258"/>
    </row>
    <row r="25203" spans="1:26" ht="12.75" customHeight="1" x14ac:dyDescent="0.2">
      <c r="A25203" s="258"/>
      <c r="Z25203" s="258"/>
    </row>
    <row r="25204" spans="1:26" ht="12.75" customHeight="1" x14ac:dyDescent="0.2">
      <c r="A25204" s="258"/>
      <c r="Z25204" s="258"/>
    </row>
    <row r="25205" spans="1:26" ht="12.75" customHeight="1" x14ac:dyDescent="0.2">
      <c r="A25205" s="258"/>
      <c r="Z25205" s="258"/>
    </row>
    <row r="25206" spans="1:26" ht="12.75" customHeight="1" x14ac:dyDescent="0.2">
      <c r="A25206" s="258"/>
      <c r="Z25206" s="258"/>
    </row>
    <row r="25207" spans="1:26" ht="12.75" customHeight="1" x14ac:dyDescent="0.2">
      <c r="A25207" s="258"/>
      <c r="Z25207" s="258"/>
    </row>
    <row r="25208" spans="1:26" ht="12.75" customHeight="1" x14ac:dyDescent="0.2">
      <c r="A25208" s="258"/>
      <c r="Z25208" s="258"/>
    </row>
    <row r="25209" spans="1:26" ht="12.75" customHeight="1" x14ac:dyDescent="0.2">
      <c r="A25209" s="258"/>
      <c r="Z25209" s="258"/>
    </row>
    <row r="25210" spans="1:26" ht="12.75" customHeight="1" x14ac:dyDescent="0.2">
      <c r="A25210" s="258"/>
      <c r="Z25210" s="258"/>
    </row>
    <row r="25211" spans="1:26" ht="12.75" customHeight="1" x14ac:dyDescent="0.2">
      <c r="A25211" s="258"/>
      <c r="Z25211" s="258"/>
    </row>
    <row r="25212" spans="1:26" ht="12.75" customHeight="1" x14ac:dyDescent="0.2">
      <c r="A25212" s="258"/>
      <c r="Z25212" s="258"/>
    </row>
    <row r="25213" spans="1:26" ht="12.75" customHeight="1" x14ac:dyDescent="0.2">
      <c r="A25213" s="258"/>
      <c r="Z25213" s="258"/>
    </row>
    <row r="25214" spans="1:26" ht="12.75" customHeight="1" x14ac:dyDescent="0.2">
      <c r="A25214" s="258"/>
      <c r="Z25214" s="258"/>
    </row>
    <row r="25215" spans="1:26" ht="12.75" customHeight="1" x14ac:dyDescent="0.2">
      <c r="A25215" s="258"/>
      <c r="Z25215" s="258"/>
    </row>
    <row r="25216" spans="1:26" ht="12.75" customHeight="1" x14ac:dyDescent="0.2">
      <c r="A25216" s="258"/>
      <c r="Z25216" s="258"/>
    </row>
    <row r="25217" spans="1:26" ht="12.75" customHeight="1" x14ac:dyDescent="0.2">
      <c r="A25217" s="258"/>
      <c r="Z25217" s="258"/>
    </row>
    <row r="25218" spans="1:26" ht="12.75" customHeight="1" x14ac:dyDescent="0.2">
      <c r="A25218" s="258"/>
      <c r="Z25218" s="258"/>
    </row>
    <row r="25219" spans="1:26" ht="12.75" customHeight="1" x14ac:dyDescent="0.2">
      <c r="A25219" s="258"/>
      <c r="Z25219" s="258"/>
    </row>
    <row r="25220" spans="1:26" ht="12.75" customHeight="1" x14ac:dyDescent="0.2">
      <c r="A25220" s="258"/>
      <c r="Z25220" s="258"/>
    </row>
    <row r="25221" spans="1:26" ht="12.75" customHeight="1" x14ac:dyDescent="0.2">
      <c r="A25221" s="258"/>
      <c r="Z25221" s="258"/>
    </row>
    <row r="25222" spans="1:26" ht="12.75" customHeight="1" x14ac:dyDescent="0.2">
      <c r="A25222" s="258"/>
      <c r="Z25222" s="258"/>
    </row>
    <row r="25223" spans="1:26" ht="12.75" customHeight="1" x14ac:dyDescent="0.2">
      <c r="A25223" s="258"/>
      <c r="Z25223" s="258"/>
    </row>
    <row r="25224" spans="1:26" ht="12.75" customHeight="1" x14ac:dyDescent="0.2">
      <c r="A25224" s="258"/>
      <c r="Z25224" s="258"/>
    </row>
    <row r="25225" spans="1:26" ht="12.75" customHeight="1" x14ac:dyDescent="0.2">
      <c r="A25225" s="258"/>
      <c r="Z25225" s="258"/>
    </row>
    <row r="25226" spans="1:26" ht="12.75" customHeight="1" x14ac:dyDescent="0.2">
      <c r="A25226" s="258"/>
      <c r="Z25226" s="258"/>
    </row>
    <row r="25227" spans="1:26" ht="12.75" customHeight="1" x14ac:dyDescent="0.2">
      <c r="A25227" s="258"/>
      <c r="Z25227" s="258"/>
    </row>
    <row r="25228" spans="1:26" ht="12.75" customHeight="1" x14ac:dyDescent="0.2">
      <c r="A25228" s="258"/>
      <c r="Z25228" s="258"/>
    </row>
    <row r="25229" spans="1:26" ht="12.75" customHeight="1" x14ac:dyDescent="0.2">
      <c r="A25229" s="258"/>
      <c r="Z25229" s="258"/>
    </row>
    <row r="25230" spans="1:26" ht="12.75" customHeight="1" x14ac:dyDescent="0.2">
      <c r="A25230" s="258"/>
      <c r="Z25230" s="258"/>
    </row>
    <row r="25231" spans="1:26" ht="12.75" customHeight="1" x14ac:dyDescent="0.2">
      <c r="A25231" s="258"/>
      <c r="Z25231" s="258"/>
    </row>
    <row r="25232" spans="1:26" ht="12.75" customHeight="1" x14ac:dyDescent="0.2">
      <c r="A25232" s="258"/>
      <c r="Z25232" s="258"/>
    </row>
    <row r="25233" spans="1:26" ht="12.75" customHeight="1" x14ac:dyDescent="0.2">
      <c r="A25233" s="258"/>
      <c r="Z25233" s="258"/>
    </row>
    <row r="25234" spans="1:26" ht="12.75" customHeight="1" x14ac:dyDescent="0.2">
      <c r="A25234" s="258"/>
      <c r="Z25234" s="258"/>
    </row>
    <row r="25235" spans="1:26" ht="12.75" customHeight="1" x14ac:dyDescent="0.2">
      <c r="A25235" s="258"/>
      <c r="Z25235" s="258"/>
    </row>
    <row r="25236" spans="1:26" ht="12.75" customHeight="1" x14ac:dyDescent="0.2">
      <c r="A25236" s="258"/>
      <c r="Z25236" s="258"/>
    </row>
    <row r="25237" spans="1:26" ht="12.75" customHeight="1" x14ac:dyDescent="0.2">
      <c r="A25237" s="258"/>
      <c r="Z25237" s="258"/>
    </row>
    <row r="25238" spans="1:26" ht="12.75" customHeight="1" x14ac:dyDescent="0.2">
      <c r="A25238" s="258"/>
      <c r="Z25238" s="258"/>
    </row>
    <row r="25239" spans="1:26" ht="12.75" customHeight="1" x14ac:dyDescent="0.2">
      <c r="A25239" s="258"/>
      <c r="Z25239" s="258"/>
    </row>
    <row r="25240" spans="1:26" ht="12.75" customHeight="1" x14ac:dyDescent="0.2">
      <c r="A25240" s="258"/>
      <c r="Z25240" s="258"/>
    </row>
    <row r="25241" spans="1:26" ht="12.75" customHeight="1" x14ac:dyDescent="0.2">
      <c r="A25241" s="258"/>
      <c r="Z25241" s="258"/>
    </row>
    <row r="25242" spans="1:26" ht="12.75" customHeight="1" x14ac:dyDescent="0.2">
      <c r="A25242" s="258"/>
      <c r="Z25242" s="258"/>
    </row>
    <row r="25243" spans="1:26" ht="12.75" customHeight="1" x14ac:dyDescent="0.2">
      <c r="A25243" s="258"/>
      <c r="Z25243" s="258"/>
    </row>
    <row r="25244" spans="1:26" ht="12.75" customHeight="1" x14ac:dyDescent="0.2">
      <c r="A25244" s="258"/>
      <c r="Z25244" s="258"/>
    </row>
    <row r="25245" spans="1:26" ht="12.75" customHeight="1" x14ac:dyDescent="0.2">
      <c r="A25245" s="258"/>
      <c r="Z25245" s="258"/>
    </row>
    <row r="25246" spans="1:26" ht="12.75" customHeight="1" x14ac:dyDescent="0.2">
      <c r="A25246" s="258"/>
      <c r="Z25246" s="258"/>
    </row>
    <row r="25247" spans="1:26" ht="12.75" customHeight="1" x14ac:dyDescent="0.2">
      <c r="A25247" s="258"/>
      <c r="Z25247" s="258"/>
    </row>
    <row r="25248" spans="1:26" ht="12.75" customHeight="1" x14ac:dyDescent="0.2">
      <c r="A25248" s="258"/>
      <c r="Z25248" s="258"/>
    </row>
    <row r="25249" spans="1:26" ht="12.75" customHeight="1" x14ac:dyDescent="0.2">
      <c r="A25249" s="258"/>
      <c r="Z25249" s="258"/>
    </row>
    <row r="25250" spans="1:26" ht="12.75" customHeight="1" x14ac:dyDescent="0.2">
      <c r="A25250" s="258"/>
      <c r="Z25250" s="258"/>
    </row>
    <row r="25251" spans="1:26" ht="12.75" customHeight="1" x14ac:dyDescent="0.2">
      <c r="A25251" s="258"/>
      <c r="Z25251" s="258"/>
    </row>
    <row r="25252" spans="1:26" ht="12.75" customHeight="1" x14ac:dyDescent="0.2">
      <c r="A25252" s="258"/>
      <c r="Z25252" s="258"/>
    </row>
    <row r="25253" spans="1:26" ht="12.75" customHeight="1" x14ac:dyDescent="0.2">
      <c r="A25253" s="258"/>
      <c r="Z25253" s="258"/>
    </row>
    <row r="25254" spans="1:26" ht="12.75" customHeight="1" x14ac:dyDescent="0.2">
      <c r="A25254" s="258"/>
      <c r="Z25254" s="258"/>
    </row>
    <row r="25255" spans="1:26" ht="12.75" customHeight="1" x14ac:dyDescent="0.2">
      <c r="A25255" s="258"/>
      <c r="Z25255" s="258"/>
    </row>
    <row r="25256" spans="1:26" ht="12.75" customHeight="1" x14ac:dyDescent="0.2">
      <c r="A25256" s="258"/>
      <c r="Z25256" s="258"/>
    </row>
    <row r="25257" spans="1:26" ht="12.75" customHeight="1" x14ac:dyDescent="0.2">
      <c r="A25257" s="258"/>
      <c r="Z25257" s="258"/>
    </row>
    <row r="25258" spans="1:26" ht="12.75" customHeight="1" x14ac:dyDescent="0.2">
      <c r="A25258" s="258"/>
      <c r="Z25258" s="258"/>
    </row>
    <row r="25259" spans="1:26" ht="12.75" customHeight="1" x14ac:dyDescent="0.2">
      <c r="A25259" s="258"/>
      <c r="Z25259" s="258"/>
    </row>
    <row r="25260" spans="1:26" ht="12.75" customHeight="1" x14ac:dyDescent="0.2">
      <c r="A25260" s="258"/>
      <c r="Z25260" s="258"/>
    </row>
    <row r="25261" spans="1:26" ht="12.75" customHeight="1" x14ac:dyDescent="0.2">
      <c r="A25261" s="258"/>
      <c r="Z25261" s="258"/>
    </row>
    <row r="25262" spans="1:26" ht="12.75" customHeight="1" x14ac:dyDescent="0.2">
      <c r="A25262" s="258"/>
      <c r="Z25262" s="258"/>
    </row>
    <row r="25263" spans="1:26" ht="12.75" customHeight="1" x14ac:dyDescent="0.2">
      <c r="A25263" s="258"/>
      <c r="Z25263" s="258"/>
    </row>
    <row r="25264" spans="1:26" ht="12.75" customHeight="1" x14ac:dyDescent="0.2">
      <c r="A25264" s="258"/>
      <c r="Z25264" s="258"/>
    </row>
    <row r="25265" spans="1:26" ht="12.75" customHeight="1" x14ac:dyDescent="0.2">
      <c r="A25265" s="258"/>
      <c r="Z25265" s="258"/>
    </row>
    <row r="25266" spans="1:26" ht="12.75" customHeight="1" x14ac:dyDescent="0.2">
      <c r="A25266" s="258"/>
      <c r="Z25266" s="258"/>
    </row>
    <row r="25267" spans="1:26" ht="12.75" customHeight="1" x14ac:dyDescent="0.2">
      <c r="A25267" s="258"/>
      <c r="Z25267" s="258"/>
    </row>
    <row r="25268" spans="1:26" ht="12.75" customHeight="1" x14ac:dyDescent="0.2">
      <c r="A25268" s="258"/>
      <c r="Z25268" s="258"/>
    </row>
    <row r="25269" spans="1:26" ht="12.75" customHeight="1" x14ac:dyDescent="0.2">
      <c r="A25269" s="258"/>
      <c r="Z25269" s="258"/>
    </row>
    <row r="25270" spans="1:26" ht="12.75" customHeight="1" x14ac:dyDescent="0.2">
      <c r="A25270" s="258"/>
      <c r="Z25270" s="258"/>
    </row>
    <row r="25271" spans="1:26" ht="12.75" customHeight="1" x14ac:dyDescent="0.2">
      <c r="A25271" s="258"/>
      <c r="Z25271" s="258"/>
    </row>
    <row r="25272" spans="1:26" ht="12.75" customHeight="1" x14ac:dyDescent="0.2">
      <c r="A25272" s="258"/>
      <c r="Z25272" s="258"/>
    </row>
    <row r="25273" spans="1:26" ht="12.75" customHeight="1" x14ac:dyDescent="0.2">
      <c r="A25273" s="258"/>
      <c r="Z25273" s="258"/>
    </row>
    <row r="25274" spans="1:26" ht="12.75" customHeight="1" x14ac:dyDescent="0.2">
      <c r="A25274" s="258"/>
      <c r="Z25274" s="258"/>
    </row>
    <row r="25275" spans="1:26" ht="12.75" customHeight="1" x14ac:dyDescent="0.2">
      <c r="A25275" s="258"/>
      <c r="Z25275" s="258"/>
    </row>
    <row r="25276" spans="1:26" ht="12.75" customHeight="1" x14ac:dyDescent="0.2">
      <c r="A25276" s="258"/>
      <c r="Z25276" s="258"/>
    </row>
    <row r="25277" spans="1:26" ht="12.75" customHeight="1" x14ac:dyDescent="0.2">
      <c r="A25277" s="258"/>
      <c r="Z25277" s="258"/>
    </row>
    <row r="25278" spans="1:26" ht="12.75" customHeight="1" x14ac:dyDescent="0.2">
      <c r="A25278" s="258"/>
      <c r="Z25278" s="258"/>
    </row>
    <row r="25279" spans="1:26" ht="12.75" customHeight="1" x14ac:dyDescent="0.2">
      <c r="A25279" s="258"/>
      <c r="Z25279" s="258"/>
    </row>
    <row r="25280" spans="1:26" ht="12.75" customHeight="1" x14ac:dyDescent="0.2">
      <c r="A25280" s="258"/>
      <c r="Z25280" s="258"/>
    </row>
    <row r="25281" spans="1:26" ht="12.75" customHeight="1" x14ac:dyDescent="0.2">
      <c r="A25281" s="258"/>
      <c r="Z25281" s="258"/>
    </row>
    <row r="25282" spans="1:26" ht="12.75" customHeight="1" x14ac:dyDescent="0.2">
      <c r="A25282" s="258"/>
      <c r="Z25282" s="258"/>
    </row>
    <row r="25283" spans="1:26" ht="12.75" customHeight="1" x14ac:dyDescent="0.2">
      <c r="A25283" s="258"/>
      <c r="Z25283" s="258"/>
    </row>
    <row r="25284" spans="1:26" ht="12.75" customHeight="1" x14ac:dyDescent="0.2">
      <c r="A25284" s="258"/>
      <c r="Z25284" s="258"/>
    </row>
    <row r="25285" spans="1:26" ht="12.75" customHeight="1" x14ac:dyDescent="0.2">
      <c r="A25285" s="258"/>
      <c r="Z25285" s="258"/>
    </row>
    <row r="25286" spans="1:26" ht="12.75" customHeight="1" x14ac:dyDescent="0.2">
      <c r="A25286" s="258"/>
      <c r="Z25286" s="258"/>
    </row>
    <row r="25287" spans="1:26" ht="12.75" customHeight="1" x14ac:dyDescent="0.2">
      <c r="A25287" s="258"/>
      <c r="Z25287" s="258"/>
    </row>
    <row r="25288" spans="1:26" ht="12.75" customHeight="1" x14ac:dyDescent="0.2">
      <c r="A25288" s="258"/>
      <c r="Z25288" s="258"/>
    </row>
    <row r="25289" spans="1:26" ht="12.75" customHeight="1" x14ac:dyDescent="0.2">
      <c r="A25289" s="258"/>
      <c r="Z25289" s="258"/>
    </row>
    <row r="25290" spans="1:26" ht="12.75" customHeight="1" x14ac:dyDescent="0.2">
      <c r="A25290" s="258"/>
      <c r="Z25290" s="258"/>
    </row>
    <row r="25291" spans="1:26" ht="12.75" customHeight="1" x14ac:dyDescent="0.2">
      <c r="A25291" s="258"/>
      <c r="Z25291" s="258"/>
    </row>
    <row r="25292" spans="1:26" ht="12.75" customHeight="1" x14ac:dyDescent="0.2">
      <c r="A25292" s="258"/>
      <c r="Z25292" s="258"/>
    </row>
    <row r="25293" spans="1:26" ht="12.75" customHeight="1" x14ac:dyDescent="0.2">
      <c r="A25293" s="258"/>
      <c r="Z25293" s="258"/>
    </row>
    <row r="25294" spans="1:26" ht="12.75" customHeight="1" x14ac:dyDescent="0.2">
      <c r="A25294" s="258"/>
      <c r="Z25294" s="258"/>
    </row>
    <row r="25295" spans="1:26" ht="12.75" customHeight="1" x14ac:dyDescent="0.2">
      <c r="A25295" s="258"/>
      <c r="Z25295" s="258"/>
    </row>
    <row r="25296" spans="1:26" ht="12.75" customHeight="1" x14ac:dyDescent="0.2">
      <c r="A25296" s="258"/>
      <c r="Z25296" s="258"/>
    </row>
    <row r="25297" spans="1:26" ht="12.75" customHeight="1" x14ac:dyDescent="0.2">
      <c r="A25297" s="258"/>
      <c r="Z25297" s="258"/>
    </row>
    <row r="25298" spans="1:26" ht="12.75" customHeight="1" x14ac:dyDescent="0.2">
      <c r="A25298" s="258"/>
      <c r="Z25298" s="258"/>
    </row>
    <row r="25299" spans="1:26" ht="12.75" customHeight="1" x14ac:dyDescent="0.2">
      <c r="A25299" s="258"/>
      <c r="Z25299" s="258"/>
    </row>
    <row r="25300" spans="1:26" ht="12.75" customHeight="1" x14ac:dyDescent="0.2">
      <c r="A25300" s="258"/>
      <c r="Z25300" s="258"/>
    </row>
    <row r="25301" spans="1:26" ht="12.75" customHeight="1" x14ac:dyDescent="0.2">
      <c r="A25301" s="258"/>
      <c r="Z25301" s="258"/>
    </row>
    <row r="25302" spans="1:26" ht="12.75" customHeight="1" x14ac:dyDescent="0.2">
      <c r="A25302" s="258"/>
      <c r="Z25302" s="258"/>
    </row>
    <row r="25303" spans="1:26" ht="12.75" customHeight="1" x14ac:dyDescent="0.2">
      <c r="A25303" s="258"/>
      <c r="Z25303" s="258"/>
    </row>
    <row r="25304" spans="1:26" ht="12.75" customHeight="1" x14ac:dyDescent="0.2">
      <c r="A25304" s="258"/>
      <c r="Z25304" s="258"/>
    </row>
    <row r="25305" spans="1:26" ht="12.75" customHeight="1" x14ac:dyDescent="0.2">
      <c r="A25305" s="258"/>
      <c r="Z25305" s="258"/>
    </row>
    <row r="25306" spans="1:26" ht="12.75" customHeight="1" x14ac:dyDescent="0.2">
      <c r="A25306" s="258"/>
      <c r="Z25306" s="258"/>
    </row>
    <row r="25307" spans="1:26" ht="12.75" customHeight="1" x14ac:dyDescent="0.2">
      <c r="A25307" s="258"/>
      <c r="Z25307" s="258"/>
    </row>
    <row r="25308" spans="1:26" ht="12.75" customHeight="1" x14ac:dyDescent="0.2">
      <c r="A25308" s="258"/>
      <c r="Z25308" s="258"/>
    </row>
    <row r="25309" spans="1:26" ht="12.75" customHeight="1" x14ac:dyDescent="0.2">
      <c r="A25309" s="258"/>
      <c r="Z25309" s="258"/>
    </row>
    <row r="25310" spans="1:26" ht="12.75" customHeight="1" x14ac:dyDescent="0.2">
      <c r="A25310" s="258"/>
      <c r="Z25310" s="258"/>
    </row>
    <row r="25311" spans="1:26" ht="12.75" customHeight="1" x14ac:dyDescent="0.2">
      <c r="A25311" s="258"/>
      <c r="Z25311" s="258"/>
    </row>
    <row r="25312" spans="1:26" ht="12.75" customHeight="1" x14ac:dyDescent="0.2">
      <c r="A25312" s="258"/>
      <c r="Z25312" s="258"/>
    </row>
    <row r="25313" spans="1:26" ht="12.75" customHeight="1" x14ac:dyDescent="0.2">
      <c r="A25313" s="258"/>
      <c r="Z25313" s="258"/>
    </row>
    <row r="25314" spans="1:26" ht="12.75" customHeight="1" x14ac:dyDescent="0.2">
      <c r="A25314" s="258"/>
      <c r="Z25314" s="258"/>
    </row>
    <row r="25315" spans="1:26" ht="12.75" customHeight="1" x14ac:dyDescent="0.2">
      <c r="A25315" s="258"/>
      <c r="Z25315" s="258"/>
    </row>
    <row r="25316" spans="1:26" ht="12.75" customHeight="1" x14ac:dyDescent="0.2">
      <c r="A25316" s="258"/>
      <c r="Z25316" s="258"/>
    </row>
    <row r="25317" spans="1:26" ht="12.75" customHeight="1" x14ac:dyDescent="0.2">
      <c r="A25317" s="258"/>
      <c r="Z25317" s="258"/>
    </row>
    <row r="25318" spans="1:26" ht="12.75" customHeight="1" x14ac:dyDescent="0.2">
      <c r="A25318" s="258"/>
      <c r="Z25318" s="258"/>
    </row>
    <row r="25319" spans="1:26" ht="12.75" customHeight="1" x14ac:dyDescent="0.2">
      <c r="A25319" s="258"/>
      <c r="Z25319" s="258"/>
    </row>
    <row r="25320" spans="1:26" ht="12.75" customHeight="1" x14ac:dyDescent="0.2">
      <c r="A25320" s="258"/>
      <c r="Z25320" s="258"/>
    </row>
    <row r="25321" spans="1:26" ht="12.75" customHeight="1" x14ac:dyDescent="0.2">
      <c r="A25321" s="258"/>
      <c r="Z25321" s="258"/>
    </row>
    <row r="25322" spans="1:26" ht="12.75" customHeight="1" x14ac:dyDescent="0.2">
      <c r="A25322" s="258"/>
      <c r="Z25322" s="258"/>
    </row>
    <row r="25323" spans="1:26" ht="12.75" customHeight="1" x14ac:dyDescent="0.2">
      <c r="A25323" s="258"/>
      <c r="Z25323" s="258"/>
    </row>
    <row r="25324" spans="1:26" ht="12.75" customHeight="1" x14ac:dyDescent="0.2">
      <c r="A25324" s="258"/>
      <c r="Z25324" s="258"/>
    </row>
    <row r="25325" spans="1:26" ht="12.75" customHeight="1" x14ac:dyDescent="0.2">
      <c r="A25325" s="258"/>
      <c r="Z25325" s="258"/>
    </row>
    <row r="25326" spans="1:26" ht="12.75" customHeight="1" x14ac:dyDescent="0.2">
      <c r="A25326" s="258"/>
      <c r="Z25326" s="258"/>
    </row>
    <row r="25327" spans="1:26" ht="12.75" customHeight="1" x14ac:dyDescent="0.2">
      <c r="A25327" s="258"/>
      <c r="Z25327" s="258"/>
    </row>
    <row r="25328" spans="1:26" ht="12.75" customHeight="1" x14ac:dyDescent="0.2">
      <c r="A25328" s="258"/>
      <c r="Z25328" s="258"/>
    </row>
    <row r="25329" spans="1:26" ht="12.75" customHeight="1" x14ac:dyDescent="0.2">
      <c r="A25329" s="258"/>
      <c r="Z25329" s="258"/>
    </row>
    <row r="25330" spans="1:26" ht="12.75" customHeight="1" x14ac:dyDescent="0.2">
      <c r="A25330" s="258"/>
      <c r="Z25330" s="258"/>
    </row>
    <row r="25331" spans="1:26" ht="12.75" customHeight="1" x14ac:dyDescent="0.2">
      <c r="A25331" s="258"/>
      <c r="Z25331" s="258"/>
    </row>
    <row r="25332" spans="1:26" ht="12.75" customHeight="1" x14ac:dyDescent="0.2">
      <c r="A25332" s="258"/>
      <c r="Z25332" s="258"/>
    </row>
    <row r="25333" spans="1:26" ht="12.75" customHeight="1" x14ac:dyDescent="0.2">
      <c r="A25333" s="258"/>
      <c r="Z25333" s="258"/>
    </row>
    <row r="25334" spans="1:26" ht="12.75" customHeight="1" x14ac:dyDescent="0.2">
      <c r="A25334" s="258"/>
      <c r="Z25334" s="258"/>
    </row>
    <row r="25335" spans="1:26" ht="12.75" customHeight="1" x14ac:dyDescent="0.2">
      <c r="A25335" s="258"/>
      <c r="Z25335" s="258"/>
    </row>
    <row r="25336" spans="1:26" ht="12.75" customHeight="1" x14ac:dyDescent="0.2">
      <c r="A25336" s="258"/>
      <c r="Z25336" s="258"/>
    </row>
    <row r="25337" spans="1:26" ht="12.75" customHeight="1" x14ac:dyDescent="0.2">
      <c r="A25337" s="258"/>
      <c r="Z25337" s="258"/>
    </row>
    <row r="25338" spans="1:26" ht="12.75" customHeight="1" x14ac:dyDescent="0.2">
      <c r="A25338" s="258"/>
      <c r="Z25338" s="258"/>
    </row>
    <row r="25339" spans="1:26" ht="12.75" customHeight="1" x14ac:dyDescent="0.2">
      <c r="A25339" s="258"/>
      <c r="Z25339" s="258"/>
    </row>
    <row r="25340" spans="1:26" ht="12.75" customHeight="1" x14ac:dyDescent="0.2">
      <c r="A25340" s="258"/>
      <c r="Z25340" s="258"/>
    </row>
    <row r="25341" spans="1:26" ht="12.75" customHeight="1" x14ac:dyDescent="0.2">
      <c r="A25341" s="258"/>
      <c r="Z25341" s="258"/>
    </row>
    <row r="25342" spans="1:26" ht="12.75" customHeight="1" x14ac:dyDescent="0.2">
      <c r="A25342" s="258"/>
      <c r="Z25342" s="258"/>
    </row>
    <row r="25343" spans="1:26" ht="12.75" customHeight="1" x14ac:dyDescent="0.2">
      <c r="A25343" s="258"/>
      <c r="Z25343" s="258"/>
    </row>
    <row r="25344" spans="1:26" ht="12.75" customHeight="1" x14ac:dyDescent="0.2">
      <c r="A25344" s="258"/>
      <c r="Z25344" s="258"/>
    </row>
    <row r="25345" spans="1:26" ht="12.75" customHeight="1" x14ac:dyDescent="0.2">
      <c r="A25345" s="258"/>
      <c r="Z25345" s="258"/>
    </row>
    <row r="25346" spans="1:26" ht="12.75" customHeight="1" x14ac:dyDescent="0.2">
      <c r="A25346" s="258"/>
      <c r="Z25346" s="258"/>
    </row>
    <row r="25347" spans="1:26" ht="12.75" customHeight="1" x14ac:dyDescent="0.2">
      <c r="A25347" s="258"/>
      <c r="Z25347" s="258"/>
    </row>
    <row r="25348" spans="1:26" ht="12.75" customHeight="1" x14ac:dyDescent="0.2">
      <c r="A25348" s="258"/>
      <c r="Z25348" s="258"/>
    </row>
    <row r="25349" spans="1:26" ht="12.75" customHeight="1" x14ac:dyDescent="0.2">
      <c r="A25349" s="258"/>
      <c r="Z25349" s="258"/>
    </row>
    <row r="25350" spans="1:26" ht="12.75" customHeight="1" x14ac:dyDescent="0.2">
      <c r="A25350" s="258"/>
      <c r="Z25350" s="258"/>
    </row>
    <row r="25351" spans="1:26" ht="12.75" customHeight="1" x14ac:dyDescent="0.2">
      <c r="A25351" s="258"/>
      <c r="Z25351" s="258"/>
    </row>
    <row r="25352" spans="1:26" ht="12.75" customHeight="1" x14ac:dyDescent="0.2">
      <c r="A25352" s="258"/>
      <c r="Z25352" s="258"/>
    </row>
    <row r="25353" spans="1:26" ht="12.75" customHeight="1" x14ac:dyDescent="0.2">
      <c r="A25353" s="258"/>
      <c r="Z25353" s="258"/>
    </row>
    <row r="25354" spans="1:26" ht="12.75" customHeight="1" x14ac:dyDescent="0.2">
      <c r="A25354" s="258"/>
      <c r="Z25354" s="258"/>
    </row>
    <row r="25355" spans="1:26" ht="12.75" customHeight="1" x14ac:dyDescent="0.2">
      <c r="A25355" s="258"/>
      <c r="Z25355" s="258"/>
    </row>
    <row r="25356" spans="1:26" ht="12.75" customHeight="1" x14ac:dyDescent="0.2">
      <c r="A25356" s="258"/>
      <c r="Z25356" s="258"/>
    </row>
    <row r="25357" spans="1:26" ht="12.75" customHeight="1" x14ac:dyDescent="0.2">
      <c r="A25357" s="258"/>
      <c r="Z25357" s="258"/>
    </row>
    <row r="25358" spans="1:26" ht="12.75" customHeight="1" x14ac:dyDescent="0.2">
      <c r="A25358" s="258"/>
      <c r="Z25358" s="258"/>
    </row>
    <row r="25359" spans="1:26" ht="12.75" customHeight="1" x14ac:dyDescent="0.2">
      <c r="A25359" s="258"/>
      <c r="Z25359" s="258"/>
    </row>
    <row r="25360" spans="1:26" ht="12.75" customHeight="1" x14ac:dyDescent="0.2">
      <c r="A25360" s="258"/>
      <c r="Z25360" s="258"/>
    </row>
    <row r="25361" spans="1:26" ht="12.75" customHeight="1" x14ac:dyDescent="0.2">
      <c r="A25361" s="258"/>
      <c r="Z25361" s="258"/>
    </row>
    <row r="25362" spans="1:26" ht="12.75" customHeight="1" x14ac:dyDescent="0.2">
      <c r="A25362" s="258"/>
      <c r="Z25362" s="258"/>
    </row>
    <row r="25363" spans="1:26" ht="12.75" customHeight="1" x14ac:dyDescent="0.2">
      <c r="A25363" s="258"/>
      <c r="Z25363" s="258"/>
    </row>
    <row r="25364" spans="1:26" ht="12.75" customHeight="1" x14ac:dyDescent="0.2">
      <c r="A25364" s="258"/>
      <c r="Z25364" s="258"/>
    </row>
    <row r="25365" spans="1:26" ht="12.75" customHeight="1" x14ac:dyDescent="0.2">
      <c r="A25365" s="258"/>
      <c r="Z25365" s="258"/>
    </row>
    <row r="25366" spans="1:26" ht="12.75" customHeight="1" x14ac:dyDescent="0.2">
      <c r="A25366" s="258"/>
      <c r="Z25366" s="258"/>
    </row>
    <row r="25367" spans="1:26" ht="12.75" customHeight="1" x14ac:dyDescent="0.2">
      <c r="A25367" s="258"/>
      <c r="Z25367" s="258"/>
    </row>
    <row r="25368" spans="1:26" ht="12.75" customHeight="1" x14ac:dyDescent="0.2">
      <c r="A25368" s="258"/>
      <c r="Z25368" s="258"/>
    </row>
    <row r="25369" spans="1:26" ht="12.75" customHeight="1" x14ac:dyDescent="0.2">
      <c r="A25369" s="258"/>
      <c r="Z25369" s="258"/>
    </row>
    <row r="25370" spans="1:26" ht="12.75" customHeight="1" x14ac:dyDescent="0.2">
      <c r="A25370" s="258"/>
      <c r="Z25370" s="258"/>
    </row>
    <row r="25371" spans="1:26" ht="12.75" customHeight="1" x14ac:dyDescent="0.2">
      <c r="A25371" s="258"/>
      <c r="Z25371" s="258"/>
    </row>
    <row r="25372" spans="1:26" ht="12.75" customHeight="1" x14ac:dyDescent="0.2">
      <c r="A25372" s="258"/>
      <c r="Z25372" s="258"/>
    </row>
    <row r="25373" spans="1:26" ht="12.75" customHeight="1" x14ac:dyDescent="0.2">
      <c r="A25373" s="258"/>
      <c r="Z25373" s="258"/>
    </row>
    <row r="25374" spans="1:26" ht="12.75" customHeight="1" x14ac:dyDescent="0.2">
      <c r="A25374" s="258"/>
      <c r="Z25374" s="258"/>
    </row>
    <row r="25375" spans="1:26" ht="12.75" customHeight="1" x14ac:dyDescent="0.2">
      <c r="A25375" s="258"/>
      <c r="Z25375" s="258"/>
    </row>
    <row r="25376" spans="1:26" ht="12.75" customHeight="1" x14ac:dyDescent="0.2">
      <c r="A25376" s="258"/>
      <c r="Z25376" s="258"/>
    </row>
    <row r="25377" spans="1:26" ht="12.75" customHeight="1" x14ac:dyDescent="0.2">
      <c r="A25377" s="258"/>
      <c r="Z25377" s="258"/>
    </row>
    <row r="25378" spans="1:26" ht="12.75" customHeight="1" x14ac:dyDescent="0.2">
      <c r="A25378" s="258"/>
      <c r="Z25378" s="258"/>
    </row>
    <row r="25379" spans="1:26" ht="12.75" customHeight="1" x14ac:dyDescent="0.2">
      <c r="A25379" s="258"/>
      <c r="Z25379" s="258"/>
    </row>
    <row r="25380" spans="1:26" ht="12.75" customHeight="1" x14ac:dyDescent="0.2">
      <c r="A25380" s="258"/>
      <c r="Z25380" s="258"/>
    </row>
    <row r="25381" spans="1:26" ht="12.75" customHeight="1" x14ac:dyDescent="0.2">
      <c r="A25381" s="258"/>
      <c r="Z25381" s="258"/>
    </row>
    <row r="25382" spans="1:26" ht="12.75" customHeight="1" x14ac:dyDescent="0.2">
      <c r="A25382" s="258"/>
      <c r="Z25382" s="258"/>
    </row>
    <row r="25383" spans="1:26" ht="12.75" customHeight="1" x14ac:dyDescent="0.2">
      <c r="A25383" s="258"/>
      <c r="Z25383" s="258"/>
    </row>
    <row r="25384" spans="1:26" ht="12.75" customHeight="1" x14ac:dyDescent="0.2">
      <c r="A25384" s="258"/>
      <c r="Z25384" s="258"/>
    </row>
    <row r="25385" spans="1:26" ht="12.75" customHeight="1" x14ac:dyDescent="0.2">
      <c r="A25385" s="258"/>
      <c r="Z25385" s="258"/>
    </row>
    <row r="25386" spans="1:26" ht="12.75" customHeight="1" x14ac:dyDescent="0.2">
      <c r="A25386" s="258"/>
      <c r="Z25386" s="258"/>
    </row>
    <row r="25387" spans="1:26" ht="12.75" customHeight="1" x14ac:dyDescent="0.2">
      <c r="A25387" s="258"/>
      <c r="Z25387" s="258"/>
    </row>
    <row r="25388" spans="1:26" ht="12.75" customHeight="1" x14ac:dyDescent="0.2">
      <c r="A25388" s="258"/>
      <c r="Z25388" s="258"/>
    </row>
    <row r="25389" spans="1:26" ht="12.75" customHeight="1" x14ac:dyDescent="0.2">
      <c r="A25389" s="258"/>
      <c r="Z25389" s="258"/>
    </row>
    <row r="25390" spans="1:26" ht="12.75" customHeight="1" x14ac:dyDescent="0.2">
      <c r="A25390" s="258"/>
      <c r="Z25390" s="258"/>
    </row>
    <row r="25391" spans="1:26" ht="12.75" customHeight="1" x14ac:dyDescent="0.2">
      <c r="A25391" s="258"/>
      <c r="Z25391" s="258"/>
    </row>
    <row r="25392" spans="1:26" ht="12.75" customHeight="1" x14ac:dyDescent="0.2">
      <c r="A25392" s="258"/>
      <c r="Z25392" s="258"/>
    </row>
    <row r="25393" spans="1:26" ht="12.75" customHeight="1" x14ac:dyDescent="0.2">
      <c r="A25393" s="258"/>
      <c r="Z25393" s="258"/>
    </row>
    <row r="25394" spans="1:26" ht="12.75" customHeight="1" x14ac:dyDescent="0.2">
      <c r="A25394" s="258"/>
      <c r="Z25394" s="258"/>
    </row>
    <row r="25395" spans="1:26" ht="12.75" customHeight="1" x14ac:dyDescent="0.2">
      <c r="A25395" s="258"/>
      <c r="Z25395" s="258"/>
    </row>
    <row r="25396" spans="1:26" ht="12.75" customHeight="1" x14ac:dyDescent="0.2">
      <c r="A25396" s="258"/>
      <c r="Z25396" s="258"/>
    </row>
    <row r="25397" spans="1:26" ht="12.75" customHeight="1" x14ac:dyDescent="0.2">
      <c r="A25397" s="258"/>
      <c r="Z25397" s="258"/>
    </row>
    <row r="25398" spans="1:26" ht="12.75" customHeight="1" x14ac:dyDescent="0.2">
      <c r="A25398" s="258"/>
      <c r="Z25398" s="258"/>
    </row>
    <row r="25399" spans="1:26" ht="12.75" customHeight="1" x14ac:dyDescent="0.2">
      <c r="A25399" s="258"/>
      <c r="Z25399" s="258"/>
    </row>
    <row r="25400" spans="1:26" ht="12.75" customHeight="1" x14ac:dyDescent="0.2">
      <c r="A25400" s="258"/>
      <c r="Z25400" s="258"/>
    </row>
    <row r="25401" spans="1:26" ht="12.75" customHeight="1" x14ac:dyDescent="0.2">
      <c r="A25401" s="258"/>
      <c r="Z25401" s="258"/>
    </row>
    <row r="25402" spans="1:26" ht="12.75" customHeight="1" x14ac:dyDescent="0.2">
      <c r="A25402" s="258"/>
      <c r="Z25402" s="258"/>
    </row>
    <row r="25403" spans="1:26" ht="12.75" customHeight="1" x14ac:dyDescent="0.2">
      <c r="A25403" s="258"/>
      <c r="Z25403" s="258"/>
    </row>
    <row r="25404" spans="1:26" ht="12.75" customHeight="1" x14ac:dyDescent="0.2">
      <c r="A25404" s="258"/>
      <c r="Z25404" s="258"/>
    </row>
    <row r="25405" spans="1:26" ht="12.75" customHeight="1" x14ac:dyDescent="0.2">
      <c r="A25405" s="258"/>
      <c r="Z25405" s="258"/>
    </row>
    <row r="25406" spans="1:26" ht="12.75" customHeight="1" x14ac:dyDescent="0.2">
      <c r="A25406" s="258"/>
      <c r="Z25406" s="258"/>
    </row>
    <row r="25407" spans="1:26" ht="12.75" customHeight="1" x14ac:dyDescent="0.2">
      <c r="A25407" s="258"/>
      <c r="Z25407" s="258"/>
    </row>
    <row r="25408" spans="1:26" ht="12.75" customHeight="1" x14ac:dyDescent="0.2">
      <c r="A25408" s="258"/>
      <c r="Z25408" s="258"/>
    </row>
    <row r="25409" spans="1:26" ht="12.75" customHeight="1" x14ac:dyDescent="0.2">
      <c r="A25409" s="258"/>
      <c r="Z25409" s="258"/>
    </row>
    <row r="25410" spans="1:26" ht="12.75" customHeight="1" x14ac:dyDescent="0.2">
      <c r="A25410" s="258"/>
      <c r="Z25410" s="258"/>
    </row>
    <row r="25411" spans="1:26" ht="12.75" customHeight="1" x14ac:dyDescent="0.2">
      <c r="A25411" s="258"/>
      <c r="Z25411" s="258"/>
    </row>
    <row r="25412" spans="1:26" ht="12.75" customHeight="1" x14ac:dyDescent="0.2">
      <c r="A25412" s="258"/>
      <c r="Z25412" s="258"/>
    </row>
    <row r="25413" spans="1:26" ht="12.75" customHeight="1" x14ac:dyDescent="0.2">
      <c r="A25413" s="258"/>
      <c r="Z25413" s="258"/>
    </row>
    <row r="25414" spans="1:26" ht="12.75" customHeight="1" x14ac:dyDescent="0.2">
      <c r="A25414" s="258"/>
      <c r="Z25414" s="258"/>
    </row>
    <row r="25415" spans="1:26" ht="12.75" customHeight="1" x14ac:dyDescent="0.2">
      <c r="A25415" s="258"/>
      <c r="Z25415" s="258"/>
    </row>
    <row r="25416" spans="1:26" ht="12.75" customHeight="1" x14ac:dyDescent="0.2">
      <c r="A25416" s="258"/>
      <c r="Z25416" s="258"/>
    </row>
    <row r="25417" spans="1:26" ht="12.75" customHeight="1" x14ac:dyDescent="0.2">
      <c r="A25417" s="258"/>
      <c r="Z25417" s="258"/>
    </row>
    <row r="25418" spans="1:26" ht="12.75" customHeight="1" x14ac:dyDescent="0.2">
      <c r="A25418" s="258"/>
      <c r="Z25418" s="258"/>
    </row>
    <row r="25419" spans="1:26" ht="12.75" customHeight="1" x14ac:dyDescent="0.2">
      <c r="A25419" s="258"/>
      <c r="Z25419" s="258"/>
    </row>
    <row r="25420" spans="1:26" ht="12.75" customHeight="1" x14ac:dyDescent="0.2">
      <c r="A25420" s="258"/>
      <c r="Z25420" s="258"/>
    </row>
    <row r="25421" spans="1:26" ht="12.75" customHeight="1" x14ac:dyDescent="0.2">
      <c r="A25421" s="258"/>
      <c r="Z25421" s="258"/>
    </row>
    <row r="25422" spans="1:26" ht="12.75" customHeight="1" x14ac:dyDescent="0.2">
      <c r="A25422" s="258"/>
      <c r="Z25422" s="258"/>
    </row>
    <row r="25423" spans="1:26" ht="12.75" customHeight="1" x14ac:dyDescent="0.2">
      <c r="A25423" s="258"/>
      <c r="Z25423" s="258"/>
    </row>
    <row r="25424" spans="1:26" ht="12.75" customHeight="1" x14ac:dyDescent="0.2">
      <c r="A25424" s="258"/>
      <c r="Z25424" s="258"/>
    </row>
    <row r="25425" spans="1:26" ht="12.75" customHeight="1" x14ac:dyDescent="0.2">
      <c r="A25425" s="258"/>
      <c r="Z25425" s="258"/>
    </row>
    <row r="25426" spans="1:26" ht="12.75" customHeight="1" x14ac:dyDescent="0.2">
      <c r="A25426" s="258"/>
      <c r="Z25426" s="258"/>
    </row>
    <row r="25427" spans="1:26" ht="12.75" customHeight="1" x14ac:dyDescent="0.2">
      <c r="A25427" s="258"/>
      <c r="Z25427" s="258"/>
    </row>
    <row r="25428" spans="1:26" ht="12.75" customHeight="1" x14ac:dyDescent="0.2">
      <c r="A25428" s="258"/>
      <c r="Z25428" s="258"/>
    </row>
    <row r="25429" spans="1:26" ht="12.75" customHeight="1" x14ac:dyDescent="0.2">
      <c r="A25429" s="258"/>
      <c r="Z25429" s="258"/>
    </row>
    <row r="25430" spans="1:26" ht="12.75" customHeight="1" x14ac:dyDescent="0.2">
      <c r="A25430" s="258"/>
      <c r="Z25430" s="258"/>
    </row>
    <row r="25431" spans="1:26" ht="12.75" customHeight="1" x14ac:dyDescent="0.2">
      <c r="A25431" s="258"/>
      <c r="Z25431" s="258"/>
    </row>
    <row r="25432" spans="1:26" ht="12.75" customHeight="1" x14ac:dyDescent="0.2">
      <c r="A25432" s="258"/>
      <c r="Z25432" s="258"/>
    </row>
    <row r="25433" spans="1:26" ht="12.75" customHeight="1" x14ac:dyDescent="0.2">
      <c r="A25433" s="258"/>
      <c r="Z25433" s="258"/>
    </row>
    <row r="25434" spans="1:26" ht="12.75" customHeight="1" x14ac:dyDescent="0.2">
      <c r="A25434" s="258"/>
      <c r="Z25434" s="258"/>
    </row>
    <row r="25435" spans="1:26" ht="12.75" customHeight="1" x14ac:dyDescent="0.2">
      <c r="A25435" s="258"/>
      <c r="Z25435" s="258"/>
    </row>
    <row r="25436" spans="1:26" ht="12.75" customHeight="1" x14ac:dyDescent="0.2">
      <c r="A25436" s="258"/>
      <c r="Z25436" s="258"/>
    </row>
    <row r="25437" spans="1:26" ht="12.75" customHeight="1" x14ac:dyDescent="0.2">
      <c r="A25437" s="258"/>
      <c r="Z25437" s="258"/>
    </row>
    <row r="25438" spans="1:26" ht="12.75" customHeight="1" x14ac:dyDescent="0.2">
      <c r="A25438" s="258"/>
      <c r="Z25438" s="258"/>
    </row>
    <row r="25439" spans="1:26" ht="12.75" customHeight="1" x14ac:dyDescent="0.2">
      <c r="A25439" s="258"/>
      <c r="Z25439" s="258"/>
    </row>
    <row r="25440" spans="1:26" ht="12.75" customHeight="1" x14ac:dyDescent="0.2">
      <c r="A25440" s="258"/>
      <c r="Z25440" s="258"/>
    </row>
    <row r="25441" spans="1:26" ht="12.75" customHeight="1" x14ac:dyDescent="0.2">
      <c r="A25441" s="258"/>
      <c r="Z25441" s="258"/>
    </row>
    <row r="25442" spans="1:26" ht="12.75" customHeight="1" x14ac:dyDescent="0.2">
      <c r="A25442" s="258"/>
      <c r="Z25442" s="258"/>
    </row>
    <row r="25443" spans="1:26" ht="12.75" customHeight="1" x14ac:dyDescent="0.2">
      <c r="A25443" s="258"/>
      <c r="Z25443" s="258"/>
    </row>
    <row r="25444" spans="1:26" ht="12.75" customHeight="1" x14ac:dyDescent="0.2">
      <c r="A25444" s="258"/>
      <c r="Z25444" s="258"/>
    </row>
    <row r="25445" spans="1:26" ht="12.75" customHeight="1" x14ac:dyDescent="0.2">
      <c r="A25445" s="258"/>
      <c r="Z25445" s="258"/>
    </row>
    <row r="25446" spans="1:26" ht="12.75" customHeight="1" x14ac:dyDescent="0.2">
      <c r="A25446" s="258"/>
      <c r="Z25446" s="258"/>
    </row>
    <row r="25447" spans="1:26" ht="12.75" customHeight="1" x14ac:dyDescent="0.2">
      <c r="A25447" s="258"/>
      <c r="Z25447" s="258"/>
    </row>
    <row r="25448" spans="1:26" ht="12.75" customHeight="1" x14ac:dyDescent="0.2">
      <c r="A25448" s="258"/>
      <c r="Z25448" s="258"/>
    </row>
    <row r="25449" spans="1:26" ht="12.75" customHeight="1" x14ac:dyDescent="0.2">
      <c r="A25449" s="258"/>
      <c r="Z25449" s="258"/>
    </row>
    <row r="25450" spans="1:26" ht="12.75" customHeight="1" x14ac:dyDescent="0.2">
      <c r="A25450" s="258"/>
      <c r="Z25450" s="258"/>
    </row>
    <row r="25451" spans="1:26" ht="12.75" customHeight="1" x14ac:dyDescent="0.2">
      <c r="A25451" s="258"/>
      <c r="Z25451" s="258"/>
    </row>
    <row r="25452" spans="1:26" ht="12.75" customHeight="1" x14ac:dyDescent="0.2">
      <c r="A25452" s="258"/>
      <c r="Z25452" s="258"/>
    </row>
    <row r="25453" spans="1:26" ht="12.75" customHeight="1" x14ac:dyDescent="0.2">
      <c r="A25453" s="258"/>
      <c r="Z25453" s="258"/>
    </row>
    <row r="25454" spans="1:26" ht="12.75" customHeight="1" x14ac:dyDescent="0.2">
      <c r="A25454" s="258"/>
      <c r="Z25454" s="258"/>
    </row>
    <row r="25455" spans="1:26" ht="12.75" customHeight="1" x14ac:dyDescent="0.2">
      <c r="A25455" s="258"/>
      <c r="Z25455" s="258"/>
    </row>
    <row r="25456" spans="1:26" ht="12.75" customHeight="1" x14ac:dyDescent="0.2">
      <c r="A25456" s="258"/>
      <c r="Z25456" s="258"/>
    </row>
    <row r="25457" spans="1:26" ht="12.75" customHeight="1" x14ac:dyDescent="0.2">
      <c r="A25457" s="258"/>
      <c r="Z25457" s="258"/>
    </row>
    <row r="25458" spans="1:26" ht="12.75" customHeight="1" x14ac:dyDescent="0.2">
      <c r="A25458" s="258"/>
      <c r="Z25458" s="258"/>
    </row>
    <row r="25459" spans="1:26" ht="12.75" customHeight="1" x14ac:dyDescent="0.2">
      <c r="A25459" s="258"/>
      <c r="Z25459" s="258"/>
    </row>
    <row r="25460" spans="1:26" ht="12.75" customHeight="1" x14ac:dyDescent="0.2">
      <c r="A25460" s="258"/>
      <c r="Z25460" s="258"/>
    </row>
    <row r="25461" spans="1:26" ht="12.75" customHeight="1" x14ac:dyDescent="0.2">
      <c r="A25461" s="258"/>
      <c r="Z25461" s="258"/>
    </row>
    <row r="25462" spans="1:26" ht="12.75" customHeight="1" x14ac:dyDescent="0.2">
      <c r="A25462" s="258"/>
      <c r="Z25462" s="258"/>
    </row>
    <row r="25463" spans="1:26" ht="12.75" customHeight="1" x14ac:dyDescent="0.2">
      <c r="A25463" s="258"/>
      <c r="Z25463" s="258"/>
    </row>
    <row r="25464" spans="1:26" ht="12.75" customHeight="1" x14ac:dyDescent="0.2">
      <c r="A25464" s="258"/>
      <c r="Z25464" s="258"/>
    </row>
    <row r="25465" spans="1:26" ht="12.75" customHeight="1" x14ac:dyDescent="0.2">
      <c r="A25465" s="258"/>
      <c r="Z25465" s="258"/>
    </row>
    <row r="25466" spans="1:26" ht="12.75" customHeight="1" x14ac:dyDescent="0.2">
      <c r="A25466" s="258"/>
      <c r="Z25466" s="258"/>
    </row>
    <row r="25467" spans="1:26" ht="12.75" customHeight="1" x14ac:dyDescent="0.2">
      <c r="A25467" s="258"/>
      <c r="Z25467" s="258"/>
    </row>
    <row r="25468" spans="1:26" ht="12.75" customHeight="1" x14ac:dyDescent="0.2">
      <c r="A25468" s="258"/>
      <c r="Z25468" s="258"/>
    </row>
    <row r="25469" spans="1:26" ht="12.75" customHeight="1" x14ac:dyDescent="0.2">
      <c r="A25469" s="258"/>
      <c r="Z25469" s="258"/>
    </row>
    <row r="25470" spans="1:26" ht="12.75" customHeight="1" x14ac:dyDescent="0.2">
      <c r="A25470" s="258"/>
      <c r="Z25470" s="258"/>
    </row>
    <row r="25471" spans="1:26" ht="12.75" customHeight="1" x14ac:dyDescent="0.2">
      <c r="A25471" s="258"/>
      <c r="Z25471" s="258"/>
    </row>
    <row r="25472" spans="1:26" ht="12.75" customHeight="1" x14ac:dyDescent="0.2">
      <c r="A25472" s="258"/>
      <c r="Z25472" s="258"/>
    </row>
    <row r="25473" spans="1:26" ht="12.75" customHeight="1" x14ac:dyDescent="0.2">
      <c r="A25473" s="258"/>
      <c r="Z25473" s="258"/>
    </row>
    <row r="25474" spans="1:26" ht="12.75" customHeight="1" x14ac:dyDescent="0.2">
      <c r="A25474" s="258"/>
      <c r="Z25474" s="258"/>
    </row>
    <row r="25475" spans="1:26" ht="12.75" customHeight="1" x14ac:dyDescent="0.2">
      <c r="A25475" s="258"/>
      <c r="Z25475" s="258"/>
    </row>
    <row r="25476" spans="1:26" ht="12.75" customHeight="1" x14ac:dyDescent="0.2">
      <c r="A25476" s="258"/>
      <c r="Z25476" s="258"/>
    </row>
    <row r="25477" spans="1:26" ht="12.75" customHeight="1" x14ac:dyDescent="0.2">
      <c r="A25477" s="258"/>
      <c r="Z25477" s="258"/>
    </row>
    <row r="25478" spans="1:26" ht="12.75" customHeight="1" x14ac:dyDescent="0.2">
      <c r="A25478" s="258"/>
      <c r="Z25478" s="258"/>
    </row>
    <row r="25479" spans="1:26" ht="12.75" customHeight="1" x14ac:dyDescent="0.2">
      <c r="A25479" s="258"/>
      <c r="Z25479" s="258"/>
    </row>
    <row r="25480" spans="1:26" ht="12.75" customHeight="1" x14ac:dyDescent="0.2">
      <c r="A25480" s="258"/>
      <c r="Z25480" s="258"/>
    </row>
    <row r="25481" spans="1:26" ht="12.75" customHeight="1" x14ac:dyDescent="0.2">
      <c r="A25481" s="258"/>
      <c r="Z25481" s="258"/>
    </row>
    <row r="25482" spans="1:26" ht="12.75" customHeight="1" x14ac:dyDescent="0.2">
      <c r="A25482" s="258"/>
      <c r="Z25482" s="258"/>
    </row>
    <row r="25483" spans="1:26" ht="12.75" customHeight="1" x14ac:dyDescent="0.2">
      <c r="A25483" s="258"/>
      <c r="Z25483" s="258"/>
    </row>
    <row r="25484" spans="1:26" ht="12.75" customHeight="1" x14ac:dyDescent="0.2">
      <c r="A25484" s="258"/>
      <c r="Z25484" s="258"/>
    </row>
    <row r="25485" spans="1:26" ht="12.75" customHeight="1" x14ac:dyDescent="0.2">
      <c r="A25485" s="258"/>
      <c r="Z25485" s="258"/>
    </row>
    <row r="25486" spans="1:26" ht="12.75" customHeight="1" x14ac:dyDescent="0.2">
      <c r="A25486" s="258"/>
      <c r="Z25486" s="258"/>
    </row>
    <row r="25487" spans="1:26" ht="12.75" customHeight="1" x14ac:dyDescent="0.2">
      <c r="A25487" s="258"/>
      <c r="Z25487" s="258"/>
    </row>
    <row r="25488" spans="1:26" ht="12.75" customHeight="1" x14ac:dyDescent="0.2">
      <c r="A25488" s="258"/>
      <c r="Z25488" s="258"/>
    </row>
    <row r="25489" spans="1:26" ht="12.75" customHeight="1" x14ac:dyDescent="0.2">
      <c r="A25489" s="258"/>
      <c r="Z25489" s="258"/>
    </row>
    <row r="25490" spans="1:26" ht="12.75" customHeight="1" x14ac:dyDescent="0.2">
      <c r="A25490" s="258"/>
      <c r="Z25490" s="258"/>
    </row>
    <row r="25491" spans="1:26" ht="12.75" customHeight="1" x14ac:dyDescent="0.2">
      <c r="A25491" s="258"/>
      <c r="Z25491" s="258"/>
    </row>
    <row r="25492" spans="1:26" ht="12.75" customHeight="1" x14ac:dyDescent="0.2">
      <c r="A25492" s="258"/>
      <c r="Z25492" s="258"/>
    </row>
    <row r="25493" spans="1:26" ht="12.75" customHeight="1" x14ac:dyDescent="0.2">
      <c r="A25493" s="258"/>
      <c r="Z25493" s="258"/>
    </row>
    <row r="25494" spans="1:26" ht="12.75" customHeight="1" x14ac:dyDescent="0.2">
      <c r="A25494" s="258"/>
      <c r="Z25494" s="258"/>
    </row>
    <row r="25495" spans="1:26" ht="12.75" customHeight="1" x14ac:dyDescent="0.2">
      <c r="A25495" s="258"/>
      <c r="Z25495" s="258"/>
    </row>
    <row r="25496" spans="1:26" ht="12.75" customHeight="1" x14ac:dyDescent="0.2">
      <c r="A25496" s="258"/>
      <c r="Z25496" s="258"/>
    </row>
    <row r="25497" spans="1:26" ht="12.75" customHeight="1" x14ac:dyDescent="0.2">
      <c r="A25497" s="258"/>
      <c r="Z25497" s="258"/>
    </row>
    <row r="25498" spans="1:26" ht="12.75" customHeight="1" x14ac:dyDescent="0.2">
      <c r="A25498" s="258"/>
      <c r="Z25498" s="258"/>
    </row>
    <row r="25499" spans="1:26" ht="12.75" customHeight="1" x14ac:dyDescent="0.2">
      <c r="A25499" s="258"/>
      <c r="Z25499" s="258"/>
    </row>
    <row r="25500" spans="1:26" ht="12.75" customHeight="1" x14ac:dyDescent="0.2">
      <c r="A25500" s="258"/>
      <c r="Z25500" s="258"/>
    </row>
    <row r="25501" spans="1:26" ht="12.75" customHeight="1" x14ac:dyDescent="0.2">
      <c r="A25501" s="258"/>
      <c r="Z25501" s="258"/>
    </row>
    <row r="25502" spans="1:26" ht="12.75" customHeight="1" x14ac:dyDescent="0.2">
      <c r="A25502" s="258"/>
      <c r="Z25502" s="258"/>
    </row>
    <row r="25503" spans="1:26" ht="12.75" customHeight="1" x14ac:dyDescent="0.2">
      <c r="A25503" s="258"/>
      <c r="Z25503" s="258"/>
    </row>
    <row r="25504" spans="1:26" ht="12.75" customHeight="1" x14ac:dyDescent="0.2">
      <c r="A25504" s="258"/>
      <c r="Z25504" s="258"/>
    </row>
    <row r="25505" spans="1:26" ht="12.75" customHeight="1" x14ac:dyDescent="0.2">
      <c r="A25505" s="258"/>
      <c r="Z25505" s="258"/>
    </row>
    <row r="25506" spans="1:26" ht="12.75" customHeight="1" x14ac:dyDescent="0.2">
      <c r="A25506" s="258"/>
      <c r="Z25506" s="258"/>
    </row>
    <row r="25507" spans="1:26" ht="12.75" customHeight="1" x14ac:dyDescent="0.2">
      <c r="A25507" s="258"/>
      <c r="Z25507" s="258"/>
    </row>
    <row r="25508" spans="1:26" ht="12.75" customHeight="1" x14ac:dyDescent="0.2">
      <c r="A25508" s="258"/>
      <c r="Z25508" s="258"/>
    </row>
    <row r="25509" spans="1:26" ht="12.75" customHeight="1" x14ac:dyDescent="0.2">
      <c r="A25509" s="258"/>
      <c r="Z25509" s="258"/>
    </row>
    <row r="25510" spans="1:26" ht="12.75" customHeight="1" x14ac:dyDescent="0.2">
      <c r="A25510" s="258"/>
      <c r="Z25510" s="258"/>
    </row>
    <row r="25511" spans="1:26" ht="12.75" customHeight="1" x14ac:dyDescent="0.2">
      <c r="A25511" s="258"/>
      <c r="Z25511" s="258"/>
    </row>
    <row r="25512" spans="1:26" ht="12.75" customHeight="1" x14ac:dyDescent="0.2">
      <c r="A25512" s="258"/>
      <c r="Z25512" s="258"/>
    </row>
    <row r="25513" spans="1:26" ht="12.75" customHeight="1" x14ac:dyDescent="0.2">
      <c r="A25513" s="258"/>
      <c r="Z25513" s="258"/>
    </row>
    <row r="25514" spans="1:26" ht="12.75" customHeight="1" x14ac:dyDescent="0.2">
      <c r="A25514" s="258"/>
      <c r="Z25514" s="258"/>
    </row>
    <row r="25515" spans="1:26" ht="12.75" customHeight="1" x14ac:dyDescent="0.2">
      <c r="A25515" s="258"/>
      <c r="Z25515" s="258"/>
    </row>
    <row r="25516" spans="1:26" ht="12.75" customHeight="1" x14ac:dyDescent="0.2">
      <c r="A25516" s="258"/>
      <c r="Z25516" s="258"/>
    </row>
    <row r="25517" spans="1:26" ht="12.75" customHeight="1" x14ac:dyDescent="0.2">
      <c r="A25517" s="258"/>
      <c r="Z25517" s="258"/>
    </row>
    <row r="25518" spans="1:26" ht="12.75" customHeight="1" x14ac:dyDescent="0.2">
      <c r="A25518" s="258"/>
      <c r="Z25518" s="258"/>
    </row>
    <row r="25519" spans="1:26" ht="12.75" customHeight="1" x14ac:dyDescent="0.2">
      <c r="A25519" s="258"/>
      <c r="Z25519" s="258"/>
    </row>
    <row r="25520" spans="1:26" ht="12.75" customHeight="1" x14ac:dyDescent="0.2">
      <c r="A25520" s="258"/>
      <c r="Z25520" s="258"/>
    </row>
    <row r="25521" spans="1:26" ht="12.75" customHeight="1" x14ac:dyDescent="0.2">
      <c r="A25521" s="258"/>
      <c r="Z25521" s="258"/>
    </row>
    <row r="25522" spans="1:26" ht="12.75" customHeight="1" x14ac:dyDescent="0.2">
      <c r="A25522" s="258"/>
      <c r="Z25522" s="258"/>
    </row>
    <row r="25523" spans="1:26" ht="12.75" customHeight="1" x14ac:dyDescent="0.2">
      <c r="A25523" s="258"/>
      <c r="Z25523" s="258"/>
    </row>
    <row r="25524" spans="1:26" ht="12.75" customHeight="1" x14ac:dyDescent="0.2">
      <c r="A25524" s="258"/>
      <c r="Z25524" s="258"/>
    </row>
    <row r="25525" spans="1:26" ht="12.75" customHeight="1" x14ac:dyDescent="0.2">
      <c r="A25525" s="258"/>
      <c r="Z25525" s="258"/>
    </row>
    <row r="25526" spans="1:26" ht="12.75" customHeight="1" x14ac:dyDescent="0.2">
      <c r="A25526" s="258"/>
      <c r="Z25526" s="258"/>
    </row>
    <row r="25527" spans="1:26" ht="12.75" customHeight="1" x14ac:dyDescent="0.2">
      <c r="A25527" s="258"/>
      <c r="Z25527" s="258"/>
    </row>
    <row r="25528" spans="1:26" ht="12.75" customHeight="1" x14ac:dyDescent="0.2">
      <c r="A25528" s="258"/>
      <c r="Z25528" s="258"/>
    </row>
    <row r="25529" spans="1:26" ht="12.75" customHeight="1" x14ac:dyDescent="0.2">
      <c r="A25529" s="258"/>
      <c r="Z25529" s="258"/>
    </row>
    <row r="25530" spans="1:26" ht="12.75" customHeight="1" x14ac:dyDescent="0.2">
      <c r="A25530" s="258"/>
      <c r="Z25530" s="258"/>
    </row>
    <row r="25531" spans="1:26" ht="12.75" customHeight="1" x14ac:dyDescent="0.2">
      <c r="A25531" s="258"/>
      <c r="Z25531" s="258"/>
    </row>
    <row r="25532" spans="1:26" ht="12.75" customHeight="1" x14ac:dyDescent="0.2">
      <c r="A25532" s="258"/>
      <c r="Z25532" s="258"/>
    </row>
    <row r="25533" spans="1:26" ht="12.75" customHeight="1" x14ac:dyDescent="0.2">
      <c r="A25533" s="258"/>
      <c r="Z25533" s="258"/>
    </row>
    <row r="25534" spans="1:26" ht="12.75" customHeight="1" x14ac:dyDescent="0.2">
      <c r="A25534" s="258"/>
      <c r="Z25534" s="258"/>
    </row>
    <row r="25535" spans="1:26" ht="12.75" customHeight="1" x14ac:dyDescent="0.2">
      <c r="A25535" s="258"/>
      <c r="Z25535" s="258"/>
    </row>
    <row r="25536" spans="1:26" ht="12.75" customHeight="1" x14ac:dyDescent="0.2">
      <c r="A25536" s="258"/>
      <c r="Z25536" s="258"/>
    </row>
    <row r="25537" spans="1:26" ht="12.75" customHeight="1" x14ac:dyDescent="0.2">
      <c r="A25537" s="258"/>
      <c r="Z25537" s="258"/>
    </row>
    <row r="25538" spans="1:26" ht="12.75" customHeight="1" x14ac:dyDescent="0.2">
      <c r="A25538" s="258"/>
      <c r="Z25538" s="258"/>
    </row>
    <row r="25539" spans="1:26" ht="12.75" customHeight="1" x14ac:dyDescent="0.2">
      <c r="A25539" s="258"/>
      <c r="Z25539" s="258"/>
    </row>
    <row r="25540" spans="1:26" ht="12.75" customHeight="1" x14ac:dyDescent="0.2">
      <c r="A25540" s="258"/>
      <c r="Z25540" s="258"/>
    </row>
    <row r="25541" spans="1:26" ht="12.75" customHeight="1" x14ac:dyDescent="0.2">
      <c r="A25541" s="258"/>
      <c r="Z25541" s="258"/>
    </row>
    <row r="25542" spans="1:26" ht="12.75" customHeight="1" x14ac:dyDescent="0.2">
      <c r="A25542" s="258"/>
      <c r="Z25542" s="258"/>
    </row>
    <row r="25543" spans="1:26" ht="12.75" customHeight="1" x14ac:dyDescent="0.2">
      <c r="A25543" s="258"/>
      <c r="Z25543" s="258"/>
    </row>
    <row r="25544" spans="1:26" ht="12.75" customHeight="1" x14ac:dyDescent="0.2">
      <c r="A25544" s="258"/>
      <c r="Z25544" s="258"/>
    </row>
    <row r="25545" spans="1:26" ht="12.75" customHeight="1" x14ac:dyDescent="0.2">
      <c r="A25545" s="258"/>
      <c r="Z25545" s="258"/>
    </row>
    <row r="25546" spans="1:26" ht="12.75" customHeight="1" x14ac:dyDescent="0.2">
      <c r="A25546" s="258"/>
      <c r="Z25546" s="258"/>
    </row>
    <row r="25547" spans="1:26" ht="12.75" customHeight="1" x14ac:dyDescent="0.2">
      <c r="A25547" s="258"/>
      <c r="Z25547" s="258"/>
    </row>
    <row r="25548" spans="1:26" ht="12.75" customHeight="1" x14ac:dyDescent="0.2">
      <c r="A25548" s="258"/>
      <c r="Z25548" s="258"/>
    </row>
    <row r="25549" spans="1:26" ht="12.75" customHeight="1" x14ac:dyDescent="0.2">
      <c r="A25549" s="258"/>
      <c r="Z25549" s="258"/>
    </row>
    <row r="25550" spans="1:26" ht="12.75" customHeight="1" x14ac:dyDescent="0.2">
      <c r="A25550" s="258"/>
      <c r="Z25550" s="258"/>
    </row>
    <row r="25551" spans="1:26" ht="12.75" customHeight="1" x14ac:dyDescent="0.2">
      <c r="A25551" s="258"/>
      <c r="Z25551" s="258"/>
    </row>
    <row r="25552" spans="1:26" ht="12.75" customHeight="1" x14ac:dyDescent="0.2">
      <c r="A25552" s="258"/>
      <c r="Z25552" s="258"/>
    </row>
    <row r="25553" spans="1:26" ht="12.75" customHeight="1" x14ac:dyDescent="0.2">
      <c r="A25553" s="258"/>
      <c r="Z25553" s="258"/>
    </row>
    <row r="25554" spans="1:26" ht="12.75" customHeight="1" x14ac:dyDescent="0.2">
      <c r="A25554" s="258"/>
      <c r="Z25554" s="258"/>
    </row>
    <row r="25555" spans="1:26" ht="12.75" customHeight="1" x14ac:dyDescent="0.2">
      <c r="A25555" s="258"/>
      <c r="Z25555" s="258"/>
    </row>
    <row r="25556" spans="1:26" ht="12.75" customHeight="1" x14ac:dyDescent="0.2">
      <c r="A25556" s="258"/>
      <c r="Z25556" s="258"/>
    </row>
    <row r="25557" spans="1:26" ht="12.75" customHeight="1" x14ac:dyDescent="0.2">
      <c r="A25557" s="258"/>
      <c r="Z25557" s="258"/>
    </row>
    <row r="25558" spans="1:26" ht="12.75" customHeight="1" x14ac:dyDescent="0.2">
      <c r="A25558" s="258"/>
      <c r="Z25558" s="258"/>
    </row>
    <row r="25559" spans="1:26" ht="12.75" customHeight="1" x14ac:dyDescent="0.2">
      <c r="A25559" s="258"/>
      <c r="Z25559" s="258"/>
    </row>
    <row r="25560" spans="1:26" ht="12.75" customHeight="1" x14ac:dyDescent="0.2">
      <c r="A25560" s="258"/>
      <c r="Z25560" s="258"/>
    </row>
    <row r="25561" spans="1:26" ht="12.75" customHeight="1" x14ac:dyDescent="0.2">
      <c r="A25561" s="258"/>
      <c r="Z25561" s="258"/>
    </row>
    <row r="25562" spans="1:26" ht="12.75" customHeight="1" x14ac:dyDescent="0.2">
      <c r="A25562" s="258"/>
      <c r="Z25562" s="258"/>
    </row>
    <row r="25563" spans="1:26" ht="12.75" customHeight="1" x14ac:dyDescent="0.2">
      <c r="A25563" s="258"/>
      <c r="Z25563" s="258"/>
    </row>
    <row r="25564" spans="1:26" ht="12.75" customHeight="1" x14ac:dyDescent="0.2">
      <c r="A25564" s="258"/>
      <c r="Z25564" s="258"/>
    </row>
    <row r="25565" spans="1:26" ht="12.75" customHeight="1" x14ac:dyDescent="0.2">
      <c r="A25565" s="258"/>
      <c r="Z25565" s="258"/>
    </row>
    <row r="25566" spans="1:26" ht="12.75" customHeight="1" x14ac:dyDescent="0.2">
      <c r="A25566" s="258"/>
      <c r="Z25566" s="258"/>
    </row>
    <row r="25567" spans="1:26" ht="12.75" customHeight="1" x14ac:dyDescent="0.2">
      <c r="A25567" s="258"/>
      <c r="Z25567" s="258"/>
    </row>
    <row r="25568" spans="1:26" ht="12.75" customHeight="1" x14ac:dyDescent="0.2">
      <c r="A25568" s="258"/>
      <c r="Z25568" s="258"/>
    </row>
    <row r="25569" spans="1:26" ht="12.75" customHeight="1" x14ac:dyDescent="0.2">
      <c r="A25569" s="258"/>
      <c r="Z25569" s="258"/>
    </row>
    <row r="25570" spans="1:26" ht="12.75" customHeight="1" x14ac:dyDescent="0.2">
      <c r="A25570" s="258"/>
      <c r="Z25570" s="258"/>
    </row>
    <row r="25571" spans="1:26" ht="12.75" customHeight="1" x14ac:dyDescent="0.2">
      <c r="A25571" s="258"/>
      <c r="Z25571" s="258"/>
    </row>
    <row r="25572" spans="1:26" ht="12.75" customHeight="1" x14ac:dyDescent="0.2">
      <c r="A25572" s="258"/>
      <c r="Z25572" s="258"/>
    </row>
    <row r="25573" spans="1:26" ht="12.75" customHeight="1" x14ac:dyDescent="0.2">
      <c r="A25573" s="258"/>
      <c r="Z25573" s="258"/>
    </row>
    <row r="25574" spans="1:26" ht="12.75" customHeight="1" x14ac:dyDescent="0.2">
      <c r="A25574" s="258"/>
      <c r="Z25574" s="258"/>
    </row>
    <row r="25575" spans="1:26" ht="12.75" customHeight="1" x14ac:dyDescent="0.2">
      <c r="A25575" s="258"/>
      <c r="Z25575" s="258"/>
    </row>
    <row r="25576" spans="1:26" ht="12.75" customHeight="1" x14ac:dyDescent="0.2">
      <c r="A25576" s="258"/>
      <c r="Z25576" s="258"/>
    </row>
    <row r="25577" spans="1:26" ht="12.75" customHeight="1" x14ac:dyDescent="0.2">
      <c r="A25577" s="258"/>
      <c r="Z25577" s="258"/>
    </row>
    <row r="25578" spans="1:26" ht="12.75" customHeight="1" x14ac:dyDescent="0.2">
      <c r="A25578" s="258"/>
      <c r="Z25578" s="258"/>
    </row>
    <row r="25579" spans="1:26" ht="12.75" customHeight="1" x14ac:dyDescent="0.2">
      <c r="A25579" s="258"/>
      <c r="Z25579" s="258"/>
    </row>
    <row r="25580" spans="1:26" ht="12.75" customHeight="1" x14ac:dyDescent="0.2">
      <c r="A25580" s="258"/>
      <c r="Z25580" s="258"/>
    </row>
    <row r="25581" spans="1:26" ht="12.75" customHeight="1" x14ac:dyDescent="0.2">
      <c r="A25581" s="258"/>
      <c r="Z25581" s="258"/>
    </row>
    <row r="25582" spans="1:26" ht="12.75" customHeight="1" x14ac:dyDescent="0.2">
      <c r="A25582" s="258"/>
      <c r="Z25582" s="258"/>
    </row>
    <row r="25583" spans="1:26" ht="12.75" customHeight="1" x14ac:dyDescent="0.2">
      <c r="A25583" s="258"/>
      <c r="Z25583" s="258"/>
    </row>
    <row r="25584" spans="1:26" ht="12.75" customHeight="1" x14ac:dyDescent="0.2">
      <c r="A25584" s="258"/>
      <c r="Z25584" s="258"/>
    </row>
    <row r="25585" spans="1:26" ht="12.75" customHeight="1" x14ac:dyDescent="0.2">
      <c r="A25585" s="258"/>
      <c r="Z25585" s="258"/>
    </row>
    <row r="25586" spans="1:26" ht="12.75" customHeight="1" x14ac:dyDescent="0.2">
      <c r="A25586" s="258"/>
      <c r="Z25586" s="258"/>
    </row>
    <row r="25587" spans="1:26" ht="12.75" customHeight="1" x14ac:dyDescent="0.2">
      <c r="A25587" s="258"/>
      <c r="Z25587" s="258"/>
    </row>
    <row r="25588" spans="1:26" ht="12.75" customHeight="1" x14ac:dyDescent="0.2">
      <c r="A25588" s="258"/>
      <c r="Z25588" s="258"/>
    </row>
    <row r="25589" spans="1:26" ht="12.75" customHeight="1" x14ac:dyDescent="0.2">
      <c r="A25589" s="258"/>
      <c r="Z25589" s="258"/>
    </row>
    <row r="25590" spans="1:26" ht="12.75" customHeight="1" x14ac:dyDescent="0.2">
      <c r="A25590" s="258"/>
      <c r="Z25590" s="258"/>
    </row>
    <row r="25591" spans="1:26" ht="12.75" customHeight="1" x14ac:dyDescent="0.2">
      <c r="A25591" s="258"/>
      <c r="Z25591" s="258"/>
    </row>
    <row r="25592" spans="1:26" ht="12.75" customHeight="1" x14ac:dyDescent="0.2">
      <c r="A25592" s="258"/>
      <c r="Z25592" s="258"/>
    </row>
    <row r="25593" spans="1:26" ht="12.75" customHeight="1" x14ac:dyDescent="0.2">
      <c r="A25593" s="258"/>
      <c r="Z25593" s="258"/>
    </row>
    <row r="25594" spans="1:26" ht="12.75" customHeight="1" x14ac:dyDescent="0.2">
      <c r="A25594" s="258"/>
      <c r="Z25594" s="258"/>
    </row>
    <row r="25595" spans="1:26" ht="12.75" customHeight="1" x14ac:dyDescent="0.2">
      <c r="A25595" s="258"/>
      <c r="Z25595" s="258"/>
    </row>
    <row r="25596" spans="1:26" ht="12.75" customHeight="1" x14ac:dyDescent="0.2">
      <c r="A25596" s="258"/>
      <c r="Z25596" s="258"/>
    </row>
    <row r="25597" spans="1:26" ht="12.75" customHeight="1" x14ac:dyDescent="0.2">
      <c r="A25597" s="258"/>
      <c r="Z25597" s="258"/>
    </row>
    <row r="25598" spans="1:26" ht="12.75" customHeight="1" x14ac:dyDescent="0.2">
      <c r="A25598" s="258"/>
      <c r="Z25598" s="258"/>
    </row>
    <row r="25599" spans="1:26" ht="12.75" customHeight="1" x14ac:dyDescent="0.2">
      <c r="A25599" s="258"/>
      <c r="Z25599" s="258"/>
    </row>
    <row r="25600" spans="1:26" ht="12.75" customHeight="1" x14ac:dyDescent="0.2">
      <c r="A25600" s="258"/>
      <c r="Z25600" s="258"/>
    </row>
    <row r="25601" spans="1:26" ht="12.75" customHeight="1" x14ac:dyDescent="0.2">
      <c r="A25601" s="258"/>
      <c r="Z25601" s="258"/>
    </row>
    <row r="25602" spans="1:26" ht="12.75" customHeight="1" x14ac:dyDescent="0.2">
      <c r="A25602" s="258"/>
      <c r="Z25602" s="258"/>
    </row>
    <row r="25603" spans="1:26" ht="12.75" customHeight="1" x14ac:dyDescent="0.2">
      <c r="A25603" s="258"/>
      <c r="Z25603" s="258"/>
    </row>
    <row r="25604" spans="1:26" ht="12.75" customHeight="1" x14ac:dyDescent="0.2">
      <c r="A25604" s="258"/>
      <c r="Z25604" s="258"/>
    </row>
    <row r="25605" spans="1:26" ht="12.75" customHeight="1" x14ac:dyDescent="0.2">
      <c r="A25605" s="258"/>
      <c r="Z25605" s="258"/>
    </row>
    <row r="25606" spans="1:26" ht="12.75" customHeight="1" x14ac:dyDescent="0.2">
      <c r="A25606" s="258"/>
      <c r="Z25606" s="258"/>
    </row>
    <row r="25607" spans="1:26" ht="12.75" customHeight="1" x14ac:dyDescent="0.2">
      <c r="A25607" s="258"/>
      <c r="Z25607" s="258"/>
    </row>
    <row r="25608" spans="1:26" ht="12.75" customHeight="1" x14ac:dyDescent="0.2">
      <c r="A25608" s="258"/>
      <c r="Z25608" s="258"/>
    </row>
    <row r="25609" spans="1:26" ht="12.75" customHeight="1" x14ac:dyDescent="0.2">
      <c r="A25609" s="258"/>
      <c r="Z25609" s="258"/>
    </row>
    <row r="25610" spans="1:26" ht="12.75" customHeight="1" x14ac:dyDescent="0.2">
      <c r="A25610" s="258"/>
      <c r="Z25610" s="258"/>
    </row>
    <row r="25611" spans="1:26" ht="12.75" customHeight="1" x14ac:dyDescent="0.2">
      <c r="A25611" s="258"/>
      <c r="Z25611" s="258"/>
    </row>
    <row r="25612" spans="1:26" ht="12.75" customHeight="1" x14ac:dyDescent="0.2">
      <c r="A25612" s="258"/>
      <c r="Z25612" s="258"/>
    </row>
    <row r="25613" spans="1:26" ht="12.75" customHeight="1" x14ac:dyDescent="0.2">
      <c r="A25613" s="258"/>
      <c r="Z25613" s="258"/>
    </row>
    <row r="25614" spans="1:26" ht="12.75" customHeight="1" x14ac:dyDescent="0.2">
      <c r="A25614" s="258"/>
      <c r="Z25614" s="258"/>
    </row>
    <row r="25615" spans="1:26" ht="12.75" customHeight="1" x14ac:dyDescent="0.2">
      <c r="A25615" s="258"/>
      <c r="Z25615" s="258"/>
    </row>
    <row r="25616" spans="1:26" ht="12.75" customHeight="1" x14ac:dyDescent="0.2">
      <c r="A25616" s="258"/>
      <c r="Z25616" s="258"/>
    </row>
    <row r="25617" spans="1:26" ht="12.75" customHeight="1" x14ac:dyDescent="0.2">
      <c r="A25617" s="258"/>
      <c r="Z25617" s="258"/>
    </row>
    <row r="25618" spans="1:26" ht="12.75" customHeight="1" x14ac:dyDescent="0.2">
      <c r="A25618" s="258"/>
      <c r="Z25618" s="258"/>
    </row>
    <row r="25619" spans="1:26" ht="12.75" customHeight="1" x14ac:dyDescent="0.2">
      <c r="A25619" s="258"/>
      <c r="Z25619" s="258"/>
    </row>
    <row r="25620" spans="1:26" ht="12.75" customHeight="1" x14ac:dyDescent="0.2">
      <c r="A25620" s="258"/>
      <c r="Z25620" s="258"/>
    </row>
    <row r="25621" spans="1:26" ht="12.75" customHeight="1" x14ac:dyDescent="0.2">
      <c r="A25621" s="258"/>
      <c r="Z25621" s="258"/>
    </row>
    <row r="25622" spans="1:26" ht="12.75" customHeight="1" x14ac:dyDescent="0.2">
      <c r="A25622" s="258"/>
      <c r="Z25622" s="258"/>
    </row>
    <row r="25623" spans="1:26" ht="12.75" customHeight="1" x14ac:dyDescent="0.2">
      <c r="A25623" s="258"/>
      <c r="Z25623" s="258"/>
    </row>
    <row r="25624" spans="1:26" ht="12.75" customHeight="1" x14ac:dyDescent="0.2">
      <c r="A25624" s="258"/>
      <c r="Z25624" s="258"/>
    </row>
    <row r="25625" spans="1:26" ht="12.75" customHeight="1" x14ac:dyDescent="0.2">
      <c r="A25625" s="258"/>
      <c r="Z25625" s="258"/>
    </row>
    <row r="25626" spans="1:26" ht="12.75" customHeight="1" x14ac:dyDescent="0.2">
      <c r="A25626" s="258"/>
      <c r="Z25626" s="258"/>
    </row>
    <row r="25627" spans="1:26" ht="12.75" customHeight="1" x14ac:dyDescent="0.2">
      <c r="A25627" s="258"/>
      <c r="Z25627" s="258"/>
    </row>
    <row r="25628" spans="1:26" ht="12.75" customHeight="1" x14ac:dyDescent="0.2">
      <c r="A25628" s="258"/>
      <c r="Z25628" s="258"/>
    </row>
    <row r="25629" spans="1:26" ht="12.75" customHeight="1" x14ac:dyDescent="0.2">
      <c r="A25629" s="258"/>
      <c r="Z25629" s="258"/>
    </row>
    <row r="25630" spans="1:26" ht="12.75" customHeight="1" x14ac:dyDescent="0.2">
      <c r="A25630" s="258"/>
      <c r="Z25630" s="258"/>
    </row>
    <row r="25631" spans="1:26" ht="12.75" customHeight="1" x14ac:dyDescent="0.2">
      <c r="A25631" s="258"/>
      <c r="Z25631" s="258"/>
    </row>
    <row r="25632" spans="1:26" ht="12.75" customHeight="1" x14ac:dyDescent="0.2">
      <c r="A25632" s="258"/>
      <c r="Z25632" s="258"/>
    </row>
    <row r="25633" spans="1:26" ht="12.75" customHeight="1" x14ac:dyDescent="0.2">
      <c r="A25633" s="258"/>
      <c r="Z25633" s="258"/>
    </row>
    <row r="25634" spans="1:26" ht="12.75" customHeight="1" x14ac:dyDescent="0.2">
      <c r="A25634" s="258"/>
      <c r="Z25634" s="258"/>
    </row>
    <row r="25635" spans="1:26" ht="12.75" customHeight="1" x14ac:dyDescent="0.2">
      <c r="A25635" s="258"/>
      <c r="Z25635" s="258"/>
    </row>
    <row r="25636" spans="1:26" ht="12.75" customHeight="1" x14ac:dyDescent="0.2">
      <c r="A25636" s="258"/>
      <c r="Z25636" s="258"/>
    </row>
    <row r="25637" spans="1:26" ht="12.75" customHeight="1" x14ac:dyDescent="0.2">
      <c r="A25637" s="258"/>
      <c r="Z25637" s="258"/>
    </row>
    <row r="25638" spans="1:26" ht="12.75" customHeight="1" x14ac:dyDescent="0.2">
      <c r="A25638" s="258"/>
      <c r="Z25638" s="258"/>
    </row>
    <row r="25639" spans="1:26" ht="12.75" customHeight="1" x14ac:dyDescent="0.2">
      <c r="A25639" s="258"/>
      <c r="Z25639" s="258"/>
    </row>
    <row r="25640" spans="1:26" ht="12.75" customHeight="1" x14ac:dyDescent="0.2">
      <c r="A25640" s="258"/>
      <c r="Z25640" s="258"/>
    </row>
    <row r="25641" spans="1:26" ht="12.75" customHeight="1" x14ac:dyDescent="0.2">
      <c r="A25641" s="258"/>
      <c r="Z25641" s="258"/>
    </row>
    <row r="25642" spans="1:26" ht="12.75" customHeight="1" x14ac:dyDescent="0.2">
      <c r="A25642" s="258"/>
      <c r="Z25642" s="258"/>
    </row>
    <row r="25643" spans="1:26" ht="12.75" customHeight="1" x14ac:dyDescent="0.2">
      <c r="A25643" s="258"/>
      <c r="Z25643" s="258"/>
    </row>
    <row r="25644" spans="1:26" ht="12.75" customHeight="1" x14ac:dyDescent="0.2">
      <c r="A25644" s="258"/>
      <c r="Z25644" s="258"/>
    </row>
    <row r="25645" spans="1:26" ht="12.75" customHeight="1" x14ac:dyDescent="0.2">
      <c r="A25645" s="258"/>
      <c r="Z25645" s="258"/>
    </row>
    <row r="25646" spans="1:26" ht="12.75" customHeight="1" x14ac:dyDescent="0.2">
      <c r="A25646" s="258"/>
      <c r="Z25646" s="258"/>
    </row>
    <row r="25647" spans="1:26" ht="12.75" customHeight="1" x14ac:dyDescent="0.2">
      <c r="A25647" s="258"/>
      <c r="Z25647" s="258"/>
    </row>
    <row r="25648" spans="1:26" ht="12.75" customHeight="1" x14ac:dyDescent="0.2">
      <c r="A25648" s="258"/>
      <c r="Z25648" s="258"/>
    </row>
    <row r="25649" spans="1:26" ht="12.75" customHeight="1" x14ac:dyDescent="0.2">
      <c r="A25649" s="258"/>
      <c r="Z25649" s="258"/>
    </row>
    <row r="25650" spans="1:26" ht="12.75" customHeight="1" x14ac:dyDescent="0.2">
      <c r="A25650" s="258"/>
      <c r="Z25650" s="258"/>
    </row>
    <row r="25651" spans="1:26" ht="12.75" customHeight="1" x14ac:dyDescent="0.2">
      <c r="A25651" s="258"/>
      <c r="Z25651" s="258"/>
    </row>
    <row r="25652" spans="1:26" ht="12.75" customHeight="1" x14ac:dyDescent="0.2">
      <c r="A25652" s="258"/>
      <c r="Z25652" s="258"/>
    </row>
    <row r="25653" spans="1:26" ht="12.75" customHeight="1" x14ac:dyDescent="0.2">
      <c r="A25653" s="258"/>
      <c r="Z25653" s="258"/>
    </row>
    <row r="25654" spans="1:26" ht="12.75" customHeight="1" x14ac:dyDescent="0.2">
      <c r="A25654" s="258"/>
      <c r="Z25654" s="258"/>
    </row>
    <row r="25655" spans="1:26" ht="12.75" customHeight="1" x14ac:dyDescent="0.2">
      <c r="A25655" s="258"/>
      <c r="Z25655" s="258"/>
    </row>
    <row r="25656" spans="1:26" ht="12.75" customHeight="1" x14ac:dyDescent="0.2">
      <c r="A25656" s="258"/>
      <c r="Z25656" s="258"/>
    </row>
    <row r="25657" spans="1:26" ht="12.75" customHeight="1" x14ac:dyDescent="0.2">
      <c r="A25657" s="258"/>
      <c r="Z25657" s="258"/>
    </row>
    <row r="25658" spans="1:26" ht="12.75" customHeight="1" x14ac:dyDescent="0.2">
      <c r="A25658" s="258"/>
      <c r="Z25658" s="258"/>
    </row>
    <row r="25659" spans="1:26" ht="12.75" customHeight="1" x14ac:dyDescent="0.2">
      <c r="A25659" s="258"/>
      <c r="Z25659" s="258"/>
    </row>
    <row r="25660" spans="1:26" ht="12.75" customHeight="1" x14ac:dyDescent="0.2">
      <c r="A25660" s="258"/>
      <c r="Z25660" s="258"/>
    </row>
    <row r="25661" spans="1:26" ht="12.75" customHeight="1" x14ac:dyDescent="0.2">
      <c r="A25661" s="258"/>
      <c r="Z25661" s="258"/>
    </row>
    <row r="25662" spans="1:26" ht="12.75" customHeight="1" x14ac:dyDescent="0.2">
      <c r="A25662" s="258"/>
      <c r="Z25662" s="258"/>
    </row>
    <row r="25663" spans="1:26" ht="12.75" customHeight="1" x14ac:dyDescent="0.2">
      <c r="A25663" s="258"/>
      <c r="Z25663" s="258"/>
    </row>
    <row r="25664" spans="1:26" ht="12.75" customHeight="1" x14ac:dyDescent="0.2">
      <c r="A25664" s="258"/>
      <c r="Z25664" s="258"/>
    </row>
    <row r="25665" spans="1:26" ht="12.75" customHeight="1" x14ac:dyDescent="0.2">
      <c r="A25665" s="258"/>
      <c r="Z25665" s="258"/>
    </row>
    <row r="25666" spans="1:26" ht="12.75" customHeight="1" x14ac:dyDescent="0.2">
      <c r="A25666" s="258"/>
      <c r="Z25666" s="258"/>
    </row>
    <row r="25667" spans="1:26" ht="12.75" customHeight="1" x14ac:dyDescent="0.2">
      <c r="A25667" s="258"/>
      <c r="Z25667" s="258"/>
    </row>
    <row r="25668" spans="1:26" ht="12.75" customHeight="1" x14ac:dyDescent="0.2">
      <c r="A25668" s="258"/>
      <c r="Z25668" s="258"/>
    </row>
    <row r="25669" spans="1:26" ht="12.75" customHeight="1" x14ac:dyDescent="0.2">
      <c r="A25669" s="258"/>
      <c r="Z25669" s="258"/>
    </row>
    <row r="25670" spans="1:26" ht="12.75" customHeight="1" x14ac:dyDescent="0.2">
      <c r="A25670" s="258"/>
      <c r="Z25670" s="258"/>
    </row>
    <row r="25671" spans="1:26" ht="12.75" customHeight="1" x14ac:dyDescent="0.2">
      <c r="A25671" s="258"/>
      <c r="Z25671" s="258"/>
    </row>
    <row r="25672" spans="1:26" ht="12.75" customHeight="1" x14ac:dyDescent="0.2">
      <c r="A25672" s="258"/>
      <c r="Z25672" s="258"/>
    </row>
    <row r="25673" spans="1:26" ht="12.75" customHeight="1" x14ac:dyDescent="0.2">
      <c r="A25673" s="258"/>
      <c r="Z25673" s="258"/>
    </row>
    <row r="25674" spans="1:26" ht="12.75" customHeight="1" x14ac:dyDescent="0.2">
      <c r="A25674" s="258"/>
      <c r="Z25674" s="258"/>
    </row>
    <row r="25675" spans="1:26" ht="12.75" customHeight="1" x14ac:dyDescent="0.2">
      <c r="A25675" s="258"/>
      <c r="Z25675" s="258"/>
    </row>
    <row r="25676" spans="1:26" ht="12.75" customHeight="1" x14ac:dyDescent="0.2">
      <c r="A25676" s="258"/>
      <c r="Z25676" s="258"/>
    </row>
    <row r="25677" spans="1:26" ht="12.75" customHeight="1" x14ac:dyDescent="0.2">
      <c r="A25677" s="258"/>
      <c r="Z25677" s="258"/>
    </row>
    <row r="25678" spans="1:26" ht="12.75" customHeight="1" x14ac:dyDescent="0.2">
      <c r="A25678" s="258"/>
      <c r="Z25678" s="258"/>
    </row>
    <row r="25679" spans="1:26" ht="12.75" customHeight="1" x14ac:dyDescent="0.2">
      <c r="A25679" s="258"/>
      <c r="Z25679" s="258"/>
    </row>
    <row r="25680" spans="1:26" ht="12.75" customHeight="1" x14ac:dyDescent="0.2">
      <c r="A25680" s="258"/>
      <c r="Z25680" s="258"/>
    </row>
    <row r="25681" spans="1:26" ht="12.75" customHeight="1" x14ac:dyDescent="0.2">
      <c r="A25681" s="258"/>
      <c r="Z25681" s="258"/>
    </row>
    <row r="25682" spans="1:26" ht="12.75" customHeight="1" x14ac:dyDescent="0.2">
      <c r="A25682" s="258"/>
      <c r="Z25682" s="258"/>
    </row>
    <row r="25683" spans="1:26" ht="12.75" customHeight="1" x14ac:dyDescent="0.2">
      <c r="A25683" s="258"/>
      <c r="Z25683" s="258"/>
    </row>
    <row r="25684" spans="1:26" ht="12.75" customHeight="1" x14ac:dyDescent="0.2">
      <c r="A25684" s="258"/>
      <c r="Z25684" s="258"/>
    </row>
    <row r="25685" spans="1:26" ht="12.75" customHeight="1" x14ac:dyDescent="0.2">
      <c r="A25685" s="258"/>
      <c r="Z25685" s="258"/>
    </row>
    <row r="25686" spans="1:26" ht="12.75" customHeight="1" x14ac:dyDescent="0.2">
      <c r="A25686" s="258"/>
      <c r="Z25686" s="258"/>
    </row>
    <row r="25687" spans="1:26" ht="12.75" customHeight="1" x14ac:dyDescent="0.2">
      <c r="A25687" s="258"/>
      <c r="Z25687" s="258"/>
    </row>
    <row r="25688" spans="1:26" ht="12.75" customHeight="1" x14ac:dyDescent="0.2">
      <c r="A25688" s="258"/>
      <c r="Z25688" s="258"/>
    </row>
    <row r="25689" spans="1:26" ht="12.75" customHeight="1" x14ac:dyDescent="0.2">
      <c r="A25689" s="258"/>
      <c r="Z25689" s="258"/>
    </row>
    <row r="25690" spans="1:26" ht="12.75" customHeight="1" x14ac:dyDescent="0.2">
      <c r="A25690" s="258"/>
      <c r="Z25690" s="258"/>
    </row>
    <row r="25691" spans="1:26" ht="12.75" customHeight="1" x14ac:dyDescent="0.2">
      <c r="A25691" s="258"/>
      <c r="Z25691" s="258"/>
    </row>
    <row r="25692" spans="1:26" ht="12.75" customHeight="1" x14ac:dyDescent="0.2">
      <c r="A25692" s="258"/>
      <c r="Z25692" s="258"/>
    </row>
    <row r="25693" spans="1:26" ht="12.75" customHeight="1" x14ac:dyDescent="0.2">
      <c r="A25693" s="258"/>
      <c r="Z25693" s="258"/>
    </row>
    <row r="25694" spans="1:26" ht="12.75" customHeight="1" x14ac:dyDescent="0.2">
      <c r="A25694" s="258"/>
      <c r="Z25694" s="258"/>
    </row>
    <row r="25695" spans="1:26" ht="12.75" customHeight="1" x14ac:dyDescent="0.2">
      <c r="A25695" s="258"/>
      <c r="Z25695" s="258"/>
    </row>
    <row r="25696" spans="1:26" ht="12.75" customHeight="1" x14ac:dyDescent="0.2">
      <c r="A25696" s="258"/>
      <c r="Z25696" s="258"/>
    </row>
    <row r="25697" spans="1:26" ht="12.75" customHeight="1" x14ac:dyDescent="0.2">
      <c r="A25697" s="258"/>
      <c r="Z25697" s="258"/>
    </row>
    <row r="25698" spans="1:26" ht="12.75" customHeight="1" x14ac:dyDescent="0.2">
      <c r="A25698" s="258"/>
      <c r="Z25698" s="258"/>
    </row>
    <row r="25699" spans="1:26" ht="12.75" customHeight="1" x14ac:dyDescent="0.2">
      <c r="A25699" s="258"/>
      <c r="Z25699" s="258"/>
    </row>
    <row r="25700" spans="1:26" ht="12.75" customHeight="1" x14ac:dyDescent="0.2">
      <c r="A25700" s="258"/>
      <c r="Z25700" s="258"/>
    </row>
    <row r="25701" spans="1:26" ht="12.75" customHeight="1" x14ac:dyDescent="0.2">
      <c r="A25701" s="258"/>
      <c r="Z25701" s="258"/>
    </row>
    <row r="25702" spans="1:26" ht="12.75" customHeight="1" x14ac:dyDescent="0.2">
      <c r="A25702" s="258"/>
      <c r="Z25702" s="258"/>
    </row>
    <row r="25703" spans="1:26" ht="12.75" customHeight="1" x14ac:dyDescent="0.2">
      <c r="A25703" s="258"/>
      <c r="Z25703" s="258"/>
    </row>
    <row r="25704" spans="1:26" ht="12.75" customHeight="1" x14ac:dyDescent="0.2">
      <c r="A25704" s="258"/>
      <c r="Z25704" s="258"/>
    </row>
    <row r="25705" spans="1:26" ht="12.75" customHeight="1" x14ac:dyDescent="0.2">
      <c r="A25705" s="258"/>
      <c r="Z25705" s="258"/>
    </row>
    <row r="25706" spans="1:26" ht="12.75" customHeight="1" x14ac:dyDescent="0.2">
      <c r="A25706" s="258"/>
      <c r="Z25706" s="258"/>
    </row>
    <row r="25707" spans="1:26" ht="12.75" customHeight="1" x14ac:dyDescent="0.2">
      <c r="A25707" s="258"/>
      <c r="Z25707" s="258"/>
    </row>
    <row r="25708" spans="1:26" ht="12.75" customHeight="1" x14ac:dyDescent="0.2">
      <c r="A25708" s="258"/>
      <c r="Z25708" s="258"/>
    </row>
    <row r="25709" spans="1:26" ht="12.75" customHeight="1" x14ac:dyDescent="0.2">
      <c r="A25709" s="258"/>
      <c r="Z25709" s="258"/>
    </row>
    <row r="25710" spans="1:26" ht="12.75" customHeight="1" x14ac:dyDescent="0.2">
      <c r="A25710" s="258"/>
      <c r="Z25710" s="258"/>
    </row>
    <row r="25711" spans="1:26" ht="12.75" customHeight="1" x14ac:dyDescent="0.2">
      <c r="A25711" s="258"/>
      <c r="Z25711" s="258"/>
    </row>
    <row r="25712" spans="1:26" ht="12.75" customHeight="1" x14ac:dyDescent="0.2">
      <c r="A25712" s="258"/>
      <c r="Z25712" s="258"/>
    </row>
    <row r="25713" spans="1:26" ht="12.75" customHeight="1" x14ac:dyDescent="0.2">
      <c r="A25713" s="258"/>
      <c r="Z25713" s="258"/>
    </row>
    <row r="25714" spans="1:26" ht="12.75" customHeight="1" x14ac:dyDescent="0.2">
      <c r="A25714" s="258"/>
      <c r="Z25714" s="258"/>
    </row>
    <row r="25715" spans="1:26" ht="12.75" customHeight="1" x14ac:dyDescent="0.2">
      <c r="A25715" s="258"/>
      <c r="Z25715" s="258"/>
    </row>
    <row r="25716" spans="1:26" ht="12.75" customHeight="1" x14ac:dyDescent="0.2">
      <c r="A25716" s="258"/>
      <c r="Z25716" s="258"/>
    </row>
    <row r="25717" spans="1:26" ht="12.75" customHeight="1" x14ac:dyDescent="0.2">
      <c r="A25717" s="258"/>
      <c r="Z25717" s="258"/>
    </row>
    <row r="25718" spans="1:26" ht="12.75" customHeight="1" x14ac:dyDescent="0.2">
      <c r="A25718" s="258"/>
      <c r="Z25718" s="258"/>
    </row>
    <row r="25719" spans="1:26" ht="12.75" customHeight="1" x14ac:dyDescent="0.2">
      <c r="A25719" s="258"/>
      <c r="Z25719" s="258"/>
    </row>
    <row r="25720" spans="1:26" ht="12.75" customHeight="1" x14ac:dyDescent="0.2">
      <c r="A25720" s="258"/>
      <c r="Z25720" s="258"/>
    </row>
    <row r="25721" spans="1:26" ht="12.75" customHeight="1" x14ac:dyDescent="0.2">
      <c r="A25721" s="258"/>
      <c r="Z25721" s="258"/>
    </row>
    <row r="25722" spans="1:26" ht="12.75" customHeight="1" x14ac:dyDescent="0.2">
      <c r="A25722" s="258"/>
      <c r="Z25722" s="258"/>
    </row>
    <row r="25723" spans="1:26" ht="12.75" customHeight="1" x14ac:dyDescent="0.2">
      <c r="A25723" s="258"/>
      <c r="Z25723" s="258"/>
    </row>
    <row r="25724" spans="1:26" ht="12.75" customHeight="1" x14ac:dyDescent="0.2">
      <c r="A25724" s="258"/>
      <c r="Z25724" s="258"/>
    </row>
    <row r="25725" spans="1:26" ht="12.75" customHeight="1" x14ac:dyDescent="0.2">
      <c r="A25725" s="258"/>
      <c r="Z25725" s="258"/>
    </row>
    <row r="25726" spans="1:26" ht="12.75" customHeight="1" x14ac:dyDescent="0.2">
      <c r="A25726" s="258"/>
      <c r="Z25726" s="258"/>
    </row>
    <row r="25727" spans="1:26" ht="12.75" customHeight="1" x14ac:dyDescent="0.2">
      <c r="A25727" s="258"/>
      <c r="Z25727" s="258"/>
    </row>
    <row r="25728" spans="1:26" ht="12.75" customHeight="1" x14ac:dyDescent="0.2">
      <c r="A25728" s="258"/>
      <c r="Z25728" s="258"/>
    </row>
    <row r="25729" spans="1:26" ht="12.75" customHeight="1" x14ac:dyDescent="0.2">
      <c r="A25729" s="258"/>
      <c r="Z25729" s="258"/>
    </row>
    <row r="25730" spans="1:26" ht="12.75" customHeight="1" x14ac:dyDescent="0.2">
      <c r="A25730" s="258"/>
      <c r="Z25730" s="258"/>
    </row>
    <row r="25731" spans="1:26" ht="12.75" customHeight="1" x14ac:dyDescent="0.2">
      <c r="A25731" s="258"/>
      <c r="Z25731" s="258"/>
    </row>
    <row r="25732" spans="1:26" ht="12.75" customHeight="1" x14ac:dyDescent="0.2">
      <c r="A25732" s="258"/>
      <c r="Z25732" s="258"/>
    </row>
    <row r="25733" spans="1:26" ht="12.75" customHeight="1" x14ac:dyDescent="0.2">
      <c r="A25733" s="258"/>
      <c r="Z25733" s="258"/>
    </row>
    <row r="25734" spans="1:26" ht="12.75" customHeight="1" x14ac:dyDescent="0.2">
      <c r="A25734" s="258"/>
      <c r="Z25734" s="258"/>
    </row>
    <row r="25735" spans="1:26" ht="12.75" customHeight="1" x14ac:dyDescent="0.2">
      <c r="A25735" s="258"/>
      <c r="Z25735" s="258"/>
    </row>
    <row r="25736" spans="1:26" ht="12.75" customHeight="1" x14ac:dyDescent="0.2">
      <c r="A25736" s="258"/>
      <c r="Z25736" s="258"/>
    </row>
    <row r="25737" spans="1:26" ht="12.75" customHeight="1" x14ac:dyDescent="0.2">
      <c r="A25737" s="258"/>
      <c r="Z25737" s="258"/>
    </row>
    <row r="25738" spans="1:26" ht="12.75" customHeight="1" x14ac:dyDescent="0.2">
      <c r="A25738" s="258"/>
      <c r="Z25738" s="258"/>
    </row>
    <row r="25739" spans="1:26" ht="12.75" customHeight="1" x14ac:dyDescent="0.2">
      <c r="A25739" s="258"/>
      <c r="Z25739" s="258"/>
    </row>
    <row r="25740" spans="1:26" ht="12.75" customHeight="1" x14ac:dyDescent="0.2">
      <c r="A25740" s="258"/>
      <c r="Z25740" s="258"/>
    </row>
    <row r="25741" spans="1:26" ht="12.75" customHeight="1" x14ac:dyDescent="0.2">
      <c r="A25741" s="258"/>
      <c r="Z25741" s="258"/>
    </row>
    <row r="25742" spans="1:26" ht="12.75" customHeight="1" x14ac:dyDescent="0.2">
      <c r="A25742" s="258"/>
      <c r="Z25742" s="258"/>
    </row>
    <row r="25743" spans="1:26" ht="12.75" customHeight="1" x14ac:dyDescent="0.2">
      <c r="A25743" s="258"/>
      <c r="Z25743" s="258"/>
    </row>
    <row r="25744" spans="1:26" ht="12.75" customHeight="1" x14ac:dyDescent="0.2">
      <c r="A25744" s="258"/>
      <c r="Z25744" s="258"/>
    </row>
    <row r="25745" spans="1:26" ht="12.75" customHeight="1" x14ac:dyDescent="0.2">
      <c r="A25745" s="258"/>
      <c r="Z25745" s="258"/>
    </row>
    <row r="25746" spans="1:26" ht="12.75" customHeight="1" x14ac:dyDescent="0.2">
      <c r="A25746" s="258"/>
      <c r="Z25746" s="258"/>
    </row>
    <row r="25747" spans="1:26" ht="12.75" customHeight="1" x14ac:dyDescent="0.2">
      <c r="A25747" s="258"/>
      <c r="Z25747" s="258"/>
    </row>
    <row r="25748" spans="1:26" ht="12.75" customHeight="1" x14ac:dyDescent="0.2">
      <c r="A25748" s="258"/>
      <c r="Z25748" s="258"/>
    </row>
    <row r="25749" spans="1:26" ht="12.75" customHeight="1" x14ac:dyDescent="0.2">
      <c r="A25749" s="258"/>
      <c r="Z25749" s="258"/>
    </row>
    <row r="25750" spans="1:26" ht="12.75" customHeight="1" x14ac:dyDescent="0.2">
      <c r="A25750" s="258"/>
      <c r="Z25750" s="258"/>
    </row>
    <row r="25751" spans="1:26" ht="12.75" customHeight="1" x14ac:dyDescent="0.2">
      <c r="A25751" s="258"/>
      <c r="Z25751" s="258"/>
    </row>
    <row r="25752" spans="1:26" ht="12.75" customHeight="1" x14ac:dyDescent="0.2">
      <c r="A25752" s="258"/>
      <c r="Z25752" s="258"/>
    </row>
    <row r="25753" spans="1:26" ht="12.75" customHeight="1" x14ac:dyDescent="0.2">
      <c r="A25753" s="258"/>
      <c r="Z25753" s="258"/>
    </row>
    <row r="25754" spans="1:26" ht="12.75" customHeight="1" x14ac:dyDescent="0.2">
      <c r="A25754" s="258"/>
      <c r="Z25754" s="258"/>
    </row>
    <row r="25755" spans="1:26" ht="12.75" customHeight="1" x14ac:dyDescent="0.2">
      <c r="A25755" s="258"/>
      <c r="Z25755" s="258"/>
    </row>
    <row r="25756" spans="1:26" ht="12.75" customHeight="1" x14ac:dyDescent="0.2">
      <c r="A25756" s="258"/>
      <c r="Z25756" s="258"/>
    </row>
    <row r="25757" spans="1:26" ht="12.75" customHeight="1" x14ac:dyDescent="0.2">
      <c r="A25757" s="258"/>
      <c r="Z25757" s="258"/>
    </row>
    <row r="25758" spans="1:26" ht="12.75" customHeight="1" x14ac:dyDescent="0.2">
      <c r="A25758" s="258"/>
      <c r="Z25758" s="258"/>
    </row>
    <row r="25759" spans="1:26" ht="12.75" customHeight="1" x14ac:dyDescent="0.2">
      <c r="A25759" s="258"/>
      <c r="Z25759" s="258"/>
    </row>
    <row r="25760" spans="1:26" ht="12.75" customHeight="1" x14ac:dyDescent="0.2">
      <c r="A25760" s="258"/>
      <c r="Z25760" s="258"/>
    </row>
    <row r="25761" spans="1:26" ht="12.75" customHeight="1" x14ac:dyDescent="0.2">
      <c r="A25761" s="258"/>
      <c r="Z25761" s="258"/>
    </row>
    <row r="25762" spans="1:26" ht="12.75" customHeight="1" x14ac:dyDescent="0.2">
      <c r="A25762" s="258"/>
      <c r="Z25762" s="258"/>
    </row>
    <row r="25763" spans="1:26" ht="12.75" customHeight="1" x14ac:dyDescent="0.2">
      <c r="A25763" s="258"/>
      <c r="Z25763" s="258"/>
    </row>
    <row r="25764" spans="1:26" ht="12.75" customHeight="1" x14ac:dyDescent="0.2">
      <c r="A25764" s="258"/>
      <c r="Z25764" s="258"/>
    </row>
    <row r="25765" spans="1:26" ht="12.75" customHeight="1" x14ac:dyDescent="0.2">
      <c r="A25765" s="258"/>
      <c r="Z25765" s="258"/>
    </row>
    <row r="25766" spans="1:26" ht="12.75" customHeight="1" x14ac:dyDescent="0.2">
      <c r="A25766" s="258"/>
      <c r="Z25766" s="258"/>
    </row>
    <row r="25767" spans="1:26" ht="12.75" customHeight="1" x14ac:dyDescent="0.2">
      <c r="A25767" s="258"/>
      <c r="Z25767" s="258"/>
    </row>
    <row r="25768" spans="1:26" ht="12.75" customHeight="1" x14ac:dyDescent="0.2">
      <c r="A25768" s="258"/>
      <c r="Z25768" s="258"/>
    </row>
    <row r="25769" spans="1:26" ht="12.75" customHeight="1" x14ac:dyDescent="0.2">
      <c r="A25769" s="258"/>
      <c r="Z25769" s="258"/>
    </row>
    <row r="25770" spans="1:26" ht="12.75" customHeight="1" x14ac:dyDescent="0.2">
      <c r="A25770" s="258"/>
      <c r="Z25770" s="258"/>
    </row>
    <row r="25771" spans="1:26" ht="12.75" customHeight="1" x14ac:dyDescent="0.2">
      <c r="A25771" s="258"/>
      <c r="Z25771" s="258"/>
    </row>
    <row r="25772" spans="1:26" ht="12.75" customHeight="1" x14ac:dyDescent="0.2">
      <c r="A25772" s="258"/>
      <c r="Z25772" s="258"/>
    </row>
    <row r="25773" spans="1:26" ht="12.75" customHeight="1" x14ac:dyDescent="0.2">
      <c r="A25773" s="258"/>
      <c r="Z25773" s="258"/>
    </row>
    <row r="25774" spans="1:26" ht="12.75" customHeight="1" x14ac:dyDescent="0.2">
      <c r="A25774" s="258"/>
      <c r="Z25774" s="258"/>
    </row>
    <row r="25775" spans="1:26" ht="12.75" customHeight="1" x14ac:dyDescent="0.2">
      <c r="A25775" s="258"/>
      <c r="Z25775" s="258"/>
    </row>
    <row r="25776" spans="1:26" ht="12.75" customHeight="1" x14ac:dyDescent="0.2">
      <c r="A25776" s="258"/>
      <c r="Z25776" s="258"/>
    </row>
    <row r="25777" spans="1:26" ht="12.75" customHeight="1" x14ac:dyDescent="0.2">
      <c r="A25777" s="258"/>
      <c r="Z25777" s="258"/>
    </row>
    <row r="25778" spans="1:26" ht="12.75" customHeight="1" x14ac:dyDescent="0.2">
      <c r="A25778" s="258"/>
      <c r="Z25778" s="258"/>
    </row>
    <row r="25779" spans="1:26" ht="12.75" customHeight="1" x14ac:dyDescent="0.2">
      <c r="A25779" s="258"/>
      <c r="Z25779" s="258"/>
    </row>
    <row r="25780" spans="1:26" ht="12.75" customHeight="1" x14ac:dyDescent="0.2">
      <c r="A25780" s="258"/>
      <c r="Z25780" s="258"/>
    </row>
    <row r="25781" spans="1:26" ht="12.75" customHeight="1" x14ac:dyDescent="0.2">
      <c r="A25781" s="258"/>
      <c r="Z25781" s="258"/>
    </row>
    <row r="25782" spans="1:26" ht="12.75" customHeight="1" x14ac:dyDescent="0.2">
      <c r="A25782" s="258"/>
      <c r="Z25782" s="258"/>
    </row>
    <row r="25783" spans="1:26" ht="12.75" customHeight="1" x14ac:dyDescent="0.2">
      <c r="A25783" s="258"/>
      <c r="Z25783" s="258"/>
    </row>
    <row r="25784" spans="1:26" ht="12.75" customHeight="1" x14ac:dyDescent="0.2">
      <c r="A25784" s="258"/>
      <c r="Z25784" s="258"/>
    </row>
    <row r="25785" spans="1:26" ht="12.75" customHeight="1" x14ac:dyDescent="0.2">
      <c r="A25785" s="258"/>
      <c r="Z25785" s="258"/>
    </row>
    <row r="25786" spans="1:26" ht="12.75" customHeight="1" x14ac:dyDescent="0.2">
      <c r="A25786" s="258"/>
      <c r="Z25786" s="258"/>
    </row>
    <row r="25787" spans="1:26" ht="12.75" customHeight="1" x14ac:dyDescent="0.2">
      <c r="A25787" s="258"/>
      <c r="Z25787" s="258"/>
    </row>
    <row r="25788" spans="1:26" ht="12.75" customHeight="1" x14ac:dyDescent="0.2">
      <c r="A25788" s="258"/>
      <c r="Z25788" s="258"/>
    </row>
    <row r="25789" spans="1:26" ht="12.75" customHeight="1" x14ac:dyDescent="0.2">
      <c r="A25789" s="258"/>
      <c r="Z25789" s="258"/>
    </row>
    <row r="25790" spans="1:26" ht="12.75" customHeight="1" x14ac:dyDescent="0.2">
      <c r="A25790" s="258"/>
      <c r="Z25790" s="258"/>
    </row>
    <row r="25791" spans="1:26" ht="12.75" customHeight="1" x14ac:dyDescent="0.2">
      <c r="A25791" s="258"/>
      <c r="Z25791" s="258"/>
    </row>
    <row r="25792" spans="1:26" ht="12.75" customHeight="1" x14ac:dyDescent="0.2">
      <c r="A25792" s="258"/>
      <c r="Z25792" s="258"/>
    </row>
    <row r="25793" spans="1:26" ht="12.75" customHeight="1" x14ac:dyDescent="0.2">
      <c r="A25793" s="258"/>
      <c r="Z25793" s="258"/>
    </row>
    <row r="25794" spans="1:26" ht="12.75" customHeight="1" x14ac:dyDescent="0.2">
      <c r="A25794" s="258"/>
      <c r="Z25794" s="258"/>
    </row>
    <row r="25795" spans="1:26" ht="12.75" customHeight="1" x14ac:dyDescent="0.2">
      <c r="A25795" s="258"/>
      <c r="Z25795" s="258"/>
    </row>
    <row r="25796" spans="1:26" ht="12.75" customHeight="1" x14ac:dyDescent="0.2">
      <c r="A25796" s="258"/>
      <c r="Z25796" s="258"/>
    </row>
    <row r="25797" spans="1:26" ht="12.75" customHeight="1" x14ac:dyDescent="0.2">
      <c r="A25797" s="258"/>
      <c r="Z25797" s="258"/>
    </row>
    <row r="25798" spans="1:26" ht="12.75" customHeight="1" x14ac:dyDescent="0.2">
      <c r="A25798" s="258"/>
      <c r="Z25798" s="258"/>
    </row>
    <row r="25799" spans="1:26" ht="12.75" customHeight="1" x14ac:dyDescent="0.2">
      <c r="A25799" s="258"/>
      <c r="Z25799" s="258"/>
    </row>
    <row r="25800" spans="1:26" ht="12.75" customHeight="1" x14ac:dyDescent="0.2">
      <c r="A25800" s="258"/>
      <c r="Z25800" s="258"/>
    </row>
    <row r="25801" spans="1:26" ht="12.75" customHeight="1" x14ac:dyDescent="0.2">
      <c r="A25801" s="258"/>
      <c r="Z25801" s="258"/>
    </row>
    <row r="25802" spans="1:26" ht="12.75" customHeight="1" x14ac:dyDescent="0.2">
      <c r="A25802" s="258"/>
      <c r="Z25802" s="258"/>
    </row>
    <row r="25803" spans="1:26" ht="12.75" customHeight="1" x14ac:dyDescent="0.2">
      <c r="A25803" s="258"/>
      <c r="Z25803" s="258"/>
    </row>
    <row r="25804" spans="1:26" ht="12.75" customHeight="1" x14ac:dyDescent="0.2">
      <c r="A25804" s="258"/>
      <c r="Z25804" s="258"/>
    </row>
    <row r="25805" spans="1:26" ht="12.75" customHeight="1" x14ac:dyDescent="0.2">
      <c r="A25805" s="258"/>
      <c r="Z25805" s="258"/>
    </row>
    <row r="25806" spans="1:26" ht="12.75" customHeight="1" x14ac:dyDescent="0.2">
      <c r="A25806" s="258"/>
      <c r="Z25806" s="258"/>
    </row>
    <row r="25807" spans="1:26" ht="12.75" customHeight="1" x14ac:dyDescent="0.2">
      <c r="A25807" s="258"/>
      <c r="Z25807" s="258"/>
    </row>
    <row r="25808" spans="1:26" ht="12.75" customHeight="1" x14ac:dyDescent="0.2">
      <c r="A25808" s="258"/>
      <c r="Z25808" s="258"/>
    </row>
    <row r="25809" spans="1:26" ht="12.75" customHeight="1" x14ac:dyDescent="0.2">
      <c r="A25809" s="258"/>
      <c r="Z25809" s="258"/>
    </row>
    <row r="25810" spans="1:26" ht="12.75" customHeight="1" x14ac:dyDescent="0.2">
      <c r="A25810" s="258"/>
      <c r="Z25810" s="258"/>
    </row>
    <row r="25811" spans="1:26" ht="12.75" customHeight="1" x14ac:dyDescent="0.2">
      <c r="A25811" s="258"/>
      <c r="Z25811" s="258"/>
    </row>
    <row r="25812" spans="1:26" ht="12.75" customHeight="1" x14ac:dyDescent="0.2">
      <c r="A25812" s="258"/>
      <c r="Z25812" s="258"/>
    </row>
    <row r="25813" spans="1:26" ht="12.75" customHeight="1" x14ac:dyDescent="0.2">
      <c r="A25813" s="258"/>
      <c r="Z25813" s="258"/>
    </row>
    <row r="25814" spans="1:26" ht="12.75" customHeight="1" x14ac:dyDescent="0.2">
      <c r="A25814" s="258"/>
      <c r="Z25814" s="258"/>
    </row>
    <row r="25815" spans="1:26" ht="12.75" customHeight="1" x14ac:dyDescent="0.2">
      <c r="A25815" s="258"/>
      <c r="Z25815" s="258"/>
    </row>
    <row r="25816" spans="1:26" ht="12.75" customHeight="1" x14ac:dyDescent="0.2">
      <c r="A25816" s="258"/>
      <c r="Z25816" s="258"/>
    </row>
    <row r="25817" spans="1:26" ht="12.75" customHeight="1" x14ac:dyDescent="0.2">
      <c r="A25817" s="258"/>
      <c r="Z25817" s="258"/>
    </row>
    <row r="25818" spans="1:26" ht="12.75" customHeight="1" x14ac:dyDescent="0.2">
      <c r="A25818" s="258"/>
      <c r="Z25818" s="258"/>
    </row>
    <row r="25819" spans="1:26" ht="12.75" customHeight="1" x14ac:dyDescent="0.2">
      <c r="A25819" s="258"/>
      <c r="Z25819" s="258"/>
    </row>
    <row r="25820" spans="1:26" ht="12.75" customHeight="1" x14ac:dyDescent="0.2">
      <c r="A25820" s="258"/>
      <c r="Z25820" s="258"/>
    </row>
    <row r="25821" spans="1:26" ht="12.75" customHeight="1" x14ac:dyDescent="0.2">
      <c r="A25821" s="258"/>
      <c r="Z25821" s="258"/>
    </row>
    <row r="25822" spans="1:26" ht="12.75" customHeight="1" x14ac:dyDescent="0.2">
      <c r="A25822" s="258"/>
      <c r="Z25822" s="258"/>
    </row>
    <row r="25823" spans="1:26" ht="12.75" customHeight="1" x14ac:dyDescent="0.2">
      <c r="A25823" s="258"/>
      <c r="Z25823" s="258"/>
    </row>
    <row r="25824" spans="1:26" ht="12.75" customHeight="1" x14ac:dyDescent="0.2">
      <c r="A25824" s="258"/>
      <c r="Z25824" s="258"/>
    </row>
    <row r="25825" spans="1:26" ht="12.75" customHeight="1" x14ac:dyDescent="0.2">
      <c r="A25825" s="258"/>
      <c r="Z25825" s="258"/>
    </row>
    <row r="25826" spans="1:26" ht="12.75" customHeight="1" x14ac:dyDescent="0.2">
      <c r="A25826" s="258"/>
      <c r="Z25826" s="258"/>
    </row>
    <row r="25827" spans="1:26" ht="12.75" customHeight="1" x14ac:dyDescent="0.2">
      <c r="A25827" s="258"/>
      <c r="Z25827" s="258"/>
    </row>
    <row r="25828" spans="1:26" ht="12.75" customHeight="1" x14ac:dyDescent="0.2">
      <c r="A25828" s="258"/>
      <c r="Z25828" s="258"/>
    </row>
    <row r="25829" spans="1:26" ht="12.75" customHeight="1" x14ac:dyDescent="0.2">
      <c r="A25829" s="258"/>
      <c r="Z25829" s="258"/>
    </row>
    <row r="25830" spans="1:26" ht="12.75" customHeight="1" x14ac:dyDescent="0.2">
      <c r="A25830" s="258"/>
      <c r="Z25830" s="258"/>
    </row>
    <row r="25831" spans="1:26" ht="12.75" customHeight="1" x14ac:dyDescent="0.2">
      <c r="A25831" s="258"/>
      <c r="Z25831" s="258"/>
    </row>
    <row r="25832" spans="1:26" ht="12.75" customHeight="1" x14ac:dyDescent="0.2">
      <c r="A25832" s="258"/>
      <c r="Z25832" s="258"/>
    </row>
    <row r="25833" spans="1:26" ht="12.75" customHeight="1" x14ac:dyDescent="0.2">
      <c r="A25833" s="258"/>
      <c r="Z25833" s="258"/>
    </row>
    <row r="25834" spans="1:26" ht="12.75" customHeight="1" x14ac:dyDescent="0.2">
      <c r="A25834" s="258"/>
      <c r="Z25834" s="258"/>
    </row>
    <row r="25835" spans="1:26" ht="12.75" customHeight="1" x14ac:dyDescent="0.2">
      <c r="A25835" s="258"/>
      <c r="Z25835" s="258"/>
    </row>
    <row r="25836" spans="1:26" ht="12.75" customHeight="1" x14ac:dyDescent="0.2">
      <c r="A25836" s="258"/>
      <c r="Z25836" s="258"/>
    </row>
    <row r="25837" spans="1:26" ht="12.75" customHeight="1" x14ac:dyDescent="0.2">
      <c r="A25837" s="258"/>
      <c r="Z25837" s="258"/>
    </row>
    <row r="25838" spans="1:26" ht="12.75" customHeight="1" x14ac:dyDescent="0.2">
      <c r="A25838" s="258"/>
      <c r="Z25838" s="258"/>
    </row>
    <row r="25839" spans="1:26" ht="12.75" customHeight="1" x14ac:dyDescent="0.2">
      <c r="A25839" s="258"/>
      <c r="Z25839" s="258"/>
    </row>
    <row r="25840" spans="1:26" ht="12.75" customHeight="1" x14ac:dyDescent="0.2">
      <c r="A25840" s="258"/>
      <c r="Z25840" s="258"/>
    </row>
    <row r="25841" spans="1:26" ht="12.75" customHeight="1" x14ac:dyDescent="0.2">
      <c r="A25841" s="258"/>
      <c r="Z25841" s="258"/>
    </row>
    <row r="25842" spans="1:26" ht="12.75" customHeight="1" x14ac:dyDescent="0.2">
      <c r="A25842" s="258"/>
      <c r="Z25842" s="258"/>
    </row>
    <row r="25843" spans="1:26" ht="12.75" customHeight="1" x14ac:dyDescent="0.2">
      <c r="A25843" s="258"/>
      <c r="Z25843" s="258"/>
    </row>
    <row r="25844" spans="1:26" ht="12.75" customHeight="1" x14ac:dyDescent="0.2">
      <c r="A25844" s="258"/>
      <c r="Z25844" s="258"/>
    </row>
    <row r="25845" spans="1:26" ht="12.75" customHeight="1" x14ac:dyDescent="0.2">
      <c r="A25845" s="258"/>
      <c r="Z25845" s="258"/>
    </row>
    <row r="25846" spans="1:26" ht="12.75" customHeight="1" x14ac:dyDescent="0.2">
      <c r="A25846" s="258"/>
      <c r="Z25846" s="258"/>
    </row>
    <row r="25847" spans="1:26" ht="12.75" customHeight="1" x14ac:dyDescent="0.2">
      <c r="A25847" s="258"/>
      <c r="Z25847" s="258"/>
    </row>
    <row r="25848" spans="1:26" ht="12.75" customHeight="1" x14ac:dyDescent="0.2">
      <c r="A25848" s="258"/>
      <c r="Z25848" s="258"/>
    </row>
    <row r="25849" spans="1:26" ht="12.75" customHeight="1" x14ac:dyDescent="0.2">
      <c r="A25849" s="258"/>
      <c r="Z25849" s="258"/>
    </row>
    <row r="25850" spans="1:26" ht="12.75" customHeight="1" x14ac:dyDescent="0.2">
      <c r="A25850" s="258"/>
      <c r="Z25850" s="258"/>
    </row>
    <row r="25851" spans="1:26" ht="12.75" customHeight="1" x14ac:dyDescent="0.2">
      <c r="A25851" s="258"/>
      <c r="Z25851" s="258"/>
    </row>
    <row r="25852" spans="1:26" ht="12.75" customHeight="1" x14ac:dyDescent="0.2">
      <c r="A25852" s="258"/>
      <c r="Z25852" s="258"/>
    </row>
    <row r="25853" spans="1:26" ht="12.75" customHeight="1" x14ac:dyDescent="0.2">
      <c r="A25853" s="258"/>
      <c r="Z25853" s="258"/>
    </row>
    <row r="25854" spans="1:26" ht="12.75" customHeight="1" x14ac:dyDescent="0.2">
      <c r="A25854" s="258"/>
      <c r="Z25854" s="258"/>
    </row>
    <row r="25855" spans="1:26" ht="12.75" customHeight="1" x14ac:dyDescent="0.2">
      <c r="A25855" s="258"/>
      <c r="Z25855" s="258"/>
    </row>
    <row r="25856" spans="1:26" ht="12.75" customHeight="1" x14ac:dyDescent="0.2">
      <c r="A25856" s="258"/>
      <c r="Z25856" s="258"/>
    </row>
    <row r="25857" spans="1:26" ht="12.75" customHeight="1" x14ac:dyDescent="0.2">
      <c r="A25857" s="258"/>
      <c r="Z25857" s="258"/>
    </row>
    <row r="25858" spans="1:26" ht="12.75" customHeight="1" x14ac:dyDescent="0.2">
      <c r="A25858" s="258"/>
      <c r="Z25858" s="258"/>
    </row>
    <row r="25859" spans="1:26" ht="12.75" customHeight="1" x14ac:dyDescent="0.2">
      <c r="A25859" s="258"/>
      <c r="Z25859" s="258"/>
    </row>
    <row r="25860" spans="1:26" ht="12.75" customHeight="1" x14ac:dyDescent="0.2">
      <c r="A25860" s="258"/>
      <c r="Z25860" s="258"/>
    </row>
    <row r="25861" spans="1:26" ht="12.75" customHeight="1" x14ac:dyDescent="0.2">
      <c r="A25861" s="258"/>
      <c r="Z25861" s="258"/>
    </row>
    <row r="25862" spans="1:26" ht="12.75" customHeight="1" x14ac:dyDescent="0.2">
      <c r="A25862" s="258"/>
      <c r="Z25862" s="258"/>
    </row>
    <row r="25863" spans="1:26" ht="12.75" customHeight="1" x14ac:dyDescent="0.2">
      <c r="A25863" s="258"/>
      <c r="Z25863" s="258"/>
    </row>
    <row r="25864" spans="1:26" ht="12.75" customHeight="1" x14ac:dyDescent="0.2">
      <c r="A25864" s="258"/>
      <c r="Z25864" s="258"/>
    </row>
    <row r="25865" spans="1:26" ht="12.75" customHeight="1" x14ac:dyDescent="0.2">
      <c r="A25865" s="258"/>
      <c r="Z25865" s="258"/>
    </row>
    <row r="25866" spans="1:26" ht="12.75" customHeight="1" x14ac:dyDescent="0.2">
      <c r="A25866" s="258"/>
      <c r="Z25866" s="258"/>
    </row>
    <row r="25867" spans="1:26" ht="12.75" customHeight="1" x14ac:dyDescent="0.2">
      <c r="A25867" s="258"/>
      <c r="Z25867" s="258"/>
    </row>
    <row r="25868" spans="1:26" ht="12.75" customHeight="1" x14ac:dyDescent="0.2">
      <c r="A25868" s="258"/>
      <c r="Z25868" s="258"/>
    </row>
    <row r="25869" spans="1:26" ht="12.75" customHeight="1" x14ac:dyDescent="0.2">
      <c r="A25869" s="258"/>
      <c r="Z25869" s="258"/>
    </row>
    <row r="25870" spans="1:26" ht="12.75" customHeight="1" x14ac:dyDescent="0.2">
      <c r="A25870" s="258"/>
      <c r="Z25870" s="258"/>
    </row>
    <row r="25871" spans="1:26" ht="12.75" customHeight="1" x14ac:dyDescent="0.2">
      <c r="A25871" s="258"/>
      <c r="Z25871" s="258"/>
    </row>
    <row r="25872" spans="1:26" ht="12.75" customHeight="1" x14ac:dyDescent="0.2">
      <c r="A25872" s="258"/>
      <c r="Z25872" s="258"/>
    </row>
    <row r="25873" spans="1:26" ht="12.75" customHeight="1" x14ac:dyDescent="0.2">
      <c r="A25873" s="258"/>
      <c r="Z25873" s="258"/>
    </row>
    <row r="25874" spans="1:26" ht="12.75" customHeight="1" x14ac:dyDescent="0.2">
      <c r="A25874" s="258"/>
      <c r="Z25874" s="258"/>
    </row>
    <row r="25875" spans="1:26" ht="12.75" customHeight="1" x14ac:dyDescent="0.2">
      <c r="A25875" s="258"/>
      <c r="Z25875" s="258"/>
    </row>
    <row r="25876" spans="1:26" ht="12.75" customHeight="1" x14ac:dyDescent="0.2">
      <c r="A25876" s="258"/>
      <c r="Z25876" s="258"/>
    </row>
    <row r="25877" spans="1:26" ht="12.75" customHeight="1" x14ac:dyDescent="0.2">
      <c r="A25877" s="258"/>
      <c r="Z25877" s="258"/>
    </row>
    <row r="25878" spans="1:26" ht="12.75" customHeight="1" x14ac:dyDescent="0.2">
      <c r="A25878" s="258"/>
      <c r="Z25878" s="258"/>
    </row>
    <row r="25879" spans="1:26" ht="12.75" customHeight="1" x14ac:dyDescent="0.2">
      <c r="A25879" s="258"/>
      <c r="Z25879" s="258"/>
    </row>
    <row r="25880" spans="1:26" ht="12.75" customHeight="1" x14ac:dyDescent="0.2">
      <c r="A25880" s="258"/>
      <c r="Z25880" s="258"/>
    </row>
    <row r="25881" spans="1:26" ht="12.75" customHeight="1" x14ac:dyDescent="0.2">
      <c r="A25881" s="258"/>
      <c r="Z25881" s="258"/>
    </row>
    <row r="25882" spans="1:26" ht="12.75" customHeight="1" x14ac:dyDescent="0.2">
      <c r="A25882" s="258"/>
      <c r="Z25882" s="258"/>
    </row>
    <row r="25883" spans="1:26" ht="12.75" customHeight="1" x14ac:dyDescent="0.2">
      <c r="A25883" s="258"/>
      <c r="Z25883" s="258"/>
    </row>
    <row r="25884" spans="1:26" ht="12.75" customHeight="1" x14ac:dyDescent="0.2">
      <c r="A25884" s="258"/>
      <c r="Z25884" s="258"/>
    </row>
    <row r="25885" spans="1:26" ht="12.75" customHeight="1" x14ac:dyDescent="0.2">
      <c r="A25885" s="258"/>
      <c r="Z25885" s="258"/>
    </row>
    <row r="25886" spans="1:26" ht="12.75" customHeight="1" x14ac:dyDescent="0.2">
      <c r="A25886" s="258"/>
      <c r="Z25886" s="258"/>
    </row>
    <row r="25887" spans="1:26" ht="12.75" customHeight="1" x14ac:dyDescent="0.2">
      <c r="A25887" s="258"/>
      <c r="Z25887" s="258"/>
    </row>
    <row r="25888" spans="1:26" ht="12.75" customHeight="1" x14ac:dyDescent="0.2">
      <c r="A25888" s="258"/>
      <c r="Z25888" s="258"/>
    </row>
    <row r="25889" spans="1:26" ht="12.75" customHeight="1" x14ac:dyDescent="0.2">
      <c r="A25889" s="258"/>
      <c r="Z25889" s="258"/>
    </row>
    <row r="25890" spans="1:26" ht="12.75" customHeight="1" x14ac:dyDescent="0.2">
      <c r="A25890" s="258"/>
      <c r="Z25890" s="258"/>
    </row>
    <row r="25891" spans="1:26" ht="12.75" customHeight="1" x14ac:dyDescent="0.2">
      <c r="A25891" s="258"/>
      <c r="Z25891" s="258"/>
    </row>
    <row r="25892" spans="1:26" ht="12.75" customHeight="1" x14ac:dyDescent="0.2">
      <c r="A25892" s="258"/>
      <c r="Z25892" s="258"/>
    </row>
    <row r="25893" spans="1:26" ht="12.75" customHeight="1" x14ac:dyDescent="0.2">
      <c r="A25893" s="258"/>
      <c r="Z25893" s="258"/>
    </row>
    <row r="25894" spans="1:26" ht="12.75" customHeight="1" x14ac:dyDescent="0.2">
      <c r="A25894" s="258"/>
      <c r="Z25894" s="258"/>
    </row>
    <row r="25895" spans="1:26" ht="12.75" customHeight="1" x14ac:dyDescent="0.2">
      <c r="A25895" s="258"/>
      <c r="Z25895" s="258"/>
    </row>
    <row r="25896" spans="1:26" ht="12.75" customHeight="1" x14ac:dyDescent="0.2">
      <c r="A25896" s="258"/>
      <c r="Z25896" s="258"/>
    </row>
    <row r="25897" spans="1:26" ht="12.75" customHeight="1" x14ac:dyDescent="0.2">
      <c r="A25897" s="258"/>
      <c r="Z25897" s="258"/>
    </row>
    <row r="25898" spans="1:26" ht="12.75" customHeight="1" x14ac:dyDescent="0.2">
      <c r="A25898" s="258"/>
      <c r="Z25898" s="258"/>
    </row>
    <row r="25899" spans="1:26" ht="12.75" customHeight="1" x14ac:dyDescent="0.2">
      <c r="A25899" s="258"/>
      <c r="Z25899" s="258"/>
    </row>
    <row r="25900" spans="1:26" ht="12.75" customHeight="1" x14ac:dyDescent="0.2">
      <c r="A25900" s="258"/>
      <c r="Z25900" s="258"/>
    </row>
    <row r="25901" spans="1:26" ht="12.75" customHeight="1" x14ac:dyDescent="0.2">
      <c r="A25901" s="258"/>
      <c r="Z25901" s="258"/>
    </row>
    <row r="25902" spans="1:26" ht="12.75" customHeight="1" x14ac:dyDescent="0.2">
      <c r="A25902" s="258"/>
      <c r="Z25902" s="258"/>
    </row>
    <row r="25903" spans="1:26" ht="12.75" customHeight="1" x14ac:dyDescent="0.2">
      <c r="A25903" s="258"/>
      <c r="Z25903" s="258"/>
    </row>
    <row r="25904" spans="1:26" ht="12.75" customHeight="1" x14ac:dyDescent="0.2">
      <c r="A25904" s="258"/>
      <c r="Z25904" s="258"/>
    </row>
    <row r="25905" spans="1:26" ht="12.75" customHeight="1" x14ac:dyDescent="0.2">
      <c r="A25905" s="258"/>
      <c r="Z25905" s="258"/>
    </row>
    <row r="25906" spans="1:26" ht="12.75" customHeight="1" x14ac:dyDescent="0.2">
      <c r="A25906" s="258"/>
      <c r="Z25906" s="258"/>
    </row>
    <row r="25907" spans="1:26" ht="12.75" customHeight="1" x14ac:dyDescent="0.2">
      <c r="A25907" s="258"/>
      <c r="Z25907" s="258"/>
    </row>
    <row r="25908" spans="1:26" ht="12.75" customHeight="1" x14ac:dyDescent="0.2">
      <c r="A25908" s="258"/>
      <c r="Z25908" s="258"/>
    </row>
    <row r="25909" spans="1:26" ht="12.75" customHeight="1" x14ac:dyDescent="0.2">
      <c r="A25909" s="258"/>
      <c r="Z25909" s="258"/>
    </row>
    <row r="25910" spans="1:26" ht="12.75" customHeight="1" x14ac:dyDescent="0.2">
      <c r="A25910" s="258"/>
      <c r="Z25910" s="258"/>
    </row>
    <row r="25911" spans="1:26" ht="12.75" customHeight="1" x14ac:dyDescent="0.2">
      <c r="A25911" s="258"/>
      <c r="Z25911" s="258"/>
    </row>
    <row r="25912" spans="1:26" ht="12.75" customHeight="1" x14ac:dyDescent="0.2">
      <c r="A25912" s="258"/>
      <c r="Z25912" s="258"/>
    </row>
    <row r="25913" spans="1:26" ht="12.75" customHeight="1" x14ac:dyDescent="0.2">
      <c r="A25913" s="258"/>
      <c r="Z25913" s="258"/>
    </row>
    <row r="25914" spans="1:26" ht="12.75" customHeight="1" x14ac:dyDescent="0.2">
      <c r="A25914" s="258"/>
      <c r="Z25914" s="258"/>
    </row>
    <row r="25915" spans="1:26" ht="12.75" customHeight="1" x14ac:dyDescent="0.2">
      <c r="A25915" s="258"/>
      <c r="Z25915" s="258"/>
    </row>
    <row r="25916" spans="1:26" ht="12.75" customHeight="1" x14ac:dyDescent="0.2">
      <c r="A25916" s="258"/>
      <c r="Z25916" s="258"/>
    </row>
    <row r="25917" spans="1:26" ht="12.75" customHeight="1" x14ac:dyDescent="0.2">
      <c r="A25917" s="258"/>
      <c r="Z25917" s="258"/>
    </row>
    <row r="25918" spans="1:26" ht="12.75" customHeight="1" x14ac:dyDescent="0.2">
      <c r="A25918" s="258"/>
      <c r="Z25918" s="258"/>
    </row>
    <row r="25919" spans="1:26" ht="12.75" customHeight="1" x14ac:dyDescent="0.2">
      <c r="A25919" s="258"/>
      <c r="Z25919" s="258"/>
    </row>
    <row r="25920" spans="1:26" ht="12.75" customHeight="1" x14ac:dyDescent="0.2">
      <c r="A25920" s="258"/>
      <c r="Z25920" s="258"/>
    </row>
    <row r="25921" spans="1:26" ht="12.75" customHeight="1" x14ac:dyDescent="0.2">
      <c r="A25921" s="258"/>
      <c r="Z25921" s="258"/>
    </row>
    <row r="25922" spans="1:26" ht="12.75" customHeight="1" x14ac:dyDescent="0.2">
      <c r="A25922" s="258"/>
      <c r="Z25922" s="258"/>
    </row>
    <row r="25923" spans="1:26" ht="12.75" customHeight="1" x14ac:dyDescent="0.2">
      <c r="A25923" s="258"/>
      <c r="Z25923" s="258"/>
    </row>
    <row r="25924" spans="1:26" ht="12.75" customHeight="1" x14ac:dyDescent="0.2">
      <c r="A25924" s="258"/>
      <c r="Z25924" s="258"/>
    </row>
    <row r="25925" spans="1:26" ht="12.75" customHeight="1" x14ac:dyDescent="0.2">
      <c r="A25925" s="258"/>
      <c r="Z25925" s="258"/>
    </row>
    <row r="25926" spans="1:26" ht="12.75" customHeight="1" x14ac:dyDescent="0.2">
      <c r="A25926" s="258"/>
      <c r="Z25926" s="258"/>
    </row>
    <row r="25927" spans="1:26" ht="12.75" customHeight="1" x14ac:dyDescent="0.2">
      <c r="A25927" s="258"/>
      <c r="Z25927" s="258"/>
    </row>
    <row r="25928" spans="1:26" ht="12.75" customHeight="1" x14ac:dyDescent="0.2">
      <c r="A25928" s="258"/>
      <c r="Z25928" s="258"/>
    </row>
    <row r="25929" spans="1:26" ht="12.75" customHeight="1" x14ac:dyDescent="0.2">
      <c r="A25929" s="258"/>
      <c r="Z25929" s="258"/>
    </row>
    <row r="25930" spans="1:26" ht="12.75" customHeight="1" x14ac:dyDescent="0.2">
      <c r="A25930" s="258"/>
      <c r="Z25930" s="258"/>
    </row>
    <row r="25931" spans="1:26" ht="12.75" customHeight="1" x14ac:dyDescent="0.2">
      <c r="A25931" s="258"/>
      <c r="Z25931" s="258"/>
    </row>
    <row r="25932" spans="1:26" ht="12.75" customHeight="1" x14ac:dyDescent="0.2">
      <c r="A25932" s="258"/>
      <c r="Z25932" s="258"/>
    </row>
    <row r="25933" spans="1:26" ht="12.75" customHeight="1" x14ac:dyDescent="0.2">
      <c r="A25933" s="258"/>
      <c r="Z25933" s="258"/>
    </row>
    <row r="25934" spans="1:26" ht="12.75" customHeight="1" x14ac:dyDescent="0.2">
      <c r="A25934" s="258"/>
      <c r="Z25934" s="258"/>
    </row>
    <row r="25935" spans="1:26" ht="12.75" customHeight="1" x14ac:dyDescent="0.2">
      <c r="A25935" s="258"/>
      <c r="Z25935" s="258"/>
    </row>
    <row r="25936" spans="1:26" ht="12.75" customHeight="1" x14ac:dyDescent="0.2">
      <c r="A25936" s="258"/>
      <c r="Z25936" s="258"/>
    </row>
    <row r="25937" spans="1:26" ht="12.75" customHeight="1" x14ac:dyDescent="0.2">
      <c r="A25937" s="258"/>
      <c r="Z25937" s="258"/>
    </row>
    <row r="25938" spans="1:26" ht="12.75" customHeight="1" x14ac:dyDescent="0.2">
      <c r="A25938" s="258"/>
      <c r="Z25938" s="258"/>
    </row>
    <row r="25939" spans="1:26" ht="12.75" customHeight="1" x14ac:dyDescent="0.2">
      <c r="A25939" s="258"/>
      <c r="Z25939" s="258"/>
    </row>
    <row r="25940" spans="1:26" ht="12.75" customHeight="1" x14ac:dyDescent="0.2">
      <c r="A25940" s="258"/>
      <c r="Z25940" s="258"/>
    </row>
    <row r="25941" spans="1:26" ht="12.75" customHeight="1" x14ac:dyDescent="0.2">
      <c r="A25941" s="258"/>
      <c r="Z25941" s="258"/>
    </row>
    <row r="25942" spans="1:26" ht="12.75" customHeight="1" x14ac:dyDescent="0.2">
      <c r="A25942" s="258"/>
      <c r="Z25942" s="258"/>
    </row>
    <row r="25943" spans="1:26" ht="12.75" customHeight="1" x14ac:dyDescent="0.2">
      <c r="A25943" s="258"/>
      <c r="Z25943" s="258"/>
    </row>
    <row r="25944" spans="1:26" ht="12.75" customHeight="1" x14ac:dyDescent="0.2">
      <c r="A25944" s="258"/>
      <c r="Z25944" s="258"/>
    </row>
    <row r="25945" spans="1:26" ht="12.75" customHeight="1" x14ac:dyDescent="0.2">
      <c r="A25945" s="258"/>
      <c r="Z25945" s="258"/>
    </row>
    <row r="25946" spans="1:26" ht="12.75" customHeight="1" x14ac:dyDescent="0.2">
      <c r="A25946" s="258"/>
      <c r="Z25946" s="258"/>
    </row>
    <row r="25947" spans="1:26" ht="12.75" customHeight="1" x14ac:dyDescent="0.2">
      <c r="A25947" s="258"/>
      <c r="Z25947" s="258"/>
    </row>
    <row r="25948" spans="1:26" ht="12.75" customHeight="1" x14ac:dyDescent="0.2">
      <c r="A25948" s="258"/>
      <c r="Z25948" s="258"/>
    </row>
    <row r="25949" spans="1:26" ht="12.75" customHeight="1" x14ac:dyDescent="0.2">
      <c r="A25949" s="258"/>
      <c r="Z25949" s="258"/>
    </row>
    <row r="25950" spans="1:26" ht="12.75" customHeight="1" x14ac:dyDescent="0.2">
      <c r="A25950" s="258"/>
      <c r="Z25950" s="258"/>
    </row>
    <row r="25951" spans="1:26" ht="12.75" customHeight="1" x14ac:dyDescent="0.2">
      <c r="A25951" s="258"/>
      <c r="Z25951" s="258"/>
    </row>
    <row r="25952" spans="1:26" ht="12.75" customHeight="1" x14ac:dyDescent="0.2">
      <c r="A25952" s="258"/>
      <c r="Z25952" s="258"/>
    </row>
    <row r="25953" spans="1:26" ht="12.75" customHeight="1" x14ac:dyDescent="0.2">
      <c r="A25953" s="258"/>
      <c r="Z25953" s="258"/>
    </row>
    <row r="25954" spans="1:26" ht="12.75" customHeight="1" x14ac:dyDescent="0.2">
      <c r="A25954" s="258"/>
      <c r="Z25954" s="258"/>
    </row>
    <row r="25955" spans="1:26" ht="12.75" customHeight="1" x14ac:dyDescent="0.2">
      <c r="A25955" s="258"/>
      <c r="Z25955" s="258"/>
    </row>
    <row r="25956" spans="1:26" ht="12.75" customHeight="1" x14ac:dyDescent="0.2">
      <c r="A25956" s="258"/>
      <c r="Z25956" s="258"/>
    </row>
    <row r="25957" spans="1:26" ht="12.75" customHeight="1" x14ac:dyDescent="0.2">
      <c r="A25957" s="258"/>
      <c r="Z25957" s="258"/>
    </row>
    <row r="25958" spans="1:26" ht="12.75" customHeight="1" x14ac:dyDescent="0.2">
      <c r="A25958" s="258"/>
      <c r="Z25958" s="258"/>
    </row>
    <row r="25959" spans="1:26" ht="12.75" customHeight="1" x14ac:dyDescent="0.2">
      <c r="A25959" s="258"/>
      <c r="Z25959" s="258"/>
    </row>
    <row r="25960" spans="1:26" ht="12.75" customHeight="1" x14ac:dyDescent="0.2">
      <c r="A25960" s="258"/>
      <c r="Z25960" s="258"/>
    </row>
    <row r="25961" spans="1:26" ht="12.75" customHeight="1" x14ac:dyDescent="0.2">
      <c r="A25961" s="258"/>
      <c r="Z25961" s="258"/>
    </row>
    <row r="25962" spans="1:26" ht="12.75" customHeight="1" x14ac:dyDescent="0.2">
      <c r="A25962" s="258"/>
      <c r="Z25962" s="258"/>
    </row>
    <row r="25963" spans="1:26" ht="12.75" customHeight="1" x14ac:dyDescent="0.2">
      <c r="A25963" s="258"/>
      <c r="Z25963" s="258"/>
    </row>
    <row r="25964" spans="1:26" ht="12.75" customHeight="1" x14ac:dyDescent="0.2">
      <c r="A25964" s="258"/>
      <c r="Z25964" s="258"/>
    </row>
    <row r="25965" spans="1:26" ht="12.75" customHeight="1" x14ac:dyDescent="0.2">
      <c r="A25965" s="258"/>
      <c r="Z25965" s="258"/>
    </row>
    <row r="25966" spans="1:26" ht="12.75" customHeight="1" x14ac:dyDescent="0.2">
      <c r="A25966" s="258"/>
      <c r="Z25966" s="258"/>
    </row>
    <row r="25967" spans="1:26" ht="12.75" customHeight="1" x14ac:dyDescent="0.2">
      <c r="A25967" s="258"/>
      <c r="Z25967" s="258"/>
    </row>
    <row r="25968" spans="1:26" ht="12.75" customHeight="1" x14ac:dyDescent="0.2">
      <c r="A25968" s="258"/>
      <c r="Z25968" s="258"/>
    </row>
    <row r="25969" spans="1:26" ht="12.75" customHeight="1" x14ac:dyDescent="0.2">
      <c r="A25969" s="258"/>
      <c r="Z25969" s="258"/>
    </row>
    <row r="25970" spans="1:26" ht="12.75" customHeight="1" x14ac:dyDescent="0.2">
      <c r="A25970" s="258"/>
      <c r="Z25970" s="258"/>
    </row>
    <row r="25971" spans="1:26" ht="12.75" customHeight="1" x14ac:dyDescent="0.2">
      <c r="A25971" s="258"/>
      <c r="Z25971" s="258"/>
    </row>
    <row r="25972" spans="1:26" ht="12.75" customHeight="1" x14ac:dyDescent="0.2">
      <c r="A25972" s="258"/>
      <c r="Z25972" s="258"/>
    </row>
    <row r="25973" spans="1:26" ht="12.75" customHeight="1" x14ac:dyDescent="0.2">
      <c r="A25973" s="258"/>
      <c r="Z25973" s="258"/>
    </row>
    <row r="25974" spans="1:26" ht="12.75" customHeight="1" x14ac:dyDescent="0.2">
      <c r="A25974" s="258"/>
      <c r="Z25974" s="258"/>
    </row>
    <row r="25975" spans="1:26" ht="12.75" customHeight="1" x14ac:dyDescent="0.2">
      <c r="A25975" s="258"/>
      <c r="Z25975" s="258"/>
    </row>
    <row r="25976" spans="1:26" ht="12.75" customHeight="1" x14ac:dyDescent="0.2">
      <c r="A25976" s="258"/>
      <c r="Z25976" s="258"/>
    </row>
    <row r="25977" spans="1:26" ht="12.75" customHeight="1" x14ac:dyDescent="0.2">
      <c r="A25977" s="258"/>
      <c r="Z25977" s="258"/>
    </row>
    <row r="25978" spans="1:26" ht="12.75" customHeight="1" x14ac:dyDescent="0.2">
      <c r="A25978" s="258"/>
      <c r="Z25978" s="258"/>
    </row>
    <row r="25979" spans="1:26" ht="12.75" customHeight="1" x14ac:dyDescent="0.2">
      <c r="A25979" s="258"/>
      <c r="Z25979" s="258"/>
    </row>
    <row r="25980" spans="1:26" ht="12.75" customHeight="1" x14ac:dyDescent="0.2">
      <c r="A25980" s="258"/>
      <c r="Z25980" s="258"/>
    </row>
    <row r="25981" spans="1:26" ht="12.75" customHeight="1" x14ac:dyDescent="0.2">
      <c r="A25981" s="258"/>
      <c r="Z25981" s="258"/>
    </row>
    <row r="25982" spans="1:26" ht="12.75" customHeight="1" x14ac:dyDescent="0.2">
      <c r="A25982" s="258"/>
      <c r="Z25982" s="258"/>
    </row>
    <row r="25983" spans="1:26" ht="12.75" customHeight="1" x14ac:dyDescent="0.2">
      <c r="A25983" s="258"/>
      <c r="Z25983" s="258"/>
    </row>
    <row r="25984" spans="1:26" ht="12.75" customHeight="1" x14ac:dyDescent="0.2">
      <c r="A25984" s="258"/>
      <c r="Z25984" s="258"/>
    </row>
    <row r="25985" spans="1:26" ht="12.75" customHeight="1" x14ac:dyDescent="0.2">
      <c r="A25985" s="258"/>
      <c r="Z25985" s="258"/>
    </row>
    <row r="25986" spans="1:26" ht="12.75" customHeight="1" x14ac:dyDescent="0.2">
      <c r="A25986" s="258"/>
      <c r="Z25986" s="258"/>
    </row>
    <row r="25987" spans="1:26" ht="12.75" customHeight="1" x14ac:dyDescent="0.2">
      <c r="A25987" s="258"/>
      <c r="Z25987" s="258"/>
    </row>
    <row r="25988" spans="1:26" ht="12.75" customHeight="1" x14ac:dyDescent="0.2">
      <c r="A25988" s="258"/>
      <c r="Z25988" s="258"/>
    </row>
    <row r="25989" spans="1:26" ht="12.75" customHeight="1" x14ac:dyDescent="0.2">
      <c r="A25989" s="258"/>
      <c r="Z25989" s="258"/>
    </row>
    <row r="25990" spans="1:26" ht="12.75" customHeight="1" x14ac:dyDescent="0.2">
      <c r="A25990" s="258"/>
      <c r="Z25990" s="258"/>
    </row>
    <row r="25991" spans="1:26" ht="12.75" customHeight="1" x14ac:dyDescent="0.2">
      <c r="A25991" s="258"/>
      <c r="Z25991" s="258"/>
    </row>
    <row r="25992" spans="1:26" ht="12.75" customHeight="1" x14ac:dyDescent="0.2">
      <c r="A25992" s="258"/>
      <c r="Z25992" s="258"/>
    </row>
    <row r="25993" spans="1:26" ht="12.75" customHeight="1" x14ac:dyDescent="0.2">
      <c r="A25993" s="258"/>
      <c r="Z25993" s="258"/>
    </row>
    <row r="25994" spans="1:26" ht="12.75" customHeight="1" x14ac:dyDescent="0.2">
      <c r="A25994" s="258"/>
      <c r="Z25994" s="258"/>
    </row>
    <row r="25995" spans="1:26" ht="12.75" customHeight="1" x14ac:dyDescent="0.2">
      <c r="A25995" s="258"/>
      <c r="Z25995" s="258"/>
    </row>
    <row r="25996" spans="1:26" ht="12.75" customHeight="1" x14ac:dyDescent="0.2">
      <c r="A25996" s="258"/>
      <c r="Z25996" s="258"/>
    </row>
    <row r="25997" spans="1:26" ht="12.75" customHeight="1" x14ac:dyDescent="0.2">
      <c r="A25997" s="258"/>
      <c r="Z25997" s="258"/>
    </row>
    <row r="25998" spans="1:26" ht="12.75" customHeight="1" x14ac:dyDescent="0.2">
      <c r="A25998" s="258"/>
      <c r="Z25998" s="258"/>
    </row>
    <row r="25999" spans="1:26" ht="12.75" customHeight="1" x14ac:dyDescent="0.2">
      <c r="A25999" s="258"/>
      <c r="Z25999" s="258"/>
    </row>
    <row r="26000" spans="1:26" ht="12.75" customHeight="1" x14ac:dyDescent="0.2">
      <c r="A26000" s="258"/>
      <c r="Z26000" s="258"/>
    </row>
    <row r="26001" spans="1:26" ht="12.75" customHeight="1" x14ac:dyDescent="0.2">
      <c r="A26001" s="258"/>
      <c r="Z26001" s="258"/>
    </row>
    <row r="26002" spans="1:26" ht="12.75" customHeight="1" x14ac:dyDescent="0.2">
      <c r="A26002" s="258"/>
      <c r="Z26002" s="258"/>
    </row>
    <row r="26003" spans="1:26" ht="12.75" customHeight="1" x14ac:dyDescent="0.2">
      <c r="A26003" s="258"/>
      <c r="Z26003" s="258"/>
    </row>
    <row r="26004" spans="1:26" ht="12.75" customHeight="1" x14ac:dyDescent="0.2">
      <c r="A26004" s="258"/>
      <c r="Z26004" s="258"/>
    </row>
    <row r="26005" spans="1:26" ht="12.75" customHeight="1" x14ac:dyDescent="0.2">
      <c r="A26005" s="258"/>
      <c r="Z26005" s="258"/>
    </row>
    <row r="26006" spans="1:26" ht="12.75" customHeight="1" x14ac:dyDescent="0.2">
      <c r="A26006" s="258"/>
      <c r="Z26006" s="258"/>
    </row>
    <row r="26007" spans="1:26" ht="12.75" customHeight="1" x14ac:dyDescent="0.2">
      <c r="A26007" s="258"/>
      <c r="Z26007" s="258"/>
    </row>
    <row r="26008" spans="1:26" ht="12.75" customHeight="1" x14ac:dyDescent="0.2">
      <c r="A26008" s="258"/>
      <c r="Z26008" s="258"/>
    </row>
    <row r="26009" spans="1:26" ht="12.75" customHeight="1" x14ac:dyDescent="0.2">
      <c r="A26009" s="258"/>
      <c r="Z26009" s="258"/>
    </row>
    <row r="26010" spans="1:26" ht="12.75" customHeight="1" x14ac:dyDescent="0.2">
      <c r="A26010" s="258"/>
      <c r="Z26010" s="258"/>
    </row>
    <row r="26011" spans="1:26" ht="12.75" customHeight="1" x14ac:dyDescent="0.2">
      <c r="A26011" s="258"/>
      <c r="Z26011" s="258"/>
    </row>
    <row r="26012" spans="1:26" ht="12.75" customHeight="1" x14ac:dyDescent="0.2">
      <c r="A26012" s="258"/>
      <c r="Z26012" s="258"/>
    </row>
    <row r="26013" spans="1:26" ht="12.75" customHeight="1" x14ac:dyDescent="0.2">
      <c r="A26013" s="258"/>
      <c r="Z26013" s="258"/>
    </row>
    <row r="26014" spans="1:26" ht="12.75" customHeight="1" x14ac:dyDescent="0.2">
      <c r="A26014" s="258"/>
      <c r="Z26014" s="258"/>
    </row>
    <row r="26015" spans="1:26" ht="12.75" customHeight="1" x14ac:dyDescent="0.2">
      <c r="A26015" s="258"/>
      <c r="Z26015" s="258"/>
    </row>
    <row r="26016" spans="1:26" ht="12.75" customHeight="1" x14ac:dyDescent="0.2">
      <c r="A26016" s="258"/>
      <c r="Z26016" s="258"/>
    </row>
    <row r="26017" spans="1:26" ht="12.75" customHeight="1" x14ac:dyDescent="0.2">
      <c r="A26017" s="258"/>
      <c r="Z26017" s="258"/>
    </row>
    <row r="26018" spans="1:26" ht="12.75" customHeight="1" x14ac:dyDescent="0.2">
      <c r="A26018" s="258"/>
      <c r="Z26018" s="258"/>
    </row>
    <row r="26019" spans="1:26" ht="12.75" customHeight="1" x14ac:dyDescent="0.2">
      <c r="A26019" s="258"/>
      <c r="Z26019" s="258"/>
    </row>
    <row r="26020" spans="1:26" ht="12.75" customHeight="1" x14ac:dyDescent="0.2">
      <c r="A26020" s="258"/>
      <c r="Z26020" s="258"/>
    </row>
    <row r="26021" spans="1:26" ht="12.75" customHeight="1" x14ac:dyDescent="0.2">
      <c r="A26021" s="258"/>
      <c r="Z26021" s="258"/>
    </row>
    <row r="26022" spans="1:26" ht="12.75" customHeight="1" x14ac:dyDescent="0.2">
      <c r="A26022" s="258"/>
      <c r="Z26022" s="258"/>
    </row>
    <row r="26023" spans="1:26" ht="12.75" customHeight="1" x14ac:dyDescent="0.2">
      <c r="A26023" s="258"/>
      <c r="Z26023" s="258"/>
    </row>
    <row r="26024" spans="1:26" ht="12.75" customHeight="1" x14ac:dyDescent="0.2">
      <c r="A26024" s="258"/>
      <c r="Z26024" s="258"/>
    </row>
    <row r="26025" spans="1:26" ht="12.75" customHeight="1" x14ac:dyDescent="0.2">
      <c r="A26025" s="258"/>
      <c r="Z26025" s="258"/>
    </row>
    <row r="26026" spans="1:26" ht="12.75" customHeight="1" x14ac:dyDescent="0.2">
      <c r="A26026" s="258"/>
      <c r="Z26026" s="258"/>
    </row>
    <row r="26027" spans="1:26" ht="12.75" customHeight="1" x14ac:dyDescent="0.2">
      <c r="A26027" s="258"/>
      <c r="Z26027" s="258"/>
    </row>
    <row r="26028" spans="1:26" ht="12.75" customHeight="1" x14ac:dyDescent="0.2">
      <c r="A26028" s="258"/>
      <c r="Z26028" s="258"/>
    </row>
    <row r="26029" spans="1:26" ht="12.75" customHeight="1" x14ac:dyDescent="0.2">
      <c r="A26029" s="258"/>
      <c r="Z26029" s="258"/>
    </row>
    <row r="26030" spans="1:26" ht="12.75" customHeight="1" x14ac:dyDescent="0.2">
      <c r="A26030" s="258"/>
      <c r="Z26030" s="258"/>
    </row>
    <row r="26031" spans="1:26" ht="12.75" customHeight="1" x14ac:dyDescent="0.2">
      <c r="A26031" s="258"/>
      <c r="Z26031" s="258"/>
    </row>
    <row r="26032" spans="1:26" ht="12.75" customHeight="1" x14ac:dyDescent="0.2">
      <c r="A26032" s="258"/>
      <c r="Z26032" s="258"/>
    </row>
    <row r="26033" spans="1:26" ht="12.75" customHeight="1" x14ac:dyDescent="0.2">
      <c r="A26033" s="258"/>
      <c r="Z26033" s="258"/>
    </row>
    <row r="26034" spans="1:26" ht="12.75" customHeight="1" x14ac:dyDescent="0.2">
      <c r="A26034" s="258"/>
      <c r="Z26034" s="258"/>
    </row>
    <row r="26035" spans="1:26" ht="12.75" customHeight="1" x14ac:dyDescent="0.2">
      <c r="A26035" s="258"/>
      <c r="Z26035" s="258"/>
    </row>
    <row r="26036" spans="1:26" ht="12.75" customHeight="1" x14ac:dyDescent="0.2">
      <c r="A26036" s="258"/>
      <c r="Z26036" s="258"/>
    </row>
    <row r="26037" spans="1:26" ht="12.75" customHeight="1" x14ac:dyDescent="0.2">
      <c r="A26037" s="258"/>
      <c r="Z26037" s="258"/>
    </row>
    <row r="26038" spans="1:26" ht="12.75" customHeight="1" x14ac:dyDescent="0.2">
      <c r="A26038" s="258"/>
      <c r="Z26038" s="258"/>
    </row>
    <row r="26039" spans="1:26" ht="12.75" customHeight="1" x14ac:dyDescent="0.2">
      <c r="A26039" s="258"/>
      <c r="Z26039" s="258"/>
    </row>
    <row r="26040" spans="1:26" ht="12.75" customHeight="1" x14ac:dyDescent="0.2">
      <c r="A26040" s="258"/>
      <c r="Z26040" s="258"/>
    </row>
    <row r="26041" spans="1:26" ht="12.75" customHeight="1" x14ac:dyDescent="0.2">
      <c r="A26041" s="258"/>
      <c r="Z26041" s="258"/>
    </row>
    <row r="26042" spans="1:26" ht="12.75" customHeight="1" x14ac:dyDescent="0.2">
      <c r="A26042" s="258"/>
      <c r="Z26042" s="258"/>
    </row>
    <row r="26043" spans="1:26" ht="12.75" customHeight="1" x14ac:dyDescent="0.2">
      <c r="A26043" s="258"/>
      <c r="Z26043" s="258"/>
    </row>
    <row r="26044" spans="1:26" ht="12.75" customHeight="1" x14ac:dyDescent="0.2">
      <c r="A26044" s="258"/>
      <c r="Z26044" s="258"/>
    </row>
    <row r="26045" spans="1:26" ht="12.75" customHeight="1" x14ac:dyDescent="0.2">
      <c r="A26045" s="258"/>
      <c r="Z26045" s="258"/>
    </row>
    <row r="26046" spans="1:26" ht="12.75" customHeight="1" x14ac:dyDescent="0.2">
      <c r="A26046" s="258"/>
      <c r="Z26046" s="258"/>
    </row>
    <row r="26047" spans="1:26" ht="12.75" customHeight="1" x14ac:dyDescent="0.2">
      <c r="A26047" s="258"/>
      <c r="Z26047" s="258"/>
    </row>
    <row r="26048" spans="1:26" ht="12.75" customHeight="1" x14ac:dyDescent="0.2">
      <c r="A26048" s="258"/>
      <c r="Z26048" s="258"/>
    </row>
    <row r="26049" spans="1:26" ht="12.75" customHeight="1" x14ac:dyDescent="0.2">
      <c r="A26049" s="258"/>
      <c r="Z26049" s="258"/>
    </row>
    <row r="26050" spans="1:26" ht="12.75" customHeight="1" x14ac:dyDescent="0.2">
      <c r="A26050" s="258"/>
      <c r="Z26050" s="258"/>
    </row>
    <row r="26051" spans="1:26" ht="12.75" customHeight="1" x14ac:dyDescent="0.2">
      <c r="A26051" s="258"/>
      <c r="Z26051" s="258"/>
    </row>
    <row r="26052" spans="1:26" ht="12.75" customHeight="1" x14ac:dyDescent="0.2">
      <c r="A26052" s="258"/>
      <c r="Z26052" s="258"/>
    </row>
    <row r="26053" spans="1:26" ht="12.75" customHeight="1" x14ac:dyDescent="0.2">
      <c r="A26053" s="258"/>
      <c r="Z26053" s="258"/>
    </row>
    <row r="26054" spans="1:26" ht="12.75" customHeight="1" x14ac:dyDescent="0.2">
      <c r="A26054" s="258"/>
      <c r="Z26054" s="258"/>
    </row>
    <row r="26055" spans="1:26" ht="12.75" customHeight="1" x14ac:dyDescent="0.2">
      <c r="A26055" s="258"/>
      <c r="Z26055" s="258"/>
    </row>
    <row r="26056" spans="1:26" ht="12.75" customHeight="1" x14ac:dyDescent="0.2">
      <c r="A26056" s="258"/>
      <c r="Z26056" s="258"/>
    </row>
    <row r="26057" spans="1:26" ht="12.75" customHeight="1" x14ac:dyDescent="0.2">
      <c r="A26057" s="258"/>
      <c r="Z26057" s="258"/>
    </row>
    <row r="26058" spans="1:26" ht="12.75" customHeight="1" x14ac:dyDescent="0.2">
      <c r="A26058" s="258"/>
      <c r="Z26058" s="258"/>
    </row>
    <row r="26059" spans="1:26" ht="12.75" customHeight="1" x14ac:dyDescent="0.2">
      <c r="A26059" s="258"/>
      <c r="Z26059" s="258"/>
    </row>
    <row r="26060" spans="1:26" ht="12.75" customHeight="1" x14ac:dyDescent="0.2">
      <c r="A26060" s="258"/>
      <c r="Z26060" s="258"/>
    </row>
    <row r="26061" spans="1:26" ht="12.75" customHeight="1" x14ac:dyDescent="0.2">
      <c r="A26061" s="258"/>
      <c r="Z26061" s="258"/>
    </row>
    <row r="26062" spans="1:26" ht="12.75" customHeight="1" x14ac:dyDescent="0.2">
      <c r="A26062" s="258"/>
      <c r="Z26062" s="258"/>
    </row>
    <row r="26063" spans="1:26" ht="12.75" customHeight="1" x14ac:dyDescent="0.2">
      <c r="A26063" s="258"/>
      <c r="Z26063" s="258"/>
    </row>
    <row r="26064" spans="1:26" ht="12.75" customHeight="1" x14ac:dyDescent="0.2">
      <c r="A26064" s="258"/>
      <c r="Z26064" s="258"/>
    </row>
    <row r="26065" spans="1:26" ht="12.75" customHeight="1" x14ac:dyDescent="0.2">
      <c r="A26065" s="258"/>
      <c r="Z26065" s="258"/>
    </row>
    <row r="26066" spans="1:26" ht="12.75" customHeight="1" x14ac:dyDescent="0.2">
      <c r="A26066" s="258"/>
      <c r="Z26066" s="258"/>
    </row>
    <row r="26067" spans="1:26" ht="12.75" customHeight="1" x14ac:dyDescent="0.2">
      <c r="A26067" s="258"/>
      <c r="Z26067" s="258"/>
    </row>
    <row r="26068" spans="1:26" ht="12.75" customHeight="1" x14ac:dyDescent="0.2">
      <c r="A26068" s="258"/>
      <c r="Z26068" s="258"/>
    </row>
    <row r="26069" spans="1:26" ht="12.75" customHeight="1" x14ac:dyDescent="0.2">
      <c r="A26069" s="258"/>
      <c r="Z26069" s="258"/>
    </row>
    <row r="26070" spans="1:26" ht="12.75" customHeight="1" x14ac:dyDescent="0.2">
      <c r="A26070" s="258"/>
      <c r="Z26070" s="258"/>
    </row>
    <row r="26071" spans="1:26" ht="12.75" customHeight="1" x14ac:dyDescent="0.2">
      <c r="A26071" s="258"/>
      <c r="Z26071" s="258"/>
    </row>
    <row r="26072" spans="1:26" ht="12.75" customHeight="1" x14ac:dyDescent="0.2">
      <c r="A26072" s="258"/>
      <c r="Z26072" s="258"/>
    </row>
    <row r="26073" spans="1:26" ht="12.75" customHeight="1" x14ac:dyDescent="0.2">
      <c r="A26073" s="258"/>
      <c r="Z26073" s="258"/>
    </row>
    <row r="26074" spans="1:26" ht="12.75" customHeight="1" x14ac:dyDescent="0.2">
      <c r="A26074" s="258"/>
      <c r="Z26074" s="258"/>
    </row>
    <row r="26075" spans="1:26" ht="12.75" customHeight="1" x14ac:dyDescent="0.2">
      <c r="A26075" s="258"/>
      <c r="Z26075" s="258"/>
    </row>
    <row r="26076" spans="1:26" ht="12.75" customHeight="1" x14ac:dyDescent="0.2">
      <c r="A26076" s="258"/>
      <c r="Z26076" s="258"/>
    </row>
    <row r="26077" spans="1:26" ht="12.75" customHeight="1" x14ac:dyDescent="0.2">
      <c r="A26077" s="258"/>
      <c r="Z26077" s="258"/>
    </row>
    <row r="26078" spans="1:26" ht="12.75" customHeight="1" x14ac:dyDescent="0.2">
      <c r="A26078" s="258"/>
      <c r="Z26078" s="258"/>
    </row>
    <row r="26079" spans="1:26" ht="12.75" customHeight="1" x14ac:dyDescent="0.2">
      <c r="A26079" s="258"/>
      <c r="Z26079" s="258"/>
    </row>
    <row r="26080" spans="1:26" ht="12.75" customHeight="1" x14ac:dyDescent="0.2">
      <c r="A26080" s="258"/>
      <c r="Z26080" s="258"/>
    </row>
    <row r="26081" spans="1:26" ht="12.75" customHeight="1" x14ac:dyDescent="0.2">
      <c r="A26081" s="258"/>
      <c r="Z26081" s="258"/>
    </row>
    <row r="26082" spans="1:26" ht="12.75" customHeight="1" x14ac:dyDescent="0.2">
      <c r="A26082" s="258"/>
      <c r="Z26082" s="258"/>
    </row>
    <row r="26083" spans="1:26" ht="12.75" customHeight="1" x14ac:dyDescent="0.2">
      <c r="A26083" s="258"/>
      <c r="Z26083" s="258"/>
    </row>
    <row r="26084" spans="1:26" ht="12.75" customHeight="1" x14ac:dyDescent="0.2">
      <c r="A26084" s="258"/>
      <c r="Z26084" s="258"/>
    </row>
    <row r="26085" spans="1:26" ht="12.75" customHeight="1" x14ac:dyDescent="0.2">
      <c r="A26085" s="258"/>
      <c r="Z26085" s="258"/>
    </row>
    <row r="26086" spans="1:26" ht="12.75" customHeight="1" x14ac:dyDescent="0.2">
      <c r="A26086" s="258"/>
      <c r="Z26086" s="258"/>
    </row>
    <row r="26087" spans="1:26" ht="12.75" customHeight="1" x14ac:dyDescent="0.2">
      <c r="A26087" s="258"/>
      <c r="Z26087" s="258"/>
    </row>
    <row r="26088" spans="1:26" ht="12.75" customHeight="1" x14ac:dyDescent="0.2">
      <c r="A26088" s="258"/>
      <c r="Z26088" s="258"/>
    </row>
    <row r="26089" spans="1:26" ht="12.75" customHeight="1" x14ac:dyDescent="0.2">
      <c r="A26089" s="258"/>
      <c r="Z26089" s="258"/>
    </row>
    <row r="26090" spans="1:26" ht="12.75" customHeight="1" x14ac:dyDescent="0.2">
      <c r="A26090" s="258"/>
      <c r="Z26090" s="258"/>
    </row>
    <row r="26091" spans="1:26" ht="12.75" customHeight="1" x14ac:dyDescent="0.2">
      <c r="A26091" s="258"/>
      <c r="Z26091" s="258"/>
    </row>
    <row r="26092" spans="1:26" ht="12.75" customHeight="1" x14ac:dyDescent="0.2">
      <c r="A26092" s="258"/>
      <c r="Z26092" s="258"/>
    </row>
    <row r="26093" spans="1:26" ht="12.75" customHeight="1" x14ac:dyDescent="0.2">
      <c r="A26093" s="258"/>
      <c r="Z26093" s="258"/>
    </row>
    <row r="26094" spans="1:26" ht="12.75" customHeight="1" x14ac:dyDescent="0.2">
      <c r="A26094" s="258"/>
      <c r="Z26094" s="258"/>
    </row>
    <row r="26095" spans="1:26" ht="12.75" customHeight="1" x14ac:dyDescent="0.2">
      <c r="A26095" s="258"/>
      <c r="Z26095" s="258"/>
    </row>
    <row r="26096" spans="1:26" ht="12.75" customHeight="1" x14ac:dyDescent="0.2">
      <c r="A26096" s="258"/>
      <c r="Z26096" s="258"/>
    </row>
    <row r="26097" spans="1:26" ht="12.75" customHeight="1" x14ac:dyDescent="0.2">
      <c r="A26097" s="258"/>
      <c r="Z26097" s="258"/>
    </row>
    <row r="26098" spans="1:26" ht="12.75" customHeight="1" x14ac:dyDescent="0.2">
      <c r="A26098" s="258"/>
      <c r="Z26098" s="258"/>
    </row>
    <row r="26099" spans="1:26" ht="12.75" customHeight="1" x14ac:dyDescent="0.2">
      <c r="A26099" s="258"/>
      <c r="Z26099" s="258"/>
    </row>
    <row r="26100" spans="1:26" ht="12.75" customHeight="1" x14ac:dyDescent="0.2">
      <c r="A26100" s="258"/>
      <c r="Z26100" s="258"/>
    </row>
    <row r="26101" spans="1:26" ht="12.75" customHeight="1" x14ac:dyDescent="0.2">
      <c r="A26101" s="258"/>
      <c r="Z26101" s="258"/>
    </row>
    <row r="26102" spans="1:26" ht="12.75" customHeight="1" x14ac:dyDescent="0.2">
      <c r="A26102" s="258"/>
      <c r="Z26102" s="258"/>
    </row>
    <row r="26103" spans="1:26" ht="12.75" customHeight="1" x14ac:dyDescent="0.2">
      <c r="A26103" s="258"/>
      <c r="Z26103" s="258"/>
    </row>
    <row r="26104" spans="1:26" ht="12.75" customHeight="1" x14ac:dyDescent="0.2">
      <c r="A26104" s="258"/>
      <c r="Z26104" s="258"/>
    </row>
    <row r="26105" spans="1:26" ht="12.75" customHeight="1" x14ac:dyDescent="0.2">
      <c r="A26105" s="258"/>
      <c r="Z26105" s="258"/>
    </row>
    <row r="26106" spans="1:26" ht="12.75" customHeight="1" x14ac:dyDescent="0.2">
      <c r="A26106" s="258"/>
      <c r="Z26106" s="258"/>
    </row>
    <row r="26107" spans="1:26" ht="12.75" customHeight="1" x14ac:dyDescent="0.2">
      <c r="A26107" s="258"/>
      <c r="Z26107" s="258"/>
    </row>
    <row r="26108" spans="1:26" ht="12.75" customHeight="1" x14ac:dyDescent="0.2">
      <c r="A26108" s="258"/>
      <c r="Z26108" s="258"/>
    </row>
    <row r="26109" spans="1:26" ht="12.75" customHeight="1" x14ac:dyDescent="0.2">
      <c r="A26109" s="258"/>
      <c r="Z26109" s="258"/>
    </row>
    <row r="26110" spans="1:26" ht="12.75" customHeight="1" x14ac:dyDescent="0.2">
      <c r="A26110" s="258"/>
      <c r="Z26110" s="258"/>
    </row>
    <row r="26111" spans="1:26" ht="12.75" customHeight="1" x14ac:dyDescent="0.2">
      <c r="A26111" s="258"/>
      <c r="Z26111" s="258"/>
    </row>
    <row r="26112" spans="1:26" ht="12.75" customHeight="1" x14ac:dyDescent="0.2">
      <c r="A26112" s="258"/>
      <c r="Z26112" s="258"/>
    </row>
    <row r="26113" spans="1:26" ht="12.75" customHeight="1" x14ac:dyDescent="0.2">
      <c r="A26113" s="258"/>
      <c r="Z26113" s="258"/>
    </row>
    <row r="26114" spans="1:26" ht="12.75" customHeight="1" x14ac:dyDescent="0.2">
      <c r="A26114" s="258"/>
      <c r="Z26114" s="258"/>
    </row>
    <row r="26115" spans="1:26" ht="12.75" customHeight="1" x14ac:dyDescent="0.2">
      <c r="A26115" s="258"/>
      <c r="Z26115" s="258"/>
    </row>
    <row r="26116" spans="1:26" ht="12.75" customHeight="1" x14ac:dyDescent="0.2">
      <c r="A26116" s="258"/>
      <c r="Z26116" s="258"/>
    </row>
    <row r="26117" spans="1:26" ht="12.75" customHeight="1" x14ac:dyDescent="0.2">
      <c r="A26117" s="258"/>
      <c r="Z26117" s="258"/>
    </row>
    <row r="26118" spans="1:26" ht="12.75" customHeight="1" x14ac:dyDescent="0.2">
      <c r="A26118" s="258"/>
      <c r="Z26118" s="258"/>
    </row>
    <row r="26119" spans="1:26" ht="12.75" customHeight="1" x14ac:dyDescent="0.2">
      <c r="A26119" s="258"/>
      <c r="Z26119" s="258"/>
    </row>
    <row r="26120" spans="1:26" ht="12.75" customHeight="1" x14ac:dyDescent="0.2">
      <c r="A26120" s="258"/>
      <c r="Z26120" s="258"/>
    </row>
    <row r="26121" spans="1:26" ht="12.75" customHeight="1" x14ac:dyDescent="0.2">
      <c r="A26121" s="258"/>
      <c r="Z26121" s="258"/>
    </row>
    <row r="26122" spans="1:26" ht="12.75" customHeight="1" x14ac:dyDescent="0.2">
      <c r="A26122" s="258"/>
      <c r="Z26122" s="258"/>
    </row>
    <row r="26123" spans="1:26" ht="12.75" customHeight="1" x14ac:dyDescent="0.2">
      <c r="A26123" s="258"/>
      <c r="Z26123" s="258"/>
    </row>
    <row r="26124" spans="1:26" ht="12.75" customHeight="1" x14ac:dyDescent="0.2">
      <c r="A26124" s="258"/>
      <c r="Z26124" s="258"/>
    </row>
    <row r="26125" spans="1:26" ht="12.75" customHeight="1" x14ac:dyDescent="0.2">
      <c r="A26125" s="258"/>
      <c r="Z26125" s="258"/>
    </row>
    <row r="26126" spans="1:26" ht="12.75" customHeight="1" x14ac:dyDescent="0.2">
      <c r="A26126" s="258"/>
      <c r="Z26126" s="258"/>
    </row>
    <row r="26127" spans="1:26" ht="12.75" customHeight="1" x14ac:dyDescent="0.2">
      <c r="A26127" s="258"/>
      <c r="Z26127" s="258"/>
    </row>
    <row r="26128" spans="1:26" ht="12.75" customHeight="1" x14ac:dyDescent="0.2">
      <c r="A26128" s="258"/>
      <c r="Z26128" s="258"/>
    </row>
    <row r="26129" spans="1:26" ht="12.75" customHeight="1" x14ac:dyDescent="0.2">
      <c r="A26129" s="258"/>
      <c r="Z26129" s="258"/>
    </row>
    <row r="26130" spans="1:26" ht="12.75" customHeight="1" x14ac:dyDescent="0.2">
      <c r="A26130" s="258"/>
      <c r="Z26130" s="258"/>
    </row>
    <row r="26131" spans="1:26" ht="12.75" customHeight="1" x14ac:dyDescent="0.2">
      <c r="A26131" s="258"/>
      <c r="Z26131" s="258"/>
    </row>
    <row r="26132" spans="1:26" ht="12.75" customHeight="1" x14ac:dyDescent="0.2">
      <c r="A26132" s="258"/>
      <c r="Z26132" s="258"/>
    </row>
    <row r="26133" spans="1:26" ht="12.75" customHeight="1" x14ac:dyDescent="0.2">
      <c r="A26133" s="258"/>
      <c r="Z26133" s="258"/>
    </row>
    <row r="26134" spans="1:26" ht="12.75" customHeight="1" x14ac:dyDescent="0.2">
      <c r="A26134" s="258"/>
      <c r="Z26134" s="258"/>
    </row>
    <row r="26135" spans="1:26" ht="12.75" customHeight="1" x14ac:dyDescent="0.2">
      <c r="A26135" s="258"/>
      <c r="Z26135" s="258"/>
    </row>
    <row r="26136" spans="1:26" ht="12.75" customHeight="1" x14ac:dyDescent="0.2">
      <c r="A26136" s="258"/>
      <c r="Z26136" s="258"/>
    </row>
    <row r="26137" spans="1:26" ht="12.75" customHeight="1" x14ac:dyDescent="0.2">
      <c r="A26137" s="258"/>
      <c r="Z26137" s="258"/>
    </row>
    <row r="26138" spans="1:26" ht="12.75" customHeight="1" x14ac:dyDescent="0.2">
      <c r="A26138" s="258"/>
      <c r="Z26138" s="258"/>
    </row>
    <row r="26139" spans="1:26" ht="12.75" customHeight="1" x14ac:dyDescent="0.2">
      <c r="A26139" s="258"/>
      <c r="Z26139" s="258"/>
    </row>
    <row r="26140" spans="1:26" ht="12.75" customHeight="1" x14ac:dyDescent="0.2">
      <c r="A26140" s="258"/>
      <c r="Z26140" s="258"/>
    </row>
    <row r="26141" spans="1:26" ht="12.75" customHeight="1" x14ac:dyDescent="0.2">
      <c r="A26141" s="258"/>
      <c r="Z26141" s="258"/>
    </row>
    <row r="26142" spans="1:26" ht="12.75" customHeight="1" x14ac:dyDescent="0.2">
      <c r="A26142" s="258"/>
      <c r="Z26142" s="258"/>
    </row>
    <row r="26143" spans="1:26" ht="12.75" customHeight="1" x14ac:dyDescent="0.2">
      <c r="A26143" s="258"/>
      <c r="Z26143" s="258"/>
    </row>
    <row r="26144" spans="1:26" ht="12.75" customHeight="1" x14ac:dyDescent="0.2">
      <c r="A26144" s="258"/>
      <c r="Z26144" s="258"/>
    </row>
    <row r="26145" spans="1:26" ht="12.75" customHeight="1" x14ac:dyDescent="0.2">
      <c r="A26145" s="258"/>
      <c r="Z26145" s="258"/>
    </row>
    <row r="26146" spans="1:26" ht="12.75" customHeight="1" x14ac:dyDescent="0.2">
      <c r="A26146" s="258"/>
      <c r="Z26146" s="258"/>
    </row>
    <row r="26147" spans="1:26" ht="12.75" customHeight="1" x14ac:dyDescent="0.2">
      <c r="A26147" s="258"/>
      <c r="Z26147" s="258"/>
    </row>
    <row r="26148" spans="1:26" ht="12.75" customHeight="1" x14ac:dyDescent="0.2">
      <c r="A26148" s="258"/>
      <c r="Z26148" s="258"/>
    </row>
    <row r="26149" spans="1:26" ht="12.75" customHeight="1" x14ac:dyDescent="0.2">
      <c r="A26149" s="258"/>
      <c r="Z26149" s="258"/>
    </row>
    <row r="26150" spans="1:26" ht="12.75" customHeight="1" x14ac:dyDescent="0.2">
      <c r="A26150" s="258"/>
      <c r="Z26150" s="258"/>
    </row>
    <row r="26151" spans="1:26" ht="12.75" customHeight="1" x14ac:dyDescent="0.2">
      <c r="A26151" s="258"/>
      <c r="Z26151" s="258"/>
    </row>
    <row r="26152" spans="1:26" ht="12.75" customHeight="1" x14ac:dyDescent="0.2">
      <c r="A26152" s="258"/>
      <c r="Z26152" s="258"/>
    </row>
    <row r="26153" spans="1:26" ht="12.75" customHeight="1" x14ac:dyDescent="0.2">
      <c r="A26153" s="258"/>
      <c r="Z26153" s="258"/>
    </row>
    <row r="26154" spans="1:26" ht="12.75" customHeight="1" x14ac:dyDescent="0.2">
      <c r="A26154" s="258"/>
      <c r="Z26154" s="258"/>
    </row>
    <row r="26155" spans="1:26" ht="12.75" customHeight="1" x14ac:dyDescent="0.2">
      <c r="A26155" s="258"/>
      <c r="Z26155" s="258"/>
    </row>
    <row r="26156" spans="1:26" ht="12.75" customHeight="1" x14ac:dyDescent="0.2">
      <c r="A26156" s="258"/>
      <c r="Z26156" s="258"/>
    </row>
    <row r="26157" spans="1:26" ht="12.75" customHeight="1" x14ac:dyDescent="0.2">
      <c r="A26157" s="258"/>
      <c r="Z26157" s="258"/>
    </row>
    <row r="26158" spans="1:26" ht="12.75" customHeight="1" x14ac:dyDescent="0.2">
      <c r="A26158" s="258"/>
      <c r="Z26158" s="258"/>
    </row>
    <row r="26159" spans="1:26" ht="12.75" customHeight="1" x14ac:dyDescent="0.2">
      <c r="A26159" s="258"/>
      <c r="Z26159" s="258"/>
    </row>
    <row r="26160" spans="1:26" ht="12.75" customHeight="1" x14ac:dyDescent="0.2">
      <c r="A26160" s="258"/>
      <c r="Z26160" s="258"/>
    </row>
    <row r="26161" spans="1:26" ht="12.75" customHeight="1" x14ac:dyDescent="0.2">
      <c r="A26161" s="258"/>
      <c r="Z26161" s="258"/>
    </row>
    <row r="26162" spans="1:26" ht="12.75" customHeight="1" x14ac:dyDescent="0.2">
      <c r="A26162" s="258"/>
      <c r="Z26162" s="258"/>
    </row>
    <row r="26163" spans="1:26" ht="12.75" customHeight="1" x14ac:dyDescent="0.2">
      <c r="A26163" s="258"/>
      <c r="Z26163" s="258"/>
    </row>
    <row r="26164" spans="1:26" ht="12.75" customHeight="1" x14ac:dyDescent="0.2">
      <c r="A26164" s="258"/>
      <c r="Z26164" s="258"/>
    </row>
    <row r="26165" spans="1:26" ht="12.75" customHeight="1" x14ac:dyDescent="0.2">
      <c r="A26165" s="258"/>
      <c r="Z26165" s="258"/>
    </row>
    <row r="26166" spans="1:26" ht="12.75" customHeight="1" x14ac:dyDescent="0.2">
      <c r="A26166" s="258"/>
      <c r="Z26166" s="258"/>
    </row>
    <row r="26167" spans="1:26" ht="12.75" customHeight="1" x14ac:dyDescent="0.2">
      <c r="A26167" s="258"/>
      <c r="Z26167" s="258"/>
    </row>
    <row r="26168" spans="1:26" ht="12.75" customHeight="1" x14ac:dyDescent="0.2">
      <c r="A26168" s="258"/>
      <c r="Z26168" s="258"/>
    </row>
    <row r="26169" spans="1:26" ht="12.75" customHeight="1" x14ac:dyDescent="0.2">
      <c r="A26169" s="258"/>
      <c r="Z26169" s="258"/>
    </row>
    <row r="26170" spans="1:26" ht="12.75" customHeight="1" x14ac:dyDescent="0.2">
      <c r="A26170" s="258"/>
      <c r="Z26170" s="258"/>
    </row>
    <row r="26171" spans="1:26" ht="12.75" customHeight="1" x14ac:dyDescent="0.2">
      <c r="A26171" s="258"/>
      <c r="Z26171" s="258"/>
    </row>
    <row r="26172" spans="1:26" ht="12.75" customHeight="1" x14ac:dyDescent="0.2">
      <c r="A26172" s="258"/>
      <c r="Z26172" s="258"/>
    </row>
    <row r="26173" spans="1:26" ht="12.75" customHeight="1" x14ac:dyDescent="0.2">
      <c r="A26173" s="258"/>
      <c r="Z26173" s="258"/>
    </row>
    <row r="26174" spans="1:26" ht="12.75" customHeight="1" x14ac:dyDescent="0.2">
      <c r="A26174" s="258"/>
      <c r="Z26174" s="258"/>
    </row>
    <row r="26175" spans="1:26" ht="12.75" customHeight="1" x14ac:dyDescent="0.2">
      <c r="A26175" s="258"/>
      <c r="Z26175" s="258"/>
    </row>
    <row r="26176" spans="1:26" ht="12.75" customHeight="1" x14ac:dyDescent="0.2">
      <c r="A26176" s="258"/>
      <c r="Z26176" s="258"/>
    </row>
    <row r="26177" spans="1:26" ht="12.75" customHeight="1" x14ac:dyDescent="0.2">
      <c r="A26177" s="258"/>
      <c r="Z26177" s="258"/>
    </row>
    <row r="26178" spans="1:26" ht="12.75" customHeight="1" x14ac:dyDescent="0.2">
      <c r="A26178" s="258"/>
      <c r="Z26178" s="258"/>
    </row>
    <row r="26179" spans="1:26" ht="12.75" customHeight="1" x14ac:dyDescent="0.2">
      <c r="A26179" s="258"/>
      <c r="Z26179" s="258"/>
    </row>
    <row r="26180" spans="1:26" ht="12.75" customHeight="1" x14ac:dyDescent="0.2">
      <c r="A26180" s="258"/>
      <c r="Z26180" s="258"/>
    </row>
    <row r="26181" spans="1:26" ht="12.75" customHeight="1" x14ac:dyDescent="0.2">
      <c r="A26181" s="258"/>
      <c r="Z26181" s="258"/>
    </row>
    <row r="26182" spans="1:26" ht="12.75" customHeight="1" x14ac:dyDescent="0.2">
      <c r="A26182" s="258"/>
      <c r="Z26182" s="258"/>
    </row>
    <row r="26183" spans="1:26" ht="12.75" customHeight="1" x14ac:dyDescent="0.2">
      <c r="A26183" s="258"/>
      <c r="Z26183" s="258"/>
    </row>
    <row r="26184" spans="1:26" ht="12.75" customHeight="1" x14ac:dyDescent="0.2">
      <c r="A26184" s="258"/>
      <c r="Z26184" s="258"/>
    </row>
    <row r="26185" spans="1:26" ht="12.75" customHeight="1" x14ac:dyDescent="0.2">
      <c r="A26185" s="258"/>
      <c r="Z26185" s="258"/>
    </row>
    <row r="26186" spans="1:26" ht="12.75" customHeight="1" x14ac:dyDescent="0.2">
      <c r="A26186" s="258"/>
      <c r="Z26186" s="258"/>
    </row>
    <row r="26187" spans="1:26" ht="12.75" customHeight="1" x14ac:dyDescent="0.2">
      <c r="A26187" s="258"/>
      <c r="Z26187" s="258"/>
    </row>
    <row r="26188" spans="1:26" ht="12.75" customHeight="1" x14ac:dyDescent="0.2">
      <c r="A26188" s="258"/>
      <c r="Z26188" s="258"/>
    </row>
    <row r="26189" spans="1:26" ht="12.75" customHeight="1" x14ac:dyDescent="0.2">
      <c r="A26189" s="258"/>
      <c r="Z26189" s="258"/>
    </row>
    <row r="26190" spans="1:26" ht="12.75" customHeight="1" x14ac:dyDescent="0.2">
      <c r="A26190" s="258"/>
      <c r="Z26190" s="258"/>
    </row>
    <row r="26191" spans="1:26" ht="12.75" customHeight="1" x14ac:dyDescent="0.2">
      <c r="A26191" s="258"/>
      <c r="Z26191" s="258"/>
    </row>
    <row r="26192" spans="1:26" ht="12.75" customHeight="1" x14ac:dyDescent="0.2">
      <c r="A26192" s="258"/>
      <c r="Z26192" s="258"/>
    </row>
    <row r="26193" spans="1:26" ht="12.75" customHeight="1" x14ac:dyDescent="0.2">
      <c r="A26193" s="258"/>
      <c r="Z26193" s="258"/>
    </row>
    <row r="26194" spans="1:26" ht="12.75" customHeight="1" x14ac:dyDescent="0.2">
      <c r="A26194" s="258"/>
      <c r="Z26194" s="258"/>
    </row>
    <row r="26195" spans="1:26" ht="12.75" customHeight="1" x14ac:dyDescent="0.2">
      <c r="A26195" s="258"/>
      <c r="Z26195" s="258"/>
    </row>
    <row r="26196" spans="1:26" ht="12.75" customHeight="1" x14ac:dyDescent="0.2">
      <c r="A26196" s="258"/>
      <c r="Z26196" s="258"/>
    </row>
    <row r="26197" spans="1:26" ht="12.75" customHeight="1" x14ac:dyDescent="0.2">
      <c r="A26197" s="258"/>
      <c r="Z26197" s="258"/>
    </row>
    <row r="26198" spans="1:26" ht="12.75" customHeight="1" x14ac:dyDescent="0.2">
      <c r="A26198" s="258"/>
      <c r="Z26198" s="258"/>
    </row>
    <row r="26199" spans="1:26" ht="12.75" customHeight="1" x14ac:dyDescent="0.2">
      <c r="A26199" s="258"/>
      <c r="Z26199" s="258"/>
    </row>
    <row r="26200" spans="1:26" ht="12.75" customHeight="1" x14ac:dyDescent="0.2">
      <c r="A26200" s="258"/>
      <c r="Z26200" s="258"/>
    </row>
    <row r="26201" spans="1:26" ht="12.75" customHeight="1" x14ac:dyDescent="0.2">
      <c r="A26201" s="258"/>
      <c r="Z26201" s="258"/>
    </row>
    <row r="26202" spans="1:26" ht="12.75" customHeight="1" x14ac:dyDescent="0.2">
      <c r="A26202" s="258"/>
      <c r="Z26202" s="258"/>
    </row>
    <row r="26203" spans="1:26" ht="12.75" customHeight="1" x14ac:dyDescent="0.2">
      <c r="A26203" s="258"/>
      <c r="Z26203" s="258"/>
    </row>
    <row r="26204" spans="1:26" ht="12.75" customHeight="1" x14ac:dyDescent="0.2">
      <c r="A26204" s="258"/>
      <c r="Z26204" s="258"/>
    </row>
    <row r="26205" spans="1:26" ht="12.75" customHeight="1" x14ac:dyDescent="0.2">
      <c r="A26205" s="258"/>
      <c r="Z26205" s="258"/>
    </row>
    <row r="26206" spans="1:26" ht="12.75" customHeight="1" x14ac:dyDescent="0.2">
      <c r="A26206" s="258"/>
      <c r="Z26206" s="258"/>
    </row>
    <row r="26207" spans="1:26" ht="12.75" customHeight="1" x14ac:dyDescent="0.2">
      <c r="A26207" s="258"/>
      <c r="Z26207" s="258"/>
    </row>
    <row r="26208" spans="1:26" ht="12.75" customHeight="1" x14ac:dyDescent="0.2">
      <c r="A26208" s="258"/>
      <c r="Z26208" s="258"/>
    </row>
    <row r="26209" spans="1:26" ht="12.75" customHeight="1" x14ac:dyDescent="0.2">
      <c r="A26209" s="258"/>
      <c r="Z26209" s="258"/>
    </row>
    <row r="26210" spans="1:26" ht="12.75" customHeight="1" x14ac:dyDescent="0.2">
      <c r="A26210" s="258"/>
      <c r="Z26210" s="258"/>
    </row>
    <row r="26211" spans="1:26" ht="12.75" customHeight="1" x14ac:dyDescent="0.2">
      <c r="A26211" s="258"/>
      <c r="Z26211" s="258"/>
    </row>
    <row r="26212" spans="1:26" ht="12.75" customHeight="1" x14ac:dyDescent="0.2">
      <c r="A26212" s="258"/>
      <c r="Z26212" s="258"/>
    </row>
    <row r="26213" spans="1:26" ht="12.75" customHeight="1" x14ac:dyDescent="0.2">
      <c r="A26213" s="258"/>
      <c r="Z26213" s="258"/>
    </row>
    <row r="26214" spans="1:26" ht="12.75" customHeight="1" x14ac:dyDescent="0.2">
      <c r="A26214" s="258"/>
      <c r="Z26214" s="258"/>
    </row>
    <row r="26215" spans="1:26" ht="12.75" customHeight="1" x14ac:dyDescent="0.2">
      <c r="A26215" s="258"/>
      <c r="Z26215" s="258"/>
    </row>
    <row r="26216" spans="1:26" ht="12.75" customHeight="1" x14ac:dyDescent="0.2">
      <c r="A26216" s="258"/>
      <c r="Z26216" s="258"/>
    </row>
    <row r="26217" spans="1:26" ht="12.75" customHeight="1" x14ac:dyDescent="0.2">
      <c r="A26217" s="258"/>
      <c r="Z26217" s="258"/>
    </row>
    <row r="26218" spans="1:26" ht="12.75" customHeight="1" x14ac:dyDescent="0.2">
      <c r="A26218" s="258"/>
      <c r="Z26218" s="258"/>
    </row>
    <row r="26219" spans="1:26" ht="12.75" customHeight="1" x14ac:dyDescent="0.2">
      <c r="A26219" s="258"/>
      <c r="Z26219" s="258"/>
    </row>
    <row r="26220" spans="1:26" ht="12.75" customHeight="1" x14ac:dyDescent="0.2">
      <c r="A26220" s="258"/>
      <c r="Z26220" s="258"/>
    </row>
    <row r="26221" spans="1:26" ht="12.75" customHeight="1" x14ac:dyDescent="0.2">
      <c r="A26221" s="258"/>
      <c r="Z26221" s="258"/>
    </row>
    <row r="26222" spans="1:26" ht="12.75" customHeight="1" x14ac:dyDescent="0.2">
      <c r="A26222" s="258"/>
      <c r="Z26222" s="258"/>
    </row>
    <row r="26223" spans="1:26" ht="12.75" customHeight="1" x14ac:dyDescent="0.2">
      <c r="A26223" s="258"/>
      <c r="Z26223" s="258"/>
    </row>
    <row r="26224" spans="1:26" ht="12.75" customHeight="1" x14ac:dyDescent="0.2">
      <c r="A26224" s="258"/>
      <c r="Z26224" s="258"/>
    </row>
    <row r="26225" spans="1:26" ht="12.75" customHeight="1" x14ac:dyDescent="0.2">
      <c r="A26225" s="258"/>
      <c r="Z26225" s="258"/>
    </row>
    <row r="26226" spans="1:26" ht="12.75" customHeight="1" x14ac:dyDescent="0.2">
      <c r="A26226" s="258"/>
      <c r="Z26226" s="258"/>
    </row>
    <row r="26227" spans="1:26" ht="12.75" customHeight="1" x14ac:dyDescent="0.2">
      <c r="A26227" s="258"/>
      <c r="Z26227" s="258"/>
    </row>
    <row r="26228" spans="1:26" ht="12.75" customHeight="1" x14ac:dyDescent="0.2">
      <c r="A26228" s="258"/>
      <c r="Z26228" s="258"/>
    </row>
    <row r="26229" spans="1:26" ht="12.75" customHeight="1" x14ac:dyDescent="0.2">
      <c r="A26229" s="258"/>
      <c r="Z26229" s="258"/>
    </row>
    <row r="26230" spans="1:26" ht="12.75" customHeight="1" x14ac:dyDescent="0.2">
      <c r="A26230" s="258"/>
      <c r="Z26230" s="258"/>
    </row>
    <row r="26231" spans="1:26" ht="12.75" customHeight="1" x14ac:dyDescent="0.2">
      <c r="A26231" s="258"/>
      <c r="Z26231" s="258"/>
    </row>
    <row r="26232" spans="1:26" ht="12.75" customHeight="1" x14ac:dyDescent="0.2">
      <c r="A26232" s="258"/>
      <c r="Z26232" s="258"/>
    </row>
    <row r="26233" spans="1:26" ht="12.75" customHeight="1" x14ac:dyDescent="0.2">
      <c r="A26233" s="258"/>
      <c r="Z26233" s="258"/>
    </row>
    <row r="26234" spans="1:26" ht="12.75" customHeight="1" x14ac:dyDescent="0.2">
      <c r="A26234" s="258"/>
      <c r="Z26234" s="258"/>
    </row>
    <row r="26235" spans="1:26" ht="12.75" customHeight="1" x14ac:dyDescent="0.2">
      <c r="A26235" s="258"/>
      <c r="Z26235" s="258"/>
    </row>
    <row r="26236" spans="1:26" ht="12.75" customHeight="1" x14ac:dyDescent="0.2">
      <c r="A26236" s="258"/>
      <c r="Z26236" s="258"/>
    </row>
    <row r="26237" spans="1:26" ht="12.75" customHeight="1" x14ac:dyDescent="0.2">
      <c r="A26237" s="258"/>
      <c r="Z26237" s="258"/>
    </row>
    <row r="26238" spans="1:26" ht="12.75" customHeight="1" x14ac:dyDescent="0.2">
      <c r="A26238" s="258"/>
      <c r="Z26238" s="258"/>
    </row>
    <row r="26239" spans="1:26" ht="12.75" customHeight="1" x14ac:dyDescent="0.2">
      <c r="A26239" s="258"/>
      <c r="Z26239" s="258"/>
    </row>
    <row r="26240" spans="1:26" ht="12.75" customHeight="1" x14ac:dyDescent="0.2">
      <c r="A26240" s="258"/>
      <c r="Z26240" s="258"/>
    </row>
    <row r="26241" spans="1:26" ht="12.75" customHeight="1" x14ac:dyDescent="0.2">
      <c r="A26241" s="258"/>
      <c r="Z26241" s="258"/>
    </row>
    <row r="26242" spans="1:26" ht="12.75" customHeight="1" x14ac:dyDescent="0.2">
      <c r="A26242" s="258"/>
      <c r="Z26242" s="258"/>
    </row>
    <row r="26243" spans="1:26" ht="12.75" customHeight="1" x14ac:dyDescent="0.2">
      <c r="A26243" s="258"/>
      <c r="Z26243" s="258"/>
    </row>
    <row r="26244" spans="1:26" ht="12.75" customHeight="1" x14ac:dyDescent="0.2">
      <c r="A26244" s="258"/>
      <c r="Z26244" s="258"/>
    </row>
    <row r="26245" spans="1:26" ht="12.75" customHeight="1" x14ac:dyDescent="0.2">
      <c r="A26245" s="258"/>
      <c r="Z26245" s="258"/>
    </row>
    <row r="26246" spans="1:26" ht="12.75" customHeight="1" x14ac:dyDescent="0.2">
      <c r="A26246" s="258"/>
      <c r="Z26246" s="258"/>
    </row>
    <row r="26247" spans="1:26" ht="12.75" customHeight="1" x14ac:dyDescent="0.2">
      <c r="A26247" s="258"/>
      <c r="Z26247" s="258"/>
    </row>
    <row r="26248" spans="1:26" ht="12.75" customHeight="1" x14ac:dyDescent="0.2">
      <c r="A26248" s="258"/>
      <c r="Z26248" s="258"/>
    </row>
    <row r="26249" spans="1:26" ht="12.75" customHeight="1" x14ac:dyDescent="0.2">
      <c r="A26249" s="258"/>
      <c r="Z26249" s="258"/>
    </row>
    <row r="26250" spans="1:26" ht="12.75" customHeight="1" x14ac:dyDescent="0.2">
      <c r="A26250" s="258"/>
      <c r="Z26250" s="258"/>
    </row>
    <row r="26251" spans="1:26" ht="12.75" customHeight="1" x14ac:dyDescent="0.2">
      <c r="A26251" s="258"/>
      <c r="Z26251" s="258"/>
    </row>
    <row r="26252" spans="1:26" ht="12.75" customHeight="1" x14ac:dyDescent="0.2">
      <c r="A26252" s="258"/>
      <c r="Z26252" s="258"/>
    </row>
    <row r="26253" spans="1:26" ht="12.75" customHeight="1" x14ac:dyDescent="0.2">
      <c r="A26253" s="258"/>
      <c r="Z26253" s="258"/>
    </row>
    <row r="26254" spans="1:26" ht="12.75" customHeight="1" x14ac:dyDescent="0.2">
      <c r="A26254" s="258"/>
      <c r="Z26254" s="258"/>
    </row>
    <row r="26255" spans="1:26" ht="12.75" customHeight="1" x14ac:dyDescent="0.2">
      <c r="A26255" s="258"/>
      <c r="Z26255" s="258"/>
    </row>
    <row r="26256" spans="1:26" ht="12.75" customHeight="1" x14ac:dyDescent="0.2">
      <c r="A26256" s="258"/>
      <c r="Z26256" s="258"/>
    </row>
    <row r="26257" spans="1:26" ht="12.75" customHeight="1" x14ac:dyDescent="0.2">
      <c r="A26257" s="258"/>
      <c r="Z26257" s="258"/>
    </row>
    <row r="26258" spans="1:26" ht="12.75" customHeight="1" x14ac:dyDescent="0.2">
      <c r="A26258" s="258"/>
      <c r="Z26258" s="258"/>
    </row>
    <row r="26259" spans="1:26" ht="12.75" customHeight="1" x14ac:dyDescent="0.2">
      <c r="A26259" s="258"/>
      <c r="Z26259" s="258"/>
    </row>
    <row r="26260" spans="1:26" ht="12.75" customHeight="1" x14ac:dyDescent="0.2">
      <c r="A26260" s="258"/>
      <c r="Z26260" s="258"/>
    </row>
    <row r="26261" spans="1:26" ht="12.75" customHeight="1" x14ac:dyDescent="0.2">
      <c r="A26261" s="258"/>
      <c r="Z26261" s="258"/>
    </row>
    <row r="26262" spans="1:26" ht="12.75" customHeight="1" x14ac:dyDescent="0.2">
      <c r="A26262" s="258"/>
      <c r="Z26262" s="258"/>
    </row>
    <row r="26263" spans="1:26" ht="12.75" customHeight="1" x14ac:dyDescent="0.2">
      <c r="A26263" s="258"/>
      <c r="Z26263" s="258"/>
    </row>
    <row r="26264" spans="1:26" ht="12.75" customHeight="1" x14ac:dyDescent="0.2">
      <c r="A26264" s="258"/>
      <c r="Z26264" s="258"/>
    </row>
    <row r="26265" spans="1:26" ht="12.75" customHeight="1" x14ac:dyDescent="0.2">
      <c r="A26265" s="258"/>
      <c r="Z26265" s="258"/>
    </row>
    <row r="26266" spans="1:26" ht="12.75" customHeight="1" x14ac:dyDescent="0.2">
      <c r="A26266" s="258"/>
      <c r="Z26266" s="258"/>
    </row>
    <row r="26267" spans="1:26" ht="12.75" customHeight="1" x14ac:dyDescent="0.2">
      <c r="A26267" s="258"/>
      <c r="Z26267" s="258"/>
    </row>
    <row r="26268" spans="1:26" ht="12.75" customHeight="1" x14ac:dyDescent="0.2">
      <c r="A26268" s="258"/>
      <c r="Z26268" s="258"/>
    </row>
    <row r="26269" spans="1:26" ht="12.75" customHeight="1" x14ac:dyDescent="0.2">
      <c r="A26269" s="258"/>
      <c r="Z26269" s="258"/>
    </row>
    <row r="26270" spans="1:26" ht="12.75" customHeight="1" x14ac:dyDescent="0.2">
      <c r="A26270" s="258"/>
      <c r="Z26270" s="258"/>
    </row>
    <row r="26271" spans="1:26" ht="12.75" customHeight="1" x14ac:dyDescent="0.2">
      <c r="A26271" s="258"/>
      <c r="Z26271" s="258"/>
    </row>
    <row r="26272" spans="1:26" ht="12.75" customHeight="1" x14ac:dyDescent="0.2">
      <c r="A26272" s="258"/>
      <c r="Z26272" s="258"/>
    </row>
    <row r="26273" spans="1:26" ht="12.75" customHeight="1" x14ac:dyDescent="0.2">
      <c r="A26273" s="258"/>
      <c r="Z26273" s="258"/>
    </row>
    <row r="26274" spans="1:26" ht="12.75" customHeight="1" x14ac:dyDescent="0.2">
      <c r="A26274" s="258"/>
      <c r="Z26274" s="258"/>
    </row>
    <row r="26275" spans="1:26" ht="12.75" customHeight="1" x14ac:dyDescent="0.2">
      <c r="A26275" s="258"/>
      <c r="Z26275" s="258"/>
    </row>
    <row r="26276" spans="1:26" ht="12.75" customHeight="1" x14ac:dyDescent="0.2">
      <c r="A26276" s="258"/>
      <c r="Z26276" s="258"/>
    </row>
    <row r="26277" spans="1:26" ht="12.75" customHeight="1" x14ac:dyDescent="0.2">
      <c r="A26277" s="258"/>
      <c r="Z26277" s="258"/>
    </row>
    <row r="26278" spans="1:26" ht="12.75" customHeight="1" x14ac:dyDescent="0.2">
      <c r="A26278" s="258"/>
      <c r="Z26278" s="258"/>
    </row>
    <row r="26279" spans="1:26" ht="12.75" customHeight="1" x14ac:dyDescent="0.2">
      <c r="A26279" s="258"/>
      <c r="Z26279" s="258"/>
    </row>
    <row r="26280" spans="1:26" ht="12.75" customHeight="1" x14ac:dyDescent="0.2">
      <c r="A26280" s="258"/>
      <c r="Z26280" s="258"/>
    </row>
    <row r="26281" spans="1:26" ht="12.75" customHeight="1" x14ac:dyDescent="0.2">
      <c r="A26281" s="258"/>
      <c r="Z26281" s="258"/>
    </row>
    <row r="26282" spans="1:26" ht="12.75" customHeight="1" x14ac:dyDescent="0.2">
      <c r="A26282" s="258"/>
      <c r="Z26282" s="258"/>
    </row>
    <row r="26283" spans="1:26" ht="12.75" customHeight="1" x14ac:dyDescent="0.2">
      <c r="A26283" s="258"/>
      <c r="Z26283" s="258"/>
    </row>
    <row r="26284" spans="1:26" ht="12.75" customHeight="1" x14ac:dyDescent="0.2">
      <c r="A26284" s="258"/>
      <c r="Z26284" s="258"/>
    </row>
    <row r="26285" spans="1:26" ht="12.75" customHeight="1" x14ac:dyDescent="0.2">
      <c r="A26285" s="258"/>
      <c r="Z26285" s="258"/>
    </row>
    <row r="26286" spans="1:26" ht="12.75" customHeight="1" x14ac:dyDescent="0.2">
      <c r="A26286" s="258"/>
      <c r="Z26286" s="258"/>
    </row>
    <row r="26287" spans="1:26" ht="12.75" customHeight="1" x14ac:dyDescent="0.2">
      <c r="A26287" s="258"/>
      <c r="Z26287" s="258"/>
    </row>
    <row r="26288" spans="1:26" ht="12.75" customHeight="1" x14ac:dyDescent="0.2">
      <c r="A26288" s="258"/>
      <c r="Z26288" s="258"/>
    </row>
    <row r="26289" spans="1:26" ht="12.75" customHeight="1" x14ac:dyDescent="0.2">
      <c r="A26289" s="258"/>
      <c r="Z26289" s="258"/>
    </row>
    <row r="26290" spans="1:26" ht="12.75" customHeight="1" x14ac:dyDescent="0.2">
      <c r="A26290" s="258"/>
      <c r="Z26290" s="258"/>
    </row>
    <row r="26291" spans="1:26" ht="12.75" customHeight="1" x14ac:dyDescent="0.2">
      <c r="A26291" s="258"/>
      <c r="Z26291" s="258"/>
    </row>
    <row r="26292" spans="1:26" ht="12.75" customHeight="1" x14ac:dyDescent="0.2">
      <c r="A26292" s="258"/>
      <c r="Z26292" s="258"/>
    </row>
    <row r="26293" spans="1:26" ht="12.75" customHeight="1" x14ac:dyDescent="0.2">
      <c r="A26293" s="258"/>
      <c r="Z26293" s="258"/>
    </row>
    <row r="26294" spans="1:26" ht="12.75" customHeight="1" x14ac:dyDescent="0.2">
      <c r="A26294" s="258"/>
      <c r="Z26294" s="258"/>
    </row>
    <row r="26295" spans="1:26" ht="12.75" customHeight="1" x14ac:dyDescent="0.2">
      <c r="A26295" s="258"/>
      <c r="Z26295" s="258"/>
    </row>
    <row r="26296" spans="1:26" ht="12.75" customHeight="1" x14ac:dyDescent="0.2">
      <c r="A26296" s="258"/>
      <c r="Z26296" s="258"/>
    </row>
    <row r="26297" spans="1:26" ht="12.75" customHeight="1" x14ac:dyDescent="0.2">
      <c r="A26297" s="258"/>
      <c r="Z26297" s="258"/>
    </row>
    <row r="26298" spans="1:26" ht="12.75" customHeight="1" x14ac:dyDescent="0.2">
      <c r="A26298" s="258"/>
      <c r="Z26298" s="258"/>
    </row>
    <row r="26299" spans="1:26" ht="12.75" customHeight="1" x14ac:dyDescent="0.2">
      <c r="A26299" s="258"/>
      <c r="Z26299" s="258"/>
    </row>
    <row r="26300" spans="1:26" ht="12.75" customHeight="1" x14ac:dyDescent="0.2">
      <c r="A26300" s="258"/>
      <c r="Z26300" s="258"/>
    </row>
    <row r="26301" spans="1:26" ht="12.75" customHeight="1" x14ac:dyDescent="0.2">
      <c r="A26301" s="258"/>
      <c r="Z26301" s="258"/>
    </row>
    <row r="26302" spans="1:26" ht="12.75" customHeight="1" x14ac:dyDescent="0.2">
      <c r="A26302" s="258"/>
      <c r="Z26302" s="258"/>
    </row>
    <row r="26303" spans="1:26" ht="12.75" customHeight="1" x14ac:dyDescent="0.2">
      <c r="A26303" s="258"/>
      <c r="Z26303" s="258"/>
    </row>
    <row r="26304" spans="1:26" ht="12.75" customHeight="1" x14ac:dyDescent="0.2">
      <c r="A26304" s="258"/>
      <c r="Z26304" s="258"/>
    </row>
    <row r="26305" spans="1:26" ht="12.75" customHeight="1" x14ac:dyDescent="0.2">
      <c r="A26305" s="258"/>
      <c r="Z26305" s="258"/>
    </row>
    <row r="26306" spans="1:26" ht="12.75" customHeight="1" x14ac:dyDescent="0.2">
      <c r="A26306" s="258"/>
      <c r="Z26306" s="258"/>
    </row>
    <row r="26307" spans="1:26" ht="12.75" customHeight="1" x14ac:dyDescent="0.2">
      <c r="A26307" s="258"/>
      <c r="Z26307" s="258"/>
    </row>
    <row r="26308" spans="1:26" ht="12.75" customHeight="1" x14ac:dyDescent="0.2">
      <c r="A26308" s="258"/>
      <c r="Z26308" s="258"/>
    </row>
    <row r="26309" spans="1:26" ht="12.75" customHeight="1" x14ac:dyDescent="0.2">
      <c r="A26309" s="258"/>
      <c r="Z26309" s="258"/>
    </row>
    <row r="26310" spans="1:26" ht="12.75" customHeight="1" x14ac:dyDescent="0.2">
      <c r="A26310" s="258"/>
      <c r="Z26310" s="258"/>
    </row>
    <row r="26311" spans="1:26" ht="12.75" customHeight="1" x14ac:dyDescent="0.2">
      <c r="A26311" s="258"/>
      <c r="Z26311" s="258"/>
    </row>
    <row r="26312" spans="1:26" ht="12.75" customHeight="1" x14ac:dyDescent="0.2">
      <c r="A26312" s="258"/>
      <c r="Z26312" s="258"/>
    </row>
    <row r="26313" spans="1:26" ht="12.75" customHeight="1" x14ac:dyDescent="0.2">
      <c r="A26313" s="258"/>
      <c r="Z26313" s="258"/>
    </row>
    <row r="26314" spans="1:26" ht="12.75" customHeight="1" x14ac:dyDescent="0.2">
      <c r="A26314" s="258"/>
      <c r="Z26314" s="258"/>
    </row>
    <row r="26315" spans="1:26" ht="12.75" customHeight="1" x14ac:dyDescent="0.2">
      <c r="A26315" s="258"/>
      <c r="Z26315" s="258"/>
    </row>
    <row r="26316" spans="1:26" ht="12.75" customHeight="1" x14ac:dyDescent="0.2">
      <c r="A26316" s="258"/>
      <c r="Z26316" s="258"/>
    </row>
    <row r="26317" spans="1:26" ht="12.75" customHeight="1" x14ac:dyDescent="0.2">
      <c r="A26317" s="258"/>
      <c r="Z26317" s="258"/>
    </row>
    <row r="26318" spans="1:26" ht="12.75" customHeight="1" x14ac:dyDescent="0.2">
      <c r="A26318" s="258"/>
      <c r="Z26318" s="258"/>
    </row>
    <row r="26319" spans="1:26" ht="12.75" customHeight="1" x14ac:dyDescent="0.2">
      <c r="A26319" s="258"/>
      <c r="Z26319" s="258"/>
    </row>
    <row r="26320" spans="1:26" ht="12.75" customHeight="1" x14ac:dyDescent="0.2">
      <c r="A26320" s="258"/>
      <c r="Z26320" s="258"/>
    </row>
    <row r="26321" spans="1:26" ht="12.75" customHeight="1" x14ac:dyDescent="0.2">
      <c r="A26321" s="258"/>
      <c r="Z26321" s="258"/>
    </row>
    <row r="26322" spans="1:26" ht="12.75" customHeight="1" x14ac:dyDescent="0.2">
      <c r="A26322" s="258"/>
      <c r="Z26322" s="258"/>
    </row>
    <row r="26323" spans="1:26" ht="12.75" customHeight="1" x14ac:dyDescent="0.2">
      <c r="A26323" s="258"/>
      <c r="Z26323" s="258"/>
    </row>
    <row r="26324" spans="1:26" ht="12.75" customHeight="1" x14ac:dyDescent="0.2">
      <c r="A26324" s="258"/>
      <c r="Z26324" s="258"/>
    </row>
    <row r="26325" spans="1:26" ht="12.75" customHeight="1" x14ac:dyDescent="0.2">
      <c r="A26325" s="258"/>
      <c r="Z26325" s="258"/>
    </row>
    <row r="26326" spans="1:26" ht="12.75" customHeight="1" x14ac:dyDescent="0.2">
      <c r="A26326" s="258"/>
      <c r="Z26326" s="258"/>
    </row>
    <row r="26327" spans="1:26" ht="12.75" customHeight="1" x14ac:dyDescent="0.2">
      <c r="A26327" s="258"/>
      <c r="Z26327" s="258"/>
    </row>
    <row r="26328" spans="1:26" ht="12.75" customHeight="1" x14ac:dyDescent="0.2">
      <c r="A26328" s="258"/>
      <c r="Z26328" s="258"/>
    </row>
    <row r="26329" spans="1:26" ht="12.75" customHeight="1" x14ac:dyDescent="0.2">
      <c r="A26329" s="258"/>
      <c r="Z26329" s="258"/>
    </row>
    <row r="26330" spans="1:26" ht="12.75" customHeight="1" x14ac:dyDescent="0.2">
      <c r="A26330" s="258"/>
      <c r="Z26330" s="258"/>
    </row>
    <row r="26331" spans="1:26" ht="12.75" customHeight="1" x14ac:dyDescent="0.2">
      <c r="A26331" s="258"/>
      <c r="Z26331" s="258"/>
    </row>
    <row r="26332" spans="1:26" ht="12.75" customHeight="1" x14ac:dyDescent="0.2">
      <c r="A26332" s="258"/>
      <c r="Z26332" s="258"/>
    </row>
    <row r="26333" spans="1:26" ht="12.75" customHeight="1" x14ac:dyDescent="0.2">
      <c r="A26333" s="258"/>
      <c r="Z26333" s="258"/>
    </row>
    <row r="26334" spans="1:26" ht="12.75" customHeight="1" x14ac:dyDescent="0.2">
      <c r="A26334" s="258"/>
      <c r="Z26334" s="258"/>
    </row>
    <row r="26335" spans="1:26" ht="12.75" customHeight="1" x14ac:dyDescent="0.2">
      <c r="A26335" s="258"/>
      <c r="Z26335" s="258"/>
    </row>
    <row r="26336" spans="1:26" ht="12.75" customHeight="1" x14ac:dyDescent="0.2">
      <c r="A26336" s="258"/>
      <c r="Z26336" s="258"/>
    </row>
    <row r="26337" spans="1:26" ht="12.75" customHeight="1" x14ac:dyDescent="0.2">
      <c r="A26337" s="258"/>
      <c r="Z26337" s="258"/>
    </row>
    <row r="26338" spans="1:26" ht="12.75" customHeight="1" x14ac:dyDescent="0.2">
      <c r="A26338" s="258"/>
      <c r="Z26338" s="258"/>
    </row>
    <row r="26339" spans="1:26" ht="12.75" customHeight="1" x14ac:dyDescent="0.2">
      <c r="A26339" s="258"/>
      <c r="Z26339" s="258"/>
    </row>
    <row r="26340" spans="1:26" ht="12.75" customHeight="1" x14ac:dyDescent="0.2">
      <c r="A26340" s="258"/>
      <c r="Z26340" s="258"/>
    </row>
    <row r="26341" spans="1:26" ht="12.75" customHeight="1" x14ac:dyDescent="0.2">
      <c r="A26341" s="258"/>
      <c r="Z26341" s="258"/>
    </row>
    <row r="26342" spans="1:26" ht="12.75" customHeight="1" x14ac:dyDescent="0.2">
      <c r="A26342" s="258"/>
      <c r="Z26342" s="258"/>
    </row>
    <row r="26343" spans="1:26" ht="12.75" customHeight="1" x14ac:dyDescent="0.2">
      <c r="A26343" s="258"/>
      <c r="Z26343" s="258"/>
    </row>
    <row r="26344" spans="1:26" ht="12.75" customHeight="1" x14ac:dyDescent="0.2">
      <c r="A26344" s="258"/>
      <c r="Z26344" s="258"/>
    </row>
    <row r="26345" spans="1:26" ht="12.75" customHeight="1" x14ac:dyDescent="0.2">
      <c r="A26345" s="258"/>
      <c r="Z26345" s="258"/>
    </row>
    <row r="26346" spans="1:26" ht="12.75" customHeight="1" x14ac:dyDescent="0.2">
      <c r="A26346" s="258"/>
      <c r="Z26346" s="258"/>
    </row>
    <row r="26347" spans="1:26" ht="12.75" customHeight="1" x14ac:dyDescent="0.2">
      <c r="A26347" s="258"/>
      <c r="Z26347" s="258"/>
    </row>
    <row r="26348" spans="1:26" ht="12.75" customHeight="1" x14ac:dyDescent="0.2">
      <c r="A26348" s="258"/>
      <c r="Z26348" s="258"/>
    </row>
    <row r="26349" spans="1:26" ht="12.75" customHeight="1" x14ac:dyDescent="0.2">
      <c r="A26349" s="258"/>
      <c r="Z26349" s="258"/>
    </row>
    <row r="26350" spans="1:26" ht="12.75" customHeight="1" x14ac:dyDescent="0.2">
      <c r="A26350" s="258"/>
      <c r="Z26350" s="258"/>
    </row>
    <row r="26351" spans="1:26" ht="12.75" customHeight="1" x14ac:dyDescent="0.2">
      <c r="A26351" s="258"/>
      <c r="Z26351" s="258"/>
    </row>
    <row r="26352" spans="1:26" ht="12.75" customHeight="1" x14ac:dyDescent="0.2">
      <c r="A26352" s="258"/>
      <c r="Z26352" s="258"/>
    </row>
    <row r="26353" spans="1:26" ht="12.75" customHeight="1" x14ac:dyDescent="0.2">
      <c r="A26353" s="258"/>
      <c r="Z26353" s="258"/>
    </row>
    <row r="26354" spans="1:26" ht="12.75" customHeight="1" x14ac:dyDescent="0.2">
      <c r="A26354" s="258"/>
      <c r="Z26354" s="258"/>
    </row>
    <row r="26355" spans="1:26" ht="12.75" customHeight="1" x14ac:dyDescent="0.2">
      <c r="A26355" s="258"/>
      <c r="Z26355" s="258"/>
    </row>
    <row r="26356" spans="1:26" ht="12.75" customHeight="1" x14ac:dyDescent="0.2">
      <c r="A26356" s="258"/>
      <c r="Z26356" s="258"/>
    </row>
    <row r="26357" spans="1:26" ht="12.75" customHeight="1" x14ac:dyDescent="0.2">
      <c r="A26357" s="258"/>
      <c r="Z26357" s="258"/>
    </row>
    <row r="26358" spans="1:26" ht="12.75" customHeight="1" x14ac:dyDescent="0.2">
      <c r="A26358" s="258"/>
      <c r="Z26358" s="258"/>
    </row>
    <row r="26359" spans="1:26" ht="12.75" customHeight="1" x14ac:dyDescent="0.2">
      <c r="A26359" s="258"/>
      <c r="Z26359" s="258"/>
    </row>
    <row r="26360" spans="1:26" ht="12.75" customHeight="1" x14ac:dyDescent="0.2">
      <c r="A26360" s="258"/>
      <c r="Z26360" s="258"/>
    </row>
    <row r="26361" spans="1:26" ht="12.75" customHeight="1" x14ac:dyDescent="0.2">
      <c r="A26361" s="258"/>
      <c r="Z26361" s="258"/>
    </row>
    <row r="26362" spans="1:26" ht="12.75" customHeight="1" x14ac:dyDescent="0.2">
      <c r="A26362" s="258"/>
      <c r="Z26362" s="258"/>
    </row>
    <row r="26363" spans="1:26" ht="12.75" customHeight="1" x14ac:dyDescent="0.2">
      <c r="A26363" s="258"/>
      <c r="Z26363" s="258"/>
    </row>
    <row r="26364" spans="1:26" ht="12.75" customHeight="1" x14ac:dyDescent="0.2">
      <c r="A26364" s="258"/>
      <c r="Z26364" s="258"/>
    </row>
    <row r="26365" spans="1:26" ht="12.75" customHeight="1" x14ac:dyDescent="0.2">
      <c r="A26365" s="258"/>
      <c r="Z26365" s="258"/>
    </row>
    <row r="26366" spans="1:26" ht="12.75" customHeight="1" x14ac:dyDescent="0.2">
      <c r="A26366" s="258"/>
      <c r="Z26366" s="258"/>
    </row>
    <row r="26367" spans="1:26" ht="12.75" customHeight="1" x14ac:dyDescent="0.2">
      <c r="A26367" s="258"/>
      <c r="Z26367" s="258"/>
    </row>
    <row r="26368" spans="1:26" ht="12.75" customHeight="1" x14ac:dyDescent="0.2">
      <c r="A26368" s="258"/>
      <c r="Z26368" s="258"/>
    </row>
    <row r="26369" spans="1:26" ht="12.75" customHeight="1" x14ac:dyDescent="0.2">
      <c r="A26369" s="258"/>
      <c r="Z26369" s="258"/>
    </row>
    <row r="26370" spans="1:26" ht="12.75" customHeight="1" x14ac:dyDescent="0.2">
      <c r="A26370" s="258"/>
      <c r="Z26370" s="258"/>
    </row>
    <row r="26371" spans="1:26" ht="12.75" customHeight="1" x14ac:dyDescent="0.2">
      <c r="A26371" s="258"/>
      <c r="Z26371" s="258"/>
    </row>
    <row r="26372" spans="1:26" ht="12.75" customHeight="1" x14ac:dyDescent="0.2">
      <c r="A26372" s="258"/>
      <c r="Z26372" s="258"/>
    </row>
    <row r="26373" spans="1:26" ht="12.75" customHeight="1" x14ac:dyDescent="0.2">
      <c r="A26373" s="258"/>
      <c r="Z26373" s="258"/>
    </row>
    <row r="26374" spans="1:26" ht="12.75" customHeight="1" x14ac:dyDescent="0.2">
      <c r="A26374" s="258"/>
      <c r="Z26374" s="258"/>
    </row>
    <row r="26375" spans="1:26" ht="12.75" customHeight="1" x14ac:dyDescent="0.2">
      <c r="A26375" s="258"/>
      <c r="Z26375" s="258"/>
    </row>
    <row r="26376" spans="1:26" ht="12.75" customHeight="1" x14ac:dyDescent="0.2">
      <c r="A26376" s="258"/>
      <c r="Z26376" s="258"/>
    </row>
    <row r="26377" spans="1:26" ht="12.75" customHeight="1" x14ac:dyDescent="0.2">
      <c r="A26377" s="258"/>
      <c r="Z26377" s="258"/>
    </row>
    <row r="26378" spans="1:26" ht="12.75" customHeight="1" x14ac:dyDescent="0.2">
      <c r="A26378" s="258"/>
      <c r="Z26378" s="258"/>
    </row>
    <row r="26379" spans="1:26" ht="12.75" customHeight="1" x14ac:dyDescent="0.2">
      <c r="A26379" s="258"/>
      <c r="Z26379" s="258"/>
    </row>
    <row r="26380" spans="1:26" ht="12.75" customHeight="1" x14ac:dyDescent="0.2">
      <c r="A26380" s="258"/>
      <c r="Z26380" s="258"/>
    </row>
    <row r="26381" spans="1:26" ht="12.75" customHeight="1" x14ac:dyDescent="0.2">
      <c r="A26381" s="258"/>
      <c r="Z26381" s="258"/>
    </row>
    <row r="26382" spans="1:26" ht="12.75" customHeight="1" x14ac:dyDescent="0.2">
      <c r="A26382" s="258"/>
      <c r="Z26382" s="258"/>
    </row>
    <row r="26383" spans="1:26" ht="12.75" customHeight="1" x14ac:dyDescent="0.2">
      <c r="A26383" s="258"/>
      <c r="Z26383" s="258"/>
    </row>
    <row r="26384" spans="1:26" ht="12.75" customHeight="1" x14ac:dyDescent="0.2">
      <c r="A26384" s="258"/>
      <c r="Z26384" s="258"/>
    </row>
    <row r="26385" spans="1:26" ht="12.75" customHeight="1" x14ac:dyDescent="0.2">
      <c r="A26385" s="258"/>
      <c r="Z26385" s="258"/>
    </row>
    <row r="26386" spans="1:26" ht="12.75" customHeight="1" x14ac:dyDescent="0.2">
      <c r="A26386" s="258"/>
      <c r="Z26386" s="258"/>
    </row>
    <row r="26387" spans="1:26" ht="12.75" customHeight="1" x14ac:dyDescent="0.2">
      <c r="A26387" s="258"/>
      <c r="Z26387" s="258"/>
    </row>
    <row r="26388" spans="1:26" ht="12.75" customHeight="1" x14ac:dyDescent="0.2">
      <c r="A26388" s="258"/>
      <c r="Z26388" s="258"/>
    </row>
    <row r="26389" spans="1:26" ht="12.75" customHeight="1" x14ac:dyDescent="0.2">
      <c r="A26389" s="258"/>
      <c r="Z26389" s="258"/>
    </row>
    <row r="26390" spans="1:26" ht="12.75" customHeight="1" x14ac:dyDescent="0.2">
      <c r="A26390" s="258"/>
      <c r="Z26390" s="258"/>
    </row>
    <row r="26391" spans="1:26" ht="12.75" customHeight="1" x14ac:dyDescent="0.2">
      <c r="A26391" s="258"/>
      <c r="Z26391" s="258"/>
    </row>
    <row r="26392" spans="1:26" ht="12.75" customHeight="1" x14ac:dyDescent="0.2">
      <c r="A26392" s="258"/>
      <c r="Z26392" s="258"/>
    </row>
    <row r="26393" spans="1:26" ht="12.75" customHeight="1" x14ac:dyDescent="0.2">
      <c r="A26393" s="258"/>
      <c r="Z26393" s="258"/>
    </row>
    <row r="26394" spans="1:26" ht="12.75" customHeight="1" x14ac:dyDescent="0.2">
      <c r="A26394" s="258"/>
      <c r="Z26394" s="258"/>
    </row>
    <row r="26395" spans="1:26" ht="12.75" customHeight="1" x14ac:dyDescent="0.2">
      <c r="A26395" s="258"/>
      <c r="Z26395" s="258"/>
    </row>
    <row r="26396" spans="1:26" ht="12.75" customHeight="1" x14ac:dyDescent="0.2">
      <c r="A26396" s="258"/>
      <c r="Z26396" s="258"/>
    </row>
    <row r="26397" spans="1:26" ht="12.75" customHeight="1" x14ac:dyDescent="0.2">
      <c r="A26397" s="258"/>
      <c r="Z26397" s="258"/>
    </row>
    <row r="26398" spans="1:26" ht="12.75" customHeight="1" x14ac:dyDescent="0.2">
      <c r="A26398" s="258"/>
      <c r="Z26398" s="258"/>
    </row>
    <row r="26399" spans="1:26" ht="12.75" customHeight="1" x14ac:dyDescent="0.2">
      <c r="A26399" s="258"/>
      <c r="Z26399" s="258"/>
    </row>
    <row r="26400" spans="1:26" ht="12.75" customHeight="1" x14ac:dyDescent="0.2">
      <c r="A26400" s="258"/>
      <c r="Z26400" s="258"/>
    </row>
    <row r="26401" spans="1:26" ht="12.75" customHeight="1" x14ac:dyDescent="0.2">
      <c r="A26401" s="258"/>
      <c r="Z26401" s="258"/>
    </row>
    <row r="26402" spans="1:26" ht="12.75" customHeight="1" x14ac:dyDescent="0.2">
      <c r="A26402" s="258"/>
      <c r="Z26402" s="258"/>
    </row>
    <row r="26403" spans="1:26" ht="12.75" customHeight="1" x14ac:dyDescent="0.2">
      <c r="A26403" s="258"/>
      <c r="Z26403" s="258"/>
    </row>
    <row r="26404" spans="1:26" ht="12.75" customHeight="1" x14ac:dyDescent="0.2">
      <c r="A26404" s="258"/>
      <c r="Z26404" s="258"/>
    </row>
    <row r="26405" spans="1:26" ht="12.75" customHeight="1" x14ac:dyDescent="0.2">
      <c r="A26405" s="258"/>
      <c r="Z26405" s="258"/>
    </row>
    <row r="26406" spans="1:26" ht="12.75" customHeight="1" x14ac:dyDescent="0.2">
      <c r="A26406" s="258"/>
      <c r="Z26406" s="258"/>
    </row>
    <row r="26407" spans="1:26" ht="12.75" customHeight="1" x14ac:dyDescent="0.2">
      <c r="A26407" s="258"/>
      <c r="Z26407" s="258"/>
    </row>
    <row r="26408" spans="1:26" ht="12.75" customHeight="1" x14ac:dyDescent="0.2">
      <c r="A26408" s="258"/>
      <c r="Z26408" s="258"/>
    </row>
    <row r="26409" spans="1:26" ht="12.75" customHeight="1" x14ac:dyDescent="0.2">
      <c r="A26409" s="258"/>
      <c r="Z26409" s="258"/>
    </row>
    <row r="26410" spans="1:26" ht="12.75" customHeight="1" x14ac:dyDescent="0.2">
      <c r="A26410" s="258"/>
      <c r="Z26410" s="258"/>
    </row>
    <row r="26411" spans="1:26" ht="12.75" customHeight="1" x14ac:dyDescent="0.2">
      <c r="A26411" s="258"/>
      <c r="Z26411" s="258"/>
    </row>
    <row r="26412" spans="1:26" ht="12.75" customHeight="1" x14ac:dyDescent="0.2">
      <c r="A26412" s="258"/>
      <c r="Z26412" s="258"/>
    </row>
    <row r="26413" spans="1:26" ht="12.75" customHeight="1" x14ac:dyDescent="0.2">
      <c r="A26413" s="258"/>
      <c r="Z26413" s="258"/>
    </row>
    <row r="26414" spans="1:26" ht="12.75" customHeight="1" x14ac:dyDescent="0.2">
      <c r="A26414" s="258"/>
      <c r="Z26414" s="258"/>
    </row>
    <row r="26415" spans="1:26" ht="12.75" customHeight="1" x14ac:dyDescent="0.2">
      <c r="A26415" s="258"/>
      <c r="Z26415" s="258"/>
    </row>
    <row r="26416" spans="1:26" ht="12.75" customHeight="1" x14ac:dyDescent="0.2">
      <c r="A26416" s="258"/>
      <c r="Z26416" s="258"/>
    </row>
    <row r="26417" spans="1:26" ht="12.75" customHeight="1" x14ac:dyDescent="0.2">
      <c r="A26417" s="258"/>
      <c r="Z26417" s="258"/>
    </row>
    <row r="26418" spans="1:26" ht="12.75" customHeight="1" x14ac:dyDescent="0.2">
      <c r="A26418" s="258"/>
      <c r="Z26418" s="258"/>
    </row>
    <row r="26419" spans="1:26" ht="12.75" customHeight="1" x14ac:dyDescent="0.2">
      <c r="A26419" s="258"/>
      <c r="Z26419" s="258"/>
    </row>
    <row r="26420" spans="1:26" ht="12.75" customHeight="1" x14ac:dyDescent="0.2">
      <c r="A26420" s="258"/>
      <c r="Z26420" s="258"/>
    </row>
    <row r="26421" spans="1:26" ht="12.75" customHeight="1" x14ac:dyDescent="0.2">
      <c r="A26421" s="258"/>
      <c r="Z26421" s="258"/>
    </row>
    <row r="26422" spans="1:26" ht="12.75" customHeight="1" x14ac:dyDescent="0.2">
      <c r="A26422" s="258"/>
      <c r="Z26422" s="258"/>
    </row>
    <row r="26423" spans="1:26" ht="12.75" customHeight="1" x14ac:dyDescent="0.2">
      <c r="A26423" s="258"/>
      <c r="Z26423" s="258"/>
    </row>
    <row r="26424" spans="1:26" ht="12.75" customHeight="1" x14ac:dyDescent="0.2">
      <c r="A26424" s="258"/>
      <c r="Z26424" s="258"/>
    </row>
    <row r="26425" spans="1:26" ht="12.75" customHeight="1" x14ac:dyDescent="0.2">
      <c r="A26425" s="258"/>
      <c r="Z26425" s="258"/>
    </row>
    <row r="26426" spans="1:26" ht="12.75" customHeight="1" x14ac:dyDescent="0.2">
      <c r="A26426" s="258"/>
      <c r="Z26426" s="258"/>
    </row>
    <row r="26427" spans="1:26" ht="12.75" customHeight="1" x14ac:dyDescent="0.2">
      <c r="A26427" s="258"/>
      <c r="Z26427" s="258"/>
    </row>
    <row r="26428" spans="1:26" ht="12.75" customHeight="1" x14ac:dyDescent="0.2">
      <c r="A26428" s="258"/>
      <c r="Z26428" s="258"/>
    </row>
    <row r="26429" spans="1:26" ht="12.75" customHeight="1" x14ac:dyDescent="0.2">
      <c r="A26429" s="258"/>
      <c r="Z26429" s="258"/>
    </row>
    <row r="26430" spans="1:26" ht="12.75" customHeight="1" x14ac:dyDescent="0.2">
      <c r="A26430" s="258"/>
      <c r="Z26430" s="258"/>
    </row>
    <row r="26431" spans="1:26" ht="12.75" customHeight="1" x14ac:dyDescent="0.2">
      <c r="A26431" s="258"/>
      <c r="Z26431" s="258"/>
    </row>
    <row r="26432" spans="1:26" ht="12.75" customHeight="1" x14ac:dyDescent="0.2">
      <c r="A26432" s="258"/>
      <c r="Z26432" s="258"/>
    </row>
    <row r="26433" spans="1:26" ht="12.75" customHeight="1" x14ac:dyDescent="0.2">
      <c r="A26433" s="258"/>
      <c r="Z26433" s="258"/>
    </row>
    <row r="26434" spans="1:26" ht="12.75" customHeight="1" x14ac:dyDescent="0.2">
      <c r="A26434" s="258"/>
      <c r="Z26434" s="258"/>
    </row>
    <row r="26435" spans="1:26" ht="12.75" customHeight="1" x14ac:dyDescent="0.2">
      <c r="A26435" s="258"/>
      <c r="Z26435" s="258"/>
    </row>
    <row r="26436" spans="1:26" ht="12.75" customHeight="1" x14ac:dyDescent="0.2">
      <c r="A26436" s="258"/>
      <c r="Z26436" s="258"/>
    </row>
    <row r="26437" spans="1:26" ht="12.75" customHeight="1" x14ac:dyDescent="0.2">
      <c r="A26437" s="258"/>
      <c r="Z26437" s="258"/>
    </row>
    <row r="26438" spans="1:26" ht="12.75" customHeight="1" x14ac:dyDescent="0.2">
      <c r="A26438" s="258"/>
      <c r="Z26438" s="258"/>
    </row>
    <row r="26439" spans="1:26" ht="12.75" customHeight="1" x14ac:dyDescent="0.2">
      <c r="A26439" s="258"/>
      <c r="Z26439" s="258"/>
    </row>
    <row r="26440" spans="1:26" ht="12.75" customHeight="1" x14ac:dyDescent="0.2">
      <c r="A26440" s="258"/>
      <c r="Z26440" s="258"/>
    </row>
    <row r="26441" spans="1:26" ht="12.75" customHeight="1" x14ac:dyDescent="0.2">
      <c r="A26441" s="258"/>
      <c r="Z26441" s="258"/>
    </row>
    <row r="26442" spans="1:26" ht="12.75" customHeight="1" x14ac:dyDescent="0.2">
      <c r="A26442" s="258"/>
      <c r="Z26442" s="258"/>
    </row>
    <row r="26443" spans="1:26" ht="12.75" customHeight="1" x14ac:dyDescent="0.2">
      <c r="A26443" s="258"/>
      <c r="Z26443" s="258"/>
    </row>
    <row r="26444" spans="1:26" ht="12.75" customHeight="1" x14ac:dyDescent="0.2">
      <c r="A26444" s="258"/>
      <c r="Z26444" s="258"/>
    </row>
    <row r="26445" spans="1:26" ht="12.75" customHeight="1" x14ac:dyDescent="0.2">
      <c r="A26445" s="258"/>
      <c r="Z26445" s="258"/>
    </row>
    <row r="26446" spans="1:26" ht="12.75" customHeight="1" x14ac:dyDescent="0.2">
      <c r="A26446" s="258"/>
      <c r="Z26446" s="258"/>
    </row>
    <row r="26447" spans="1:26" ht="12.75" customHeight="1" x14ac:dyDescent="0.2">
      <c r="A26447" s="258"/>
      <c r="Z26447" s="258"/>
    </row>
    <row r="26448" spans="1:26" ht="12.75" customHeight="1" x14ac:dyDescent="0.2">
      <c r="A26448" s="258"/>
      <c r="Z26448" s="258"/>
    </row>
    <row r="26449" spans="1:26" ht="12.75" customHeight="1" x14ac:dyDescent="0.2">
      <c r="A26449" s="258"/>
      <c r="Z26449" s="258"/>
    </row>
    <row r="26450" spans="1:26" ht="12.75" customHeight="1" x14ac:dyDescent="0.2">
      <c r="A26450" s="258"/>
      <c r="Z26450" s="258"/>
    </row>
    <row r="26451" spans="1:26" ht="12.75" customHeight="1" x14ac:dyDescent="0.2">
      <c r="A26451" s="258"/>
      <c r="Z26451" s="258"/>
    </row>
    <row r="26452" spans="1:26" ht="12.75" customHeight="1" x14ac:dyDescent="0.2">
      <c r="A26452" s="258"/>
      <c r="Z26452" s="258"/>
    </row>
    <row r="26453" spans="1:26" ht="12.75" customHeight="1" x14ac:dyDescent="0.2">
      <c r="A26453" s="258"/>
      <c r="Z26453" s="258"/>
    </row>
    <row r="26454" spans="1:26" ht="12.75" customHeight="1" x14ac:dyDescent="0.2">
      <c r="A26454" s="258"/>
      <c r="Z26454" s="258"/>
    </row>
    <row r="26455" spans="1:26" ht="12.75" customHeight="1" x14ac:dyDescent="0.2">
      <c r="A26455" s="258"/>
      <c r="Z26455" s="258"/>
    </row>
    <row r="26456" spans="1:26" ht="12.75" customHeight="1" x14ac:dyDescent="0.2">
      <c r="A26456" s="258"/>
      <c r="Z26456" s="258"/>
    </row>
    <row r="26457" spans="1:26" ht="12.75" customHeight="1" x14ac:dyDescent="0.2">
      <c r="A26457" s="258"/>
      <c r="Z26457" s="258"/>
    </row>
    <row r="26458" spans="1:26" ht="12.75" customHeight="1" x14ac:dyDescent="0.2">
      <c r="A26458" s="258"/>
      <c r="Z26458" s="258"/>
    </row>
    <row r="26459" spans="1:26" ht="12.75" customHeight="1" x14ac:dyDescent="0.2">
      <c r="A26459" s="258"/>
      <c r="Z26459" s="258"/>
    </row>
    <row r="26460" spans="1:26" ht="12.75" customHeight="1" x14ac:dyDescent="0.2">
      <c r="A26460" s="258"/>
      <c r="Z26460" s="258"/>
    </row>
    <row r="26461" spans="1:26" ht="12.75" customHeight="1" x14ac:dyDescent="0.2">
      <c r="A26461" s="258"/>
      <c r="Z26461" s="258"/>
    </row>
    <row r="26462" spans="1:26" ht="12.75" customHeight="1" x14ac:dyDescent="0.2">
      <c r="A26462" s="258"/>
      <c r="Z26462" s="258"/>
    </row>
    <row r="26463" spans="1:26" ht="12.75" customHeight="1" x14ac:dyDescent="0.2">
      <c r="A26463" s="258"/>
      <c r="Z26463" s="258"/>
    </row>
    <row r="26464" spans="1:26" ht="12.75" customHeight="1" x14ac:dyDescent="0.2">
      <c r="A26464" s="258"/>
      <c r="Z26464" s="258"/>
    </row>
    <row r="26465" spans="1:26" ht="12.75" customHeight="1" x14ac:dyDescent="0.2">
      <c r="A26465" s="258"/>
      <c r="Z26465" s="258"/>
    </row>
    <row r="26466" spans="1:26" ht="12.75" customHeight="1" x14ac:dyDescent="0.2">
      <c r="A26466" s="258"/>
      <c r="Z26466" s="258"/>
    </row>
    <row r="26467" spans="1:26" ht="12.75" customHeight="1" x14ac:dyDescent="0.2">
      <c r="A26467" s="258"/>
      <c r="Z26467" s="258"/>
    </row>
    <row r="26468" spans="1:26" ht="12.75" customHeight="1" x14ac:dyDescent="0.2">
      <c r="A26468" s="258"/>
      <c r="Z26468" s="258"/>
    </row>
    <row r="26469" spans="1:26" ht="12.75" customHeight="1" x14ac:dyDescent="0.2">
      <c r="A26469" s="258"/>
      <c r="Z26469" s="258"/>
    </row>
    <row r="26470" spans="1:26" ht="12.75" customHeight="1" x14ac:dyDescent="0.2">
      <c r="A26470" s="258"/>
      <c r="Z26470" s="258"/>
    </row>
    <row r="26471" spans="1:26" ht="12.75" customHeight="1" x14ac:dyDescent="0.2">
      <c r="A26471" s="258"/>
      <c r="Z26471" s="258"/>
    </row>
    <row r="26472" spans="1:26" ht="12.75" customHeight="1" x14ac:dyDescent="0.2">
      <c r="A26472" s="258"/>
      <c r="Z26472" s="258"/>
    </row>
    <row r="26473" spans="1:26" ht="12.75" customHeight="1" x14ac:dyDescent="0.2">
      <c r="A26473" s="258"/>
      <c r="Z26473" s="258"/>
    </row>
    <row r="26474" spans="1:26" ht="12.75" customHeight="1" x14ac:dyDescent="0.2">
      <c r="A26474" s="258"/>
      <c r="Z26474" s="258"/>
    </row>
    <row r="26475" spans="1:26" ht="12.75" customHeight="1" x14ac:dyDescent="0.2">
      <c r="A26475" s="258"/>
      <c r="Z26475" s="258"/>
    </row>
    <row r="26476" spans="1:26" ht="12.75" customHeight="1" x14ac:dyDescent="0.2">
      <c r="A26476" s="258"/>
      <c r="Z26476" s="258"/>
    </row>
    <row r="26477" spans="1:26" ht="12.75" customHeight="1" x14ac:dyDescent="0.2">
      <c r="A26477" s="258"/>
      <c r="Z26477" s="258"/>
    </row>
    <row r="26478" spans="1:26" ht="12.75" customHeight="1" x14ac:dyDescent="0.2">
      <c r="A26478" s="258"/>
      <c r="Z26478" s="258"/>
    </row>
    <row r="26479" spans="1:26" ht="12.75" customHeight="1" x14ac:dyDescent="0.2">
      <c r="A26479" s="258"/>
      <c r="Z26479" s="258"/>
    </row>
    <row r="26480" spans="1:26" ht="12.75" customHeight="1" x14ac:dyDescent="0.2">
      <c r="A26480" s="258"/>
      <c r="Z26480" s="258"/>
    </row>
    <row r="26481" spans="1:26" ht="12.75" customHeight="1" x14ac:dyDescent="0.2">
      <c r="A26481" s="258"/>
      <c r="Z26481" s="258"/>
    </row>
    <row r="26482" spans="1:26" ht="12.75" customHeight="1" x14ac:dyDescent="0.2">
      <c r="A26482" s="258"/>
      <c r="Z26482" s="258"/>
    </row>
    <row r="26483" spans="1:26" ht="12.75" customHeight="1" x14ac:dyDescent="0.2">
      <c r="A26483" s="258"/>
      <c r="Z26483" s="258"/>
    </row>
    <row r="26484" spans="1:26" ht="12.75" customHeight="1" x14ac:dyDescent="0.2">
      <c r="A26484" s="258"/>
      <c r="Z26484" s="258"/>
    </row>
    <row r="26485" spans="1:26" ht="12.75" customHeight="1" x14ac:dyDescent="0.2">
      <c r="A26485" s="258"/>
      <c r="Z26485" s="258"/>
    </row>
    <row r="26486" spans="1:26" ht="12.75" customHeight="1" x14ac:dyDescent="0.2">
      <c r="A26486" s="258"/>
      <c r="Z26486" s="258"/>
    </row>
    <row r="26487" spans="1:26" ht="12.75" customHeight="1" x14ac:dyDescent="0.2">
      <c r="A26487" s="258"/>
      <c r="Z26487" s="258"/>
    </row>
    <row r="26488" spans="1:26" ht="12.75" customHeight="1" x14ac:dyDescent="0.2">
      <c r="A26488" s="258"/>
      <c r="Z26488" s="258"/>
    </row>
    <row r="26489" spans="1:26" ht="12.75" customHeight="1" x14ac:dyDescent="0.2">
      <c r="A26489" s="258"/>
      <c r="Z26489" s="258"/>
    </row>
    <row r="26490" spans="1:26" ht="12.75" customHeight="1" x14ac:dyDescent="0.2">
      <c r="A26490" s="258"/>
      <c r="Z26490" s="258"/>
    </row>
    <row r="26491" spans="1:26" ht="12.75" customHeight="1" x14ac:dyDescent="0.2">
      <c r="A26491" s="258"/>
      <c r="Z26491" s="258"/>
    </row>
    <row r="26492" spans="1:26" ht="12.75" customHeight="1" x14ac:dyDescent="0.2">
      <c r="A26492" s="258"/>
      <c r="Z26492" s="258"/>
    </row>
    <row r="26493" spans="1:26" ht="12.75" customHeight="1" x14ac:dyDescent="0.2">
      <c r="A26493" s="258"/>
      <c r="Z26493" s="258"/>
    </row>
    <row r="26494" spans="1:26" ht="12.75" customHeight="1" x14ac:dyDescent="0.2">
      <c r="A26494" s="258"/>
      <c r="Z26494" s="258"/>
    </row>
    <row r="26495" spans="1:26" ht="12.75" customHeight="1" x14ac:dyDescent="0.2">
      <c r="A26495" s="258"/>
      <c r="Z26495" s="258"/>
    </row>
    <row r="26496" spans="1:26" ht="12.75" customHeight="1" x14ac:dyDescent="0.2">
      <c r="A26496" s="258"/>
      <c r="Z26496" s="258"/>
    </row>
    <row r="26497" spans="1:26" ht="12.75" customHeight="1" x14ac:dyDescent="0.2">
      <c r="A26497" s="258"/>
      <c r="Z26497" s="258"/>
    </row>
    <row r="26498" spans="1:26" ht="12.75" customHeight="1" x14ac:dyDescent="0.2">
      <c r="A26498" s="258"/>
      <c r="Z26498" s="258"/>
    </row>
    <row r="26499" spans="1:26" ht="12.75" customHeight="1" x14ac:dyDescent="0.2">
      <c r="A26499" s="258"/>
      <c r="Z26499" s="258"/>
    </row>
    <row r="26500" spans="1:26" ht="12.75" customHeight="1" x14ac:dyDescent="0.2">
      <c r="A26500" s="258"/>
      <c r="Z26500" s="258"/>
    </row>
    <row r="26501" spans="1:26" ht="12.75" customHeight="1" x14ac:dyDescent="0.2">
      <c r="A26501" s="258"/>
      <c r="Z26501" s="258"/>
    </row>
    <row r="26502" spans="1:26" ht="12.75" customHeight="1" x14ac:dyDescent="0.2">
      <c r="A26502" s="258"/>
      <c r="Z26502" s="258"/>
    </row>
    <row r="26503" spans="1:26" ht="12.75" customHeight="1" x14ac:dyDescent="0.2">
      <c r="A26503" s="258"/>
      <c r="Z26503" s="258"/>
    </row>
    <row r="26504" spans="1:26" ht="12.75" customHeight="1" x14ac:dyDescent="0.2">
      <c r="A26504" s="258"/>
      <c r="Z26504" s="258"/>
    </row>
    <row r="26505" spans="1:26" ht="12.75" customHeight="1" x14ac:dyDescent="0.2">
      <c r="A26505" s="258"/>
      <c r="Z26505" s="258"/>
    </row>
    <row r="26506" spans="1:26" ht="12.75" customHeight="1" x14ac:dyDescent="0.2">
      <c r="A26506" s="258"/>
      <c r="Z26506" s="258"/>
    </row>
    <row r="26507" spans="1:26" ht="12.75" customHeight="1" x14ac:dyDescent="0.2">
      <c r="A26507" s="258"/>
      <c r="Z26507" s="258"/>
    </row>
    <row r="26508" spans="1:26" ht="12.75" customHeight="1" x14ac:dyDescent="0.2">
      <c r="A26508" s="258"/>
      <c r="Z26508" s="258"/>
    </row>
    <row r="26509" spans="1:26" ht="12.75" customHeight="1" x14ac:dyDescent="0.2">
      <c r="A26509" s="258"/>
      <c r="Z26509" s="258"/>
    </row>
    <row r="26510" spans="1:26" ht="12.75" customHeight="1" x14ac:dyDescent="0.2">
      <c r="A26510" s="258"/>
      <c r="Z26510" s="258"/>
    </row>
    <row r="26511" spans="1:26" ht="12.75" customHeight="1" x14ac:dyDescent="0.2">
      <c r="A26511" s="258"/>
      <c r="Z26511" s="258"/>
    </row>
    <row r="26512" spans="1:26" ht="12.75" customHeight="1" x14ac:dyDescent="0.2">
      <c r="A26512" s="258"/>
      <c r="Z26512" s="258"/>
    </row>
    <row r="26513" spans="1:26" ht="12.75" customHeight="1" x14ac:dyDescent="0.2">
      <c r="A26513" s="258"/>
      <c r="Z26513" s="258"/>
    </row>
    <row r="26514" spans="1:26" ht="12.75" customHeight="1" x14ac:dyDescent="0.2">
      <c r="A26514" s="258"/>
      <c r="Z26514" s="258"/>
    </row>
    <row r="26515" spans="1:26" ht="12.75" customHeight="1" x14ac:dyDescent="0.2">
      <c r="A26515" s="258"/>
      <c r="Z26515" s="258"/>
    </row>
    <row r="26516" spans="1:26" ht="12.75" customHeight="1" x14ac:dyDescent="0.2">
      <c r="A26516" s="258"/>
      <c r="Z26516" s="258"/>
    </row>
    <row r="26517" spans="1:26" ht="12.75" customHeight="1" x14ac:dyDescent="0.2">
      <c r="A26517" s="258"/>
      <c r="Z26517" s="258"/>
    </row>
    <row r="26518" spans="1:26" ht="12.75" customHeight="1" x14ac:dyDescent="0.2">
      <c r="A26518" s="258"/>
      <c r="Z26518" s="258"/>
    </row>
    <row r="26519" spans="1:26" ht="12.75" customHeight="1" x14ac:dyDescent="0.2">
      <c r="A26519" s="258"/>
      <c r="Z26519" s="258"/>
    </row>
    <row r="26520" spans="1:26" ht="12.75" customHeight="1" x14ac:dyDescent="0.2">
      <c r="A26520" s="258"/>
      <c r="Z26520" s="258"/>
    </row>
    <row r="26521" spans="1:26" ht="12.75" customHeight="1" x14ac:dyDescent="0.2">
      <c r="A26521" s="258"/>
      <c r="Z26521" s="258"/>
    </row>
    <row r="26522" spans="1:26" ht="12.75" customHeight="1" x14ac:dyDescent="0.2">
      <c r="A26522" s="258"/>
      <c r="Z26522" s="258"/>
    </row>
    <row r="26523" spans="1:26" ht="12.75" customHeight="1" x14ac:dyDescent="0.2">
      <c r="A26523" s="258"/>
      <c r="Z26523" s="258"/>
    </row>
    <row r="26524" spans="1:26" ht="12.75" customHeight="1" x14ac:dyDescent="0.2">
      <c r="A26524" s="258"/>
      <c r="Z26524" s="258"/>
    </row>
    <row r="26525" spans="1:26" ht="12.75" customHeight="1" x14ac:dyDescent="0.2">
      <c r="A26525" s="258"/>
      <c r="Z26525" s="258"/>
    </row>
    <row r="26526" spans="1:26" ht="12.75" customHeight="1" x14ac:dyDescent="0.2">
      <c r="A26526" s="258"/>
      <c r="Z26526" s="258"/>
    </row>
    <row r="26527" spans="1:26" ht="12.75" customHeight="1" x14ac:dyDescent="0.2">
      <c r="A26527" s="258"/>
      <c r="Z26527" s="258"/>
    </row>
    <row r="26528" spans="1:26" ht="12.75" customHeight="1" x14ac:dyDescent="0.2">
      <c r="A26528" s="258"/>
      <c r="Z26528" s="258"/>
    </row>
    <row r="26529" spans="1:26" ht="12.75" customHeight="1" x14ac:dyDescent="0.2">
      <c r="A26529" s="258"/>
      <c r="Z26529" s="258"/>
    </row>
    <row r="26530" spans="1:26" ht="12.75" customHeight="1" x14ac:dyDescent="0.2">
      <c r="A26530" s="258"/>
      <c r="Z26530" s="258"/>
    </row>
    <row r="26531" spans="1:26" ht="12.75" customHeight="1" x14ac:dyDescent="0.2">
      <c r="A26531" s="258"/>
      <c r="Z26531" s="258"/>
    </row>
    <row r="26532" spans="1:26" ht="12.75" customHeight="1" x14ac:dyDescent="0.2">
      <c r="A26532" s="258"/>
      <c r="Z26532" s="258"/>
    </row>
    <row r="26533" spans="1:26" ht="12.75" customHeight="1" x14ac:dyDescent="0.2">
      <c r="A26533" s="258"/>
      <c r="Z26533" s="258"/>
    </row>
    <row r="26534" spans="1:26" ht="12.75" customHeight="1" x14ac:dyDescent="0.2">
      <c r="A26534" s="258"/>
      <c r="Z26534" s="258"/>
    </row>
    <row r="26535" spans="1:26" ht="12.75" customHeight="1" x14ac:dyDescent="0.2">
      <c r="A26535" s="258"/>
      <c r="Z26535" s="258"/>
    </row>
    <row r="26536" spans="1:26" ht="12.75" customHeight="1" x14ac:dyDescent="0.2">
      <c r="A26536" s="258"/>
      <c r="Z26536" s="258"/>
    </row>
    <row r="26537" spans="1:26" ht="12.75" customHeight="1" x14ac:dyDescent="0.2">
      <c r="A26537" s="258"/>
      <c r="Z26537" s="258"/>
    </row>
    <row r="26538" spans="1:26" ht="12.75" customHeight="1" x14ac:dyDescent="0.2">
      <c r="A26538" s="258"/>
      <c r="Z26538" s="258"/>
    </row>
    <row r="26539" spans="1:26" ht="12.75" customHeight="1" x14ac:dyDescent="0.2">
      <c r="A26539" s="258"/>
      <c r="Z26539" s="258"/>
    </row>
    <row r="26540" spans="1:26" ht="12.75" customHeight="1" x14ac:dyDescent="0.2">
      <c r="A26540" s="258"/>
      <c r="Z26540" s="258"/>
    </row>
    <row r="26541" spans="1:26" ht="12.75" customHeight="1" x14ac:dyDescent="0.2">
      <c r="A26541" s="258"/>
      <c r="Z26541" s="258"/>
    </row>
    <row r="26542" spans="1:26" ht="12.75" customHeight="1" x14ac:dyDescent="0.2">
      <c r="A26542" s="258"/>
      <c r="Z26542" s="258"/>
    </row>
    <row r="26543" spans="1:26" ht="12.75" customHeight="1" x14ac:dyDescent="0.2">
      <c r="A26543" s="258"/>
      <c r="Z26543" s="258"/>
    </row>
    <row r="26544" spans="1:26" ht="12.75" customHeight="1" x14ac:dyDescent="0.2">
      <c r="A26544" s="258"/>
      <c r="Z26544" s="258"/>
    </row>
    <row r="26545" spans="1:26" ht="12.75" customHeight="1" x14ac:dyDescent="0.2">
      <c r="A26545" s="258"/>
      <c r="Z26545" s="258"/>
    </row>
    <row r="26546" spans="1:26" ht="12.75" customHeight="1" x14ac:dyDescent="0.2">
      <c r="A26546" s="258"/>
      <c r="Z26546" s="258"/>
    </row>
    <row r="26547" spans="1:26" ht="12.75" customHeight="1" x14ac:dyDescent="0.2">
      <c r="A26547" s="258"/>
      <c r="Z26547" s="258"/>
    </row>
    <row r="26548" spans="1:26" ht="12.75" customHeight="1" x14ac:dyDescent="0.2">
      <c r="A26548" s="258"/>
      <c r="Z26548" s="258"/>
    </row>
    <row r="26549" spans="1:26" ht="12.75" customHeight="1" x14ac:dyDescent="0.2">
      <c r="A26549" s="258"/>
      <c r="Z26549" s="258"/>
    </row>
    <row r="26550" spans="1:26" ht="12.75" customHeight="1" x14ac:dyDescent="0.2">
      <c r="A26550" s="258"/>
      <c r="Z26550" s="258"/>
    </row>
    <row r="26551" spans="1:26" ht="12.75" customHeight="1" x14ac:dyDescent="0.2">
      <c r="A26551" s="258"/>
      <c r="Z26551" s="258"/>
    </row>
    <row r="26552" spans="1:26" ht="12.75" customHeight="1" x14ac:dyDescent="0.2">
      <c r="A26552" s="258"/>
      <c r="Z26552" s="258"/>
    </row>
    <row r="26553" spans="1:26" ht="12.75" customHeight="1" x14ac:dyDescent="0.2">
      <c r="A26553" s="258"/>
      <c r="Z26553" s="258"/>
    </row>
    <row r="26554" spans="1:26" ht="12.75" customHeight="1" x14ac:dyDescent="0.2">
      <c r="A26554" s="258"/>
      <c r="Z26554" s="258"/>
    </row>
    <row r="26555" spans="1:26" ht="12.75" customHeight="1" x14ac:dyDescent="0.2">
      <c r="A26555" s="258"/>
      <c r="Z26555" s="258"/>
    </row>
    <row r="26556" spans="1:26" ht="12.75" customHeight="1" x14ac:dyDescent="0.2">
      <c r="A26556" s="258"/>
      <c r="Z26556" s="258"/>
    </row>
    <row r="26557" spans="1:26" ht="12.75" customHeight="1" x14ac:dyDescent="0.2">
      <c r="A26557" s="258"/>
      <c r="Z26557" s="258"/>
    </row>
    <row r="26558" spans="1:26" ht="12.75" customHeight="1" x14ac:dyDescent="0.2">
      <c r="A26558" s="258"/>
      <c r="Z26558" s="258"/>
    </row>
    <row r="26559" spans="1:26" ht="12.75" customHeight="1" x14ac:dyDescent="0.2">
      <c r="A26559" s="258"/>
      <c r="Z26559" s="258"/>
    </row>
    <row r="26560" spans="1:26" ht="12.75" customHeight="1" x14ac:dyDescent="0.2">
      <c r="A26560" s="258"/>
      <c r="Z26560" s="258"/>
    </row>
    <row r="26561" spans="1:26" ht="12.75" customHeight="1" x14ac:dyDescent="0.2">
      <c r="A26561" s="258"/>
      <c r="Z26561" s="258"/>
    </row>
    <row r="26562" spans="1:26" ht="12.75" customHeight="1" x14ac:dyDescent="0.2">
      <c r="A26562" s="258"/>
      <c r="Z26562" s="258"/>
    </row>
    <row r="26563" spans="1:26" ht="12.75" customHeight="1" x14ac:dyDescent="0.2">
      <c r="A26563" s="258"/>
      <c r="Z26563" s="258"/>
    </row>
    <row r="26564" spans="1:26" ht="12.75" customHeight="1" x14ac:dyDescent="0.2">
      <c r="A26564" s="258"/>
      <c r="Z26564" s="258"/>
    </row>
    <row r="26565" spans="1:26" ht="12.75" customHeight="1" x14ac:dyDescent="0.2">
      <c r="A26565" s="258"/>
      <c r="Z26565" s="258"/>
    </row>
    <row r="26566" spans="1:26" ht="12.75" customHeight="1" x14ac:dyDescent="0.2">
      <c r="A26566" s="258"/>
      <c r="Z26566" s="258"/>
    </row>
    <row r="26567" spans="1:26" ht="12.75" customHeight="1" x14ac:dyDescent="0.2">
      <c r="A26567" s="258"/>
      <c r="Z26567" s="258"/>
    </row>
    <row r="26568" spans="1:26" ht="12.75" customHeight="1" x14ac:dyDescent="0.2">
      <c r="A26568" s="258"/>
      <c r="Z26568" s="258"/>
    </row>
    <row r="26569" spans="1:26" ht="12.75" customHeight="1" x14ac:dyDescent="0.2">
      <c r="A26569" s="258"/>
      <c r="Z26569" s="258"/>
    </row>
    <row r="26570" spans="1:26" ht="12.75" customHeight="1" x14ac:dyDescent="0.2">
      <c r="A26570" s="258"/>
      <c r="Z26570" s="258"/>
    </row>
    <row r="26571" spans="1:26" ht="12.75" customHeight="1" x14ac:dyDescent="0.2">
      <c r="A26571" s="258"/>
      <c r="Z26571" s="258"/>
    </row>
    <row r="26572" spans="1:26" ht="12.75" customHeight="1" x14ac:dyDescent="0.2">
      <c r="A26572" s="258"/>
      <c r="Z26572" s="258"/>
    </row>
    <row r="26573" spans="1:26" ht="12.75" customHeight="1" x14ac:dyDescent="0.2">
      <c r="A26573" s="258"/>
      <c r="Z26573" s="258"/>
    </row>
    <row r="26574" spans="1:26" ht="12.75" customHeight="1" x14ac:dyDescent="0.2">
      <c r="A26574" s="258"/>
      <c r="Z26574" s="258"/>
    </row>
    <row r="26575" spans="1:26" ht="12.75" customHeight="1" x14ac:dyDescent="0.2">
      <c r="A26575" s="258"/>
      <c r="Z26575" s="258"/>
    </row>
    <row r="26576" spans="1:26" ht="12.75" customHeight="1" x14ac:dyDescent="0.2">
      <c r="A26576" s="258"/>
      <c r="Z26576" s="258"/>
    </row>
    <row r="26577" spans="1:26" ht="12.75" customHeight="1" x14ac:dyDescent="0.2">
      <c r="A26577" s="258"/>
      <c r="Z26577" s="258"/>
    </row>
    <row r="26578" spans="1:26" ht="12.75" customHeight="1" x14ac:dyDescent="0.2">
      <c r="A26578" s="258"/>
      <c r="Z26578" s="258"/>
    </row>
    <row r="26579" spans="1:26" ht="12.75" customHeight="1" x14ac:dyDescent="0.2">
      <c r="A26579" s="258"/>
      <c r="Z26579" s="258"/>
    </row>
    <row r="26580" spans="1:26" ht="12.75" customHeight="1" x14ac:dyDescent="0.2">
      <c r="A26580" s="258"/>
      <c r="Z26580" s="258"/>
    </row>
    <row r="26581" spans="1:26" ht="12.75" customHeight="1" x14ac:dyDescent="0.2">
      <c r="A26581" s="258"/>
      <c r="Z26581" s="258"/>
    </row>
    <row r="26582" spans="1:26" ht="12.75" customHeight="1" x14ac:dyDescent="0.2">
      <c r="A26582" s="258"/>
      <c r="Z26582" s="258"/>
    </row>
    <row r="26583" spans="1:26" ht="12.75" customHeight="1" x14ac:dyDescent="0.2">
      <c r="A26583" s="258"/>
      <c r="Z26583" s="258"/>
    </row>
    <row r="26584" spans="1:26" ht="12.75" customHeight="1" x14ac:dyDescent="0.2">
      <c r="A26584" s="258"/>
      <c r="Z26584" s="258"/>
    </row>
    <row r="26585" spans="1:26" ht="12.75" customHeight="1" x14ac:dyDescent="0.2">
      <c r="A26585" s="258"/>
      <c r="Z26585" s="258"/>
    </row>
    <row r="26586" spans="1:26" ht="12.75" customHeight="1" x14ac:dyDescent="0.2">
      <c r="A26586" s="258"/>
      <c r="Z26586" s="258"/>
    </row>
    <row r="26587" spans="1:26" ht="12.75" customHeight="1" x14ac:dyDescent="0.2">
      <c r="A26587" s="258"/>
      <c r="Z26587" s="258"/>
    </row>
    <row r="26588" spans="1:26" ht="12.75" customHeight="1" x14ac:dyDescent="0.2">
      <c r="A26588" s="258"/>
      <c r="Z26588" s="258"/>
    </row>
    <row r="26589" spans="1:26" ht="12.75" customHeight="1" x14ac:dyDescent="0.2">
      <c r="A26589" s="258"/>
      <c r="Z26589" s="258"/>
    </row>
    <row r="26590" spans="1:26" ht="12.75" customHeight="1" x14ac:dyDescent="0.2">
      <c r="A26590" s="258"/>
      <c r="Z26590" s="258"/>
    </row>
    <row r="26591" spans="1:26" ht="12.75" customHeight="1" x14ac:dyDescent="0.2">
      <c r="A26591" s="258"/>
      <c r="Z26591" s="258"/>
    </row>
    <row r="26592" spans="1:26" ht="12.75" customHeight="1" x14ac:dyDescent="0.2">
      <c r="A26592" s="258"/>
      <c r="Z26592" s="258"/>
    </row>
    <row r="26593" spans="1:26" ht="12.75" customHeight="1" x14ac:dyDescent="0.2">
      <c r="A26593" s="258"/>
      <c r="Z26593" s="258"/>
    </row>
    <row r="26594" spans="1:26" ht="12.75" customHeight="1" x14ac:dyDescent="0.2">
      <c r="A26594" s="258"/>
      <c r="Z26594" s="258"/>
    </row>
    <row r="26595" spans="1:26" ht="12.75" customHeight="1" x14ac:dyDescent="0.2">
      <c r="A26595" s="258"/>
      <c r="Z26595" s="258"/>
    </row>
    <row r="26596" spans="1:26" ht="12.75" customHeight="1" x14ac:dyDescent="0.2">
      <c r="A26596" s="258"/>
      <c r="Z26596" s="258"/>
    </row>
    <row r="26597" spans="1:26" ht="12.75" customHeight="1" x14ac:dyDescent="0.2">
      <c r="A26597" s="258"/>
      <c r="Z26597" s="258"/>
    </row>
    <row r="26598" spans="1:26" ht="12.75" customHeight="1" x14ac:dyDescent="0.2">
      <c r="A26598" s="258"/>
      <c r="Z26598" s="258"/>
    </row>
    <row r="26599" spans="1:26" ht="12.75" customHeight="1" x14ac:dyDescent="0.2">
      <c r="A26599" s="258"/>
      <c r="Z26599" s="258"/>
    </row>
    <row r="26600" spans="1:26" ht="12.75" customHeight="1" x14ac:dyDescent="0.2">
      <c r="A26600" s="258"/>
      <c r="Z26600" s="258"/>
    </row>
    <row r="26601" spans="1:26" ht="12.75" customHeight="1" x14ac:dyDescent="0.2">
      <c r="A26601" s="258"/>
      <c r="Z26601" s="258"/>
    </row>
    <row r="26602" spans="1:26" ht="12.75" customHeight="1" x14ac:dyDescent="0.2">
      <c r="A26602" s="258"/>
      <c r="Z26602" s="258"/>
    </row>
    <row r="26603" spans="1:26" ht="12.75" customHeight="1" x14ac:dyDescent="0.2">
      <c r="A26603" s="258"/>
      <c r="Z26603" s="258"/>
    </row>
    <row r="26604" spans="1:26" ht="12.75" customHeight="1" x14ac:dyDescent="0.2">
      <c r="A26604" s="258"/>
      <c r="Z26604" s="258"/>
    </row>
    <row r="26605" spans="1:26" ht="12.75" customHeight="1" x14ac:dyDescent="0.2">
      <c r="A26605" s="258"/>
      <c r="Z26605" s="258"/>
    </row>
    <row r="26606" spans="1:26" ht="12.75" customHeight="1" x14ac:dyDescent="0.2">
      <c r="A26606" s="258"/>
      <c r="Z26606" s="258"/>
    </row>
    <row r="26607" spans="1:26" ht="12.75" customHeight="1" x14ac:dyDescent="0.2">
      <c r="A26607" s="258"/>
      <c r="Z26607" s="258"/>
    </row>
    <row r="26608" spans="1:26" ht="12.75" customHeight="1" x14ac:dyDescent="0.2">
      <c r="A26608" s="258"/>
      <c r="Z26608" s="258"/>
    </row>
    <row r="26609" spans="1:26" ht="12.75" customHeight="1" x14ac:dyDescent="0.2">
      <c r="A26609" s="258"/>
      <c r="Z26609" s="258"/>
    </row>
    <row r="26610" spans="1:26" ht="12.75" customHeight="1" x14ac:dyDescent="0.2">
      <c r="A26610" s="258"/>
      <c r="Z26610" s="258"/>
    </row>
    <row r="26611" spans="1:26" ht="12.75" customHeight="1" x14ac:dyDescent="0.2">
      <c r="A26611" s="258"/>
      <c r="Z26611" s="258"/>
    </row>
    <row r="26612" spans="1:26" ht="12.75" customHeight="1" x14ac:dyDescent="0.2">
      <c r="A26612" s="258"/>
      <c r="Z26612" s="258"/>
    </row>
    <row r="26613" spans="1:26" ht="12.75" customHeight="1" x14ac:dyDescent="0.2">
      <c r="A26613" s="258"/>
      <c r="Z26613" s="258"/>
    </row>
    <row r="26614" spans="1:26" ht="12.75" customHeight="1" x14ac:dyDescent="0.2">
      <c r="A26614" s="258"/>
      <c r="Z26614" s="258"/>
    </row>
    <row r="26615" spans="1:26" ht="12.75" customHeight="1" x14ac:dyDescent="0.2">
      <c r="A26615" s="258"/>
      <c r="Z26615" s="258"/>
    </row>
    <row r="26616" spans="1:26" ht="12.75" customHeight="1" x14ac:dyDescent="0.2">
      <c r="A26616" s="258"/>
      <c r="Z26616" s="258"/>
    </row>
    <row r="26617" spans="1:26" ht="12.75" customHeight="1" x14ac:dyDescent="0.2">
      <c r="A26617" s="258"/>
      <c r="Z26617" s="258"/>
    </row>
    <row r="26618" spans="1:26" ht="12.75" customHeight="1" x14ac:dyDescent="0.2">
      <c r="A26618" s="258"/>
      <c r="Z26618" s="258"/>
    </row>
    <row r="26619" spans="1:26" ht="12.75" customHeight="1" x14ac:dyDescent="0.2">
      <c r="A26619" s="258"/>
      <c r="Z26619" s="258"/>
    </row>
    <row r="26620" spans="1:26" ht="12.75" customHeight="1" x14ac:dyDescent="0.2">
      <c r="A26620" s="258"/>
      <c r="Z26620" s="258"/>
    </row>
    <row r="26621" spans="1:26" ht="12.75" customHeight="1" x14ac:dyDescent="0.2">
      <c r="A26621" s="258"/>
      <c r="Z26621" s="258"/>
    </row>
    <row r="26622" spans="1:26" ht="12.75" customHeight="1" x14ac:dyDescent="0.2">
      <c r="A26622" s="258"/>
      <c r="Z26622" s="258"/>
    </row>
    <row r="26623" spans="1:26" ht="12.75" customHeight="1" x14ac:dyDescent="0.2">
      <c r="A26623" s="258"/>
      <c r="Z26623" s="258"/>
    </row>
    <row r="26624" spans="1:26" ht="12.75" customHeight="1" x14ac:dyDescent="0.2">
      <c r="A26624" s="258"/>
      <c r="Z26624" s="258"/>
    </row>
    <row r="26625" spans="1:26" ht="12.75" customHeight="1" x14ac:dyDescent="0.2">
      <c r="A26625" s="258"/>
      <c r="Z26625" s="258"/>
    </row>
    <row r="26626" spans="1:26" ht="12.75" customHeight="1" x14ac:dyDescent="0.2">
      <c r="A26626" s="258"/>
      <c r="Z26626" s="258"/>
    </row>
    <row r="26627" spans="1:26" ht="12.75" customHeight="1" x14ac:dyDescent="0.2">
      <c r="A26627" s="258"/>
      <c r="Z26627" s="258"/>
    </row>
    <row r="26628" spans="1:26" ht="12.75" customHeight="1" x14ac:dyDescent="0.2">
      <c r="A26628" s="258"/>
      <c r="Z26628" s="258"/>
    </row>
    <row r="26629" spans="1:26" ht="12.75" customHeight="1" x14ac:dyDescent="0.2">
      <c r="A26629" s="258"/>
      <c r="Z26629" s="258"/>
    </row>
    <row r="26630" spans="1:26" ht="12.75" customHeight="1" x14ac:dyDescent="0.2">
      <c r="A26630" s="258"/>
      <c r="Z26630" s="258"/>
    </row>
    <row r="26631" spans="1:26" ht="12.75" customHeight="1" x14ac:dyDescent="0.2">
      <c r="A26631" s="258"/>
      <c r="Z26631" s="258"/>
    </row>
    <row r="26632" spans="1:26" ht="12.75" customHeight="1" x14ac:dyDescent="0.2">
      <c r="A26632" s="258"/>
      <c r="Z26632" s="258"/>
    </row>
    <row r="26633" spans="1:26" ht="12.75" customHeight="1" x14ac:dyDescent="0.2">
      <c r="A26633" s="258"/>
      <c r="Z26633" s="258"/>
    </row>
    <row r="26634" spans="1:26" ht="12.75" customHeight="1" x14ac:dyDescent="0.2">
      <c r="A26634" s="258"/>
      <c r="Z26634" s="258"/>
    </row>
    <row r="26635" spans="1:26" ht="12.75" customHeight="1" x14ac:dyDescent="0.2">
      <c r="A26635" s="258"/>
      <c r="Z26635" s="258"/>
    </row>
    <row r="26636" spans="1:26" ht="12.75" customHeight="1" x14ac:dyDescent="0.2">
      <c r="A26636" s="258"/>
      <c r="Z26636" s="258"/>
    </row>
    <row r="26637" spans="1:26" ht="12.75" customHeight="1" x14ac:dyDescent="0.2">
      <c r="A26637" s="258"/>
      <c r="Z26637" s="258"/>
    </row>
    <row r="26638" spans="1:26" ht="12.75" customHeight="1" x14ac:dyDescent="0.2">
      <c r="A26638" s="258"/>
      <c r="Z26638" s="258"/>
    </row>
    <row r="26639" spans="1:26" ht="12.75" customHeight="1" x14ac:dyDescent="0.2">
      <c r="A26639" s="258"/>
      <c r="Z26639" s="258"/>
    </row>
    <row r="26640" spans="1:26" ht="12.75" customHeight="1" x14ac:dyDescent="0.2">
      <c r="A26640" s="258"/>
      <c r="Z26640" s="258"/>
    </row>
    <row r="26641" spans="1:26" ht="12.75" customHeight="1" x14ac:dyDescent="0.2">
      <c r="A26641" s="258"/>
      <c r="Z26641" s="258"/>
    </row>
    <row r="26642" spans="1:26" ht="12.75" customHeight="1" x14ac:dyDescent="0.2">
      <c r="A26642" s="258"/>
      <c r="Z26642" s="258"/>
    </row>
    <row r="26643" spans="1:26" ht="12.75" customHeight="1" x14ac:dyDescent="0.2">
      <c r="A26643" s="258"/>
      <c r="Z26643" s="258"/>
    </row>
    <row r="26644" spans="1:26" ht="12.75" customHeight="1" x14ac:dyDescent="0.2">
      <c r="A26644" s="258"/>
      <c r="Z26644" s="258"/>
    </row>
    <row r="26645" spans="1:26" ht="12.75" customHeight="1" x14ac:dyDescent="0.2">
      <c r="A26645" s="258"/>
      <c r="Z26645" s="258"/>
    </row>
    <row r="26646" spans="1:26" ht="12.75" customHeight="1" x14ac:dyDescent="0.2">
      <c r="A26646" s="258"/>
      <c r="Z26646" s="258"/>
    </row>
    <row r="26647" spans="1:26" ht="12.75" customHeight="1" x14ac:dyDescent="0.2">
      <c r="A26647" s="258"/>
      <c r="Z26647" s="258"/>
    </row>
    <row r="26648" spans="1:26" ht="12.75" customHeight="1" x14ac:dyDescent="0.2">
      <c r="A26648" s="258"/>
      <c r="Z26648" s="258"/>
    </row>
    <row r="26649" spans="1:26" ht="12.75" customHeight="1" x14ac:dyDescent="0.2">
      <c r="A26649" s="258"/>
      <c r="Z26649" s="258"/>
    </row>
    <row r="26650" spans="1:26" ht="12.75" customHeight="1" x14ac:dyDescent="0.2">
      <c r="A26650" s="258"/>
      <c r="Z26650" s="258"/>
    </row>
    <row r="26651" spans="1:26" ht="12.75" customHeight="1" x14ac:dyDescent="0.2">
      <c r="A26651" s="258"/>
      <c r="Z26651" s="258"/>
    </row>
    <row r="26652" spans="1:26" ht="12.75" customHeight="1" x14ac:dyDescent="0.2">
      <c r="A26652" s="258"/>
      <c r="Z26652" s="258"/>
    </row>
    <row r="26653" spans="1:26" ht="12.75" customHeight="1" x14ac:dyDescent="0.2">
      <c r="A26653" s="258"/>
      <c r="Z26653" s="258"/>
    </row>
    <row r="26654" spans="1:26" ht="12.75" customHeight="1" x14ac:dyDescent="0.2">
      <c r="A26654" s="258"/>
      <c r="Z26654" s="258"/>
    </row>
    <row r="26655" spans="1:26" ht="12.75" customHeight="1" x14ac:dyDescent="0.2">
      <c r="A26655" s="258"/>
      <c r="Z26655" s="258"/>
    </row>
    <row r="26656" spans="1:26" ht="12.75" customHeight="1" x14ac:dyDescent="0.2">
      <c r="A26656" s="258"/>
      <c r="Z26656" s="258"/>
    </row>
    <row r="26657" spans="1:26" ht="12.75" customHeight="1" x14ac:dyDescent="0.2">
      <c r="A26657" s="258"/>
      <c r="Z26657" s="258"/>
    </row>
    <row r="26658" spans="1:26" ht="12.75" customHeight="1" x14ac:dyDescent="0.2">
      <c r="A26658" s="258"/>
      <c r="Z26658" s="258"/>
    </row>
    <row r="26659" spans="1:26" ht="12.75" customHeight="1" x14ac:dyDescent="0.2">
      <c r="A26659" s="258"/>
      <c r="Z26659" s="258"/>
    </row>
    <row r="26660" spans="1:26" ht="12.75" customHeight="1" x14ac:dyDescent="0.2">
      <c r="A26660" s="258"/>
      <c r="Z26660" s="258"/>
    </row>
    <row r="26661" spans="1:26" ht="12.75" customHeight="1" x14ac:dyDescent="0.2">
      <c r="A26661" s="258"/>
      <c r="Z26661" s="258"/>
    </row>
    <row r="26662" spans="1:26" ht="12.75" customHeight="1" x14ac:dyDescent="0.2">
      <c r="A26662" s="258"/>
      <c r="Z26662" s="258"/>
    </row>
    <row r="26663" spans="1:26" ht="12.75" customHeight="1" x14ac:dyDescent="0.2">
      <c r="A26663" s="258"/>
      <c r="Z26663" s="258"/>
    </row>
    <row r="26664" spans="1:26" ht="12.75" customHeight="1" x14ac:dyDescent="0.2">
      <c r="A26664" s="258"/>
      <c r="Z26664" s="258"/>
    </row>
    <row r="26665" spans="1:26" ht="12.75" customHeight="1" x14ac:dyDescent="0.2">
      <c r="A26665" s="258"/>
      <c r="Z26665" s="258"/>
    </row>
    <row r="26666" spans="1:26" ht="12.75" customHeight="1" x14ac:dyDescent="0.2">
      <c r="A26666" s="258"/>
      <c r="Z26666" s="258"/>
    </row>
    <row r="26667" spans="1:26" ht="12.75" customHeight="1" x14ac:dyDescent="0.2">
      <c r="A26667" s="258"/>
      <c r="Z26667" s="258"/>
    </row>
    <row r="26668" spans="1:26" ht="12.75" customHeight="1" x14ac:dyDescent="0.2">
      <c r="A26668" s="258"/>
      <c r="Z26668" s="258"/>
    </row>
    <row r="26669" spans="1:26" ht="12.75" customHeight="1" x14ac:dyDescent="0.2">
      <c r="A26669" s="258"/>
      <c r="Z26669" s="258"/>
    </row>
    <row r="26670" spans="1:26" ht="12.75" customHeight="1" x14ac:dyDescent="0.2">
      <c r="A26670" s="258"/>
      <c r="Z26670" s="258"/>
    </row>
    <row r="26671" spans="1:26" ht="12.75" customHeight="1" x14ac:dyDescent="0.2">
      <c r="A26671" s="258"/>
      <c r="Z26671" s="258"/>
    </row>
    <row r="26672" spans="1:26" ht="12.75" customHeight="1" x14ac:dyDescent="0.2">
      <c r="A26672" s="258"/>
      <c r="Z26672" s="258"/>
    </row>
    <row r="26673" spans="1:26" ht="12.75" customHeight="1" x14ac:dyDescent="0.2">
      <c r="A26673" s="258"/>
      <c r="Z26673" s="258"/>
    </row>
    <row r="26674" spans="1:26" ht="12.75" customHeight="1" x14ac:dyDescent="0.2">
      <c r="A26674" s="258"/>
      <c r="Z26674" s="258"/>
    </row>
    <row r="26675" spans="1:26" ht="12.75" customHeight="1" x14ac:dyDescent="0.2">
      <c r="A26675" s="258"/>
      <c r="Z26675" s="258"/>
    </row>
    <row r="26676" spans="1:26" ht="12.75" customHeight="1" x14ac:dyDescent="0.2">
      <c r="A26676" s="258"/>
      <c r="Z26676" s="258"/>
    </row>
    <row r="26677" spans="1:26" ht="12.75" customHeight="1" x14ac:dyDescent="0.2">
      <c r="A26677" s="258"/>
      <c r="Z26677" s="258"/>
    </row>
    <row r="26678" spans="1:26" ht="12.75" customHeight="1" x14ac:dyDescent="0.2">
      <c r="A26678" s="258"/>
      <c r="Z26678" s="258"/>
    </row>
    <row r="26679" spans="1:26" ht="12.75" customHeight="1" x14ac:dyDescent="0.2">
      <c r="A26679" s="258"/>
      <c r="Z26679" s="258"/>
    </row>
    <row r="26680" spans="1:26" ht="12.75" customHeight="1" x14ac:dyDescent="0.2">
      <c r="A26680" s="258"/>
      <c r="Z26680" s="258"/>
    </row>
    <row r="26681" spans="1:26" ht="12.75" customHeight="1" x14ac:dyDescent="0.2">
      <c r="A26681" s="258"/>
      <c r="Z26681" s="258"/>
    </row>
    <row r="26682" spans="1:26" ht="12.75" customHeight="1" x14ac:dyDescent="0.2">
      <c r="A26682" s="258"/>
      <c r="Z26682" s="258"/>
    </row>
    <row r="26683" spans="1:26" ht="12.75" customHeight="1" x14ac:dyDescent="0.2">
      <c r="A26683" s="258"/>
      <c r="Z26683" s="258"/>
    </row>
    <row r="26684" spans="1:26" ht="12.75" customHeight="1" x14ac:dyDescent="0.2">
      <c r="A26684" s="258"/>
      <c r="Z26684" s="258"/>
    </row>
    <row r="26685" spans="1:26" ht="12.75" customHeight="1" x14ac:dyDescent="0.2">
      <c r="A26685" s="258"/>
      <c r="Z26685" s="258"/>
    </row>
    <row r="26686" spans="1:26" ht="12.75" customHeight="1" x14ac:dyDescent="0.2">
      <c r="A26686" s="258"/>
      <c r="Z26686" s="258"/>
    </row>
    <row r="26687" spans="1:26" ht="12.75" customHeight="1" x14ac:dyDescent="0.2">
      <c r="A26687" s="258"/>
      <c r="Z26687" s="258"/>
    </row>
    <row r="26688" spans="1:26" ht="12.75" customHeight="1" x14ac:dyDescent="0.2">
      <c r="A26688" s="258"/>
      <c r="Z26688" s="258"/>
    </row>
    <row r="26689" spans="1:26" ht="12.75" customHeight="1" x14ac:dyDescent="0.2">
      <c r="A26689" s="258"/>
      <c r="Z26689" s="258"/>
    </row>
    <row r="26690" spans="1:26" ht="12.75" customHeight="1" x14ac:dyDescent="0.2">
      <c r="A26690" s="258"/>
      <c r="Z26690" s="258"/>
    </row>
    <row r="26691" spans="1:26" ht="12.75" customHeight="1" x14ac:dyDescent="0.2">
      <c r="A26691" s="258"/>
      <c r="Z26691" s="258"/>
    </row>
    <row r="26692" spans="1:26" ht="12.75" customHeight="1" x14ac:dyDescent="0.2">
      <c r="A26692" s="258"/>
      <c r="Z26692" s="258"/>
    </row>
    <row r="26693" spans="1:26" ht="12.75" customHeight="1" x14ac:dyDescent="0.2">
      <c r="A26693" s="258"/>
      <c r="Z26693" s="258"/>
    </row>
    <row r="26694" spans="1:26" ht="12.75" customHeight="1" x14ac:dyDescent="0.2">
      <c r="A26694" s="258"/>
      <c r="Z26694" s="258"/>
    </row>
    <row r="26695" spans="1:26" ht="12.75" customHeight="1" x14ac:dyDescent="0.2">
      <c r="A26695" s="258"/>
      <c r="Z26695" s="258"/>
    </row>
    <row r="26696" spans="1:26" ht="12.75" customHeight="1" x14ac:dyDescent="0.2">
      <c r="A26696" s="258"/>
      <c r="Z26696" s="258"/>
    </row>
    <row r="26697" spans="1:26" ht="12.75" customHeight="1" x14ac:dyDescent="0.2">
      <c r="A26697" s="258"/>
      <c r="Z26697" s="258"/>
    </row>
    <row r="26698" spans="1:26" ht="12.75" customHeight="1" x14ac:dyDescent="0.2">
      <c r="A26698" s="258"/>
      <c r="Z26698" s="258"/>
    </row>
    <row r="26699" spans="1:26" ht="12.75" customHeight="1" x14ac:dyDescent="0.2">
      <c r="A26699" s="258"/>
      <c r="Z26699" s="258"/>
    </row>
    <row r="26700" spans="1:26" ht="12.75" customHeight="1" x14ac:dyDescent="0.2">
      <c r="A26700" s="258"/>
      <c r="Z26700" s="258"/>
    </row>
    <row r="26701" spans="1:26" ht="12.75" customHeight="1" x14ac:dyDescent="0.2">
      <c r="A26701" s="258"/>
      <c r="Z26701" s="258"/>
    </row>
    <row r="26702" spans="1:26" ht="12.75" customHeight="1" x14ac:dyDescent="0.2">
      <c r="A26702" s="258"/>
      <c r="Z26702" s="258"/>
    </row>
    <row r="26703" spans="1:26" ht="12.75" customHeight="1" x14ac:dyDescent="0.2">
      <c r="A26703" s="258"/>
      <c r="Z26703" s="258"/>
    </row>
    <row r="26704" spans="1:26" ht="12.75" customHeight="1" x14ac:dyDescent="0.2">
      <c r="A26704" s="258"/>
      <c r="Z26704" s="258"/>
    </row>
    <row r="26705" spans="1:26" ht="12.75" customHeight="1" x14ac:dyDescent="0.2">
      <c r="A26705" s="258"/>
      <c r="Z26705" s="258"/>
    </row>
    <row r="26706" spans="1:26" ht="12.75" customHeight="1" x14ac:dyDescent="0.2">
      <c r="A26706" s="258"/>
      <c r="Z26706" s="258"/>
    </row>
    <row r="26707" spans="1:26" ht="12.75" customHeight="1" x14ac:dyDescent="0.2">
      <c r="A26707" s="258"/>
      <c r="Z26707" s="258"/>
    </row>
    <row r="26708" spans="1:26" ht="12.75" customHeight="1" x14ac:dyDescent="0.2">
      <c r="A26708" s="258"/>
      <c r="Z26708" s="258"/>
    </row>
    <row r="26709" spans="1:26" ht="12.75" customHeight="1" x14ac:dyDescent="0.2">
      <c r="A26709" s="258"/>
      <c r="Z26709" s="258"/>
    </row>
    <row r="26710" spans="1:26" ht="12.75" customHeight="1" x14ac:dyDescent="0.2">
      <c r="A26710" s="258"/>
      <c r="Z26710" s="258"/>
    </row>
    <row r="26711" spans="1:26" ht="12.75" customHeight="1" x14ac:dyDescent="0.2">
      <c r="A26711" s="258"/>
      <c r="Z26711" s="258"/>
    </row>
    <row r="26712" spans="1:26" ht="12.75" customHeight="1" x14ac:dyDescent="0.2">
      <c r="A26712" s="258"/>
      <c r="Z26712" s="258"/>
    </row>
    <row r="26713" spans="1:26" ht="12.75" customHeight="1" x14ac:dyDescent="0.2">
      <c r="A26713" s="258"/>
      <c r="Z26713" s="258"/>
    </row>
    <row r="26714" spans="1:26" ht="12.75" customHeight="1" x14ac:dyDescent="0.2">
      <c r="A26714" s="258"/>
      <c r="Z26714" s="258"/>
    </row>
    <row r="26715" spans="1:26" ht="12.75" customHeight="1" x14ac:dyDescent="0.2">
      <c r="A26715" s="258"/>
      <c r="Z26715" s="258"/>
    </row>
    <row r="26716" spans="1:26" ht="12.75" customHeight="1" x14ac:dyDescent="0.2">
      <c r="A26716" s="258"/>
      <c r="Z26716" s="258"/>
    </row>
    <row r="26717" spans="1:26" ht="12.75" customHeight="1" x14ac:dyDescent="0.2">
      <c r="A26717" s="258"/>
      <c r="Z26717" s="258"/>
    </row>
    <row r="26718" spans="1:26" ht="12.75" customHeight="1" x14ac:dyDescent="0.2">
      <c r="A26718" s="258"/>
      <c r="Z26718" s="258"/>
    </row>
    <row r="26719" spans="1:26" ht="12.75" customHeight="1" x14ac:dyDescent="0.2">
      <c r="A26719" s="258"/>
      <c r="Z26719" s="258"/>
    </row>
    <row r="26720" spans="1:26" ht="12.75" customHeight="1" x14ac:dyDescent="0.2">
      <c r="A26720" s="258"/>
      <c r="Z26720" s="258"/>
    </row>
    <row r="26721" spans="1:26" ht="12.75" customHeight="1" x14ac:dyDescent="0.2">
      <c r="A26721" s="258"/>
      <c r="Z26721" s="258"/>
    </row>
    <row r="26722" spans="1:26" ht="12.75" customHeight="1" x14ac:dyDescent="0.2">
      <c r="A26722" s="258"/>
      <c r="Z26722" s="258"/>
    </row>
    <row r="26723" spans="1:26" ht="12.75" customHeight="1" x14ac:dyDescent="0.2">
      <c r="A26723" s="258"/>
      <c r="Z26723" s="258"/>
    </row>
    <row r="26724" spans="1:26" ht="12.75" customHeight="1" x14ac:dyDescent="0.2">
      <c r="A26724" s="258"/>
      <c r="Z26724" s="258"/>
    </row>
    <row r="26725" spans="1:26" ht="12.75" customHeight="1" x14ac:dyDescent="0.2">
      <c r="A26725" s="258"/>
      <c r="Z26725" s="258"/>
    </row>
    <row r="26726" spans="1:26" ht="12.75" customHeight="1" x14ac:dyDescent="0.2">
      <c r="A26726" s="258"/>
      <c r="Z26726" s="258"/>
    </row>
    <row r="26727" spans="1:26" ht="12.75" customHeight="1" x14ac:dyDescent="0.2">
      <c r="A26727" s="258"/>
      <c r="Z26727" s="258"/>
    </row>
    <row r="26728" spans="1:26" ht="12.75" customHeight="1" x14ac:dyDescent="0.2">
      <c r="A26728" s="258"/>
      <c r="Z26728" s="258"/>
    </row>
    <row r="26729" spans="1:26" ht="12.75" customHeight="1" x14ac:dyDescent="0.2">
      <c r="A26729" s="258"/>
      <c r="Z26729" s="258"/>
    </row>
    <row r="26730" spans="1:26" ht="12.75" customHeight="1" x14ac:dyDescent="0.2">
      <c r="A26730" s="258"/>
      <c r="Z26730" s="258"/>
    </row>
    <row r="26731" spans="1:26" ht="12.75" customHeight="1" x14ac:dyDescent="0.2">
      <c r="A26731" s="258"/>
      <c r="Z26731" s="258"/>
    </row>
    <row r="26732" spans="1:26" ht="12.75" customHeight="1" x14ac:dyDescent="0.2">
      <c r="A26732" s="258"/>
      <c r="Z26732" s="258"/>
    </row>
    <row r="26733" spans="1:26" ht="12.75" customHeight="1" x14ac:dyDescent="0.2">
      <c r="A26733" s="258"/>
      <c r="Z26733" s="258"/>
    </row>
    <row r="26734" spans="1:26" ht="12.75" customHeight="1" x14ac:dyDescent="0.2">
      <c r="A26734" s="258"/>
      <c r="Z26734" s="258"/>
    </row>
    <row r="26735" spans="1:26" ht="12.75" customHeight="1" x14ac:dyDescent="0.2">
      <c r="A26735" s="258"/>
      <c r="Z26735" s="258"/>
    </row>
    <row r="26736" spans="1:26" ht="12.75" customHeight="1" x14ac:dyDescent="0.2">
      <c r="A26736" s="258"/>
      <c r="Z26736" s="258"/>
    </row>
    <row r="26737" spans="1:26" ht="12.75" customHeight="1" x14ac:dyDescent="0.2">
      <c r="A26737" s="258"/>
      <c r="Z26737" s="258"/>
    </row>
    <row r="26738" spans="1:26" ht="12.75" customHeight="1" x14ac:dyDescent="0.2">
      <c r="A26738" s="258"/>
      <c r="Z26738" s="258"/>
    </row>
    <row r="26739" spans="1:26" ht="12.75" customHeight="1" x14ac:dyDescent="0.2">
      <c r="A26739" s="258"/>
      <c r="Z26739" s="258"/>
    </row>
    <row r="26740" spans="1:26" ht="12.75" customHeight="1" x14ac:dyDescent="0.2">
      <c r="A26740" s="258"/>
      <c r="Z26740" s="258"/>
    </row>
    <row r="26741" spans="1:26" ht="12.75" customHeight="1" x14ac:dyDescent="0.2">
      <c r="A26741" s="258"/>
      <c r="Z26741" s="258"/>
    </row>
    <row r="26742" spans="1:26" ht="12.75" customHeight="1" x14ac:dyDescent="0.2">
      <c r="A26742" s="258"/>
      <c r="Z26742" s="258"/>
    </row>
    <row r="26743" spans="1:26" ht="12.75" customHeight="1" x14ac:dyDescent="0.2">
      <c r="A26743" s="258"/>
      <c r="Z26743" s="258"/>
    </row>
    <row r="26744" spans="1:26" ht="12.75" customHeight="1" x14ac:dyDescent="0.2">
      <c r="A26744" s="258"/>
      <c r="Z26744" s="258"/>
    </row>
    <row r="26745" spans="1:26" ht="12.75" customHeight="1" x14ac:dyDescent="0.2">
      <c r="A26745" s="258"/>
      <c r="Z26745" s="258"/>
    </row>
    <row r="26746" spans="1:26" ht="12.75" customHeight="1" x14ac:dyDescent="0.2">
      <c r="A26746" s="258"/>
      <c r="Z26746" s="258"/>
    </row>
    <row r="26747" spans="1:26" ht="12.75" customHeight="1" x14ac:dyDescent="0.2">
      <c r="A26747" s="258"/>
      <c r="Z26747" s="258"/>
    </row>
    <row r="26748" spans="1:26" ht="12.75" customHeight="1" x14ac:dyDescent="0.2">
      <c r="A26748" s="258"/>
      <c r="Z26748" s="258"/>
    </row>
    <row r="26749" spans="1:26" ht="12.75" customHeight="1" x14ac:dyDescent="0.2">
      <c r="A26749" s="258"/>
      <c r="Z26749" s="258"/>
    </row>
    <row r="26750" spans="1:26" ht="12.75" customHeight="1" x14ac:dyDescent="0.2">
      <c r="A26750" s="258"/>
      <c r="Z26750" s="258"/>
    </row>
    <row r="26751" spans="1:26" ht="12.75" customHeight="1" x14ac:dyDescent="0.2">
      <c r="A26751" s="258"/>
      <c r="Z26751" s="258"/>
    </row>
    <row r="26752" spans="1:26" ht="12.75" customHeight="1" x14ac:dyDescent="0.2">
      <c r="A26752" s="258"/>
      <c r="Z26752" s="258"/>
    </row>
    <row r="26753" spans="1:26" ht="12.75" customHeight="1" x14ac:dyDescent="0.2">
      <c r="A26753" s="258"/>
      <c r="Z26753" s="258"/>
    </row>
    <row r="26754" spans="1:26" ht="12.75" customHeight="1" x14ac:dyDescent="0.2">
      <c r="A26754" s="258"/>
      <c r="Z26754" s="258"/>
    </row>
    <row r="26755" spans="1:26" ht="12.75" customHeight="1" x14ac:dyDescent="0.2">
      <c r="A26755" s="258"/>
      <c r="Z26755" s="258"/>
    </row>
    <row r="26756" spans="1:26" ht="12.75" customHeight="1" x14ac:dyDescent="0.2">
      <c r="A26756" s="258"/>
      <c r="Z26756" s="258"/>
    </row>
    <row r="26757" spans="1:26" ht="12.75" customHeight="1" x14ac:dyDescent="0.2">
      <c r="A26757" s="258"/>
      <c r="Z26757" s="258"/>
    </row>
    <row r="26758" spans="1:26" ht="12.75" customHeight="1" x14ac:dyDescent="0.2">
      <c r="A26758" s="258"/>
      <c r="Z26758" s="258"/>
    </row>
    <row r="26759" spans="1:26" ht="12.75" customHeight="1" x14ac:dyDescent="0.2">
      <c r="A26759" s="258"/>
      <c r="Z26759" s="258"/>
    </row>
    <row r="26760" spans="1:26" ht="12.75" customHeight="1" x14ac:dyDescent="0.2">
      <c r="A26760" s="258"/>
      <c r="Z26760" s="258"/>
    </row>
    <row r="26761" spans="1:26" ht="12.75" customHeight="1" x14ac:dyDescent="0.2">
      <c r="A26761" s="258"/>
      <c r="Z26761" s="258"/>
    </row>
    <row r="26762" spans="1:26" ht="12.75" customHeight="1" x14ac:dyDescent="0.2">
      <c r="A26762" s="258"/>
      <c r="Z26762" s="258"/>
    </row>
    <row r="26763" spans="1:26" ht="12.75" customHeight="1" x14ac:dyDescent="0.2">
      <c r="A26763" s="258"/>
      <c r="Z26763" s="258"/>
    </row>
    <row r="26764" spans="1:26" ht="12.75" customHeight="1" x14ac:dyDescent="0.2">
      <c r="A26764" s="258"/>
      <c r="Z26764" s="258"/>
    </row>
    <row r="26765" spans="1:26" ht="12.75" customHeight="1" x14ac:dyDescent="0.2">
      <c r="A26765" s="258"/>
      <c r="Z26765" s="258"/>
    </row>
    <row r="26766" spans="1:26" ht="12.75" customHeight="1" x14ac:dyDescent="0.2">
      <c r="A26766" s="258"/>
      <c r="Z26766" s="258"/>
    </row>
    <row r="26767" spans="1:26" ht="12.75" customHeight="1" x14ac:dyDescent="0.2">
      <c r="A26767" s="258"/>
      <c r="Z26767" s="258"/>
    </row>
    <row r="26768" spans="1:26" ht="12.75" customHeight="1" x14ac:dyDescent="0.2">
      <c r="A26768" s="258"/>
      <c r="Z26768" s="258"/>
    </row>
    <row r="26769" spans="1:26" ht="12.75" customHeight="1" x14ac:dyDescent="0.2">
      <c r="A26769" s="258"/>
      <c r="Z26769" s="258"/>
    </row>
    <row r="26770" spans="1:26" ht="12.75" customHeight="1" x14ac:dyDescent="0.2">
      <c r="A26770" s="258"/>
      <c r="Z26770" s="258"/>
    </row>
    <row r="26771" spans="1:26" ht="12.75" customHeight="1" x14ac:dyDescent="0.2">
      <c r="A26771" s="258"/>
      <c r="Z26771" s="258"/>
    </row>
    <row r="26772" spans="1:26" ht="12.75" customHeight="1" x14ac:dyDescent="0.2">
      <c r="A26772" s="258"/>
      <c r="Z26772" s="258"/>
    </row>
    <row r="26773" spans="1:26" ht="12.75" customHeight="1" x14ac:dyDescent="0.2">
      <c r="A26773" s="258"/>
      <c r="Z26773" s="258"/>
    </row>
    <row r="26774" spans="1:26" ht="12.75" customHeight="1" x14ac:dyDescent="0.2">
      <c r="A26774" s="258"/>
      <c r="Z26774" s="258"/>
    </row>
    <row r="26775" spans="1:26" ht="12.75" customHeight="1" x14ac:dyDescent="0.2">
      <c r="A26775" s="258"/>
      <c r="Z26775" s="258"/>
    </row>
    <row r="26776" spans="1:26" ht="12.75" customHeight="1" x14ac:dyDescent="0.2">
      <c r="A26776" s="258"/>
      <c r="Z26776" s="258"/>
    </row>
    <row r="26777" spans="1:26" ht="12.75" customHeight="1" x14ac:dyDescent="0.2">
      <c r="A26777" s="258"/>
      <c r="Z26777" s="258"/>
    </row>
    <row r="26778" spans="1:26" ht="12.75" customHeight="1" x14ac:dyDescent="0.2">
      <c r="A26778" s="258"/>
      <c r="Z26778" s="258"/>
    </row>
    <row r="26779" spans="1:26" ht="12.75" customHeight="1" x14ac:dyDescent="0.2">
      <c r="A26779" s="258"/>
      <c r="Z26779" s="258"/>
    </row>
    <row r="26780" spans="1:26" ht="12.75" customHeight="1" x14ac:dyDescent="0.2">
      <c r="A26780" s="258"/>
      <c r="Z26780" s="258"/>
    </row>
    <row r="26781" spans="1:26" ht="12.75" customHeight="1" x14ac:dyDescent="0.2">
      <c r="A26781" s="258"/>
      <c r="Z26781" s="258"/>
    </row>
    <row r="26782" spans="1:26" ht="12.75" customHeight="1" x14ac:dyDescent="0.2">
      <c r="A26782" s="258"/>
      <c r="Z26782" s="258"/>
    </row>
    <row r="26783" spans="1:26" ht="12.75" customHeight="1" x14ac:dyDescent="0.2">
      <c r="A26783" s="258"/>
      <c r="Z26783" s="258"/>
    </row>
    <row r="26784" spans="1:26" ht="12.75" customHeight="1" x14ac:dyDescent="0.2">
      <c r="A26784" s="258"/>
      <c r="Z26784" s="258"/>
    </row>
    <row r="26785" spans="1:26" ht="12.75" customHeight="1" x14ac:dyDescent="0.2">
      <c r="A26785" s="258"/>
      <c r="Z26785" s="258"/>
    </row>
    <row r="26786" spans="1:26" ht="12.75" customHeight="1" x14ac:dyDescent="0.2">
      <c r="A26786" s="258"/>
      <c r="Z26786" s="258"/>
    </row>
    <row r="26787" spans="1:26" ht="12.75" customHeight="1" x14ac:dyDescent="0.2">
      <c r="A26787" s="258"/>
      <c r="Z26787" s="258"/>
    </row>
    <row r="26788" spans="1:26" ht="12.75" customHeight="1" x14ac:dyDescent="0.2">
      <c r="A26788" s="258"/>
      <c r="Z26788" s="258"/>
    </row>
    <row r="26789" spans="1:26" ht="12.75" customHeight="1" x14ac:dyDescent="0.2">
      <c r="A26789" s="258"/>
      <c r="Z26789" s="258"/>
    </row>
    <row r="26790" spans="1:26" ht="12.75" customHeight="1" x14ac:dyDescent="0.2">
      <c r="A26790" s="258"/>
      <c r="Z26790" s="258"/>
    </row>
    <row r="26791" spans="1:26" ht="12.75" customHeight="1" x14ac:dyDescent="0.2">
      <c r="A26791" s="258"/>
      <c r="Z26791" s="258"/>
    </row>
    <row r="26792" spans="1:26" ht="12.75" customHeight="1" x14ac:dyDescent="0.2">
      <c r="A26792" s="258"/>
      <c r="Z26792" s="258"/>
    </row>
    <row r="26793" spans="1:26" ht="12.75" customHeight="1" x14ac:dyDescent="0.2">
      <c r="A26793" s="258"/>
      <c r="Z26793" s="258"/>
    </row>
    <row r="26794" spans="1:26" ht="12.75" customHeight="1" x14ac:dyDescent="0.2">
      <c r="A26794" s="258"/>
      <c r="Z26794" s="258"/>
    </row>
    <row r="26795" spans="1:26" ht="12.75" customHeight="1" x14ac:dyDescent="0.2">
      <c r="A26795" s="258"/>
      <c r="Z26795" s="258"/>
    </row>
    <row r="26796" spans="1:26" ht="12.75" customHeight="1" x14ac:dyDescent="0.2">
      <c r="A26796" s="258"/>
      <c r="Z26796" s="258"/>
    </row>
    <row r="26797" spans="1:26" ht="12.75" customHeight="1" x14ac:dyDescent="0.2">
      <c r="A26797" s="258"/>
      <c r="Z26797" s="258"/>
    </row>
    <row r="26798" spans="1:26" ht="12.75" customHeight="1" x14ac:dyDescent="0.2">
      <c r="A26798" s="258"/>
      <c r="Z26798" s="258"/>
    </row>
    <row r="26799" spans="1:26" ht="12.75" customHeight="1" x14ac:dyDescent="0.2">
      <c r="A26799" s="258"/>
      <c r="Z26799" s="258"/>
    </row>
    <row r="26800" spans="1:26" ht="12.75" customHeight="1" x14ac:dyDescent="0.2">
      <c r="A26800" s="258"/>
      <c r="Z26800" s="258"/>
    </row>
    <row r="26801" spans="1:26" ht="12.75" customHeight="1" x14ac:dyDescent="0.2">
      <c r="A26801" s="258"/>
      <c r="Z26801" s="258"/>
    </row>
    <row r="26802" spans="1:26" ht="12.75" customHeight="1" x14ac:dyDescent="0.2">
      <c r="A26802" s="258"/>
      <c r="Z26802" s="258"/>
    </row>
    <row r="26803" spans="1:26" ht="12.75" customHeight="1" x14ac:dyDescent="0.2">
      <c r="A26803" s="258"/>
      <c r="Z26803" s="258"/>
    </row>
    <row r="26804" spans="1:26" ht="12.75" customHeight="1" x14ac:dyDescent="0.2">
      <c r="A26804" s="258"/>
      <c r="Z26804" s="258"/>
    </row>
    <row r="26805" spans="1:26" ht="12.75" customHeight="1" x14ac:dyDescent="0.2">
      <c r="A26805" s="258"/>
      <c r="Z26805" s="258"/>
    </row>
    <row r="26806" spans="1:26" ht="12.75" customHeight="1" x14ac:dyDescent="0.2">
      <c r="A26806" s="258"/>
      <c r="Z26806" s="258"/>
    </row>
    <row r="26807" spans="1:26" ht="12.75" customHeight="1" x14ac:dyDescent="0.2">
      <c r="A26807" s="258"/>
      <c r="Z26807" s="258"/>
    </row>
    <row r="26808" spans="1:26" ht="12.75" customHeight="1" x14ac:dyDescent="0.2">
      <c r="A26808" s="258"/>
      <c r="Z26808" s="258"/>
    </row>
    <row r="26809" spans="1:26" ht="12.75" customHeight="1" x14ac:dyDescent="0.2">
      <c r="A26809" s="258"/>
      <c r="Z26809" s="258"/>
    </row>
    <row r="26810" spans="1:26" ht="12.75" customHeight="1" x14ac:dyDescent="0.2">
      <c r="A26810" s="258"/>
      <c r="Z26810" s="258"/>
    </row>
    <row r="26811" spans="1:26" ht="12.75" customHeight="1" x14ac:dyDescent="0.2">
      <c r="A26811" s="258"/>
      <c r="Z26811" s="258"/>
    </row>
    <row r="26812" spans="1:26" ht="12.75" customHeight="1" x14ac:dyDescent="0.2">
      <c r="A26812" s="258"/>
      <c r="Z26812" s="258"/>
    </row>
    <row r="26813" spans="1:26" ht="12.75" customHeight="1" x14ac:dyDescent="0.2">
      <c r="A26813" s="258"/>
      <c r="Z26813" s="258"/>
    </row>
    <row r="26814" spans="1:26" ht="12.75" customHeight="1" x14ac:dyDescent="0.2">
      <c r="A26814" s="258"/>
      <c r="Z26814" s="258"/>
    </row>
    <row r="26815" spans="1:26" ht="12.75" customHeight="1" x14ac:dyDescent="0.2">
      <c r="A26815" s="258"/>
      <c r="Z26815" s="258"/>
    </row>
    <row r="26816" spans="1:26" ht="12.75" customHeight="1" x14ac:dyDescent="0.2">
      <c r="A26816" s="258"/>
      <c r="Z26816" s="258"/>
    </row>
    <row r="26817" spans="1:26" ht="12.75" customHeight="1" x14ac:dyDescent="0.2">
      <c r="A26817" s="258"/>
      <c r="Z26817" s="258"/>
    </row>
    <row r="26818" spans="1:26" ht="12.75" customHeight="1" x14ac:dyDescent="0.2">
      <c r="A26818" s="258"/>
      <c r="Z26818" s="258"/>
    </row>
    <row r="26819" spans="1:26" ht="12.75" customHeight="1" x14ac:dyDescent="0.2">
      <c r="A26819" s="258"/>
      <c r="Z26819" s="258"/>
    </row>
    <row r="26820" spans="1:26" ht="12.75" customHeight="1" x14ac:dyDescent="0.2">
      <c r="A26820" s="258"/>
      <c r="Z26820" s="258"/>
    </row>
    <row r="26821" spans="1:26" ht="12.75" customHeight="1" x14ac:dyDescent="0.2">
      <c r="A26821" s="258"/>
      <c r="Z26821" s="258"/>
    </row>
    <row r="26822" spans="1:26" ht="12.75" customHeight="1" x14ac:dyDescent="0.2">
      <c r="A26822" s="258"/>
      <c r="Z26822" s="258"/>
    </row>
    <row r="26823" spans="1:26" ht="12.75" customHeight="1" x14ac:dyDescent="0.2">
      <c r="A26823" s="258"/>
      <c r="Z26823" s="258"/>
    </row>
    <row r="26824" spans="1:26" ht="12.75" customHeight="1" x14ac:dyDescent="0.2">
      <c r="A26824" s="258"/>
      <c r="Z26824" s="258"/>
    </row>
    <row r="26825" spans="1:26" ht="12.75" customHeight="1" x14ac:dyDescent="0.2">
      <c r="A26825" s="258"/>
      <c r="Z26825" s="258"/>
    </row>
    <row r="26826" spans="1:26" ht="12.75" customHeight="1" x14ac:dyDescent="0.2">
      <c r="A26826" s="258"/>
      <c r="Z26826" s="258"/>
    </row>
    <row r="26827" spans="1:26" ht="12.75" customHeight="1" x14ac:dyDescent="0.2">
      <c r="A26827" s="258"/>
      <c r="Z26827" s="258"/>
    </row>
    <row r="26828" spans="1:26" ht="12.75" customHeight="1" x14ac:dyDescent="0.2">
      <c r="A26828" s="258"/>
      <c r="Z26828" s="258"/>
    </row>
    <row r="26829" spans="1:26" ht="12.75" customHeight="1" x14ac:dyDescent="0.2">
      <c r="A26829" s="258"/>
      <c r="Z26829" s="258"/>
    </row>
    <row r="26830" spans="1:26" ht="12.75" customHeight="1" x14ac:dyDescent="0.2">
      <c r="A26830" s="258"/>
      <c r="Z26830" s="258"/>
    </row>
    <row r="26831" spans="1:26" ht="12.75" customHeight="1" x14ac:dyDescent="0.2">
      <c r="A26831" s="258"/>
      <c r="Z26831" s="258"/>
    </row>
    <row r="26832" spans="1:26" ht="12.75" customHeight="1" x14ac:dyDescent="0.2">
      <c r="A26832" s="258"/>
      <c r="Z26832" s="258"/>
    </row>
    <row r="26833" spans="1:26" ht="12.75" customHeight="1" x14ac:dyDescent="0.2">
      <c r="A26833" s="258"/>
      <c r="Z26833" s="258"/>
    </row>
    <row r="26834" spans="1:26" ht="12.75" customHeight="1" x14ac:dyDescent="0.2">
      <c r="A26834" s="258"/>
      <c r="Z26834" s="258"/>
    </row>
    <row r="26835" spans="1:26" ht="12.75" customHeight="1" x14ac:dyDescent="0.2">
      <c r="A26835" s="258"/>
      <c r="Z26835" s="258"/>
    </row>
    <row r="26836" spans="1:26" ht="12.75" customHeight="1" x14ac:dyDescent="0.2">
      <c r="A26836" s="258"/>
      <c r="Z26836" s="258"/>
    </row>
    <row r="26837" spans="1:26" ht="12.75" customHeight="1" x14ac:dyDescent="0.2">
      <c r="A26837" s="258"/>
      <c r="Z26837" s="258"/>
    </row>
    <row r="26838" spans="1:26" ht="12.75" customHeight="1" x14ac:dyDescent="0.2">
      <c r="A26838" s="258"/>
      <c r="Z26838" s="258"/>
    </row>
    <row r="26839" spans="1:26" ht="12.75" customHeight="1" x14ac:dyDescent="0.2">
      <c r="A26839" s="258"/>
      <c r="Z26839" s="258"/>
    </row>
    <row r="26840" spans="1:26" ht="12.75" customHeight="1" x14ac:dyDescent="0.2">
      <c r="A26840" s="258"/>
      <c r="Z26840" s="258"/>
    </row>
    <row r="26841" spans="1:26" ht="12.75" customHeight="1" x14ac:dyDescent="0.2">
      <c r="A26841" s="258"/>
      <c r="Z26841" s="258"/>
    </row>
    <row r="26842" spans="1:26" ht="12.75" customHeight="1" x14ac:dyDescent="0.2">
      <c r="A26842" s="258"/>
      <c r="Z26842" s="258"/>
    </row>
    <row r="26843" spans="1:26" ht="12.75" customHeight="1" x14ac:dyDescent="0.2">
      <c r="A26843" s="258"/>
      <c r="Z26843" s="258"/>
    </row>
    <row r="26844" spans="1:26" ht="12.75" customHeight="1" x14ac:dyDescent="0.2">
      <c r="A26844" s="258"/>
      <c r="Z26844" s="258"/>
    </row>
    <row r="26845" spans="1:26" ht="12.75" customHeight="1" x14ac:dyDescent="0.2">
      <c r="A26845" s="258"/>
      <c r="Z26845" s="258"/>
    </row>
    <row r="26846" spans="1:26" ht="12.75" customHeight="1" x14ac:dyDescent="0.2">
      <c r="A26846" s="258"/>
      <c r="Z26846" s="258"/>
    </row>
    <row r="26847" spans="1:26" ht="12.75" customHeight="1" x14ac:dyDescent="0.2">
      <c r="A26847" s="258"/>
      <c r="Z26847" s="258"/>
    </row>
    <row r="26848" spans="1:26" ht="12.75" customHeight="1" x14ac:dyDescent="0.2">
      <c r="A26848" s="258"/>
      <c r="Z26848" s="258"/>
    </row>
    <row r="26849" spans="1:26" ht="12.75" customHeight="1" x14ac:dyDescent="0.2">
      <c r="A26849" s="258"/>
      <c r="Z26849" s="258"/>
    </row>
    <row r="26850" spans="1:26" ht="12.75" customHeight="1" x14ac:dyDescent="0.2">
      <c r="A26850" s="258"/>
      <c r="Z26850" s="258"/>
    </row>
    <row r="26851" spans="1:26" ht="12.75" customHeight="1" x14ac:dyDescent="0.2">
      <c r="A26851" s="258"/>
      <c r="Z26851" s="258"/>
    </row>
    <row r="26852" spans="1:26" ht="12.75" customHeight="1" x14ac:dyDescent="0.2">
      <c r="A26852" s="258"/>
      <c r="Z26852" s="258"/>
    </row>
    <row r="26853" spans="1:26" ht="12.75" customHeight="1" x14ac:dyDescent="0.2">
      <c r="A26853" s="258"/>
      <c r="Z26853" s="258"/>
    </row>
    <row r="26854" spans="1:26" ht="12.75" customHeight="1" x14ac:dyDescent="0.2">
      <c r="A26854" s="258"/>
      <c r="Z26854" s="258"/>
    </row>
    <row r="26855" spans="1:26" ht="12.75" customHeight="1" x14ac:dyDescent="0.2">
      <c r="A26855" s="258"/>
      <c r="Z26855" s="258"/>
    </row>
    <row r="26856" spans="1:26" ht="12.75" customHeight="1" x14ac:dyDescent="0.2">
      <c r="A26856" s="258"/>
      <c r="Z26856" s="258"/>
    </row>
    <row r="26857" spans="1:26" ht="12.75" customHeight="1" x14ac:dyDescent="0.2">
      <c r="A26857" s="258"/>
      <c r="Z26857" s="258"/>
    </row>
    <row r="26858" spans="1:26" ht="12.75" customHeight="1" x14ac:dyDescent="0.2">
      <c r="A26858" s="258"/>
      <c r="Z26858" s="258"/>
    </row>
    <row r="26859" spans="1:26" ht="12.75" customHeight="1" x14ac:dyDescent="0.2">
      <c r="A26859" s="258"/>
      <c r="Z26859" s="258"/>
    </row>
    <row r="26860" spans="1:26" ht="12.75" customHeight="1" x14ac:dyDescent="0.2">
      <c r="A26860" s="258"/>
      <c r="Z26860" s="258"/>
    </row>
    <row r="26861" spans="1:26" ht="12.75" customHeight="1" x14ac:dyDescent="0.2">
      <c r="A26861" s="258"/>
      <c r="Z26861" s="258"/>
    </row>
    <row r="26862" spans="1:26" ht="12.75" customHeight="1" x14ac:dyDescent="0.2">
      <c r="A26862" s="258"/>
      <c r="Z26862" s="258"/>
    </row>
    <row r="26863" spans="1:26" ht="12.75" customHeight="1" x14ac:dyDescent="0.2">
      <c r="A26863" s="258"/>
      <c r="Z26863" s="258"/>
    </row>
    <row r="26864" spans="1:26" ht="12.75" customHeight="1" x14ac:dyDescent="0.2">
      <c r="A26864" s="258"/>
      <c r="Z26864" s="258"/>
    </row>
    <row r="26865" spans="1:26" ht="12.75" customHeight="1" x14ac:dyDescent="0.2">
      <c r="A26865" s="258"/>
      <c r="Z26865" s="258"/>
    </row>
    <row r="26866" spans="1:26" ht="12.75" customHeight="1" x14ac:dyDescent="0.2">
      <c r="A26866" s="258"/>
      <c r="Z26866" s="258"/>
    </row>
    <row r="26867" spans="1:26" ht="12.75" customHeight="1" x14ac:dyDescent="0.2">
      <c r="A26867" s="258"/>
      <c r="Z26867" s="258"/>
    </row>
    <row r="26868" spans="1:26" ht="12.75" customHeight="1" x14ac:dyDescent="0.2">
      <c r="A26868" s="258"/>
      <c r="Z26868" s="258"/>
    </row>
    <row r="26869" spans="1:26" ht="12.75" customHeight="1" x14ac:dyDescent="0.2">
      <c r="A26869" s="258"/>
      <c r="Z26869" s="258"/>
    </row>
    <row r="26870" spans="1:26" ht="12.75" customHeight="1" x14ac:dyDescent="0.2">
      <c r="A26870" s="258"/>
      <c r="Z26870" s="258"/>
    </row>
    <row r="26871" spans="1:26" ht="12.75" customHeight="1" x14ac:dyDescent="0.2">
      <c r="A26871" s="258"/>
      <c r="Z26871" s="258"/>
    </row>
    <row r="26872" spans="1:26" ht="12.75" customHeight="1" x14ac:dyDescent="0.2">
      <c r="A26872" s="258"/>
      <c r="Z26872" s="258"/>
    </row>
    <row r="26873" spans="1:26" ht="12.75" customHeight="1" x14ac:dyDescent="0.2">
      <c r="A26873" s="258"/>
      <c r="Z26873" s="258"/>
    </row>
    <row r="26874" spans="1:26" ht="12.75" customHeight="1" x14ac:dyDescent="0.2">
      <c r="A26874" s="258"/>
      <c r="Z26874" s="258"/>
    </row>
    <row r="26875" spans="1:26" ht="12.75" customHeight="1" x14ac:dyDescent="0.2">
      <c r="A26875" s="258"/>
      <c r="Z26875" s="258"/>
    </row>
    <row r="26876" spans="1:26" ht="12.75" customHeight="1" x14ac:dyDescent="0.2">
      <c r="A26876" s="258"/>
      <c r="Z26876" s="258"/>
    </row>
    <row r="26877" spans="1:26" ht="12.75" customHeight="1" x14ac:dyDescent="0.2">
      <c r="A26877" s="258"/>
      <c r="Z26877" s="258"/>
    </row>
    <row r="26878" spans="1:26" ht="12.75" customHeight="1" x14ac:dyDescent="0.2">
      <c r="A26878" s="258"/>
      <c r="Z26878" s="258"/>
    </row>
    <row r="26879" spans="1:26" ht="12.75" customHeight="1" x14ac:dyDescent="0.2">
      <c r="A26879" s="258"/>
      <c r="Z26879" s="258"/>
    </row>
    <row r="26880" spans="1:26" ht="12.75" customHeight="1" x14ac:dyDescent="0.2">
      <c r="A26880" s="258"/>
      <c r="Z26880" s="258"/>
    </row>
    <row r="26881" spans="1:26" ht="12.75" customHeight="1" x14ac:dyDescent="0.2">
      <c r="A26881" s="258"/>
      <c r="Z26881" s="258"/>
    </row>
    <row r="26882" spans="1:26" ht="12.75" customHeight="1" x14ac:dyDescent="0.2">
      <c r="A26882" s="258"/>
      <c r="Z26882" s="258"/>
    </row>
    <row r="26883" spans="1:26" ht="12.75" customHeight="1" x14ac:dyDescent="0.2">
      <c r="A26883" s="258"/>
      <c r="Z26883" s="258"/>
    </row>
    <row r="26884" spans="1:26" ht="12.75" customHeight="1" x14ac:dyDescent="0.2">
      <c r="A26884" s="258"/>
      <c r="Z26884" s="258"/>
    </row>
    <row r="26885" spans="1:26" ht="12.75" customHeight="1" x14ac:dyDescent="0.2">
      <c r="A26885" s="258"/>
      <c r="Z26885" s="258"/>
    </row>
    <row r="26886" spans="1:26" ht="12.75" customHeight="1" x14ac:dyDescent="0.2">
      <c r="A26886" s="258"/>
      <c r="Z26886" s="258"/>
    </row>
    <row r="26887" spans="1:26" ht="12.75" customHeight="1" x14ac:dyDescent="0.2">
      <c r="A26887" s="258"/>
      <c r="Z26887" s="258"/>
    </row>
    <row r="26888" spans="1:26" ht="12.75" customHeight="1" x14ac:dyDescent="0.2">
      <c r="A26888" s="258"/>
      <c r="Z26888" s="258"/>
    </row>
    <row r="26889" spans="1:26" ht="12.75" customHeight="1" x14ac:dyDescent="0.2">
      <c r="A26889" s="258"/>
      <c r="Z26889" s="258"/>
    </row>
    <row r="26890" spans="1:26" ht="12.75" customHeight="1" x14ac:dyDescent="0.2">
      <c r="A26890" s="258"/>
      <c r="Z26890" s="258"/>
    </row>
    <row r="26891" spans="1:26" ht="12.75" customHeight="1" x14ac:dyDescent="0.2">
      <c r="A26891" s="258"/>
      <c r="Z26891" s="258"/>
    </row>
    <row r="26892" spans="1:26" ht="12.75" customHeight="1" x14ac:dyDescent="0.2">
      <c r="A26892" s="258"/>
      <c r="Z26892" s="258"/>
    </row>
    <row r="26893" spans="1:26" ht="12.75" customHeight="1" x14ac:dyDescent="0.2">
      <c r="A26893" s="258"/>
      <c r="Z26893" s="258"/>
    </row>
    <row r="26894" spans="1:26" ht="12.75" customHeight="1" x14ac:dyDescent="0.2">
      <c r="A26894" s="258"/>
      <c r="Z26894" s="258"/>
    </row>
    <row r="26895" spans="1:26" ht="12.75" customHeight="1" x14ac:dyDescent="0.2">
      <c r="A26895" s="258"/>
      <c r="Z26895" s="258"/>
    </row>
    <row r="26896" spans="1:26" ht="12.75" customHeight="1" x14ac:dyDescent="0.2">
      <c r="A26896" s="258"/>
      <c r="Z26896" s="258"/>
    </row>
    <row r="26897" spans="1:26" ht="12.75" customHeight="1" x14ac:dyDescent="0.2">
      <c r="A26897" s="258"/>
      <c r="Z26897" s="258"/>
    </row>
    <row r="26898" spans="1:26" ht="12.75" customHeight="1" x14ac:dyDescent="0.2">
      <c r="A26898" s="258"/>
      <c r="Z26898" s="258"/>
    </row>
    <row r="26899" spans="1:26" ht="12.75" customHeight="1" x14ac:dyDescent="0.2">
      <c r="A26899" s="258"/>
      <c r="Z26899" s="258"/>
    </row>
    <row r="26900" spans="1:26" ht="12.75" customHeight="1" x14ac:dyDescent="0.2">
      <c r="A26900" s="258"/>
      <c r="Z26900" s="258"/>
    </row>
    <row r="26901" spans="1:26" ht="12.75" customHeight="1" x14ac:dyDescent="0.2">
      <c r="A26901" s="258"/>
      <c r="Z26901" s="258"/>
    </row>
    <row r="26902" spans="1:26" ht="12.75" customHeight="1" x14ac:dyDescent="0.2">
      <c r="A26902" s="258"/>
      <c r="Z26902" s="258"/>
    </row>
    <row r="26903" spans="1:26" ht="12.75" customHeight="1" x14ac:dyDescent="0.2">
      <c r="A26903" s="258"/>
      <c r="Z26903" s="258"/>
    </row>
    <row r="26904" spans="1:26" ht="12.75" customHeight="1" x14ac:dyDescent="0.2">
      <c r="A26904" s="258"/>
      <c r="Z26904" s="258"/>
    </row>
    <row r="26905" spans="1:26" ht="12.75" customHeight="1" x14ac:dyDescent="0.2">
      <c r="A26905" s="258"/>
      <c r="Z26905" s="258"/>
    </row>
    <row r="26906" spans="1:26" ht="12.75" customHeight="1" x14ac:dyDescent="0.2">
      <c r="A26906" s="258"/>
      <c r="Z26906" s="258"/>
    </row>
    <row r="26907" spans="1:26" ht="12.75" customHeight="1" x14ac:dyDescent="0.2">
      <c r="A26907" s="258"/>
      <c r="Z26907" s="258"/>
    </row>
    <row r="26908" spans="1:26" ht="12.75" customHeight="1" x14ac:dyDescent="0.2">
      <c r="A26908" s="258"/>
      <c r="Z26908" s="258"/>
    </row>
    <row r="26909" spans="1:26" ht="12.75" customHeight="1" x14ac:dyDescent="0.2">
      <c r="A26909" s="258"/>
      <c r="Z26909" s="258"/>
    </row>
    <row r="26910" spans="1:26" ht="12.75" customHeight="1" x14ac:dyDescent="0.2">
      <c r="A26910" s="258"/>
      <c r="Z26910" s="258"/>
    </row>
    <row r="26911" spans="1:26" ht="12.75" customHeight="1" x14ac:dyDescent="0.2">
      <c r="A26911" s="258"/>
      <c r="Z26911" s="258"/>
    </row>
    <row r="26912" spans="1:26" ht="12.75" customHeight="1" x14ac:dyDescent="0.2">
      <c r="A26912" s="258"/>
      <c r="Z26912" s="258"/>
    </row>
    <row r="26913" spans="1:26" ht="12.75" customHeight="1" x14ac:dyDescent="0.2">
      <c r="A26913" s="258"/>
      <c r="Z26913" s="258"/>
    </row>
    <row r="26914" spans="1:26" ht="12.75" customHeight="1" x14ac:dyDescent="0.2">
      <c r="A26914" s="258"/>
      <c r="Z26914" s="258"/>
    </row>
    <row r="26915" spans="1:26" ht="12.75" customHeight="1" x14ac:dyDescent="0.2">
      <c r="A26915" s="258"/>
      <c r="Z26915" s="258"/>
    </row>
    <row r="26916" spans="1:26" ht="12.75" customHeight="1" x14ac:dyDescent="0.2">
      <c r="A26916" s="258"/>
      <c r="Z26916" s="258"/>
    </row>
    <row r="26917" spans="1:26" ht="12.75" customHeight="1" x14ac:dyDescent="0.2">
      <c r="A26917" s="258"/>
      <c r="Z26917" s="258"/>
    </row>
    <row r="26918" spans="1:26" ht="12.75" customHeight="1" x14ac:dyDescent="0.2">
      <c r="A26918" s="258"/>
      <c r="Z26918" s="258"/>
    </row>
    <row r="26919" spans="1:26" ht="12.75" customHeight="1" x14ac:dyDescent="0.2">
      <c r="A26919" s="258"/>
      <c r="Z26919" s="258"/>
    </row>
    <row r="26920" spans="1:26" ht="12.75" customHeight="1" x14ac:dyDescent="0.2">
      <c r="A26920" s="258"/>
      <c r="Z26920" s="258"/>
    </row>
    <row r="26921" spans="1:26" ht="12.75" customHeight="1" x14ac:dyDescent="0.2">
      <c r="A26921" s="258"/>
      <c r="Z26921" s="258"/>
    </row>
    <row r="26922" spans="1:26" ht="12.75" customHeight="1" x14ac:dyDescent="0.2">
      <c r="A26922" s="258"/>
      <c r="Z26922" s="258"/>
    </row>
    <row r="26923" spans="1:26" ht="12.75" customHeight="1" x14ac:dyDescent="0.2">
      <c r="A26923" s="258"/>
      <c r="Z26923" s="258"/>
    </row>
    <row r="26924" spans="1:26" ht="12.75" customHeight="1" x14ac:dyDescent="0.2">
      <c r="A26924" s="258"/>
      <c r="Z26924" s="258"/>
    </row>
    <row r="26925" spans="1:26" ht="12.75" customHeight="1" x14ac:dyDescent="0.2">
      <c r="A26925" s="258"/>
      <c r="Z26925" s="258"/>
    </row>
    <row r="26926" spans="1:26" ht="12.75" customHeight="1" x14ac:dyDescent="0.2">
      <c r="A26926" s="258"/>
      <c r="Z26926" s="258"/>
    </row>
    <row r="26927" spans="1:26" ht="12.75" customHeight="1" x14ac:dyDescent="0.2">
      <c r="A26927" s="258"/>
      <c r="Z26927" s="258"/>
    </row>
    <row r="26928" spans="1:26" ht="12.75" customHeight="1" x14ac:dyDescent="0.2">
      <c r="A26928" s="258"/>
      <c r="Z26928" s="258"/>
    </row>
    <row r="26929" spans="1:26" ht="12.75" customHeight="1" x14ac:dyDescent="0.2">
      <c r="A26929" s="258"/>
      <c r="Z26929" s="258"/>
    </row>
    <row r="26930" spans="1:26" ht="12.75" customHeight="1" x14ac:dyDescent="0.2">
      <c r="A26930" s="258"/>
      <c r="Z26930" s="258"/>
    </row>
    <row r="26931" spans="1:26" ht="12.75" customHeight="1" x14ac:dyDescent="0.2">
      <c r="A26931" s="258"/>
      <c r="Z26931" s="258"/>
    </row>
    <row r="26932" spans="1:26" ht="12.75" customHeight="1" x14ac:dyDescent="0.2">
      <c r="A26932" s="258"/>
      <c r="Z26932" s="258"/>
    </row>
    <row r="26933" spans="1:26" ht="12.75" customHeight="1" x14ac:dyDescent="0.2">
      <c r="A26933" s="258"/>
      <c r="Z26933" s="258"/>
    </row>
    <row r="26934" spans="1:26" ht="12.75" customHeight="1" x14ac:dyDescent="0.2">
      <c r="A26934" s="258"/>
      <c r="Z26934" s="258"/>
    </row>
    <row r="26935" spans="1:26" ht="12.75" customHeight="1" x14ac:dyDescent="0.2">
      <c r="A26935" s="258"/>
      <c r="Z26935" s="258"/>
    </row>
    <row r="26936" spans="1:26" ht="12.75" customHeight="1" x14ac:dyDescent="0.2">
      <c r="A26936" s="258"/>
      <c r="Z26936" s="258"/>
    </row>
    <row r="26937" spans="1:26" ht="12.75" customHeight="1" x14ac:dyDescent="0.2">
      <c r="A26937" s="258"/>
      <c r="Z26937" s="258"/>
    </row>
    <row r="26938" spans="1:26" ht="12.75" customHeight="1" x14ac:dyDescent="0.2">
      <c r="A26938" s="258"/>
      <c r="Z26938" s="258"/>
    </row>
    <row r="26939" spans="1:26" ht="12.75" customHeight="1" x14ac:dyDescent="0.2">
      <c r="A26939" s="258"/>
      <c r="Z26939" s="258"/>
    </row>
    <row r="26940" spans="1:26" ht="12.75" customHeight="1" x14ac:dyDescent="0.2">
      <c r="A26940" s="258"/>
      <c r="Z26940" s="258"/>
    </row>
    <row r="26941" spans="1:26" ht="12.75" customHeight="1" x14ac:dyDescent="0.2">
      <c r="A26941" s="258"/>
      <c r="Z26941" s="258"/>
    </row>
    <row r="26942" spans="1:26" ht="12.75" customHeight="1" x14ac:dyDescent="0.2">
      <c r="A26942" s="258"/>
      <c r="Z26942" s="258"/>
    </row>
    <row r="26943" spans="1:26" ht="12.75" customHeight="1" x14ac:dyDescent="0.2">
      <c r="A26943" s="258"/>
      <c r="Z26943" s="258"/>
    </row>
    <row r="26944" spans="1:26" ht="12.75" customHeight="1" x14ac:dyDescent="0.2">
      <c r="A26944" s="258"/>
      <c r="Z26944" s="258"/>
    </row>
    <row r="26945" spans="1:26" ht="12.75" customHeight="1" x14ac:dyDescent="0.2">
      <c r="A26945" s="258"/>
      <c r="Z26945" s="258"/>
    </row>
    <row r="26946" spans="1:26" ht="12.75" customHeight="1" x14ac:dyDescent="0.2">
      <c r="A26946" s="258"/>
      <c r="Z26946" s="258"/>
    </row>
    <row r="26947" spans="1:26" ht="12.75" customHeight="1" x14ac:dyDescent="0.2">
      <c r="A26947" s="258"/>
      <c r="Z26947" s="258"/>
    </row>
    <row r="26948" spans="1:26" ht="12.75" customHeight="1" x14ac:dyDescent="0.2">
      <c r="A26948" s="258"/>
      <c r="Z26948" s="258"/>
    </row>
    <row r="26949" spans="1:26" ht="12.75" customHeight="1" x14ac:dyDescent="0.2">
      <c r="A26949" s="258"/>
      <c r="Z26949" s="258"/>
    </row>
    <row r="26950" spans="1:26" ht="12.75" customHeight="1" x14ac:dyDescent="0.2">
      <c r="A26950" s="258"/>
      <c r="Z26950" s="258"/>
    </row>
    <row r="26951" spans="1:26" ht="12.75" customHeight="1" x14ac:dyDescent="0.2">
      <c r="A26951" s="258"/>
      <c r="Z26951" s="258"/>
    </row>
    <row r="26952" spans="1:26" ht="12.75" customHeight="1" x14ac:dyDescent="0.2">
      <c r="A26952" s="258"/>
      <c r="Z26952" s="258"/>
    </row>
    <row r="26953" spans="1:26" ht="12.75" customHeight="1" x14ac:dyDescent="0.2">
      <c r="A26953" s="258"/>
      <c r="Z26953" s="258"/>
    </row>
    <row r="26954" spans="1:26" ht="12.75" customHeight="1" x14ac:dyDescent="0.2">
      <c r="A26954" s="258"/>
      <c r="Z26954" s="258"/>
    </row>
    <row r="26955" spans="1:26" ht="12.75" customHeight="1" x14ac:dyDescent="0.2">
      <c r="A26955" s="258"/>
      <c r="Z26955" s="258"/>
    </row>
    <row r="26956" spans="1:26" ht="12.75" customHeight="1" x14ac:dyDescent="0.2">
      <c r="A26956" s="258"/>
      <c r="Z26956" s="258"/>
    </row>
    <row r="26957" spans="1:26" ht="12.75" customHeight="1" x14ac:dyDescent="0.2">
      <c r="A26957" s="258"/>
      <c r="Z26957" s="258"/>
    </row>
    <row r="26958" spans="1:26" ht="12.75" customHeight="1" x14ac:dyDescent="0.2">
      <c r="A26958" s="258"/>
      <c r="Z26958" s="258"/>
    </row>
    <row r="26959" spans="1:26" ht="12.75" customHeight="1" x14ac:dyDescent="0.2">
      <c r="A26959" s="258"/>
      <c r="Z26959" s="258"/>
    </row>
    <row r="26960" spans="1:26" ht="12.75" customHeight="1" x14ac:dyDescent="0.2">
      <c r="A26960" s="258"/>
      <c r="Z26960" s="258"/>
    </row>
    <row r="26961" spans="1:26" ht="12.75" customHeight="1" x14ac:dyDescent="0.2">
      <c r="A26961" s="258"/>
      <c r="Z26961" s="258"/>
    </row>
    <row r="26962" spans="1:26" ht="12.75" customHeight="1" x14ac:dyDescent="0.2">
      <c r="A26962" s="258"/>
      <c r="Z26962" s="258"/>
    </row>
    <row r="26963" spans="1:26" ht="12.75" customHeight="1" x14ac:dyDescent="0.2">
      <c r="A26963" s="258"/>
      <c r="Z26963" s="258"/>
    </row>
    <row r="26964" spans="1:26" ht="12.75" customHeight="1" x14ac:dyDescent="0.2">
      <c r="A26964" s="258"/>
      <c r="Z26964" s="258"/>
    </row>
    <row r="26965" spans="1:26" ht="12.75" customHeight="1" x14ac:dyDescent="0.2">
      <c r="A26965" s="258"/>
      <c r="Z26965" s="258"/>
    </row>
    <row r="26966" spans="1:26" ht="12.75" customHeight="1" x14ac:dyDescent="0.2">
      <c r="A26966" s="258"/>
      <c r="Z26966" s="258"/>
    </row>
    <row r="26967" spans="1:26" ht="12.75" customHeight="1" x14ac:dyDescent="0.2">
      <c r="A26967" s="258"/>
      <c r="Z26967" s="258"/>
    </row>
    <row r="26968" spans="1:26" ht="12.75" customHeight="1" x14ac:dyDescent="0.2">
      <c r="A26968" s="258"/>
      <c r="Z26968" s="258"/>
    </row>
    <row r="26969" spans="1:26" ht="12.75" customHeight="1" x14ac:dyDescent="0.2">
      <c r="A26969" s="258"/>
      <c r="Z26969" s="258"/>
    </row>
    <row r="26970" spans="1:26" ht="12.75" customHeight="1" x14ac:dyDescent="0.2">
      <c r="A26970" s="258"/>
      <c r="Z26970" s="258"/>
    </row>
    <row r="26971" spans="1:26" ht="12.75" customHeight="1" x14ac:dyDescent="0.2">
      <c r="A26971" s="258"/>
      <c r="Z26971" s="258"/>
    </row>
    <row r="26972" spans="1:26" ht="12.75" customHeight="1" x14ac:dyDescent="0.2">
      <c r="A26972" s="258"/>
      <c r="Z26972" s="258"/>
    </row>
    <row r="26973" spans="1:26" ht="12.75" customHeight="1" x14ac:dyDescent="0.2">
      <c r="A26973" s="258"/>
      <c r="Z26973" s="258"/>
    </row>
    <row r="26974" spans="1:26" ht="12.75" customHeight="1" x14ac:dyDescent="0.2">
      <c r="A26974" s="258"/>
      <c r="Z26974" s="258"/>
    </row>
    <row r="26975" spans="1:26" ht="12.75" customHeight="1" x14ac:dyDescent="0.2">
      <c r="A26975" s="258"/>
      <c r="Z26975" s="258"/>
    </row>
    <row r="26976" spans="1:26" ht="12.75" customHeight="1" x14ac:dyDescent="0.2">
      <c r="A26976" s="258"/>
      <c r="Z26976" s="258"/>
    </row>
    <row r="26977" spans="1:26" ht="12.75" customHeight="1" x14ac:dyDescent="0.2">
      <c r="A26977" s="258"/>
      <c r="Z26977" s="258"/>
    </row>
    <row r="26978" spans="1:26" ht="12.75" customHeight="1" x14ac:dyDescent="0.2">
      <c r="A26978" s="258"/>
      <c r="Z26978" s="258"/>
    </row>
    <row r="26979" spans="1:26" ht="12.75" customHeight="1" x14ac:dyDescent="0.2">
      <c r="A26979" s="258"/>
      <c r="Z26979" s="258"/>
    </row>
    <row r="26980" spans="1:26" ht="12.75" customHeight="1" x14ac:dyDescent="0.2">
      <c r="A26980" s="258"/>
      <c r="Z26980" s="258"/>
    </row>
    <row r="26981" spans="1:26" ht="12.75" customHeight="1" x14ac:dyDescent="0.2">
      <c r="A26981" s="258"/>
      <c r="Z26981" s="258"/>
    </row>
    <row r="26982" spans="1:26" ht="12.75" customHeight="1" x14ac:dyDescent="0.2">
      <c r="A26982" s="258"/>
      <c r="Z26982" s="258"/>
    </row>
    <row r="26983" spans="1:26" ht="12.75" customHeight="1" x14ac:dyDescent="0.2">
      <c r="A26983" s="258"/>
      <c r="Z26983" s="258"/>
    </row>
    <row r="26984" spans="1:26" ht="12.75" customHeight="1" x14ac:dyDescent="0.2">
      <c r="A26984" s="258"/>
      <c r="Z26984" s="258"/>
    </row>
    <row r="26985" spans="1:26" ht="12.75" customHeight="1" x14ac:dyDescent="0.2">
      <c r="A26985" s="258"/>
      <c r="Z26985" s="258"/>
    </row>
    <row r="26986" spans="1:26" ht="12.75" customHeight="1" x14ac:dyDescent="0.2">
      <c r="A26986" s="258"/>
      <c r="Z26986" s="258"/>
    </row>
    <row r="26987" spans="1:26" ht="12.75" customHeight="1" x14ac:dyDescent="0.2">
      <c r="A26987" s="258"/>
      <c r="Z26987" s="258"/>
    </row>
    <row r="26988" spans="1:26" ht="12.75" customHeight="1" x14ac:dyDescent="0.2">
      <c r="A26988" s="258"/>
      <c r="Z26988" s="258"/>
    </row>
    <row r="26989" spans="1:26" ht="12.75" customHeight="1" x14ac:dyDescent="0.2">
      <c r="A26989" s="258"/>
      <c r="Z26989" s="258"/>
    </row>
    <row r="26990" spans="1:26" ht="12.75" customHeight="1" x14ac:dyDescent="0.2">
      <c r="A26990" s="258"/>
      <c r="Z26990" s="258"/>
    </row>
    <row r="26991" spans="1:26" ht="12.75" customHeight="1" x14ac:dyDescent="0.2">
      <c r="A26991" s="258"/>
      <c r="Z26991" s="258"/>
    </row>
    <row r="26992" spans="1:26" ht="12.75" customHeight="1" x14ac:dyDescent="0.2">
      <c r="A26992" s="258"/>
      <c r="Z26992" s="258"/>
    </row>
    <row r="26993" spans="1:26" ht="12.75" customHeight="1" x14ac:dyDescent="0.2">
      <c r="A26993" s="258"/>
      <c r="Z26993" s="258"/>
    </row>
    <row r="26994" spans="1:26" ht="12.75" customHeight="1" x14ac:dyDescent="0.2">
      <c r="A26994" s="258"/>
      <c r="Z26994" s="258"/>
    </row>
    <row r="26995" spans="1:26" ht="12.75" customHeight="1" x14ac:dyDescent="0.2">
      <c r="A26995" s="258"/>
      <c r="Z26995" s="258"/>
    </row>
    <row r="26996" spans="1:26" ht="12.75" customHeight="1" x14ac:dyDescent="0.2">
      <c r="A26996" s="258"/>
      <c r="Z26996" s="258"/>
    </row>
    <row r="26997" spans="1:26" ht="12.75" customHeight="1" x14ac:dyDescent="0.2">
      <c r="A26997" s="258"/>
      <c r="Z26997" s="258"/>
    </row>
    <row r="26998" spans="1:26" ht="12.75" customHeight="1" x14ac:dyDescent="0.2">
      <c r="A26998" s="258"/>
      <c r="Z26998" s="258"/>
    </row>
    <row r="26999" spans="1:26" ht="12.75" customHeight="1" x14ac:dyDescent="0.2">
      <c r="A26999" s="258"/>
      <c r="Z26999" s="258"/>
    </row>
    <row r="27000" spans="1:26" ht="12.75" customHeight="1" x14ac:dyDescent="0.2">
      <c r="A27000" s="258"/>
      <c r="Z27000" s="258"/>
    </row>
    <row r="27001" spans="1:26" ht="12.75" customHeight="1" x14ac:dyDescent="0.2">
      <c r="A27001" s="258"/>
      <c r="Z27001" s="258"/>
    </row>
    <row r="27002" spans="1:26" ht="12.75" customHeight="1" x14ac:dyDescent="0.2">
      <c r="A27002" s="258"/>
      <c r="Z27002" s="258"/>
    </row>
    <row r="27003" spans="1:26" ht="12.75" customHeight="1" x14ac:dyDescent="0.2">
      <c r="A27003" s="258"/>
      <c r="Z27003" s="258"/>
    </row>
    <row r="27004" spans="1:26" ht="12.75" customHeight="1" x14ac:dyDescent="0.2">
      <c r="A27004" s="258"/>
      <c r="Z27004" s="258"/>
    </row>
    <row r="27005" spans="1:26" ht="12.75" customHeight="1" x14ac:dyDescent="0.2">
      <c r="A27005" s="258"/>
      <c r="Z27005" s="258"/>
    </row>
    <row r="27006" spans="1:26" ht="12.75" customHeight="1" x14ac:dyDescent="0.2">
      <c r="A27006" s="258"/>
      <c r="Z27006" s="258"/>
    </row>
    <row r="27007" spans="1:26" ht="12.75" customHeight="1" x14ac:dyDescent="0.2">
      <c r="A27007" s="258"/>
      <c r="Z27007" s="258"/>
    </row>
    <row r="27008" spans="1:26" ht="12.75" customHeight="1" x14ac:dyDescent="0.2">
      <c r="A27008" s="258"/>
      <c r="Z27008" s="258"/>
    </row>
    <row r="27009" spans="1:26" ht="12.75" customHeight="1" x14ac:dyDescent="0.2">
      <c r="A27009" s="258"/>
      <c r="Z27009" s="258"/>
    </row>
    <row r="27010" spans="1:26" ht="12.75" customHeight="1" x14ac:dyDescent="0.2">
      <c r="A27010" s="258"/>
      <c r="Z27010" s="258"/>
    </row>
    <row r="27011" spans="1:26" ht="12.75" customHeight="1" x14ac:dyDescent="0.2">
      <c r="A27011" s="258"/>
      <c r="Z27011" s="258"/>
    </row>
    <row r="27012" spans="1:26" ht="12.75" customHeight="1" x14ac:dyDescent="0.2">
      <c r="A27012" s="258"/>
      <c r="Z27012" s="258"/>
    </row>
    <row r="27013" spans="1:26" ht="12.75" customHeight="1" x14ac:dyDescent="0.2">
      <c r="A27013" s="258"/>
      <c r="Z27013" s="258"/>
    </row>
    <row r="27014" spans="1:26" ht="12.75" customHeight="1" x14ac:dyDescent="0.2">
      <c r="A27014" s="258"/>
      <c r="Z27014" s="258"/>
    </row>
    <row r="27015" spans="1:26" ht="12.75" customHeight="1" x14ac:dyDescent="0.2">
      <c r="A27015" s="258"/>
      <c r="Z27015" s="258"/>
    </row>
    <row r="27016" spans="1:26" ht="12.75" customHeight="1" x14ac:dyDescent="0.2">
      <c r="A27016" s="258"/>
      <c r="Z27016" s="258"/>
    </row>
    <row r="27017" spans="1:26" ht="12.75" customHeight="1" x14ac:dyDescent="0.2">
      <c r="A27017" s="258"/>
      <c r="Z27017" s="258"/>
    </row>
    <row r="27018" spans="1:26" ht="12.75" customHeight="1" x14ac:dyDescent="0.2">
      <c r="A27018" s="258"/>
      <c r="Z27018" s="258"/>
    </row>
    <row r="27019" spans="1:26" ht="12.75" customHeight="1" x14ac:dyDescent="0.2">
      <c r="A27019" s="258"/>
      <c r="Z27019" s="258"/>
    </row>
    <row r="27020" spans="1:26" ht="12.75" customHeight="1" x14ac:dyDescent="0.2">
      <c r="A27020" s="258"/>
      <c r="Z27020" s="258"/>
    </row>
    <row r="27021" spans="1:26" ht="12.75" customHeight="1" x14ac:dyDescent="0.2">
      <c r="A27021" s="258"/>
      <c r="Z27021" s="258"/>
    </row>
    <row r="27022" spans="1:26" ht="12.75" customHeight="1" x14ac:dyDescent="0.2">
      <c r="A27022" s="258"/>
      <c r="Z27022" s="258"/>
    </row>
    <row r="27023" spans="1:26" ht="12.75" customHeight="1" x14ac:dyDescent="0.2">
      <c r="A27023" s="258"/>
      <c r="Z27023" s="258"/>
    </row>
    <row r="27024" spans="1:26" ht="12.75" customHeight="1" x14ac:dyDescent="0.2">
      <c r="A27024" s="258"/>
      <c r="Z27024" s="258"/>
    </row>
    <row r="27025" spans="1:26" ht="12.75" customHeight="1" x14ac:dyDescent="0.2">
      <c r="A27025" s="258"/>
      <c r="Z27025" s="258"/>
    </row>
    <row r="27026" spans="1:26" ht="12.75" customHeight="1" x14ac:dyDescent="0.2">
      <c r="A27026" s="258"/>
      <c r="Z27026" s="258"/>
    </row>
    <row r="27027" spans="1:26" ht="12.75" customHeight="1" x14ac:dyDescent="0.2">
      <c r="A27027" s="258"/>
      <c r="Z27027" s="258"/>
    </row>
    <row r="27028" spans="1:26" ht="12.75" customHeight="1" x14ac:dyDescent="0.2">
      <c r="A27028" s="258"/>
      <c r="Z27028" s="258"/>
    </row>
    <row r="27029" spans="1:26" ht="12.75" customHeight="1" x14ac:dyDescent="0.2">
      <c r="A27029" s="258"/>
      <c r="Z27029" s="258"/>
    </row>
    <row r="27030" spans="1:26" ht="12.75" customHeight="1" x14ac:dyDescent="0.2">
      <c r="A27030" s="258"/>
      <c r="Z27030" s="258"/>
    </row>
    <row r="27031" spans="1:26" ht="12.75" customHeight="1" x14ac:dyDescent="0.2">
      <c r="A27031" s="258"/>
      <c r="Z27031" s="258"/>
    </row>
    <row r="27032" spans="1:26" ht="12.75" customHeight="1" x14ac:dyDescent="0.2">
      <c r="A27032" s="258"/>
      <c r="Z27032" s="258"/>
    </row>
    <row r="27033" spans="1:26" ht="12.75" customHeight="1" x14ac:dyDescent="0.2">
      <c r="A27033" s="258"/>
      <c r="Z27033" s="258"/>
    </row>
    <row r="27034" spans="1:26" ht="12.75" customHeight="1" x14ac:dyDescent="0.2">
      <c r="A27034" s="258"/>
      <c r="Z27034" s="258"/>
    </row>
    <row r="27035" spans="1:26" ht="12.75" customHeight="1" x14ac:dyDescent="0.2">
      <c r="A27035" s="258"/>
      <c r="Z27035" s="258"/>
    </row>
    <row r="27036" spans="1:26" ht="12.75" customHeight="1" x14ac:dyDescent="0.2">
      <c r="A27036" s="258"/>
      <c r="Z27036" s="258"/>
    </row>
    <row r="27037" spans="1:26" ht="12.75" customHeight="1" x14ac:dyDescent="0.2">
      <c r="A27037" s="258"/>
      <c r="Z27037" s="258"/>
    </row>
    <row r="27038" spans="1:26" ht="12.75" customHeight="1" x14ac:dyDescent="0.2">
      <c r="A27038" s="258"/>
      <c r="Z27038" s="258"/>
    </row>
    <row r="27039" spans="1:26" ht="12.75" customHeight="1" x14ac:dyDescent="0.2">
      <c r="A27039" s="258"/>
      <c r="Z27039" s="258"/>
    </row>
    <row r="27040" spans="1:26" ht="12.75" customHeight="1" x14ac:dyDescent="0.2">
      <c r="A27040" s="258"/>
      <c r="Z27040" s="258"/>
    </row>
    <row r="27041" spans="1:26" ht="12.75" customHeight="1" x14ac:dyDescent="0.2">
      <c r="A27041" s="258"/>
      <c r="Z27041" s="258"/>
    </row>
    <row r="27042" spans="1:26" ht="12.75" customHeight="1" x14ac:dyDescent="0.2">
      <c r="A27042" s="258"/>
      <c r="Z27042" s="258"/>
    </row>
    <row r="27043" spans="1:26" ht="12.75" customHeight="1" x14ac:dyDescent="0.2">
      <c r="A27043" s="258"/>
      <c r="Z27043" s="258"/>
    </row>
    <row r="27044" spans="1:26" ht="12.75" customHeight="1" x14ac:dyDescent="0.2">
      <c r="A27044" s="258"/>
      <c r="Z27044" s="258"/>
    </row>
    <row r="27045" spans="1:26" ht="12.75" customHeight="1" x14ac:dyDescent="0.2">
      <c r="A27045" s="258"/>
      <c r="Z27045" s="258"/>
    </row>
    <row r="27046" spans="1:26" ht="12.75" customHeight="1" x14ac:dyDescent="0.2">
      <c r="A27046" s="258"/>
      <c r="Z27046" s="258"/>
    </row>
    <row r="27047" spans="1:26" ht="12.75" customHeight="1" x14ac:dyDescent="0.2">
      <c r="A27047" s="258"/>
      <c r="Z27047" s="258"/>
    </row>
    <row r="27048" spans="1:26" ht="12.75" customHeight="1" x14ac:dyDescent="0.2">
      <c r="A27048" s="258"/>
      <c r="Z27048" s="258"/>
    </row>
    <row r="27049" spans="1:26" ht="12.75" customHeight="1" x14ac:dyDescent="0.2">
      <c r="A27049" s="258"/>
      <c r="Z27049" s="258"/>
    </row>
    <row r="27050" spans="1:26" ht="12.75" customHeight="1" x14ac:dyDescent="0.2">
      <c r="A27050" s="258"/>
      <c r="Z27050" s="258"/>
    </row>
    <row r="27051" spans="1:26" ht="12.75" customHeight="1" x14ac:dyDescent="0.2">
      <c r="A27051" s="258"/>
      <c r="Z27051" s="258"/>
    </row>
    <row r="27052" spans="1:26" ht="12.75" customHeight="1" x14ac:dyDescent="0.2">
      <c r="A27052" s="258"/>
      <c r="Z27052" s="258"/>
    </row>
    <row r="27053" spans="1:26" ht="12.75" customHeight="1" x14ac:dyDescent="0.2">
      <c r="A27053" s="258"/>
      <c r="Z27053" s="258"/>
    </row>
    <row r="27054" spans="1:26" ht="12.75" customHeight="1" x14ac:dyDescent="0.2">
      <c r="A27054" s="258"/>
      <c r="Z27054" s="258"/>
    </row>
    <row r="27055" spans="1:26" ht="12.75" customHeight="1" x14ac:dyDescent="0.2">
      <c r="A27055" s="258"/>
      <c r="Z27055" s="258"/>
    </row>
    <row r="27056" spans="1:26" ht="12.75" customHeight="1" x14ac:dyDescent="0.2">
      <c r="A27056" s="258"/>
      <c r="Z27056" s="258"/>
    </row>
    <row r="27057" spans="1:26" ht="12.75" customHeight="1" x14ac:dyDescent="0.2">
      <c r="A27057" s="258"/>
      <c r="Z27057" s="258"/>
    </row>
    <row r="27058" spans="1:26" ht="12.75" customHeight="1" x14ac:dyDescent="0.2">
      <c r="A27058" s="258"/>
      <c r="Z27058" s="258"/>
    </row>
    <row r="27059" spans="1:26" ht="12.75" customHeight="1" x14ac:dyDescent="0.2">
      <c r="A27059" s="258"/>
      <c r="Z27059" s="258"/>
    </row>
    <row r="27060" spans="1:26" ht="12.75" customHeight="1" x14ac:dyDescent="0.2">
      <c r="A27060" s="258"/>
      <c r="Z27060" s="258"/>
    </row>
    <row r="27061" spans="1:26" ht="12.75" customHeight="1" x14ac:dyDescent="0.2">
      <c r="A27061" s="258"/>
      <c r="Z27061" s="258"/>
    </row>
    <row r="27062" spans="1:26" ht="12.75" customHeight="1" x14ac:dyDescent="0.2">
      <c r="A27062" s="258"/>
      <c r="Z27062" s="258"/>
    </row>
    <row r="27063" spans="1:26" ht="12.75" customHeight="1" x14ac:dyDescent="0.2">
      <c r="A27063" s="258"/>
      <c r="Z27063" s="258"/>
    </row>
    <row r="27064" spans="1:26" ht="12.75" customHeight="1" x14ac:dyDescent="0.2">
      <c r="A27064" s="258"/>
      <c r="Z27064" s="258"/>
    </row>
    <row r="27065" spans="1:26" ht="12.75" customHeight="1" x14ac:dyDescent="0.2">
      <c r="A27065" s="258"/>
      <c r="Z27065" s="258"/>
    </row>
    <row r="27066" spans="1:26" ht="12.75" customHeight="1" x14ac:dyDescent="0.2">
      <c r="A27066" s="258"/>
      <c r="Z27066" s="258"/>
    </row>
    <row r="27067" spans="1:26" ht="12.75" customHeight="1" x14ac:dyDescent="0.2">
      <c r="A27067" s="258"/>
      <c r="Z27067" s="258"/>
    </row>
    <row r="27068" spans="1:26" ht="12.75" customHeight="1" x14ac:dyDescent="0.2">
      <c r="A27068" s="258"/>
      <c r="Z27068" s="258"/>
    </row>
    <row r="27069" spans="1:26" ht="12.75" customHeight="1" x14ac:dyDescent="0.2">
      <c r="A27069" s="258"/>
      <c r="Z27069" s="258"/>
    </row>
    <row r="27070" spans="1:26" ht="12.75" customHeight="1" x14ac:dyDescent="0.2">
      <c r="A27070" s="258"/>
      <c r="Z27070" s="258"/>
    </row>
    <row r="27071" spans="1:26" ht="12.75" customHeight="1" x14ac:dyDescent="0.2">
      <c r="A27071" s="258"/>
      <c r="Z27071" s="258"/>
    </row>
    <row r="27072" spans="1:26" ht="12.75" customHeight="1" x14ac:dyDescent="0.2">
      <c r="A27072" s="258"/>
      <c r="Z27072" s="258"/>
    </row>
    <row r="27073" spans="1:26" ht="12.75" customHeight="1" x14ac:dyDescent="0.2">
      <c r="A27073" s="258"/>
      <c r="Z27073" s="258"/>
    </row>
    <row r="27074" spans="1:26" ht="12.75" customHeight="1" x14ac:dyDescent="0.2">
      <c r="A27074" s="258"/>
      <c r="Z27074" s="258"/>
    </row>
    <row r="27075" spans="1:26" ht="12.75" customHeight="1" x14ac:dyDescent="0.2">
      <c r="A27075" s="258"/>
      <c r="Z27075" s="258"/>
    </row>
    <row r="27076" spans="1:26" ht="12.75" customHeight="1" x14ac:dyDescent="0.2">
      <c r="A27076" s="258"/>
      <c r="Z27076" s="258"/>
    </row>
    <row r="27077" spans="1:26" ht="12.75" customHeight="1" x14ac:dyDescent="0.2">
      <c r="A27077" s="258"/>
      <c r="Z27077" s="258"/>
    </row>
    <row r="27078" spans="1:26" ht="12.75" customHeight="1" x14ac:dyDescent="0.2">
      <c r="A27078" s="258"/>
      <c r="Z27078" s="258"/>
    </row>
    <row r="27079" spans="1:26" ht="12.75" customHeight="1" x14ac:dyDescent="0.2">
      <c r="A27079" s="258"/>
      <c r="Z27079" s="258"/>
    </row>
    <row r="27080" spans="1:26" ht="12.75" customHeight="1" x14ac:dyDescent="0.2">
      <c r="A27080" s="258"/>
      <c r="Z27080" s="258"/>
    </row>
    <row r="27081" spans="1:26" ht="12.75" customHeight="1" x14ac:dyDescent="0.2">
      <c r="A27081" s="258"/>
      <c r="Z27081" s="258"/>
    </row>
    <row r="27082" spans="1:26" ht="12.75" customHeight="1" x14ac:dyDescent="0.2">
      <c r="A27082" s="258"/>
      <c r="Z27082" s="258"/>
    </row>
    <row r="27083" spans="1:26" ht="12.75" customHeight="1" x14ac:dyDescent="0.2">
      <c r="A27083" s="258"/>
      <c r="Z27083" s="258"/>
    </row>
    <row r="27084" spans="1:26" ht="12.75" customHeight="1" x14ac:dyDescent="0.2">
      <c r="A27084" s="258"/>
      <c r="Z27084" s="258"/>
    </row>
    <row r="27085" spans="1:26" ht="12.75" customHeight="1" x14ac:dyDescent="0.2">
      <c r="A27085" s="258"/>
      <c r="Z27085" s="258"/>
    </row>
    <row r="27086" spans="1:26" ht="12.75" customHeight="1" x14ac:dyDescent="0.2">
      <c r="A27086" s="258"/>
      <c r="Z27086" s="258"/>
    </row>
    <row r="27087" spans="1:26" ht="12.75" customHeight="1" x14ac:dyDescent="0.2">
      <c r="A27087" s="258"/>
      <c r="Z27087" s="258"/>
    </row>
    <row r="27088" spans="1:26" ht="12.75" customHeight="1" x14ac:dyDescent="0.2">
      <c r="A27088" s="258"/>
      <c r="Z27088" s="258"/>
    </row>
    <row r="27089" spans="1:26" ht="12.75" customHeight="1" x14ac:dyDescent="0.2">
      <c r="A27089" s="258"/>
      <c r="Z27089" s="258"/>
    </row>
    <row r="27090" spans="1:26" ht="12.75" customHeight="1" x14ac:dyDescent="0.2">
      <c r="A27090" s="258"/>
      <c r="Z27090" s="258"/>
    </row>
    <row r="27091" spans="1:26" ht="12.75" customHeight="1" x14ac:dyDescent="0.2">
      <c r="A27091" s="258"/>
      <c r="Z27091" s="258"/>
    </row>
    <row r="27092" spans="1:26" ht="12.75" customHeight="1" x14ac:dyDescent="0.2">
      <c r="A27092" s="258"/>
      <c r="Z27092" s="258"/>
    </row>
    <row r="27093" spans="1:26" ht="12.75" customHeight="1" x14ac:dyDescent="0.2">
      <c r="A27093" s="258"/>
      <c r="Z27093" s="258"/>
    </row>
    <row r="27094" spans="1:26" ht="12.75" customHeight="1" x14ac:dyDescent="0.2">
      <c r="A27094" s="258"/>
      <c r="Z27094" s="258"/>
    </row>
    <row r="27095" spans="1:26" ht="12.75" customHeight="1" x14ac:dyDescent="0.2">
      <c r="A27095" s="258"/>
      <c r="Z27095" s="258"/>
    </row>
    <row r="27096" spans="1:26" ht="12.75" customHeight="1" x14ac:dyDescent="0.2">
      <c r="A27096" s="258"/>
      <c r="Z27096" s="258"/>
    </row>
    <row r="27097" spans="1:26" ht="12.75" customHeight="1" x14ac:dyDescent="0.2">
      <c r="A27097" s="258"/>
      <c r="Z27097" s="258"/>
    </row>
    <row r="27098" spans="1:26" ht="12.75" customHeight="1" x14ac:dyDescent="0.2">
      <c r="A27098" s="258"/>
      <c r="Z27098" s="258"/>
    </row>
    <row r="27099" spans="1:26" ht="12.75" customHeight="1" x14ac:dyDescent="0.2">
      <c r="A27099" s="258"/>
      <c r="Z27099" s="258"/>
    </row>
    <row r="27100" spans="1:26" ht="12.75" customHeight="1" x14ac:dyDescent="0.2">
      <c r="A27100" s="258"/>
      <c r="Z27100" s="258"/>
    </row>
    <row r="27101" spans="1:26" ht="12.75" customHeight="1" x14ac:dyDescent="0.2">
      <c r="A27101" s="258"/>
      <c r="Z27101" s="258"/>
    </row>
    <row r="27102" spans="1:26" ht="12.75" customHeight="1" x14ac:dyDescent="0.2">
      <c r="A27102" s="258"/>
      <c r="Z27102" s="258"/>
    </row>
    <row r="27103" spans="1:26" ht="12.75" customHeight="1" x14ac:dyDescent="0.2">
      <c r="A27103" s="258"/>
      <c r="Z27103" s="258"/>
    </row>
    <row r="27104" spans="1:26" ht="12.75" customHeight="1" x14ac:dyDescent="0.2">
      <c r="A27104" s="258"/>
      <c r="Z27104" s="258"/>
    </row>
    <row r="27105" spans="1:26" ht="12.75" customHeight="1" x14ac:dyDescent="0.2">
      <c r="A27105" s="258"/>
      <c r="Z27105" s="258"/>
    </row>
    <row r="27106" spans="1:26" ht="12.75" customHeight="1" x14ac:dyDescent="0.2">
      <c r="A27106" s="258"/>
      <c r="Z27106" s="258"/>
    </row>
    <row r="27107" spans="1:26" ht="12.75" customHeight="1" x14ac:dyDescent="0.2">
      <c r="A27107" s="258"/>
      <c r="Z27107" s="258"/>
    </row>
    <row r="27108" spans="1:26" ht="12.75" customHeight="1" x14ac:dyDescent="0.2">
      <c r="A27108" s="258"/>
      <c r="Z27108" s="258"/>
    </row>
    <row r="27109" spans="1:26" ht="12.75" customHeight="1" x14ac:dyDescent="0.2">
      <c r="A27109" s="258"/>
      <c r="Z27109" s="258"/>
    </row>
    <row r="27110" spans="1:26" ht="12.75" customHeight="1" x14ac:dyDescent="0.2">
      <c r="A27110" s="258"/>
      <c r="Z27110" s="258"/>
    </row>
    <row r="27111" spans="1:26" ht="12.75" customHeight="1" x14ac:dyDescent="0.2">
      <c r="A27111" s="258"/>
      <c r="Z27111" s="258"/>
    </row>
    <row r="27112" spans="1:26" ht="12.75" customHeight="1" x14ac:dyDescent="0.2">
      <c r="A27112" s="258"/>
      <c r="Z27112" s="258"/>
    </row>
    <row r="27113" spans="1:26" ht="12.75" customHeight="1" x14ac:dyDescent="0.2">
      <c r="A27113" s="258"/>
      <c r="Z27113" s="258"/>
    </row>
    <row r="27114" spans="1:26" ht="12.75" customHeight="1" x14ac:dyDescent="0.2">
      <c r="A27114" s="258"/>
      <c r="Z27114" s="258"/>
    </row>
    <row r="27115" spans="1:26" ht="12.75" customHeight="1" x14ac:dyDescent="0.2">
      <c r="A27115" s="258"/>
      <c r="Z27115" s="258"/>
    </row>
    <row r="27116" spans="1:26" ht="12.75" customHeight="1" x14ac:dyDescent="0.2">
      <c r="A27116" s="258"/>
      <c r="Z27116" s="258"/>
    </row>
    <row r="27117" spans="1:26" ht="12.75" customHeight="1" x14ac:dyDescent="0.2">
      <c r="A27117" s="258"/>
      <c r="Z27117" s="258"/>
    </row>
    <row r="27118" spans="1:26" ht="12.75" customHeight="1" x14ac:dyDescent="0.2">
      <c r="A27118" s="258"/>
      <c r="Z27118" s="258"/>
    </row>
    <row r="27119" spans="1:26" ht="12.75" customHeight="1" x14ac:dyDescent="0.2">
      <c r="A27119" s="258"/>
      <c r="Z27119" s="258"/>
    </row>
    <row r="27120" spans="1:26" ht="12.75" customHeight="1" x14ac:dyDescent="0.2">
      <c r="A27120" s="258"/>
      <c r="Z27120" s="258"/>
    </row>
    <row r="27121" spans="1:26" ht="12.75" customHeight="1" x14ac:dyDescent="0.2">
      <c r="A27121" s="258"/>
      <c r="Z27121" s="258"/>
    </row>
    <row r="27122" spans="1:26" ht="12.75" customHeight="1" x14ac:dyDescent="0.2">
      <c r="A27122" s="258"/>
      <c r="Z27122" s="258"/>
    </row>
    <row r="27123" spans="1:26" ht="12.75" customHeight="1" x14ac:dyDescent="0.2">
      <c r="A27123" s="258"/>
      <c r="Z27123" s="258"/>
    </row>
    <row r="27124" spans="1:26" ht="12.75" customHeight="1" x14ac:dyDescent="0.2">
      <c r="A27124" s="258"/>
      <c r="Z27124" s="258"/>
    </row>
    <row r="27125" spans="1:26" ht="12.75" customHeight="1" x14ac:dyDescent="0.2">
      <c r="A27125" s="258"/>
      <c r="Z27125" s="258"/>
    </row>
    <row r="27126" spans="1:26" ht="12.75" customHeight="1" x14ac:dyDescent="0.2">
      <c r="A27126" s="258"/>
      <c r="Z27126" s="258"/>
    </row>
    <row r="27127" spans="1:26" ht="12.75" customHeight="1" x14ac:dyDescent="0.2">
      <c r="A27127" s="258"/>
      <c r="Z27127" s="258"/>
    </row>
    <row r="27128" spans="1:26" ht="12.75" customHeight="1" x14ac:dyDescent="0.2">
      <c r="A27128" s="258"/>
      <c r="Z27128" s="258"/>
    </row>
    <row r="27129" spans="1:26" ht="12.75" customHeight="1" x14ac:dyDescent="0.2">
      <c r="A27129" s="258"/>
      <c r="Z27129" s="258"/>
    </row>
    <row r="27130" spans="1:26" ht="12.75" customHeight="1" x14ac:dyDescent="0.2">
      <c r="A27130" s="258"/>
      <c r="Z27130" s="258"/>
    </row>
    <row r="27131" spans="1:26" ht="12.75" customHeight="1" x14ac:dyDescent="0.2">
      <c r="A27131" s="258"/>
      <c r="Z27131" s="258"/>
    </row>
    <row r="27132" spans="1:26" ht="12.75" customHeight="1" x14ac:dyDescent="0.2">
      <c r="A27132" s="258"/>
      <c r="Z27132" s="258"/>
    </row>
    <row r="27133" spans="1:26" ht="12.75" customHeight="1" x14ac:dyDescent="0.2">
      <c r="A27133" s="258"/>
      <c r="Z27133" s="258"/>
    </row>
    <row r="27134" spans="1:26" ht="12.75" customHeight="1" x14ac:dyDescent="0.2">
      <c r="A27134" s="258"/>
      <c r="Z27134" s="258"/>
    </row>
    <row r="27135" spans="1:26" ht="12.75" customHeight="1" x14ac:dyDescent="0.2">
      <c r="A27135" s="258"/>
      <c r="Z27135" s="258"/>
    </row>
    <row r="27136" spans="1:26" ht="12.75" customHeight="1" x14ac:dyDescent="0.2">
      <c r="A27136" s="258"/>
      <c r="Z27136" s="258"/>
    </row>
    <row r="27137" spans="1:26" ht="12.75" customHeight="1" x14ac:dyDescent="0.2">
      <c r="A27137" s="258"/>
      <c r="Z27137" s="258"/>
    </row>
    <row r="27138" spans="1:26" ht="12.75" customHeight="1" x14ac:dyDescent="0.2">
      <c r="A27138" s="258"/>
      <c r="Z27138" s="258"/>
    </row>
    <row r="27139" spans="1:26" ht="12.75" customHeight="1" x14ac:dyDescent="0.2">
      <c r="A27139" s="258"/>
      <c r="Z27139" s="258"/>
    </row>
    <row r="27140" spans="1:26" ht="12.75" customHeight="1" x14ac:dyDescent="0.2">
      <c r="A27140" s="258"/>
      <c r="Z27140" s="258"/>
    </row>
    <row r="27141" spans="1:26" ht="12.75" customHeight="1" x14ac:dyDescent="0.2">
      <c r="A27141" s="258"/>
      <c r="Z27141" s="258"/>
    </row>
    <row r="27142" spans="1:26" ht="12.75" customHeight="1" x14ac:dyDescent="0.2">
      <c r="A27142" s="258"/>
      <c r="Z27142" s="258"/>
    </row>
    <row r="27143" spans="1:26" ht="12.75" customHeight="1" x14ac:dyDescent="0.2">
      <c r="A27143" s="258"/>
      <c r="Z27143" s="258"/>
    </row>
    <row r="27144" spans="1:26" ht="12.75" customHeight="1" x14ac:dyDescent="0.2">
      <c r="A27144" s="258"/>
      <c r="Z27144" s="258"/>
    </row>
    <row r="27145" spans="1:26" ht="12.75" customHeight="1" x14ac:dyDescent="0.2">
      <c r="A27145" s="258"/>
      <c r="Z27145" s="258"/>
    </row>
    <row r="27146" spans="1:26" ht="12.75" customHeight="1" x14ac:dyDescent="0.2">
      <c r="A27146" s="258"/>
      <c r="Z27146" s="258"/>
    </row>
    <row r="27147" spans="1:26" ht="12.75" customHeight="1" x14ac:dyDescent="0.2">
      <c r="A27147" s="258"/>
      <c r="Z27147" s="258"/>
    </row>
    <row r="27148" spans="1:26" ht="12.75" customHeight="1" x14ac:dyDescent="0.2">
      <c r="A27148" s="258"/>
      <c r="Z27148" s="258"/>
    </row>
    <row r="27149" spans="1:26" ht="12.75" customHeight="1" x14ac:dyDescent="0.2">
      <c r="A27149" s="258"/>
      <c r="Z27149" s="258"/>
    </row>
    <row r="27150" spans="1:26" ht="12.75" customHeight="1" x14ac:dyDescent="0.2">
      <c r="A27150" s="258"/>
      <c r="Z27150" s="258"/>
    </row>
    <row r="27151" spans="1:26" ht="12.75" customHeight="1" x14ac:dyDescent="0.2">
      <c r="A27151" s="258"/>
      <c r="Z27151" s="258"/>
    </row>
    <row r="27152" spans="1:26" ht="12.75" customHeight="1" x14ac:dyDescent="0.2">
      <c r="A27152" s="258"/>
      <c r="Z27152" s="258"/>
    </row>
    <row r="27153" spans="1:26" ht="12.75" customHeight="1" x14ac:dyDescent="0.2">
      <c r="A27153" s="258"/>
      <c r="Z27153" s="258"/>
    </row>
    <row r="27154" spans="1:26" ht="12.75" customHeight="1" x14ac:dyDescent="0.2">
      <c r="A27154" s="258"/>
      <c r="Z27154" s="258"/>
    </row>
    <row r="27155" spans="1:26" ht="12.75" customHeight="1" x14ac:dyDescent="0.2">
      <c r="A27155" s="258"/>
      <c r="Z27155" s="258"/>
    </row>
    <row r="27156" spans="1:26" ht="12.75" customHeight="1" x14ac:dyDescent="0.2">
      <c r="A27156" s="258"/>
      <c r="Z27156" s="258"/>
    </row>
    <row r="27157" spans="1:26" ht="12.75" customHeight="1" x14ac:dyDescent="0.2">
      <c r="A27157" s="258"/>
      <c r="Z27157" s="258"/>
    </row>
    <row r="27158" spans="1:26" ht="12.75" customHeight="1" x14ac:dyDescent="0.2">
      <c r="A27158" s="258"/>
      <c r="Z27158" s="258"/>
    </row>
    <row r="27159" spans="1:26" ht="12.75" customHeight="1" x14ac:dyDescent="0.2">
      <c r="A27159" s="258"/>
      <c r="Z27159" s="258"/>
    </row>
    <row r="27160" spans="1:26" ht="12.75" customHeight="1" x14ac:dyDescent="0.2">
      <c r="A27160" s="258"/>
      <c r="Z27160" s="258"/>
    </row>
    <row r="27161" spans="1:26" ht="12.75" customHeight="1" x14ac:dyDescent="0.2">
      <c r="A27161" s="258"/>
      <c r="Z27161" s="258"/>
    </row>
    <row r="27162" spans="1:26" ht="12.75" customHeight="1" x14ac:dyDescent="0.2">
      <c r="A27162" s="258"/>
      <c r="Z27162" s="258"/>
    </row>
    <row r="27163" spans="1:26" ht="12.75" customHeight="1" x14ac:dyDescent="0.2">
      <c r="A27163" s="258"/>
      <c r="Z27163" s="258"/>
    </row>
    <row r="27164" spans="1:26" ht="12.75" customHeight="1" x14ac:dyDescent="0.2">
      <c r="A27164" s="258"/>
      <c r="Z27164" s="258"/>
    </row>
    <row r="27165" spans="1:26" ht="12.75" customHeight="1" x14ac:dyDescent="0.2">
      <c r="A27165" s="258"/>
      <c r="Z27165" s="258"/>
    </row>
    <row r="27166" spans="1:26" ht="12.75" customHeight="1" x14ac:dyDescent="0.2">
      <c r="A27166" s="258"/>
      <c r="Z27166" s="258"/>
    </row>
    <row r="27167" spans="1:26" ht="12.75" customHeight="1" x14ac:dyDescent="0.2">
      <c r="A27167" s="258"/>
      <c r="Z27167" s="258"/>
    </row>
    <row r="27168" spans="1:26" ht="12.75" customHeight="1" x14ac:dyDescent="0.2">
      <c r="A27168" s="258"/>
      <c r="Z27168" s="258"/>
    </row>
    <row r="27169" spans="1:26" ht="12.75" customHeight="1" x14ac:dyDescent="0.2">
      <c r="A27169" s="258"/>
      <c r="Z27169" s="258"/>
    </row>
    <row r="27170" spans="1:26" ht="12.75" customHeight="1" x14ac:dyDescent="0.2">
      <c r="A27170" s="258"/>
      <c r="Z27170" s="258"/>
    </row>
    <row r="27171" spans="1:26" ht="12.75" customHeight="1" x14ac:dyDescent="0.2">
      <c r="A27171" s="258"/>
      <c r="Z27171" s="258"/>
    </row>
    <row r="27172" spans="1:26" ht="12.75" customHeight="1" x14ac:dyDescent="0.2">
      <c r="A27172" s="258"/>
      <c r="Z27172" s="258"/>
    </row>
    <row r="27173" spans="1:26" ht="12.75" customHeight="1" x14ac:dyDescent="0.2">
      <c r="A27173" s="258"/>
      <c r="Z27173" s="258"/>
    </row>
    <row r="27174" spans="1:26" ht="12.75" customHeight="1" x14ac:dyDescent="0.2">
      <c r="A27174" s="258"/>
      <c r="Z27174" s="258"/>
    </row>
    <row r="27175" spans="1:26" ht="12.75" customHeight="1" x14ac:dyDescent="0.2">
      <c r="A27175" s="258"/>
      <c r="Z27175" s="258"/>
    </row>
    <row r="27176" spans="1:26" ht="12.75" customHeight="1" x14ac:dyDescent="0.2">
      <c r="A27176" s="258"/>
      <c r="Z27176" s="258"/>
    </row>
    <row r="27177" spans="1:26" ht="12.75" customHeight="1" x14ac:dyDescent="0.2">
      <c r="A27177" s="258"/>
      <c r="Z27177" s="258"/>
    </row>
    <row r="27178" spans="1:26" ht="12.75" customHeight="1" x14ac:dyDescent="0.2">
      <c r="A27178" s="258"/>
      <c r="Z27178" s="258"/>
    </row>
    <row r="27179" spans="1:26" ht="12.75" customHeight="1" x14ac:dyDescent="0.2">
      <c r="A27179" s="258"/>
      <c r="Z27179" s="258"/>
    </row>
    <row r="27180" spans="1:26" ht="12.75" customHeight="1" x14ac:dyDescent="0.2">
      <c r="A27180" s="258"/>
      <c r="Z27180" s="258"/>
    </row>
    <row r="27181" spans="1:26" ht="12.75" customHeight="1" x14ac:dyDescent="0.2">
      <c r="A27181" s="258"/>
      <c r="Z27181" s="258"/>
    </row>
    <row r="27182" spans="1:26" ht="12.75" customHeight="1" x14ac:dyDescent="0.2">
      <c r="A27182" s="258"/>
      <c r="Z27182" s="258"/>
    </row>
    <row r="27183" spans="1:26" ht="12.75" customHeight="1" x14ac:dyDescent="0.2">
      <c r="A27183" s="258"/>
      <c r="Z27183" s="258"/>
    </row>
    <row r="27184" spans="1:26" ht="12.75" customHeight="1" x14ac:dyDescent="0.2">
      <c r="A27184" s="258"/>
      <c r="Z27184" s="258"/>
    </row>
    <row r="27185" spans="1:26" ht="12.75" customHeight="1" x14ac:dyDescent="0.2">
      <c r="A27185" s="258"/>
      <c r="Z27185" s="258"/>
    </row>
    <row r="27186" spans="1:26" ht="12.75" customHeight="1" x14ac:dyDescent="0.2">
      <c r="A27186" s="258"/>
      <c r="Z27186" s="258"/>
    </row>
    <row r="27187" spans="1:26" ht="12.75" customHeight="1" x14ac:dyDescent="0.2">
      <c r="A27187" s="258"/>
      <c r="Z27187" s="258"/>
    </row>
    <row r="27188" spans="1:26" ht="12.75" customHeight="1" x14ac:dyDescent="0.2">
      <c r="A27188" s="258"/>
      <c r="Z27188" s="258"/>
    </row>
    <row r="27189" spans="1:26" ht="12.75" customHeight="1" x14ac:dyDescent="0.2">
      <c r="A27189" s="258"/>
      <c r="Z27189" s="258"/>
    </row>
    <row r="27190" spans="1:26" ht="12.75" customHeight="1" x14ac:dyDescent="0.2">
      <c r="A27190" s="258"/>
      <c r="Z27190" s="258"/>
    </row>
    <row r="27191" spans="1:26" ht="12.75" customHeight="1" x14ac:dyDescent="0.2">
      <c r="A27191" s="258"/>
      <c r="Z27191" s="258"/>
    </row>
    <row r="27192" spans="1:26" ht="12.75" customHeight="1" x14ac:dyDescent="0.2">
      <c r="A27192" s="258"/>
      <c r="Z27192" s="258"/>
    </row>
    <row r="27193" spans="1:26" ht="12.75" customHeight="1" x14ac:dyDescent="0.2">
      <c r="A27193" s="258"/>
      <c r="Z27193" s="258"/>
    </row>
    <row r="27194" spans="1:26" ht="12.75" customHeight="1" x14ac:dyDescent="0.2">
      <c r="A27194" s="258"/>
      <c r="Z27194" s="258"/>
    </row>
    <row r="27195" spans="1:26" ht="12.75" customHeight="1" x14ac:dyDescent="0.2">
      <c r="A27195" s="258"/>
      <c r="Z27195" s="258"/>
    </row>
    <row r="27196" spans="1:26" ht="12.75" customHeight="1" x14ac:dyDescent="0.2">
      <c r="A27196" s="258"/>
      <c r="Z27196" s="258"/>
    </row>
    <row r="27197" spans="1:26" ht="12.75" customHeight="1" x14ac:dyDescent="0.2">
      <c r="A27197" s="258"/>
      <c r="Z27197" s="258"/>
    </row>
    <row r="27198" spans="1:26" ht="12.75" customHeight="1" x14ac:dyDescent="0.2">
      <c r="A27198" s="258"/>
      <c r="Z27198" s="258"/>
    </row>
    <row r="27199" spans="1:26" ht="12.75" customHeight="1" x14ac:dyDescent="0.2">
      <c r="A27199" s="258"/>
      <c r="Z27199" s="258"/>
    </row>
    <row r="27200" spans="1:26" ht="12.75" customHeight="1" x14ac:dyDescent="0.2">
      <c r="A27200" s="258"/>
      <c r="Z27200" s="258"/>
    </row>
    <row r="27201" spans="1:26" ht="12.75" customHeight="1" x14ac:dyDescent="0.2">
      <c r="A27201" s="258"/>
      <c r="Z27201" s="258"/>
    </row>
    <row r="27202" spans="1:26" ht="12.75" customHeight="1" x14ac:dyDescent="0.2">
      <c r="A27202" s="258"/>
      <c r="Z27202" s="258"/>
    </row>
    <row r="27203" spans="1:26" ht="12.75" customHeight="1" x14ac:dyDescent="0.2">
      <c r="A27203" s="258"/>
      <c r="Z27203" s="258"/>
    </row>
    <row r="27204" spans="1:26" ht="12.75" customHeight="1" x14ac:dyDescent="0.2">
      <c r="A27204" s="258"/>
      <c r="Z27204" s="258"/>
    </row>
    <row r="27205" spans="1:26" ht="12.75" customHeight="1" x14ac:dyDescent="0.2">
      <c r="A27205" s="258"/>
      <c r="Z27205" s="258"/>
    </row>
    <row r="27206" spans="1:26" ht="12.75" customHeight="1" x14ac:dyDescent="0.2">
      <c r="A27206" s="258"/>
      <c r="Z27206" s="258"/>
    </row>
    <row r="27207" spans="1:26" ht="12.75" customHeight="1" x14ac:dyDescent="0.2">
      <c r="A27207" s="258"/>
      <c r="Z27207" s="258"/>
    </row>
    <row r="27208" spans="1:26" ht="12.75" customHeight="1" x14ac:dyDescent="0.2">
      <c r="A27208" s="258"/>
      <c r="Z27208" s="258"/>
    </row>
    <row r="27209" spans="1:26" ht="12.75" customHeight="1" x14ac:dyDescent="0.2">
      <c r="A27209" s="258"/>
      <c r="Z27209" s="258"/>
    </row>
    <row r="27210" spans="1:26" ht="12.75" customHeight="1" x14ac:dyDescent="0.2">
      <c r="A27210" s="258"/>
      <c r="Z27210" s="258"/>
    </row>
    <row r="27211" spans="1:26" ht="12.75" customHeight="1" x14ac:dyDescent="0.2">
      <c r="A27211" s="258"/>
      <c r="Z27211" s="258"/>
    </row>
    <row r="27212" spans="1:26" ht="12.75" customHeight="1" x14ac:dyDescent="0.2">
      <c r="A27212" s="258"/>
      <c r="Z27212" s="258"/>
    </row>
    <row r="27213" spans="1:26" ht="12.75" customHeight="1" x14ac:dyDescent="0.2">
      <c r="A27213" s="258"/>
      <c r="Z27213" s="258"/>
    </row>
    <row r="27214" spans="1:26" ht="12.75" customHeight="1" x14ac:dyDescent="0.2">
      <c r="A27214" s="258"/>
      <c r="Z27214" s="258"/>
    </row>
    <row r="27215" spans="1:26" ht="12.75" customHeight="1" x14ac:dyDescent="0.2">
      <c r="A27215" s="258"/>
      <c r="Z27215" s="258"/>
    </row>
    <row r="27216" spans="1:26" ht="12.75" customHeight="1" x14ac:dyDescent="0.2">
      <c r="A27216" s="258"/>
      <c r="Z27216" s="258"/>
    </row>
    <row r="27217" spans="1:26" ht="12.75" customHeight="1" x14ac:dyDescent="0.2">
      <c r="A27217" s="258"/>
      <c r="Z27217" s="258"/>
    </row>
    <row r="27218" spans="1:26" ht="12.75" customHeight="1" x14ac:dyDescent="0.2">
      <c r="A27218" s="258"/>
      <c r="Z27218" s="258"/>
    </row>
    <row r="27219" spans="1:26" ht="12.75" customHeight="1" x14ac:dyDescent="0.2">
      <c r="A27219" s="258"/>
      <c r="Z27219" s="258"/>
    </row>
    <row r="27220" spans="1:26" ht="12.75" customHeight="1" x14ac:dyDescent="0.2">
      <c r="A27220" s="258"/>
      <c r="Z27220" s="258"/>
    </row>
    <row r="27221" spans="1:26" ht="12.75" customHeight="1" x14ac:dyDescent="0.2">
      <c r="A27221" s="258"/>
      <c r="Z27221" s="258"/>
    </row>
    <row r="27222" spans="1:26" ht="12.75" customHeight="1" x14ac:dyDescent="0.2">
      <c r="A27222" s="258"/>
      <c r="Z27222" s="258"/>
    </row>
    <row r="27223" spans="1:26" ht="12.75" customHeight="1" x14ac:dyDescent="0.2">
      <c r="A27223" s="258"/>
      <c r="Z27223" s="258"/>
    </row>
    <row r="27224" spans="1:26" ht="12.75" customHeight="1" x14ac:dyDescent="0.2">
      <c r="A27224" s="258"/>
      <c r="Z27224" s="258"/>
    </row>
    <row r="27225" spans="1:26" ht="12.75" customHeight="1" x14ac:dyDescent="0.2">
      <c r="A27225" s="258"/>
      <c r="Z27225" s="258"/>
    </row>
    <row r="27226" spans="1:26" ht="12.75" customHeight="1" x14ac:dyDescent="0.2">
      <c r="A27226" s="258"/>
      <c r="Z27226" s="258"/>
    </row>
    <row r="27227" spans="1:26" ht="12.75" customHeight="1" x14ac:dyDescent="0.2">
      <c r="A27227" s="258"/>
      <c r="Z27227" s="258"/>
    </row>
    <row r="27228" spans="1:26" ht="12.75" customHeight="1" x14ac:dyDescent="0.2">
      <c r="A27228" s="258"/>
      <c r="Z27228" s="258"/>
    </row>
    <row r="27229" spans="1:26" ht="12.75" customHeight="1" x14ac:dyDescent="0.2">
      <c r="A27229" s="258"/>
      <c r="Z27229" s="258"/>
    </row>
    <row r="27230" spans="1:26" ht="12.75" customHeight="1" x14ac:dyDescent="0.2">
      <c r="A27230" s="258"/>
      <c r="Z27230" s="258"/>
    </row>
    <row r="27231" spans="1:26" ht="12.75" customHeight="1" x14ac:dyDescent="0.2">
      <c r="A27231" s="258"/>
      <c r="Z27231" s="258"/>
    </row>
    <row r="27232" spans="1:26" ht="12.75" customHeight="1" x14ac:dyDescent="0.2">
      <c r="A27232" s="258"/>
      <c r="Z27232" s="258"/>
    </row>
    <row r="27233" spans="1:26" ht="12.75" customHeight="1" x14ac:dyDescent="0.2">
      <c r="A27233" s="258"/>
      <c r="Z27233" s="258"/>
    </row>
    <row r="27234" spans="1:26" ht="12.75" customHeight="1" x14ac:dyDescent="0.2">
      <c r="A27234" s="258"/>
      <c r="Z27234" s="258"/>
    </row>
    <row r="27235" spans="1:26" ht="12.75" customHeight="1" x14ac:dyDescent="0.2">
      <c r="A27235" s="258"/>
      <c r="Z27235" s="258"/>
    </row>
    <row r="27236" spans="1:26" ht="12.75" customHeight="1" x14ac:dyDescent="0.2">
      <c r="A27236" s="258"/>
      <c r="Z27236" s="258"/>
    </row>
    <row r="27237" spans="1:26" ht="12.75" customHeight="1" x14ac:dyDescent="0.2">
      <c r="A27237" s="258"/>
      <c r="Z27237" s="258"/>
    </row>
    <row r="27238" spans="1:26" ht="12.75" customHeight="1" x14ac:dyDescent="0.2">
      <c r="A27238" s="258"/>
      <c r="Z27238" s="258"/>
    </row>
    <row r="27239" spans="1:26" ht="12.75" customHeight="1" x14ac:dyDescent="0.2">
      <c r="A27239" s="258"/>
      <c r="Z27239" s="258"/>
    </row>
    <row r="27240" spans="1:26" ht="12.75" customHeight="1" x14ac:dyDescent="0.2">
      <c r="A27240" s="258"/>
      <c r="Z27240" s="258"/>
    </row>
    <row r="27241" spans="1:26" ht="12.75" customHeight="1" x14ac:dyDescent="0.2">
      <c r="A27241" s="258"/>
      <c r="Z27241" s="258"/>
    </row>
    <row r="27242" spans="1:26" ht="12.75" customHeight="1" x14ac:dyDescent="0.2">
      <c r="A27242" s="258"/>
      <c r="Z27242" s="258"/>
    </row>
    <row r="27243" spans="1:26" ht="12.75" customHeight="1" x14ac:dyDescent="0.2">
      <c r="A27243" s="258"/>
      <c r="Z27243" s="258"/>
    </row>
    <row r="27244" spans="1:26" ht="12.75" customHeight="1" x14ac:dyDescent="0.2">
      <c r="A27244" s="258"/>
      <c r="Z27244" s="258"/>
    </row>
    <row r="27245" spans="1:26" ht="12.75" customHeight="1" x14ac:dyDescent="0.2">
      <c r="A27245" s="258"/>
      <c r="Z27245" s="258"/>
    </row>
    <row r="27246" spans="1:26" ht="12.75" customHeight="1" x14ac:dyDescent="0.2">
      <c r="A27246" s="258"/>
      <c r="Z27246" s="258"/>
    </row>
    <row r="27247" spans="1:26" ht="12.75" customHeight="1" x14ac:dyDescent="0.2">
      <c r="A27247" s="258"/>
      <c r="Z27247" s="258"/>
    </row>
    <row r="27248" spans="1:26" ht="12.75" customHeight="1" x14ac:dyDescent="0.2">
      <c r="A27248" s="258"/>
      <c r="Z27248" s="258"/>
    </row>
    <row r="27249" spans="1:26" ht="12.75" customHeight="1" x14ac:dyDescent="0.2">
      <c r="A27249" s="258"/>
      <c r="Z27249" s="258"/>
    </row>
    <row r="27250" spans="1:26" ht="12.75" customHeight="1" x14ac:dyDescent="0.2">
      <c r="A27250" s="258"/>
      <c r="Z27250" s="258"/>
    </row>
    <row r="27251" spans="1:26" ht="12.75" customHeight="1" x14ac:dyDescent="0.2">
      <c r="A27251" s="258"/>
      <c r="Z27251" s="258"/>
    </row>
    <row r="27252" spans="1:26" ht="12.75" customHeight="1" x14ac:dyDescent="0.2">
      <c r="A27252" s="258"/>
      <c r="Z27252" s="258"/>
    </row>
    <row r="27253" spans="1:26" ht="12.75" customHeight="1" x14ac:dyDescent="0.2">
      <c r="A27253" s="258"/>
      <c r="Z27253" s="258"/>
    </row>
    <row r="27254" spans="1:26" ht="12.75" customHeight="1" x14ac:dyDescent="0.2">
      <c r="A27254" s="258"/>
      <c r="Z27254" s="258"/>
    </row>
    <row r="27255" spans="1:26" ht="12.75" customHeight="1" x14ac:dyDescent="0.2">
      <c r="A27255" s="258"/>
      <c r="Z27255" s="258"/>
    </row>
    <row r="27256" spans="1:26" ht="12.75" customHeight="1" x14ac:dyDescent="0.2">
      <c r="A27256" s="258"/>
      <c r="Z27256" s="258"/>
    </row>
    <row r="27257" spans="1:26" ht="12.75" customHeight="1" x14ac:dyDescent="0.2">
      <c r="A27257" s="258"/>
      <c r="Z27257" s="258"/>
    </row>
    <row r="27258" spans="1:26" ht="12.75" customHeight="1" x14ac:dyDescent="0.2">
      <c r="A27258" s="258"/>
      <c r="Z27258" s="258"/>
    </row>
    <row r="27259" spans="1:26" ht="12.75" customHeight="1" x14ac:dyDescent="0.2">
      <c r="A27259" s="258"/>
      <c r="Z27259" s="258"/>
    </row>
    <row r="27260" spans="1:26" ht="12.75" customHeight="1" x14ac:dyDescent="0.2">
      <c r="A27260" s="258"/>
      <c r="Z27260" s="258"/>
    </row>
    <row r="27261" spans="1:26" ht="12.75" customHeight="1" x14ac:dyDescent="0.2">
      <c r="A27261" s="258"/>
      <c r="Z27261" s="258"/>
    </row>
    <row r="27262" spans="1:26" ht="12.75" customHeight="1" x14ac:dyDescent="0.2">
      <c r="A27262" s="258"/>
      <c r="Z27262" s="258"/>
    </row>
    <row r="27263" spans="1:26" ht="12.75" customHeight="1" x14ac:dyDescent="0.2">
      <c r="A27263" s="258"/>
      <c r="Z27263" s="258"/>
    </row>
    <row r="27264" spans="1:26" ht="12.75" customHeight="1" x14ac:dyDescent="0.2">
      <c r="A27264" s="258"/>
      <c r="Z27264" s="258"/>
    </row>
    <row r="27265" spans="1:26" ht="12.75" customHeight="1" x14ac:dyDescent="0.2">
      <c r="A27265" s="258"/>
      <c r="Z27265" s="258"/>
    </row>
    <row r="27266" spans="1:26" ht="12.75" customHeight="1" x14ac:dyDescent="0.2">
      <c r="A27266" s="258"/>
      <c r="Z27266" s="258"/>
    </row>
    <row r="27267" spans="1:26" ht="12.75" customHeight="1" x14ac:dyDescent="0.2">
      <c r="A27267" s="258"/>
      <c r="Z27267" s="258"/>
    </row>
    <row r="27268" spans="1:26" ht="12.75" customHeight="1" x14ac:dyDescent="0.2">
      <c r="A27268" s="258"/>
      <c r="Z27268" s="258"/>
    </row>
    <row r="27269" spans="1:26" ht="12.75" customHeight="1" x14ac:dyDescent="0.2">
      <c r="A27269" s="258"/>
      <c r="Z27269" s="258"/>
    </row>
    <row r="27270" spans="1:26" ht="12.75" customHeight="1" x14ac:dyDescent="0.2">
      <c r="A27270" s="258"/>
      <c r="Z27270" s="258"/>
    </row>
    <row r="27271" spans="1:26" ht="12.75" customHeight="1" x14ac:dyDescent="0.2">
      <c r="A27271" s="258"/>
      <c r="Z27271" s="258"/>
    </row>
    <row r="27272" spans="1:26" ht="12.75" customHeight="1" x14ac:dyDescent="0.2">
      <c r="A27272" s="258"/>
      <c r="Z27272" s="258"/>
    </row>
    <row r="27273" spans="1:26" ht="12.75" customHeight="1" x14ac:dyDescent="0.2">
      <c r="A27273" s="258"/>
      <c r="Z27273" s="258"/>
    </row>
    <row r="27274" spans="1:26" ht="12.75" customHeight="1" x14ac:dyDescent="0.2">
      <c r="A27274" s="258"/>
      <c r="Z27274" s="258"/>
    </row>
    <row r="27275" spans="1:26" ht="12.75" customHeight="1" x14ac:dyDescent="0.2">
      <c r="A27275" s="258"/>
      <c r="Z27275" s="258"/>
    </row>
    <row r="27276" spans="1:26" ht="12.75" customHeight="1" x14ac:dyDescent="0.2">
      <c r="A27276" s="258"/>
      <c r="Z27276" s="258"/>
    </row>
    <row r="27277" spans="1:26" ht="12.75" customHeight="1" x14ac:dyDescent="0.2">
      <c r="A27277" s="258"/>
      <c r="Z27277" s="258"/>
    </row>
    <row r="27278" spans="1:26" ht="12.75" customHeight="1" x14ac:dyDescent="0.2">
      <c r="A27278" s="258"/>
      <c r="Z27278" s="258"/>
    </row>
    <row r="27279" spans="1:26" ht="12.75" customHeight="1" x14ac:dyDescent="0.2">
      <c r="A27279" s="258"/>
      <c r="Z27279" s="258"/>
    </row>
    <row r="27280" spans="1:26" ht="12.75" customHeight="1" x14ac:dyDescent="0.2">
      <c r="A27280" s="258"/>
      <c r="Z27280" s="258"/>
    </row>
    <row r="27281" spans="1:26" ht="12.75" customHeight="1" x14ac:dyDescent="0.2">
      <c r="A27281" s="258"/>
      <c r="Z27281" s="258"/>
    </row>
    <row r="27282" spans="1:26" ht="12.75" customHeight="1" x14ac:dyDescent="0.2">
      <c r="A27282" s="258"/>
      <c r="Z27282" s="258"/>
    </row>
    <row r="27283" spans="1:26" ht="12.75" customHeight="1" x14ac:dyDescent="0.2">
      <c r="A27283" s="258"/>
      <c r="Z27283" s="258"/>
    </row>
    <row r="27284" spans="1:26" ht="12.75" customHeight="1" x14ac:dyDescent="0.2">
      <c r="A27284" s="258"/>
      <c r="Z27284" s="258"/>
    </row>
    <row r="27285" spans="1:26" ht="12.75" customHeight="1" x14ac:dyDescent="0.2">
      <c r="A27285" s="258"/>
      <c r="Z27285" s="258"/>
    </row>
    <row r="27286" spans="1:26" ht="12.75" customHeight="1" x14ac:dyDescent="0.2">
      <c r="A27286" s="258"/>
      <c r="Z27286" s="258"/>
    </row>
    <row r="27287" spans="1:26" ht="12.75" customHeight="1" x14ac:dyDescent="0.2">
      <c r="A27287" s="258"/>
      <c r="Z27287" s="258"/>
    </row>
    <row r="27288" spans="1:26" ht="12.75" customHeight="1" x14ac:dyDescent="0.2">
      <c r="A27288" s="258"/>
      <c r="Z27288" s="258"/>
    </row>
    <row r="27289" spans="1:26" ht="12.75" customHeight="1" x14ac:dyDescent="0.2">
      <c r="A27289" s="258"/>
      <c r="Z27289" s="258"/>
    </row>
    <row r="27290" spans="1:26" ht="12.75" customHeight="1" x14ac:dyDescent="0.2">
      <c r="A27290" s="258"/>
      <c r="Z27290" s="258"/>
    </row>
    <row r="27291" spans="1:26" ht="12.75" customHeight="1" x14ac:dyDescent="0.2">
      <c r="A27291" s="258"/>
      <c r="Z27291" s="258"/>
    </row>
    <row r="27292" spans="1:26" ht="12.75" customHeight="1" x14ac:dyDescent="0.2">
      <c r="A27292" s="258"/>
      <c r="Z27292" s="258"/>
    </row>
    <row r="27293" spans="1:26" ht="12.75" customHeight="1" x14ac:dyDescent="0.2">
      <c r="A27293" s="258"/>
      <c r="Z27293" s="258"/>
    </row>
    <row r="27294" spans="1:26" ht="12.75" customHeight="1" x14ac:dyDescent="0.2">
      <c r="A27294" s="258"/>
      <c r="Z27294" s="258"/>
    </row>
    <row r="27295" spans="1:26" ht="12.75" customHeight="1" x14ac:dyDescent="0.2">
      <c r="A27295" s="258"/>
      <c r="Z27295" s="258"/>
    </row>
    <row r="27296" spans="1:26" ht="12.75" customHeight="1" x14ac:dyDescent="0.2">
      <c r="A27296" s="258"/>
      <c r="Z27296" s="258"/>
    </row>
    <row r="27297" spans="1:26" ht="12.75" customHeight="1" x14ac:dyDescent="0.2">
      <c r="A27297" s="258"/>
      <c r="Z27297" s="258"/>
    </row>
    <row r="27298" spans="1:26" ht="12.75" customHeight="1" x14ac:dyDescent="0.2">
      <c r="A27298" s="258"/>
      <c r="Z27298" s="258"/>
    </row>
    <row r="27299" spans="1:26" ht="12.75" customHeight="1" x14ac:dyDescent="0.2">
      <c r="A27299" s="258"/>
      <c r="Z27299" s="258"/>
    </row>
    <row r="27300" spans="1:26" ht="12.75" customHeight="1" x14ac:dyDescent="0.2">
      <c r="A27300" s="258"/>
      <c r="Z27300" s="258"/>
    </row>
    <row r="27301" spans="1:26" ht="12.75" customHeight="1" x14ac:dyDescent="0.2">
      <c r="A27301" s="258"/>
      <c r="Z27301" s="258"/>
    </row>
    <row r="27302" spans="1:26" ht="12.75" customHeight="1" x14ac:dyDescent="0.2">
      <c r="A27302" s="258"/>
      <c r="Z27302" s="258"/>
    </row>
    <row r="27303" spans="1:26" ht="12.75" customHeight="1" x14ac:dyDescent="0.2">
      <c r="A27303" s="258"/>
      <c r="Z27303" s="258"/>
    </row>
    <row r="27304" spans="1:26" ht="12.75" customHeight="1" x14ac:dyDescent="0.2">
      <c r="A27304" s="258"/>
      <c r="Z27304" s="258"/>
    </row>
    <row r="27305" spans="1:26" ht="12.75" customHeight="1" x14ac:dyDescent="0.2">
      <c r="A27305" s="258"/>
      <c r="Z27305" s="258"/>
    </row>
    <row r="27306" spans="1:26" ht="12.75" customHeight="1" x14ac:dyDescent="0.2">
      <c r="A27306" s="258"/>
      <c r="Z27306" s="258"/>
    </row>
    <row r="27307" spans="1:26" ht="12.75" customHeight="1" x14ac:dyDescent="0.2">
      <c r="A27307" s="258"/>
      <c r="Z27307" s="258"/>
    </row>
    <row r="27308" spans="1:26" ht="12.75" customHeight="1" x14ac:dyDescent="0.2">
      <c r="A27308" s="258"/>
      <c r="Z27308" s="258"/>
    </row>
    <row r="27309" spans="1:26" ht="12.75" customHeight="1" x14ac:dyDescent="0.2">
      <c r="A27309" s="258"/>
      <c r="Z27309" s="258"/>
    </row>
    <row r="27310" spans="1:26" ht="12.75" customHeight="1" x14ac:dyDescent="0.2">
      <c r="A27310" s="258"/>
      <c r="Z27310" s="258"/>
    </row>
    <row r="27311" spans="1:26" ht="12.75" customHeight="1" x14ac:dyDescent="0.2">
      <c r="A27311" s="258"/>
      <c r="Z27311" s="258"/>
    </row>
    <row r="27312" spans="1:26" ht="12.75" customHeight="1" x14ac:dyDescent="0.2">
      <c r="A27312" s="258"/>
      <c r="Z27312" s="258"/>
    </row>
    <row r="27313" spans="1:26" ht="12.75" customHeight="1" x14ac:dyDescent="0.2">
      <c r="A27313" s="258"/>
      <c r="Z27313" s="258"/>
    </row>
    <row r="27314" spans="1:26" ht="12.75" customHeight="1" x14ac:dyDescent="0.2">
      <c r="A27314" s="258"/>
      <c r="Z27314" s="258"/>
    </row>
    <row r="27315" spans="1:26" ht="12.75" customHeight="1" x14ac:dyDescent="0.2">
      <c r="A27315" s="258"/>
      <c r="Z27315" s="258"/>
    </row>
    <row r="27316" spans="1:26" ht="12.75" customHeight="1" x14ac:dyDescent="0.2">
      <c r="A27316" s="258"/>
      <c r="Z27316" s="258"/>
    </row>
    <row r="27317" spans="1:26" ht="12.75" customHeight="1" x14ac:dyDescent="0.2">
      <c r="A27317" s="258"/>
      <c r="Z27317" s="258"/>
    </row>
    <row r="27318" spans="1:26" ht="12.75" customHeight="1" x14ac:dyDescent="0.2">
      <c r="A27318" s="258"/>
      <c r="Z27318" s="258"/>
    </row>
    <row r="27319" spans="1:26" ht="12.75" customHeight="1" x14ac:dyDescent="0.2">
      <c r="A27319" s="258"/>
      <c r="Z27319" s="258"/>
    </row>
    <row r="27320" spans="1:26" ht="12.75" customHeight="1" x14ac:dyDescent="0.2">
      <c r="A27320" s="258"/>
      <c r="Z27320" s="258"/>
    </row>
    <row r="27321" spans="1:26" ht="12.75" customHeight="1" x14ac:dyDescent="0.2">
      <c r="A27321" s="258"/>
      <c r="Z27321" s="258"/>
    </row>
    <row r="27322" spans="1:26" ht="12.75" customHeight="1" x14ac:dyDescent="0.2">
      <c r="A27322" s="258"/>
      <c r="Z27322" s="258"/>
    </row>
    <row r="27323" spans="1:26" ht="12.75" customHeight="1" x14ac:dyDescent="0.2">
      <c r="A27323" s="258"/>
      <c r="Z27323" s="258"/>
    </row>
    <row r="27324" spans="1:26" ht="12.75" customHeight="1" x14ac:dyDescent="0.2">
      <c r="A27324" s="258"/>
      <c r="Z27324" s="258"/>
    </row>
    <row r="27325" spans="1:26" ht="12.75" customHeight="1" x14ac:dyDescent="0.2">
      <c r="A27325" s="258"/>
      <c r="Z27325" s="258"/>
    </row>
    <row r="27326" spans="1:26" ht="12.75" customHeight="1" x14ac:dyDescent="0.2">
      <c r="A27326" s="258"/>
      <c r="Z27326" s="258"/>
    </row>
    <row r="27327" spans="1:26" ht="12.75" customHeight="1" x14ac:dyDescent="0.2">
      <c r="A27327" s="258"/>
      <c r="Z27327" s="258"/>
    </row>
    <row r="27328" spans="1:26" ht="12.75" customHeight="1" x14ac:dyDescent="0.2">
      <c r="A27328" s="258"/>
      <c r="Z27328" s="258"/>
    </row>
    <row r="27329" spans="1:26" ht="12.75" customHeight="1" x14ac:dyDescent="0.2">
      <c r="A27329" s="258"/>
      <c r="Z27329" s="258"/>
    </row>
    <row r="27330" spans="1:26" ht="12.75" customHeight="1" x14ac:dyDescent="0.2">
      <c r="A27330" s="258"/>
      <c r="Z27330" s="258"/>
    </row>
    <row r="27331" spans="1:26" ht="12.75" customHeight="1" x14ac:dyDescent="0.2">
      <c r="A27331" s="258"/>
      <c r="Z27331" s="258"/>
    </row>
    <row r="27332" spans="1:26" ht="12.75" customHeight="1" x14ac:dyDescent="0.2">
      <c r="A27332" s="258"/>
      <c r="Z27332" s="258"/>
    </row>
    <row r="27333" spans="1:26" ht="12.75" customHeight="1" x14ac:dyDescent="0.2">
      <c r="A27333" s="258"/>
      <c r="Z27333" s="258"/>
    </row>
    <row r="27334" spans="1:26" ht="12.75" customHeight="1" x14ac:dyDescent="0.2">
      <c r="A27334" s="258"/>
      <c r="Z27334" s="258"/>
    </row>
    <row r="27335" spans="1:26" ht="12.75" customHeight="1" x14ac:dyDescent="0.2">
      <c r="A27335" s="258"/>
      <c r="Z27335" s="258"/>
    </row>
    <row r="27336" spans="1:26" ht="12.75" customHeight="1" x14ac:dyDescent="0.2">
      <c r="A27336" s="258"/>
      <c r="Z27336" s="258"/>
    </row>
    <row r="27337" spans="1:26" ht="12.75" customHeight="1" x14ac:dyDescent="0.2">
      <c r="A27337" s="258"/>
      <c r="Z27337" s="258"/>
    </row>
    <row r="27338" spans="1:26" ht="12.75" customHeight="1" x14ac:dyDescent="0.2">
      <c r="A27338" s="258"/>
      <c r="Z27338" s="258"/>
    </row>
    <row r="27339" spans="1:26" ht="12.75" customHeight="1" x14ac:dyDescent="0.2">
      <c r="A27339" s="258"/>
      <c r="Z27339" s="258"/>
    </row>
    <row r="27340" spans="1:26" ht="12.75" customHeight="1" x14ac:dyDescent="0.2">
      <c r="A27340" s="258"/>
      <c r="Z27340" s="258"/>
    </row>
    <row r="27341" spans="1:26" ht="12.75" customHeight="1" x14ac:dyDescent="0.2">
      <c r="A27341" s="258"/>
      <c r="Z27341" s="258"/>
    </row>
    <row r="27342" spans="1:26" ht="12.75" customHeight="1" x14ac:dyDescent="0.2">
      <c r="A27342" s="258"/>
      <c r="Z27342" s="258"/>
    </row>
    <row r="27343" spans="1:26" ht="12.75" customHeight="1" x14ac:dyDescent="0.2">
      <c r="A27343" s="258"/>
      <c r="Z27343" s="258"/>
    </row>
    <row r="27344" spans="1:26" ht="12.75" customHeight="1" x14ac:dyDescent="0.2">
      <c r="A27344" s="258"/>
      <c r="Z27344" s="258"/>
    </row>
    <row r="27345" spans="1:26" ht="12.75" customHeight="1" x14ac:dyDescent="0.2">
      <c r="A27345" s="258"/>
      <c r="Z27345" s="258"/>
    </row>
    <row r="27346" spans="1:26" ht="12.75" customHeight="1" x14ac:dyDescent="0.2">
      <c r="A27346" s="258"/>
      <c r="Z27346" s="258"/>
    </row>
    <row r="27347" spans="1:26" ht="12.75" customHeight="1" x14ac:dyDescent="0.2">
      <c r="A27347" s="258"/>
      <c r="Z27347" s="258"/>
    </row>
    <row r="27348" spans="1:26" ht="12.75" customHeight="1" x14ac:dyDescent="0.2">
      <c r="A27348" s="258"/>
      <c r="Z27348" s="258"/>
    </row>
    <row r="27349" spans="1:26" ht="12.75" customHeight="1" x14ac:dyDescent="0.2">
      <c r="A27349" s="258"/>
      <c r="Z27349" s="258"/>
    </row>
    <row r="27350" spans="1:26" ht="12.75" customHeight="1" x14ac:dyDescent="0.2">
      <c r="A27350" s="258"/>
      <c r="Z27350" s="258"/>
    </row>
    <row r="27351" spans="1:26" ht="12.75" customHeight="1" x14ac:dyDescent="0.2">
      <c r="A27351" s="258"/>
      <c r="Z27351" s="258"/>
    </row>
    <row r="27352" spans="1:26" ht="12.75" customHeight="1" x14ac:dyDescent="0.2">
      <c r="A27352" s="258"/>
      <c r="Z27352" s="258"/>
    </row>
    <row r="27353" spans="1:26" ht="12.75" customHeight="1" x14ac:dyDescent="0.2">
      <c r="A27353" s="258"/>
      <c r="Z27353" s="258"/>
    </row>
    <row r="27354" spans="1:26" ht="12.75" customHeight="1" x14ac:dyDescent="0.2">
      <c r="A27354" s="258"/>
      <c r="Z27354" s="258"/>
    </row>
    <row r="27355" spans="1:26" ht="12.75" customHeight="1" x14ac:dyDescent="0.2">
      <c r="A27355" s="258"/>
      <c r="Z27355" s="258"/>
    </row>
    <row r="27356" spans="1:26" ht="12.75" customHeight="1" x14ac:dyDescent="0.2">
      <c r="A27356" s="258"/>
      <c r="Z27356" s="258"/>
    </row>
    <row r="27357" spans="1:26" ht="12.75" customHeight="1" x14ac:dyDescent="0.2">
      <c r="A27357" s="258"/>
      <c r="Z27357" s="258"/>
    </row>
    <row r="27358" spans="1:26" ht="12.75" customHeight="1" x14ac:dyDescent="0.2">
      <c r="A27358" s="258"/>
      <c r="Z27358" s="258"/>
    </row>
    <row r="27359" spans="1:26" ht="12.75" customHeight="1" x14ac:dyDescent="0.2">
      <c r="A27359" s="258"/>
      <c r="Z27359" s="258"/>
    </row>
    <row r="27360" spans="1:26" ht="12.75" customHeight="1" x14ac:dyDescent="0.2">
      <c r="A27360" s="258"/>
      <c r="Z27360" s="258"/>
    </row>
    <row r="27361" spans="1:26" ht="12.75" customHeight="1" x14ac:dyDescent="0.2">
      <c r="A27361" s="258"/>
      <c r="Z27361" s="258"/>
    </row>
    <row r="27362" spans="1:26" ht="12.75" customHeight="1" x14ac:dyDescent="0.2">
      <c r="A27362" s="258"/>
      <c r="Z27362" s="258"/>
    </row>
    <row r="27363" spans="1:26" ht="12.75" customHeight="1" x14ac:dyDescent="0.2">
      <c r="A27363" s="258"/>
      <c r="Z27363" s="258"/>
    </row>
    <row r="27364" spans="1:26" ht="12.75" customHeight="1" x14ac:dyDescent="0.2">
      <c r="A27364" s="258"/>
      <c r="Z27364" s="258"/>
    </row>
    <row r="27365" spans="1:26" ht="12.75" customHeight="1" x14ac:dyDescent="0.2">
      <c r="A27365" s="258"/>
      <c r="Z27365" s="258"/>
    </row>
    <row r="27366" spans="1:26" ht="12.75" customHeight="1" x14ac:dyDescent="0.2">
      <c r="A27366" s="258"/>
      <c r="Z27366" s="258"/>
    </row>
    <row r="27367" spans="1:26" ht="12.75" customHeight="1" x14ac:dyDescent="0.2">
      <c r="A27367" s="258"/>
      <c r="Z27367" s="258"/>
    </row>
    <row r="27368" spans="1:26" ht="12.75" customHeight="1" x14ac:dyDescent="0.2">
      <c r="A27368" s="258"/>
      <c r="Z27368" s="258"/>
    </row>
    <row r="27369" spans="1:26" ht="12.75" customHeight="1" x14ac:dyDescent="0.2">
      <c r="A27369" s="258"/>
      <c r="Z27369" s="258"/>
    </row>
    <row r="27370" spans="1:26" ht="12.75" customHeight="1" x14ac:dyDescent="0.2">
      <c r="A27370" s="258"/>
      <c r="Z27370" s="258"/>
    </row>
    <row r="27371" spans="1:26" ht="12.75" customHeight="1" x14ac:dyDescent="0.2">
      <c r="A27371" s="258"/>
      <c r="Z27371" s="258"/>
    </row>
    <row r="27372" spans="1:26" ht="12.75" customHeight="1" x14ac:dyDescent="0.2">
      <c r="A27372" s="258"/>
      <c r="Z27372" s="258"/>
    </row>
    <row r="27373" spans="1:26" ht="12.75" customHeight="1" x14ac:dyDescent="0.2">
      <c r="A27373" s="258"/>
      <c r="Z27373" s="258"/>
    </row>
    <row r="27374" spans="1:26" ht="12.75" customHeight="1" x14ac:dyDescent="0.2">
      <c r="A27374" s="258"/>
      <c r="Z27374" s="258"/>
    </row>
    <row r="27375" spans="1:26" ht="12.75" customHeight="1" x14ac:dyDescent="0.2">
      <c r="A27375" s="258"/>
      <c r="Z27375" s="258"/>
    </row>
    <row r="27376" spans="1:26" ht="12.75" customHeight="1" x14ac:dyDescent="0.2">
      <c r="A27376" s="258"/>
      <c r="Z27376" s="258"/>
    </row>
    <row r="27377" spans="1:26" ht="12.75" customHeight="1" x14ac:dyDescent="0.2">
      <c r="A27377" s="258"/>
      <c r="Z27377" s="258"/>
    </row>
    <row r="27378" spans="1:26" ht="12.75" customHeight="1" x14ac:dyDescent="0.2">
      <c r="A27378" s="258"/>
      <c r="Z27378" s="258"/>
    </row>
    <row r="27379" spans="1:26" ht="12.75" customHeight="1" x14ac:dyDescent="0.2">
      <c r="A27379" s="258"/>
      <c r="Z27379" s="258"/>
    </row>
    <row r="27380" spans="1:26" ht="12.75" customHeight="1" x14ac:dyDescent="0.2">
      <c r="A27380" s="258"/>
      <c r="Z27380" s="258"/>
    </row>
    <row r="27381" spans="1:26" ht="12.75" customHeight="1" x14ac:dyDescent="0.2">
      <c r="A27381" s="258"/>
      <c r="Z27381" s="258"/>
    </row>
    <row r="27382" spans="1:26" ht="12.75" customHeight="1" x14ac:dyDescent="0.2">
      <c r="A27382" s="258"/>
      <c r="Z27382" s="258"/>
    </row>
    <row r="27383" spans="1:26" ht="12.75" customHeight="1" x14ac:dyDescent="0.2">
      <c r="A27383" s="258"/>
      <c r="Z27383" s="258"/>
    </row>
    <row r="27384" spans="1:26" ht="12.75" customHeight="1" x14ac:dyDescent="0.2">
      <c r="A27384" s="258"/>
      <c r="Z27384" s="258"/>
    </row>
    <row r="27385" spans="1:26" ht="12.75" customHeight="1" x14ac:dyDescent="0.2">
      <c r="A27385" s="258"/>
      <c r="Z27385" s="258"/>
    </row>
    <row r="27386" spans="1:26" ht="12.75" customHeight="1" x14ac:dyDescent="0.2">
      <c r="A27386" s="258"/>
      <c r="Z27386" s="258"/>
    </row>
    <row r="27387" spans="1:26" ht="12.75" customHeight="1" x14ac:dyDescent="0.2">
      <c r="A27387" s="258"/>
      <c r="Z27387" s="258"/>
    </row>
    <row r="27388" spans="1:26" ht="12.75" customHeight="1" x14ac:dyDescent="0.2">
      <c r="A27388" s="258"/>
      <c r="Z27388" s="258"/>
    </row>
    <row r="27389" spans="1:26" ht="12.75" customHeight="1" x14ac:dyDescent="0.2">
      <c r="A27389" s="258"/>
      <c r="Z27389" s="258"/>
    </row>
    <row r="27390" spans="1:26" ht="12.75" customHeight="1" x14ac:dyDescent="0.2">
      <c r="A27390" s="258"/>
      <c r="Z27390" s="258"/>
    </row>
    <row r="27391" spans="1:26" ht="12.75" customHeight="1" x14ac:dyDescent="0.2">
      <c r="A27391" s="258"/>
      <c r="Z27391" s="258"/>
    </row>
    <row r="27392" spans="1:26" ht="12.75" customHeight="1" x14ac:dyDescent="0.2">
      <c r="A27392" s="258"/>
      <c r="Z27392" s="258"/>
    </row>
    <row r="27393" spans="1:26" ht="12.75" customHeight="1" x14ac:dyDescent="0.2">
      <c r="A27393" s="258"/>
      <c r="Z27393" s="258"/>
    </row>
    <row r="27394" spans="1:26" ht="12.75" customHeight="1" x14ac:dyDescent="0.2">
      <c r="A27394" s="258"/>
      <c r="Z27394" s="258"/>
    </row>
    <row r="27395" spans="1:26" ht="12.75" customHeight="1" x14ac:dyDescent="0.2">
      <c r="A27395" s="258"/>
      <c r="Z27395" s="258"/>
    </row>
    <row r="27396" spans="1:26" ht="12.75" customHeight="1" x14ac:dyDescent="0.2">
      <c r="A27396" s="258"/>
      <c r="Z27396" s="258"/>
    </row>
    <row r="27397" spans="1:26" ht="12.75" customHeight="1" x14ac:dyDescent="0.2">
      <c r="A27397" s="258"/>
      <c r="Z27397" s="258"/>
    </row>
    <row r="27398" spans="1:26" ht="12.75" customHeight="1" x14ac:dyDescent="0.2">
      <c r="A27398" s="258"/>
      <c r="Z27398" s="258"/>
    </row>
    <row r="27399" spans="1:26" ht="12.75" customHeight="1" x14ac:dyDescent="0.2">
      <c r="A27399" s="258"/>
      <c r="Z27399" s="258"/>
    </row>
    <row r="27400" spans="1:26" ht="12.75" customHeight="1" x14ac:dyDescent="0.2">
      <c r="A27400" s="258"/>
      <c r="Z27400" s="258"/>
    </row>
    <row r="27401" spans="1:26" ht="12.75" customHeight="1" x14ac:dyDescent="0.2">
      <c r="A27401" s="258"/>
      <c r="Z27401" s="258"/>
    </row>
    <row r="27402" spans="1:26" ht="12.75" customHeight="1" x14ac:dyDescent="0.2">
      <c r="A27402" s="258"/>
      <c r="Z27402" s="258"/>
    </row>
    <row r="27403" spans="1:26" ht="12.75" customHeight="1" x14ac:dyDescent="0.2">
      <c r="A27403" s="258"/>
      <c r="Z27403" s="258"/>
    </row>
    <row r="27404" spans="1:26" ht="12.75" customHeight="1" x14ac:dyDescent="0.2">
      <c r="A27404" s="258"/>
      <c r="Z27404" s="258"/>
    </row>
    <row r="27405" spans="1:26" ht="12.75" customHeight="1" x14ac:dyDescent="0.2">
      <c r="A27405" s="258"/>
      <c r="Z27405" s="258"/>
    </row>
    <row r="27406" spans="1:26" ht="12.75" customHeight="1" x14ac:dyDescent="0.2">
      <c r="A27406" s="258"/>
      <c r="Z27406" s="258"/>
    </row>
    <row r="27407" spans="1:26" ht="12.75" customHeight="1" x14ac:dyDescent="0.2">
      <c r="A27407" s="258"/>
      <c r="Z27407" s="258"/>
    </row>
    <row r="27408" spans="1:26" ht="12.75" customHeight="1" x14ac:dyDescent="0.2">
      <c r="A27408" s="258"/>
      <c r="Z27408" s="258"/>
    </row>
    <row r="27409" spans="1:26" ht="12.75" customHeight="1" x14ac:dyDescent="0.2">
      <c r="A27409" s="258"/>
      <c r="Z27409" s="258"/>
    </row>
    <row r="27410" spans="1:26" ht="12.75" customHeight="1" x14ac:dyDescent="0.2">
      <c r="A27410" s="258"/>
      <c r="Z27410" s="258"/>
    </row>
    <row r="27411" spans="1:26" ht="12.75" customHeight="1" x14ac:dyDescent="0.2">
      <c r="A27411" s="258"/>
      <c r="Z27411" s="258"/>
    </row>
    <row r="27412" spans="1:26" ht="12.75" customHeight="1" x14ac:dyDescent="0.2">
      <c r="A27412" s="258"/>
      <c r="Z27412" s="258"/>
    </row>
    <row r="27413" spans="1:26" ht="12.75" customHeight="1" x14ac:dyDescent="0.2">
      <c r="A27413" s="258"/>
      <c r="Z27413" s="258"/>
    </row>
    <row r="27414" spans="1:26" ht="12.75" customHeight="1" x14ac:dyDescent="0.2">
      <c r="A27414" s="258"/>
      <c r="Z27414" s="258"/>
    </row>
    <row r="27415" spans="1:26" ht="12.75" customHeight="1" x14ac:dyDescent="0.2">
      <c r="A27415" s="258"/>
      <c r="Z27415" s="258"/>
    </row>
    <row r="27416" spans="1:26" ht="12.75" customHeight="1" x14ac:dyDescent="0.2">
      <c r="A27416" s="258"/>
      <c r="Z27416" s="258"/>
    </row>
    <row r="27417" spans="1:26" ht="12.75" customHeight="1" x14ac:dyDescent="0.2">
      <c r="A27417" s="258"/>
      <c r="Z27417" s="258"/>
    </row>
    <row r="27418" spans="1:26" ht="12.75" customHeight="1" x14ac:dyDescent="0.2">
      <c r="A27418" s="258"/>
      <c r="Z27418" s="258"/>
    </row>
    <row r="27419" spans="1:26" ht="12.75" customHeight="1" x14ac:dyDescent="0.2">
      <c r="A27419" s="258"/>
      <c r="Z27419" s="258"/>
    </row>
    <row r="27420" spans="1:26" ht="12.75" customHeight="1" x14ac:dyDescent="0.2">
      <c r="A27420" s="258"/>
      <c r="Z27420" s="258"/>
    </row>
    <row r="27421" spans="1:26" ht="12.75" customHeight="1" x14ac:dyDescent="0.2">
      <c r="A27421" s="258"/>
      <c r="Z27421" s="258"/>
    </row>
    <row r="27422" spans="1:26" ht="12.75" customHeight="1" x14ac:dyDescent="0.2">
      <c r="A27422" s="258"/>
      <c r="Z27422" s="258"/>
    </row>
    <row r="27423" spans="1:26" ht="12.75" customHeight="1" x14ac:dyDescent="0.2">
      <c r="A27423" s="258"/>
      <c r="Z27423" s="258"/>
    </row>
    <row r="27424" spans="1:26" ht="12.75" customHeight="1" x14ac:dyDescent="0.2">
      <c r="A27424" s="258"/>
      <c r="Z27424" s="258"/>
    </row>
    <row r="27425" spans="1:26" ht="12.75" customHeight="1" x14ac:dyDescent="0.2">
      <c r="A27425" s="258"/>
      <c r="Z27425" s="258"/>
    </row>
    <row r="27426" spans="1:26" ht="12.75" customHeight="1" x14ac:dyDescent="0.2">
      <c r="A27426" s="258"/>
      <c r="Z27426" s="258"/>
    </row>
    <row r="27427" spans="1:26" ht="12.75" customHeight="1" x14ac:dyDescent="0.2">
      <c r="A27427" s="258"/>
      <c r="Z27427" s="258"/>
    </row>
    <row r="27428" spans="1:26" ht="12.75" customHeight="1" x14ac:dyDescent="0.2">
      <c r="A27428" s="258"/>
      <c r="Z27428" s="258"/>
    </row>
    <row r="27429" spans="1:26" ht="12.75" customHeight="1" x14ac:dyDescent="0.2">
      <c r="A27429" s="258"/>
      <c r="Z27429" s="258"/>
    </row>
    <row r="27430" spans="1:26" ht="12.75" customHeight="1" x14ac:dyDescent="0.2">
      <c r="A27430" s="258"/>
      <c r="Z27430" s="258"/>
    </row>
    <row r="27431" spans="1:26" ht="12.75" customHeight="1" x14ac:dyDescent="0.2">
      <c r="A27431" s="258"/>
      <c r="Z27431" s="258"/>
    </row>
    <row r="27432" spans="1:26" ht="12.75" customHeight="1" x14ac:dyDescent="0.2">
      <c r="A27432" s="258"/>
      <c r="Z27432" s="258"/>
    </row>
    <row r="27433" spans="1:26" ht="12.75" customHeight="1" x14ac:dyDescent="0.2">
      <c r="A27433" s="258"/>
      <c r="Z27433" s="258"/>
    </row>
    <row r="27434" spans="1:26" ht="12.75" customHeight="1" x14ac:dyDescent="0.2">
      <c r="A27434" s="258"/>
      <c r="Z27434" s="258"/>
    </row>
    <row r="27435" spans="1:26" ht="12.75" customHeight="1" x14ac:dyDescent="0.2">
      <c r="A27435" s="258"/>
      <c r="Z27435" s="258"/>
    </row>
    <row r="27436" spans="1:26" ht="12.75" customHeight="1" x14ac:dyDescent="0.2">
      <c r="A27436" s="258"/>
      <c r="Z27436" s="258"/>
    </row>
    <row r="27437" spans="1:26" ht="12.75" customHeight="1" x14ac:dyDescent="0.2">
      <c r="A27437" s="258"/>
      <c r="Z27437" s="258"/>
    </row>
    <row r="27438" spans="1:26" ht="12.75" customHeight="1" x14ac:dyDescent="0.2">
      <c r="A27438" s="258"/>
      <c r="Z27438" s="258"/>
    </row>
    <row r="27439" spans="1:26" ht="12.75" customHeight="1" x14ac:dyDescent="0.2">
      <c r="A27439" s="258"/>
      <c r="Z27439" s="258"/>
    </row>
    <row r="27440" spans="1:26" ht="12.75" customHeight="1" x14ac:dyDescent="0.2">
      <c r="A27440" s="258"/>
      <c r="Z27440" s="258"/>
    </row>
    <row r="27441" spans="1:26" ht="12.75" customHeight="1" x14ac:dyDescent="0.2">
      <c r="A27441" s="258"/>
      <c r="Z27441" s="258"/>
    </row>
    <row r="27442" spans="1:26" ht="12.75" customHeight="1" x14ac:dyDescent="0.2">
      <c r="A27442" s="258"/>
      <c r="Z27442" s="258"/>
    </row>
    <row r="27443" spans="1:26" ht="12.75" customHeight="1" x14ac:dyDescent="0.2">
      <c r="A27443" s="258"/>
      <c r="Z27443" s="258"/>
    </row>
    <row r="27444" spans="1:26" ht="12.75" customHeight="1" x14ac:dyDescent="0.2">
      <c r="A27444" s="258"/>
      <c r="Z27444" s="258"/>
    </row>
    <row r="27445" spans="1:26" ht="12.75" customHeight="1" x14ac:dyDescent="0.2">
      <c r="A27445" s="258"/>
      <c r="Z27445" s="258"/>
    </row>
    <row r="27446" spans="1:26" ht="12.75" customHeight="1" x14ac:dyDescent="0.2">
      <c r="A27446" s="258"/>
      <c r="Z27446" s="258"/>
    </row>
    <row r="27447" spans="1:26" ht="12.75" customHeight="1" x14ac:dyDescent="0.2">
      <c r="A27447" s="258"/>
      <c r="Z27447" s="258"/>
    </row>
    <row r="27448" spans="1:26" ht="12.75" customHeight="1" x14ac:dyDescent="0.2">
      <c r="A27448" s="258"/>
      <c r="Z27448" s="258"/>
    </row>
    <row r="27449" spans="1:26" ht="12.75" customHeight="1" x14ac:dyDescent="0.2">
      <c r="A27449" s="258"/>
      <c r="Z27449" s="258"/>
    </row>
    <row r="27450" spans="1:26" ht="12.75" customHeight="1" x14ac:dyDescent="0.2">
      <c r="A27450" s="258"/>
      <c r="Z27450" s="258"/>
    </row>
    <row r="27451" spans="1:26" ht="12.75" customHeight="1" x14ac:dyDescent="0.2">
      <c r="A27451" s="258"/>
      <c r="Z27451" s="258"/>
    </row>
    <row r="27452" spans="1:26" ht="12.75" customHeight="1" x14ac:dyDescent="0.2">
      <c r="A27452" s="258"/>
      <c r="Z27452" s="258"/>
    </row>
    <row r="27453" spans="1:26" ht="12.75" customHeight="1" x14ac:dyDescent="0.2">
      <c r="A27453" s="258"/>
      <c r="Z27453" s="258"/>
    </row>
    <row r="27454" spans="1:26" ht="12.75" customHeight="1" x14ac:dyDescent="0.2">
      <c r="A27454" s="258"/>
      <c r="Z27454" s="258"/>
    </row>
    <row r="27455" spans="1:26" ht="12.75" customHeight="1" x14ac:dyDescent="0.2">
      <c r="A27455" s="258"/>
      <c r="Z27455" s="258"/>
    </row>
    <row r="27456" spans="1:26" ht="12.75" customHeight="1" x14ac:dyDescent="0.2">
      <c r="A27456" s="258"/>
      <c r="Z27456" s="258"/>
    </row>
    <row r="27457" spans="1:26" ht="12.75" customHeight="1" x14ac:dyDescent="0.2">
      <c r="A27457" s="258"/>
      <c r="Z27457" s="258"/>
    </row>
    <row r="27458" spans="1:26" ht="12.75" customHeight="1" x14ac:dyDescent="0.2">
      <c r="A27458" s="258"/>
      <c r="Z27458" s="258"/>
    </row>
    <row r="27459" spans="1:26" ht="12.75" customHeight="1" x14ac:dyDescent="0.2">
      <c r="A27459" s="258"/>
      <c r="Z27459" s="258"/>
    </row>
    <row r="27460" spans="1:26" ht="12.75" customHeight="1" x14ac:dyDescent="0.2">
      <c r="A27460" s="258"/>
      <c r="Z27460" s="258"/>
    </row>
    <row r="27461" spans="1:26" ht="12.75" customHeight="1" x14ac:dyDescent="0.2">
      <c r="A27461" s="258"/>
      <c r="Z27461" s="258"/>
    </row>
    <row r="27462" spans="1:26" ht="12.75" customHeight="1" x14ac:dyDescent="0.2">
      <c r="A27462" s="258"/>
      <c r="Z27462" s="258"/>
    </row>
    <row r="27463" spans="1:26" ht="12.75" customHeight="1" x14ac:dyDescent="0.2">
      <c r="A27463" s="258"/>
      <c r="Z27463" s="258"/>
    </row>
    <row r="27464" spans="1:26" ht="12.75" customHeight="1" x14ac:dyDescent="0.2">
      <c r="A27464" s="258"/>
      <c r="Z27464" s="258"/>
    </row>
    <row r="27465" spans="1:26" ht="12.75" customHeight="1" x14ac:dyDescent="0.2">
      <c r="A27465" s="258"/>
      <c r="Z27465" s="258"/>
    </row>
    <row r="27466" spans="1:26" ht="12.75" customHeight="1" x14ac:dyDescent="0.2">
      <c r="A27466" s="258"/>
      <c r="Z27466" s="258"/>
    </row>
    <row r="27467" spans="1:26" ht="12.75" customHeight="1" x14ac:dyDescent="0.2">
      <c r="A27467" s="258"/>
      <c r="Z27467" s="258"/>
    </row>
    <row r="27468" spans="1:26" ht="12.75" customHeight="1" x14ac:dyDescent="0.2">
      <c r="A27468" s="258"/>
      <c r="Z27468" s="258"/>
    </row>
    <row r="27469" spans="1:26" ht="12.75" customHeight="1" x14ac:dyDescent="0.2">
      <c r="A27469" s="258"/>
      <c r="Z27469" s="258"/>
    </row>
    <row r="27470" spans="1:26" ht="12.75" customHeight="1" x14ac:dyDescent="0.2">
      <c r="A27470" s="258"/>
      <c r="Z27470" s="258"/>
    </row>
    <row r="27471" spans="1:26" ht="12.75" customHeight="1" x14ac:dyDescent="0.2">
      <c r="A27471" s="258"/>
      <c r="Z27471" s="258"/>
    </row>
    <row r="27472" spans="1:26" ht="12.75" customHeight="1" x14ac:dyDescent="0.2">
      <c r="A27472" s="258"/>
      <c r="Z27472" s="258"/>
    </row>
    <row r="27473" spans="1:26" ht="12.75" customHeight="1" x14ac:dyDescent="0.2">
      <c r="A27473" s="258"/>
      <c r="Z27473" s="258"/>
    </row>
    <row r="27474" spans="1:26" ht="12.75" customHeight="1" x14ac:dyDescent="0.2">
      <c r="A27474" s="258"/>
      <c r="Z27474" s="258"/>
    </row>
    <row r="27475" spans="1:26" ht="12.75" customHeight="1" x14ac:dyDescent="0.2">
      <c r="A27475" s="258"/>
      <c r="Z27475" s="258"/>
    </row>
    <row r="27476" spans="1:26" ht="12.75" customHeight="1" x14ac:dyDescent="0.2">
      <c r="A27476" s="258"/>
      <c r="Z27476" s="258"/>
    </row>
    <row r="27477" spans="1:26" ht="12.75" customHeight="1" x14ac:dyDescent="0.2">
      <c r="A27477" s="258"/>
      <c r="Z27477" s="258"/>
    </row>
    <row r="27478" spans="1:26" ht="12.75" customHeight="1" x14ac:dyDescent="0.2">
      <c r="A27478" s="258"/>
      <c r="Z27478" s="258"/>
    </row>
    <row r="27479" spans="1:26" ht="12.75" customHeight="1" x14ac:dyDescent="0.2">
      <c r="A27479" s="258"/>
      <c r="Z27479" s="258"/>
    </row>
    <row r="27480" spans="1:26" ht="12.75" customHeight="1" x14ac:dyDescent="0.2">
      <c r="A27480" s="258"/>
      <c r="Z27480" s="258"/>
    </row>
    <row r="27481" spans="1:26" ht="12.75" customHeight="1" x14ac:dyDescent="0.2">
      <c r="A27481" s="258"/>
      <c r="Z27481" s="258"/>
    </row>
    <row r="27482" spans="1:26" ht="12.75" customHeight="1" x14ac:dyDescent="0.2">
      <c r="A27482" s="258"/>
      <c r="Z27482" s="258"/>
    </row>
    <row r="27483" spans="1:26" ht="12.75" customHeight="1" x14ac:dyDescent="0.2">
      <c r="A27483" s="258"/>
      <c r="Z27483" s="258"/>
    </row>
    <row r="27484" spans="1:26" ht="12.75" customHeight="1" x14ac:dyDescent="0.2">
      <c r="A27484" s="258"/>
      <c r="Z27484" s="258"/>
    </row>
    <row r="27485" spans="1:26" ht="12.75" customHeight="1" x14ac:dyDescent="0.2">
      <c r="A27485" s="258"/>
      <c r="Z27485" s="258"/>
    </row>
    <row r="27486" spans="1:26" ht="12.75" customHeight="1" x14ac:dyDescent="0.2">
      <c r="A27486" s="258"/>
      <c r="Z27486" s="258"/>
    </row>
    <row r="27487" spans="1:26" ht="12.75" customHeight="1" x14ac:dyDescent="0.2">
      <c r="A27487" s="258"/>
      <c r="Z27487" s="258"/>
    </row>
    <row r="27488" spans="1:26" ht="12.75" customHeight="1" x14ac:dyDescent="0.2">
      <c r="A27488" s="258"/>
      <c r="Z27488" s="258"/>
    </row>
    <row r="27489" spans="1:26" ht="12.75" customHeight="1" x14ac:dyDescent="0.2">
      <c r="A27489" s="258"/>
      <c r="Z27489" s="258"/>
    </row>
    <row r="27490" spans="1:26" ht="12.75" customHeight="1" x14ac:dyDescent="0.2">
      <c r="A27490" s="258"/>
      <c r="Z27490" s="258"/>
    </row>
    <row r="27491" spans="1:26" ht="12.75" customHeight="1" x14ac:dyDescent="0.2">
      <c r="A27491" s="258"/>
      <c r="Z27491" s="258"/>
    </row>
    <row r="27492" spans="1:26" ht="12.75" customHeight="1" x14ac:dyDescent="0.2">
      <c r="A27492" s="258"/>
      <c r="Z27492" s="258"/>
    </row>
    <row r="27493" spans="1:26" ht="12.75" customHeight="1" x14ac:dyDescent="0.2">
      <c r="A27493" s="258"/>
      <c r="Z27493" s="258"/>
    </row>
    <row r="27494" spans="1:26" ht="12.75" customHeight="1" x14ac:dyDescent="0.2">
      <c r="A27494" s="258"/>
      <c r="Z27494" s="258"/>
    </row>
    <row r="27495" spans="1:26" ht="12.75" customHeight="1" x14ac:dyDescent="0.2">
      <c r="A27495" s="258"/>
      <c r="Z27495" s="258"/>
    </row>
    <row r="27496" spans="1:26" ht="12.75" customHeight="1" x14ac:dyDescent="0.2">
      <c r="A27496" s="258"/>
      <c r="Z27496" s="258"/>
    </row>
    <row r="27497" spans="1:26" ht="12.75" customHeight="1" x14ac:dyDescent="0.2">
      <c r="A27497" s="258"/>
      <c r="Z27497" s="258"/>
    </row>
    <row r="27498" spans="1:26" ht="12.75" customHeight="1" x14ac:dyDescent="0.2">
      <c r="A27498" s="258"/>
      <c r="Z27498" s="258"/>
    </row>
    <row r="27499" spans="1:26" ht="12.75" customHeight="1" x14ac:dyDescent="0.2">
      <c r="A27499" s="258"/>
      <c r="Z27499" s="258"/>
    </row>
    <row r="27500" spans="1:26" ht="12.75" customHeight="1" x14ac:dyDescent="0.2">
      <c r="A27500" s="258"/>
      <c r="Z27500" s="258"/>
    </row>
    <row r="27501" spans="1:26" ht="12.75" customHeight="1" x14ac:dyDescent="0.2">
      <c r="A27501" s="258"/>
      <c r="Z27501" s="258"/>
    </row>
    <row r="27502" spans="1:26" ht="12.75" customHeight="1" x14ac:dyDescent="0.2">
      <c r="A27502" s="258"/>
      <c r="Z27502" s="258"/>
    </row>
    <row r="27503" spans="1:26" ht="12.75" customHeight="1" x14ac:dyDescent="0.2">
      <c r="A27503" s="258"/>
      <c r="Z27503" s="258"/>
    </row>
    <row r="27504" spans="1:26" ht="12.75" customHeight="1" x14ac:dyDescent="0.2">
      <c r="A27504" s="258"/>
      <c r="Z27504" s="258"/>
    </row>
    <row r="27505" spans="1:26" ht="12.75" customHeight="1" x14ac:dyDescent="0.2">
      <c r="A27505" s="258"/>
      <c r="Z27505" s="258"/>
    </row>
    <row r="27506" spans="1:26" ht="12.75" customHeight="1" x14ac:dyDescent="0.2">
      <c r="A27506" s="258"/>
      <c r="Z27506" s="258"/>
    </row>
    <row r="27507" spans="1:26" ht="12.75" customHeight="1" x14ac:dyDescent="0.2">
      <c r="A27507" s="258"/>
      <c r="Z27507" s="258"/>
    </row>
    <row r="27508" spans="1:26" ht="12.75" customHeight="1" x14ac:dyDescent="0.2">
      <c r="A27508" s="258"/>
      <c r="Z27508" s="258"/>
    </row>
    <row r="27509" spans="1:26" ht="12.75" customHeight="1" x14ac:dyDescent="0.2">
      <c r="A27509" s="258"/>
      <c r="Z27509" s="258"/>
    </row>
    <row r="27510" spans="1:26" ht="12.75" customHeight="1" x14ac:dyDescent="0.2">
      <c r="A27510" s="258"/>
      <c r="Z27510" s="258"/>
    </row>
    <row r="27511" spans="1:26" ht="12.75" customHeight="1" x14ac:dyDescent="0.2">
      <c r="A27511" s="258"/>
      <c r="Z27511" s="258"/>
    </row>
    <row r="27512" spans="1:26" ht="12.75" customHeight="1" x14ac:dyDescent="0.2">
      <c r="A27512" s="258"/>
      <c r="Z27512" s="258"/>
    </row>
    <row r="27513" spans="1:26" ht="12.75" customHeight="1" x14ac:dyDescent="0.2">
      <c r="A27513" s="258"/>
      <c r="Z27513" s="258"/>
    </row>
    <row r="27514" spans="1:26" ht="12.75" customHeight="1" x14ac:dyDescent="0.2">
      <c r="A27514" s="258"/>
      <c r="Z27514" s="258"/>
    </row>
    <row r="27515" spans="1:26" ht="12.75" customHeight="1" x14ac:dyDescent="0.2">
      <c r="A27515" s="258"/>
      <c r="Z27515" s="258"/>
    </row>
    <row r="27516" spans="1:26" ht="12.75" customHeight="1" x14ac:dyDescent="0.2">
      <c r="A27516" s="258"/>
      <c r="Z27516" s="258"/>
    </row>
    <row r="27517" spans="1:26" ht="12.75" customHeight="1" x14ac:dyDescent="0.2">
      <c r="A27517" s="258"/>
      <c r="Z27517" s="258"/>
    </row>
    <row r="27518" spans="1:26" ht="12.75" customHeight="1" x14ac:dyDescent="0.2">
      <c r="A27518" s="258"/>
      <c r="Z27518" s="258"/>
    </row>
    <row r="27519" spans="1:26" ht="12.75" customHeight="1" x14ac:dyDescent="0.2">
      <c r="A27519" s="258"/>
      <c r="Z27519" s="258"/>
    </row>
    <row r="27520" spans="1:26" ht="12.75" customHeight="1" x14ac:dyDescent="0.2">
      <c r="A27520" s="258"/>
      <c r="Z27520" s="258"/>
    </row>
    <row r="27521" spans="1:26" ht="12.75" customHeight="1" x14ac:dyDescent="0.2">
      <c r="A27521" s="258"/>
      <c r="Z27521" s="258"/>
    </row>
    <row r="27522" spans="1:26" ht="12.75" customHeight="1" x14ac:dyDescent="0.2">
      <c r="A27522" s="258"/>
      <c r="Z27522" s="258"/>
    </row>
    <row r="27523" spans="1:26" ht="12.75" customHeight="1" x14ac:dyDescent="0.2">
      <c r="A27523" s="258"/>
      <c r="Z27523" s="258"/>
    </row>
    <row r="27524" spans="1:26" ht="12.75" customHeight="1" x14ac:dyDescent="0.2">
      <c r="A27524" s="258"/>
      <c r="Z27524" s="258"/>
    </row>
    <row r="27525" spans="1:26" ht="12.75" customHeight="1" x14ac:dyDescent="0.2">
      <c r="A27525" s="258"/>
      <c r="Z27525" s="258"/>
    </row>
    <row r="27526" spans="1:26" ht="12.75" customHeight="1" x14ac:dyDescent="0.2">
      <c r="A27526" s="258"/>
      <c r="Z27526" s="258"/>
    </row>
    <row r="27527" spans="1:26" ht="12.75" customHeight="1" x14ac:dyDescent="0.2">
      <c r="A27527" s="258"/>
      <c r="Z27527" s="258"/>
    </row>
    <row r="27528" spans="1:26" ht="12.75" customHeight="1" x14ac:dyDescent="0.2">
      <c r="A27528" s="258"/>
      <c r="Z27528" s="258"/>
    </row>
    <row r="27529" spans="1:26" ht="12.75" customHeight="1" x14ac:dyDescent="0.2">
      <c r="A27529" s="258"/>
      <c r="Z27529" s="258"/>
    </row>
    <row r="27530" spans="1:26" ht="12.75" customHeight="1" x14ac:dyDescent="0.2">
      <c r="A27530" s="258"/>
      <c r="Z27530" s="258"/>
    </row>
    <row r="27531" spans="1:26" ht="12.75" customHeight="1" x14ac:dyDescent="0.2">
      <c r="A27531" s="258"/>
      <c r="Z27531" s="258"/>
    </row>
    <row r="27532" spans="1:26" ht="12.75" customHeight="1" x14ac:dyDescent="0.2">
      <c r="A27532" s="258"/>
      <c r="Z27532" s="258"/>
    </row>
    <row r="27533" spans="1:26" ht="12.75" customHeight="1" x14ac:dyDescent="0.2">
      <c r="A27533" s="258"/>
      <c r="Z27533" s="258"/>
    </row>
    <row r="27534" spans="1:26" ht="12.75" customHeight="1" x14ac:dyDescent="0.2">
      <c r="A27534" s="258"/>
      <c r="Z27534" s="258"/>
    </row>
    <row r="27535" spans="1:26" ht="12.75" customHeight="1" x14ac:dyDescent="0.2">
      <c r="A27535" s="258"/>
      <c r="Z27535" s="258"/>
    </row>
    <row r="27536" spans="1:26" ht="12.75" customHeight="1" x14ac:dyDescent="0.2">
      <c r="A27536" s="258"/>
      <c r="Z27536" s="258"/>
    </row>
    <row r="27537" spans="1:26" ht="12.75" customHeight="1" x14ac:dyDescent="0.2">
      <c r="A27537" s="258"/>
      <c r="Z27537" s="258"/>
    </row>
    <row r="27538" spans="1:26" ht="12.75" customHeight="1" x14ac:dyDescent="0.2">
      <c r="A27538" s="258"/>
      <c r="Z27538" s="258"/>
    </row>
    <row r="27539" spans="1:26" ht="12.75" customHeight="1" x14ac:dyDescent="0.2">
      <c r="A27539" s="258"/>
      <c r="Z27539" s="258"/>
    </row>
    <row r="27540" spans="1:26" ht="12.75" customHeight="1" x14ac:dyDescent="0.2">
      <c r="A27540" s="258"/>
      <c r="Z27540" s="258"/>
    </row>
    <row r="27541" spans="1:26" ht="12.75" customHeight="1" x14ac:dyDescent="0.2">
      <c r="A27541" s="258"/>
      <c r="Z27541" s="258"/>
    </row>
    <row r="27542" spans="1:26" ht="12.75" customHeight="1" x14ac:dyDescent="0.2">
      <c r="A27542" s="258"/>
      <c r="Z27542" s="258"/>
    </row>
    <row r="27543" spans="1:26" ht="12.75" customHeight="1" x14ac:dyDescent="0.2">
      <c r="A27543" s="258"/>
      <c r="Z27543" s="258"/>
    </row>
    <row r="27544" spans="1:26" ht="12.75" customHeight="1" x14ac:dyDescent="0.2">
      <c r="A27544" s="258"/>
      <c r="Z27544" s="258"/>
    </row>
    <row r="27545" spans="1:26" ht="12.75" customHeight="1" x14ac:dyDescent="0.2">
      <c r="A27545" s="258"/>
      <c r="Z27545" s="258"/>
    </row>
    <row r="27546" spans="1:26" ht="12.75" customHeight="1" x14ac:dyDescent="0.2">
      <c r="A27546" s="258"/>
      <c r="Z27546" s="258"/>
    </row>
    <row r="27547" spans="1:26" ht="12.75" customHeight="1" x14ac:dyDescent="0.2">
      <c r="A27547" s="258"/>
      <c r="Z27547" s="258"/>
    </row>
    <row r="27548" spans="1:26" ht="12.75" customHeight="1" x14ac:dyDescent="0.2">
      <c r="A27548" s="258"/>
      <c r="Z27548" s="258"/>
    </row>
    <row r="27549" spans="1:26" ht="12.75" customHeight="1" x14ac:dyDescent="0.2">
      <c r="A27549" s="258"/>
      <c r="Z27549" s="258"/>
    </row>
    <row r="27550" spans="1:26" ht="12.75" customHeight="1" x14ac:dyDescent="0.2">
      <c r="A27550" s="258"/>
      <c r="Z27550" s="258"/>
    </row>
    <row r="27551" spans="1:26" ht="12.75" customHeight="1" x14ac:dyDescent="0.2">
      <c r="A27551" s="258"/>
      <c r="Z27551" s="258"/>
    </row>
    <row r="27552" spans="1:26" ht="12.75" customHeight="1" x14ac:dyDescent="0.2">
      <c r="A27552" s="258"/>
      <c r="Z27552" s="258"/>
    </row>
    <row r="27553" spans="1:26" ht="12.75" customHeight="1" x14ac:dyDescent="0.2">
      <c r="A27553" s="258"/>
      <c r="Z27553" s="258"/>
    </row>
    <row r="27554" spans="1:26" ht="12.75" customHeight="1" x14ac:dyDescent="0.2">
      <c r="A27554" s="258"/>
      <c r="Z27554" s="258"/>
    </row>
    <row r="27555" spans="1:26" ht="12.75" customHeight="1" x14ac:dyDescent="0.2">
      <c r="A27555" s="258"/>
      <c r="Z27555" s="258"/>
    </row>
    <row r="27556" spans="1:26" ht="12.75" customHeight="1" x14ac:dyDescent="0.2">
      <c r="A27556" s="258"/>
      <c r="Z27556" s="258"/>
    </row>
    <row r="27557" spans="1:26" ht="12.75" customHeight="1" x14ac:dyDescent="0.2">
      <c r="A27557" s="258"/>
      <c r="Z27557" s="258"/>
    </row>
    <row r="27558" spans="1:26" ht="12.75" customHeight="1" x14ac:dyDescent="0.2">
      <c r="A27558" s="258"/>
      <c r="Z27558" s="258"/>
    </row>
    <row r="27559" spans="1:26" ht="12.75" customHeight="1" x14ac:dyDescent="0.2">
      <c r="A27559" s="258"/>
      <c r="Z27559" s="258"/>
    </row>
    <row r="27560" spans="1:26" ht="12.75" customHeight="1" x14ac:dyDescent="0.2">
      <c r="A27560" s="258"/>
      <c r="Z27560" s="258"/>
    </row>
    <row r="27561" spans="1:26" ht="12.75" customHeight="1" x14ac:dyDescent="0.2">
      <c r="A27561" s="258"/>
      <c r="Z27561" s="258"/>
    </row>
    <row r="27562" spans="1:26" ht="12.75" customHeight="1" x14ac:dyDescent="0.2">
      <c r="A27562" s="258"/>
      <c r="Z27562" s="258"/>
    </row>
    <row r="27563" spans="1:26" ht="12.75" customHeight="1" x14ac:dyDescent="0.2">
      <c r="A27563" s="258"/>
      <c r="Z27563" s="258"/>
    </row>
    <row r="27564" spans="1:26" ht="12.75" customHeight="1" x14ac:dyDescent="0.2">
      <c r="A27564" s="258"/>
      <c r="Z27564" s="258"/>
    </row>
    <row r="27565" spans="1:26" ht="12.75" customHeight="1" x14ac:dyDescent="0.2">
      <c r="A27565" s="258"/>
      <c r="Z27565" s="258"/>
    </row>
    <row r="27566" spans="1:26" ht="12.75" customHeight="1" x14ac:dyDescent="0.2">
      <c r="A27566" s="258"/>
      <c r="Z27566" s="258"/>
    </row>
    <row r="27567" spans="1:26" ht="12.75" customHeight="1" x14ac:dyDescent="0.2">
      <c r="A27567" s="258"/>
      <c r="Z27567" s="258"/>
    </row>
    <row r="27568" spans="1:26" ht="12.75" customHeight="1" x14ac:dyDescent="0.2">
      <c r="A27568" s="258"/>
      <c r="Z27568" s="258"/>
    </row>
    <row r="27569" spans="1:26" ht="12.75" customHeight="1" x14ac:dyDescent="0.2">
      <c r="A27569" s="258"/>
      <c r="Z27569" s="258"/>
    </row>
    <row r="27570" spans="1:26" ht="12.75" customHeight="1" x14ac:dyDescent="0.2">
      <c r="A27570" s="258"/>
      <c r="Z27570" s="258"/>
    </row>
    <row r="27571" spans="1:26" ht="12.75" customHeight="1" x14ac:dyDescent="0.2">
      <c r="A27571" s="258"/>
      <c r="Z27571" s="258"/>
    </row>
    <row r="27572" spans="1:26" ht="12.75" customHeight="1" x14ac:dyDescent="0.2">
      <c r="A27572" s="258"/>
      <c r="Z27572" s="258"/>
    </row>
    <row r="27573" spans="1:26" ht="12.75" customHeight="1" x14ac:dyDescent="0.2">
      <c r="A27573" s="258"/>
      <c r="Z27573" s="258"/>
    </row>
    <row r="27574" spans="1:26" ht="12.75" customHeight="1" x14ac:dyDescent="0.2">
      <c r="A27574" s="258"/>
      <c r="Z27574" s="258"/>
    </row>
    <row r="27575" spans="1:26" ht="12.75" customHeight="1" x14ac:dyDescent="0.2">
      <c r="A27575" s="258"/>
      <c r="Z27575" s="258"/>
    </row>
    <row r="27576" spans="1:26" ht="12.75" customHeight="1" x14ac:dyDescent="0.2">
      <c r="A27576" s="258"/>
      <c r="Z27576" s="258"/>
    </row>
    <row r="27577" spans="1:26" ht="12.75" customHeight="1" x14ac:dyDescent="0.2">
      <c r="A27577" s="258"/>
      <c r="Z27577" s="258"/>
    </row>
    <row r="27578" spans="1:26" ht="12.75" customHeight="1" x14ac:dyDescent="0.2">
      <c r="A27578" s="258"/>
      <c r="Z27578" s="258"/>
    </row>
    <row r="27579" spans="1:26" ht="12.75" customHeight="1" x14ac:dyDescent="0.2">
      <c r="A27579" s="258"/>
      <c r="Z27579" s="258"/>
    </row>
    <row r="27580" spans="1:26" ht="12.75" customHeight="1" x14ac:dyDescent="0.2">
      <c r="A27580" s="258"/>
      <c r="Z27580" s="258"/>
    </row>
    <row r="27581" spans="1:26" ht="12.75" customHeight="1" x14ac:dyDescent="0.2">
      <c r="A27581" s="258"/>
      <c r="Z27581" s="258"/>
    </row>
    <row r="27582" spans="1:26" ht="12.75" customHeight="1" x14ac:dyDescent="0.2">
      <c r="A27582" s="258"/>
      <c r="Z27582" s="258"/>
    </row>
    <row r="27583" spans="1:26" ht="12.75" customHeight="1" x14ac:dyDescent="0.2">
      <c r="A27583" s="258"/>
      <c r="Z27583" s="258"/>
    </row>
    <row r="27584" spans="1:26" ht="12.75" customHeight="1" x14ac:dyDescent="0.2">
      <c r="A27584" s="258"/>
      <c r="Z27584" s="258"/>
    </row>
    <row r="27585" spans="1:26" ht="12.75" customHeight="1" x14ac:dyDescent="0.2">
      <c r="A27585" s="258"/>
      <c r="Z27585" s="258"/>
    </row>
    <row r="27586" spans="1:26" ht="12.75" customHeight="1" x14ac:dyDescent="0.2">
      <c r="A27586" s="258"/>
      <c r="Z27586" s="258"/>
    </row>
    <row r="27587" spans="1:26" ht="12.75" customHeight="1" x14ac:dyDescent="0.2">
      <c r="A27587" s="258"/>
      <c r="Z27587" s="258"/>
    </row>
    <row r="27588" spans="1:26" ht="12.75" customHeight="1" x14ac:dyDescent="0.2">
      <c r="A27588" s="258"/>
      <c r="Z27588" s="258"/>
    </row>
    <row r="27589" spans="1:26" ht="12.75" customHeight="1" x14ac:dyDescent="0.2">
      <c r="A27589" s="258"/>
      <c r="Z27589" s="258"/>
    </row>
    <row r="27590" spans="1:26" ht="12.75" customHeight="1" x14ac:dyDescent="0.2">
      <c r="A27590" s="258"/>
      <c r="Z27590" s="258"/>
    </row>
    <row r="27591" spans="1:26" ht="12.75" customHeight="1" x14ac:dyDescent="0.2">
      <c r="A27591" s="258"/>
      <c r="Z27591" s="258"/>
    </row>
    <row r="27592" spans="1:26" ht="12.75" customHeight="1" x14ac:dyDescent="0.2">
      <c r="A27592" s="258"/>
      <c r="Z27592" s="258"/>
    </row>
    <row r="27593" spans="1:26" ht="12.75" customHeight="1" x14ac:dyDescent="0.2">
      <c r="A27593" s="258"/>
      <c r="Z27593" s="258"/>
    </row>
    <row r="27594" spans="1:26" ht="12.75" customHeight="1" x14ac:dyDescent="0.2">
      <c r="A27594" s="258"/>
      <c r="Z27594" s="258"/>
    </row>
    <row r="27595" spans="1:26" ht="12.75" customHeight="1" x14ac:dyDescent="0.2">
      <c r="A27595" s="258"/>
      <c r="Z27595" s="258"/>
    </row>
    <row r="27596" spans="1:26" ht="12.75" customHeight="1" x14ac:dyDescent="0.2">
      <c r="A27596" s="258"/>
      <c r="Z27596" s="258"/>
    </row>
    <row r="27597" spans="1:26" ht="12.75" customHeight="1" x14ac:dyDescent="0.2">
      <c r="A27597" s="258"/>
      <c r="Z27597" s="258"/>
    </row>
    <row r="27598" spans="1:26" ht="12.75" customHeight="1" x14ac:dyDescent="0.2">
      <c r="A27598" s="258"/>
      <c r="Z27598" s="258"/>
    </row>
    <row r="27599" spans="1:26" ht="12.75" customHeight="1" x14ac:dyDescent="0.2">
      <c r="A27599" s="258"/>
      <c r="Z27599" s="258"/>
    </row>
    <row r="27600" spans="1:26" ht="12.75" customHeight="1" x14ac:dyDescent="0.2">
      <c r="A27600" s="258"/>
      <c r="Z27600" s="258"/>
    </row>
    <row r="27601" spans="1:26" ht="12.75" customHeight="1" x14ac:dyDescent="0.2">
      <c r="A27601" s="258"/>
      <c r="Z27601" s="258"/>
    </row>
    <row r="27602" spans="1:26" ht="12.75" customHeight="1" x14ac:dyDescent="0.2">
      <c r="A27602" s="258"/>
      <c r="Z27602" s="258"/>
    </row>
    <row r="27603" spans="1:26" ht="12.75" customHeight="1" x14ac:dyDescent="0.2">
      <c r="A27603" s="258"/>
      <c r="Z27603" s="258"/>
    </row>
    <row r="27604" spans="1:26" ht="12.75" customHeight="1" x14ac:dyDescent="0.2">
      <c r="A27604" s="258"/>
      <c r="Z27604" s="258"/>
    </row>
    <row r="27605" spans="1:26" ht="12.75" customHeight="1" x14ac:dyDescent="0.2">
      <c r="A27605" s="258"/>
      <c r="Z27605" s="258"/>
    </row>
    <row r="27606" spans="1:26" ht="12.75" customHeight="1" x14ac:dyDescent="0.2">
      <c r="A27606" s="258"/>
      <c r="Z27606" s="258"/>
    </row>
    <row r="27607" spans="1:26" ht="12.75" customHeight="1" x14ac:dyDescent="0.2">
      <c r="A27607" s="258"/>
      <c r="Z27607" s="258"/>
    </row>
    <row r="27608" spans="1:26" ht="12.75" customHeight="1" x14ac:dyDescent="0.2">
      <c r="A27608" s="258"/>
      <c r="Z27608" s="258"/>
    </row>
    <row r="27609" spans="1:26" ht="12.75" customHeight="1" x14ac:dyDescent="0.2">
      <c r="A27609" s="258"/>
      <c r="Z27609" s="258"/>
    </row>
    <row r="27610" spans="1:26" ht="12.75" customHeight="1" x14ac:dyDescent="0.2">
      <c r="A27610" s="258"/>
      <c r="Z27610" s="258"/>
    </row>
    <row r="27611" spans="1:26" ht="12.75" customHeight="1" x14ac:dyDescent="0.2">
      <c r="A27611" s="258"/>
      <c r="Z27611" s="258"/>
    </row>
    <row r="27612" spans="1:26" ht="12.75" customHeight="1" x14ac:dyDescent="0.2">
      <c r="A27612" s="258"/>
      <c r="Z27612" s="258"/>
    </row>
    <row r="27613" spans="1:26" ht="12.75" customHeight="1" x14ac:dyDescent="0.2">
      <c r="A27613" s="258"/>
      <c r="Z27613" s="258"/>
    </row>
    <row r="27614" spans="1:26" ht="12.75" customHeight="1" x14ac:dyDescent="0.2">
      <c r="A27614" s="258"/>
      <c r="Z27614" s="258"/>
    </row>
    <row r="27615" spans="1:26" ht="12.75" customHeight="1" x14ac:dyDescent="0.2">
      <c r="A27615" s="258"/>
      <c r="Z27615" s="258"/>
    </row>
    <row r="27616" spans="1:26" ht="12.75" customHeight="1" x14ac:dyDescent="0.2">
      <c r="A27616" s="258"/>
      <c r="Z27616" s="258"/>
    </row>
    <row r="27617" spans="1:26" ht="12.75" customHeight="1" x14ac:dyDescent="0.2">
      <c r="A27617" s="258"/>
      <c r="Z27617" s="258"/>
    </row>
    <row r="27618" spans="1:26" ht="12.75" customHeight="1" x14ac:dyDescent="0.2">
      <c r="A27618" s="258"/>
      <c r="Z27618" s="258"/>
    </row>
    <row r="27619" spans="1:26" ht="12.75" customHeight="1" x14ac:dyDescent="0.2">
      <c r="A27619" s="258"/>
      <c r="Z27619" s="258"/>
    </row>
    <row r="27620" spans="1:26" ht="12.75" customHeight="1" x14ac:dyDescent="0.2">
      <c r="A27620" s="258"/>
      <c r="Z27620" s="258"/>
    </row>
    <row r="27621" spans="1:26" ht="12.75" customHeight="1" x14ac:dyDescent="0.2">
      <c r="A27621" s="258"/>
      <c r="Z27621" s="258"/>
    </row>
    <row r="27622" spans="1:26" ht="12.75" customHeight="1" x14ac:dyDescent="0.2">
      <c r="A27622" s="258"/>
      <c r="Z27622" s="258"/>
    </row>
    <row r="27623" spans="1:26" ht="12.75" customHeight="1" x14ac:dyDescent="0.2">
      <c r="A27623" s="258"/>
      <c r="Z27623" s="258"/>
    </row>
    <row r="27624" spans="1:26" ht="12.75" customHeight="1" x14ac:dyDescent="0.2">
      <c r="A27624" s="258"/>
      <c r="Z27624" s="258"/>
    </row>
    <row r="27625" spans="1:26" ht="12.75" customHeight="1" x14ac:dyDescent="0.2">
      <c r="A27625" s="258"/>
      <c r="Z27625" s="258"/>
    </row>
    <row r="27626" spans="1:26" ht="12.75" customHeight="1" x14ac:dyDescent="0.2">
      <c r="A27626" s="258"/>
      <c r="Z27626" s="258"/>
    </row>
    <row r="27627" spans="1:26" ht="12.75" customHeight="1" x14ac:dyDescent="0.2">
      <c r="A27627" s="258"/>
      <c r="Z27627" s="258"/>
    </row>
    <row r="27628" spans="1:26" ht="12.75" customHeight="1" x14ac:dyDescent="0.2">
      <c r="A27628" s="258"/>
      <c r="Z27628" s="258"/>
    </row>
    <row r="27629" spans="1:26" ht="12.75" customHeight="1" x14ac:dyDescent="0.2">
      <c r="A27629" s="258"/>
      <c r="Z27629" s="258"/>
    </row>
    <row r="27630" spans="1:26" ht="12.75" customHeight="1" x14ac:dyDescent="0.2">
      <c r="A27630" s="258"/>
      <c r="Z27630" s="258"/>
    </row>
    <row r="27631" spans="1:26" ht="12.75" customHeight="1" x14ac:dyDescent="0.2">
      <c r="A27631" s="258"/>
      <c r="Z27631" s="258"/>
    </row>
    <row r="27632" spans="1:26" ht="12.75" customHeight="1" x14ac:dyDescent="0.2">
      <c r="A27632" s="258"/>
      <c r="Z27632" s="258"/>
    </row>
    <row r="27633" spans="1:26" ht="12.75" customHeight="1" x14ac:dyDescent="0.2">
      <c r="A27633" s="258"/>
      <c r="Z27633" s="258"/>
    </row>
    <row r="27634" spans="1:26" ht="12.75" customHeight="1" x14ac:dyDescent="0.2">
      <c r="A27634" s="258"/>
      <c r="Z27634" s="258"/>
    </row>
    <row r="27635" spans="1:26" ht="12.75" customHeight="1" x14ac:dyDescent="0.2">
      <c r="A27635" s="258"/>
      <c r="Z27635" s="258"/>
    </row>
    <row r="27636" spans="1:26" ht="12.75" customHeight="1" x14ac:dyDescent="0.2">
      <c r="A27636" s="258"/>
      <c r="Z27636" s="258"/>
    </row>
    <row r="27637" spans="1:26" ht="12.75" customHeight="1" x14ac:dyDescent="0.2">
      <c r="A27637" s="258"/>
      <c r="Z27637" s="258"/>
    </row>
    <row r="27638" spans="1:26" ht="12.75" customHeight="1" x14ac:dyDescent="0.2">
      <c r="A27638" s="258"/>
      <c r="Z27638" s="258"/>
    </row>
    <row r="27639" spans="1:26" ht="12.75" customHeight="1" x14ac:dyDescent="0.2">
      <c r="A27639" s="258"/>
      <c r="Z27639" s="258"/>
    </row>
    <row r="27640" spans="1:26" ht="12.75" customHeight="1" x14ac:dyDescent="0.2">
      <c r="A27640" s="258"/>
      <c r="Z27640" s="258"/>
    </row>
    <row r="27641" spans="1:26" ht="12.75" customHeight="1" x14ac:dyDescent="0.2">
      <c r="A27641" s="258"/>
      <c r="Z27641" s="258"/>
    </row>
    <row r="27642" spans="1:26" ht="12.75" customHeight="1" x14ac:dyDescent="0.2">
      <c r="A27642" s="258"/>
      <c r="Z27642" s="258"/>
    </row>
    <row r="27643" spans="1:26" ht="12.75" customHeight="1" x14ac:dyDescent="0.2">
      <c r="A27643" s="258"/>
      <c r="Z27643" s="258"/>
    </row>
    <row r="27644" spans="1:26" ht="12.75" customHeight="1" x14ac:dyDescent="0.2">
      <c r="A27644" s="258"/>
      <c r="Z27644" s="258"/>
    </row>
    <row r="27645" spans="1:26" ht="12.75" customHeight="1" x14ac:dyDescent="0.2">
      <c r="A27645" s="258"/>
      <c r="Z27645" s="258"/>
    </row>
    <row r="27646" spans="1:26" ht="12.75" customHeight="1" x14ac:dyDescent="0.2">
      <c r="A27646" s="258"/>
      <c r="Z27646" s="258"/>
    </row>
    <row r="27647" spans="1:26" ht="12.75" customHeight="1" x14ac:dyDescent="0.2">
      <c r="A27647" s="258"/>
      <c r="Z27647" s="258"/>
    </row>
    <row r="27648" spans="1:26" ht="12.75" customHeight="1" x14ac:dyDescent="0.2">
      <c r="A27648" s="258"/>
      <c r="Z27648" s="258"/>
    </row>
    <row r="27649" spans="1:26" ht="12.75" customHeight="1" x14ac:dyDescent="0.2">
      <c r="A27649" s="258"/>
      <c r="Z27649" s="258"/>
    </row>
    <row r="27650" spans="1:26" ht="12.75" customHeight="1" x14ac:dyDescent="0.2">
      <c r="A27650" s="258"/>
      <c r="Z27650" s="258"/>
    </row>
    <row r="27651" spans="1:26" ht="12.75" customHeight="1" x14ac:dyDescent="0.2">
      <c r="A27651" s="258"/>
      <c r="Z27651" s="258"/>
    </row>
    <row r="27652" spans="1:26" ht="12.75" customHeight="1" x14ac:dyDescent="0.2">
      <c r="A27652" s="258"/>
      <c r="Z27652" s="258"/>
    </row>
    <row r="27653" spans="1:26" ht="12.75" customHeight="1" x14ac:dyDescent="0.2">
      <c r="A27653" s="258"/>
      <c r="Z27653" s="258"/>
    </row>
    <row r="27654" spans="1:26" ht="12.75" customHeight="1" x14ac:dyDescent="0.2">
      <c r="A27654" s="258"/>
      <c r="Z27654" s="258"/>
    </row>
    <row r="27655" spans="1:26" ht="12.75" customHeight="1" x14ac:dyDescent="0.2">
      <c r="A27655" s="258"/>
      <c r="Z27655" s="258"/>
    </row>
    <row r="27656" spans="1:26" ht="12.75" customHeight="1" x14ac:dyDescent="0.2">
      <c r="A27656" s="258"/>
      <c r="Z27656" s="258"/>
    </row>
    <row r="27657" spans="1:26" ht="12.75" customHeight="1" x14ac:dyDescent="0.2">
      <c r="A27657" s="258"/>
      <c r="Z27657" s="258"/>
    </row>
    <row r="27658" spans="1:26" ht="12.75" customHeight="1" x14ac:dyDescent="0.2">
      <c r="A27658" s="258"/>
      <c r="Z27658" s="258"/>
    </row>
    <row r="27659" spans="1:26" ht="12.75" customHeight="1" x14ac:dyDescent="0.2">
      <c r="A27659" s="258"/>
      <c r="Z27659" s="258"/>
    </row>
    <row r="27660" spans="1:26" ht="12.75" customHeight="1" x14ac:dyDescent="0.2">
      <c r="A27660" s="258"/>
      <c r="Z27660" s="258"/>
    </row>
    <row r="27661" spans="1:26" ht="12.75" customHeight="1" x14ac:dyDescent="0.2">
      <c r="A27661" s="258"/>
      <c r="Z27661" s="258"/>
    </row>
    <row r="27662" spans="1:26" ht="12.75" customHeight="1" x14ac:dyDescent="0.2">
      <c r="A27662" s="258"/>
      <c r="Z27662" s="258"/>
    </row>
    <row r="27663" spans="1:26" ht="12.75" customHeight="1" x14ac:dyDescent="0.2">
      <c r="A27663" s="258"/>
      <c r="Z27663" s="258"/>
    </row>
    <row r="27664" spans="1:26" ht="12.75" customHeight="1" x14ac:dyDescent="0.2">
      <c r="A27664" s="258"/>
      <c r="Z27664" s="258"/>
    </row>
    <row r="27665" spans="1:26" ht="12.75" customHeight="1" x14ac:dyDescent="0.2">
      <c r="A27665" s="258"/>
      <c r="Z27665" s="258"/>
    </row>
    <row r="27666" spans="1:26" ht="12.75" customHeight="1" x14ac:dyDescent="0.2">
      <c r="A27666" s="258"/>
      <c r="Z27666" s="258"/>
    </row>
    <row r="27667" spans="1:26" ht="12.75" customHeight="1" x14ac:dyDescent="0.2">
      <c r="A27667" s="258"/>
      <c r="Z27667" s="258"/>
    </row>
    <row r="27668" spans="1:26" ht="12.75" customHeight="1" x14ac:dyDescent="0.2">
      <c r="A27668" s="258"/>
      <c r="Z27668" s="258"/>
    </row>
    <row r="27669" spans="1:26" ht="12.75" customHeight="1" x14ac:dyDescent="0.2">
      <c r="A27669" s="258"/>
      <c r="Z27669" s="258"/>
    </row>
    <row r="27670" spans="1:26" ht="12.75" customHeight="1" x14ac:dyDescent="0.2">
      <c r="A27670" s="258"/>
      <c r="Z27670" s="258"/>
    </row>
    <row r="27671" spans="1:26" ht="12.75" customHeight="1" x14ac:dyDescent="0.2">
      <c r="A27671" s="258"/>
      <c r="Z27671" s="258"/>
    </row>
    <row r="27672" spans="1:26" ht="12.75" customHeight="1" x14ac:dyDescent="0.2">
      <c r="A27672" s="258"/>
      <c r="Z27672" s="258"/>
    </row>
    <row r="27673" spans="1:26" ht="12.75" customHeight="1" x14ac:dyDescent="0.2">
      <c r="A27673" s="258"/>
      <c r="Z27673" s="258"/>
    </row>
    <row r="27674" spans="1:26" ht="12.75" customHeight="1" x14ac:dyDescent="0.2">
      <c r="A27674" s="258"/>
      <c r="Z27674" s="258"/>
    </row>
    <row r="27675" spans="1:26" ht="12.75" customHeight="1" x14ac:dyDescent="0.2">
      <c r="A27675" s="258"/>
      <c r="Z27675" s="258"/>
    </row>
    <row r="27676" spans="1:26" ht="12.75" customHeight="1" x14ac:dyDescent="0.2">
      <c r="A27676" s="258"/>
      <c r="Z27676" s="258"/>
    </row>
    <row r="27677" spans="1:26" ht="12.75" customHeight="1" x14ac:dyDescent="0.2">
      <c r="A27677" s="258"/>
      <c r="Z27677" s="258"/>
    </row>
    <row r="27678" spans="1:26" ht="12.75" customHeight="1" x14ac:dyDescent="0.2">
      <c r="A27678" s="258"/>
      <c r="Z27678" s="258"/>
    </row>
    <row r="27679" spans="1:26" ht="12.75" customHeight="1" x14ac:dyDescent="0.2">
      <c r="A27679" s="258"/>
      <c r="Z27679" s="258"/>
    </row>
    <row r="27680" spans="1:26" ht="12.75" customHeight="1" x14ac:dyDescent="0.2">
      <c r="A27680" s="258"/>
      <c r="Z27680" s="258"/>
    </row>
    <row r="27681" spans="1:26" ht="12.75" customHeight="1" x14ac:dyDescent="0.2">
      <c r="A27681" s="258"/>
      <c r="Z27681" s="258"/>
    </row>
    <row r="27682" spans="1:26" ht="12.75" customHeight="1" x14ac:dyDescent="0.2">
      <c r="A27682" s="258"/>
      <c r="Z27682" s="258"/>
    </row>
    <row r="27683" spans="1:26" ht="12.75" customHeight="1" x14ac:dyDescent="0.2">
      <c r="A27683" s="258"/>
      <c r="Z27683" s="258"/>
    </row>
    <row r="27684" spans="1:26" ht="12.75" customHeight="1" x14ac:dyDescent="0.2">
      <c r="A27684" s="258"/>
      <c r="Z27684" s="258"/>
    </row>
    <row r="27685" spans="1:26" ht="12.75" customHeight="1" x14ac:dyDescent="0.2">
      <c r="A27685" s="258"/>
      <c r="Z27685" s="258"/>
    </row>
    <row r="27686" spans="1:26" ht="12.75" customHeight="1" x14ac:dyDescent="0.2">
      <c r="A27686" s="258"/>
      <c r="Z27686" s="258"/>
    </row>
    <row r="27687" spans="1:26" ht="12.75" customHeight="1" x14ac:dyDescent="0.2">
      <c r="A27687" s="258"/>
      <c r="Z27687" s="258"/>
    </row>
    <row r="27688" spans="1:26" ht="12.75" customHeight="1" x14ac:dyDescent="0.2">
      <c r="A27688" s="258"/>
      <c r="Z27688" s="258"/>
    </row>
    <row r="27689" spans="1:26" ht="12.75" customHeight="1" x14ac:dyDescent="0.2">
      <c r="A27689" s="258"/>
      <c r="Z27689" s="258"/>
    </row>
    <row r="27690" spans="1:26" ht="12.75" customHeight="1" x14ac:dyDescent="0.2">
      <c r="A27690" s="258"/>
      <c r="Z27690" s="258"/>
    </row>
    <row r="27691" spans="1:26" ht="12.75" customHeight="1" x14ac:dyDescent="0.2">
      <c r="A27691" s="258"/>
      <c r="Z27691" s="258"/>
    </row>
    <row r="27692" spans="1:26" ht="12.75" customHeight="1" x14ac:dyDescent="0.2">
      <c r="A27692" s="258"/>
      <c r="Z27692" s="258"/>
    </row>
    <row r="27693" spans="1:26" ht="12.75" customHeight="1" x14ac:dyDescent="0.2">
      <c r="A27693" s="258"/>
      <c r="Z27693" s="258"/>
    </row>
    <row r="27694" spans="1:26" ht="12.75" customHeight="1" x14ac:dyDescent="0.2">
      <c r="A27694" s="258"/>
      <c r="Z27694" s="258"/>
    </row>
    <row r="27695" spans="1:26" ht="12.75" customHeight="1" x14ac:dyDescent="0.2">
      <c r="A27695" s="258"/>
      <c r="Z27695" s="258"/>
    </row>
    <row r="27696" spans="1:26" ht="12.75" customHeight="1" x14ac:dyDescent="0.2">
      <c r="A27696" s="258"/>
      <c r="Z27696" s="258"/>
    </row>
    <row r="27697" spans="1:26" ht="12.75" customHeight="1" x14ac:dyDescent="0.2">
      <c r="A27697" s="258"/>
      <c r="Z27697" s="258"/>
    </row>
    <row r="27698" spans="1:26" ht="12.75" customHeight="1" x14ac:dyDescent="0.2">
      <c r="A27698" s="258"/>
      <c r="Z27698" s="258"/>
    </row>
    <row r="27699" spans="1:26" ht="12.75" customHeight="1" x14ac:dyDescent="0.2">
      <c r="A27699" s="258"/>
      <c r="Z27699" s="258"/>
    </row>
    <row r="27700" spans="1:26" ht="12.75" customHeight="1" x14ac:dyDescent="0.2">
      <c r="A27700" s="258"/>
      <c r="Z27700" s="258"/>
    </row>
    <row r="27701" spans="1:26" ht="12.75" customHeight="1" x14ac:dyDescent="0.2">
      <c r="A27701" s="258"/>
      <c r="Z27701" s="258"/>
    </row>
    <row r="27702" spans="1:26" ht="12.75" customHeight="1" x14ac:dyDescent="0.2">
      <c r="A27702" s="258"/>
      <c r="Z27702" s="258"/>
    </row>
    <row r="27703" spans="1:26" ht="12.75" customHeight="1" x14ac:dyDescent="0.2">
      <c r="A27703" s="258"/>
      <c r="Z27703" s="258"/>
    </row>
    <row r="27704" spans="1:26" ht="12.75" customHeight="1" x14ac:dyDescent="0.2">
      <c r="A27704" s="258"/>
      <c r="Z27704" s="258"/>
    </row>
    <row r="27705" spans="1:26" ht="12.75" customHeight="1" x14ac:dyDescent="0.2">
      <c r="A27705" s="258"/>
      <c r="Z27705" s="258"/>
    </row>
    <row r="27706" spans="1:26" ht="12.75" customHeight="1" x14ac:dyDescent="0.2">
      <c r="A27706" s="258"/>
      <c r="Z27706" s="258"/>
    </row>
    <row r="27707" spans="1:26" ht="12.75" customHeight="1" x14ac:dyDescent="0.2">
      <c r="A27707" s="258"/>
      <c r="Z27707" s="258"/>
    </row>
    <row r="27708" spans="1:26" ht="12.75" customHeight="1" x14ac:dyDescent="0.2">
      <c r="A27708" s="258"/>
      <c r="Z27708" s="258"/>
    </row>
    <row r="27709" spans="1:26" ht="12.75" customHeight="1" x14ac:dyDescent="0.2">
      <c r="A27709" s="258"/>
      <c r="Z27709" s="258"/>
    </row>
    <row r="27710" spans="1:26" ht="12.75" customHeight="1" x14ac:dyDescent="0.2">
      <c r="A27710" s="258"/>
      <c r="Z27710" s="258"/>
    </row>
    <row r="27711" spans="1:26" ht="12.75" customHeight="1" x14ac:dyDescent="0.2">
      <c r="A27711" s="258"/>
      <c r="Z27711" s="258"/>
    </row>
    <row r="27712" spans="1:26" ht="12.75" customHeight="1" x14ac:dyDescent="0.2">
      <c r="A27712" s="258"/>
      <c r="Z27712" s="258"/>
    </row>
    <row r="27713" spans="1:26" ht="12.75" customHeight="1" x14ac:dyDescent="0.2">
      <c r="A27713" s="258"/>
      <c r="Z27713" s="258"/>
    </row>
    <row r="27714" spans="1:26" ht="12.75" customHeight="1" x14ac:dyDescent="0.2">
      <c r="A27714" s="258"/>
      <c r="Z27714" s="258"/>
    </row>
    <row r="27715" spans="1:26" ht="12.75" customHeight="1" x14ac:dyDescent="0.2">
      <c r="A27715" s="258"/>
      <c r="Z27715" s="258"/>
    </row>
    <row r="27716" spans="1:26" ht="12.75" customHeight="1" x14ac:dyDescent="0.2">
      <c r="A27716" s="258"/>
      <c r="Z27716" s="258"/>
    </row>
    <row r="27717" spans="1:26" ht="12.75" customHeight="1" x14ac:dyDescent="0.2">
      <c r="A27717" s="258"/>
      <c r="Z27717" s="258"/>
    </row>
    <row r="27718" spans="1:26" ht="12.75" customHeight="1" x14ac:dyDescent="0.2">
      <c r="A27718" s="258"/>
      <c r="Z27718" s="258"/>
    </row>
    <row r="27719" spans="1:26" ht="12.75" customHeight="1" x14ac:dyDescent="0.2">
      <c r="A27719" s="258"/>
      <c r="Z27719" s="258"/>
    </row>
    <row r="27720" spans="1:26" ht="12.75" customHeight="1" x14ac:dyDescent="0.2">
      <c r="A27720" s="258"/>
      <c r="Z27720" s="258"/>
    </row>
    <row r="27721" spans="1:26" ht="12.75" customHeight="1" x14ac:dyDescent="0.2">
      <c r="A27721" s="258"/>
      <c r="Z27721" s="258"/>
    </row>
    <row r="27722" spans="1:26" ht="12.75" customHeight="1" x14ac:dyDescent="0.2">
      <c r="A27722" s="258"/>
      <c r="Z27722" s="258"/>
    </row>
    <row r="27723" spans="1:26" ht="12.75" customHeight="1" x14ac:dyDescent="0.2">
      <c r="A27723" s="258"/>
      <c r="Z27723" s="258"/>
    </row>
    <row r="27724" spans="1:26" ht="12.75" customHeight="1" x14ac:dyDescent="0.2">
      <c r="A27724" s="258"/>
      <c r="Z27724" s="258"/>
    </row>
    <row r="27725" spans="1:26" ht="12.75" customHeight="1" x14ac:dyDescent="0.2">
      <c r="A27725" s="258"/>
      <c r="Z27725" s="258"/>
    </row>
    <row r="27726" spans="1:26" ht="12.75" customHeight="1" x14ac:dyDescent="0.2">
      <c r="A27726" s="258"/>
      <c r="Z27726" s="258"/>
    </row>
    <row r="27727" spans="1:26" ht="12.75" customHeight="1" x14ac:dyDescent="0.2">
      <c r="A27727" s="258"/>
      <c r="Z27727" s="258"/>
    </row>
    <row r="27728" spans="1:26" ht="12.75" customHeight="1" x14ac:dyDescent="0.2">
      <c r="A27728" s="258"/>
      <c r="Z27728" s="258"/>
    </row>
    <row r="27729" spans="1:26" ht="12.75" customHeight="1" x14ac:dyDescent="0.2">
      <c r="A27729" s="258"/>
      <c r="Z27729" s="258"/>
    </row>
    <row r="27730" spans="1:26" ht="12.75" customHeight="1" x14ac:dyDescent="0.2">
      <c r="A27730" s="258"/>
      <c r="Z27730" s="258"/>
    </row>
    <row r="27731" spans="1:26" ht="12.75" customHeight="1" x14ac:dyDescent="0.2">
      <c r="A27731" s="258"/>
      <c r="Z27731" s="258"/>
    </row>
    <row r="27732" spans="1:26" ht="12.75" customHeight="1" x14ac:dyDescent="0.2">
      <c r="A27732" s="258"/>
      <c r="Z27732" s="258"/>
    </row>
    <row r="27733" spans="1:26" ht="12.75" customHeight="1" x14ac:dyDescent="0.2">
      <c r="A27733" s="258"/>
      <c r="Z27733" s="258"/>
    </row>
    <row r="27734" spans="1:26" ht="12.75" customHeight="1" x14ac:dyDescent="0.2">
      <c r="A27734" s="258"/>
      <c r="Z27734" s="258"/>
    </row>
    <row r="27735" spans="1:26" ht="12.75" customHeight="1" x14ac:dyDescent="0.2">
      <c r="A27735" s="258"/>
      <c r="Z27735" s="258"/>
    </row>
    <row r="27736" spans="1:26" ht="12.75" customHeight="1" x14ac:dyDescent="0.2">
      <c r="A27736" s="258"/>
      <c r="Z27736" s="258"/>
    </row>
    <row r="27737" spans="1:26" ht="12.75" customHeight="1" x14ac:dyDescent="0.2">
      <c r="A27737" s="258"/>
      <c r="Z27737" s="258"/>
    </row>
    <row r="27738" spans="1:26" ht="12.75" customHeight="1" x14ac:dyDescent="0.2">
      <c r="A27738" s="258"/>
      <c r="Z27738" s="258"/>
    </row>
    <row r="27739" spans="1:26" ht="12.75" customHeight="1" x14ac:dyDescent="0.2">
      <c r="A27739" s="258"/>
      <c r="Z27739" s="258"/>
    </row>
    <row r="27740" spans="1:26" ht="12.75" customHeight="1" x14ac:dyDescent="0.2">
      <c r="A27740" s="258"/>
      <c r="Z27740" s="258"/>
    </row>
    <row r="27741" spans="1:26" ht="12.75" customHeight="1" x14ac:dyDescent="0.2">
      <c r="A27741" s="258"/>
      <c r="Z27741" s="258"/>
    </row>
    <row r="27742" spans="1:26" ht="12.75" customHeight="1" x14ac:dyDescent="0.2">
      <c r="A27742" s="258"/>
      <c r="Z27742" s="258"/>
    </row>
    <row r="27743" spans="1:26" ht="12.75" customHeight="1" x14ac:dyDescent="0.2">
      <c r="A27743" s="258"/>
      <c r="Z27743" s="258"/>
    </row>
    <row r="27744" spans="1:26" ht="12.75" customHeight="1" x14ac:dyDescent="0.2">
      <c r="A27744" s="258"/>
      <c r="Z27744" s="258"/>
    </row>
    <row r="27745" spans="1:26" ht="12.75" customHeight="1" x14ac:dyDescent="0.2">
      <c r="A27745" s="258"/>
      <c r="Z27745" s="258"/>
    </row>
    <row r="27746" spans="1:26" ht="12.75" customHeight="1" x14ac:dyDescent="0.2">
      <c r="A27746" s="258"/>
      <c r="Z27746" s="258"/>
    </row>
    <row r="27747" spans="1:26" ht="12.75" customHeight="1" x14ac:dyDescent="0.2">
      <c r="A27747" s="258"/>
      <c r="Z27747" s="258"/>
    </row>
    <row r="27748" spans="1:26" ht="12.75" customHeight="1" x14ac:dyDescent="0.2">
      <c r="A27748" s="258"/>
      <c r="Z27748" s="258"/>
    </row>
    <row r="27749" spans="1:26" ht="12.75" customHeight="1" x14ac:dyDescent="0.2">
      <c r="A27749" s="258"/>
      <c r="Z27749" s="258"/>
    </row>
    <row r="27750" spans="1:26" ht="12.75" customHeight="1" x14ac:dyDescent="0.2">
      <c r="A27750" s="258"/>
      <c r="Z27750" s="258"/>
    </row>
    <row r="27751" spans="1:26" ht="12.75" customHeight="1" x14ac:dyDescent="0.2">
      <c r="A27751" s="258"/>
      <c r="Z27751" s="258"/>
    </row>
    <row r="27752" spans="1:26" ht="12.75" customHeight="1" x14ac:dyDescent="0.2">
      <c r="A27752" s="258"/>
      <c r="Z27752" s="258"/>
    </row>
    <row r="27753" spans="1:26" ht="12.75" customHeight="1" x14ac:dyDescent="0.2">
      <c r="A27753" s="258"/>
      <c r="Z27753" s="258"/>
    </row>
    <row r="27754" spans="1:26" ht="12.75" customHeight="1" x14ac:dyDescent="0.2">
      <c r="A27754" s="258"/>
      <c r="Z27754" s="258"/>
    </row>
    <row r="27755" spans="1:26" ht="12.75" customHeight="1" x14ac:dyDescent="0.2">
      <c r="A27755" s="258"/>
      <c r="Z27755" s="258"/>
    </row>
    <row r="27756" spans="1:26" ht="12.75" customHeight="1" x14ac:dyDescent="0.2">
      <c r="A27756" s="258"/>
      <c r="Z27756" s="258"/>
    </row>
    <row r="27757" spans="1:26" ht="12.75" customHeight="1" x14ac:dyDescent="0.2">
      <c r="A27757" s="258"/>
      <c r="Z27757" s="258"/>
    </row>
    <row r="27758" spans="1:26" ht="12.75" customHeight="1" x14ac:dyDescent="0.2">
      <c r="A27758" s="258"/>
      <c r="Z27758" s="258"/>
    </row>
    <row r="27759" spans="1:26" ht="12.75" customHeight="1" x14ac:dyDescent="0.2">
      <c r="A27759" s="258"/>
      <c r="Z27759" s="258"/>
    </row>
    <row r="27760" spans="1:26" ht="12.75" customHeight="1" x14ac:dyDescent="0.2">
      <c r="A27760" s="258"/>
      <c r="Z27760" s="258"/>
    </row>
    <row r="27761" spans="1:26" ht="12.75" customHeight="1" x14ac:dyDescent="0.2">
      <c r="A27761" s="258"/>
      <c r="Z27761" s="258"/>
    </row>
    <row r="27762" spans="1:26" ht="12.75" customHeight="1" x14ac:dyDescent="0.2">
      <c r="A27762" s="258"/>
      <c r="Z27762" s="258"/>
    </row>
    <row r="27763" spans="1:26" ht="12.75" customHeight="1" x14ac:dyDescent="0.2">
      <c r="A27763" s="258"/>
      <c r="Z27763" s="258"/>
    </row>
    <row r="27764" spans="1:26" ht="12.75" customHeight="1" x14ac:dyDescent="0.2">
      <c r="A27764" s="258"/>
      <c r="Z27764" s="258"/>
    </row>
    <row r="27765" spans="1:26" ht="12.75" customHeight="1" x14ac:dyDescent="0.2">
      <c r="A27765" s="258"/>
      <c r="Z27765" s="258"/>
    </row>
    <row r="27766" spans="1:26" ht="12.75" customHeight="1" x14ac:dyDescent="0.2">
      <c r="A27766" s="258"/>
      <c r="Z27766" s="258"/>
    </row>
    <row r="27767" spans="1:26" ht="12.75" customHeight="1" x14ac:dyDescent="0.2">
      <c r="A27767" s="258"/>
      <c r="Z27767" s="258"/>
    </row>
    <row r="27768" spans="1:26" ht="12.75" customHeight="1" x14ac:dyDescent="0.2">
      <c r="A27768" s="258"/>
      <c r="Z27768" s="258"/>
    </row>
    <row r="27769" spans="1:26" ht="12.75" customHeight="1" x14ac:dyDescent="0.2">
      <c r="A27769" s="258"/>
      <c r="Z27769" s="258"/>
    </row>
    <row r="27770" spans="1:26" ht="12.75" customHeight="1" x14ac:dyDescent="0.2">
      <c r="A27770" s="258"/>
      <c r="Z27770" s="258"/>
    </row>
    <row r="27771" spans="1:26" ht="12.75" customHeight="1" x14ac:dyDescent="0.2">
      <c r="A27771" s="258"/>
      <c r="Z27771" s="258"/>
    </row>
    <row r="27772" spans="1:26" ht="12.75" customHeight="1" x14ac:dyDescent="0.2">
      <c r="A27772" s="258"/>
      <c r="Z27772" s="258"/>
    </row>
    <row r="27773" spans="1:26" ht="12.75" customHeight="1" x14ac:dyDescent="0.2">
      <c r="A27773" s="258"/>
      <c r="Z27773" s="258"/>
    </row>
    <row r="27774" spans="1:26" ht="12.75" customHeight="1" x14ac:dyDescent="0.2">
      <c r="A27774" s="258"/>
      <c r="Z27774" s="258"/>
    </row>
    <row r="27775" spans="1:26" ht="12.75" customHeight="1" x14ac:dyDescent="0.2">
      <c r="A27775" s="258"/>
      <c r="Z27775" s="258"/>
    </row>
    <row r="27776" spans="1:26" ht="12.75" customHeight="1" x14ac:dyDescent="0.2">
      <c r="A27776" s="258"/>
      <c r="Z27776" s="258"/>
    </row>
    <row r="27777" spans="1:26" ht="12.75" customHeight="1" x14ac:dyDescent="0.2">
      <c r="A27777" s="258"/>
      <c r="Z27777" s="258"/>
    </row>
    <row r="27778" spans="1:26" ht="12.75" customHeight="1" x14ac:dyDescent="0.2">
      <c r="A27778" s="258"/>
      <c r="Z27778" s="258"/>
    </row>
    <row r="27779" spans="1:26" ht="12.75" customHeight="1" x14ac:dyDescent="0.2">
      <c r="A27779" s="258"/>
      <c r="Z27779" s="258"/>
    </row>
    <row r="27780" spans="1:26" ht="12.75" customHeight="1" x14ac:dyDescent="0.2">
      <c r="A27780" s="258"/>
      <c r="Z27780" s="258"/>
    </row>
    <row r="27781" spans="1:26" ht="12.75" customHeight="1" x14ac:dyDescent="0.2">
      <c r="A27781" s="258"/>
      <c r="Z27781" s="258"/>
    </row>
    <row r="27782" spans="1:26" ht="12.75" customHeight="1" x14ac:dyDescent="0.2">
      <c r="A27782" s="258"/>
      <c r="Z27782" s="258"/>
    </row>
    <row r="27783" spans="1:26" ht="12.75" customHeight="1" x14ac:dyDescent="0.2">
      <c r="A27783" s="258"/>
      <c r="Z27783" s="258"/>
    </row>
    <row r="27784" spans="1:26" ht="12.75" customHeight="1" x14ac:dyDescent="0.2">
      <c r="A27784" s="258"/>
      <c r="Z27784" s="258"/>
    </row>
    <row r="27785" spans="1:26" ht="12.75" customHeight="1" x14ac:dyDescent="0.2">
      <c r="A27785" s="258"/>
      <c r="Z27785" s="258"/>
    </row>
    <row r="27786" spans="1:26" ht="12.75" customHeight="1" x14ac:dyDescent="0.2">
      <c r="A27786" s="258"/>
      <c r="Z27786" s="258"/>
    </row>
    <row r="27787" spans="1:26" ht="12.75" customHeight="1" x14ac:dyDescent="0.2">
      <c r="A27787" s="258"/>
      <c r="Z27787" s="258"/>
    </row>
    <row r="27788" spans="1:26" ht="12.75" customHeight="1" x14ac:dyDescent="0.2">
      <c r="A27788" s="258"/>
      <c r="Z27788" s="258"/>
    </row>
    <row r="27789" spans="1:26" ht="12.75" customHeight="1" x14ac:dyDescent="0.2">
      <c r="A27789" s="258"/>
      <c r="Z27789" s="258"/>
    </row>
    <row r="27790" spans="1:26" ht="12.75" customHeight="1" x14ac:dyDescent="0.2">
      <c r="A27790" s="258"/>
      <c r="Z27790" s="258"/>
    </row>
    <row r="27791" spans="1:26" ht="12.75" customHeight="1" x14ac:dyDescent="0.2">
      <c r="A27791" s="258"/>
      <c r="Z27791" s="258"/>
    </row>
    <row r="27792" spans="1:26" ht="12.75" customHeight="1" x14ac:dyDescent="0.2">
      <c r="A27792" s="258"/>
      <c r="Z27792" s="258"/>
    </row>
    <row r="27793" spans="1:26" ht="12.75" customHeight="1" x14ac:dyDescent="0.2">
      <c r="A27793" s="258"/>
      <c r="Z27793" s="258"/>
    </row>
    <row r="27794" spans="1:26" ht="12.75" customHeight="1" x14ac:dyDescent="0.2">
      <c r="A27794" s="258"/>
      <c r="Z27794" s="258"/>
    </row>
    <row r="27795" spans="1:26" ht="12.75" customHeight="1" x14ac:dyDescent="0.2">
      <c r="A27795" s="258"/>
      <c r="Z27795" s="258"/>
    </row>
    <row r="27796" spans="1:26" ht="12.75" customHeight="1" x14ac:dyDescent="0.2">
      <c r="A27796" s="258"/>
      <c r="Z27796" s="258"/>
    </row>
    <row r="27797" spans="1:26" ht="12.75" customHeight="1" x14ac:dyDescent="0.2">
      <c r="A27797" s="258"/>
      <c r="Z27797" s="258"/>
    </row>
    <row r="27798" spans="1:26" ht="12.75" customHeight="1" x14ac:dyDescent="0.2">
      <c r="A27798" s="258"/>
      <c r="Z27798" s="258"/>
    </row>
    <row r="27799" spans="1:26" ht="12.75" customHeight="1" x14ac:dyDescent="0.2">
      <c r="A27799" s="258"/>
      <c r="Z27799" s="258"/>
    </row>
    <row r="27800" spans="1:26" ht="12.75" customHeight="1" x14ac:dyDescent="0.2">
      <c r="A27800" s="258"/>
      <c r="Z27800" s="258"/>
    </row>
    <row r="27801" spans="1:26" ht="12.75" customHeight="1" x14ac:dyDescent="0.2">
      <c r="A27801" s="258"/>
      <c r="Z27801" s="258"/>
    </row>
    <row r="27802" spans="1:26" ht="12.75" customHeight="1" x14ac:dyDescent="0.2">
      <c r="A27802" s="258"/>
      <c r="Z27802" s="258"/>
    </row>
    <row r="27803" spans="1:26" ht="12.75" customHeight="1" x14ac:dyDescent="0.2">
      <c r="A27803" s="258"/>
      <c r="Z27803" s="258"/>
    </row>
    <row r="27804" spans="1:26" ht="12.75" customHeight="1" x14ac:dyDescent="0.2">
      <c r="A27804" s="258"/>
      <c r="Z27804" s="258"/>
    </row>
    <row r="27805" spans="1:26" ht="12.75" customHeight="1" x14ac:dyDescent="0.2">
      <c r="A27805" s="258"/>
      <c r="Z27805" s="258"/>
    </row>
    <row r="27806" spans="1:26" ht="12.75" customHeight="1" x14ac:dyDescent="0.2">
      <c r="A27806" s="258"/>
      <c r="Z27806" s="258"/>
    </row>
    <row r="27807" spans="1:26" ht="12.75" customHeight="1" x14ac:dyDescent="0.2">
      <c r="A27807" s="258"/>
      <c r="Z27807" s="258"/>
    </row>
    <row r="27808" spans="1:26" ht="12.75" customHeight="1" x14ac:dyDescent="0.2">
      <c r="A27808" s="258"/>
      <c r="Z27808" s="258"/>
    </row>
    <row r="27809" spans="1:26" ht="12.75" customHeight="1" x14ac:dyDescent="0.2">
      <c r="A27809" s="258"/>
      <c r="Z27809" s="258"/>
    </row>
    <row r="27810" spans="1:26" ht="12.75" customHeight="1" x14ac:dyDescent="0.2">
      <c r="A27810" s="258"/>
      <c r="Z27810" s="258"/>
    </row>
    <row r="27811" spans="1:26" ht="12.75" customHeight="1" x14ac:dyDescent="0.2">
      <c r="A27811" s="258"/>
      <c r="Z27811" s="258"/>
    </row>
    <row r="27812" spans="1:26" ht="12.75" customHeight="1" x14ac:dyDescent="0.2">
      <c r="A27812" s="258"/>
      <c r="Z27812" s="258"/>
    </row>
    <row r="27813" spans="1:26" ht="12.75" customHeight="1" x14ac:dyDescent="0.2">
      <c r="A27813" s="258"/>
      <c r="Z27813" s="258"/>
    </row>
    <row r="27814" spans="1:26" ht="12.75" customHeight="1" x14ac:dyDescent="0.2">
      <c r="A27814" s="258"/>
      <c r="Z27814" s="258"/>
    </row>
    <row r="27815" spans="1:26" ht="12.75" customHeight="1" x14ac:dyDescent="0.2">
      <c r="A27815" s="258"/>
      <c r="Z27815" s="258"/>
    </row>
    <row r="27816" spans="1:26" ht="12.75" customHeight="1" x14ac:dyDescent="0.2">
      <c r="A27816" s="258"/>
      <c r="Z27816" s="258"/>
    </row>
    <row r="27817" spans="1:26" ht="12.75" customHeight="1" x14ac:dyDescent="0.2">
      <c r="A27817" s="258"/>
      <c r="Z27817" s="258"/>
    </row>
    <row r="27818" spans="1:26" ht="12.75" customHeight="1" x14ac:dyDescent="0.2">
      <c r="A27818" s="258"/>
      <c r="Z27818" s="258"/>
    </row>
    <row r="27819" spans="1:26" ht="12.75" customHeight="1" x14ac:dyDescent="0.2">
      <c r="A27819" s="258"/>
      <c r="Z27819" s="258"/>
    </row>
    <row r="27820" spans="1:26" ht="12.75" customHeight="1" x14ac:dyDescent="0.2">
      <c r="A27820" s="258"/>
      <c r="Z27820" s="258"/>
    </row>
    <row r="27821" spans="1:26" ht="12.75" customHeight="1" x14ac:dyDescent="0.2">
      <c r="A27821" s="258"/>
      <c r="Z27821" s="258"/>
    </row>
    <row r="27822" spans="1:26" ht="12.75" customHeight="1" x14ac:dyDescent="0.2">
      <c r="A27822" s="258"/>
      <c r="Z27822" s="258"/>
    </row>
    <row r="27823" spans="1:26" ht="12.75" customHeight="1" x14ac:dyDescent="0.2">
      <c r="A27823" s="258"/>
      <c r="Z27823" s="258"/>
    </row>
    <row r="27824" spans="1:26" ht="12.75" customHeight="1" x14ac:dyDescent="0.2">
      <c r="A27824" s="258"/>
      <c r="Z27824" s="258"/>
    </row>
    <row r="27825" spans="1:26" ht="12.75" customHeight="1" x14ac:dyDescent="0.2">
      <c r="A27825" s="258"/>
      <c r="Z27825" s="258"/>
    </row>
    <row r="27826" spans="1:26" ht="12.75" customHeight="1" x14ac:dyDescent="0.2">
      <c r="A27826" s="258"/>
      <c r="Z27826" s="258"/>
    </row>
    <row r="27827" spans="1:26" ht="12.75" customHeight="1" x14ac:dyDescent="0.2">
      <c r="A27827" s="258"/>
      <c r="Z27827" s="258"/>
    </row>
    <row r="27828" spans="1:26" ht="12.75" customHeight="1" x14ac:dyDescent="0.2">
      <c r="A27828" s="258"/>
      <c r="Z27828" s="258"/>
    </row>
    <row r="27829" spans="1:26" ht="12.75" customHeight="1" x14ac:dyDescent="0.2">
      <c r="A27829" s="258"/>
      <c r="Z27829" s="258"/>
    </row>
    <row r="27830" spans="1:26" ht="12.75" customHeight="1" x14ac:dyDescent="0.2">
      <c r="A27830" s="258"/>
      <c r="Z27830" s="258"/>
    </row>
    <row r="27831" spans="1:26" ht="12.75" customHeight="1" x14ac:dyDescent="0.2">
      <c r="A27831" s="258"/>
      <c r="Z27831" s="258"/>
    </row>
    <row r="27832" spans="1:26" ht="12.75" customHeight="1" x14ac:dyDescent="0.2">
      <c r="A27832" s="258"/>
      <c r="Z27832" s="258"/>
    </row>
    <row r="27833" spans="1:26" ht="12.75" customHeight="1" x14ac:dyDescent="0.2">
      <c r="A27833" s="258"/>
      <c r="Z27833" s="258"/>
    </row>
    <row r="27834" spans="1:26" ht="12.75" customHeight="1" x14ac:dyDescent="0.2">
      <c r="A27834" s="258"/>
      <c r="Z27834" s="258"/>
    </row>
    <row r="27835" spans="1:26" ht="12.75" customHeight="1" x14ac:dyDescent="0.2">
      <c r="A27835" s="258"/>
      <c r="Z27835" s="258"/>
    </row>
    <row r="27836" spans="1:26" ht="12.75" customHeight="1" x14ac:dyDescent="0.2">
      <c r="A27836" s="258"/>
      <c r="Z27836" s="258"/>
    </row>
    <row r="27837" spans="1:26" ht="12.75" customHeight="1" x14ac:dyDescent="0.2">
      <c r="A27837" s="258"/>
      <c r="Z27837" s="258"/>
    </row>
    <row r="27838" spans="1:26" ht="12.75" customHeight="1" x14ac:dyDescent="0.2">
      <c r="A27838" s="258"/>
      <c r="Z27838" s="258"/>
    </row>
    <row r="27839" spans="1:26" ht="12.75" customHeight="1" x14ac:dyDescent="0.2">
      <c r="A27839" s="258"/>
      <c r="Z27839" s="258"/>
    </row>
    <row r="27840" spans="1:26" ht="12.75" customHeight="1" x14ac:dyDescent="0.2">
      <c r="A27840" s="258"/>
      <c r="Z27840" s="258"/>
    </row>
    <row r="27841" spans="1:26" ht="12.75" customHeight="1" x14ac:dyDescent="0.2">
      <c r="A27841" s="258"/>
      <c r="Z27841" s="258"/>
    </row>
    <row r="27842" spans="1:26" ht="12.75" customHeight="1" x14ac:dyDescent="0.2">
      <c r="A27842" s="258"/>
      <c r="Z27842" s="258"/>
    </row>
    <row r="27843" spans="1:26" ht="12.75" customHeight="1" x14ac:dyDescent="0.2">
      <c r="A27843" s="258"/>
      <c r="Z27843" s="258"/>
    </row>
    <row r="27844" spans="1:26" ht="12.75" customHeight="1" x14ac:dyDescent="0.2">
      <c r="A27844" s="258"/>
      <c r="Z27844" s="258"/>
    </row>
    <row r="27845" spans="1:26" ht="12.75" customHeight="1" x14ac:dyDescent="0.2">
      <c r="A27845" s="258"/>
      <c r="Z27845" s="258"/>
    </row>
    <row r="27846" spans="1:26" ht="12.75" customHeight="1" x14ac:dyDescent="0.2">
      <c r="A27846" s="258"/>
      <c r="Z27846" s="258"/>
    </row>
    <row r="27847" spans="1:26" ht="12.75" customHeight="1" x14ac:dyDescent="0.2">
      <c r="A27847" s="258"/>
      <c r="Z27847" s="258"/>
    </row>
    <row r="27848" spans="1:26" ht="12.75" customHeight="1" x14ac:dyDescent="0.2">
      <c r="A27848" s="258"/>
      <c r="Z27848" s="258"/>
    </row>
    <row r="27849" spans="1:26" ht="12.75" customHeight="1" x14ac:dyDescent="0.2">
      <c r="A27849" s="258"/>
      <c r="Z27849" s="258"/>
    </row>
    <row r="27850" spans="1:26" ht="12.75" customHeight="1" x14ac:dyDescent="0.2">
      <c r="A27850" s="258"/>
      <c r="Z27850" s="258"/>
    </row>
    <row r="27851" spans="1:26" ht="12.75" customHeight="1" x14ac:dyDescent="0.2">
      <c r="A27851" s="258"/>
      <c r="Z27851" s="258"/>
    </row>
    <row r="27852" spans="1:26" ht="12.75" customHeight="1" x14ac:dyDescent="0.2">
      <c r="A27852" s="258"/>
      <c r="Z27852" s="258"/>
    </row>
    <row r="27853" spans="1:26" ht="12.75" customHeight="1" x14ac:dyDescent="0.2">
      <c r="A27853" s="258"/>
      <c r="Z27853" s="258"/>
    </row>
    <row r="27854" spans="1:26" ht="12.75" customHeight="1" x14ac:dyDescent="0.2">
      <c r="A27854" s="258"/>
      <c r="Z27854" s="258"/>
    </row>
    <row r="27855" spans="1:26" ht="12.75" customHeight="1" x14ac:dyDescent="0.2">
      <c r="A27855" s="258"/>
      <c r="Z27855" s="258"/>
    </row>
    <row r="27856" spans="1:26" ht="12.75" customHeight="1" x14ac:dyDescent="0.2">
      <c r="A27856" s="258"/>
      <c r="Z27856" s="258"/>
    </row>
    <row r="27857" spans="1:26" ht="12.75" customHeight="1" x14ac:dyDescent="0.2">
      <c r="A27857" s="258"/>
      <c r="Z27857" s="258"/>
    </row>
    <row r="27858" spans="1:26" ht="12.75" customHeight="1" x14ac:dyDescent="0.2">
      <c r="A27858" s="258"/>
      <c r="Z27858" s="258"/>
    </row>
    <row r="27859" spans="1:26" ht="12.75" customHeight="1" x14ac:dyDescent="0.2">
      <c r="A27859" s="258"/>
      <c r="Z27859" s="258"/>
    </row>
    <row r="27860" spans="1:26" ht="12.75" customHeight="1" x14ac:dyDescent="0.2">
      <c r="A27860" s="258"/>
      <c r="Z27860" s="258"/>
    </row>
    <row r="27861" spans="1:26" ht="12.75" customHeight="1" x14ac:dyDescent="0.2">
      <c r="A27861" s="258"/>
      <c r="Z27861" s="258"/>
    </row>
    <row r="27862" spans="1:26" ht="12.75" customHeight="1" x14ac:dyDescent="0.2">
      <c r="A27862" s="258"/>
      <c r="Z27862" s="258"/>
    </row>
    <row r="27863" spans="1:26" ht="12.75" customHeight="1" x14ac:dyDescent="0.2">
      <c r="A27863" s="258"/>
      <c r="Z27863" s="258"/>
    </row>
    <row r="27864" spans="1:26" ht="12.75" customHeight="1" x14ac:dyDescent="0.2">
      <c r="A27864" s="258"/>
      <c r="Z27864" s="258"/>
    </row>
    <row r="27865" spans="1:26" ht="12.75" customHeight="1" x14ac:dyDescent="0.2">
      <c r="A27865" s="258"/>
      <c r="Z27865" s="258"/>
    </row>
    <row r="27866" spans="1:26" ht="12.75" customHeight="1" x14ac:dyDescent="0.2">
      <c r="A27866" s="258"/>
      <c r="Z27866" s="258"/>
    </row>
    <row r="27867" spans="1:26" ht="12.75" customHeight="1" x14ac:dyDescent="0.2">
      <c r="A27867" s="258"/>
      <c r="Z27867" s="258"/>
    </row>
    <row r="27868" spans="1:26" ht="12.75" customHeight="1" x14ac:dyDescent="0.2">
      <c r="A27868" s="258"/>
      <c r="Z27868" s="258"/>
    </row>
    <row r="27869" spans="1:26" ht="12.75" customHeight="1" x14ac:dyDescent="0.2">
      <c r="A27869" s="258"/>
      <c r="Z27869" s="258"/>
    </row>
    <row r="27870" spans="1:26" ht="12.75" customHeight="1" x14ac:dyDescent="0.2">
      <c r="A27870" s="258"/>
      <c r="Z27870" s="258"/>
    </row>
    <row r="27871" spans="1:26" ht="12.75" customHeight="1" x14ac:dyDescent="0.2">
      <c r="A27871" s="258"/>
      <c r="Z27871" s="258"/>
    </row>
    <row r="27872" spans="1:26" ht="12.75" customHeight="1" x14ac:dyDescent="0.2">
      <c r="A27872" s="258"/>
      <c r="Z27872" s="258"/>
    </row>
    <row r="27873" spans="1:26" ht="12.75" customHeight="1" x14ac:dyDescent="0.2">
      <c r="A27873" s="258"/>
      <c r="Z27873" s="258"/>
    </row>
    <row r="27874" spans="1:26" ht="12.75" customHeight="1" x14ac:dyDescent="0.2">
      <c r="A27874" s="258"/>
      <c r="Z27874" s="258"/>
    </row>
    <row r="27875" spans="1:26" ht="12.75" customHeight="1" x14ac:dyDescent="0.2">
      <c r="A27875" s="258"/>
      <c r="Z27875" s="258"/>
    </row>
    <row r="27876" spans="1:26" ht="12.75" customHeight="1" x14ac:dyDescent="0.2">
      <c r="A27876" s="258"/>
      <c r="Z27876" s="258"/>
    </row>
    <row r="27877" spans="1:26" ht="12.75" customHeight="1" x14ac:dyDescent="0.2">
      <c r="A27877" s="258"/>
      <c r="Z27877" s="258"/>
    </row>
    <row r="27878" spans="1:26" ht="12.75" customHeight="1" x14ac:dyDescent="0.2">
      <c r="A27878" s="258"/>
      <c r="Z27878" s="258"/>
    </row>
    <row r="27879" spans="1:26" ht="12.75" customHeight="1" x14ac:dyDescent="0.2">
      <c r="A27879" s="258"/>
      <c r="Z27879" s="258"/>
    </row>
    <row r="27880" spans="1:26" ht="12.75" customHeight="1" x14ac:dyDescent="0.2">
      <c r="A27880" s="258"/>
      <c r="Z27880" s="258"/>
    </row>
    <row r="27881" spans="1:26" ht="12.75" customHeight="1" x14ac:dyDescent="0.2">
      <c r="A27881" s="258"/>
      <c r="Z27881" s="258"/>
    </row>
    <row r="27882" spans="1:26" ht="12.75" customHeight="1" x14ac:dyDescent="0.2">
      <c r="A27882" s="258"/>
      <c r="Z27882" s="258"/>
    </row>
    <row r="27883" spans="1:26" ht="12.75" customHeight="1" x14ac:dyDescent="0.2">
      <c r="A27883" s="258"/>
      <c r="Z27883" s="258"/>
    </row>
    <row r="27884" spans="1:26" ht="12.75" customHeight="1" x14ac:dyDescent="0.2">
      <c r="A27884" s="258"/>
      <c r="Z27884" s="258"/>
    </row>
    <row r="27885" spans="1:26" ht="12.75" customHeight="1" x14ac:dyDescent="0.2">
      <c r="A27885" s="258"/>
      <c r="Z27885" s="258"/>
    </row>
    <row r="27886" spans="1:26" ht="12.75" customHeight="1" x14ac:dyDescent="0.2">
      <c r="A27886" s="258"/>
      <c r="Z27886" s="258"/>
    </row>
    <row r="27887" spans="1:26" ht="12.75" customHeight="1" x14ac:dyDescent="0.2">
      <c r="A27887" s="258"/>
      <c r="Z27887" s="258"/>
    </row>
    <row r="27888" spans="1:26" ht="12.75" customHeight="1" x14ac:dyDescent="0.2">
      <c r="A27888" s="258"/>
      <c r="Z27888" s="258"/>
    </row>
    <row r="27889" spans="1:26" ht="12.75" customHeight="1" x14ac:dyDescent="0.2">
      <c r="A27889" s="258"/>
      <c r="Z27889" s="258"/>
    </row>
    <row r="27890" spans="1:26" ht="12.75" customHeight="1" x14ac:dyDescent="0.2">
      <c r="A27890" s="258"/>
      <c r="Z27890" s="258"/>
    </row>
    <row r="27891" spans="1:26" ht="12.75" customHeight="1" x14ac:dyDescent="0.2">
      <c r="A27891" s="258"/>
      <c r="Z27891" s="258"/>
    </row>
    <row r="27892" spans="1:26" ht="12.75" customHeight="1" x14ac:dyDescent="0.2">
      <c r="A27892" s="258"/>
      <c r="Z27892" s="258"/>
    </row>
    <row r="27893" spans="1:26" ht="12.75" customHeight="1" x14ac:dyDescent="0.2">
      <c r="A27893" s="258"/>
      <c r="Z27893" s="258"/>
    </row>
    <row r="27894" spans="1:26" ht="12.75" customHeight="1" x14ac:dyDescent="0.2">
      <c r="A27894" s="258"/>
      <c r="Z27894" s="258"/>
    </row>
    <row r="27895" spans="1:26" ht="12.75" customHeight="1" x14ac:dyDescent="0.2">
      <c r="A27895" s="258"/>
      <c r="Z27895" s="258"/>
    </row>
    <row r="27896" spans="1:26" ht="12.75" customHeight="1" x14ac:dyDescent="0.2">
      <c r="A27896" s="258"/>
      <c r="Z27896" s="258"/>
    </row>
    <row r="27897" spans="1:26" ht="12.75" customHeight="1" x14ac:dyDescent="0.2">
      <c r="A27897" s="258"/>
      <c r="Z27897" s="258"/>
    </row>
    <row r="27898" spans="1:26" ht="12.75" customHeight="1" x14ac:dyDescent="0.2">
      <c r="A27898" s="258"/>
      <c r="Z27898" s="258"/>
    </row>
    <row r="27899" spans="1:26" ht="12.75" customHeight="1" x14ac:dyDescent="0.2">
      <c r="A27899" s="258"/>
      <c r="Z27899" s="258"/>
    </row>
    <row r="27900" spans="1:26" ht="12.75" customHeight="1" x14ac:dyDescent="0.2">
      <c r="A27900" s="258"/>
      <c r="Z27900" s="258"/>
    </row>
    <row r="27901" spans="1:26" ht="12.75" customHeight="1" x14ac:dyDescent="0.2">
      <c r="A27901" s="258"/>
      <c r="Z27901" s="258"/>
    </row>
    <row r="27902" spans="1:26" ht="12.75" customHeight="1" x14ac:dyDescent="0.2">
      <c r="A27902" s="258"/>
      <c r="Z27902" s="258"/>
    </row>
    <row r="27903" spans="1:26" ht="12.75" customHeight="1" x14ac:dyDescent="0.2">
      <c r="A27903" s="258"/>
      <c r="Z27903" s="258"/>
    </row>
    <row r="27904" spans="1:26" ht="12.75" customHeight="1" x14ac:dyDescent="0.2">
      <c r="A27904" s="258"/>
      <c r="Z27904" s="258"/>
    </row>
    <row r="27905" spans="1:26" ht="12.75" customHeight="1" x14ac:dyDescent="0.2">
      <c r="A27905" s="258"/>
      <c r="Z27905" s="258"/>
    </row>
    <row r="27906" spans="1:26" ht="12.75" customHeight="1" x14ac:dyDescent="0.2">
      <c r="A27906" s="258"/>
      <c r="Z27906" s="258"/>
    </row>
    <row r="27907" spans="1:26" ht="12.75" customHeight="1" x14ac:dyDescent="0.2">
      <c r="A27907" s="258"/>
      <c r="Z27907" s="258"/>
    </row>
    <row r="27908" spans="1:26" ht="12.75" customHeight="1" x14ac:dyDescent="0.2">
      <c r="A27908" s="258"/>
      <c r="Z27908" s="258"/>
    </row>
    <row r="27909" spans="1:26" ht="12.75" customHeight="1" x14ac:dyDescent="0.2">
      <c r="A27909" s="258"/>
      <c r="Z27909" s="258"/>
    </row>
    <row r="27910" spans="1:26" ht="12.75" customHeight="1" x14ac:dyDescent="0.2">
      <c r="A27910" s="258"/>
      <c r="Z27910" s="258"/>
    </row>
    <row r="27911" spans="1:26" ht="12.75" customHeight="1" x14ac:dyDescent="0.2">
      <c r="A27911" s="258"/>
      <c r="Z27911" s="258"/>
    </row>
    <row r="27912" spans="1:26" ht="12.75" customHeight="1" x14ac:dyDescent="0.2">
      <c r="A27912" s="258"/>
      <c r="Z27912" s="258"/>
    </row>
    <row r="27913" spans="1:26" ht="12.75" customHeight="1" x14ac:dyDescent="0.2">
      <c r="A27913" s="258"/>
      <c r="Z27913" s="258"/>
    </row>
    <row r="27914" spans="1:26" ht="12.75" customHeight="1" x14ac:dyDescent="0.2">
      <c r="A27914" s="258"/>
      <c r="Z27914" s="258"/>
    </row>
    <row r="27915" spans="1:26" ht="12.75" customHeight="1" x14ac:dyDescent="0.2">
      <c r="A27915" s="258"/>
      <c r="Z27915" s="258"/>
    </row>
    <row r="27916" spans="1:26" ht="12.75" customHeight="1" x14ac:dyDescent="0.2">
      <c r="A27916" s="258"/>
      <c r="Z27916" s="258"/>
    </row>
    <row r="27917" spans="1:26" ht="12.75" customHeight="1" x14ac:dyDescent="0.2">
      <c r="A27917" s="258"/>
      <c r="Z27917" s="258"/>
    </row>
    <row r="27918" spans="1:26" ht="12.75" customHeight="1" x14ac:dyDescent="0.2">
      <c r="A27918" s="258"/>
      <c r="Z27918" s="258"/>
    </row>
    <row r="27919" spans="1:26" ht="12.75" customHeight="1" x14ac:dyDescent="0.2">
      <c r="A27919" s="258"/>
      <c r="Z27919" s="258"/>
    </row>
    <row r="27920" spans="1:26" ht="12.75" customHeight="1" x14ac:dyDescent="0.2">
      <c r="A27920" s="258"/>
      <c r="Z27920" s="258"/>
    </row>
    <row r="27921" spans="1:26" ht="12.75" customHeight="1" x14ac:dyDescent="0.2">
      <c r="A27921" s="258"/>
      <c r="Z27921" s="258"/>
    </row>
    <row r="27922" spans="1:26" ht="12.75" customHeight="1" x14ac:dyDescent="0.2">
      <c r="A27922" s="258"/>
      <c r="Z27922" s="258"/>
    </row>
    <row r="27923" spans="1:26" ht="12.75" customHeight="1" x14ac:dyDescent="0.2">
      <c r="A27923" s="258"/>
      <c r="Z27923" s="258"/>
    </row>
    <row r="27924" spans="1:26" ht="12.75" customHeight="1" x14ac:dyDescent="0.2">
      <c r="A27924" s="258"/>
      <c r="Z27924" s="258"/>
    </row>
    <row r="27925" spans="1:26" ht="12.75" customHeight="1" x14ac:dyDescent="0.2">
      <c r="A27925" s="258"/>
      <c r="Z27925" s="258"/>
    </row>
    <row r="27926" spans="1:26" ht="12.75" customHeight="1" x14ac:dyDescent="0.2">
      <c r="A27926" s="258"/>
      <c r="Z27926" s="258"/>
    </row>
    <row r="27927" spans="1:26" ht="12.75" customHeight="1" x14ac:dyDescent="0.2">
      <c r="A27927" s="258"/>
      <c r="Z27927" s="258"/>
    </row>
    <row r="27928" spans="1:26" ht="12.75" customHeight="1" x14ac:dyDescent="0.2">
      <c r="A27928" s="258"/>
      <c r="Z27928" s="258"/>
    </row>
    <row r="27929" spans="1:26" ht="12.75" customHeight="1" x14ac:dyDescent="0.2">
      <c r="A27929" s="258"/>
      <c r="Z27929" s="258"/>
    </row>
    <row r="27930" spans="1:26" ht="12.75" customHeight="1" x14ac:dyDescent="0.2">
      <c r="A27930" s="258"/>
      <c r="Z27930" s="258"/>
    </row>
    <row r="27931" spans="1:26" ht="12.75" customHeight="1" x14ac:dyDescent="0.2">
      <c r="A27931" s="258"/>
      <c r="Z27931" s="258"/>
    </row>
    <row r="27932" spans="1:26" ht="12.75" customHeight="1" x14ac:dyDescent="0.2">
      <c r="A27932" s="258"/>
      <c r="Z27932" s="258"/>
    </row>
    <row r="27933" spans="1:26" ht="12.75" customHeight="1" x14ac:dyDescent="0.2">
      <c r="A27933" s="258"/>
      <c r="Z27933" s="258"/>
    </row>
    <row r="27934" spans="1:26" ht="12.75" customHeight="1" x14ac:dyDescent="0.2">
      <c r="A27934" s="258"/>
      <c r="Z27934" s="258"/>
    </row>
    <row r="27935" spans="1:26" ht="12.75" customHeight="1" x14ac:dyDescent="0.2">
      <c r="A27935" s="258"/>
      <c r="Z27935" s="258"/>
    </row>
    <row r="27936" spans="1:26" ht="12.75" customHeight="1" x14ac:dyDescent="0.2">
      <c r="A27936" s="258"/>
      <c r="Z27936" s="258"/>
    </row>
    <row r="27937" spans="1:26" ht="12.75" customHeight="1" x14ac:dyDescent="0.2">
      <c r="A27937" s="258"/>
      <c r="Z27937" s="258"/>
    </row>
    <row r="27938" spans="1:26" ht="12.75" customHeight="1" x14ac:dyDescent="0.2">
      <c r="A27938" s="258"/>
      <c r="Z27938" s="258"/>
    </row>
    <row r="27939" spans="1:26" ht="12.75" customHeight="1" x14ac:dyDescent="0.2">
      <c r="A27939" s="258"/>
      <c r="Z27939" s="258"/>
    </row>
    <row r="27940" spans="1:26" ht="12.75" customHeight="1" x14ac:dyDescent="0.2">
      <c r="A27940" s="258"/>
      <c r="Z27940" s="258"/>
    </row>
    <row r="27941" spans="1:26" ht="12.75" customHeight="1" x14ac:dyDescent="0.2">
      <c r="A27941" s="258"/>
      <c r="Z27941" s="258"/>
    </row>
    <row r="27942" spans="1:26" ht="12.75" customHeight="1" x14ac:dyDescent="0.2">
      <c r="A27942" s="258"/>
      <c r="Z27942" s="258"/>
    </row>
    <row r="27943" spans="1:26" ht="12.75" customHeight="1" x14ac:dyDescent="0.2">
      <c r="A27943" s="258"/>
      <c r="Z27943" s="258"/>
    </row>
    <row r="27944" spans="1:26" ht="12.75" customHeight="1" x14ac:dyDescent="0.2">
      <c r="A27944" s="258"/>
      <c r="Z27944" s="258"/>
    </row>
    <row r="27945" spans="1:26" ht="12.75" customHeight="1" x14ac:dyDescent="0.2">
      <c r="A27945" s="258"/>
      <c r="Z27945" s="258"/>
    </row>
    <row r="27946" spans="1:26" ht="12.75" customHeight="1" x14ac:dyDescent="0.2">
      <c r="A27946" s="258"/>
      <c r="Z27946" s="258"/>
    </row>
    <row r="27947" spans="1:26" ht="12.75" customHeight="1" x14ac:dyDescent="0.2">
      <c r="A27947" s="258"/>
      <c r="Z27947" s="258"/>
    </row>
    <row r="27948" spans="1:26" ht="12.75" customHeight="1" x14ac:dyDescent="0.2">
      <c r="A27948" s="258"/>
      <c r="Z27948" s="258"/>
    </row>
    <row r="27949" spans="1:26" ht="12.75" customHeight="1" x14ac:dyDescent="0.2">
      <c r="A27949" s="258"/>
      <c r="Z27949" s="258"/>
    </row>
    <row r="27950" spans="1:26" ht="12.75" customHeight="1" x14ac:dyDescent="0.2">
      <c r="A27950" s="258"/>
      <c r="Z27950" s="258"/>
    </row>
    <row r="27951" spans="1:26" ht="12.75" customHeight="1" x14ac:dyDescent="0.2">
      <c r="A27951" s="258"/>
      <c r="Z27951" s="258"/>
    </row>
    <row r="27952" spans="1:26" ht="12.75" customHeight="1" x14ac:dyDescent="0.2">
      <c r="A27952" s="258"/>
      <c r="Z27952" s="258"/>
    </row>
    <row r="27953" spans="1:26" ht="12.75" customHeight="1" x14ac:dyDescent="0.2">
      <c r="A27953" s="258"/>
      <c r="Z27953" s="258"/>
    </row>
    <row r="27954" spans="1:26" ht="12.75" customHeight="1" x14ac:dyDescent="0.2">
      <c r="A27954" s="258"/>
      <c r="Z27954" s="258"/>
    </row>
    <row r="27955" spans="1:26" ht="12.75" customHeight="1" x14ac:dyDescent="0.2">
      <c r="A27955" s="258"/>
      <c r="Z27955" s="258"/>
    </row>
    <row r="27956" spans="1:26" ht="12.75" customHeight="1" x14ac:dyDescent="0.2">
      <c r="A27956" s="258"/>
      <c r="Z27956" s="258"/>
    </row>
    <row r="27957" spans="1:26" ht="12.75" customHeight="1" x14ac:dyDescent="0.2">
      <c r="A27957" s="258"/>
      <c r="Z27957" s="258"/>
    </row>
    <row r="27958" spans="1:26" ht="12.75" customHeight="1" x14ac:dyDescent="0.2">
      <c r="A27958" s="258"/>
      <c r="Z27958" s="258"/>
    </row>
    <row r="27959" spans="1:26" ht="12.75" customHeight="1" x14ac:dyDescent="0.2">
      <c r="A27959" s="258"/>
      <c r="Z27959" s="258"/>
    </row>
    <row r="27960" spans="1:26" ht="12.75" customHeight="1" x14ac:dyDescent="0.2">
      <c r="A27960" s="258"/>
      <c r="Z27960" s="258"/>
    </row>
    <row r="27961" spans="1:26" ht="12.75" customHeight="1" x14ac:dyDescent="0.2">
      <c r="A27961" s="258"/>
      <c r="Z27961" s="258"/>
    </row>
    <row r="27962" spans="1:26" ht="12.75" customHeight="1" x14ac:dyDescent="0.2">
      <c r="A27962" s="258"/>
      <c r="Z27962" s="258"/>
    </row>
    <row r="27963" spans="1:26" ht="12.75" customHeight="1" x14ac:dyDescent="0.2">
      <c r="A27963" s="258"/>
      <c r="Z27963" s="258"/>
    </row>
    <row r="27964" spans="1:26" ht="12.75" customHeight="1" x14ac:dyDescent="0.2">
      <c r="A27964" s="258"/>
      <c r="Z27964" s="258"/>
    </row>
    <row r="27965" spans="1:26" ht="12.75" customHeight="1" x14ac:dyDescent="0.2">
      <c r="A27965" s="258"/>
      <c r="Z27965" s="258"/>
    </row>
    <row r="27966" spans="1:26" ht="12.75" customHeight="1" x14ac:dyDescent="0.2">
      <c r="A27966" s="258"/>
      <c r="Z27966" s="258"/>
    </row>
    <row r="27967" spans="1:26" ht="12.75" customHeight="1" x14ac:dyDescent="0.2">
      <c r="A27967" s="258"/>
      <c r="Z27967" s="258"/>
    </row>
    <row r="27968" spans="1:26" ht="12.75" customHeight="1" x14ac:dyDescent="0.2">
      <c r="A27968" s="258"/>
      <c r="Z27968" s="258"/>
    </row>
    <row r="27969" spans="1:26" ht="12.75" customHeight="1" x14ac:dyDescent="0.2">
      <c r="A27969" s="258"/>
      <c r="Z27969" s="258"/>
    </row>
    <row r="27970" spans="1:26" ht="12.75" customHeight="1" x14ac:dyDescent="0.2">
      <c r="A27970" s="258"/>
      <c r="Z27970" s="258"/>
    </row>
    <row r="27971" spans="1:26" ht="12.75" customHeight="1" x14ac:dyDescent="0.2">
      <c r="A27971" s="258"/>
      <c r="Z27971" s="258"/>
    </row>
    <row r="27972" spans="1:26" ht="12.75" customHeight="1" x14ac:dyDescent="0.2">
      <c r="A27972" s="258"/>
      <c r="Z27972" s="258"/>
    </row>
    <row r="27973" spans="1:26" ht="12.75" customHeight="1" x14ac:dyDescent="0.2">
      <c r="A27973" s="258"/>
      <c r="Z27973" s="258"/>
    </row>
    <row r="27974" spans="1:26" ht="12.75" customHeight="1" x14ac:dyDescent="0.2">
      <c r="A27974" s="258"/>
      <c r="Z27974" s="258"/>
    </row>
    <row r="27975" spans="1:26" ht="12.75" customHeight="1" x14ac:dyDescent="0.2">
      <c r="A27975" s="258"/>
      <c r="Z27975" s="258"/>
    </row>
    <row r="27976" spans="1:26" ht="12.75" customHeight="1" x14ac:dyDescent="0.2">
      <c r="A27976" s="258"/>
      <c r="Z27976" s="258"/>
    </row>
    <row r="27977" spans="1:26" ht="12.75" customHeight="1" x14ac:dyDescent="0.2">
      <c r="A27977" s="258"/>
      <c r="Z27977" s="258"/>
    </row>
    <row r="27978" spans="1:26" ht="12.75" customHeight="1" x14ac:dyDescent="0.2">
      <c r="A27978" s="258"/>
      <c r="Z27978" s="258"/>
    </row>
    <row r="27979" spans="1:26" ht="12.75" customHeight="1" x14ac:dyDescent="0.2">
      <c r="A27979" s="258"/>
      <c r="Z27979" s="258"/>
    </row>
    <row r="27980" spans="1:26" ht="12.75" customHeight="1" x14ac:dyDescent="0.2">
      <c r="A27980" s="258"/>
      <c r="Z27980" s="258"/>
    </row>
    <row r="27981" spans="1:26" ht="12.75" customHeight="1" x14ac:dyDescent="0.2">
      <c r="A27981" s="258"/>
      <c r="Z27981" s="258"/>
    </row>
    <row r="27982" spans="1:26" ht="12.75" customHeight="1" x14ac:dyDescent="0.2">
      <c r="A27982" s="258"/>
      <c r="Z27982" s="258"/>
    </row>
    <row r="27983" spans="1:26" ht="12.75" customHeight="1" x14ac:dyDescent="0.2">
      <c r="A27983" s="258"/>
      <c r="Z27983" s="258"/>
    </row>
    <row r="27984" spans="1:26" ht="12.75" customHeight="1" x14ac:dyDescent="0.2">
      <c r="A27984" s="258"/>
      <c r="Z27984" s="258"/>
    </row>
    <row r="27985" spans="1:26" ht="12.75" customHeight="1" x14ac:dyDescent="0.2">
      <c r="A27985" s="258"/>
      <c r="Z27985" s="258"/>
    </row>
    <row r="27986" spans="1:26" ht="12.75" customHeight="1" x14ac:dyDescent="0.2">
      <c r="A27986" s="258"/>
      <c r="Z27986" s="258"/>
    </row>
    <row r="27987" spans="1:26" ht="12.75" customHeight="1" x14ac:dyDescent="0.2">
      <c r="A27987" s="258"/>
      <c r="Z27987" s="258"/>
    </row>
    <row r="27988" spans="1:26" ht="12.75" customHeight="1" x14ac:dyDescent="0.2">
      <c r="A27988" s="258"/>
      <c r="Z27988" s="258"/>
    </row>
    <row r="27989" spans="1:26" ht="12.75" customHeight="1" x14ac:dyDescent="0.2">
      <c r="A27989" s="258"/>
      <c r="Z27989" s="258"/>
    </row>
    <row r="27990" spans="1:26" ht="12.75" customHeight="1" x14ac:dyDescent="0.2">
      <c r="A27990" s="258"/>
      <c r="Z27990" s="258"/>
    </row>
    <row r="27991" spans="1:26" ht="12.75" customHeight="1" x14ac:dyDescent="0.2">
      <c r="A27991" s="258"/>
      <c r="Z27991" s="258"/>
    </row>
    <row r="27992" spans="1:26" ht="12.75" customHeight="1" x14ac:dyDescent="0.2">
      <c r="A27992" s="258"/>
      <c r="Z27992" s="258"/>
    </row>
    <row r="27993" spans="1:26" ht="12.75" customHeight="1" x14ac:dyDescent="0.2">
      <c r="A27993" s="258"/>
      <c r="Z27993" s="258"/>
    </row>
    <row r="27994" spans="1:26" ht="12.75" customHeight="1" x14ac:dyDescent="0.2">
      <c r="A27994" s="258"/>
      <c r="Z27994" s="258"/>
    </row>
    <row r="27995" spans="1:26" ht="12.75" customHeight="1" x14ac:dyDescent="0.2">
      <c r="A27995" s="258"/>
      <c r="Z27995" s="258"/>
    </row>
    <row r="27996" spans="1:26" ht="12.75" customHeight="1" x14ac:dyDescent="0.2">
      <c r="A27996" s="258"/>
      <c r="Z27996" s="258"/>
    </row>
    <row r="27997" spans="1:26" ht="12.75" customHeight="1" x14ac:dyDescent="0.2">
      <c r="A27997" s="258"/>
      <c r="Z27997" s="258"/>
    </row>
    <row r="27998" spans="1:26" ht="12.75" customHeight="1" x14ac:dyDescent="0.2">
      <c r="A27998" s="258"/>
      <c r="Z27998" s="258"/>
    </row>
    <row r="27999" spans="1:26" ht="12.75" customHeight="1" x14ac:dyDescent="0.2">
      <c r="A27999" s="258"/>
      <c r="Z27999" s="258"/>
    </row>
    <row r="28000" spans="1:26" ht="12.75" customHeight="1" x14ac:dyDescent="0.2">
      <c r="A28000" s="258"/>
      <c r="Z28000" s="258"/>
    </row>
    <row r="28001" spans="1:26" ht="12.75" customHeight="1" x14ac:dyDescent="0.2">
      <c r="A28001" s="258"/>
      <c r="Z28001" s="258"/>
    </row>
    <row r="28002" spans="1:26" ht="12.75" customHeight="1" x14ac:dyDescent="0.2">
      <c r="A28002" s="258"/>
      <c r="Z28002" s="258"/>
    </row>
    <row r="28003" spans="1:26" ht="12.75" customHeight="1" x14ac:dyDescent="0.2">
      <c r="A28003" s="258"/>
      <c r="Z28003" s="258"/>
    </row>
    <row r="28004" spans="1:26" ht="12.75" customHeight="1" x14ac:dyDescent="0.2">
      <c r="A28004" s="258"/>
      <c r="Z28004" s="258"/>
    </row>
    <row r="28005" spans="1:26" ht="12.75" customHeight="1" x14ac:dyDescent="0.2">
      <c r="A28005" s="258"/>
      <c r="Z28005" s="258"/>
    </row>
    <row r="28006" spans="1:26" ht="12.75" customHeight="1" x14ac:dyDescent="0.2">
      <c r="A28006" s="258"/>
      <c r="Z28006" s="258"/>
    </row>
    <row r="28007" spans="1:26" ht="12.75" customHeight="1" x14ac:dyDescent="0.2">
      <c r="A28007" s="258"/>
      <c r="Z28007" s="258"/>
    </row>
    <row r="28008" spans="1:26" ht="12.75" customHeight="1" x14ac:dyDescent="0.2">
      <c r="A28008" s="258"/>
      <c r="Z28008" s="258"/>
    </row>
    <row r="28009" spans="1:26" ht="12.75" customHeight="1" x14ac:dyDescent="0.2">
      <c r="A28009" s="258"/>
      <c r="Z28009" s="258"/>
    </row>
    <row r="28010" spans="1:26" ht="12.75" customHeight="1" x14ac:dyDescent="0.2">
      <c r="A28010" s="258"/>
      <c r="Z28010" s="258"/>
    </row>
    <row r="28011" spans="1:26" ht="12.75" customHeight="1" x14ac:dyDescent="0.2">
      <c r="A28011" s="258"/>
      <c r="Z28011" s="258"/>
    </row>
    <row r="28012" spans="1:26" ht="12.75" customHeight="1" x14ac:dyDescent="0.2">
      <c r="A28012" s="258"/>
      <c r="Z28012" s="258"/>
    </row>
    <row r="28013" spans="1:26" ht="12.75" customHeight="1" x14ac:dyDescent="0.2">
      <c r="A28013" s="258"/>
      <c r="Z28013" s="258"/>
    </row>
    <row r="28014" spans="1:26" ht="12.75" customHeight="1" x14ac:dyDescent="0.2">
      <c r="A28014" s="258"/>
      <c r="Z28014" s="258"/>
    </row>
    <row r="28015" spans="1:26" ht="12.75" customHeight="1" x14ac:dyDescent="0.2">
      <c r="A28015" s="258"/>
      <c r="Z28015" s="258"/>
    </row>
    <row r="28016" spans="1:26" ht="12.75" customHeight="1" x14ac:dyDescent="0.2">
      <c r="A28016" s="258"/>
      <c r="Z28016" s="258"/>
    </row>
    <row r="28017" spans="1:26" ht="12.75" customHeight="1" x14ac:dyDescent="0.2">
      <c r="A28017" s="258"/>
      <c r="Z28017" s="258"/>
    </row>
    <row r="28018" spans="1:26" ht="12.75" customHeight="1" x14ac:dyDescent="0.2">
      <c r="A28018" s="258"/>
      <c r="Z28018" s="258"/>
    </row>
    <row r="28019" spans="1:26" ht="12.75" customHeight="1" x14ac:dyDescent="0.2">
      <c r="A28019" s="258"/>
      <c r="Z28019" s="258"/>
    </row>
    <row r="28020" spans="1:26" ht="12.75" customHeight="1" x14ac:dyDescent="0.2">
      <c r="A28020" s="258"/>
      <c r="Z28020" s="258"/>
    </row>
    <row r="28021" spans="1:26" ht="12.75" customHeight="1" x14ac:dyDescent="0.2">
      <c r="A28021" s="258"/>
      <c r="Z28021" s="258"/>
    </row>
    <row r="28022" spans="1:26" ht="12.75" customHeight="1" x14ac:dyDescent="0.2">
      <c r="A28022" s="258"/>
      <c r="Z28022" s="258"/>
    </row>
    <row r="28023" spans="1:26" ht="12.75" customHeight="1" x14ac:dyDescent="0.2">
      <c r="A28023" s="258"/>
      <c r="Z28023" s="258"/>
    </row>
    <row r="28024" spans="1:26" ht="12.75" customHeight="1" x14ac:dyDescent="0.2">
      <c r="A28024" s="258"/>
      <c r="Z28024" s="258"/>
    </row>
    <row r="28025" spans="1:26" ht="12.75" customHeight="1" x14ac:dyDescent="0.2">
      <c r="A28025" s="258"/>
      <c r="Z28025" s="258"/>
    </row>
    <row r="28026" spans="1:26" ht="12.75" customHeight="1" x14ac:dyDescent="0.2">
      <c r="A28026" s="258"/>
      <c r="Z28026" s="258"/>
    </row>
    <row r="28027" spans="1:26" ht="12.75" customHeight="1" x14ac:dyDescent="0.2">
      <c r="A28027" s="258"/>
      <c r="Z28027" s="258"/>
    </row>
    <row r="28028" spans="1:26" ht="12.75" customHeight="1" x14ac:dyDescent="0.2">
      <c r="A28028" s="258"/>
      <c r="Z28028" s="258"/>
    </row>
    <row r="28029" spans="1:26" ht="12.75" customHeight="1" x14ac:dyDescent="0.2">
      <c r="A28029" s="258"/>
      <c r="Z28029" s="258"/>
    </row>
    <row r="28030" spans="1:26" ht="12.75" customHeight="1" x14ac:dyDescent="0.2">
      <c r="A28030" s="258"/>
      <c r="Z28030" s="258"/>
    </row>
    <row r="28031" spans="1:26" ht="12.75" customHeight="1" x14ac:dyDescent="0.2">
      <c r="A28031" s="258"/>
      <c r="Z28031" s="258"/>
    </row>
    <row r="28032" spans="1:26" ht="12.75" customHeight="1" x14ac:dyDescent="0.2">
      <c r="A28032" s="258"/>
      <c r="Z28032" s="258"/>
    </row>
    <row r="28033" spans="1:26" ht="12.75" customHeight="1" x14ac:dyDescent="0.2">
      <c r="A28033" s="258"/>
      <c r="Z28033" s="258"/>
    </row>
    <row r="28034" spans="1:26" ht="12.75" customHeight="1" x14ac:dyDescent="0.2">
      <c r="A28034" s="258"/>
      <c r="Z28034" s="258"/>
    </row>
    <row r="28035" spans="1:26" ht="12.75" customHeight="1" x14ac:dyDescent="0.2">
      <c r="A28035" s="258"/>
      <c r="Z28035" s="258"/>
    </row>
    <row r="28036" spans="1:26" ht="12.75" customHeight="1" x14ac:dyDescent="0.2">
      <c r="A28036" s="258"/>
      <c r="Z28036" s="258"/>
    </row>
    <row r="28037" spans="1:26" ht="12.75" customHeight="1" x14ac:dyDescent="0.2">
      <c r="A28037" s="258"/>
      <c r="Z28037" s="258"/>
    </row>
    <row r="28038" spans="1:26" ht="12.75" customHeight="1" x14ac:dyDescent="0.2">
      <c r="A28038" s="258"/>
      <c r="Z28038" s="258"/>
    </row>
    <row r="28039" spans="1:26" ht="12.75" customHeight="1" x14ac:dyDescent="0.2">
      <c r="A28039" s="258"/>
      <c r="Z28039" s="258"/>
    </row>
    <row r="28040" spans="1:26" ht="12.75" customHeight="1" x14ac:dyDescent="0.2">
      <c r="A28040" s="258"/>
      <c r="Z28040" s="258"/>
    </row>
    <row r="28041" spans="1:26" ht="12.75" customHeight="1" x14ac:dyDescent="0.2">
      <c r="A28041" s="258"/>
      <c r="Z28041" s="258"/>
    </row>
    <row r="28042" spans="1:26" ht="12.75" customHeight="1" x14ac:dyDescent="0.2">
      <c r="A28042" s="258"/>
      <c r="Z28042" s="258"/>
    </row>
    <row r="28043" spans="1:26" ht="12.75" customHeight="1" x14ac:dyDescent="0.2">
      <c r="A28043" s="258"/>
      <c r="Z28043" s="258"/>
    </row>
    <row r="28044" spans="1:26" ht="12.75" customHeight="1" x14ac:dyDescent="0.2">
      <c r="A28044" s="258"/>
      <c r="Z28044" s="258"/>
    </row>
    <row r="28045" spans="1:26" ht="12.75" customHeight="1" x14ac:dyDescent="0.2">
      <c r="A28045" s="258"/>
      <c r="Z28045" s="258"/>
    </row>
    <row r="28046" spans="1:26" ht="12.75" customHeight="1" x14ac:dyDescent="0.2">
      <c r="A28046" s="258"/>
      <c r="Z28046" s="258"/>
    </row>
    <row r="28047" spans="1:26" ht="12.75" customHeight="1" x14ac:dyDescent="0.2">
      <c r="A28047" s="258"/>
      <c r="Z28047" s="258"/>
    </row>
    <row r="28048" spans="1:26" ht="12.75" customHeight="1" x14ac:dyDescent="0.2">
      <c r="A28048" s="258"/>
      <c r="Z28048" s="258"/>
    </row>
    <row r="28049" spans="1:26" ht="12.75" customHeight="1" x14ac:dyDescent="0.2">
      <c r="A28049" s="258"/>
      <c r="Z28049" s="258"/>
    </row>
    <row r="28050" spans="1:26" ht="12.75" customHeight="1" x14ac:dyDescent="0.2">
      <c r="A28050" s="258"/>
      <c r="Z28050" s="258"/>
    </row>
    <row r="28051" spans="1:26" ht="12.75" customHeight="1" x14ac:dyDescent="0.2">
      <c r="A28051" s="258"/>
      <c r="Z28051" s="258"/>
    </row>
    <row r="28052" spans="1:26" ht="12.75" customHeight="1" x14ac:dyDescent="0.2">
      <c r="A28052" s="258"/>
      <c r="Z28052" s="258"/>
    </row>
    <row r="28053" spans="1:26" ht="12.75" customHeight="1" x14ac:dyDescent="0.2">
      <c r="A28053" s="258"/>
      <c r="Z28053" s="258"/>
    </row>
    <row r="28054" spans="1:26" ht="12.75" customHeight="1" x14ac:dyDescent="0.2">
      <c r="A28054" s="258"/>
      <c r="Z28054" s="258"/>
    </row>
    <row r="28055" spans="1:26" ht="12.75" customHeight="1" x14ac:dyDescent="0.2">
      <c r="A28055" s="258"/>
      <c r="Z28055" s="258"/>
    </row>
    <row r="28056" spans="1:26" ht="12.75" customHeight="1" x14ac:dyDescent="0.2">
      <c r="A28056" s="258"/>
      <c r="Z28056" s="258"/>
    </row>
    <row r="28057" spans="1:26" ht="12.75" customHeight="1" x14ac:dyDescent="0.2">
      <c r="A28057" s="258"/>
      <c r="Z28057" s="258"/>
    </row>
    <row r="28058" spans="1:26" ht="12.75" customHeight="1" x14ac:dyDescent="0.2">
      <c r="A28058" s="258"/>
      <c r="Z28058" s="258"/>
    </row>
    <row r="28059" spans="1:26" ht="12.75" customHeight="1" x14ac:dyDescent="0.2">
      <c r="A28059" s="258"/>
      <c r="Z28059" s="258"/>
    </row>
    <row r="28060" spans="1:26" ht="12.75" customHeight="1" x14ac:dyDescent="0.2">
      <c r="A28060" s="258"/>
      <c r="Z28060" s="258"/>
    </row>
    <row r="28061" spans="1:26" ht="12.75" customHeight="1" x14ac:dyDescent="0.2">
      <c r="A28061" s="258"/>
      <c r="Z28061" s="258"/>
    </row>
    <row r="28062" spans="1:26" ht="12.75" customHeight="1" x14ac:dyDescent="0.2">
      <c r="A28062" s="258"/>
      <c r="Z28062" s="258"/>
    </row>
    <row r="28063" spans="1:26" ht="12.75" customHeight="1" x14ac:dyDescent="0.2">
      <c r="A28063" s="258"/>
      <c r="Z28063" s="258"/>
    </row>
    <row r="28064" spans="1:26" ht="12.75" customHeight="1" x14ac:dyDescent="0.2">
      <c r="A28064" s="258"/>
      <c r="Z28064" s="258"/>
    </row>
    <row r="28065" spans="1:26" ht="12.75" customHeight="1" x14ac:dyDescent="0.2">
      <c r="A28065" s="258"/>
      <c r="Z28065" s="258"/>
    </row>
    <row r="28066" spans="1:26" ht="12.75" customHeight="1" x14ac:dyDescent="0.2">
      <c r="A28066" s="258"/>
      <c r="Z28066" s="258"/>
    </row>
    <row r="28067" spans="1:26" ht="12.75" customHeight="1" x14ac:dyDescent="0.2">
      <c r="A28067" s="258"/>
      <c r="Z28067" s="258"/>
    </row>
    <row r="28068" spans="1:26" ht="12.75" customHeight="1" x14ac:dyDescent="0.2">
      <c r="A28068" s="258"/>
      <c r="Z28068" s="258"/>
    </row>
    <row r="28069" spans="1:26" ht="12.75" customHeight="1" x14ac:dyDescent="0.2">
      <c r="A28069" s="258"/>
      <c r="Z28069" s="258"/>
    </row>
    <row r="28070" spans="1:26" ht="12.75" customHeight="1" x14ac:dyDescent="0.2">
      <c r="A28070" s="258"/>
      <c r="Z28070" s="258"/>
    </row>
    <row r="28071" spans="1:26" ht="12.75" customHeight="1" x14ac:dyDescent="0.2">
      <c r="A28071" s="258"/>
      <c r="Z28071" s="258"/>
    </row>
    <row r="28072" spans="1:26" ht="12.75" customHeight="1" x14ac:dyDescent="0.2">
      <c r="A28072" s="258"/>
      <c r="Z28072" s="258"/>
    </row>
    <row r="28073" spans="1:26" ht="12.75" customHeight="1" x14ac:dyDescent="0.2">
      <c r="A28073" s="258"/>
      <c r="Z28073" s="258"/>
    </row>
    <row r="28074" spans="1:26" ht="12.75" customHeight="1" x14ac:dyDescent="0.2">
      <c r="A28074" s="258"/>
      <c r="Z28074" s="258"/>
    </row>
    <row r="28075" spans="1:26" ht="12.75" customHeight="1" x14ac:dyDescent="0.2">
      <c r="A28075" s="258"/>
      <c r="Z28075" s="258"/>
    </row>
    <row r="28076" spans="1:26" ht="12.75" customHeight="1" x14ac:dyDescent="0.2">
      <c r="A28076" s="258"/>
      <c r="Z28076" s="258"/>
    </row>
    <row r="28077" spans="1:26" ht="12.75" customHeight="1" x14ac:dyDescent="0.2">
      <c r="A28077" s="258"/>
      <c r="Z28077" s="258"/>
    </row>
    <row r="28078" spans="1:26" ht="12.75" customHeight="1" x14ac:dyDescent="0.2">
      <c r="A28078" s="258"/>
      <c r="Z28078" s="258"/>
    </row>
    <row r="28079" spans="1:26" ht="12.75" customHeight="1" x14ac:dyDescent="0.2">
      <c r="A28079" s="258"/>
      <c r="Z28079" s="258"/>
    </row>
    <row r="28080" spans="1:26" ht="12.75" customHeight="1" x14ac:dyDescent="0.2">
      <c r="A28080" s="258"/>
      <c r="Z28080" s="258"/>
    </row>
    <row r="28081" spans="1:26" ht="12.75" customHeight="1" x14ac:dyDescent="0.2">
      <c r="A28081" s="258"/>
      <c r="Z28081" s="258"/>
    </row>
    <row r="28082" spans="1:26" ht="12.75" customHeight="1" x14ac:dyDescent="0.2">
      <c r="A28082" s="258"/>
      <c r="Z28082" s="258"/>
    </row>
    <row r="28083" spans="1:26" ht="12.75" customHeight="1" x14ac:dyDescent="0.2">
      <c r="A28083" s="258"/>
      <c r="Z28083" s="258"/>
    </row>
    <row r="28084" spans="1:26" ht="12.75" customHeight="1" x14ac:dyDescent="0.2">
      <c r="A28084" s="258"/>
      <c r="Z28084" s="258"/>
    </row>
    <row r="28085" spans="1:26" ht="12.75" customHeight="1" x14ac:dyDescent="0.2">
      <c r="A28085" s="258"/>
      <c r="Z28085" s="258"/>
    </row>
    <row r="28086" spans="1:26" ht="12.75" customHeight="1" x14ac:dyDescent="0.2">
      <c r="A28086" s="258"/>
      <c r="Z28086" s="258"/>
    </row>
    <row r="28087" spans="1:26" ht="12.75" customHeight="1" x14ac:dyDescent="0.2">
      <c r="A28087" s="258"/>
      <c r="Z28087" s="258"/>
    </row>
    <row r="28088" spans="1:26" ht="12.75" customHeight="1" x14ac:dyDescent="0.2">
      <c r="A28088" s="258"/>
      <c r="Z28088" s="258"/>
    </row>
    <row r="28089" spans="1:26" ht="12.75" customHeight="1" x14ac:dyDescent="0.2">
      <c r="A28089" s="258"/>
      <c r="Z28089" s="258"/>
    </row>
    <row r="28090" spans="1:26" ht="12.75" customHeight="1" x14ac:dyDescent="0.2">
      <c r="A28090" s="258"/>
      <c r="Z28090" s="258"/>
    </row>
    <row r="28091" spans="1:26" ht="12.75" customHeight="1" x14ac:dyDescent="0.2">
      <c r="A28091" s="258"/>
      <c r="Z28091" s="258"/>
    </row>
    <row r="28092" spans="1:26" ht="12.75" customHeight="1" x14ac:dyDescent="0.2">
      <c r="A28092" s="258"/>
      <c r="Z28092" s="258"/>
    </row>
    <row r="28093" spans="1:26" ht="12.75" customHeight="1" x14ac:dyDescent="0.2">
      <c r="A28093" s="258"/>
      <c r="Z28093" s="258"/>
    </row>
    <row r="28094" spans="1:26" ht="12.75" customHeight="1" x14ac:dyDescent="0.2">
      <c r="A28094" s="258"/>
      <c r="Z28094" s="258"/>
    </row>
    <row r="28095" spans="1:26" ht="12.75" customHeight="1" x14ac:dyDescent="0.2">
      <c r="A28095" s="258"/>
      <c r="Z28095" s="258"/>
    </row>
    <row r="28096" spans="1:26" ht="12.75" customHeight="1" x14ac:dyDescent="0.2">
      <c r="A28096" s="258"/>
      <c r="Z28096" s="258"/>
    </row>
    <row r="28097" spans="1:26" ht="12.75" customHeight="1" x14ac:dyDescent="0.2">
      <c r="A28097" s="258"/>
      <c r="Z28097" s="258"/>
    </row>
    <row r="28098" spans="1:26" ht="12.75" customHeight="1" x14ac:dyDescent="0.2">
      <c r="A28098" s="258"/>
      <c r="Z28098" s="258"/>
    </row>
    <row r="28099" spans="1:26" ht="12.75" customHeight="1" x14ac:dyDescent="0.2">
      <c r="A28099" s="258"/>
      <c r="Z28099" s="258"/>
    </row>
    <row r="28100" spans="1:26" ht="12.75" customHeight="1" x14ac:dyDescent="0.2">
      <c r="A28100" s="258"/>
      <c r="Z28100" s="258"/>
    </row>
    <row r="28101" spans="1:26" ht="12.75" customHeight="1" x14ac:dyDescent="0.2">
      <c r="A28101" s="258"/>
      <c r="Z28101" s="258"/>
    </row>
    <row r="28102" spans="1:26" ht="12.75" customHeight="1" x14ac:dyDescent="0.2">
      <c r="A28102" s="258"/>
      <c r="Z28102" s="258"/>
    </row>
    <row r="28103" spans="1:26" ht="12.75" customHeight="1" x14ac:dyDescent="0.2">
      <c r="A28103" s="258"/>
      <c r="Z28103" s="258"/>
    </row>
    <row r="28104" spans="1:26" ht="12.75" customHeight="1" x14ac:dyDescent="0.2">
      <c r="A28104" s="258"/>
      <c r="Z28104" s="258"/>
    </row>
    <row r="28105" spans="1:26" ht="12.75" customHeight="1" x14ac:dyDescent="0.2">
      <c r="A28105" s="258"/>
      <c r="Z28105" s="258"/>
    </row>
    <row r="28106" spans="1:26" ht="12.75" customHeight="1" x14ac:dyDescent="0.2">
      <c r="A28106" s="258"/>
      <c r="Z28106" s="258"/>
    </row>
    <row r="28107" spans="1:26" ht="12.75" customHeight="1" x14ac:dyDescent="0.2">
      <c r="A28107" s="258"/>
      <c r="Z28107" s="258"/>
    </row>
    <row r="28108" spans="1:26" ht="12.75" customHeight="1" x14ac:dyDescent="0.2">
      <c r="A28108" s="258"/>
      <c r="Z28108" s="258"/>
    </row>
    <row r="28109" spans="1:26" ht="12.75" customHeight="1" x14ac:dyDescent="0.2">
      <c r="A28109" s="258"/>
      <c r="Z28109" s="258"/>
    </row>
    <row r="28110" spans="1:26" ht="12.75" customHeight="1" x14ac:dyDescent="0.2">
      <c r="A28110" s="258"/>
      <c r="Z28110" s="258"/>
    </row>
    <row r="28111" spans="1:26" ht="12.75" customHeight="1" x14ac:dyDescent="0.2">
      <c r="A28111" s="258"/>
      <c r="Z28111" s="258"/>
    </row>
    <row r="28112" spans="1:26" ht="12.75" customHeight="1" x14ac:dyDescent="0.2">
      <c r="A28112" s="258"/>
      <c r="Z28112" s="258"/>
    </row>
    <row r="28113" spans="1:26" ht="12.75" customHeight="1" x14ac:dyDescent="0.2">
      <c r="A28113" s="258"/>
      <c r="Z28113" s="258"/>
    </row>
    <row r="28114" spans="1:26" ht="12.75" customHeight="1" x14ac:dyDescent="0.2">
      <c r="A28114" s="258"/>
      <c r="Z28114" s="258"/>
    </row>
    <row r="28115" spans="1:26" ht="12.75" customHeight="1" x14ac:dyDescent="0.2">
      <c r="A28115" s="258"/>
      <c r="Z28115" s="258"/>
    </row>
    <row r="28116" spans="1:26" ht="12.75" customHeight="1" x14ac:dyDescent="0.2">
      <c r="A28116" s="258"/>
      <c r="Z28116" s="258"/>
    </row>
    <row r="28117" spans="1:26" ht="12.75" customHeight="1" x14ac:dyDescent="0.2">
      <c r="A28117" s="258"/>
      <c r="Z28117" s="258"/>
    </row>
    <row r="28118" spans="1:26" ht="12.75" customHeight="1" x14ac:dyDescent="0.2">
      <c r="A28118" s="258"/>
      <c r="Z28118" s="258"/>
    </row>
    <row r="28119" spans="1:26" ht="12.75" customHeight="1" x14ac:dyDescent="0.2">
      <c r="A28119" s="258"/>
      <c r="Z28119" s="258"/>
    </row>
    <row r="28120" spans="1:26" ht="12.75" customHeight="1" x14ac:dyDescent="0.2">
      <c r="A28120" s="258"/>
      <c r="Z28120" s="258"/>
    </row>
    <row r="28121" spans="1:26" ht="12.75" customHeight="1" x14ac:dyDescent="0.2">
      <c r="A28121" s="258"/>
      <c r="Z28121" s="258"/>
    </row>
    <row r="28122" spans="1:26" ht="12.75" customHeight="1" x14ac:dyDescent="0.2">
      <c r="A28122" s="258"/>
      <c r="Z28122" s="258"/>
    </row>
    <row r="28123" spans="1:26" ht="12.75" customHeight="1" x14ac:dyDescent="0.2">
      <c r="A28123" s="258"/>
      <c r="Z28123" s="258"/>
    </row>
    <row r="28124" spans="1:26" ht="12.75" customHeight="1" x14ac:dyDescent="0.2">
      <c r="A28124" s="258"/>
      <c r="Z28124" s="258"/>
    </row>
    <row r="28125" spans="1:26" ht="12.75" customHeight="1" x14ac:dyDescent="0.2">
      <c r="A28125" s="258"/>
      <c r="Z28125" s="258"/>
    </row>
    <row r="28126" spans="1:26" ht="12.75" customHeight="1" x14ac:dyDescent="0.2">
      <c r="A28126" s="258"/>
      <c r="Z28126" s="258"/>
    </row>
    <row r="28127" spans="1:26" ht="12.75" customHeight="1" x14ac:dyDescent="0.2">
      <c r="A28127" s="258"/>
      <c r="Z28127" s="258"/>
    </row>
    <row r="28128" spans="1:26" ht="12.75" customHeight="1" x14ac:dyDescent="0.2">
      <c r="A28128" s="258"/>
      <c r="Z28128" s="258"/>
    </row>
    <row r="28129" spans="1:26" ht="12.75" customHeight="1" x14ac:dyDescent="0.2">
      <c r="A28129" s="258"/>
      <c r="Z28129" s="258"/>
    </row>
    <row r="28130" spans="1:26" ht="12.75" customHeight="1" x14ac:dyDescent="0.2">
      <c r="A28130" s="258"/>
      <c r="Z28130" s="258"/>
    </row>
    <row r="28131" spans="1:26" ht="12.75" customHeight="1" x14ac:dyDescent="0.2">
      <c r="A28131" s="258"/>
      <c r="Z28131" s="258"/>
    </row>
    <row r="28132" spans="1:26" ht="12.75" customHeight="1" x14ac:dyDescent="0.2">
      <c r="A28132" s="258"/>
      <c r="Z28132" s="258"/>
    </row>
    <row r="28133" spans="1:26" ht="12.75" customHeight="1" x14ac:dyDescent="0.2">
      <c r="A28133" s="258"/>
      <c r="Z28133" s="258"/>
    </row>
    <row r="28134" spans="1:26" ht="12.75" customHeight="1" x14ac:dyDescent="0.2">
      <c r="A28134" s="258"/>
      <c r="Z28134" s="258"/>
    </row>
    <row r="28135" spans="1:26" ht="12.75" customHeight="1" x14ac:dyDescent="0.2">
      <c r="A28135" s="258"/>
      <c r="Z28135" s="258"/>
    </row>
    <row r="28136" spans="1:26" ht="12.75" customHeight="1" x14ac:dyDescent="0.2">
      <c r="A28136" s="258"/>
      <c r="Z28136" s="258"/>
    </row>
    <row r="28137" spans="1:26" ht="12.75" customHeight="1" x14ac:dyDescent="0.2">
      <c r="A28137" s="258"/>
      <c r="Z28137" s="258"/>
    </row>
    <row r="28138" spans="1:26" ht="12.75" customHeight="1" x14ac:dyDescent="0.2">
      <c r="A28138" s="258"/>
      <c r="Z28138" s="258"/>
    </row>
    <row r="28139" spans="1:26" ht="12.75" customHeight="1" x14ac:dyDescent="0.2">
      <c r="A28139" s="258"/>
      <c r="Z28139" s="258"/>
    </row>
    <row r="28140" spans="1:26" ht="12.75" customHeight="1" x14ac:dyDescent="0.2">
      <c r="A28140" s="258"/>
      <c r="Z28140" s="258"/>
    </row>
    <row r="28141" spans="1:26" ht="12.75" customHeight="1" x14ac:dyDescent="0.2">
      <c r="A28141" s="258"/>
      <c r="Z28141" s="258"/>
    </row>
    <row r="28142" spans="1:26" ht="12.75" customHeight="1" x14ac:dyDescent="0.2">
      <c r="A28142" s="258"/>
      <c r="Z28142" s="258"/>
    </row>
    <row r="28143" spans="1:26" ht="12.75" customHeight="1" x14ac:dyDescent="0.2">
      <c r="A28143" s="258"/>
      <c r="Z28143" s="258"/>
    </row>
    <row r="28144" spans="1:26" ht="12.75" customHeight="1" x14ac:dyDescent="0.2">
      <c r="A28144" s="258"/>
      <c r="Z28144" s="258"/>
    </row>
    <row r="28145" spans="1:26" ht="12.75" customHeight="1" x14ac:dyDescent="0.2">
      <c r="A28145" s="258"/>
      <c r="Z28145" s="258"/>
    </row>
    <row r="28146" spans="1:26" ht="12.75" customHeight="1" x14ac:dyDescent="0.2">
      <c r="A28146" s="258"/>
      <c r="Z28146" s="258"/>
    </row>
    <row r="28147" spans="1:26" ht="12.75" customHeight="1" x14ac:dyDescent="0.2">
      <c r="A28147" s="258"/>
      <c r="Z28147" s="258"/>
    </row>
    <row r="28148" spans="1:26" ht="12.75" customHeight="1" x14ac:dyDescent="0.2">
      <c r="A28148" s="258"/>
      <c r="Z28148" s="258"/>
    </row>
    <row r="28149" spans="1:26" ht="12.75" customHeight="1" x14ac:dyDescent="0.2">
      <c r="A28149" s="258"/>
      <c r="Z28149" s="258"/>
    </row>
    <row r="28150" spans="1:26" ht="12.75" customHeight="1" x14ac:dyDescent="0.2">
      <c r="A28150" s="258"/>
      <c r="Z28150" s="258"/>
    </row>
    <row r="28151" spans="1:26" ht="12.75" customHeight="1" x14ac:dyDescent="0.2">
      <c r="A28151" s="258"/>
      <c r="Z28151" s="258"/>
    </row>
    <row r="28152" spans="1:26" ht="12.75" customHeight="1" x14ac:dyDescent="0.2">
      <c r="A28152" s="258"/>
      <c r="Z28152" s="258"/>
    </row>
    <row r="28153" spans="1:26" ht="12.75" customHeight="1" x14ac:dyDescent="0.2">
      <c r="A28153" s="258"/>
      <c r="Z28153" s="258"/>
    </row>
    <row r="28154" spans="1:26" ht="12.75" customHeight="1" x14ac:dyDescent="0.2">
      <c r="A28154" s="258"/>
      <c r="Z28154" s="258"/>
    </row>
    <row r="28155" spans="1:26" ht="12.75" customHeight="1" x14ac:dyDescent="0.2">
      <c r="A28155" s="258"/>
      <c r="Z28155" s="258"/>
    </row>
    <row r="28156" spans="1:26" ht="12.75" customHeight="1" x14ac:dyDescent="0.2">
      <c r="A28156" s="258"/>
      <c r="Z28156" s="258"/>
    </row>
    <row r="28157" spans="1:26" ht="12.75" customHeight="1" x14ac:dyDescent="0.2">
      <c r="A28157" s="258"/>
      <c r="Z28157" s="258"/>
    </row>
    <row r="28158" spans="1:26" ht="12.75" customHeight="1" x14ac:dyDescent="0.2">
      <c r="A28158" s="258"/>
      <c r="Z28158" s="258"/>
    </row>
    <row r="28159" spans="1:26" ht="12.75" customHeight="1" x14ac:dyDescent="0.2">
      <c r="A28159" s="258"/>
      <c r="Z28159" s="258"/>
    </row>
    <row r="28160" spans="1:26" ht="12.75" customHeight="1" x14ac:dyDescent="0.2">
      <c r="A28160" s="258"/>
      <c r="Z28160" s="258"/>
    </row>
    <row r="28161" spans="1:26" ht="12.75" customHeight="1" x14ac:dyDescent="0.2">
      <c r="A28161" s="258"/>
      <c r="Z28161" s="258"/>
    </row>
    <row r="28162" spans="1:26" ht="12.75" customHeight="1" x14ac:dyDescent="0.2">
      <c r="A28162" s="258"/>
      <c r="Z28162" s="258"/>
    </row>
    <row r="28163" spans="1:26" ht="12.75" customHeight="1" x14ac:dyDescent="0.2">
      <c r="A28163" s="258"/>
      <c r="Z28163" s="258"/>
    </row>
    <row r="28164" spans="1:26" ht="12.75" customHeight="1" x14ac:dyDescent="0.2">
      <c r="A28164" s="258"/>
      <c r="Z28164" s="258"/>
    </row>
    <row r="28165" spans="1:26" ht="12.75" customHeight="1" x14ac:dyDescent="0.2">
      <c r="A28165" s="258"/>
      <c r="Z28165" s="258"/>
    </row>
    <row r="28166" spans="1:26" ht="12.75" customHeight="1" x14ac:dyDescent="0.2">
      <c r="A28166" s="258"/>
      <c r="Z28166" s="258"/>
    </row>
    <row r="28167" spans="1:26" ht="12.75" customHeight="1" x14ac:dyDescent="0.2">
      <c r="A28167" s="258"/>
      <c r="Z28167" s="258"/>
    </row>
    <row r="28168" spans="1:26" ht="12.75" customHeight="1" x14ac:dyDescent="0.2">
      <c r="A28168" s="258"/>
      <c r="Z28168" s="258"/>
    </row>
    <row r="28169" spans="1:26" ht="12.75" customHeight="1" x14ac:dyDescent="0.2">
      <c r="A28169" s="258"/>
      <c r="Z28169" s="258"/>
    </row>
    <row r="28170" spans="1:26" ht="12.75" customHeight="1" x14ac:dyDescent="0.2">
      <c r="A28170" s="258"/>
      <c r="Z28170" s="258"/>
    </row>
    <row r="28171" spans="1:26" ht="12.75" customHeight="1" x14ac:dyDescent="0.2">
      <c r="A28171" s="258"/>
      <c r="Z28171" s="258"/>
    </row>
    <row r="28172" spans="1:26" ht="12.75" customHeight="1" x14ac:dyDescent="0.2">
      <c r="A28172" s="258"/>
      <c r="Z28172" s="258"/>
    </row>
    <row r="28173" spans="1:26" ht="12.75" customHeight="1" x14ac:dyDescent="0.2">
      <c r="A28173" s="258"/>
      <c r="Z28173" s="258"/>
    </row>
    <row r="28174" spans="1:26" ht="12.75" customHeight="1" x14ac:dyDescent="0.2">
      <c r="A28174" s="258"/>
      <c r="Z28174" s="258"/>
    </row>
    <row r="28175" spans="1:26" ht="12.75" customHeight="1" x14ac:dyDescent="0.2">
      <c r="A28175" s="258"/>
      <c r="Z28175" s="258"/>
    </row>
    <row r="28176" spans="1:26" ht="12.75" customHeight="1" x14ac:dyDescent="0.2">
      <c r="A28176" s="258"/>
      <c r="Z28176" s="258"/>
    </row>
    <row r="28177" spans="1:26" ht="12.75" customHeight="1" x14ac:dyDescent="0.2">
      <c r="A28177" s="258"/>
      <c r="Z28177" s="258"/>
    </row>
    <row r="28178" spans="1:26" ht="12.75" customHeight="1" x14ac:dyDescent="0.2">
      <c r="A28178" s="258"/>
      <c r="Z28178" s="258"/>
    </row>
    <row r="28179" spans="1:26" ht="12.75" customHeight="1" x14ac:dyDescent="0.2">
      <c r="A28179" s="258"/>
      <c r="Z28179" s="258"/>
    </row>
    <row r="28180" spans="1:26" ht="12.75" customHeight="1" x14ac:dyDescent="0.2">
      <c r="A28180" s="258"/>
      <c r="Z28180" s="258"/>
    </row>
    <row r="28181" spans="1:26" ht="12.75" customHeight="1" x14ac:dyDescent="0.2">
      <c r="A28181" s="258"/>
      <c r="Z28181" s="258"/>
    </row>
    <row r="28182" spans="1:26" ht="12.75" customHeight="1" x14ac:dyDescent="0.2">
      <c r="A28182" s="258"/>
      <c r="Z28182" s="258"/>
    </row>
    <row r="28183" spans="1:26" ht="12.75" customHeight="1" x14ac:dyDescent="0.2">
      <c r="A28183" s="258"/>
      <c r="Z28183" s="258"/>
    </row>
    <row r="28184" spans="1:26" ht="12.75" customHeight="1" x14ac:dyDescent="0.2">
      <c r="A28184" s="258"/>
      <c r="Z28184" s="258"/>
    </row>
    <row r="28185" spans="1:26" ht="12.75" customHeight="1" x14ac:dyDescent="0.2">
      <c r="A28185" s="258"/>
      <c r="Z28185" s="258"/>
    </row>
    <row r="28186" spans="1:26" ht="12.75" customHeight="1" x14ac:dyDescent="0.2">
      <c r="A28186" s="258"/>
      <c r="Z28186" s="258"/>
    </row>
    <row r="28187" spans="1:26" ht="12.75" customHeight="1" x14ac:dyDescent="0.2">
      <c r="A28187" s="258"/>
      <c r="Z28187" s="258"/>
    </row>
    <row r="28188" spans="1:26" ht="12.75" customHeight="1" x14ac:dyDescent="0.2">
      <c r="A28188" s="258"/>
      <c r="Z28188" s="258"/>
    </row>
    <row r="28189" spans="1:26" ht="12.75" customHeight="1" x14ac:dyDescent="0.2">
      <c r="A28189" s="258"/>
      <c r="Z28189" s="258"/>
    </row>
    <row r="28190" spans="1:26" ht="12.75" customHeight="1" x14ac:dyDescent="0.2">
      <c r="A28190" s="258"/>
      <c r="Z28190" s="258"/>
    </row>
    <row r="28191" spans="1:26" ht="12.75" customHeight="1" x14ac:dyDescent="0.2">
      <c r="A28191" s="258"/>
      <c r="Z28191" s="258"/>
    </row>
    <row r="28192" spans="1:26" ht="12.75" customHeight="1" x14ac:dyDescent="0.2">
      <c r="A28192" s="258"/>
      <c r="Z28192" s="258"/>
    </row>
    <row r="28193" spans="1:26" ht="12.75" customHeight="1" x14ac:dyDescent="0.2">
      <c r="A28193" s="258"/>
      <c r="Z28193" s="258"/>
    </row>
    <row r="28194" spans="1:26" ht="12.75" customHeight="1" x14ac:dyDescent="0.2">
      <c r="A28194" s="258"/>
      <c r="Z28194" s="258"/>
    </row>
    <row r="28195" spans="1:26" ht="12.75" customHeight="1" x14ac:dyDescent="0.2">
      <c r="A28195" s="258"/>
      <c r="Z28195" s="258"/>
    </row>
    <row r="28196" spans="1:26" ht="12.75" customHeight="1" x14ac:dyDescent="0.2">
      <c r="A28196" s="258"/>
      <c r="Z28196" s="258"/>
    </row>
    <row r="28197" spans="1:26" ht="12.75" customHeight="1" x14ac:dyDescent="0.2">
      <c r="A28197" s="258"/>
      <c r="Z28197" s="258"/>
    </row>
    <row r="28198" spans="1:26" ht="12.75" customHeight="1" x14ac:dyDescent="0.2">
      <c r="A28198" s="258"/>
      <c r="Z28198" s="258"/>
    </row>
    <row r="28199" spans="1:26" ht="12.75" customHeight="1" x14ac:dyDescent="0.2">
      <c r="A28199" s="258"/>
      <c r="Z28199" s="258"/>
    </row>
    <row r="28200" spans="1:26" ht="12.75" customHeight="1" x14ac:dyDescent="0.2">
      <c r="A28200" s="258"/>
      <c r="Z28200" s="258"/>
    </row>
    <row r="28201" spans="1:26" ht="12.75" customHeight="1" x14ac:dyDescent="0.2">
      <c r="A28201" s="258"/>
      <c r="Z28201" s="258"/>
    </row>
    <row r="28202" spans="1:26" ht="12.75" customHeight="1" x14ac:dyDescent="0.2">
      <c r="A28202" s="258"/>
      <c r="Z28202" s="258"/>
    </row>
    <row r="28203" spans="1:26" ht="12.75" customHeight="1" x14ac:dyDescent="0.2">
      <c r="A28203" s="258"/>
      <c r="Z28203" s="258"/>
    </row>
    <row r="28204" spans="1:26" ht="12.75" customHeight="1" x14ac:dyDescent="0.2">
      <c r="A28204" s="258"/>
      <c r="Z28204" s="258"/>
    </row>
    <row r="28205" spans="1:26" ht="12.75" customHeight="1" x14ac:dyDescent="0.2">
      <c r="A28205" s="258"/>
      <c r="Z28205" s="258"/>
    </row>
    <row r="28206" spans="1:26" ht="12.75" customHeight="1" x14ac:dyDescent="0.2">
      <c r="A28206" s="258"/>
      <c r="Z28206" s="258"/>
    </row>
    <row r="28207" spans="1:26" ht="12.75" customHeight="1" x14ac:dyDescent="0.2">
      <c r="A28207" s="258"/>
      <c r="Z28207" s="258"/>
    </row>
    <row r="28208" spans="1:26" ht="12.75" customHeight="1" x14ac:dyDescent="0.2">
      <c r="A28208" s="258"/>
      <c r="Z28208" s="258"/>
    </row>
    <row r="28209" spans="1:26" ht="12.75" customHeight="1" x14ac:dyDescent="0.2">
      <c r="A28209" s="258"/>
      <c r="Z28209" s="258"/>
    </row>
    <row r="28210" spans="1:26" ht="12.75" customHeight="1" x14ac:dyDescent="0.2">
      <c r="A28210" s="258"/>
      <c r="Z28210" s="258"/>
    </row>
    <row r="28211" spans="1:26" ht="12.75" customHeight="1" x14ac:dyDescent="0.2">
      <c r="A28211" s="258"/>
      <c r="Z28211" s="258"/>
    </row>
    <row r="28212" spans="1:26" ht="12.75" customHeight="1" x14ac:dyDescent="0.2">
      <c r="A28212" s="258"/>
      <c r="Z28212" s="258"/>
    </row>
    <row r="28213" spans="1:26" ht="12.75" customHeight="1" x14ac:dyDescent="0.2">
      <c r="A28213" s="258"/>
      <c r="Z28213" s="258"/>
    </row>
    <row r="28214" spans="1:26" ht="12.75" customHeight="1" x14ac:dyDescent="0.2">
      <c r="A28214" s="258"/>
      <c r="Z28214" s="258"/>
    </row>
    <row r="28215" spans="1:26" ht="12.75" customHeight="1" x14ac:dyDescent="0.2">
      <c r="A28215" s="258"/>
      <c r="Z28215" s="258"/>
    </row>
    <row r="28216" spans="1:26" ht="12.75" customHeight="1" x14ac:dyDescent="0.2">
      <c r="A28216" s="258"/>
      <c r="Z28216" s="258"/>
    </row>
    <row r="28217" spans="1:26" ht="12.75" customHeight="1" x14ac:dyDescent="0.2">
      <c r="A28217" s="258"/>
      <c r="Z28217" s="258"/>
    </row>
    <row r="28218" spans="1:26" ht="12.75" customHeight="1" x14ac:dyDescent="0.2">
      <c r="A28218" s="258"/>
      <c r="Z28218" s="258"/>
    </row>
    <row r="28219" spans="1:26" ht="12.75" customHeight="1" x14ac:dyDescent="0.2">
      <c r="A28219" s="258"/>
      <c r="Z28219" s="258"/>
    </row>
    <row r="28220" spans="1:26" ht="12.75" customHeight="1" x14ac:dyDescent="0.2">
      <c r="A28220" s="258"/>
      <c r="Z28220" s="258"/>
    </row>
    <row r="28221" spans="1:26" ht="12.75" customHeight="1" x14ac:dyDescent="0.2">
      <c r="A28221" s="258"/>
      <c r="Z28221" s="258"/>
    </row>
    <row r="28222" spans="1:26" ht="12.75" customHeight="1" x14ac:dyDescent="0.2">
      <c r="A28222" s="258"/>
      <c r="Z28222" s="258"/>
    </row>
    <row r="28223" spans="1:26" ht="12.75" customHeight="1" x14ac:dyDescent="0.2">
      <c r="A28223" s="258"/>
      <c r="Z28223" s="258"/>
    </row>
    <row r="28224" spans="1:26" ht="12.75" customHeight="1" x14ac:dyDescent="0.2">
      <c r="A28224" s="258"/>
      <c r="Z28224" s="258"/>
    </row>
    <row r="28225" spans="1:26" ht="12.75" customHeight="1" x14ac:dyDescent="0.2">
      <c r="A28225" s="258"/>
      <c r="Z28225" s="258"/>
    </row>
    <row r="28226" spans="1:26" ht="12.75" customHeight="1" x14ac:dyDescent="0.2">
      <c r="A28226" s="258"/>
      <c r="Z28226" s="258"/>
    </row>
    <row r="28227" spans="1:26" ht="12.75" customHeight="1" x14ac:dyDescent="0.2">
      <c r="A28227" s="258"/>
      <c r="Z28227" s="258"/>
    </row>
    <row r="28228" spans="1:26" ht="12.75" customHeight="1" x14ac:dyDescent="0.2">
      <c r="A28228" s="258"/>
      <c r="Z28228" s="258"/>
    </row>
    <row r="28229" spans="1:26" ht="12.75" customHeight="1" x14ac:dyDescent="0.2">
      <c r="A28229" s="258"/>
      <c r="Z28229" s="258"/>
    </row>
    <row r="28230" spans="1:26" ht="12.75" customHeight="1" x14ac:dyDescent="0.2">
      <c r="A28230" s="258"/>
      <c r="Z28230" s="258"/>
    </row>
    <row r="28231" spans="1:26" ht="12.75" customHeight="1" x14ac:dyDescent="0.2">
      <c r="A28231" s="258"/>
      <c r="Z28231" s="258"/>
    </row>
    <row r="28232" spans="1:26" ht="12.75" customHeight="1" x14ac:dyDescent="0.2">
      <c r="A28232" s="258"/>
      <c r="Z28232" s="258"/>
    </row>
    <row r="28233" spans="1:26" ht="12.75" customHeight="1" x14ac:dyDescent="0.2">
      <c r="A28233" s="258"/>
      <c r="Z28233" s="258"/>
    </row>
    <row r="28234" spans="1:26" ht="12.75" customHeight="1" x14ac:dyDescent="0.2">
      <c r="A28234" s="258"/>
      <c r="Z28234" s="258"/>
    </row>
    <row r="28235" spans="1:26" ht="12.75" customHeight="1" x14ac:dyDescent="0.2">
      <c r="A28235" s="258"/>
      <c r="Z28235" s="258"/>
    </row>
    <row r="28236" spans="1:26" ht="12.75" customHeight="1" x14ac:dyDescent="0.2">
      <c r="A28236" s="258"/>
      <c r="Z28236" s="258"/>
    </row>
    <row r="28237" spans="1:26" ht="12.75" customHeight="1" x14ac:dyDescent="0.2">
      <c r="A28237" s="258"/>
      <c r="Z28237" s="258"/>
    </row>
    <row r="28238" spans="1:26" ht="12.75" customHeight="1" x14ac:dyDescent="0.2">
      <c r="A28238" s="258"/>
      <c r="Z28238" s="258"/>
    </row>
    <row r="28239" spans="1:26" ht="12.75" customHeight="1" x14ac:dyDescent="0.2">
      <c r="A28239" s="258"/>
      <c r="Z28239" s="258"/>
    </row>
    <row r="28240" spans="1:26" ht="12.75" customHeight="1" x14ac:dyDescent="0.2">
      <c r="A28240" s="258"/>
      <c r="Z28240" s="258"/>
    </row>
    <row r="28241" spans="1:26" ht="12.75" customHeight="1" x14ac:dyDescent="0.2">
      <c r="A28241" s="258"/>
      <c r="Z28241" s="258"/>
    </row>
    <row r="28242" spans="1:26" ht="12.75" customHeight="1" x14ac:dyDescent="0.2">
      <c r="A28242" s="258"/>
      <c r="Z28242" s="258"/>
    </row>
    <row r="28243" spans="1:26" ht="12.75" customHeight="1" x14ac:dyDescent="0.2">
      <c r="A28243" s="258"/>
      <c r="Z28243" s="258"/>
    </row>
    <row r="28244" spans="1:26" ht="12.75" customHeight="1" x14ac:dyDescent="0.2">
      <c r="A28244" s="258"/>
      <c r="Z28244" s="258"/>
    </row>
    <row r="28245" spans="1:26" ht="12.75" customHeight="1" x14ac:dyDescent="0.2">
      <c r="A28245" s="258"/>
      <c r="Z28245" s="258"/>
    </row>
    <row r="28246" spans="1:26" ht="12.75" customHeight="1" x14ac:dyDescent="0.2">
      <c r="A28246" s="258"/>
      <c r="Z28246" s="258"/>
    </row>
    <row r="28247" spans="1:26" ht="12.75" customHeight="1" x14ac:dyDescent="0.2">
      <c r="A28247" s="258"/>
      <c r="Z28247" s="258"/>
    </row>
    <row r="28248" spans="1:26" ht="12.75" customHeight="1" x14ac:dyDescent="0.2">
      <c r="A28248" s="258"/>
      <c r="Z28248" s="258"/>
    </row>
    <row r="28249" spans="1:26" ht="12.75" customHeight="1" x14ac:dyDescent="0.2">
      <c r="A28249" s="258"/>
      <c r="Z28249" s="258"/>
    </row>
    <row r="28250" spans="1:26" ht="12.75" customHeight="1" x14ac:dyDescent="0.2">
      <c r="A28250" s="258"/>
      <c r="Z28250" s="258"/>
    </row>
    <row r="28251" spans="1:26" ht="12.75" customHeight="1" x14ac:dyDescent="0.2">
      <c r="A28251" s="258"/>
      <c r="Z28251" s="258"/>
    </row>
    <row r="28252" spans="1:26" ht="12.75" customHeight="1" x14ac:dyDescent="0.2">
      <c r="A28252" s="258"/>
      <c r="Z28252" s="258"/>
    </row>
    <row r="28253" spans="1:26" ht="12.75" customHeight="1" x14ac:dyDescent="0.2">
      <c r="A28253" s="258"/>
      <c r="Z28253" s="258"/>
    </row>
    <row r="28254" spans="1:26" ht="12.75" customHeight="1" x14ac:dyDescent="0.2">
      <c r="A28254" s="258"/>
      <c r="Z28254" s="258"/>
    </row>
    <row r="28255" spans="1:26" ht="12.75" customHeight="1" x14ac:dyDescent="0.2">
      <c r="A28255" s="258"/>
      <c r="Z28255" s="258"/>
    </row>
    <row r="28256" spans="1:26" ht="12.75" customHeight="1" x14ac:dyDescent="0.2">
      <c r="A28256" s="258"/>
      <c r="Z28256" s="258"/>
    </row>
    <row r="28257" spans="1:26" ht="12.75" customHeight="1" x14ac:dyDescent="0.2">
      <c r="A28257" s="258"/>
      <c r="Z28257" s="258"/>
    </row>
    <row r="28258" spans="1:26" ht="12.75" customHeight="1" x14ac:dyDescent="0.2">
      <c r="A28258" s="258"/>
      <c r="Z28258" s="258"/>
    </row>
    <row r="28259" spans="1:26" ht="12.75" customHeight="1" x14ac:dyDescent="0.2">
      <c r="A28259" s="258"/>
      <c r="Z28259" s="258"/>
    </row>
    <row r="28260" spans="1:26" ht="12.75" customHeight="1" x14ac:dyDescent="0.2">
      <c r="A28260" s="258"/>
      <c r="Z28260" s="258"/>
    </row>
    <row r="28261" spans="1:26" ht="12.75" customHeight="1" x14ac:dyDescent="0.2">
      <c r="A28261" s="258"/>
      <c r="Z28261" s="258"/>
    </row>
    <row r="28262" spans="1:26" ht="12.75" customHeight="1" x14ac:dyDescent="0.2">
      <c r="A28262" s="258"/>
      <c r="Z28262" s="258"/>
    </row>
    <row r="28263" spans="1:26" ht="12.75" customHeight="1" x14ac:dyDescent="0.2">
      <c r="A28263" s="258"/>
      <c r="Z28263" s="258"/>
    </row>
    <row r="28264" spans="1:26" ht="12.75" customHeight="1" x14ac:dyDescent="0.2">
      <c r="A28264" s="258"/>
      <c r="Z28264" s="258"/>
    </row>
    <row r="28265" spans="1:26" ht="12.75" customHeight="1" x14ac:dyDescent="0.2">
      <c r="A28265" s="258"/>
      <c r="Z28265" s="258"/>
    </row>
    <row r="28266" spans="1:26" ht="12.75" customHeight="1" x14ac:dyDescent="0.2">
      <c r="A28266" s="258"/>
      <c r="Z28266" s="258"/>
    </row>
    <row r="28267" spans="1:26" ht="12.75" customHeight="1" x14ac:dyDescent="0.2">
      <c r="A28267" s="258"/>
      <c r="Z28267" s="258"/>
    </row>
    <row r="28268" spans="1:26" ht="12.75" customHeight="1" x14ac:dyDescent="0.2">
      <c r="A28268" s="258"/>
      <c r="Z28268" s="258"/>
    </row>
    <row r="28269" spans="1:26" ht="12.75" customHeight="1" x14ac:dyDescent="0.2">
      <c r="A28269" s="258"/>
      <c r="Z28269" s="258"/>
    </row>
    <row r="28270" spans="1:26" ht="12.75" customHeight="1" x14ac:dyDescent="0.2">
      <c r="A28270" s="258"/>
      <c r="Z28270" s="258"/>
    </row>
    <row r="28271" spans="1:26" ht="12.75" customHeight="1" x14ac:dyDescent="0.2">
      <c r="A28271" s="258"/>
      <c r="Z28271" s="258"/>
    </row>
    <row r="28272" spans="1:26" ht="12.75" customHeight="1" x14ac:dyDescent="0.2">
      <c r="A28272" s="258"/>
      <c r="Z28272" s="258"/>
    </row>
    <row r="28273" spans="1:26" ht="12.75" customHeight="1" x14ac:dyDescent="0.2">
      <c r="A28273" s="258"/>
      <c r="Z28273" s="258"/>
    </row>
    <row r="28274" spans="1:26" ht="12.75" customHeight="1" x14ac:dyDescent="0.2">
      <c r="A28274" s="258"/>
      <c r="Z28274" s="258"/>
    </row>
    <row r="28275" spans="1:26" ht="12.75" customHeight="1" x14ac:dyDescent="0.2">
      <c r="A28275" s="258"/>
      <c r="Z28275" s="258"/>
    </row>
    <row r="28276" spans="1:26" ht="12.75" customHeight="1" x14ac:dyDescent="0.2">
      <c r="A28276" s="258"/>
      <c r="Z28276" s="258"/>
    </row>
    <row r="28277" spans="1:26" ht="12.75" customHeight="1" x14ac:dyDescent="0.2">
      <c r="A28277" s="258"/>
      <c r="Z28277" s="258"/>
    </row>
    <row r="28278" spans="1:26" ht="12.75" customHeight="1" x14ac:dyDescent="0.2">
      <c r="A28278" s="258"/>
      <c r="Z28278" s="258"/>
    </row>
    <row r="28279" spans="1:26" ht="12.75" customHeight="1" x14ac:dyDescent="0.2">
      <c r="A28279" s="258"/>
      <c r="Z28279" s="258"/>
    </row>
    <row r="28280" spans="1:26" ht="12.75" customHeight="1" x14ac:dyDescent="0.2">
      <c r="A28280" s="258"/>
      <c r="Z28280" s="258"/>
    </row>
    <row r="28281" spans="1:26" ht="12.75" customHeight="1" x14ac:dyDescent="0.2">
      <c r="A28281" s="258"/>
      <c r="Z28281" s="258"/>
    </row>
    <row r="28282" spans="1:26" ht="12.75" customHeight="1" x14ac:dyDescent="0.2">
      <c r="A28282" s="258"/>
      <c r="Z28282" s="258"/>
    </row>
    <row r="28283" spans="1:26" ht="12.75" customHeight="1" x14ac:dyDescent="0.2">
      <c r="A28283" s="258"/>
      <c r="Z28283" s="258"/>
    </row>
    <row r="28284" spans="1:26" ht="12.75" customHeight="1" x14ac:dyDescent="0.2">
      <c r="A28284" s="258"/>
      <c r="Z28284" s="258"/>
    </row>
    <row r="28285" spans="1:26" ht="12.75" customHeight="1" x14ac:dyDescent="0.2">
      <c r="A28285" s="258"/>
      <c r="Z28285" s="258"/>
    </row>
    <row r="28286" spans="1:26" ht="12.75" customHeight="1" x14ac:dyDescent="0.2">
      <c r="A28286" s="258"/>
      <c r="Z28286" s="258"/>
    </row>
    <row r="28287" spans="1:26" ht="12.75" customHeight="1" x14ac:dyDescent="0.2">
      <c r="A28287" s="258"/>
      <c r="Z28287" s="258"/>
    </row>
    <row r="28288" spans="1:26" ht="12.75" customHeight="1" x14ac:dyDescent="0.2">
      <c r="A28288" s="258"/>
      <c r="Z28288" s="258"/>
    </row>
    <row r="28289" spans="1:26" ht="12.75" customHeight="1" x14ac:dyDescent="0.2">
      <c r="A28289" s="258"/>
      <c r="Z28289" s="258"/>
    </row>
    <row r="28290" spans="1:26" ht="12.75" customHeight="1" x14ac:dyDescent="0.2">
      <c r="A28290" s="258"/>
      <c r="Z28290" s="258"/>
    </row>
    <row r="28291" spans="1:26" ht="12.75" customHeight="1" x14ac:dyDescent="0.2">
      <c r="A28291" s="258"/>
      <c r="Z28291" s="258"/>
    </row>
    <row r="28292" spans="1:26" ht="12.75" customHeight="1" x14ac:dyDescent="0.2">
      <c r="A28292" s="258"/>
      <c r="Z28292" s="258"/>
    </row>
    <row r="28293" spans="1:26" ht="12.75" customHeight="1" x14ac:dyDescent="0.2">
      <c r="A28293" s="258"/>
      <c r="Z28293" s="258"/>
    </row>
    <row r="28294" spans="1:26" ht="12.75" customHeight="1" x14ac:dyDescent="0.2">
      <c r="A28294" s="258"/>
      <c r="Z28294" s="258"/>
    </row>
    <row r="28295" spans="1:26" ht="12.75" customHeight="1" x14ac:dyDescent="0.2">
      <c r="A28295" s="258"/>
      <c r="Z28295" s="258"/>
    </row>
    <row r="28296" spans="1:26" ht="12.75" customHeight="1" x14ac:dyDescent="0.2">
      <c r="A28296" s="258"/>
      <c r="Z28296" s="258"/>
    </row>
    <row r="28297" spans="1:26" ht="12.75" customHeight="1" x14ac:dyDescent="0.2">
      <c r="A28297" s="258"/>
      <c r="Z28297" s="258"/>
    </row>
    <row r="28298" spans="1:26" ht="12.75" customHeight="1" x14ac:dyDescent="0.2">
      <c r="A28298" s="258"/>
      <c r="Z28298" s="258"/>
    </row>
    <row r="28299" spans="1:26" ht="12.75" customHeight="1" x14ac:dyDescent="0.2">
      <c r="A28299" s="258"/>
      <c r="Z28299" s="258"/>
    </row>
    <row r="28300" spans="1:26" ht="12.75" customHeight="1" x14ac:dyDescent="0.2">
      <c r="A28300" s="258"/>
      <c r="Z28300" s="258"/>
    </row>
    <row r="28301" spans="1:26" ht="12.75" customHeight="1" x14ac:dyDescent="0.2">
      <c r="A28301" s="258"/>
      <c r="Z28301" s="258"/>
    </row>
    <row r="28302" spans="1:26" ht="12.75" customHeight="1" x14ac:dyDescent="0.2">
      <c r="A28302" s="258"/>
      <c r="Z28302" s="258"/>
    </row>
    <row r="28303" spans="1:26" ht="12.75" customHeight="1" x14ac:dyDescent="0.2">
      <c r="A28303" s="258"/>
      <c r="Z28303" s="258"/>
    </row>
    <row r="28304" spans="1:26" ht="12.75" customHeight="1" x14ac:dyDescent="0.2">
      <c r="A28304" s="258"/>
      <c r="Z28304" s="258"/>
    </row>
    <row r="28305" spans="1:26" ht="12.75" customHeight="1" x14ac:dyDescent="0.2">
      <c r="A28305" s="258"/>
      <c r="Z28305" s="258"/>
    </row>
    <row r="28306" spans="1:26" ht="12.75" customHeight="1" x14ac:dyDescent="0.2">
      <c r="A28306" s="258"/>
      <c r="Z28306" s="258"/>
    </row>
    <row r="28307" spans="1:26" ht="12.75" customHeight="1" x14ac:dyDescent="0.2">
      <c r="A28307" s="258"/>
      <c r="Z28307" s="258"/>
    </row>
    <row r="28308" spans="1:26" ht="12.75" customHeight="1" x14ac:dyDescent="0.2">
      <c r="A28308" s="258"/>
      <c r="Z28308" s="258"/>
    </row>
    <row r="28309" spans="1:26" ht="12.75" customHeight="1" x14ac:dyDescent="0.2">
      <c r="A28309" s="258"/>
      <c r="Z28309" s="258"/>
    </row>
    <row r="28310" spans="1:26" ht="12.75" customHeight="1" x14ac:dyDescent="0.2">
      <c r="A28310" s="258"/>
      <c r="Z28310" s="258"/>
    </row>
    <row r="28311" spans="1:26" ht="12.75" customHeight="1" x14ac:dyDescent="0.2">
      <c r="A28311" s="258"/>
      <c r="Z28311" s="258"/>
    </row>
    <row r="28312" spans="1:26" ht="12.75" customHeight="1" x14ac:dyDescent="0.2">
      <c r="A28312" s="258"/>
      <c r="Z28312" s="258"/>
    </row>
    <row r="28313" spans="1:26" ht="12.75" customHeight="1" x14ac:dyDescent="0.2">
      <c r="A28313" s="258"/>
      <c r="Z28313" s="258"/>
    </row>
    <row r="28314" spans="1:26" ht="12.75" customHeight="1" x14ac:dyDescent="0.2">
      <c r="A28314" s="258"/>
      <c r="Z28314" s="258"/>
    </row>
    <row r="28315" spans="1:26" ht="12.75" customHeight="1" x14ac:dyDescent="0.2">
      <c r="A28315" s="258"/>
      <c r="Z28315" s="258"/>
    </row>
    <row r="28316" spans="1:26" ht="12.75" customHeight="1" x14ac:dyDescent="0.2">
      <c r="A28316" s="258"/>
      <c r="Z28316" s="258"/>
    </row>
    <row r="28317" spans="1:26" ht="12.75" customHeight="1" x14ac:dyDescent="0.2">
      <c r="A28317" s="258"/>
      <c r="Z28317" s="258"/>
    </row>
    <row r="28318" spans="1:26" ht="12.75" customHeight="1" x14ac:dyDescent="0.2">
      <c r="A28318" s="258"/>
      <c r="Z28318" s="258"/>
    </row>
    <row r="28319" spans="1:26" ht="12.75" customHeight="1" x14ac:dyDescent="0.2">
      <c r="A28319" s="258"/>
      <c r="Z28319" s="258"/>
    </row>
    <row r="28320" spans="1:26" ht="12.75" customHeight="1" x14ac:dyDescent="0.2">
      <c r="A28320" s="258"/>
      <c r="Z28320" s="258"/>
    </row>
    <row r="28321" spans="1:26" ht="12.75" customHeight="1" x14ac:dyDescent="0.2">
      <c r="A28321" s="258"/>
      <c r="Z28321" s="258"/>
    </row>
    <row r="28322" spans="1:26" ht="12.75" customHeight="1" x14ac:dyDescent="0.2">
      <c r="A28322" s="258"/>
      <c r="Z28322" s="258"/>
    </row>
    <row r="28323" spans="1:26" ht="12.75" customHeight="1" x14ac:dyDescent="0.2">
      <c r="A28323" s="258"/>
      <c r="Z28323" s="258"/>
    </row>
    <row r="28324" spans="1:26" ht="12.75" customHeight="1" x14ac:dyDescent="0.2">
      <c r="A28324" s="258"/>
      <c r="Z28324" s="258"/>
    </row>
    <row r="28325" spans="1:26" ht="12.75" customHeight="1" x14ac:dyDescent="0.2">
      <c r="A28325" s="258"/>
      <c r="Z28325" s="258"/>
    </row>
    <row r="28326" spans="1:26" ht="12.75" customHeight="1" x14ac:dyDescent="0.2">
      <c r="A28326" s="258"/>
      <c r="Z28326" s="258"/>
    </row>
    <row r="28327" spans="1:26" ht="12.75" customHeight="1" x14ac:dyDescent="0.2">
      <c r="A28327" s="258"/>
      <c r="Z28327" s="258"/>
    </row>
    <row r="28328" spans="1:26" ht="12.75" customHeight="1" x14ac:dyDescent="0.2">
      <c r="A28328" s="258"/>
      <c r="Z28328" s="258"/>
    </row>
    <row r="28329" spans="1:26" ht="12.75" customHeight="1" x14ac:dyDescent="0.2">
      <c r="A28329" s="258"/>
      <c r="Z28329" s="258"/>
    </row>
    <row r="28330" spans="1:26" ht="12.75" customHeight="1" x14ac:dyDescent="0.2">
      <c r="A28330" s="258"/>
      <c r="Z28330" s="258"/>
    </row>
    <row r="28331" spans="1:26" ht="12.75" customHeight="1" x14ac:dyDescent="0.2">
      <c r="A28331" s="258"/>
      <c r="Z28331" s="258"/>
    </row>
    <row r="28332" spans="1:26" ht="12.75" customHeight="1" x14ac:dyDescent="0.2">
      <c r="A28332" s="258"/>
      <c r="Z28332" s="258"/>
    </row>
    <row r="28333" spans="1:26" ht="12.75" customHeight="1" x14ac:dyDescent="0.2">
      <c r="A28333" s="258"/>
      <c r="Z28333" s="258"/>
    </row>
    <row r="28334" spans="1:26" ht="12.75" customHeight="1" x14ac:dyDescent="0.2">
      <c r="A28334" s="258"/>
      <c r="Z28334" s="258"/>
    </row>
    <row r="28335" spans="1:26" ht="12.75" customHeight="1" x14ac:dyDescent="0.2">
      <c r="A28335" s="258"/>
      <c r="Z28335" s="258"/>
    </row>
    <row r="28336" spans="1:26" ht="12.75" customHeight="1" x14ac:dyDescent="0.2">
      <c r="A28336" s="258"/>
      <c r="Z28336" s="258"/>
    </row>
    <row r="28337" spans="1:26" ht="12.75" customHeight="1" x14ac:dyDescent="0.2">
      <c r="A28337" s="258"/>
      <c r="Z28337" s="258"/>
    </row>
    <row r="28338" spans="1:26" ht="12.75" customHeight="1" x14ac:dyDescent="0.2">
      <c r="A28338" s="258"/>
      <c r="Z28338" s="258"/>
    </row>
    <row r="28339" spans="1:26" ht="12.75" customHeight="1" x14ac:dyDescent="0.2">
      <c r="A28339" s="258"/>
      <c r="Z28339" s="258"/>
    </row>
    <row r="28340" spans="1:26" ht="12.75" customHeight="1" x14ac:dyDescent="0.2">
      <c r="A28340" s="258"/>
      <c r="Z28340" s="258"/>
    </row>
    <row r="28341" spans="1:26" ht="12.75" customHeight="1" x14ac:dyDescent="0.2">
      <c r="A28341" s="258"/>
      <c r="Z28341" s="258"/>
    </row>
    <row r="28342" spans="1:26" ht="12.75" customHeight="1" x14ac:dyDescent="0.2">
      <c r="A28342" s="258"/>
      <c r="Z28342" s="258"/>
    </row>
    <row r="28343" spans="1:26" ht="12.75" customHeight="1" x14ac:dyDescent="0.2">
      <c r="A28343" s="258"/>
      <c r="Z28343" s="258"/>
    </row>
    <row r="28344" spans="1:26" ht="12.75" customHeight="1" x14ac:dyDescent="0.2">
      <c r="A28344" s="258"/>
      <c r="Z28344" s="258"/>
    </row>
    <row r="28345" spans="1:26" ht="12.75" customHeight="1" x14ac:dyDescent="0.2">
      <c r="A28345" s="258"/>
      <c r="Z28345" s="258"/>
    </row>
    <row r="28346" spans="1:26" ht="12.75" customHeight="1" x14ac:dyDescent="0.2">
      <c r="A28346" s="258"/>
      <c r="Z28346" s="258"/>
    </row>
    <row r="28347" spans="1:26" ht="12.75" customHeight="1" x14ac:dyDescent="0.2">
      <c r="A28347" s="258"/>
      <c r="Z28347" s="258"/>
    </row>
    <row r="28348" spans="1:26" ht="12.75" customHeight="1" x14ac:dyDescent="0.2">
      <c r="A28348" s="258"/>
      <c r="Z28348" s="258"/>
    </row>
    <row r="28349" spans="1:26" ht="12.75" customHeight="1" x14ac:dyDescent="0.2">
      <c r="A28349" s="258"/>
      <c r="Z28349" s="258"/>
    </row>
    <row r="28350" spans="1:26" ht="12.75" customHeight="1" x14ac:dyDescent="0.2">
      <c r="A28350" s="258"/>
      <c r="Z28350" s="258"/>
    </row>
    <row r="28351" spans="1:26" ht="12.75" customHeight="1" x14ac:dyDescent="0.2">
      <c r="A28351" s="258"/>
      <c r="Z28351" s="258"/>
    </row>
    <row r="28352" spans="1:26" ht="12.75" customHeight="1" x14ac:dyDescent="0.2">
      <c r="A28352" s="258"/>
      <c r="Z28352" s="258"/>
    </row>
    <row r="28353" spans="1:26" ht="12.75" customHeight="1" x14ac:dyDescent="0.2">
      <c r="A28353" s="258"/>
      <c r="Z28353" s="258"/>
    </row>
    <row r="28354" spans="1:26" ht="12.75" customHeight="1" x14ac:dyDescent="0.2">
      <c r="A28354" s="258"/>
      <c r="Z28354" s="258"/>
    </row>
    <row r="28355" spans="1:26" ht="12.75" customHeight="1" x14ac:dyDescent="0.2">
      <c r="A28355" s="258"/>
      <c r="Z28355" s="258"/>
    </row>
    <row r="28356" spans="1:26" ht="12.75" customHeight="1" x14ac:dyDescent="0.2">
      <c r="A28356" s="258"/>
      <c r="Z28356" s="258"/>
    </row>
    <row r="28357" spans="1:26" ht="12.75" customHeight="1" x14ac:dyDescent="0.2">
      <c r="A28357" s="258"/>
      <c r="Z28357" s="258"/>
    </row>
    <row r="28358" spans="1:26" ht="12.75" customHeight="1" x14ac:dyDescent="0.2">
      <c r="A28358" s="258"/>
      <c r="Z28358" s="258"/>
    </row>
    <row r="28359" spans="1:26" ht="12.75" customHeight="1" x14ac:dyDescent="0.2">
      <c r="A28359" s="258"/>
      <c r="Z28359" s="258"/>
    </row>
    <row r="28360" spans="1:26" ht="12.75" customHeight="1" x14ac:dyDescent="0.2">
      <c r="A28360" s="258"/>
      <c r="Z28360" s="258"/>
    </row>
    <row r="28361" spans="1:26" ht="12.75" customHeight="1" x14ac:dyDescent="0.2">
      <c r="A28361" s="258"/>
      <c r="Z28361" s="258"/>
    </row>
    <row r="28362" spans="1:26" ht="12.75" customHeight="1" x14ac:dyDescent="0.2">
      <c r="A28362" s="258"/>
      <c r="Z28362" s="258"/>
    </row>
    <row r="28363" spans="1:26" ht="12.75" customHeight="1" x14ac:dyDescent="0.2">
      <c r="A28363" s="258"/>
      <c r="Z28363" s="258"/>
    </row>
    <row r="28364" spans="1:26" ht="12.75" customHeight="1" x14ac:dyDescent="0.2">
      <c r="A28364" s="258"/>
      <c r="Z28364" s="258"/>
    </row>
    <row r="28365" spans="1:26" ht="12.75" customHeight="1" x14ac:dyDescent="0.2">
      <c r="A28365" s="258"/>
      <c r="Z28365" s="258"/>
    </row>
    <row r="28366" spans="1:26" ht="12.75" customHeight="1" x14ac:dyDescent="0.2">
      <c r="A28366" s="258"/>
      <c r="Z28366" s="258"/>
    </row>
    <row r="28367" spans="1:26" ht="12.75" customHeight="1" x14ac:dyDescent="0.2">
      <c r="A28367" s="258"/>
      <c r="Z28367" s="258"/>
    </row>
    <row r="28368" spans="1:26" ht="12.75" customHeight="1" x14ac:dyDescent="0.2">
      <c r="A28368" s="258"/>
      <c r="Z28368" s="258"/>
    </row>
    <row r="28369" spans="1:26" ht="12.75" customHeight="1" x14ac:dyDescent="0.2">
      <c r="A28369" s="258"/>
      <c r="Z28369" s="258"/>
    </row>
    <row r="28370" spans="1:26" ht="12.75" customHeight="1" x14ac:dyDescent="0.2">
      <c r="A28370" s="258"/>
      <c r="Z28370" s="258"/>
    </row>
    <row r="28371" spans="1:26" ht="12.75" customHeight="1" x14ac:dyDescent="0.2">
      <c r="A28371" s="258"/>
      <c r="Z28371" s="258"/>
    </row>
    <row r="28372" spans="1:26" ht="12.75" customHeight="1" x14ac:dyDescent="0.2">
      <c r="A28372" s="258"/>
      <c r="Z28372" s="258"/>
    </row>
    <row r="28373" spans="1:26" ht="12.75" customHeight="1" x14ac:dyDescent="0.2">
      <c r="A28373" s="258"/>
      <c r="Z28373" s="258"/>
    </row>
    <row r="28374" spans="1:26" ht="12.75" customHeight="1" x14ac:dyDescent="0.2">
      <c r="A28374" s="258"/>
      <c r="Z28374" s="258"/>
    </row>
    <row r="28375" spans="1:26" ht="12.75" customHeight="1" x14ac:dyDescent="0.2">
      <c r="A28375" s="258"/>
      <c r="Z28375" s="258"/>
    </row>
    <row r="28376" spans="1:26" ht="12.75" customHeight="1" x14ac:dyDescent="0.2">
      <c r="A28376" s="258"/>
      <c r="Z28376" s="258"/>
    </row>
    <row r="28377" spans="1:26" ht="12.75" customHeight="1" x14ac:dyDescent="0.2">
      <c r="A28377" s="258"/>
      <c r="Z28377" s="258"/>
    </row>
    <row r="28378" spans="1:26" ht="12.75" customHeight="1" x14ac:dyDescent="0.2">
      <c r="A28378" s="258"/>
      <c r="Z28378" s="258"/>
    </row>
    <row r="28379" spans="1:26" ht="12.75" customHeight="1" x14ac:dyDescent="0.2">
      <c r="A28379" s="258"/>
      <c r="Z28379" s="258"/>
    </row>
    <row r="28380" spans="1:26" ht="12.75" customHeight="1" x14ac:dyDescent="0.2">
      <c r="A28380" s="258"/>
      <c r="Z28380" s="258"/>
    </row>
    <row r="28381" spans="1:26" ht="12.75" customHeight="1" x14ac:dyDescent="0.2">
      <c r="A28381" s="258"/>
      <c r="Z28381" s="258"/>
    </row>
    <row r="28382" spans="1:26" ht="12.75" customHeight="1" x14ac:dyDescent="0.2">
      <c r="A28382" s="258"/>
      <c r="Z28382" s="258"/>
    </row>
    <row r="28383" spans="1:26" ht="12.75" customHeight="1" x14ac:dyDescent="0.2">
      <c r="A28383" s="258"/>
      <c r="Z28383" s="258"/>
    </row>
    <row r="28384" spans="1:26" ht="12.75" customHeight="1" x14ac:dyDescent="0.2">
      <c r="A28384" s="258"/>
      <c r="Z28384" s="258"/>
    </row>
    <row r="28385" spans="1:26" ht="12.75" customHeight="1" x14ac:dyDescent="0.2">
      <c r="A28385" s="258"/>
      <c r="Z28385" s="258"/>
    </row>
    <row r="28386" spans="1:26" ht="12.75" customHeight="1" x14ac:dyDescent="0.2">
      <c r="A28386" s="258"/>
      <c r="Z28386" s="258"/>
    </row>
    <row r="28387" spans="1:26" ht="12.75" customHeight="1" x14ac:dyDescent="0.2">
      <c r="A28387" s="258"/>
      <c r="Z28387" s="258"/>
    </row>
    <row r="28388" spans="1:26" ht="12.75" customHeight="1" x14ac:dyDescent="0.2">
      <c r="A28388" s="258"/>
      <c r="Z28388" s="258"/>
    </row>
    <row r="28389" spans="1:26" ht="12.75" customHeight="1" x14ac:dyDescent="0.2">
      <c r="A28389" s="258"/>
      <c r="Z28389" s="258"/>
    </row>
    <row r="28390" spans="1:26" ht="12.75" customHeight="1" x14ac:dyDescent="0.2">
      <c r="A28390" s="258"/>
      <c r="Z28390" s="258"/>
    </row>
    <row r="28391" spans="1:26" ht="12.75" customHeight="1" x14ac:dyDescent="0.2">
      <c r="A28391" s="258"/>
      <c r="Z28391" s="258"/>
    </row>
    <row r="28392" spans="1:26" ht="12.75" customHeight="1" x14ac:dyDescent="0.2">
      <c r="A28392" s="258"/>
      <c r="Z28392" s="258"/>
    </row>
    <row r="28393" spans="1:26" ht="12.75" customHeight="1" x14ac:dyDescent="0.2">
      <c r="A28393" s="258"/>
      <c r="Z28393" s="258"/>
    </row>
    <row r="28394" spans="1:26" ht="12.75" customHeight="1" x14ac:dyDescent="0.2">
      <c r="A28394" s="258"/>
      <c r="Z28394" s="258"/>
    </row>
    <row r="28395" spans="1:26" ht="12.75" customHeight="1" x14ac:dyDescent="0.2">
      <c r="A28395" s="258"/>
      <c r="Z28395" s="258"/>
    </row>
    <row r="28396" spans="1:26" ht="12.75" customHeight="1" x14ac:dyDescent="0.2">
      <c r="A28396" s="258"/>
      <c r="Z28396" s="258"/>
    </row>
    <row r="28397" spans="1:26" ht="12.75" customHeight="1" x14ac:dyDescent="0.2">
      <c r="A28397" s="258"/>
      <c r="Z28397" s="258"/>
    </row>
    <row r="28398" spans="1:26" ht="12.75" customHeight="1" x14ac:dyDescent="0.2">
      <c r="A28398" s="258"/>
      <c r="Z28398" s="258"/>
    </row>
    <row r="28399" spans="1:26" ht="12.75" customHeight="1" x14ac:dyDescent="0.2">
      <c r="A28399" s="258"/>
      <c r="Z28399" s="258"/>
    </row>
    <row r="28400" spans="1:26" ht="12.75" customHeight="1" x14ac:dyDescent="0.2">
      <c r="A28400" s="258"/>
      <c r="Z28400" s="258"/>
    </row>
    <row r="28401" spans="1:26" ht="12.75" customHeight="1" x14ac:dyDescent="0.2">
      <c r="A28401" s="258"/>
      <c r="Z28401" s="258"/>
    </row>
    <row r="28402" spans="1:26" ht="12.75" customHeight="1" x14ac:dyDescent="0.2">
      <c r="A28402" s="258"/>
      <c r="Z28402" s="258"/>
    </row>
    <row r="28403" spans="1:26" ht="12.75" customHeight="1" x14ac:dyDescent="0.2">
      <c r="A28403" s="258"/>
      <c r="Z28403" s="258"/>
    </row>
    <row r="28404" spans="1:26" ht="12.75" customHeight="1" x14ac:dyDescent="0.2">
      <c r="A28404" s="258"/>
      <c r="Z28404" s="258"/>
    </row>
    <row r="28405" spans="1:26" ht="12.75" customHeight="1" x14ac:dyDescent="0.2">
      <c r="A28405" s="258"/>
      <c r="Z28405" s="258"/>
    </row>
    <row r="28406" spans="1:26" ht="12.75" customHeight="1" x14ac:dyDescent="0.2">
      <c r="A28406" s="258"/>
      <c r="Z28406" s="258"/>
    </row>
    <row r="28407" spans="1:26" ht="12.75" customHeight="1" x14ac:dyDescent="0.2">
      <c r="A28407" s="258"/>
      <c r="Z28407" s="258"/>
    </row>
    <row r="28408" spans="1:26" ht="12.75" customHeight="1" x14ac:dyDescent="0.2">
      <c r="A28408" s="258"/>
      <c r="Z28408" s="258"/>
    </row>
    <row r="28409" spans="1:26" ht="12.75" customHeight="1" x14ac:dyDescent="0.2">
      <c r="A28409" s="258"/>
      <c r="Z28409" s="258"/>
    </row>
    <row r="28410" spans="1:26" ht="12.75" customHeight="1" x14ac:dyDescent="0.2">
      <c r="A28410" s="258"/>
      <c r="Z28410" s="258"/>
    </row>
    <row r="28411" spans="1:26" ht="12.75" customHeight="1" x14ac:dyDescent="0.2">
      <c r="A28411" s="258"/>
      <c r="Z28411" s="258"/>
    </row>
    <row r="28412" spans="1:26" ht="12.75" customHeight="1" x14ac:dyDescent="0.2">
      <c r="A28412" s="258"/>
      <c r="Z28412" s="258"/>
    </row>
    <row r="28413" spans="1:26" ht="12.75" customHeight="1" x14ac:dyDescent="0.2">
      <c r="A28413" s="258"/>
      <c r="Z28413" s="258"/>
    </row>
    <row r="28414" spans="1:26" ht="12.75" customHeight="1" x14ac:dyDescent="0.2">
      <c r="A28414" s="258"/>
      <c r="Z28414" s="258"/>
    </row>
    <row r="28415" spans="1:26" ht="12.75" customHeight="1" x14ac:dyDescent="0.2">
      <c r="A28415" s="258"/>
      <c r="Z28415" s="258"/>
    </row>
    <row r="28416" spans="1:26" ht="12.75" customHeight="1" x14ac:dyDescent="0.2">
      <c r="A28416" s="258"/>
      <c r="Z28416" s="258"/>
    </row>
    <row r="28417" spans="1:26" ht="12.75" customHeight="1" x14ac:dyDescent="0.2">
      <c r="A28417" s="258"/>
      <c r="Z28417" s="258"/>
    </row>
    <row r="28418" spans="1:26" ht="12.75" customHeight="1" x14ac:dyDescent="0.2">
      <c r="A28418" s="258"/>
      <c r="Z28418" s="258"/>
    </row>
    <row r="28419" spans="1:26" ht="12.75" customHeight="1" x14ac:dyDescent="0.2">
      <c r="A28419" s="258"/>
      <c r="Z28419" s="258"/>
    </row>
    <row r="28420" spans="1:26" ht="12.75" customHeight="1" x14ac:dyDescent="0.2">
      <c r="A28420" s="258"/>
      <c r="Z28420" s="258"/>
    </row>
    <row r="28421" spans="1:26" ht="12.75" customHeight="1" x14ac:dyDescent="0.2">
      <c r="A28421" s="258"/>
      <c r="Z28421" s="258"/>
    </row>
    <row r="28422" spans="1:26" ht="12.75" customHeight="1" x14ac:dyDescent="0.2">
      <c r="A28422" s="258"/>
      <c r="Z28422" s="258"/>
    </row>
    <row r="28423" spans="1:26" ht="12.75" customHeight="1" x14ac:dyDescent="0.2">
      <c r="A28423" s="258"/>
      <c r="Z28423" s="258"/>
    </row>
    <row r="28424" spans="1:26" ht="12.75" customHeight="1" x14ac:dyDescent="0.2">
      <c r="A28424" s="258"/>
      <c r="Z28424" s="258"/>
    </row>
    <row r="28425" spans="1:26" ht="12.75" customHeight="1" x14ac:dyDescent="0.2">
      <c r="A28425" s="258"/>
      <c r="Z28425" s="258"/>
    </row>
    <row r="28426" spans="1:26" ht="12.75" customHeight="1" x14ac:dyDescent="0.2">
      <c r="A28426" s="258"/>
      <c r="Z28426" s="258"/>
    </row>
    <row r="28427" spans="1:26" ht="12.75" customHeight="1" x14ac:dyDescent="0.2">
      <c r="A28427" s="258"/>
      <c r="Z28427" s="258"/>
    </row>
    <row r="28428" spans="1:26" ht="12.75" customHeight="1" x14ac:dyDescent="0.2">
      <c r="A28428" s="258"/>
      <c r="Z28428" s="258"/>
    </row>
    <row r="28429" spans="1:26" ht="12.75" customHeight="1" x14ac:dyDescent="0.2">
      <c r="A28429" s="258"/>
      <c r="Z28429" s="258"/>
    </row>
    <row r="28430" spans="1:26" ht="12.75" customHeight="1" x14ac:dyDescent="0.2">
      <c r="A28430" s="258"/>
      <c r="Z28430" s="258"/>
    </row>
    <row r="28431" spans="1:26" ht="12.75" customHeight="1" x14ac:dyDescent="0.2">
      <c r="A28431" s="258"/>
      <c r="Z28431" s="258"/>
    </row>
    <row r="28432" spans="1:26" ht="12.75" customHeight="1" x14ac:dyDescent="0.2">
      <c r="A28432" s="258"/>
      <c r="Z28432" s="258"/>
    </row>
    <row r="28433" spans="1:26" ht="12.75" customHeight="1" x14ac:dyDescent="0.2">
      <c r="A28433" s="258"/>
      <c r="Z28433" s="258"/>
    </row>
    <row r="28434" spans="1:26" ht="12.75" customHeight="1" x14ac:dyDescent="0.2">
      <c r="A28434" s="258"/>
      <c r="Z28434" s="258"/>
    </row>
    <row r="28435" spans="1:26" ht="12.75" customHeight="1" x14ac:dyDescent="0.2">
      <c r="A28435" s="258"/>
      <c r="Z28435" s="258"/>
    </row>
    <row r="28436" spans="1:26" ht="12.75" customHeight="1" x14ac:dyDescent="0.2">
      <c r="A28436" s="258"/>
      <c r="Z28436" s="258"/>
    </row>
    <row r="28437" spans="1:26" ht="12.75" customHeight="1" x14ac:dyDescent="0.2">
      <c r="A28437" s="258"/>
      <c r="Z28437" s="258"/>
    </row>
    <row r="28438" spans="1:26" ht="12.75" customHeight="1" x14ac:dyDescent="0.2">
      <c r="A28438" s="258"/>
      <c r="Z28438" s="258"/>
    </row>
    <row r="28439" spans="1:26" ht="12.75" customHeight="1" x14ac:dyDescent="0.2">
      <c r="A28439" s="258"/>
      <c r="Z28439" s="258"/>
    </row>
    <row r="28440" spans="1:26" ht="12.75" customHeight="1" x14ac:dyDescent="0.2">
      <c r="A28440" s="258"/>
      <c r="Z28440" s="258"/>
    </row>
    <row r="28441" spans="1:26" ht="12.75" customHeight="1" x14ac:dyDescent="0.2">
      <c r="A28441" s="258"/>
      <c r="Z28441" s="258"/>
    </row>
    <row r="28442" spans="1:26" ht="12.75" customHeight="1" x14ac:dyDescent="0.2">
      <c r="A28442" s="258"/>
      <c r="Z28442" s="258"/>
    </row>
    <row r="28443" spans="1:26" ht="12.75" customHeight="1" x14ac:dyDescent="0.2">
      <c r="A28443" s="258"/>
      <c r="Z28443" s="258"/>
    </row>
    <row r="28444" spans="1:26" ht="12.75" customHeight="1" x14ac:dyDescent="0.2">
      <c r="A28444" s="258"/>
      <c r="Z28444" s="258"/>
    </row>
    <row r="28445" spans="1:26" ht="12.75" customHeight="1" x14ac:dyDescent="0.2">
      <c r="A28445" s="258"/>
      <c r="Z28445" s="258"/>
    </row>
    <row r="28446" spans="1:26" ht="12.75" customHeight="1" x14ac:dyDescent="0.2">
      <c r="A28446" s="258"/>
      <c r="Z28446" s="258"/>
    </row>
    <row r="28447" spans="1:26" ht="12.75" customHeight="1" x14ac:dyDescent="0.2">
      <c r="A28447" s="258"/>
      <c r="Z28447" s="258"/>
    </row>
    <row r="28448" spans="1:26" ht="12.75" customHeight="1" x14ac:dyDescent="0.2">
      <c r="A28448" s="258"/>
      <c r="Z28448" s="258"/>
    </row>
    <row r="28449" spans="1:26" ht="12.75" customHeight="1" x14ac:dyDescent="0.2">
      <c r="A28449" s="258"/>
      <c r="Z28449" s="258"/>
    </row>
    <row r="28450" spans="1:26" ht="12.75" customHeight="1" x14ac:dyDescent="0.2">
      <c r="A28450" s="258"/>
      <c r="Z28450" s="258"/>
    </row>
    <row r="28451" spans="1:26" ht="12.75" customHeight="1" x14ac:dyDescent="0.2">
      <c r="A28451" s="258"/>
      <c r="Z28451" s="258"/>
    </row>
    <row r="28452" spans="1:26" ht="12.75" customHeight="1" x14ac:dyDescent="0.2">
      <c r="A28452" s="258"/>
      <c r="Z28452" s="258"/>
    </row>
    <row r="28453" spans="1:26" ht="12.75" customHeight="1" x14ac:dyDescent="0.2">
      <c r="A28453" s="258"/>
      <c r="Z28453" s="258"/>
    </row>
    <row r="28454" spans="1:26" ht="12.75" customHeight="1" x14ac:dyDescent="0.2">
      <c r="A28454" s="258"/>
      <c r="Z28454" s="258"/>
    </row>
    <row r="28455" spans="1:26" ht="12.75" customHeight="1" x14ac:dyDescent="0.2">
      <c r="A28455" s="258"/>
      <c r="Z28455" s="258"/>
    </row>
    <row r="28456" spans="1:26" ht="12.75" customHeight="1" x14ac:dyDescent="0.2">
      <c r="A28456" s="258"/>
      <c r="Z28456" s="258"/>
    </row>
    <row r="28457" spans="1:26" ht="12.75" customHeight="1" x14ac:dyDescent="0.2">
      <c r="A28457" s="258"/>
      <c r="Z28457" s="258"/>
    </row>
    <row r="28458" spans="1:26" ht="12.75" customHeight="1" x14ac:dyDescent="0.2">
      <c r="A28458" s="258"/>
      <c r="Z28458" s="258"/>
    </row>
    <row r="28459" spans="1:26" ht="12.75" customHeight="1" x14ac:dyDescent="0.2">
      <c r="A28459" s="258"/>
      <c r="Z28459" s="258"/>
    </row>
    <row r="28460" spans="1:26" ht="12.75" customHeight="1" x14ac:dyDescent="0.2">
      <c r="A28460" s="258"/>
      <c r="Z28460" s="258"/>
    </row>
    <row r="28461" spans="1:26" ht="12.75" customHeight="1" x14ac:dyDescent="0.2">
      <c r="A28461" s="258"/>
      <c r="Z28461" s="258"/>
    </row>
    <row r="28462" spans="1:26" ht="12.75" customHeight="1" x14ac:dyDescent="0.2">
      <c r="A28462" s="258"/>
      <c r="Z28462" s="258"/>
    </row>
    <row r="28463" spans="1:26" ht="12.75" customHeight="1" x14ac:dyDescent="0.2">
      <c r="A28463" s="258"/>
      <c r="Z28463" s="258"/>
    </row>
    <row r="28464" spans="1:26" ht="12.75" customHeight="1" x14ac:dyDescent="0.2">
      <c r="A28464" s="258"/>
      <c r="Z28464" s="258"/>
    </row>
    <row r="28465" spans="1:26" ht="12.75" customHeight="1" x14ac:dyDescent="0.2">
      <c r="A28465" s="258"/>
      <c r="Z28465" s="258"/>
    </row>
    <row r="28466" spans="1:26" ht="12.75" customHeight="1" x14ac:dyDescent="0.2">
      <c r="A28466" s="258"/>
      <c r="Z28466" s="258"/>
    </row>
    <row r="28467" spans="1:26" ht="12.75" customHeight="1" x14ac:dyDescent="0.2">
      <c r="A28467" s="258"/>
      <c r="Z28467" s="258"/>
    </row>
    <row r="28468" spans="1:26" ht="12.75" customHeight="1" x14ac:dyDescent="0.2">
      <c r="A28468" s="258"/>
      <c r="Z28468" s="258"/>
    </row>
    <row r="28469" spans="1:26" ht="12.75" customHeight="1" x14ac:dyDescent="0.2">
      <c r="A28469" s="258"/>
      <c r="Z28469" s="258"/>
    </row>
    <row r="28470" spans="1:26" ht="12.75" customHeight="1" x14ac:dyDescent="0.2">
      <c r="A28470" s="258"/>
      <c r="Z28470" s="258"/>
    </row>
    <row r="28471" spans="1:26" ht="12.75" customHeight="1" x14ac:dyDescent="0.2">
      <c r="A28471" s="258"/>
      <c r="Z28471" s="258"/>
    </row>
    <row r="28472" spans="1:26" ht="12.75" customHeight="1" x14ac:dyDescent="0.2">
      <c r="A28472" s="258"/>
      <c r="Z28472" s="258"/>
    </row>
    <row r="28473" spans="1:26" ht="12.75" customHeight="1" x14ac:dyDescent="0.2">
      <c r="A28473" s="258"/>
      <c r="Z28473" s="258"/>
    </row>
    <row r="28474" spans="1:26" ht="12.75" customHeight="1" x14ac:dyDescent="0.2">
      <c r="A28474" s="258"/>
      <c r="Z28474" s="258"/>
    </row>
    <row r="28475" spans="1:26" ht="12.75" customHeight="1" x14ac:dyDescent="0.2">
      <c r="A28475" s="258"/>
      <c r="Z28475" s="258"/>
    </row>
    <row r="28476" spans="1:26" ht="12.75" customHeight="1" x14ac:dyDescent="0.2">
      <c r="A28476" s="258"/>
      <c r="Z28476" s="258"/>
    </row>
    <row r="28477" spans="1:26" ht="12.75" customHeight="1" x14ac:dyDescent="0.2">
      <c r="A28477" s="258"/>
      <c r="Z28477" s="258"/>
    </row>
    <row r="28478" spans="1:26" ht="12.75" customHeight="1" x14ac:dyDescent="0.2">
      <c r="A28478" s="258"/>
      <c r="Z28478" s="258"/>
    </row>
    <row r="28479" spans="1:26" ht="12.75" customHeight="1" x14ac:dyDescent="0.2">
      <c r="A28479" s="258"/>
      <c r="Z28479" s="258"/>
    </row>
    <row r="28480" spans="1:26" ht="12.75" customHeight="1" x14ac:dyDescent="0.2">
      <c r="A28480" s="258"/>
      <c r="Z28480" s="258"/>
    </row>
    <row r="28481" spans="1:26" ht="12.75" customHeight="1" x14ac:dyDescent="0.2">
      <c r="A28481" s="258"/>
      <c r="Z28481" s="258"/>
    </row>
    <row r="28482" spans="1:26" ht="12.75" customHeight="1" x14ac:dyDescent="0.2">
      <c r="A28482" s="258"/>
      <c r="Z28482" s="258"/>
    </row>
    <row r="28483" spans="1:26" ht="12.75" customHeight="1" x14ac:dyDescent="0.2">
      <c r="A28483" s="258"/>
      <c r="Z28483" s="258"/>
    </row>
    <row r="28484" spans="1:26" ht="12.75" customHeight="1" x14ac:dyDescent="0.2">
      <c r="A28484" s="258"/>
      <c r="Z28484" s="258"/>
    </row>
    <row r="28485" spans="1:26" ht="12.75" customHeight="1" x14ac:dyDescent="0.2">
      <c r="A28485" s="258"/>
      <c r="Z28485" s="258"/>
    </row>
    <row r="28486" spans="1:26" ht="12.75" customHeight="1" x14ac:dyDescent="0.2">
      <c r="A28486" s="258"/>
      <c r="Z28486" s="258"/>
    </row>
    <row r="28487" spans="1:26" ht="12.75" customHeight="1" x14ac:dyDescent="0.2">
      <c r="A28487" s="258"/>
      <c r="Z28487" s="258"/>
    </row>
    <row r="28488" spans="1:26" ht="12.75" customHeight="1" x14ac:dyDescent="0.2">
      <c r="A28488" s="258"/>
      <c r="Z28488" s="258"/>
    </row>
    <row r="28489" spans="1:26" ht="12.75" customHeight="1" x14ac:dyDescent="0.2">
      <c r="A28489" s="258"/>
      <c r="Z28489" s="258"/>
    </row>
    <row r="28490" spans="1:26" ht="12.75" customHeight="1" x14ac:dyDescent="0.2">
      <c r="A28490" s="258"/>
      <c r="Z28490" s="258"/>
    </row>
    <row r="28491" spans="1:26" ht="12.75" customHeight="1" x14ac:dyDescent="0.2">
      <c r="A28491" s="258"/>
      <c r="Z28491" s="258"/>
    </row>
    <row r="28492" spans="1:26" ht="12.75" customHeight="1" x14ac:dyDescent="0.2">
      <c r="A28492" s="258"/>
      <c r="Z28492" s="258"/>
    </row>
    <row r="28493" spans="1:26" ht="12.75" customHeight="1" x14ac:dyDescent="0.2">
      <c r="A28493" s="258"/>
      <c r="Z28493" s="258"/>
    </row>
    <row r="28494" spans="1:26" ht="12.75" customHeight="1" x14ac:dyDescent="0.2">
      <c r="A28494" s="258"/>
      <c r="Z28494" s="258"/>
    </row>
    <row r="28495" spans="1:26" ht="12.75" customHeight="1" x14ac:dyDescent="0.2">
      <c r="A28495" s="258"/>
      <c r="Z28495" s="258"/>
    </row>
    <row r="28496" spans="1:26" ht="12.75" customHeight="1" x14ac:dyDescent="0.2">
      <c r="A28496" s="258"/>
      <c r="Z28496" s="258"/>
    </row>
    <row r="28497" spans="1:26" ht="12.75" customHeight="1" x14ac:dyDescent="0.2">
      <c r="A28497" s="258"/>
      <c r="Z28497" s="258"/>
    </row>
    <row r="28498" spans="1:26" ht="12.75" customHeight="1" x14ac:dyDescent="0.2">
      <c r="A28498" s="258"/>
      <c r="Z28498" s="258"/>
    </row>
    <row r="28499" spans="1:26" ht="12.75" customHeight="1" x14ac:dyDescent="0.2">
      <c r="A28499" s="258"/>
      <c r="Z28499" s="258"/>
    </row>
    <row r="28500" spans="1:26" ht="12.75" customHeight="1" x14ac:dyDescent="0.2">
      <c r="A28500" s="258"/>
      <c r="Z28500" s="258"/>
    </row>
    <row r="28501" spans="1:26" ht="12.75" customHeight="1" x14ac:dyDescent="0.2">
      <c r="A28501" s="258"/>
      <c r="Z28501" s="258"/>
    </row>
    <row r="28502" spans="1:26" ht="12.75" customHeight="1" x14ac:dyDescent="0.2">
      <c r="A28502" s="258"/>
      <c r="Z28502" s="258"/>
    </row>
    <row r="28503" spans="1:26" ht="12.75" customHeight="1" x14ac:dyDescent="0.2">
      <c r="A28503" s="258"/>
      <c r="Z28503" s="258"/>
    </row>
    <row r="28504" spans="1:26" ht="12.75" customHeight="1" x14ac:dyDescent="0.2">
      <c r="A28504" s="258"/>
      <c r="Z28504" s="258"/>
    </row>
    <row r="28505" spans="1:26" ht="12.75" customHeight="1" x14ac:dyDescent="0.2">
      <c r="A28505" s="258"/>
      <c r="Z28505" s="258"/>
    </row>
    <row r="28506" spans="1:26" ht="12.75" customHeight="1" x14ac:dyDescent="0.2">
      <c r="A28506" s="258"/>
      <c r="Z28506" s="258"/>
    </row>
    <row r="28507" spans="1:26" ht="12.75" customHeight="1" x14ac:dyDescent="0.2">
      <c r="A28507" s="258"/>
      <c r="Z28507" s="258"/>
    </row>
    <row r="28508" spans="1:26" ht="12.75" customHeight="1" x14ac:dyDescent="0.2">
      <c r="A28508" s="258"/>
      <c r="Z28508" s="258"/>
    </row>
    <row r="28509" spans="1:26" ht="12.75" customHeight="1" x14ac:dyDescent="0.2">
      <c r="A28509" s="258"/>
      <c r="Z28509" s="258"/>
    </row>
    <row r="28510" spans="1:26" ht="12.75" customHeight="1" x14ac:dyDescent="0.2">
      <c r="A28510" s="258"/>
      <c r="Z28510" s="258"/>
    </row>
    <row r="28511" spans="1:26" ht="12.75" customHeight="1" x14ac:dyDescent="0.2">
      <c r="A28511" s="258"/>
      <c r="Z28511" s="258"/>
    </row>
    <row r="28512" spans="1:26" ht="12.75" customHeight="1" x14ac:dyDescent="0.2">
      <c r="A28512" s="258"/>
      <c r="Z28512" s="258"/>
    </row>
    <row r="28513" spans="1:26" ht="12.75" customHeight="1" x14ac:dyDescent="0.2">
      <c r="A28513" s="258"/>
      <c r="Z28513" s="258"/>
    </row>
    <row r="28514" spans="1:26" ht="12.75" customHeight="1" x14ac:dyDescent="0.2">
      <c r="A28514" s="258"/>
      <c r="Z28514" s="258"/>
    </row>
    <row r="28515" spans="1:26" ht="12.75" customHeight="1" x14ac:dyDescent="0.2">
      <c r="A28515" s="258"/>
      <c r="Z28515" s="258"/>
    </row>
    <row r="28516" spans="1:26" ht="12.75" customHeight="1" x14ac:dyDescent="0.2">
      <c r="A28516" s="258"/>
      <c r="Z28516" s="258"/>
    </row>
    <row r="28517" spans="1:26" ht="12.75" customHeight="1" x14ac:dyDescent="0.2">
      <c r="A28517" s="258"/>
      <c r="Z28517" s="258"/>
    </row>
    <row r="28518" spans="1:26" ht="12.75" customHeight="1" x14ac:dyDescent="0.2">
      <c r="A28518" s="258"/>
      <c r="Z28518" s="258"/>
    </row>
    <row r="28519" spans="1:26" ht="12.75" customHeight="1" x14ac:dyDescent="0.2">
      <c r="A28519" s="258"/>
      <c r="Z28519" s="258"/>
    </row>
    <row r="28520" spans="1:26" ht="12.75" customHeight="1" x14ac:dyDescent="0.2">
      <c r="A28520" s="258"/>
      <c r="Z28520" s="258"/>
    </row>
    <row r="28521" spans="1:26" ht="12.75" customHeight="1" x14ac:dyDescent="0.2">
      <c r="A28521" s="258"/>
      <c r="Z28521" s="258"/>
    </row>
    <row r="28522" spans="1:26" ht="12.75" customHeight="1" x14ac:dyDescent="0.2">
      <c r="A28522" s="258"/>
      <c r="Z28522" s="258"/>
    </row>
    <row r="28523" spans="1:26" ht="12.75" customHeight="1" x14ac:dyDescent="0.2">
      <c r="A28523" s="258"/>
      <c r="Z28523" s="258"/>
    </row>
    <row r="28524" spans="1:26" ht="12.75" customHeight="1" x14ac:dyDescent="0.2">
      <c r="A28524" s="258"/>
      <c r="Z28524" s="258"/>
    </row>
    <row r="28525" spans="1:26" ht="12.75" customHeight="1" x14ac:dyDescent="0.2">
      <c r="A28525" s="258"/>
      <c r="Z28525" s="258"/>
    </row>
    <row r="28526" spans="1:26" ht="12.75" customHeight="1" x14ac:dyDescent="0.2">
      <c r="A28526" s="258"/>
      <c r="Z28526" s="258"/>
    </row>
    <row r="28527" spans="1:26" ht="12.75" customHeight="1" x14ac:dyDescent="0.2">
      <c r="A28527" s="258"/>
      <c r="Z28527" s="258"/>
    </row>
    <row r="28528" spans="1:26" ht="12.75" customHeight="1" x14ac:dyDescent="0.2">
      <c r="A28528" s="258"/>
      <c r="Z28528" s="258"/>
    </row>
    <row r="28529" spans="1:26" ht="12.75" customHeight="1" x14ac:dyDescent="0.2">
      <c r="A28529" s="258"/>
      <c r="Z28529" s="258"/>
    </row>
    <row r="28530" spans="1:26" ht="12.75" customHeight="1" x14ac:dyDescent="0.2">
      <c r="A28530" s="258"/>
      <c r="Z28530" s="258"/>
    </row>
    <row r="28531" spans="1:26" ht="12.75" customHeight="1" x14ac:dyDescent="0.2">
      <c r="A28531" s="258"/>
      <c r="Z28531" s="258"/>
    </row>
    <row r="28532" spans="1:26" ht="12.75" customHeight="1" x14ac:dyDescent="0.2">
      <c r="A28532" s="258"/>
      <c r="Z28532" s="258"/>
    </row>
    <row r="28533" spans="1:26" ht="12.75" customHeight="1" x14ac:dyDescent="0.2">
      <c r="A28533" s="258"/>
      <c r="Z28533" s="258"/>
    </row>
    <row r="28534" spans="1:26" ht="12.75" customHeight="1" x14ac:dyDescent="0.2">
      <c r="A28534" s="258"/>
      <c r="Z28534" s="258"/>
    </row>
    <row r="28535" spans="1:26" ht="12.75" customHeight="1" x14ac:dyDescent="0.2">
      <c r="A28535" s="258"/>
      <c r="Z28535" s="258"/>
    </row>
    <row r="28536" spans="1:26" ht="12.75" customHeight="1" x14ac:dyDescent="0.2">
      <c r="A28536" s="258"/>
      <c r="Z28536" s="258"/>
    </row>
    <row r="28537" spans="1:26" ht="12.75" customHeight="1" x14ac:dyDescent="0.2">
      <c r="A28537" s="258"/>
      <c r="Z28537" s="258"/>
    </row>
    <row r="28538" spans="1:26" ht="12.75" customHeight="1" x14ac:dyDescent="0.2">
      <c r="A28538" s="258"/>
      <c r="Z28538" s="258"/>
    </row>
    <row r="28539" spans="1:26" ht="12.75" customHeight="1" x14ac:dyDescent="0.2">
      <c r="A28539" s="258"/>
      <c r="Z28539" s="258"/>
    </row>
    <row r="28540" spans="1:26" ht="12.75" customHeight="1" x14ac:dyDescent="0.2">
      <c r="A28540" s="258"/>
      <c r="Z28540" s="258"/>
    </row>
    <row r="28541" spans="1:26" ht="12.75" customHeight="1" x14ac:dyDescent="0.2">
      <c r="A28541" s="258"/>
      <c r="Z28541" s="258"/>
    </row>
    <row r="28542" spans="1:26" ht="12.75" customHeight="1" x14ac:dyDescent="0.2">
      <c r="A28542" s="258"/>
      <c r="Z28542" s="258"/>
    </row>
    <row r="28543" spans="1:26" ht="12.75" customHeight="1" x14ac:dyDescent="0.2">
      <c r="A28543" s="258"/>
      <c r="Z28543" s="258"/>
    </row>
    <row r="28544" spans="1:26" ht="12.75" customHeight="1" x14ac:dyDescent="0.2">
      <c r="A28544" s="258"/>
      <c r="Z28544" s="258"/>
    </row>
    <row r="28545" spans="1:26" ht="12.75" customHeight="1" x14ac:dyDescent="0.2">
      <c r="A28545" s="258"/>
      <c r="Z28545" s="258"/>
    </row>
    <row r="28546" spans="1:26" ht="12.75" customHeight="1" x14ac:dyDescent="0.2">
      <c r="A28546" s="258"/>
      <c r="Z28546" s="258"/>
    </row>
    <row r="28547" spans="1:26" ht="12.75" customHeight="1" x14ac:dyDescent="0.2">
      <c r="A28547" s="258"/>
      <c r="Z28547" s="258"/>
    </row>
    <row r="28548" spans="1:26" ht="12.75" customHeight="1" x14ac:dyDescent="0.2">
      <c r="A28548" s="258"/>
      <c r="Z28548" s="258"/>
    </row>
    <row r="28549" spans="1:26" ht="12.75" customHeight="1" x14ac:dyDescent="0.2">
      <c r="A28549" s="258"/>
      <c r="Z28549" s="258"/>
    </row>
    <row r="28550" spans="1:26" ht="12.75" customHeight="1" x14ac:dyDescent="0.2">
      <c r="A28550" s="258"/>
      <c r="Z28550" s="258"/>
    </row>
    <row r="28551" spans="1:26" ht="12.75" customHeight="1" x14ac:dyDescent="0.2">
      <c r="A28551" s="258"/>
      <c r="Z28551" s="258"/>
    </row>
    <row r="28552" spans="1:26" ht="12.75" customHeight="1" x14ac:dyDescent="0.2">
      <c r="A28552" s="258"/>
      <c r="Z28552" s="258"/>
    </row>
    <row r="28553" spans="1:26" ht="12.75" customHeight="1" x14ac:dyDescent="0.2">
      <c r="A28553" s="258"/>
      <c r="Z28553" s="258"/>
    </row>
    <row r="28554" spans="1:26" ht="12.75" customHeight="1" x14ac:dyDescent="0.2">
      <c r="A28554" s="258"/>
      <c r="Z28554" s="258"/>
    </row>
    <row r="28555" spans="1:26" ht="12.75" customHeight="1" x14ac:dyDescent="0.2">
      <c r="A28555" s="258"/>
      <c r="Z28555" s="258"/>
    </row>
    <row r="28556" spans="1:26" ht="12.75" customHeight="1" x14ac:dyDescent="0.2">
      <c r="A28556" s="258"/>
      <c r="Z28556" s="258"/>
    </row>
    <row r="28557" spans="1:26" ht="12.75" customHeight="1" x14ac:dyDescent="0.2">
      <c r="A28557" s="258"/>
      <c r="Z28557" s="258"/>
    </row>
    <row r="28558" spans="1:26" ht="12.75" customHeight="1" x14ac:dyDescent="0.2">
      <c r="A28558" s="258"/>
      <c r="Z28558" s="258"/>
    </row>
    <row r="28559" spans="1:26" ht="12.75" customHeight="1" x14ac:dyDescent="0.2">
      <c r="A28559" s="258"/>
      <c r="Z28559" s="258"/>
    </row>
    <row r="28560" spans="1:26" ht="12.75" customHeight="1" x14ac:dyDescent="0.2">
      <c r="A28560" s="258"/>
      <c r="Z28560" s="258"/>
    </row>
    <row r="28561" spans="1:26" ht="12.75" customHeight="1" x14ac:dyDescent="0.2">
      <c r="A28561" s="258"/>
      <c r="Z28561" s="258"/>
    </row>
    <row r="28562" spans="1:26" ht="12.75" customHeight="1" x14ac:dyDescent="0.2">
      <c r="A28562" s="258"/>
      <c r="Z28562" s="258"/>
    </row>
    <row r="28563" spans="1:26" ht="12.75" customHeight="1" x14ac:dyDescent="0.2">
      <c r="A28563" s="258"/>
      <c r="Z28563" s="258"/>
    </row>
    <row r="28564" spans="1:26" ht="12.75" customHeight="1" x14ac:dyDescent="0.2">
      <c r="A28564" s="258"/>
      <c r="Z28564" s="258"/>
    </row>
    <row r="28565" spans="1:26" ht="12.75" customHeight="1" x14ac:dyDescent="0.2">
      <c r="A28565" s="258"/>
      <c r="Z28565" s="258"/>
    </row>
    <row r="28566" spans="1:26" ht="12.75" customHeight="1" x14ac:dyDescent="0.2">
      <c r="A28566" s="258"/>
      <c r="Z28566" s="258"/>
    </row>
    <row r="28567" spans="1:26" ht="12.75" customHeight="1" x14ac:dyDescent="0.2">
      <c r="A28567" s="258"/>
      <c r="Z28567" s="258"/>
    </row>
    <row r="28568" spans="1:26" ht="12.75" customHeight="1" x14ac:dyDescent="0.2">
      <c r="A28568" s="258"/>
      <c r="Z28568" s="258"/>
    </row>
    <row r="28569" spans="1:26" ht="12.75" customHeight="1" x14ac:dyDescent="0.2">
      <c r="A28569" s="258"/>
      <c r="Z28569" s="258"/>
    </row>
    <row r="28570" spans="1:26" ht="12.75" customHeight="1" x14ac:dyDescent="0.2">
      <c r="A28570" s="258"/>
      <c r="Z28570" s="258"/>
    </row>
    <row r="28571" spans="1:26" ht="12.75" customHeight="1" x14ac:dyDescent="0.2">
      <c r="A28571" s="258"/>
      <c r="Z28571" s="258"/>
    </row>
    <row r="28572" spans="1:26" ht="12.75" customHeight="1" x14ac:dyDescent="0.2">
      <c r="A28572" s="258"/>
      <c r="Z28572" s="258"/>
    </row>
    <row r="28573" spans="1:26" ht="12.75" customHeight="1" x14ac:dyDescent="0.2">
      <c r="A28573" s="258"/>
      <c r="Z28573" s="258"/>
    </row>
    <row r="28574" spans="1:26" ht="12.75" customHeight="1" x14ac:dyDescent="0.2">
      <c r="A28574" s="258"/>
      <c r="Z28574" s="258"/>
    </row>
    <row r="28575" spans="1:26" ht="12.75" customHeight="1" x14ac:dyDescent="0.2">
      <c r="A28575" s="258"/>
      <c r="Z28575" s="258"/>
    </row>
    <row r="28576" spans="1:26" ht="12.75" customHeight="1" x14ac:dyDescent="0.2">
      <c r="A28576" s="258"/>
      <c r="Z28576" s="258"/>
    </row>
    <row r="28577" spans="1:26" ht="12.75" customHeight="1" x14ac:dyDescent="0.2">
      <c r="A28577" s="258"/>
      <c r="Z28577" s="258"/>
    </row>
    <row r="28578" spans="1:26" ht="12.75" customHeight="1" x14ac:dyDescent="0.2">
      <c r="A28578" s="258"/>
      <c r="Z28578" s="258"/>
    </row>
    <row r="28579" spans="1:26" ht="12.75" customHeight="1" x14ac:dyDescent="0.2">
      <c r="A28579" s="258"/>
      <c r="Z28579" s="258"/>
    </row>
    <row r="28580" spans="1:26" ht="12.75" customHeight="1" x14ac:dyDescent="0.2">
      <c r="A28580" s="258"/>
      <c r="Z28580" s="258"/>
    </row>
    <row r="28581" spans="1:26" ht="12.75" customHeight="1" x14ac:dyDescent="0.2">
      <c r="A28581" s="258"/>
      <c r="Z28581" s="258"/>
    </row>
    <row r="28582" spans="1:26" ht="12.75" customHeight="1" x14ac:dyDescent="0.2">
      <c r="A28582" s="258"/>
      <c r="Z28582" s="258"/>
    </row>
    <row r="28583" spans="1:26" ht="12.75" customHeight="1" x14ac:dyDescent="0.2">
      <c r="A28583" s="258"/>
      <c r="Z28583" s="258"/>
    </row>
    <row r="28584" spans="1:26" ht="12.75" customHeight="1" x14ac:dyDescent="0.2">
      <c r="A28584" s="258"/>
      <c r="Z28584" s="258"/>
    </row>
    <row r="28585" spans="1:26" ht="12.75" customHeight="1" x14ac:dyDescent="0.2">
      <c r="A28585" s="258"/>
      <c r="Z28585" s="258"/>
    </row>
    <row r="28586" spans="1:26" ht="12.75" customHeight="1" x14ac:dyDescent="0.2">
      <c r="A28586" s="258"/>
      <c r="Z28586" s="258"/>
    </row>
    <row r="28587" spans="1:26" ht="12.75" customHeight="1" x14ac:dyDescent="0.2">
      <c r="A28587" s="258"/>
      <c r="Z28587" s="258"/>
    </row>
    <row r="28588" spans="1:26" ht="12.75" customHeight="1" x14ac:dyDescent="0.2">
      <c r="A28588" s="258"/>
      <c r="Z28588" s="258"/>
    </row>
    <row r="28589" spans="1:26" ht="12.75" customHeight="1" x14ac:dyDescent="0.2">
      <c r="A28589" s="258"/>
      <c r="Z28589" s="258"/>
    </row>
    <row r="28590" spans="1:26" ht="12.75" customHeight="1" x14ac:dyDescent="0.2">
      <c r="A28590" s="258"/>
      <c r="Z28590" s="258"/>
    </row>
    <row r="28591" spans="1:26" ht="12.75" customHeight="1" x14ac:dyDescent="0.2">
      <c r="A28591" s="258"/>
      <c r="Z28591" s="258"/>
    </row>
    <row r="28592" spans="1:26" ht="12.75" customHeight="1" x14ac:dyDescent="0.2">
      <c r="A28592" s="258"/>
      <c r="Z28592" s="258"/>
    </row>
    <row r="28593" spans="1:26" ht="12.75" customHeight="1" x14ac:dyDescent="0.2">
      <c r="A28593" s="258"/>
      <c r="Z28593" s="258"/>
    </row>
    <row r="28594" spans="1:26" ht="12.75" customHeight="1" x14ac:dyDescent="0.2">
      <c r="A28594" s="258"/>
      <c r="Z28594" s="258"/>
    </row>
    <row r="28595" spans="1:26" ht="12.75" customHeight="1" x14ac:dyDescent="0.2">
      <c r="A28595" s="258"/>
      <c r="Z28595" s="258"/>
    </row>
    <row r="28596" spans="1:26" ht="12.75" customHeight="1" x14ac:dyDescent="0.2">
      <c r="A28596" s="258"/>
      <c r="Z28596" s="258"/>
    </row>
    <row r="28597" spans="1:26" ht="12.75" customHeight="1" x14ac:dyDescent="0.2">
      <c r="A28597" s="258"/>
      <c r="Z28597" s="258"/>
    </row>
    <row r="28598" spans="1:26" ht="12.75" customHeight="1" x14ac:dyDescent="0.2">
      <c r="A28598" s="258"/>
      <c r="Z28598" s="258"/>
    </row>
    <row r="28599" spans="1:26" ht="12.75" customHeight="1" x14ac:dyDescent="0.2">
      <c r="A28599" s="258"/>
      <c r="Z28599" s="258"/>
    </row>
    <row r="28600" spans="1:26" ht="12.75" customHeight="1" x14ac:dyDescent="0.2">
      <c r="A28600" s="258"/>
      <c r="Z28600" s="258"/>
    </row>
    <row r="28601" spans="1:26" ht="12.75" customHeight="1" x14ac:dyDescent="0.2">
      <c r="A28601" s="258"/>
      <c r="Z28601" s="258"/>
    </row>
    <row r="28602" spans="1:26" ht="12.75" customHeight="1" x14ac:dyDescent="0.2">
      <c r="A28602" s="258"/>
      <c r="Z28602" s="258"/>
    </row>
    <row r="28603" spans="1:26" ht="12.75" customHeight="1" x14ac:dyDescent="0.2">
      <c r="A28603" s="258"/>
      <c r="Z28603" s="258"/>
    </row>
    <row r="28604" spans="1:26" ht="12.75" customHeight="1" x14ac:dyDescent="0.2">
      <c r="A28604" s="258"/>
      <c r="Z28604" s="258"/>
    </row>
    <row r="28605" spans="1:26" ht="12.75" customHeight="1" x14ac:dyDescent="0.2">
      <c r="A28605" s="258"/>
      <c r="Z28605" s="258"/>
    </row>
    <row r="28606" spans="1:26" ht="12.75" customHeight="1" x14ac:dyDescent="0.2">
      <c r="A28606" s="258"/>
      <c r="Z28606" s="258"/>
    </row>
    <row r="28607" spans="1:26" ht="12.75" customHeight="1" x14ac:dyDescent="0.2">
      <c r="A28607" s="258"/>
      <c r="Z28607" s="258"/>
    </row>
    <row r="28608" spans="1:26" ht="12.75" customHeight="1" x14ac:dyDescent="0.2">
      <c r="A28608" s="258"/>
      <c r="Z28608" s="258"/>
    </row>
    <row r="28609" spans="1:26" ht="12.75" customHeight="1" x14ac:dyDescent="0.2">
      <c r="A28609" s="258"/>
      <c r="Z28609" s="258"/>
    </row>
    <row r="28610" spans="1:26" ht="12.75" customHeight="1" x14ac:dyDescent="0.2">
      <c r="A28610" s="258"/>
      <c r="Z28610" s="258"/>
    </row>
    <row r="28611" spans="1:26" ht="12.75" customHeight="1" x14ac:dyDescent="0.2">
      <c r="A28611" s="258"/>
      <c r="Z28611" s="258"/>
    </row>
    <row r="28612" spans="1:26" ht="12.75" customHeight="1" x14ac:dyDescent="0.2">
      <c r="A28612" s="258"/>
      <c r="Z28612" s="258"/>
    </row>
    <row r="28613" spans="1:26" ht="12.75" customHeight="1" x14ac:dyDescent="0.2">
      <c r="A28613" s="258"/>
      <c r="Z28613" s="258"/>
    </row>
    <row r="28614" spans="1:26" ht="12.75" customHeight="1" x14ac:dyDescent="0.2">
      <c r="A28614" s="258"/>
      <c r="Z28614" s="258"/>
    </row>
    <row r="28615" spans="1:26" ht="12.75" customHeight="1" x14ac:dyDescent="0.2">
      <c r="A28615" s="258"/>
      <c r="Z28615" s="258"/>
    </row>
    <row r="28616" spans="1:26" ht="12.75" customHeight="1" x14ac:dyDescent="0.2">
      <c r="A28616" s="258"/>
      <c r="Z28616" s="258"/>
    </row>
    <row r="28617" spans="1:26" ht="12.75" customHeight="1" x14ac:dyDescent="0.2">
      <c r="A28617" s="258"/>
      <c r="Z28617" s="258"/>
    </row>
    <row r="28618" spans="1:26" ht="12.75" customHeight="1" x14ac:dyDescent="0.2">
      <c r="A28618" s="258"/>
      <c r="Z28618" s="258"/>
    </row>
    <row r="28619" spans="1:26" ht="12.75" customHeight="1" x14ac:dyDescent="0.2">
      <c r="A28619" s="258"/>
      <c r="Z28619" s="258"/>
    </row>
    <row r="28620" spans="1:26" ht="12.75" customHeight="1" x14ac:dyDescent="0.2">
      <c r="A28620" s="258"/>
      <c r="Z28620" s="258"/>
    </row>
    <row r="28621" spans="1:26" ht="12.75" customHeight="1" x14ac:dyDescent="0.2">
      <c r="A28621" s="258"/>
      <c r="Z28621" s="258"/>
    </row>
    <row r="28622" spans="1:26" ht="12.75" customHeight="1" x14ac:dyDescent="0.2">
      <c r="A28622" s="258"/>
      <c r="Z28622" s="258"/>
    </row>
    <row r="28623" spans="1:26" ht="12.75" customHeight="1" x14ac:dyDescent="0.2">
      <c r="A28623" s="258"/>
      <c r="Z28623" s="258"/>
    </row>
    <row r="28624" spans="1:26" ht="12.75" customHeight="1" x14ac:dyDescent="0.2">
      <c r="A28624" s="258"/>
      <c r="Z28624" s="258"/>
    </row>
    <row r="28625" spans="1:26" ht="12.75" customHeight="1" x14ac:dyDescent="0.2">
      <c r="A28625" s="258"/>
      <c r="Z28625" s="258"/>
    </row>
    <row r="28626" spans="1:26" ht="12.75" customHeight="1" x14ac:dyDescent="0.2">
      <c r="A28626" s="258"/>
      <c r="Z28626" s="258"/>
    </row>
    <row r="28627" spans="1:26" ht="12.75" customHeight="1" x14ac:dyDescent="0.2">
      <c r="A28627" s="258"/>
      <c r="Z28627" s="258"/>
    </row>
    <row r="28628" spans="1:26" ht="12.75" customHeight="1" x14ac:dyDescent="0.2">
      <c r="A28628" s="258"/>
      <c r="Z28628" s="258"/>
    </row>
    <row r="28629" spans="1:26" ht="12.75" customHeight="1" x14ac:dyDescent="0.2">
      <c r="A28629" s="258"/>
      <c r="Z28629" s="258"/>
    </row>
    <row r="28630" spans="1:26" ht="12.75" customHeight="1" x14ac:dyDescent="0.2">
      <c r="A28630" s="258"/>
      <c r="Z28630" s="258"/>
    </row>
    <row r="28631" spans="1:26" ht="12.75" customHeight="1" x14ac:dyDescent="0.2">
      <c r="A28631" s="258"/>
      <c r="Z28631" s="258"/>
    </row>
    <row r="28632" spans="1:26" ht="12.75" customHeight="1" x14ac:dyDescent="0.2">
      <c r="A28632" s="258"/>
      <c r="Z28632" s="258"/>
    </row>
    <row r="28633" spans="1:26" ht="12.75" customHeight="1" x14ac:dyDescent="0.2">
      <c r="A28633" s="258"/>
      <c r="Z28633" s="258"/>
    </row>
    <row r="28634" spans="1:26" ht="12.75" customHeight="1" x14ac:dyDescent="0.2">
      <c r="A28634" s="258"/>
      <c r="Z28634" s="258"/>
    </row>
    <row r="28635" spans="1:26" ht="12.75" customHeight="1" x14ac:dyDescent="0.2">
      <c r="A28635" s="258"/>
      <c r="Z28635" s="258"/>
    </row>
    <row r="28636" spans="1:26" ht="12.75" customHeight="1" x14ac:dyDescent="0.2">
      <c r="A28636" s="258"/>
      <c r="Z28636" s="258"/>
    </row>
    <row r="28637" spans="1:26" ht="12.75" customHeight="1" x14ac:dyDescent="0.2">
      <c r="A28637" s="258"/>
      <c r="Z28637" s="258"/>
    </row>
    <row r="28638" spans="1:26" ht="12.75" customHeight="1" x14ac:dyDescent="0.2">
      <c r="A28638" s="258"/>
      <c r="Z28638" s="258"/>
    </row>
    <row r="28639" spans="1:26" ht="12.75" customHeight="1" x14ac:dyDescent="0.2">
      <c r="A28639" s="258"/>
      <c r="Z28639" s="258"/>
    </row>
    <row r="28640" spans="1:26" ht="12.75" customHeight="1" x14ac:dyDescent="0.2">
      <c r="A28640" s="258"/>
      <c r="Z28640" s="258"/>
    </row>
    <row r="28641" spans="1:26" ht="12.75" customHeight="1" x14ac:dyDescent="0.2">
      <c r="A28641" s="258"/>
      <c r="Z28641" s="258"/>
    </row>
    <row r="28642" spans="1:26" ht="12.75" customHeight="1" x14ac:dyDescent="0.2">
      <c r="A28642" s="258"/>
      <c r="Z28642" s="258"/>
    </row>
    <row r="28643" spans="1:26" ht="12.75" customHeight="1" x14ac:dyDescent="0.2">
      <c r="A28643" s="258"/>
      <c r="Z28643" s="258"/>
    </row>
    <row r="28644" spans="1:26" ht="12.75" customHeight="1" x14ac:dyDescent="0.2">
      <c r="A28644" s="258"/>
      <c r="Z28644" s="258"/>
    </row>
    <row r="28645" spans="1:26" ht="12.75" customHeight="1" x14ac:dyDescent="0.2">
      <c r="A28645" s="258"/>
      <c r="Z28645" s="258"/>
    </row>
    <row r="28646" spans="1:26" ht="12.75" customHeight="1" x14ac:dyDescent="0.2">
      <c r="A28646" s="258"/>
      <c r="Z28646" s="258"/>
    </row>
    <row r="28647" spans="1:26" ht="12.75" customHeight="1" x14ac:dyDescent="0.2">
      <c r="A28647" s="258"/>
      <c r="Z28647" s="258"/>
    </row>
    <row r="28648" spans="1:26" ht="12.75" customHeight="1" x14ac:dyDescent="0.2">
      <c r="A28648" s="258"/>
      <c r="Z28648" s="258"/>
    </row>
    <row r="28649" spans="1:26" ht="12.75" customHeight="1" x14ac:dyDescent="0.2">
      <c r="A28649" s="258"/>
      <c r="Z28649" s="258"/>
    </row>
    <row r="28650" spans="1:26" ht="12.75" customHeight="1" x14ac:dyDescent="0.2">
      <c r="A28650" s="258"/>
      <c r="Z28650" s="258"/>
    </row>
    <row r="28651" spans="1:26" ht="12.75" customHeight="1" x14ac:dyDescent="0.2">
      <c r="A28651" s="258"/>
      <c r="Z28651" s="258"/>
    </row>
    <row r="28652" spans="1:26" ht="12.75" customHeight="1" x14ac:dyDescent="0.2">
      <c r="A28652" s="258"/>
      <c r="Z28652" s="258"/>
    </row>
    <row r="28653" spans="1:26" ht="12.75" customHeight="1" x14ac:dyDescent="0.2">
      <c r="A28653" s="258"/>
      <c r="Z28653" s="258"/>
    </row>
    <row r="28654" spans="1:26" ht="12.75" customHeight="1" x14ac:dyDescent="0.2">
      <c r="A28654" s="258"/>
      <c r="Z28654" s="258"/>
    </row>
    <row r="28655" spans="1:26" ht="12.75" customHeight="1" x14ac:dyDescent="0.2">
      <c r="A28655" s="258"/>
      <c r="Z28655" s="258"/>
    </row>
    <row r="28656" spans="1:26" ht="12.75" customHeight="1" x14ac:dyDescent="0.2">
      <c r="A28656" s="258"/>
      <c r="Z28656" s="258"/>
    </row>
    <row r="28657" spans="1:26" ht="12.75" customHeight="1" x14ac:dyDescent="0.2">
      <c r="A28657" s="258"/>
      <c r="Z28657" s="258"/>
    </row>
    <row r="28658" spans="1:26" ht="12.75" customHeight="1" x14ac:dyDescent="0.2">
      <c r="A28658" s="258"/>
      <c r="Z28658" s="258"/>
    </row>
    <row r="28659" spans="1:26" ht="12.75" customHeight="1" x14ac:dyDescent="0.2">
      <c r="A28659" s="258"/>
      <c r="Z28659" s="258"/>
    </row>
    <row r="28660" spans="1:26" ht="12.75" customHeight="1" x14ac:dyDescent="0.2">
      <c r="A28660" s="258"/>
      <c r="Z28660" s="258"/>
    </row>
    <row r="28661" spans="1:26" ht="12.75" customHeight="1" x14ac:dyDescent="0.2">
      <c r="A28661" s="258"/>
      <c r="Z28661" s="258"/>
    </row>
    <row r="28662" spans="1:26" ht="12.75" customHeight="1" x14ac:dyDescent="0.2">
      <c r="A28662" s="258"/>
      <c r="Z28662" s="258"/>
    </row>
    <row r="28663" spans="1:26" ht="12.75" customHeight="1" x14ac:dyDescent="0.2">
      <c r="A28663" s="258"/>
      <c r="Z28663" s="258"/>
    </row>
    <row r="28664" spans="1:26" ht="12.75" customHeight="1" x14ac:dyDescent="0.2">
      <c r="A28664" s="258"/>
      <c r="Z28664" s="258"/>
    </row>
    <row r="28665" spans="1:26" ht="12.75" customHeight="1" x14ac:dyDescent="0.2">
      <c r="A28665" s="258"/>
      <c r="Z28665" s="258"/>
    </row>
    <row r="28666" spans="1:26" ht="12.75" customHeight="1" x14ac:dyDescent="0.2">
      <c r="A28666" s="258"/>
      <c r="Z28666" s="258"/>
    </row>
    <row r="28667" spans="1:26" ht="12.75" customHeight="1" x14ac:dyDescent="0.2">
      <c r="A28667" s="258"/>
      <c r="Z28667" s="258"/>
    </row>
    <row r="28668" spans="1:26" ht="12.75" customHeight="1" x14ac:dyDescent="0.2">
      <c r="A28668" s="258"/>
      <c r="Z28668" s="258"/>
    </row>
    <row r="28669" spans="1:26" ht="12.75" customHeight="1" x14ac:dyDescent="0.2">
      <c r="A28669" s="258"/>
      <c r="Z28669" s="258"/>
    </row>
    <row r="28670" spans="1:26" ht="12.75" customHeight="1" x14ac:dyDescent="0.2">
      <c r="A28670" s="258"/>
      <c r="Z28670" s="258"/>
    </row>
    <row r="28671" spans="1:26" ht="12.75" customHeight="1" x14ac:dyDescent="0.2">
      <c r="A28671" s="258"/>
      <c r="Z28671" s="258"/>
    </row>
    <row r="28672" spans="1:26" ht="12.75" customHeight="1" x14ac:dyDescent="0.2">
      <c r="A28672" s="258"/>
      <c r="Z28672" s="258"/>
    </row>
    <row r="28673" spans="1:26" ht="12.75" customHeight="1" x14ac:dyDescent="0.2">
      <c r="A28673" s="258"/>
      <c r="Z28673" s="258"/>
    </row>
    <row r="28674" spans="1:26" ht="12.75" customHeight="1" x14ac:dyDescent="0.2">
      <c r="A28674" s="258"/>
      <c r="Z28674" s="258"/>
    </row>
    <row r="28675" spans="1:26" ht="12.75" customHeight="1" x14ac:dyDescent="0.2">
      <c r="A28675" s="258"/>
      <c r="Z28675" s="258"/>
    </row>
    <row r="28676" spans="1:26" ht="12.75" customHeight="1" x14ac:dyDescent="0.2">
      <c r="A28676" s="258"/>
      <c r="Z28676" s="258"/>
    </row>
    <row r="28677" spans="1:26" ht="12.75" customHeight="1" x14ac:dyDescent="0.2">
      <c r="A28677" s="258"/>
      <c r="Z28677" s="258"/>
    </row>
    <row r="28678" spans="1:26" ht="12.75" customHeight="1" x14ac:dyDescent="0.2">
      <c r="A28678" s="258"/>
      <c r="Z28678" s="258"/>
    </row>
    <row r="28679" spans="1:26" ht="12.75" customHeight="1" x14ac:dyDescent="0.2">
      <c r="A28679" s="258"/>
      <c r="Z28679" s="258"/>
    </row>
    <row r="28680" spans="1:26" ht="12.75" customHeight="1" x14ac:dyDescent="0.2">
      <c r="A28680" s="258"/>
      <c r="Z28680" s="258"/>
    </row>
    <row r="28681" spans="1:26" ht="12.75" customHeight="1" x14ac:dyDescent="0.2">
      <c r="A28681" s="258"/>
      <c r="Z28681" s="258"/>
    </row>
    <row r="28682" spans="1:26" ht="12.75" customHeight="1" x14ac:dyDescent="0.2">
      <c r="A28682" s="258"/>
      <c r="Z28682" s="258"/>
    </row>
    <row r="28683" spans="1:26" ht="12.75" customHeight="1" x14ac:dyDescent="0.2">
      <c r="A28683" s="258"/>
      <c r="Z28683" s="258"/>
    </row>
    <row r="28684" spans="1:26" ht="12.75" customHeight="1" x14ac:dyDescent="0.2">
      <c r="A28684" s="258"/>
      <c r="Z28684" s="258"/>
    </row>
    <row r="28685" spans="1:26" ht="12.75" customHeight="1" x14ac:dyDescent="0.2">
      <c r="A28685" s="258"/>
      <c r="Z28685" s="258"/>
    </row>
    <row r="28686" spans="1:26" ht="12.75" customHeight="1" x14ac:dyDescent="0.2">
      <c r="A28686" s="258"/>
      <c r="Z28686" s="258"/>
    </row>
    <row r="28687" spans="1:26" ht="12.75" customHeight="1" x14ac:dyDescent="0.2">
      <c r="A28687" s="258"/>
      <c r="Z28687" s="258"/>
    </row>
    <row r="28688" spans="1:26" ht="12.75" customHeight="1" x14ac:dyDescent="0.2">
      <c r="A28688" s="258"/>
      <c r="Z28688" s="258"/>
    </row>
    <row r="28689" spans="1:26" ht="12.75" customHeight="1" x14ac:dyDescent="0.2">
      <c r="A28689" s="258"/>
      <c r="Z28689" s="258"/>
    </row>
    <row r="28690" spans="1:26" ht="12.75" customHeight="1" x14ac:dyDescent="0.2">
      <c r="A28690" s="258"/>
      <c r="Z28690" s="258"/>
    </row>
    <row r="28691" spans="1:26" ht="12.75" customHeight="1" x14ac:dyDescent="0.2">
      <c r="A28691" s="258"/>
      <c r="Z28691" s="258"/>
    </row>
    <row r="28692" spans="1:26" ht="12.75" customHeight="1" x14ac:dyDescent="0.2">
      <c r="A28692" s="258"/>
      <c r="Z28692" s="258"/>
    </row>
    <row r="28693" spans="1:26" ht="12.75" customHeight="1" x14ac:dyDescent="0.2">
      <c r="A28693" s="258"/>
      <c r="Z28693" s="258"/>
    </row>
    <row r="28694" spans="1:26" ht="12.75" customHeight="1" x14ac:dyDescent="0.2">
      <c r="A28694" s="258"/>
      <c r="Z28694" s="258"/>
    </row>
    <row r="28695" spans="1:26" ht="12.75" customHeight="1" x14ac:dyDescent="0.2">
      <c r="A28695" s="258"/>
      <c r="Z28695" s="258"/>
    </row>
    <row r="28696" spans="1:26" ht="12.75" customHeight="1" x14ac:dyDescent="0.2">
      <c r="A28696" s="258"/>
      <c r="Z28696" s="258"/>
    </row>
    <row r="28697" spans="1:26" ht="12.75" customHeight="1" x14ac:dyDescent="0.2">
      <c r="A28697" s="258"/>
      <c r="Z28697" s="258"/>
    </row>
    <row r="28698" spans="1:26" ht="12.75" customHeight="1" x14ac:dyDescent="0.2">
      <c r="A28698" s="258"/>
      <c r="Z28698" s="258"/>
    </row>
    <row r="28699" spans="1:26" ht="12.75" customHeight="1" x14ac:dyDescent="0.2">
      <c r="A28699" s="258"/>
      <c r="Z28699" s="258"/>
    </row>
    <row r="28700" spans="1:26" ht="12.75" customHeight="1" x14ac:dyDescent="0.2">
      <c r="A28700" s="258"/>
      <c r="Z28700" s="258"/>
    </row>
    <row r="28701" spans="1:26" ht="12.75" customHeight="1" x14ac:dyDescent="0.2">
      <c r="A28701" s="258"/>
      <c r="Z28701" s="258"/>
    </row>
    <row r="28702" spans="1:26" ht="12.75" customHeight="1" x14ac:dyDescent="0.2">
      <c r="A28702" s="258"/>
      <c r="Z28702" s="258"/>
    </row>
    <row r="28703" spans="1:26" ht="12.75" customHeight="1" x14ac:dyDescent="0.2">
      <c r="A28703" s="258"/>
      <c r="Z28703" s="258"/>
    </row>
    <row r="28704" spans="1:26" ht="12.75" customHeight="1" x14ac:dyDescent="0.2">
      <c r="A28704" s="258"/>
      <c r="Z28704" s="258"/>
    </row>
    <row r="28705" spans="1:26" ht="12.75" customHeight="1" x14ac:dyDescent="0.2">
      <c r="A28705" s="258"/>
      <c r="Z28705" s="258"/>
    </row>
    <row r="28706" spans="1:26" ht="12.75" customHeight="1" x14ac:dyDescent="0.2">
      <c r="A28706" s="258"/>
      <c r="Z28706" s="258"/>
    </row>
    <row r="28707" spans="1:26" ht="12.75" customHeight="1" x14ac:dyDescent="0.2">
      <c r="A28707" s="258"/>
      <c r="Z28707" s="258"/>
    </row>
    <row r="28708" spans="1:26" ht="12.75" customHeight="1" x14ac:dyDescent="0.2">
      <c r="A28708" s="258"/>
      <c r="Z28708" s="258"/>
    </row>
    <row r="28709" spans="1:26" ht="12.75" customHeight="1" x14ac:dyDescent="0.2">
      <c r="A28709" s="258"/>
      <c r="Z28709" s="258"/>
    </row>
    <row r="28710" spans="1:26" ht="12.75" customHeight="1" x14ac:dyDescent="0.2">
      <c r="A28710" s="258"/>
      <c r="Z28710" s="258"/>
    </row>
    <row r="28711" spans="1:26" ht="12.75" customHeight="1" x14ac:dyDescent="0.2">
      <c r="A28711" s="258"/>
      <c r="Z28711" s="258"/>
    </row>
    <row r="28712" spans="1:26" ht="12.75" customHeight="1" x14ac:dyDescent="0.2">
      <c r="A28712" s="258"/>
      <c r="Z28712" s="258"/>
    </row>
    <row r="28713" spans="1:26" ht="12.75" customHeight="1" x14ac:dyDescent="0.2">
      <c r="A28713" s="258"/>
      <c r="Z28713" s="258"/>
    </row>
    <row r="28714" spans="1:26" ht="12.75" customHeight="1" x14ac:dyDescent="0.2">
      <c r="A28714" s="258"/>
      <c r="Z28714" s="258"/>
    </row>
    <row r="28715" spans="1:26" ht="12.75" customHeight="1" x14ac:dyDescent="0.2">
      <c r="A28715" s="258"/>
      <c r="Z28715" s="258"/>
    </row>
    <row r="28716" spans="1:26" ht="12.75" customHeight="1" x14ac:dyDescent="0.2">
      <c r="A28716" s="258"/>
      <c r="Z28716" s="258"/>
    </row>
    <row r="28717" spans="1:26" ht="12.75" customHeight="1" x14ac:dyDescent="0.2">
      <c r="A28717" s="258"/>
      <c r="Z28717" s="258"/>
    </row>
    <row r="28718" spans="1:26" ht="12.75" customHeight="1" x14ac:dyDescent="0.2">
      <c r="A28718" s="258"/>
      <c r="Z28718" s="258"/>
    </row>
    <row r="28719" spans="1:26" ht="12.75" customHeight="1" x14ac:dyDescent="0.2">
      <c r="A28719" s="258"/>
      <c r="Z28719" s="258"/>
    </row>
    <row r="28720" spans="1:26" ht="12.75" customHeight="1" x14ac:dyDescent="0.2">
      <c r="A28720" s="258"/>
      <c r="Z28720" s="258"/>
    </row>
    <row r="28721" spans="1:26" ht="12.75" customHeight="1" x14ac:dyDescent="0.2">
      <c r="A28721" s="258"/>
      <c r="Z28721" s="258"/>
    </row>
    <row r="28722" spans="1:26" ht="12.75" customHeight="1" x14ac:dyDescent="0.2">
      <c r="A28722" s="258"/>
      <c r="Z28722" s="258"/>
    </row>
    <row r="28723" spans="1:26" ht="12.75" customHeight="1" x14ac:dyDescent="0.2">
      <c r="A28723" s="258"/>
      <c r="Z28723" s="258"/>
    </row>
    <row r="28724" spans="1:26" ht="12.75" customHeight="1" x14ac:dyDescent="0.2">
      <c r="A28724" s="258"/>
      <c r="Z28724" s="258"/>
    </row>
    <row r="28725" spans="1:26" ht="12.75" customHeight="1" x14ac:dyDescent="0.2">
      <c r="A28725" s="258"/>
      <c r="Z28725" s="258"/>
    </row>
    <row r="28726" spans="1:26" ht="12.75" customHeight="1" x14ac:dyDescent="0.2">
      <c r="A28726" s="258"/>
      <c r="Z28726" s="258"/>
    </row>
    <row r="28727" spans="1:26" ht="12.75" customHeight="1" x14ac:dyDescent="0.2">
      <c r="A28727" s="258"/>
      <c r="Z28727" s="258"/>
    </row>
    <row r="28728" spans="1:26" ht="12.75" customHeight="1" x14ac:dyDescent="0.2">
      <c r="A28728" s="258"/>
      <c r="Z28728" s="258"/>
    </row>
    <row r="28729" spans="1:26" ht="12.75" customHeight="1" x14ac:dyDescent="0.2">
      <c r="A28729" s="258"/>
      <c r="Z28729" s="258"/>
    </row>
    <row r="28730" spans="1:26" ht="12.75" customHeight="1" x14ac:dyDescent="0.2">
      <c r="A28730" s="258"/>
      <c r="Z28730" s="258"/>
    </row>
    <row r="28731" spans="1:26" ht="12.75" customHeight="1" x14ac:dyDescent="0.2">
      <c r="A28731" s="258"/>
      <c r="Z28731" s="258"/>
    </row>
    <row r="28732" spans="1:26" ht="12.75" customHeight="1" x14ac:dyDescent="0.2">
      <c r="A28732" s="258"/>
      <c r="Z28732" s="258"/>
    </row>
    <row r="28733" spans="1:26" ht="12.75" customHeight="1" x14ac:dyDescent="0.2">
      <c r="A28733" s="258"/>
      <c r="Z28733" s="258"/>
    </row>
    <row r="28734" spans="1:26" ht="12.75" customHeight="1" x14ac:dyDescent="0.2">
      <c r="A28734" s="258"/>
      <c r="Z28734" s="258"/>
    </row>
    <row r="28735" spans="1:26" ht="12.75" customHeight="1" x14ac:dyDescent="0.2">
      <c r="A28735" s="258"/>
      <c r="Z28735" s="258"/>
    </row>
    <row r="28736" spans="1:26" ht="12.75" customHeight="1" x14ac:dyDescent="0.2">
      <c r="A28736" s="258"/>
      <c r="Z28736" s="258"/>
    </row>
    <row r="28737" spans="1:26" ht="12.75" customHeight="1" x14ac:dyDescent="0.2">
      <c r="A28737" s="258"/>
      <c r="Z28737" s="258"/>
    </row>
    <row r="28738" spans="1:26" ht="12.75" customHeight="1" x14ac:dyDescent="0.2">
      <c r="A28738" s="258"/>
      <c r="Z28738" s="258"/>
    </row>
    <row r="28739" spans="1:26" ht="12.75" customHeight="1" x14ac:dyDescent="0.2">
      <c r="A28739" s="258"/>
      <c r="Z28739" s="258"/>
    </row>
    <row r="28740" spans="1:26" ht="12.75" customHeight="1" x14ac:dyDescent="0.2">
      <c r="A28740" s="258"/>
      <c r="Z28740" s="258"/>
    </row>
    <row r="28741" spans="1:26" ht="12.75" customHeight="1" x14ac:dyDescent="0.2">
      <c r="A28741" s="258"/>
      <c r="Z28741" s="258"/>
    </row>
    <row r="28742" spans="1:26" ht="12.75" customHeight="1" x14ac:dyDescent="0.2">
      <c r="A28742" s="258"/>
      <c r="Z28742" s="258"/>
    </row>
    <row r="28743" spans="1:26" ht="12.75" customHeight="1" x14ac:dyDescent="0.2">
      <c r="A28743" s="258"/>
      <c r="Z28743" s="258"/>
    </row>
    <row r="28744" spans="1:26" ht="12.75" customHeight="1" x14ac:dyDescent="0.2">
      <c r="A28744" s="258"/>
      <c r="Z28744" s="258"/>
    </row>
    <row r="28745" spans="1:26" ht="12.75" customHeight="1" x14ac:dyDescent="0.2">
      <c r="A28745" s="258"/>
      <c r="Z28745" s="258"/>
    </row>
    <row r="28746" spans="1:26" ht="12.75" customHeight="1" x14ac:dyDescent="0.2">
      <c r="A28746" s="258"/>
      <c r="Z28746" s="258"/>
    </row>
    <row r="28747" spans="1:26" ht="12.75" customHeight="1" x14ac:dyDescent="0.2">
      <c r="A28747" s="258"/>
      <c r="Z28747" s="258"/>
    </row>
    <row r="28748" spans="1:26" ht="12.75" customHeight="1" x14ac:dyDescent="0.2">
      <c r="A28748" s="258"/>
      <c r="Z28748" s="258"/>
    </row>
    <row r="28749" spans="1:26" ht="12.75" customHeight="1" x14ac:dyDescent="0.2">
      <c r="A28749" s="258"/>
      <c r="Z28749" s="258"/>
    </row>
    <row r="28750" spans="1:26" ht="12.75" customHeight="1" x14ac:dyDescent="0.2">
      <c r="A28750" s="258"/>
      <c r="Z28750" s="258"/>
    </row>
    <row r="28751" spans="1:26" ht="12.75" customHeight="1" x14ac:dyDescent="0.2">
      <c r="A28751" s="258"/>
      <c r="Z28751" s="258"/>
    </row>
    <row r="28752" spans="1:26" ht="12.75" customHeight="1" x14ac:dyDescent="0.2">
      <c r="A28752" s="258"/>
      <c r="Z28752" s="258"/>
    </row>
    <row r="28753" spans="1:26" ht="12.75" customHeight="1" x14ac:dyDescent="0.2">
      <c r="A28753" s="258"/>
      <c r="Z28753" s="258"/>
    </row>
    <row r="28754" spans="1:26" ht="12.75" customHeight="1" x14ac:dyDescent="0.2">
      <c r="A28754" s="258"/>
      <c r="Z28754" s="258"/>
    </row>
    <row r="28755" spans="1:26" ht="12.75" customHeight="1" x14ac:dyDescent="0.2">
      <c r="A28755" s="258"/>
      <c r="Z28755" s="258"/>
    </row>
    <row r="28756" spans="1:26" ht="12.75" customHeight="1" x14ac:dyDescent="0.2">
      <c r="A28756" s="258"/>
      <c r="Z28756" s="258"/>
    </row>
    <row r="28757" spans="1:26" ht="12.75" customHeight="1" x14ac:dyDescent="0.2">
      <c r="A28757" s="258"/>
      <c r="Z28757" s="258"/>
    </row>
    <row r="28758" spans="1:26" ht="12.75" customHeight="1" x14ac:dyDescent="0.2">
      <c r="A28758" s="258"/>
      <c r="Z28758" s="258"/>
    </row>
    <row r="28759" spans="1:26" ht="12.75" customHeight="1" x14ac:dyDescent="0.2">
      <c r="A28759" s="258"/>
      <c r="Z28759" s="258"/>
    </row>
    <row r="28760" spans="1:26" ht="12.75" customHeight="1" x14ac:dyDescent="0.2">
      <c r="A28760" s="258"/>
      <c r="Z28760" s="258"/>
    </row>
    <row r="28761" spans="1:26" ht="12.75" customHeight="1" x14ac:dyDescent="0.2">
      <c r="A28761" s="258"/>
      <c r="Z28761" s="258"/>
    </row>
    <row r="28762" spans="1:26" ht="12.75" customHeight="1" x14ac:dyDescent="0.2">
      <c r="A28762" s="258"/>
      <c r="Z28762" s="258"/>
    </row>
    <row r="28763" spans="1:26" ht="12.75" customHeight="1" x14ac:dyDescent="0.2">
      <c r="A28763" s="258"/>
      <c r="Z28763" s="258"/>
    </row>
    <row r="28764" spans="1:26" ht="12.75" customHeight="1" x14ac:dyDescent="0.2">
      <c r="A28764" s="258"/>
      <c r="Z28764" s="258"/>
    </row>
    <row r="28765" spans="1:26" ht="12.75" customHeight="1" x14ac:dyDescent="0.2">
      <c r="A28765" s="258"/>
      <c r="Z28765" s="258"/>
    </row>
    <row r="28766" spans="1:26" ht="12.75" customHeight="1" x14ac:dyDescent="0.2">
      <c r="A28766" s="258"/>
      <c r="Z28766" s="258"/>
    </row>
    <row r="28767" spans="1:26" ht="12.75" customHeight="1" x14ac:dyDescent="0.2">
      <c r="A28767" s="258"/>
      <c r="Z28767" s="258"/>
    </row>
    <row r="28768" spans="1:26" ht="12.75" customHeight="1" x14ac:dyDescent="0.2">
      <c r="A28768" s="258"/>
      <c r="Z28768" s="258"/>
    </row>
    <row r="28769" spans="1:26" ht="12.75" customHeight="1" x14ac:dyDescent="0.2">
      <c r="A28769" s="258"/>
      <c r="Z28769" s="258"/>
    </row>
    <row r="28770" spans="1:26" ht="12.75" customHeight="1" x14ac:dyDescent="0.2">
      <c r="A28770" s="258"/>
      <c r="Z28770" s="258"/>
    </row>
    <row r="28771" spans="1:26" ht="12.75" customHeight="1" x14ac:dyDescent="0.2">
      <c r="A28771" s="258"/>
      <c r="Z28771" s="258"/>
    </row>
    <row r="28772" spans="1:26" ht="12.75" customHeight="1" x14ac:dyDescent="0.2">
      <c r="A28772" s="258"/>
      <c r="Z28772" s="258"/>
    </row>
    <row r="28773" spans="1:26" ht="12.75" customHeight="1" x14ac:dyDescent="0.2">
      <c r="A28773" s="258"/>
      <c r="Z28773" s="258"/>
    </row>
    <row r="28774" spans="1:26" ht="12.75" customHeight="1" x14ac:dyDescent="0.2">
      <c r="A28774" s="258"/>
      <c r="Z28774" s="258"/>
    </row>
    <row r="28775" spans="1:26" ht="12.75" customHeight="1" x14ac:dyDescent="0.2">
      <c r="A28775" s="258"/>
      <c r="Z28775" s="258"/>
    </row>
    <row r="28776" spans="1:26" ht="12.75" customHeight="1" x14ac:dyDescent="0.2">
      <c r="A28776" s="258"/>
      <c r="Z28776" s="258"/>
    </row>
    <row r="28777" spans="1:26" ht="12.75" customHeight="1" x14ac:dyDescent="0.2">
      <c r="A28777" s="258"/>
      <c r="Z28777" s="258"/>
    </row>
    <row r="28778" spans="1:26" ht="12.75" customHeight="1" x14ac:dyDescent="0.2">
      <c r="A28778" s="258"/>
      <c r="Z28778" s="258"/>
    </row>
    <row r="28779" spans="1:26" ht="12.75" customHeight="1" x14ac:dyDescent="0.2">
      <c r="A28779" s="258"/>
      <c r="Z28779" s="258"/>
    </row>
    <row r="28780" spans="1:26" ht="12.75" customHeight="1" x14ac:dyDescent="0.2">
      <c r="A28780" s="258"/>
      <c r="Z28780" s="258"/>
    </row>
    <row r="28781" spans="1:26" ht="12.75" customHeight="1" x14ac:dyDescent="0.2">
      <c r="A28781" s="258"/>
      <c r="Z28781" s="258"/>
    </row>
    <row r="28782" spans="1:26" ht="12.75" customHeight="1" x14ac:dyDescent="0.2">
      <c r="A28782" s="258"/>
      <c r="Z28782" s="258"/>
    </row>
    <row r="28783" spans="1:26" ht="12.75" customHeight="1" x14ac:dyDescent="0.2">
      <c r="A28783" s="258"/>
      <c r="Z28783" s="258"/>
    </row>
    <row r="28784" spans="1:26" ht="12.75" customHeight="1" x14ac:dyDescent="0.2">
      <c r="A28784" s="258"/>
      <c r="Z28784" s="258"/>
    </row>
    <row r="28785" spans="1:26" ht="12.75" customHeight="1" x14ac:dyDescent="0.2">
      <c r="A28785" s="258"/>
      <c r="Z28785" s="258"/>
    </row>
    <row r="28786" spans="1:26" ht="12.75" customHeight="1" x14ac:dyDescent="0.2">
      <c r="A28786" s="258"/>
      <c r="Z28786" s="258"/>
    </row>
    <row r="28787" spans="1:26" ht="12.75" customHeight="1" x14ac:dyDescent="0.2">
      <c r="A28787" s="258"/>
      <c r="Z28787" s="258"/>
    </row>
    <row r="28788" spans="1:26" ht="12.75" customHeight="1" x14ac:dyDescent="0.2">
      <c r="A28788" s="258"/>
      <c r="Z28788" s="258"/>
    </row>
    <row r="28789" spans="1:26" ht="12.75" customHeight="1" x14ac:dyDescent="0.2">
      <c r="A28789" s="258"/>
      <c r="Z28789" s="258"/>
    </row>
    <row r="28790" spans="1:26" ht="12.75" customHeight="1" x14ac:dyDescent="0.2">
      <c r="A28790" s="258"/>
      <c r="Z28790" s="258"/>
    </row>
    <row r="28791" spans="1:26" ht="12.75" customHeight="1" x14ac:dyDescent="0.2">
      <c r="A28791" s="258"/>
      <c r="Z28791" s="258"/>
    </row>
    <row r="28792" spans="1:26" ht="12.75" customHeight="1" x14ac:dyDescent="0.2">
      <c r="A28792" s="258"/>
      <c r="Z28792" s="258"/>
    </row>
    <row r="28793" spans="1:26" ht="12.75" customHeight="1" x14ac:dyDescent="0.2">
      <c r="A28793" s="258"/>
      <c r="Z28793" s="258"/>
    </row>
    <row r="28794" spans="1:26" ht="12.75" customHeight="1" x14ac:dyDescent="0.2">
      <c r="A28794" s="258"/>
      <c r="Z28794" s="258"/>
    </row>
    <row r="28795" spans="1:26" ht="12.75" customHeight="1" x14ac:dyDescent="0.2">
      <c r="A28795" s="258"/>
      <c r="Z28795" s="258"/>
    </row>
    <row r="28796" spans="1:26" ht="12.75" customHeight="1" x14ac:dyDescent="0.2">
      <c r="A28796" s="258"/>
      <c r="Z28796" s="258"/>
    </row>
    <row r="28797" spans="1:26" ht="12.75" customHeight="1" x14ac:dyDescent="0.2">
      <c r="A28797" s="258"/>
      <c r="Z28797" s="258"/>
    </row>
    <row r="28798" spans="1:26" ht="12.75" customHeight="1" x14ac:dyDescent="0.2">
      <c r="A28798" s="258"/>
      <c r="Z28798" s="258"/>
    </row>
    <row r="28799" spans="1:26" ht="12.75" customHeight="1" x14ac:dyDescent="0.2">
      <c r="A28799" s="258"/>
      <c r="Z28799" s="258"/>
    </row>
    <row r="28800" spans="1:26" ht="12.75" customHeight="1" x14ac:dyDescent="0.2">
      <c r="A28800" s="258"/>
      <c r="Z28800" s="258"/>
    </row>
    <row r="28801" spans="1:26" ht="12.75" customHeight="1" x14ac:dyDescent="0.2">
      <c r="A28801" s="258"/>
      <c r="Z28801" s="258"/>
    </row>
    <row r="28802" spans="1:26" ht="12.75" customHeight="1" x14ac:dyDescent="0.2">
      <c r="A28802" s="258"/>
      <c r="Z28802" s="258"/>
    </row>
    <row r="28803" spans="1:26" ht="12.75" customHeight="1" x14ac:dyDescent="0.2">
      <c r="A28803" s="258"/>
      <c r="Z28803" s="258"/>
    </row>
    <row r="28804" spans="1:26" ht="12.75" customHeight="1" x14ac:dyDescent="0.2">
      <c r="A28804" s="258"/>
      <c r="Z28804" s="258"/>
    </row>
    <row r="28805" spans="1:26" ht="12.75" customHeight="1" x14ac:dyDescent="0.2">
      <c r="A28805" s="258"/>
      <c r="Z28805" s="258"/>
    </row>
    <row r="28806" spans="1:26" ht="12.75" customHeight="1" x14ac:dyDescent="0.2">
      <c r="A28806" s="258"/>
      <c r="Z28806" s="258"/>
    </row>
    <row r="28807" spans="1:26" ht="12.75" customHeight="1" x14ac:dyDescent="0.2">
      <c r="A28807" s="258"/>
      <c r="Z28807" s="258"/>
    </row>
    <row r="28808" spans="1:26" ht="12.75" customHeight="1" x14ac:dyDescent="0.2">
      <c r="A28808" s="258"/>
      <c r="Z28808" s="258"/>
    </row>
    <row r="28809" spans="1:26" ht="12.75" customHeight="1" x14ac:dyDescent="0.2">
      <c r="A28809" s="258"/>
      <c r="Z28809" s="258"/>
    </row>
    <row r="28810" spans="1:26" ht="12.75" customHeight="1" x14ac:dyDescent="0.2">
      <c r="A28810" s="258"/>
      <c r="Z28810" s="258"/>
    </row>
    <row r="28811" spans="1:26" ht="12.75" customHeight="1" x14ac:dyDescent="0.2">
      <c r="A28811" s="258"/>
      <c r="Z28811" s="258"/>
    </row>
    <row r="28812" spans="1:26" ht="12.75" customHeight="1" x14ac:dyDescent="0.2">
      <c r="A28812" s="258"/>
      <c r="Z28812" s="258"/>
    </row>
    <row r="28813" spans="1:26" ht="12.75" customHeight="1" x14ac:dyDescent="0.2">
      <c r="A28813" s="258"/>
      <c r="Z28813" s="258"/>
    </row>
    <row r="28814" spans="1:26" ht="12.75" customHeight="1" x14ac:dyDescent="0.2">
      <c r="A28814" s="258"/>
      <c r="Z28814" s="258"/>
    </row>
    <row r="28815" spans="1:26" ht="12.75" customHeight="1" x14ac:dyDescent="0.2">
      <c r="A28815" s="258"/>
      <c r="Z28815" s="258"/>
    </row>
    <row r="28816" spans="1:26" ht="12.75" customHeight="1" x14ac:dyDescent="0.2">
      <c r="A28816" s="258"/>
      <c r="Z28816" s="258"/>
    </row>
    <row r="28817" spans="1:26" ht="12.75" customHeight="1" x14ac:dyDescent="0.2">
      <c r="A28817" s="258"/>
      <c r="Z28817" s="258"/>
    </row>
    <row r="28818" spans="1:26" ht="12.75" customHeight="1" x14ac:dyDescent="0.2">
      <c r="A28818" s="258"/>
      <c r="Z28818" s="258"/>
    </row>
    <row r="28819" spans="1:26" ht="12.75" customHeight="1" x14ac:dyDescent="0.2">
      <c r="A28819" s="258"/>
      <c r="Z28819" s="258"/>
    </row>
    <row r="28820" spans="1:26" ht="12.75" customHeight="1" x14ac:dyDescent="0.2">
      <c r="A28820" s="258"/>
      <c r="Z28820" s="258"/>
    </row>
    <row r="28821" spans="1:26" ht="12.75" customHeight="1" x14ac:dyDescent="0.2">
      <c r="A28821" s="258"/>
      <c r="Z28821" s="258"/>
    </row>
    <row r="28822" spans="1:26" ht="12.75" customHeight="1" x14ac:dyDescent="0.2">
      <c r="A28822" s="258"/>
      <c r="Z28822" s="258"/>
    </row>
    <row r="28823" spans="1:26" ht="12.75" customHeight="1" x14ac:dyDescent="0.2">
      <c r="A28823" s="258"/>
      <c r="Z28823" s="258"/>
    </row>
    <row r="28824" spans="1:26" ht="12.75" customHeight="1" x14ac:dyDescent="0.2">
      <c r="A28824" s="258"/>
      <c r="Z28824" s="258"/>
    </row>
    <row r="28825" spans="1:26" ht="12.75" customHeight="1" x14ac:dyDescent="0.2">
      <c r="A28825" s="258"/>
      <c r="Z28825" s="258"/>
    </row>
    <row r="28826" spans="1:26" ht="12.75" customHeight="1" x14ac:dyDescent="0.2">
      <c r="A28826" s="258"/>
      <c r="Z28826" s="258"/>
    </row>
    <row r="28827" spans="1:26" ht="12.75" customHeight="1" x14ac:dyDescent="0.2">
      <c r="A28827" s="258"/>
      <c r="Z28827" s="258"/>
    </row>
    <row r="28828" spans="1:26" ht="12.75" customHeight="1" x14ac:dyDescent="0.2">
      <c r="A28828" s="258"/>
      <c r="Z28828" s="258"/>
    </row>
    <row r="28829" spans="1:26" ht="12.75" customHeight="1" x14ac:dyDescent="0.2">
      <c r="A28829" s="258"/>
      <c r="Z28829" s="258"/>
    </row>
    <row r="28830" spans="1:26" ht="12.75" customHeight="1" x14ac:dyDescent="0.2">
      <c r="A28830" s="258"/>
      <c r="Z28830" s="258"/>
    </row>
    <row r="28831" spans="1:26" ht="12.75" customHeight="1" x14ac:dyDescent="0.2">
      <c r="A28831" s="258"/>
      <c r="Z28831" s="258"/>
    </row>
    <row r="28832" spans="1:26" ht="12.75" customHeight="1" x14ac:dyDescent="0.2">
      <c r="A28832" s="258"/>
      <c r="Z28832" s="258"/>
    </row>
    <row r="28833" spans="1:26" ht="12.75" customHeight="1" x14ac:dyDescent="0.2">
      <c r="A28833" s="258"/>
      <c r="Z28833" s="258"/>
    </row>
    <row r="28834" spans="1:26" ht="12.75" customHeight="1" x14ac:dyDescent="0.2">
      <c r="A28834" s="258"/>
      <c r="Z28834" s="258"/>
    </row>
    <row r="28835" spans="1:26" ht="12.75" customHeight="1" x14ac:dyDescent="0.2">
      <c r="A28835" s="258"/>
      <c r="Z28835" s="258"/>
    </row>
    <row r="28836" spans="1:26" ht="12.75" customHeight="1" x14ac:dyDescent="0.2">
      <c r="A28836" s="258"/>
      <c r="Z28836" s="258"/>
    </row>
    <row r="28837" spans="1:26" ht="12.75" customHeight="1" x14ac:dyDescent="0.2">
      <c r="A28837" s="258"/>
      <c r="Z28837" s="258"/>
    </row>
    <row r="28838" spans="1:26" ht="12.75" customHeight="1" x14ac:dyDescent="0.2">
      <c r="A28838" s="258"/>
      <c r="Z28838" s="258"/>
    </row>
    <row r="28839" spans="1:26" ht="12.75" customHeight="1" x14ac:dyDescent="0.2">
      <c r="A28839" s="258"/>
      <c r="Z28839" s="258"/>
    </row>
    <row r="28840" spans="1:26" ht="12.75" customHeight="1" x14ac:dyDescent="0.2">
      <c r="A28840" s="258"/>
      <c r="Z28840" s="258"/>
    </row>
    <row r="28841" spans="1:26" ht="12.75" customHeight="1" x14ac:dyDescent="0.2">
      <c r="A28841" s="258"/>
      <c r="Z28841" s="258"/>
    </row>
    <row r="28842" spans="1:26" ht="12.75" customHeight="1" x14ac:dyDescent="0.2">
      <c r="A28842" s="258"/>
      <c r="Z28842" s="258"/>
    </row>
    <row r="28843" spans="1:26" ht="12.75" customHeight="1" x14ac:dyDescent="0.2">
      <c r="A28843" s="258"/>
      <c r="Z28843" s="258"/>
    </row>
    <row r="28844" spans="1:26" ht="12.75" customHeight="1" x14ac:dyDescent="0.2">
      <c r="A28844" s="258"/>
      <c r="Z28844" s="258"/>
    </row>
    <row r="28845" spans="1:26" ht="12.75" customHeight="1" x14ac:dyDescent="0.2">
      <c r="A28845" s="258"/>
      <c r="Z28845" s="258"/>
    </row>
    <row r="28846" spans="1:26" ht="12.75" customHeight="1" x14ac:dyDescent="0.2">
      <c r="A28846" s="258"/>
      <c r="Z28846" s="258"/>
    </row>
    <row r="28847" spans="1:26" ht="12.75" customHeight="1" x14ac:dyDescent="0.2">
      <c r="A28847" s="258"/>
      <c r="Z28847" s="258"/>
    </row>
    <row r="28848" spans="1:26" ht="12.75" customHeight="1" x14ac:dyDescent="0.2">
      <c r="A28848" s="258"/>
      <c r="Z28848" s="258"/>
    </row>
    <row r="28849" spans="1:26" ht="12.75" customHeight="1" x14ac:dyDescent="0.2">
      <c r="A28849" s="258"/>
      <c r="Z28849" s="258"/>
    </row>
    <row r="28850" spans="1:26" ht="12.75" customHeight="1" x14ac:dyDescent="0.2">
      <c r="A28850" s="258"/>
      <c r="Z28850" s="258"/>
    </row>
    <row r="28851" spans="1:26" ht="12.75" customHeight="1" x14ac:dyDescent="0.2">
      <c r="A28851" s="258"/>
      <c r="Z28851" s="258"/>
    </row>
    <row r="28852" spans="1:26" ht="12.75" customHeight="1" x14ac:dyDescent="0.2">
      <c r="A28852" s="258"/>
      <c r="Z28852" s="258"/>
    </row>
    <row r="28853" spans="1:26" ht="12.75" customHeight="1" x14ac:dyDescent="0.2">
      <c r="A28853" s="258"/>
      <c r="Z28853" s="258"/>
    </row>
    <row r="28854" spans="1:26" ht="12.75" customHeight="1" x14ac:dyDescent="0.2">
      <c r="A28854" s="258"/>
      <c r="Z28854" s="258"/>
    </row>
    <row r="28855" spans="1:26" ht="12.75" customHeight="1" x14ac:dyDescent="0.2">
      <c r="A28855" s="258"/>
      <c r="Z28855" s="258"/>
    </row>
    <row r="28856" spans="1:26" ht="12.75" customHeight="1" x14ac:dyDescent="0.2">
      <c r="A28856" s="258"/>
      <c r="Z28856" s="258"/>
    </row>
    <row r="28857" spans="1:26" ht="12.75" customHeight="1" x14ac:dyDescent="0.2">
      <c r="A28857" s="258"/>
      <c r="Z28857" s="258"/>
    </row>
    <row r="28858" spans="1:26" ht="12.75" customHeight="1" x14ac:dyDescent="0.2">
      <c r="A28858" s="258"/>
      <c r="Z28858" s="258"/>
    </row>
    <row r="28859" spans="1:26" ht="12.75" customHeight="1" x14ac:dyDescent="0.2">
      <c r="A28859" s="258"/>
      <c r="Z28859" s="258"/>
    </row>
    <row r="28860" spans="1:26" ht="12.75" customHeight="1" x14ac:dyDescent="0.2">
      <c r="A28860" s="258"/>
      <c r="Z28860" s="258"/>
    </row>
    <row r="28861" spans="1:26" ht="12.75" customHeight="1" x14ac:dyDescent="0.2">
      <c r="A28861" s="258"/>
      <c r="Z28861" s="258"/>
    </row>
    <row r="28862" spans="1:26" ht="12.75" customHeight="1" x14ac:dyDescent="0.2">
      <c r="A28862" s="258"/>
      <c r="Z28862" s="258"/>
    </row>
    <row r="28863" spans="1:26" ht="12.75" customHeight="1" x14ac:dyDescent="0.2">
      <c r="A28863" s="258"/>
      <c r="Z28863" s="258"/>
    </row>
    <row r="28864" spans="1:26" ht="12.75" customHeight="1" x14ac:dyDescent="0.2">
      <c r="A28864" s="258"/>
      <c r="Z28864" s="258"/>
    </row>
    <row r="28865" spans="1:26" ht="12.75" customHeight="1" x14ac:dyDescent="0.2">
      <c r="A28865" s="258"/>
      <c r="Z28865" s="258"/>
    </row>
    <row r="28866" spans="1:26" ht="12.75" customHeight="1" x14ac:dyDescent="0.2">
      <c r="A28866" s="258"/>
      <c r="Z28866" s="258"/>
    </row>
    <row r="28867" spans="1:26" ht="12.75" customHeight="1" x14ac:dyDescent="0.2">
      <c r="A28867" s="258"/>
      <c r="Z28867" s="258"/>
    </row>
    <row r="28868" spans="1:26" ht="12.75" customHeight="1" x14ac:dyDescent="0.2">
      <c r="A28868" s="258"/>
      <c r="Z28868" s="258"/>
    </row>
    <row r="28869" spans="1:26" ht="12.75" customHeight="1" x14ac:dyDescent="0.2">
      <c r="A28869" s="258"/>
      <c r="Z28869" s="258"/>
    </row>
    <row r="28870" spans="1:26" ht="12.75" customHeight="1" x14ac:dyDescent="0.2">
      <c r="A28870" s="258"/>
      <c r="Z28870" s="258"/>
    </row>
    <row r="28871" spans="1:26" ht="12.75" customHeight="1" x14ac:dyDescent="0.2">
      <c r="A28871" s="258"/>
      <c r="Z28871" s="258"/>
    </row>
    <row r="28872" spans="1:26" ht="12.75" customHeight="1" x14ac:dyDescent="0.2">
      <c r="A28872" s="258"/>
      <c r="Z28872" s="258"/>
    </row>
    <row r="28873" spans="1:26" ht="12.75" customHeight="1" x14ac:dyDescent="0.2">
      <c r="A28873" s="258"/>
      <c r="Z28873" s="258"/>
    </row>
    <row r="28874" spans="1:26" ht="12.75" customHeight="1" x14ac:dyDescent="0.2">
      <c r="A28874" s="258"/>
      <c r="Z28874" s="258"/>
    </row>
    <row r="28875" spans="1:26" ht="12.75" customHeight="1" x14ac:dyDescent="0.2">
      <c r="A28875" s="258"/>
      <c r="Z28875" s="258"/>
    </row>
    <row r="28876" spans="1:26" ht="12.75" customHeight="1" x14ac:dyDescent="0.2">
      <c r="A28876" s="258"/>
      <c r="Z28876" s="258"/>
    </row>
    <row r="28877" spans="1:26" ht="12.75" customHeight="1" x14ac:dyDescent="0.2">
      <c r="A28877" s="258"/>
      <c r="Z28877" s="258"/>
    </row>
    <row r="28878" spans="1:26" ht="12.75" customHeight="1" x14ac:dyDescent="0.2">
      <c r="A28878" s="258"/>
      <c r="Z28878" s="258"/>
    </row>
    <row r="28879" spans="1:26" ht="12.75" customHeight="1" x14ac:dyDescent="0.2">
      <c r="A28879" s="258"/>
      <c r="Z28879" s="258"/>
    </row>
    <row r="28880" spans="1:26" ht="12.75" customHeight="1" x14ac:dyDescent="0.2">
      <c r="A28880" s="258"/>
      <c r="Z28880" s="258"/>
    </row>
    <row r="28881" spans="1:26" ht="12.75" customHeight="1" x14ac:dyDescent="0.2">
      <c r="A28881" s="258"/>
      <c r="Z28881" s="258"/>
    </row>
    <row r="28882" spans="1:26" ht="12.75" customHeight="1" x14ac:dyDescent="0.2">
      <c r="A28882" s="258"/>
      <c r="Z28882" s="258"/>
    </row>
    <row r="28883" spans="1:26" ht="12.75" customHeight="1" x14ac:dyDescent="0.2">
      <c r="A28883" s="258"/>
      <c r="Z28883" s="258"/>
    </row>
    <row r="28884" spans="1:26" ht="12.75" customHeight="1" x14ac:dyDescent="0.2">
      <c r="A28884" s="258"/>
      <c r="Z28884" s="258"/>
    </row>
    <row r="28885" spans="1:26" ht="12.75" customHeight="1" x14ac:dyDescent="0.2">
      <c r="A28885" s="258"/>
      <c r="Z28885" s="258"/>
    </row>
    <row r="28886" spans="1:26" ht="12.75" customHeight="1" x14ac:dyDescent="0.2">
      <c r="A28886" s="258"/>
      <c r="Z28886" s="258"/>
    </row>
    <row r="28887" spans="1:26" ht="12.75" customHeight="1" x14ac:dyDescent="0.2">
      <c r="A28887" s="258"/>
      <c r="Z28887" s="258"/>
    </row>
    <row r="28888" spans="1:26" ht="12.75" customHeight="1" x14ac:dyDescent="0.2">
      <c r="A28888" s="258"/>
      <c r="Z28888" s="258"/>
    </row>
    <row r="28889" spans="1:26" ht="12.75" customHeight="1" x14ac:dyDescent="0.2">
      <c r="A28889" s="258"/>
      <c r="Z28889" s="258"/>
    </row>
    <row r="28890" spans="1:26" ht="12.75" customHeight="1" x14ac:dyDescent="0.2">
      <c r="A28890" s="258"/>
      <c r="Z28890" s="258"/>
    </row>
    <row r="28891" spans="1:26" ht="12.75" customHeight="1" x14ac:dyDescent="0.2">
      <c r="A28891" s="258"/>
      <c r="Z28891" s="258"/>
    </row>
    <row r="28892" spans="1:26" ht="12.75" customHeight="1" x14ac:dyDescent="0.2">
      <c r="A28892" s="258"/>
      <c r="Z28892" s="258"/>
    </row>
    <row r="28893" spans="1:26" ht="12.75" customHeight="1" x14ac:dyDescent="0.2">
      <c r="A28893" s="258"/>
      <c r="Z28893" s="258"/>
    </row>
    <row r="28894" spans="1:26" ht="12.75" customHeight="1" x14ac:dyDescent="0.2">
      <c r="A28894" s="258"/>
      <c r="Z28894" s="258"/>
    </row>
    <row r="28895" spans="1:26" ht="12.75" customHeight="1" x14ac:dyDescent="0.2">
      <c r="A28895" s="258"/>
      <c r="Z28895" s="258"/>
    </row>
    <row r="28896" spans="1:26" ht="12.75" customHeight="1" x14ac:dyDescent="0.2">
      <c r="A28896" s="258"/>
      <c r="Z28896" s="258"/>
    </row>
    <row r="28897" spans="1:26" ht="12.75" customHeight="1" x14ac:dyDescent="0.2">
      <c r="A28897" s="258"/>
      <c r="Z28897" s="258"/>
    </row>
    <row r="28898" spans="1:26" ht="12.75" customHeight="1" x14ac:dyDescent="0.2">
      <c r="A28898" s="258"/>
      <c r="Z28898" s="258"/>
    </row>
    <row r="28899" spans="1:26" ht="12.75" customHeight="1" x14ac:dyDescent="0.2">
      <c r="A28899" s="258"/>
      <c r="Z28899" s="258"/>
    </row>
    <row r="28900" spans="1:26" ht="12.75" customHeight="1" x14ac:dyDescent="0.2">
      <c r="A28900" s="258"/>
      <c r="Z28900" s="258"/>
    </row>
    <row r="28901" spans="1:26" ht="12.75" customHeight="1" x14ac:dyDescent="0.2">
      <c r="A28901" s="258"/>
      <c r="Z28901" s="258"/>
    </row>
    <row r="28902" spans="1:26" ht="12.75" customHeight="1" x14ac:dyDescent="0.2">
      <c r="A28902" s="258"/>
      <c r="Z28902" s="258"/>
    </row>
    <row r="28903" spans="1:26" ht="12.75" customHeight="1" x14ac:dyDescent="0.2">
      <c r="A28903" s="258"/>
      <c r="Z28903" s="258"/>
    </row>
    <row r="28904" spans="1:26" ht="12.75" customHeight="1" x14ac:dyDescent="0.2">
      <c r="A28904" s="258"/>
      <c r="Z28904" s="258"/>
    </row>
    <row r="28905" spans="1:26" ht="12.75" customHeight="1" x14ac:dyDescent="0.2">
      <c r="A28905" s="258"/>
      <c r="Z28905" s="258"/>
    </row>
    <row r="28906" spans="1:26" ht="12.75" customHeight="1" x14ac:dyDescent="0.2">
      <c r="A28906" s="258"/>
      <c r="Z28906" s="258"/>
    </row>
    <row r="28907" spans="1:26" ht="12.75" customHeight="1" x14ac:dyDescent="0.2">
      <c r="A28907" s="258"/>
      <c r="Z28907" s="258"/>
    </row>
    <row r="28908" spans="1:26" ht="12.75" customHeight="1" x14ac:dyDescent="0.2">
      <c r="A28908" s="258"/>
      <c r="Z28908" s="258"/>
    </row>
    <row r="28909" spans="1:26" ht="12.75" customHeight="1" x14ac:dyDescent="0.2">
      <c r="A28909" s="258"/>
      <c r="Z28909" s="258"/>
    </row>
    <row r="28910" spans="1:26" ht="12.75" customHeight="1" x14ac:dyDescent="0.2">
      <c r="A28910" s="258"/>
      <c r="Z28910" s="258"/>
    </row>
    <row r="28911" spans="1:26" ht="12.75" customHeight="1" x14ac:dyDescent="0.2">
      <c r="A28911" s="258"/>
      <c r="Z28911" s="258"/>
    </row>
    <row r="28912" spans="1:26" ht="12.75" customHeight="1" x14ac:dyDescent="0.2">
      <c r="A28912" s="258"/>
      <c r="Z28912" s="258"/>
    </row>
    <row r="28913" spans="1:26" ht="12.75" customHeight="1" x14ac:dyDescent="0.2">
      <c r="A28913" s="258"/>
      <c r="Z28913" s="258"/>
    </row>
    <row r="28914" spans="1:26" ht="12.75" customHeight="1" x14ac:dyDescent="0.2">
      <c r="A28914" s="258"/>
      <c r="Z28914" s="258"/>
    </row>
    <row r="28915" spans="1:26" ht="12.75" customHeight="1" x14ac:dyDescent="0.2">
      <c r="A28915" s="258"/>
      <c r="Z28915" s="258"/>
    </row>
    <row r="28916" spans="1:26" ht="12.75" customHeight="1" x14ac:dyDescent="0.2">
      <c r="A28916" s="258"/>
      <c r="Z28916" s="258"/>
    </row>
    <row r="28917" spans="1:26" ht="12.75" customHeight="1" x14ac:dyDescent="0.2">
      <c r="A28917" s="258"/>
      <c r="Z28917" s="258"/>
    </row>
    <row r="28918" spans="1:26" ht="12.75" customHeight="1" x14ac:dyDescent="0.2">
      <c r="A28918" s="258"/>
      <c r="Z28918" s="258"/>
    </row>
    <row r="28919" spans="1:26" ht="12.75" customHeight="1" x14ac:dyDescent="0.2">
      <c r="A28919" s="258"/>
      <c r="Z28919" s="258"/>
    </row>
    <row r="28920" spans="1:26" ht="12.75" customHeight="1" x14ac:dyDescent="0.2">
      <c r="A28920" s="258"/>
      <c r="Z28920" s="258"/>
    </row>
    <row r="28921" spans="1:26" ht="12.75" customHeight="1" x14ac:dyDescent="0.2">
      <c r="A28921" s="258"/>
      <c r="Z28921" s="258"/>
    </row>
    <row r="28922" spans="1:26" ht="12.75" customHeight="1" x14ac:dyDescent="0.2">
      <c r="A28922" s="258"/>
      <c r="Z28922" s="258"/>
    </row>
    <row r="28923" spans="1:26" ht="12.75" customHeight="1" x14ac:dyDescent="0.2">
      <c r="A28923" s="258"/>
      <c r="Z28923" s="258"/>
    </row>
    <row r="28924" spans="1:26" ht="12.75" customHeight="1" x14ac:dyDescent="0.2">
      <c r="A28924" s="258"/>
      <c r="Z28924" s="258"/>
    </row>
    <row r="28925" spans="1:26" ht="12.75" customHeight="1" x14ac:dyDescent="0.2">
      <c r="A28925" s="258"/>
      <c r="Z28925" s="258"/>
    </row>
    <row r="28926" spans="1:26" ht="12.75" customHeight="1" x14ac:dyDescent="0.2">
      <c r="A28926" s="258"/>
      <c r="Z28926" s="258"/>
    </row>
    <row r="28927" spans="1:26" ht="12.75" customHeight="1" x14ac:dyDescent="0.2">
      <c r="A28927" s="258"/>
      <c r="Z28927" s="258"/>
    </row>
    <row r="28928" spans="1:26" ht="12.75" customHeight="1" x14ac:dyDescent="0.2">
      <c r="A28928" s="258"/>
      <c r="Z28928" s="258"/>
    </row>
    <row r="28929" spans="1:26" ht="12.75" customHeight="1" x14ac:dyDescent="0.2">
      <c r="A28929" s="258"/>
      <c r="Z28929" s="258"/>
    </row>
    <row r="28930" spans="1:26" ht="12.75" customHeight="1" x14ac:dyDescent="0.2">
      <c r="A28930" s="258"/>
      <c r="Z28930" s="258"/>
    </row>
    <row r="28931" spans="1:26" ht="12.75" customHeight="1" x14ac:dyDescent="0.2">
      <c r="A28931" s="258"/>
      <c r="Z28931" s="258"/>
    </row>
    <row r="28932" spans="1:26" ht="12.75" customHeight="1" x14ac:dyDescent="0.2">
      <c r="A28932" s="258"/>
      <c r="Z28932" s="258"/>
    </row>
    <row r="28933" spans="1:26" ht="12.75" customHeight="1" x14ac:dyDescent="0.2">
      <c r="A28933" s="258"/>
      <c r="Z28933" s="258"/>
    </row>
    <row r="28934" spans="1:26" ht="12.75" customHeight="1" x14ac:dyDescent="0.2">
      <c r="A28934" s="258"/>
      <c r="Z28934" s="258"/>
    </row>
    <row r="28935" spans="1:26" ht="12.75" customHeight="1" x14ac:dyDescent="0.2">
      <c r="A28935" s="258"/>
      <c r="Z28935" s="258"/>
    </row>
    <row r="28936" spans="1:26" ht="12.75" customHeight="1" x14ac:dyDescent="0.2">
      <c r="A28936" s="258"/>
      <c r="Z28936" s="258"/>
    </row>
    <row r="28937" spans="1:26" ht="12.75" customHeight="1" x14ac:dyDescent="0.2">
      <c r="A28937" s="258"/>
      <c r="Z28937" s="258"/>
    </row>
    <row r="28938" spans="1:26" ht="12.75" customHeight="1" x14ac:dyDescent="0.2">
      <c r="A28938" s="258"/>
      <c r="Z28938" s="258"/>
    </row>
    <row r="28939" spans="1:26" ht="12.75" customHeight="1" x14ac:dyDescent="0.2">
      <c r="A28939" s="258"/>
      <c r="Z28939" s="258"/>
    </row>
    <row r="28940" spans="1:26" ht="12.75" customHeight="1" x14ac:dyDescent="0.2">
      <c r="A28940" s="258"/>
      <c r="Z28940" s="258"/>
    </row>
    <row r="28941" spans="1:26" ht="12.75" customHeight="1" x14ac:dyDescent="0.2">
      <c r="A28941" s="258"/>
      <c r="Z28941" s="258"/>
    </row>
    <row r="28942" spans="1:26" ht="12.75" customHeight="1" x14ac:dyDescent="0.2">
      <c r="A28942" s="258"/>
      <c r="Z28942" s="258"/>
    </row>
    <row r="28943" spans="1:26" ht="12.75" customHeight="1" x14ac:dyDescent="0.2">
      <c r="A28943" s="258"/>
      <c r="Z28943" s="258"/>
    </row>
    <row r="28944" spans="1:26" ht="12.75" customHeight="1" x14ac:dyDescent="0.2">
      <c r="A28944" s="258"/>
      <c r="Z28944" s="258"/>
    </row>
    <row r="28945" spans="1:26" ht="12.75" customHeight="1" x14ac:dyDescent="0.2">
      <c r="A28945" s="258"/>
      <c r="Z28945" s="258"/>
    </row>
    <row r="28946" spans="1:26" ht="12.75" customHeight="1" x14ac:dyDescent="0.2">
      <c r="A28946" s="258"/>
      <c r="Z28946" s="258"/>
    </row>
    <row r="28947" spans="1:26" ht="12.75" customHeight="1" x14ac:dyDescent="0.2">
      <c r="A28947" s="258"/>
      <c r="Z28947" s="258"/>
    </row>
    <row r="28948" spans="1:26" ht="12.75" customHeight="1" x14ac:dyDescent="0.2">
      <c r="A28948" s="258"/>
      <c r="Z28948" s="258"/>
    </row>
    <row r="28949" spans="1:26" ht="12.75" customHeight="1" x14ac:dyDescent="0.2">
      <c r="A28949" s="258"/>
      <c r="Z28949" s="258"/>
    </row>
    <row r="28950" spans="1:26" ht="12.75" customHeight="1" x14ac:dyDescent="0.2">
      <c r="A28950" s="258"/>
      <c r="Z28950" s="258"/>
    </row>
    <row r="28951" spans="1:26" ht="12.75" customHeight="1" x14ac:dyDescent="0.2">
      <c r="A28951" s="258"/>
      <c r="Z28951" s="258"/>
    </row>
    <row r="28952" spans="1:26" ht="12.75" customHeight="1" x14ac:dyDescent="0.2">
      <c r="A28952" s="258"/>
      <c r="Z28952" s="258"/>
    </row>
    <row r="28953" spans="1:26" ht="12.75" customHeight="1" x14ac:dyDescent="0.2">
      <c r="A28953" s="258"/>
      <c r="Z28953" s="258"/>
    </row>
    <row r="28954" spans="1:26" ht="12.75" customHeight="1" x14ac:dyDescent="0.2">
      <c r="A28954" s="258"/>
      <c r="Z28954" s="258"/>
    </row>
    <row r="28955" spans="1:26" ht="12.75" customHeight="1" x14ac:dyDescent="0.2">
      <c r="A28955" s="258"/>
      <c r="Z28955" s="258"/>
    </row>
    <row r="28956" spans="1:26" ht="12.75" customHeight="1" x14ac:dyDescent="0.2">
      <c r="A28956" s="258"/>
      <c r="Z28956" s="258"/>
    </row>
    <row r="28957" spans="1:26" ht="12.75" customHeight="1" x14ac:dyDescent="0.2">
      <c r="A28957" s="258"/>
      <c r="Z28957" s="258"/>
    </row>
    <row r="28958" spans="1:26" ht="12.75" customHeight="1" x14ac:dyDescent="0.2">
      <c r="A28958" s="258"/>
      <c r="Z28958" s="258"/>
    </row>
    <row r="28959" spans="1:26" ht="12.75" customHeight="1" x14ac:dyDescent="0.2">
      <c r="A28959" s="258"/>
      <c r="Z28959" s="258"/>
    </row>
    <row r="28960" spans="1:26" ht="12.75" customHeight="1" x14ac:dyDescent="0.2">
      <c r="A28960" s="258"/>
      <c r="Z28960" s="258"/>
    </row>
    <row r="28961" spans="1:26" ht="12.75" customHeight="1" x14ac:dyDescent="0.2">
      <c r="A28961" s="258"/>
      <c r="Z28961" s="258"/>
    </row>
    <row r="28962" spans="1:26" ht="12.75" customHeight="1" x14ac:dyDescent="0.2">
      <c r="A28962" s="258"/>
      <c r="Z28962" s="258"/>
    </row>
    <row r="28963" spans="1:26" ht="12.75" customHeight="1" x14ac:dyDescent="0.2">
      <c r="A28963" s="258"/>
      <c r="Z28963" s="258"/>
    </row>
    <row r="28964" spans="1:26" ht="12.75" customHeight="1" x14ac:dyDescent="0.2">
      <c r="A28964" s="258"/>
      <c r="Z28964" s="258"/>
    </row>
    <row r="28965" spans="1:26" ht="12.75" customHeight="1" x14ac:dyDescent="0.2">
      <c r="A28965" s="258"/>
      <c r="Z28965" s="258"/>
    </row>
    <row r="28966" spans="1:26" ht="12.75" customHeight="1" x14ac:dyDescent="0.2">
      <c r="A28966" s="258"/>
      <c r="Z28966" s="258"/>
    </row>
    <row r="28967" spans="1:26" ht="12.75" customHeight="1" x14ac:dyDescent="0.2">
      <c r="A28967" s="258"/>
      <c r="Z28967" s="258"/>
    </row>
    <row r="28968" spans="1:26" ht="12.75" customHeight="1" x14ac:dyDescent="0.2">
      <c r="A28968" s="258"/>
      <c r="Z28968" s="258"/>
    </row>
    <row r="28969" spans="1:26" ht="12.75" customHeight="1" x14ac:dyDescent="0.2">
      <c r="A28969" s="258"/>
      <c r="Z28969" s="258"/>
    </row>
    <row r="28970" spans="1:26" ht="12.75" customHeight="1" x14ac:dyDescent="0.2">
      <c r="A28970" s="258"/>
      <c r="Z28970" s="258"/>
    </row>
    <row r="28971" spans="1:26" ht="12.75" customHeight="1" x14ac:dyDescent="0.2">
      <c r="A28971" s="258"/>
      <c r="Z28971" s="258"/>
    </row>
    <row r="28972" spans="1:26" ht="12.75" customHeight="1" x14ac:dyDescent="0.2">
      <c r="A28972" s="258"/>
      <c r="Z28972" s="258"/>
    </row>
    <row r="28973" spans="1:26" ht="12.75" customHeight="1" x14ac:dyDescent="0.2">
      <c r="A28973" s="258"/>
      <c r="Z28973" s="258"/>
    </row>
    <row r="28974" spans="1:26" ht="12.75" customHeight="1" x14ac:dyDescent="0.2">
      <c r="A28974" s="258"/>
      <c r="Z28974" s="258"/>
    </row>
    <row r="28975" spans="1:26" ht="12.75" customHeight="1" x14ac:dyDescent="0.2">
      <c r="A28975" s="258"/>
      <c r="Z28975" s="258"/>
    </row>
    <row r="28976" spans="1:26" ht="12.75" customHeight="1" x14ac:dyDescent="0.2">
      <c r="A28976" s="258"/>
      <c r="Z28976" s="258"/>
    </row>
    <row r="28977" spans="1:26" ht="12.75" customHeight="1" x14ac:dyDescent="0.2">
      <c r="A28977" s="258"/>
      <c r="Z28977" s="258"/>
    </row>
    <row r="28978" spans="1:26" ht="12.75" customHeight="1" x14ac:dyDescent="0.2">
      <c r="A28978" s="258"/>
      <c r="Z28978" s="258"/>
    </row>
    <row r="28979" spans="1:26" ht="12.75" customHeight="1" x14ac:dyDescent="0.2">
      <c r="A28979" s="258"/>
      <c r="Z28979" s="258"/>
    </row>
    <row r="28980" spans="1:26" ht="12.75" customHeight="1" x14ac:dyDescent="0.2">
      <c r="A28980" s="258"/>
      <c r="Z28980" s="258"/>
    </row>
    <row r="28981" spans="1:26" ht="12.75" customHeight="1" x14ac:dyDescent="0.2">
      <c r="A28981" s="258"/>
      <c r="Z28981" s="258"/>
    </row>
    <row r="28982" spans="1:26" ht="12.75" customHeight="1" x14ac:dyDescent="0.2">
      <c r="A28982" s="258"/>
      <c r="Z28982" s="258"/>
    </row>
    <row r="28983" spans="1:26" ht="12.75" customHeight="1" x14ac:dyDescent="0.2">
      <c r="A28983" s="258"/>
      <c r="Z28983" s="258"/>
    </row>
    <row r="28984" spans="1:26" ht="12.75" customHeight="1" x14ac:dyDescent="0.2">
      <c r="A28984" s="258"/>
      <c r="Z28984" s="258"/>
    </row>
    <row r="28985" spans="1:26" ht="12.75" customHeight="1" x14ac:dyDescent="0.2">
      <c r="A28985" s="258"/>
      <c r="Z28985" s="258"/>
    </row>
    <row r="28986" spans="1:26" ht="12.75" customHeight="1" x14ac:dyDescent="0.2">
      <c r="A28986" s="258"/>
      <c r="Z28986" s="258"/>
    </row>
    <row r="28987" spans="1:26" ht="12.75" customHeight="1" x14ac:dyDescent="0.2">
      <c r="A28987" s="258"/>
      <c r="Z28987" s="258"/>
    </row>
    <row r="28988" spans="1:26" ht="12.75" customHeight="1" x14ac:dyDescent="0.2">
      <c r="A28988" s="258"/>
      <c r="Z28988" s="258"/>
    </row>
    <row r="28989" spans="1:26" ht="12.75" customHeight="1" x14ac:dyDescent="0.2">
      <c r="A28989" s="258"/>
      <c r="Z28989" s="258"/>
    </row>
    <row r="28990" spans="1:26" ht="12.75" customHeight="1" x14ac:dyDescent="0.2">
      <c r="A28990" s="258"/>
      <c r="Z28990" s="258"/>
    </row>
    <row r="28991" spans="1:26" ht="12.75" customHeight="1" x14ac:dyDescent="0.2">
      <c r="A28991" s="258"/>
      <c r="Z28991" s="258"/>
    </row>
    <row r="28992" spans="1:26" ht="12.75" customHeight="1" x14ac:dyDescent="0.2">
      <c r="A28992" s="258"/>
      <c r="Z28992" s="258"/>
    </row>
    <row r="28993" spans="1:26" ht="12.75" customHeight="1" x14ac:dyDescent="0.2">
      <c r="A28993" s="258"/>
      <c r="Z28993" s="258"/>
    </row>
    <row r="28994" spans="1:26" ht="12.75" customHeight="1" x14ac:dyDescent="0.2">
      <c r="A28994" s="258"/>
      <c r="Z28994" s="258"/>
    </row>
    <row r="28995" spans="1:26" ht="12.75" customHeight="1" x14ac:dyDescent="0.2">
      <c r="A28995" s="258"/>
      <c r="Z28995" s="258"/>
    </row>
    <row r="28996" spans="1:26" ht="12.75" customHeight="1" x14ac:dyDescent="0.2">
      <c r="A28996" s="258"/>
      <c r="Z28996" s="258"/>
    </row>
    <row r="28997" spans="1:26" ht="12.75" customHeight="1" x14ac:dyDescent="0.2">
      <c r="A28997" s="258"/>
      <c r="Z28997" s="258"/>
    </row>
    <row r="28998" spans="1:26" ht="12.75" customHeight="1" x14ac:dyDescent="0.2">
      <c r="A28998" s="258"/>
      <c r="Z28998" s="258"/>
    </row>
    <row r="28999" spans="1:26" ht="12.75" customHeight="1" x14ac:dyDescent="0.2">
      <c r="A28999" s="258"/>
      <c r="Z28999" s="258"/>
    </row>
    <row r="29000" spans="1:26" ht="12.75" customHeight="1" x14ac:dyDescent="0.2">
      <c r="A29000" s="258"/>
      <c r="Z29000" s="258"/>
    </row>
    <row r="29001" spans="1:26" ht="12.75" customHeight="1" x14ac:dyDescent="0.2">
      <c r="A29001" s="258"/>
      <c r="Z29001" s="258"/>
    </row>
    <row r="29002" spans="1:26" ht="12.75" customHeight="1" x14ac:dyDescent="0.2">
      <c r="A29002" s="258"/>
      <c r="Z29002" s="258"/>
    </row>
    <row r="29003" spans="1:26" ht="12.75" customHeight="1" x14ac:dyDescent="0.2">
      <c r="A29003" s="258"/>
      <c r="Z29003" s="258"/>
    </row>
    <row r="29004" spans="1:26" ht="12.75" customHeight="1" x14ac:dyDescent="0.2">
      <c r="A29004" s="258"/>
      <c r="Z29004" s="258"/>
    </row>
    <row r="29005" spans="1:26" ht="12.75" customHeight="1" x14ac:dyDescent="0.2">
      <c r="A29005" s="258"/>
      <c r="Z29005" s="258"/>
    </row>
    <row r="29006" spans="1:26" ht="12.75" customHeight="1" x14ac:dyDescent="0.2">
      <c r="A29006" s="258"/>
      <c r="Z29006" s="258"/>
    </row>
    <row r="29007" spans="1:26" ht="12.75" customHeight="1" x14ac:dyDescent="0.2">
      <c r="A29007" s="258"/>
      <c r="Z29007" s="258"/>
    </row>
    <row r="29008" spans="1:26" ht="12.75" customHeight="1" x14ac:dyDescent="0.2">
      <c r="A29008" s="258"/>
      <c r="Z29008" s="258"/>
    </row>
    <row r="29009" spans="1:26" ht="12.75" customHeight="1" x14ac:dyDescent="0.2">
      <c r="A29009" s="258"/>
      <c r="Z29009" s="258"/>
    </row>
    <row r="29010" spans="1:26" ht="12.75" customHeight="1" x14ac:dyDescent="0.2">
      <c r="A29010" s="258"/>
      <c r="Z29010" s="258"/>
    </row>
    <row r="29011" spans="1:26" ht="12.75" customHeight="1" x14ac:dyDescent="0.2">
      <c r="A29011" s="258"/>
      <c r="Z29011" s="258"/>
    </row>
    <row r="29012" spans="1:26" ht="12.75" customHeight="1" x14ac:dyDescent="0.2">
      <c r="A29012" s="258"/>
      <c r="Z29012" s="258"/>
    </row>
    <row r="29013" spans="1:26" ht="12.75" customHeight="1" x14ac:dyDescent="0.2">
      <c r="A29013" s="258"/>
      <c r="Z29013" s="258"/>
    </row>
    <row r="29014" spans="1:26" ht="12.75" customHeight="1" x14ac:dyDescent="0.2">
      <c r="A29014" s="258"/>
      <c r="Z29014" s="258"/>
    </row>
    <row r="29015" spans="1:26" ht="12.75" customHeight="1" x14ac:dyDescent="0.2">
      <c r="A29015" s="258"/>
      <c r="Z29015" s="258"/>
    </row>
    <row r="29016" spans="1:26" ht="12.75" customHeight="1" x14ac:dyDescent="0.2">
      <c r="A29016" s="258"/>
      <c r="Z29016" s="258"/>
    </row>
    <row r="29017" spans="1:26" ht="12.75" customHeight="1" x14ac:dyDescent="0.2">
      <c r="A29017" s="258"/>
      <c r="Z29017" s="258"/>
    </row>
    <row r="29018" spans="1:26" ht="12.75" customHeight="1" x14ac:dyDescent="0.2">
      <c r="A29018" s="258"/>
      <c r="Z29018" s="258"/>
    </row>
    <row r="29019" spans="1:26" ht="12.75" customHeight="1" x14ac:dyDescent="0.2">
      <c r="A29019" s="258"/>
      <c r="Z29019" s="258"/>
    </row>
    <row r="29020" spans="1:26" ht="12.75" customHeight="1" x14ac:dyDescent="0.2">
      <c r="A29020" s="258"/>
      <c r="Z29020" s="258"/>
    </row>
    <row r="29021" spans="1:26" ht="12.75" customHeight="1" x14ac:dyDescent="0.2">
      <c r="A29021" s="258"/>
      <c r="Z29021" s="258"/>
    </row>
    <row r="29022" spans="1:26" ht="12.75" customHeight="1" x14ac:dyDescent="0.2">
      <c r="A29022" s="258"/>
      <c r="Z29022" s="258"/>
    </row>
    <row r="29023" spans="1:26" ht="12.75" customHeight="1" x14ac:dyDescent="0.2">
      <c r="A29023" s="258"/>
      <c r="Z29023" s="258"/>
    </row>
    <row r="29024" spans="1:26" ht="12.75" customHeight="1" x14ac:dyDescent="0.2">
      <c r="A29024" s="258"/>
      <c r="Z29024" s="258"/>
    </row>
    <row r="29025" spans="1:26" ht="12.75" customHeight="1" x14ac:dyDescent="0.2">
      <c r="A29025" s="258"/>
      <c r="Z29025" s="258"/>
    </row>
    <row r="29026" spans="1:26" ht="12.75" customHeight="1" x14ac:dyDescent="0.2">
      <c r="A29026" s="258"/>
      <c r="Z29026" s="258"/>
    </row>
    <row r="29027" spans="1:26" ht="12.75" customHeight="1" x14ac:dyDescent="0.2">
      <c r="A29027" s="258"/>
      <c r="Z29027" s="258"/>
    </row>
    <row r="29028" spans="1:26" ht="12.75" customHeight="1" x14ac:dyDescent="0.2">
      <c r="A29028" s="258"/>
      <c r="Z29028" s="258"/>
    </row>
    <row r="29029" spans="1:26" ht="12.75" customHeight="1" x14ac:dyDescent="0.2">
      <c r="A29029" s="258"/>
      <c r="Z29029" s="258"/>
    </row>
    <row r="29030" spans="1:26" ht="12.75" customHeight="1" x14ac:dyDescent="0.2">
      <c r="A29030" s="258"/>
      <c r="Z29030" s="258"/>
    </row>
    <row r="29031" spans="1:26" ht="12.75" customHeight="1" x14ac:dyDescent="0.2">
      <c r="A29031" s="258"/>
      <c r="Z29031" s="258"/>
    </row>
    <row r="29032" spans="1:26" ht="12.75" customHeight="1" x14ac:dyDescent="0.2">
      <c r="A29032" s="258"/>
      <c r="Z29032" s="258"/>
    </row>
    <row r="29033" spans="1:26" ht="12.75" customHeight="1" x14ac:dyDescent="0.2">
      <c r="A29033" s="258"/>
      <c r="Z29033" s="258"/>
    </row>
    <row r="29034" spans="1:26" ht="12.75" customHeight="1" x14ac:dyDescent="0.2">
      <c r="A29034" s="258"/>
      <c r="Z29034" s="258"/>
    </row>
    <row r="29035" spans="1:26" ht="12.75" customHeight="1" x14ac:dyDescent="0.2">
      <c r="A29035" s="258"/>
      <c r="Z29035" s="258"/>
    </row>
    <row r="29036" spans="1:26" ht="12.75" customHeight="1" x14ac:dyDescent="0.2">
      <c r="A29036" s="258"/>
      <c r="Z29036" s="258"/>
    </row>
    <row r="29037" spans="1:26" ht="12.75" customHeight="1" x14ac:dyDescent="0.2">
      <c r="A29037" s="258"/>
      <c r="Z29037" s="258"/>
    </row>
    <row r="29038" spans="1:26" ht="12.75" customHeight="1" x14ac:dyDescent="0.2">
      <c r="A29038" s="258"/>
      <c r="Z29038" s="258"/>
    </row>
    <row r="29039" spans="1:26" ht="12.75" customHeight="1" x14ac:dyDescent="0.2">
      <c r="A29039" s="258"/>
      <c r="Z29039" s="258"/>
    </row>
    <row r="29040" spans="1:26" ht="12.75" customHeight="1" x14ac:dyDescent="0.2">
      <c r="A29040" s="258"/>
      <c r="Z29040" s="258"/>
    </row>
    <row r="29041" spans="1:26" ht="12.75" customHeight="1" x14ac:dyDescent="0.2">
      <c r="A29041" s="258"/>
      <c r="Z29041" s="258"/>
    </row>
    <row r="29042" spans="1:26" ht="12.75" customHeight="1" x14ac:dyDescent="0.2">
      <c r="A29042" s="258"/>
      <c r="Z29042" s="258"/>
    </row>
    <row r="29043" spans="1:26" ht="12.75" customHeight="1" x14ac:dyDescent="0.2">
      <c r="A29043" s="258"/>
      <c r="Z29043" s="258"/>
    </row>
    <row r="29044" spans="1:26" ht="12.75" customHeight="1" x14ac:dyDescent="0.2">
      <c r="A29044" s="258"/>
      <c r="Z29044" s="258"/>
    </row>
    <row r="29045" spans="1:26" ht="12.75" customHeight="1" x14ac:dyDescent="0.2">
      <c r="A29045" s="258"/>
      <c r="Z29045" s="258"/>
    </row>
    <row r="29046" spans="1:26" ht="12.75" customHeight="1" x14ac:dyDescent="0.2">
      <c r="A29046" s="258"/>
      <c r="Z29046" s="258"/>
    </row>
    <row r="29047" spans="1:26" ht="12.75" customHeight="1" x14ac:dyDescent="0.2">
      <c r="A29047" s="258"/>
      <c r="Z29047" s="258"/>
    </row>
    <row r="29048" spans="1:26" ht="12.75" customHeight="1" x14ac:dyDescent="0.2">
      <c r="A29048" s="258"/>
      <c r="Z29048" s="258"/>
    </row>
    <row r="29049" spans="1:26" ht="12.75" customHeight="1" x14ac:dyDescent="0.2">
      <c r="A29049" s="258"/>
      <c r="Z29049" s="258"/>
    </row>
    <row r="29050" spans="1:26" ht="12.75" customHeight="1" x14ac:dyDescent="0.2">
      <c r="A29050" s="258"/>
      <c r="Z29050" s="258"/>
    </row>
    <row r="29051" spans="1:26" ht="12.75" customHeight="1" x14ac:dyDescent="0.2">
      <c r="A29051" s="258"/>
      <c r="Z29051" s="258"/>
    </row>
    <row r="29052" spans="1:26" ht="12.75" customHeight="1" x14ac:dyDescent="0.2">
      <c r="A29052" s="258"/>
      <c r="Z29052" s="258"/>
    </row>
    <row r="29053" spans="1:26" ht="12.75" customHeight="1" x14ac:dyDescent="0.2">
      <c r="A29053" s="258"/>
      <c r="Z29053" s="258"/>
    </row>
    <row r="29054" spans="1:26" ht="12.75" customHeight="1" x14ac:dyDescent="0.2">
      <c r="A29054" s="258"/>
      <c r="Z29054" s="258"/>
    </row>
    <row r="29055" spans="1:26" ht="12.75" customHeight="1" x14ac:dyDescent="0.2">
      <c r="A29055" s="258"/>
      <c r="Z29055" s="258"/>
    </row>
    <row r="29056" spans="1:26" ht="12.75" customHeight="1" x14ac:dyDescent="0.2">
      <c r="A29056" s="258"/>
      <c r="Z29056" s="258"/>
    </row>
    <row r="29057" spans="1:26" ht="12.75" customHeight="1" x14ac:dyDescent="0.2">
      <c r="A29057" s="258"/>
      <c r="Z29057" s="258"/>
    </row>
    <row r="29058" spans="1:26" ht="12.75" customHeight="1" x14ac:dyDescent="0.2">
      <c r="A29058" s="258"/>
      <c r="Z29058" s="258"/>
    </row>
    <row r="29059" spans="1:26" ht="12.75" customHeight="1" x14ac:dyDescent="0.2">
      <c r="A29059" s="258"/>
      <c r="Z29059" s="258"/>
    </row>
    <row r="29060" spans="1:26" ht="12.75" customHeight="1" x14ac:dyDescent="0.2">
      <c r="A29060" s="258"/>
      <c r="Z29060" s="258"/>
    </row>
    <row r="29061" spans="1:26" ht="12.75" customHeight="1" x14ac:dyDescent="0.2">
      <c r="A29061" s="258"/>
      <c r="Z29061" s="258"/>
    </row>
    <row r="29062" spans="1:26" ht="12.75" customHeight="1" x14ac:dyDescent="0.2">
      <c r="A29062" s="258"/>
      <c r="Z29062" s="258"/>
    </row>
    <row r="29063" spans="1:26" ht="12.75" customHeight="1" x14ac:dyDescent="0.2">
      <c r="A29063" s="258"/>
      <c r="Z29063" s="258"/>
    </row>
    <row r="29064" spans="1:26" ht="12.75" customHeight="1" x14ac:dyDescent="0.2">
      <c r="A29064" s="258"/>
      <c r="Z29064" s="258"/>
    </row>
    <row r="29065" spans="1:26" ht="12.75" customHeight="1" x14ac:dyDescent="0.2">
      <c r="A29065" s="258"/>
      <c r="Z29065" s="258"/>
    </row>
    <row r="29066" spans="1:26" ht="12.75" customHeight="1" x14ac:dyDescent="0.2">
      <c r="A29066" s="258"/>
      <c r="Z29066" s="258"/>
    </row>
    <row r="29067" spans="1:26" ht="12.75" customHeight="1" x14ac:dyDescent="0.2">
      <c r="A29067" s="258"/>
      <c r="Z29067" s="258"/>
    </row>
    <row r="29068" spans="1:26" ht="12.75" customHeight="1" x14ac:dyDescent="0.2">
      <c r="A29068" s="258"/>
      <c r="Z29068" s="258"/>
    </row>
    <row r="29069" spans="1:26" ht="12.75" customHeight="1" x14ac:dyDescent="0.2">
      <c r="A29069" s="258"/>
      <c r="Z29069" s="258"/>
    </row>
    <row r="29070" spans="1:26" ht="12.75" customHeight="1" x14ac:dyDescent="0.2">
      <c r="A29070" s="258"/>
      <c r="Z29070" s="258"/>
    </row>
    <row r="29071" spans="1:26" ht="12.75" customHeight="1" x14ac:dyDescent="0.2">
      <c r="A29071" s="258"/>
      <c r="Z29071" s="258"/>
    </row>
    <row r="29072" spans="1:26" ht="12.75" customHeight="1" x14ac:dyDescent="0.2">
      <c r="A29072" s="258"/>
      <c r="Z29072" s="258"/>
    </row>
    <row r="29073" spans="1:26" ht="12.75" customHeight="1" x14ac:dyDescent="0.2">
      <c r="A29073" s="258"/>
      <c r="Z29073" s="258"/>
    </row>
    <row r="29074" spans="1:26" ht="12.75" customHeight="1" x14ac:dyDescent="0.2">
      <c r="A29074" s="258"/>
      <c r="Z29074" s="258"/>
    </row>
    <row r="29075" spans="1:26" ht="12.75" customHeight="1" x14ac:dyDescent="0.2">
      <c r="A29075" s="258"/>
      <c r="Z29075" s="258"/>
    </row>
    <row r="29076" spans="1:26" ht="12.75" customHeight="1" x14ac:dyDescent="0.2">
      <c r="A29076" s="258"/>
      <c r="Z29076" s="258"/>
    </row>
    <row r="29077" spans="1:26" ht="12.75" customHeight="1" x14ac:dyDescent="0.2">
      <c r="A29077" s="258"/>
      <c r="Z29077" s="258"/>
    </row>
    <row r="29078" spans="1:26" ht="12.75" customHeight="1" x14ac:dyDescent="0.2">
      <c r="A29078" s="258"/>
      <c r="Z29078" s="258"/>
    </row>
    <row r="29079" spans="1:26" ht="12.75" customHeight="1" x14ac:dyDescent="0.2">
      <c r="A29079" s="258"/>
      <c r="Z29079" s="258"/>
    </row>
    <row r="29080" spans="1:26" ht="12.75" customHeight="1" x14ac:dyDescent="0.2">
      <c r="A29080" s="258"/>
      <c r="Z29080" s="258"/>
    </row>
    <row r="29081" spans="1:26" ht="12.75" customHeight="1" x14ac:dyDescent="0.2">
      <c r="A29081" s="258"/>
      <c r="Z29081" s="258"/>
    </row>
    <row r="29082" spans="1:26" ht="12.75" customHeight="1" x14ac:dyDescent="0.2">
      <c r="A29082" s="258"/>
      <c r="Z29082" s="258"/>
    </row>
    <row r="29083" spans="1:26" ht="12.75" customHeight="1" x14ac:dyDescent="0.2">
      <c r="A29083" s="258"/>
      <c r="Z29083" s="258"/>
    </row>
    <row r="29084" spans="1:26" ht="12.75" customHeight="1" x14ac:dyDescent="0.2">
      <c r="A29084" s="258"/>
      <c r="Z29084" s="258"/>
    </row>
    <row r="29085" spans="1:26" ht="12.75" customHeight="1" x14ac:dyDescent="0.2">
      <c r="A29085" s="258"/>
      <c r="Z29085" s="258"/>
    </row>
    <row r="29086" spans="1:26" ht="12.75" customHeight="1" x14ac:dyDescent="0.2">
      <c r="A29086" s="258"/>
      <c r="Z29086" s="258"/>
    </row>
    <row r="29087" spans="1:26" ht="12.75" customHeight="1" x14ac:dyDescent="0.2">
      <c r="A29087" s="258"/>
      <c r="Z29087" s="258"/>
    </row>
    <row r="29088" spans="1:26" ht="12.75" customHeight="1" x14ac:dyDescent="0.2">
      <c r="A29088" s="258"/>
      <c r="Z29088" s="258"/>
    </row>
    <row r="29089" spans="1:26" ht="12.75" customHeight="1" x14ac:dyDescent="0.2">
      <c r="A29089" s="258"/>
      <c r="Z29089" s="258"/>
    </row>
    <row r="29090" spans="1:26" ht="12.75" customHeight="1" x14ac:dyDescent="0.2">
      <c r="A29090" s="258"/>
      <c r="Z29090" s="258"/>
    </row>
    <row r="29091" spans="1:26" ht="12.75" customHeight="1" x14ac:dyDescent="0.2">
      <c r="A29091" s="258"/>
      <c r="Z29091" s="258"/>
    </row>
    <row r="29092" spans="1:26" ht="12.75" customHeight="1" x14ac:dyDescent="0.2">
      <c r="A29092" s="258"/>
      <c r="Z29092" s="258"/>
    </row>
    <row r="29093" spans="1:26" ht="12.75" customHeight="1" x14ac:dyDescent="0.2">
      <c r="A29093" s="258"/>
      <c r="Z29093" s="258"/>
    </row>
    <row r="29094" spans="1:26" ht="12.75" customHeight="1" x14ac:dyDescent="0.2">
      <c r="A29094" s="258"/>
      <c r="Z29094" s="258"/>
    </row>
    <row r="29095" spans="1:26" ht="12.75" customHeight="1" x14ac:dyDescent="0.2">
      <c r="A29095" s="258"/>
      <c r="Z29095" s="258"/>
    </row>
    <row r="29096" spans="1:26" ht="12.75" customHeight="1" x14ac:dyDescent="0.2">
      <c r="A29096" s="258"/>
      <c r="Z29096" s="258"/>
    </row>
    <row r="29097" spans="1:26" ht="12.75" customHeight="1" x14ac:dyDescent="0.2">
      <c r="A29097" s="258"/>
      <c r="Z29097" s="258"/>
    </row>
    <row r="29098" spans="1:26" ht="12.75" customHeight="1" x14ac:dyDescent="0.2">
      <c r="A29098" s="258"/>
      <c r="Z29098" s="258"/>
    </row>
    <row r="29099" spans="1:26" ht="12.75" customHeight="1" x14ac:dyDescent="0.2">
      <c r="A29099" s="258"/>
      <c r="Z29099" s="258"/>
    </row>
    <row r="29100" spans="1:26" ht="12.75" customHeight="1" x14ac:dyDescent="0.2">
      <c r="A29100" s="258"/>
      <c r="Z29100" s="258"/>
    </row>
    <row r="29101" spans="1:26" ht="12.75" customHeight="1" x14ac:dyDescent="0.2">
      <c r="A29101" s="258"/>
      <c r="Z29101" s="258"/>
    </row>
    <row r="29102" spans="1:26" ht="12.75" customHeight="1" x14ac:dyDescent="0.2">
      <c r="A29102" s="258"/>
      <c r="Z29102" s="258"/>
    </row>
    <row r="29103" spans="1:26" ht="12.75" customHeight="1" x14ac:dyDescent="0.2">
      <c r="A29103" s="258"/>
      <c r="Z29103" s="258"/>
    </row>
    <row r="29104" spans="1:26" ht="12.75" customHeight="1" x14ac:dyDescent="0.2">
      <c r="A29104" s="258"/>
      <c r="Z29104" s="258"/>
    </row>
    <row r="29105" spans="1:26" ht="12.75" customHeight="1" x14ac:dyDescent="0.2">
      <c r="A29105" s="258"/>
      <c r="Z29105" s="258"/>
    </row>
    <row r="29106" spans="1:26" ht="12.75" customHeight="1" x14ac:dyDescent="0.2">
      <c r="A29106" s="258"/>
      <c r="Z29106" s="258"/>
    </row>
    <row r="29107" spans="1:26" ht="12.75" customHeight="1" x14ac:dyDescent="0.2">
      <c r="A29107" s="258"/>
      <c r="Z29107" s="258"/>
    </row>
    <row r="29108" spans="1:26" ht="12.75" customHeight="1" x14ac:dyDescent="0.2">
      <c r="A29108" s="258"/>
      <c r="Z29108" s="258"/>
    </row>
    <row r="29109" spans="1:26" ht="12.75" customHeight="1" x14ac:dyDescent="0.2">
      <c r="A29109" s="258"/>
      <c r="Z29109" s="258"/>
    </row>
    <row r="29110" spans="1:26" ht="12.75" customHeight="1" x14ac:dyDescent="0.2">
      <c r="A29110" s="258"/>
      <c r="Z29110" s="258"/>
    </row>
    <row r="29111" spans="1:26" ht="12.75" customHeight="1" x14ac:dyDescent="0.2">
      <c r="A29111" s="258"/>
      <c r="Z29111" s="258"/>
    </row>
    <row r="29112" spans="1:26" ht="12.75" customHeight="1" x14ac:dyDescent="0.2">
      <c r="A29112" s="258"/>
      <c r="Z29112" s="258"/>
    </row>
    <row r="29113" spans="1:26" ht="12.75" customHeight="1" x14ac:dyDescent="0.2">
      <c r="A29113" s="258"/>
      <c r="Z29113" s="258"/>
    </row>
    <row r="29114" spans="1:26" ht="12.75" customHeight="1" x14ac:dyDescent="0.2">
      <c r="A29114" s="258"/>
      <c r="Z29114" s="258"/>
    </row>
    <row r="29115" spans="1:26" ht="12.75" customHeight="1" x14ac:dyDescent="0.2">
      <c r="A29115" s="258"/>
      <c r="Z29115" s="258"/>
    </row>
    <row r="29116" spans="1:26" ht="12.75" customHeight="1" x14ac:dyDescent="0.2">
      <c r="A29116" s="258"/>
      <c r="Z29116" s="258"/>
    </row>
    <row r="29117" spans="1:26" ht="12.75" customHeight="1" x14ac:dyDescent="0.2">
      <c r="A29117" s="258"/>
      <c r="Z29117" s="258"/>
    </row>
    <row r="29118" spans="1:26" ht="12.75" customHeight="1" x14ac:dyDescent="0.2">
      <c r="A29118" s="258"/>
      <c r="Z29118" s="258"/>
    </row>
    <row r="29119" spans="1:26" ht="12.75" customHeight="1" x14ac:dyDescent="0.2">
      <c r="A29119" s="258"/>
      <c r="Z29119" s="258"/>
    </row>
    <row r="29120" spans="1:26" ht="12.75" customHeight="1" x14ac:dyDescent="0.2">
      <c r="A29120" s="258"/>
      <c r="Z29120" s="258"/>
    </row>
    <row r="29121" spans="1:26" ht="12.75" customHeight="1" x14ac:dyDescent="0.2">
      <c r="A29121" s="258"/>
      <c r="Z29121" s="258"/>
    </row>
    <row r="29122" spans="1:26" ht="12.75" customHeight="1" x14ac:dyDescent="0.2">
      <c r="A29122" s="258"/>
      <c r="Z29122" s="258"/>
    </row>
    <row r="29123" spans="1:26" ht="12.75" customHeight="1" x14ac:dyDescent="0.2">
      <c r="A29123" s="258"/>
      <c r="Z29123" s="258"/>
    </row>
    <row r="29124" spans="1:26" ht="12.75" customHeight="1" x14ac:dyDescent="0.2">
      <c r="A29124" s="258"/>
      <c r="Z29124" s="258"/>
    </row>
    <row r="29125" spans="1:26" ht="12.75" customHeight="1" x14ac:dyDescent="0.2">
      <c r="A29125" s="258"/>
      <c r="Z29125" s="258"/>
    </row>
    <row r="29126" spans="1:26" ht="12.75" customHeight="1" x14ac:dyDescent="0.2">
      <c r="A29126" s="258"/>
      <c r="Z29126" s="258"/>
    </row>
    <row r="29127" spans="1:26" ht="12.75" customHeight="1" x14ac:dyDescent="0.2">
      <c r="A29127" s="258"/>
      <c r="Z29127" s="258"/>
    </row>
    <row r="29128" spans="1:26" ht="12.75" customHeight="1" x14ac:dyDescent="0.2">
      <c r="A29128" s="258"/>
      <c r="Z29128" s="258"/>
    </row>
    <row r="29129" spans="1:26" ht="12.75" customHeight="1" x14ac:dyDescent="0.2">
      <c r="A29129" s="258"/>
      <c r="Z29129" s="258"/>
    </row>
    <row r="29130" spans="1:26" ht="12.75" customHeight="1" x14ac:dyDescent="0.2">
      <c r="A29130" s="258"/>
      <c r="Z29130" s="258"/>
    </row>
    <row r="29131" spans="1:26" ht="12.75" customHeight="1" x14ac:dyDescent="0.2">
      <c r="A29131" s="258"/>
      <c r="Z29131" s="258"/>
    </row>
    <row r="29132" spans="1:26" ht="12.75" customHeight="1" x14ac:dyDescent="0.2">
      <c r="A29132" s="258"/>
      <c r="Z29132" s="258"/>
    </row>
    <row r="29133" spans="1:26" ht="12.75" customHeight="1" x14ac:dyDescent="0.2">
      <c r="A29133" s="258"/>
      <c r="Z29133" s="258"/>
    </row>
    <row r="29134" spans="1:26" ht="12.75" customHeight="1" x14ac:dyDescent="0.2">
      <c r="A29134" s="258"/>
      <c r="Z29134" s="258"/>
    </row>
    <row r="29135" spans="1:26" ht="12.75" customHeight="1" x14ac:dyDescent="0.2">
      <c r="A29135" s="258"/>
      <c r="Z29135" s="258"/>
    </row>
    <row r="29136" spans="1:26" ht="12.75" customHeight="1" x14ac:dyDescent="0.2">
      <c r="A29136" s="258"/>
      <c r="Z29136" s="258"/>
    </row>
    <row r="29137" spans="1:26" ht="12.75" customHeight="1" x14ac:dyDescent="0.2">
      <c r="A29137" s="258"/>
      <c r="Z29137" s="258"/>
    </row>
    <row r="29138" spans="1:26" ht="12.75" customHeight="1" x14ac:dyDescent="0.2">
      <c r="A29138" s="258"/>
      <c r="Z29138" s="258"/>
    </row>
    <row r="29139" spans="1:26" ht="12.75" customHeight="1" x14ac:dyDescent="0.2">
      <c r="A29139" s="258"/>
      <c r="Z29139" s="258"/>
    </row>
    <row r="29140" spans="1:26" ht="12.75" customHeight="1" x14ac:dyDescent="0.2">
      <c r="A29140" s="258"/>
      <c r="Z29140" s="258"/>
    </row>
    <row r="29141" spans="1:26" ht="12.75" customHeight="1" x14ac:dyDescent="0.2">
      <c r="A29141" s="258"/>
      <c r="Z29141" s="258"/>
    </row>
    <row r="29142" spans="1:26" ht="12.75" customHeight="1" x14ac:dyDescent="0.2">
      <c r="A29142" s="258"/>
      <c r="Z29142" s="258"/>
    </row>
    <row r="29143" spans="1:26" ht="12.75" customHeight="1" x14ac:dyDescent="0.2">
      <c r="A29143" s="258"/>
      <c r="Z29143" s="258"/>
    </row>
    <row r="29144" spans="1:26" ht="12.75" customHeight="1" x14ac:dyDescent="0.2">
      <c r="A29144" s="258"/>
      <c r="Z29144" s="258"/>
    </row>
    <row r="29145" spans="1:26" ht="12.75" customHeight="1" x14ac:dyDescent="0.2">
      <c r="A29145" s="258"/>
      <c r="Z29145" s="258"/>
    </row>
    <row r="29146" spans="1:26" ht="12.75" customHeight="1" x14ac:dyDescent="0.2">
      <c r="A29146" s="258"/>
      <c r="Z29146" s="258"/>
    </row>
    <row r="29147" spans="1:26" ht="12.75" customHeight="1" x14ac:dyDescent="0.2">
      <c r="A29147" s="258"/>
      <c r="Z29147" s="258"/>
    </row>
    <row r="29148" spans="1:26" ht="12.75" customHeight="1" x14ac:dyDescent="0.2">
      <c r="A29148" s="258"/>
      <c r="Z29148" s="258"/>
    </row>
    <row r="29149" spans="1:26" ht="12.75" customHeight="1" x14ac:dyDescent="0.2">
      <c r="A29149" s="258"/>
      <c r="Z29149" s="258"/>
    </row>
    <row r="29150" spans="1:26" ht="12.75" customHeight="1" x14ac:dyDescent="0.2">
      <c r="A29150" s="258"/>
      <c r="Z29150" s="258"/>
    </row>
    <row r="29151" spans="1:26" ht="12.75" customHeight="1" x14ac:dyDescent="0.2">
      <c r="A29151" s="258"/>
      <c r="Z29151" s="258"/>
    </row>
    <row r="29152" spans="1:26" ht="12.75" customHeight="1" x14ac:dyDescent="0.2">
      <c r="A29152" s="258"/>
      <c r="Z29152" s="258"/>
    </row>
    <row r="29153" spans="1:26" ht="12.75" customHeight="1" x14ac:dyDescent="0.2">
      <c r="A29153" s="258"/>
      <c r="Z29153" s="258"/>
    </row>
    <row r="29154" spans="1:26" ht="12.75" customHeight="1" x14ac:dyDescent="0.2">
      <c r="A29154" s="258"/>
      <c r="Z29154" s="258"/>
    </row>
    <row r="29155" spans="1:26" ht="12.75" customHeight="1" x14ac:dyDescent="0.2">
      <c r="A29155" s="258"/>
      <c r="Z29155" s="258"/>
    </row>
    <row r="29156" spans="1:26" ht="12.75" customHeight="1" x14ac:dyDescent="0.2">
      <c r="A29156" s="258"/>
      <c r="Z29156" s="258"/>
    </row>
    <row r="29157" spans="1:26" ht="12.75" customHeight="1" x14ac:dyDescent="0.2">
      <c r="A29157" s="258"/>
      <c r="Z29157" s="258"/>
    </row>
    <row r="29158" spans="1:26" ht="12.75" customHeight="1" x14ac:dyDescent="0.2">
      <c r="A29158" s="258"/>
      <c r="Z29158" s="258"/>
    </row>
    <row r="29159" spans="1:26" ht="12.75" customHeight="1" x14ac:dyDescent="0.2">
      <c r="A29159" s="258"/>
      <c r="Z29159" s="258"/>
    </row>
    <row r="29160" spans="1:26" ht="12.75" customHeight="1" x14ac:dyDescent="0.2">
      <c r="A29160" s="258"/>
      <c r="Z29160" s="258"/>
    </row>
    <row r="29161" spans="1:26" ht="12.75" customHeight="1" x14ac:dyDescent="0.2">
      <c r="A29161" s="258"/>
      <c r="Z29161" s="258"/>
    </row>
    <row r="29162" spans="1:26" ht="12.75" customHeight="1" x14ac:dyDescent="0.2">
      <c r="A29162" s="258"/>
      <c r="Z29162" s="258"/>
    </row>
    <row r="29163" spans="1:26" ht="12.75" customHeight="1" x14ac:dyDescent="0.2">
      <c r="A29163" s="258"/>
      <c r="Z29163" s="258"/>
    </row>
    <row r="29164" spans="1:26" ht="12.75" customHeight="1" x14ac:dyDescent="0.2">
      <c r="A29164" s="258"/>
      <c r="Z29164" s="258"/>
    </row>
    <row r="29165" spans="1:26" ht="12.75" customHeight="1" x14ac:dyDescent="0.2">
      <c r="A29165" s="258"/>
      <c r="Z29165" s="258"/>
    </row>
    <row r="29166" spans="1:26" ht="12.75" customHeight="1" x14ac:dyDescent="0.2">
      <c r="A29166" s="258"/>
      <c r="Z29166" s="258"/>
    </row>
    <row r="29167" spans="1:26" ht="12.75" customHeight="1" x14ac:dyDescent="0.2">
      <c r="A29167" s="258"/>
      <c r="Z29167" s="258"/>
    </row>
    <row r="29168" spans="1:26" ht="12.75" customHeight="1" x14ac:dyDescent="0.2">
      <c r="A29168" s="258"/>
      <c r="Z29168" s="258"/>
    </row>
    <row r="29169" spans="1:26" ht="12.75" customHeight="1" x14ac:dyDescent="0.2">
      <c r="A29169" s="258"/>
      <c r="Z29169" s="258"/>
    </row>
    <row r="29170" spans="1:26" ht="12.75" customHeight="1" x14ac:dyDescent="0.2">
      <c r="A29170" s="258"/>
      <c r="Z29170" s="258"/>
    </row>
    <row r="29171" spans="1:26" ht="12.75" customHeight="1" x14ac:dyDescent="0.2">
      <c r="A29171" s="258"/>
      <c r="Z29171" s="258"/>
    </row>
    <row r="29172" spans="1:26" ht="12.75" customHeight="1" x14ac:dyDescent="0.2">
      <c r="A29172" s="258"/>
      <c r="Z29172" s="258"/>
    </row>
    <row r="29173" spans="1:26" ht="12.75" customHeight="1" x14ac:dyDescent="0.2">
      <c r="A29173" s="258"/>
      <c r="Z29173" s="258"/>
    </row>
    <row r="29174" spans="1:26" ht="12.75" customHeight="1" x14ac:dyDescent="0.2">
      <c r="A29174" s="258"/>
      <c r="Z29174" s="258"/>
    </row>
    <row r="29175" spans="1:26" ht="12.75" customHeight="1" x14ac:dyDescent="0.2">
      <c r="A29175" s="258"/>
      <c r="Z29175" s="258"/>
    </row>
    <row r="29176" spans="1:26" ht="12.75" customHeight="1" x14ac:dyDescent="0.2">
      <c r="A29176" s="258"/>
      <c r="Z29176" s="258"/>
    </row>
    <row r="29177" spans="1:26" ht="12.75" customHeight="1" x14ac:dyDescent="0.2">
      <c r="A29177" s="258"/>
      <c r="Z29177" s="258"/>
    </row>
    <row r="29178" spans="1:26" ht="12.75" customHeight="1" x14ac:dyDescent="0.2">
      <c r="A29178" s="258"/>
      <c r="Z29178" s="258"/>
    </row>
    <row r="29179" spans="1:26" ht="12.75" customHeight="1" x14ac:dyDescent="0.2">
      <c r="A29179" s="258"/>
      <c r="Z29179" s="258"/>
    </row>
    <row r="29180" spans="1:26" ht="12.75" customHeight="1" x14ac:dyDescent="0.2">
      <c r="A29180" s="258"/>
      <c r="Z29180" s="258"/>
    </row>
    <row r="29181" spans="1:26" ht="12.75" customHeight="1" x14ac:dyDescent="0.2">
      <c r="A29181" s="258"/>
      <c r="Z29181" s="258"/>
    </row>
    <row r="29182" spans="1:26" ht="12.75" customHeight="1" x14ac:dyDescent="0.2">
      <c r="A29182" s="258"/>
      <c r="Z29182" s="258"/>
    </row>
    <row r="29183" spans="1:26" ht="12.75" customHeight="1" x14ac:dyDescent="0.2">
      <c r="A29183" s="258"/>
      <c r="Z29183" s="258"/>
    </row>
    <row r="29184" spans="1:26" ht="12.75" customHeight="1" x14ac:dyDescent="0.2">
      <c r="A29184" s="258"/>
      <c r="Z29184" s="258"/>
    </row>
    <row r="29185" spans="1:26" ht="12.75" customHeight="1" x14ac:dyDescent="0.2">
      <c r="A29185" s="258"/>
      <c r="Z29185" s="258"/>
    </row>
    <row r="29186" spans="1:26" ht="12.75" customHeight="1" x14ac:dyDescent="0.2">
      <c r="A29186" s="258"/>
      <c r="Z29186" s="258"/>
    </row>
    <row r="29187" spans="1:26" ht="12.75" customHeight="1" x14ac:dyDescent="0.2">
      <c r="A29187" s="258"/>
      <c r="Z29187" s="258"/>
    </row>
    <row r="29188" spans="1:26" ht="12.75" customHeight="1" x14ac:dyDescent="0.2">
      <c r="A29188" s="258"/>
      <c r="Z29188" s="258"/>
    </row>
    <row r="29189" spans="1:26" ht="12.75" customHeight="1" x14ac:dyDescent="0.2">
      <c r="A29189" s="258"/>
      <c r="Z29189" s="258"/>
    </row>
    <row r="29190" spans="1:26" ht="12.75" customHeight="1" x14ac:dyDescent="0.2">
      <c r="A29190" s="258"/>
      <c r="Z29190" s="258"/>
    </row>
    <row r="29191" spans="1:26" ht="12.75" customHeight="1" x14ac:dyDescent="0.2">
      <c r="A29191" s="258"/>
      <c r="Z29191" s="258"/>
    </row>
    <row r="29192" spans="1:26" ht="12.75" customHeight="1" x14ac:dyDescent="0.2">
      <c r="A29192" s="258"/>
      <c r="Z29192" s="258"/>
    </row>
    <row r="29193" spans="1:26" ht="12.75" customHeight="1" x14ac:dyDescent="0.2">
      <c r="A29193" s="258"/>
      <c r="Z29193" s="258"/>
    </row>
    <row r="29194" spans="1:26" ht="12.75" customHeight="1" x14ac:dyDescent="0.2">
      <c r="A29194" s="258"/>
      <c r="Z29194" s="258"/>
    </row>
    <row r="29195" spans="1:26" ht="12.75" customHeight="1" x14ac:dyDescent="0.2">
      <c r="A29195" s="258"/>
      <c r="Z29195" s="258"/>
    </row>
    <row r="29196" spans="1:26" ht="12.75" customHeight="1" x14ac:dyDescent="0.2">
      <c r="A29196" s="258"/>
      <c r="Z29196" s="258"/>
    </row>
    <row r="29197" spans="1:26" ht="12.75" customHeight="1" x14ac:dyDescent="0.2">
      <c r="A29197" s="258"/>
      <c r="Z29197" s="258"/>
    </row>
    <row r="29198" spans="1:26" ht="12.75" customHeight="1" x14ac:dyDescent="0.2">
      <c r="A29198" s="258"/>
      <c r="Z29198" s="258"/>
    </row>
    <row r="29199" spans="1:26" ht="12.75" customHeight="1" x14ac:dyDescent="0.2">
      <c r="A29199" s="258"/>
      <c r="Z29199" s="258"/>
    </row>
    <row r="29200" spans="1:26" ht="12.75" customHeight="1" x14ac:dyDescent="0.2">
      <c r="A29200" s="258"/>
      <c r="Z29200" s="258"/>
    </row>
    <row r="29201" spans="1:26" ht="12.75" customHeight="1" x14ac:dyDescent="0.2">
      <c r="A29201" s="258"/>
      <c r="Z29201" s="258"/>
    </row>
    <row r="29202" spans="1:26" ht="12.75" customHeight="1" x14ac:dyDescent="0.2">
      <c r="A29202" s="258"/>
      <c r="Z29202" s="258"/>
    </row>
    <row r="29203" spans="1:26" ht="12.75" customHeight="1" x14ac:dyDescent="0.2">
      <c r="A29203" s="258"/>
      <c r="Z29203" s="258"/>
    </row>
    <row r="29204" spans="1:26" ht="12.75" customHeight="1" x14ac:dyDescent="0.2">
      <c r="A29204" s="258"/>
      <c r="Z29204" s="258"/>
    </row>
    <row r="29205" spans="1:26" ht="12.75" customHeight="1" x14ac:dyDescent="0.2">
      <c r="A29205" s="258"/>
      <c r="Z29205" s="258"/>
    </row>
    <row r="29206" spans="1:26" ht="12.75" customHeight="1" x14ac:dyDescent="0.2">
      <c r="A29206" s="258"/>
      <c r="Z29206" s="258"/>
    </row>
    <row r="29207" spans="1:26" ht="12.75" customHeight="1" x14ac:dyDescent="0.2">
      <c r="A29207" s="258"/>
      <c r="Z29207" s="258"/>
    </row>
    <row r="29208" spans="1:26" ht="12.75" customHeight="1" x14ac:dyDescent="0.2">
      <c r="A29208" s="258"/>
      <c r="Z29208" s="258"/>
    </row>
    <row r="29209" spans="1:26" ht="12.75" customHeight="1" x14ac:dyDescent="0.2">
      <c r="A29209" s="258"/>
      <c r="Z29209" s="258"/>
    </row>
    <row r="29210" spans="1:26" ht="12.75" customHeight="1" x14ac:dyDescent="0.2">
      <c r="A29210" s="258"/>
      <c r="Z29210" s="258"/>
    </row>
    <row r="29211" spans="1:26" ht="12.75" customHeight="1" x14ac:dyDescent="0.2">
      <c r="A29211" s="258"/>
      <c r="Z29211" s="258"/>
    </row>
    <row r="29212" spans="1:26" ht="12.75" customHeight="1" x14ac:dyDescent="0.2">
      <c r="A29212" s="258"/>
      <c r="Z29212" s="258"/>
    </row>
    <row r="29213" spans="1:26" ht="12.75" customHeight="1" x14ac:dyDescent="0.2">
      <c r="A29213" s="258"/>
      <c r="Z29213" s="258"/>
    </row>
    <row r="29214" spans="1:26" ht="12.75" customHeight="1" x14ac:dyDescent="0.2">
      <c r="A29214" s="258"/>
      <c r="Z29214" s="258"/>
    </row>
    <row r="29215" spans="1:26" ht="12.75" customHeight="1" x14ac:dyDescent="0.2">
      <c r="A29215" s="258"/>
      <c r="Z29215" s="258"/>
    </row>
    <row r="29216" spans="1:26" ht="12.75" customHeight="1" x14ac:dyDescent="0.2">
      <c r="A29216" s="258"/>
      <c r="Z29216" s="258"/>
    </row>
    <row r="29217" spans="1:26" ht="12.75" customHeight="1" x14ac:dyDescent="0.2">
      <c r="A29217" s="258"/>
      <c r="Z29217" s="258"/>
    </row>
    <row r="29218" spans="1:26" ht="12.75" customHeight="1" x14ac:dyDescent="0.2">
      <c r="A29218" s="258"/>
      <c r="Z29218" s="258"/>
    </row>
    <row r="29219" spans="1:26" ht="12.75" customHeight="1" x14ac:dyDescent="0.2">
      <c r="A29219" s="258"/>
      <c r="Z29219" s="258"/>
    </row>
    <row r="29220" spans="1:26" ht="12.75" customHeight="1" x14ac:dyDescent="0.2">
      <c r="A29220" s="258"/>
      <c r="Z29220" s="258"/>
    </row>
    <row r="29221" spans="1:26" ht="12.75" customHeight="1" x14ac:dyDescent="0.2">
      <c r="A29221" s="258"/>
      <c r="Z29221" s="258"/>
    </row>
    <row r="29222" spans="1:26" ht="12.75" customHeight="1" x14ac:dyDescent="0.2">
      <c r="A29222" s="258"/>
      <c r="Z29222" s="258"/>
    </row>
    <row r="29223" spans="1:26" ht="12.75" customHeight="1" x14ac:dyDescent="0.2">
      <c r="A29223" s="258"/>
      <c r="Z29223" s="258"/>
    </row>
    <row r="29224" spans="1:26" ht="12.75" customHeight="1" x14ac:dyDescent="0.2">
      <c r="A29224" s="258"/>
      <c r="Z29224" s="258"/>
    </row>
    <row r="29225" spans="1:26" ht="12.75" customHeight="1" x14ac:dyDescent="0.2">
      <c r="A29225" s="258"/>
      <c r="Z29225" s="258"/>
    </row>
    <row r="29226" spans="1:26" ht="12.75" customHeight="1" x14ac:dyDescent="0.2">
      <c r="A29226" s="258"/>
      <c r="Z29226" s="258"/>
    </row>
    <row r="29227" spans="1:26" ht="12.75" customHeight="1" x14ac:dyDescent="0.2">
      <c r="A29227" s="258"/>
      <c r="Z29227" s="258"/>
    </row>
    <row r="29228" spans="1:26" ht="12.75" customHeight="1" x14ac:dyDescent="0.2">
      <c r="A29228" s="258"/>
      <c r="Z29228" s="258"/>
    </row>
    <row r="29229" spans="1:26" ht="12.75" customHeight="1" x14ac:dyDescent="0.2">
      <c r="A29229" s="258"/>
      <c r="Z29229" s="258"/>
    </row>
    <row r="29230" spans="1:26" ht="12.75" customHeight="1" x14ac:dyDescent="0.2">
      <c r="A29230" s="258"/>
      <c r="Z29230" s="258"/>
    </row>
    <row r="29231" spans="1:26" ht="12.75" customHeight="1" x14ac:dyDescent="0.2">
      <c r="A29231" s="258"/>
      <c r="Z29231" s="258"/>
    </row>
    <row r="29232" spans="1:26" ht="12.75" customHeight="1" x14ac:dyDescent="0.2">
      <c r="A29232" s="258"/>
      <c r="Z29232" s="258"/>
    </row>
    <row r="29233" spans="1:26" ht="12.75" customHeight="1" x14ac:dyDescent="0.2">
      <c r="A29233" s="258"/>
      <c r="Z29233" s="258"/>
    </row>
    <row r="29234" spans="1:26" ht="12.75" customHeight="1" x14ac:dyDescent="0.2">
      <c r="A29234" s="258"/>
      <c r="Z29234" s="258"/>
    </row>
    <row r="29235" spans="1:26" ht="12.75" customHeight="1" x14ac:dyDescent="0.2">
      <c r="A29235" s="258"/>
      <c r="Z29235" s="258"/>
    </row>
    <row r="29236" spans="1:26" ht="12.75" customHeight="1" x14ac:dyDescent="0.2">
      <c r="A29236" s="258"/>
      <c r="Z29236" s="258"/>
    </row>
    <row r="29237" spans="1:26" ht="12.75" customHeight="1" x14ac:dyDescent="0.2">
      <c r="A29237" s="258"/>
      <c r="Z29237" s="258"/>
    </row>
    <row r="29238" spans="1:26" ht="12.75" customHeight="1" x14ac:dyDescent="0.2">
      <c r="A29238" s="258"/>
      <c r="Z29238" s="258"/>
    </row>
    <row r="29239" spans="1:26" ht="12.75" customHeight="1" x14ac:dyDescent="0.2">
      <c r="A29239" s="258"/>
      <c r="Z29239" s="258"/>
    </row>
    <row r="29240" spans="1:26" ht="12.75" customHeight="1" x14ac:dyDescent="0.2">
      <c r="A29240" s="258"/>
      <c r="Z29240" s="258"/>
    </row>
    <row r="29241" spans="1:26" ht="12.75" customHeight="1" x14ac:dyDescent="0.2">
      <c r="A29241" s="258"/>
      <c r="Z29241" s="258"/>
    </row>
    <row r="29242" spans="1:26" ht="12.75" customHeight="1" x14ac:dyDescent="0.2">
      <c r="A29242" s="258"/>
      <c r="Z29242" s="258"/>
    </row>
    <row r="29243" spans="1:26" ht="12.75" customHeight="1" x14ac:dyDescent="0.2">
      <c r="A29243" s="258"/>
      <c r="Z29243" s="258"/>
    </row>
    <row r="29244" spans="1:26" ht="12.75" customHeight="1" x14ac:dyDescent="0.2">
      <c r="A29244" s="258"/>
      <c r="Z29244" s="258"/>
    </row>
    <row r="29245" spans="1:26" ht="12.75" customHeight="1" x14ac:dyDescent="0.2">
      <c r="A29245" s="258"/>
      <c r="Z29245" s="258"/>
    </row>
    <row r="29246" spans="1:26" ht="12.75" customHeight="1" x14ac:dyDescent="0.2">
      <c r="A29246" s="258"/>
      <c r="Z29246" s="258"/>
    </row>
    <row r="29247" spans="1:26" ht="12.75" customHeight="1" x14ac:dyDescent="0.2">
      <c r="A29247" s="258"/>
      <c r="Z29247" s="258"/>
    </row>
    <row r="29248" spans="1:26" ht="12.75" customHeight="1" x14ac:dyDescent="0.2">
      <c r="A29248" s="258"/>
      <c r="Z29248" s="258"/>
    </row>
    <row r="29249" spans="1:26" ht="12.75" customHeight="1" x14ac:dyDescent="0.2">
      <c r="A29249" s="258"/>
      <c r="Z29249" s="258"/>
    </row>
    <row r="29250" spans="1:26" ht="12.75" customHeight="1" x14ac:dyDescent="0.2">
      <c r="A29250" s="258"/>
      <c r="Z29250" s="258"/>
    </row>
    <row r="29251" spans="1:26" ht="12.75" customHeight="1" x14ac:dyDescent="0.2">
      <c r="A29251" s="258"/>
      <c r="Z29251" s="258"/>
    </row>
    <row r="29252" spans="1:26" ht="12.75" customHeight="1" x14ac:dyDescent="0.2">
      <c r="A29252" s="258"/>
      <c r="Z29252" s="258"/>
    </row>
    <row r="29253" spans="1:26" ht="12.75" customHeight="1" x14ac:dyDescent="0.2">
      <c r="A29253" s="258"/>
      <c r="Z29253" s="258"/>
    </row>
    <row r="29254" spans="1:26" ht="12.75" customHeight="1" x14ac:dyDescent="0.2">
      <c r="A29254" s="258"/>
      <c r="Z29254" s="258"/>
    </row>
    <row r="29255" spans="1:26" ht="12.75" customHeight="1" x14ac:dyDescent="0.2">
      <c r="A29255" s="258"/>
      <c r="Z29255" s="258"/>
    </row>
    <row r="29256" spans="1:26" ht="12.75" customHeight="1" x14ac:dyDescent="0.2">
      <c r="A29256" s="258"/>
      <c r="Z29256" s="258"/>
    </row>
    <row r="29257" spans="1:26" ht="12.75" customHeight="1" x14ac:dyDescent="0.2">
      <c r="A29257" s="258"/>
      <c r="Z29257" s="258"/>
    </row>
    <row r="29258" spans="1:26" ht="12.75" customHeight="1" x14ac:dyDescent="0.2">
      <c r="A29258" s="258"/>
      <c r="Z29258" s="258"/>
    </row>
    <row r="29259" spans="1:26" ht="12.75" customHeight="1" x14ac:dyDescent="0.2">
      <c r="A29259" s="258"/>
      <c r="Z29259" s="258"/>
    </row>
    <row r="29260" spans="1:26" ht="12.75" customHeight="1" x14ac:dyDescent="0.2">
      <c r="A29260" s="258"/>
      <c r="Z29260" s="258"/>
    </row>
    <row r="29261" spans="1:26" ht="12.75" customHeight="1" x14ac:dyDescent="0.2">
      <c r="A29261" s="258"/>
      <c r="Z29261" s="258"/>
    </row>
    <row r="29262" spans="1:26" ht="12.75" customHeight="1" x14ac:dyDescent="0.2">
      <c r="A29262" s="258"/>
      <c r="Z29262" s="258"/>
    </row>
    <row r="29263" spans="1:26" ht="12.75" customHeight="1" x14ac:dyDescent="0.2">
      <c r="A29263" s="258"/>
      <c r="Z29263" s="258"/>
    </row>
    <row r="29264" spans="1:26" ht="12.75" customHeight="1" x14ac:dyDescent="0.2">
      <c r="A29264" s="258"/>
      <c r="Z29264" s="258"/>
    </row>
    <row r="29265" spans="1:26" ht="12.75" customHeight="1" x14ac:dyDescent="0.2">
      <c r="A29265" s="258"/>
      <c r="Z29265" s="258"/>
    </row>
    <row r="29266" spans="1:26" ht="12.75" customHeight="1" x14ac:dyDescent="0.2">
      <c r="A29266" s="258"/>
      <c r="Z29266" s="258"/>
    </row>
    <row r="29267" spans="1:26" ht="12.75" customHeight="1" x14ac:dyDescent="0.2">
      <c r="A29267" s="258"/>
      <c r="Z29267" s="258"/>
    </row>
    <row r="29268" spans="1:26" ht="12.75" customHeight="1" x14ac:dyDescent="0.2">
      <c r="A29268" s="258"/>
      <c r="Z29268" s="258"/>
    </row>
    <row r="29269" spans="1:26" ht="12.75" customHeight="1" x14ac:dyDescent="0.2">
      <c r="A29269" s="258"/>
      <c r="Z29269" s="258"/>
    </row>
    <row r="29270" spans="1:26" ht="12.75" customHeight="1" x14ac:dyDescent="0.2">
      <c r="A29270" s="258"/>
      <c r="Z29270" s="258"/>
    </row>
    <row r="29271" spans="1:26" ht="12.75" customHeight="1" x14ac:dyDescent="0.2">
      <c r="A29271" s="258"/>
      <c r="Z29271" s="258"/>
    </row>
    <row r="29272" spans="1:26" ht="12.75" customHeight="1" x14ac:dyDescent="0.2">
      <c r="A29272" s="258"/>
      <c r="Z29272" s="258"/>
    </row>
    <row r="29273" spans="1:26" ht="12.75" customHeight="1" x14ac:dyDescent="0.2">
      <c r="A29273" s="258"/>
      <c r="Z29273" s="258"/>
    </row>
    <row r="29274" spans="1:26" ht="12.75" customHeight="1" x14ac:dyDescent="0.2">
      <c r="A29274" s="258"/>
      <c r="Z29274" s="258"/>
    </row>
    <row r="29275" spans="1:26" ht="12.75" customHeight="1" x14ac:dyDescent="0.2">
      <c r="A29275" s="258"/>
      <c r="Z29275" s="258"/>
    </row>
    <row r="29276" spans="1:26" ht="12.75" customHeight="1" x14ac:dyDescent="0.2">
      <c r="A29276" s="258"/>
      <c r="Z29276" s="258"/>
    </row>
    <row r="29277" spans="1:26" ht="12.75" customHeight="1" x14ac:dyDescent="0.2">
      <c r="A29277" s="258"/>
      <c r="Z29277" s="258"/>
    </row>
    <row r="29278" spans="1:26" ht="12.75" customHeight="1" x14ac:dyDescent="0.2">
      <c r="A29278" s="258"/>
      <c r="Z29278" s="258"/>
    </row>
    <row r="29279" spans="1:26" ht="12.75" customHeight="1" x14ac:dyDescent="0.2">
      <c r="A29279" s="258"/>
      <c r="Z29279" s="258"/>
    </row>
    <row r="29280" spans="1:26" ht="12.75" customHeight="1" x14ac:dyDescent="0.2">
      <c r="A29280" s="258"/>
      <c r="Z29280" s="258"/>
    </row>
    <row r="29281" spans="1:26" ht="12.75" customHeight="1" x14ac:dyDescent="0.2">
      <c r="A29281" s="258"/>
      <c r="Z29281" s="258"/>
    </row>
    <row r="29282" spans="1:26" ht="12.75" customHeight="1" x14ac:dyDescent="0.2">
      <c r="A29282" s="258"/>
      <c r="Z29282" s="258"/>
    </row>
    <row r="29283" spans="1:26" ht="12.75" customHeight="1" x14ac:dyDescent="0.2">
      <c r="A29283" s="258"/>
      <c r="Z29283" s="258"/>
    </row>
    <row r="29284" spans="1:26" ht="12.75" customHeight="1" x14ac:dyDescent="0.2">
      <c r="A29284" s="258"/>
      <c r="Z29284" s="258"/>
    </row>
    <row r="29285" spans="1:26" ht="12.75" customHeight="1" x14ac:dyDescent="0.2">
      <c r="A29285" s="258"/>
      <c r="Z29285" s="258"/>
    </row>
    <row r="29286" spans="1:26" ht="12.75" customHeight="1" x14ac:dyDescent="0.2">
      <c r="A29286" s="258"/>
      <c r="Z29286" s="258"/>
    </row>
    <row r="29287" spans="1:26" ht="12.75" customHeight="1" x14ac:dyDescent="0.2">
      <c r="A29287" s="258"/>
      <c r="Z29287" s="258"/>
    </row>
    <row r="29288" spans="1:26" ht="12.75" customHeight="1" x14ac:dyDescent="0.2">
      <c r="A29288" s="258"/>
      <c r="Z29288" s="258"/>
    </row>
    <row r="29289" spans="1:26" ht="12.75" customHeight="1" x14ac:dyDescent="0.2">
      <c r="A29289" s="258"/>
      <c r="Z29289" s="258"/>
    </row>
    <row r="29290" spans="1:26" ht="12.75" customHeight="1" x14ac:dyDescent="0.2">
      <c r="A29290" s="258"/>
      <c r="Z29290" s="258"/>
    </row>
    <row r="29291" spans="1:26" ht="12.75" customHeight="1" x14ac:dyDescent="0.2">
      <c r="A29291" s="258"/>
      <c r="Z29291" s="258"/>
    </row>
    <row r="29292" spans="1:26" ht="12.75" customHeight="1" x14ac:dyDescent="0.2">
      <c r="A29292" s="258"/>
      <c r="Z29292" s="258"/>
    </row>
    <row r="29293" spans="1:26" ht="12.75" customHeight="1" x14ac:dyDescent="0.2">
      <c r="A29293" s="258"/>
      <c r="Z29293" s="258"/>
    </row>
    <row r="29294" spans="1:26" ht="12.75" customHeight="1" x14ac:dyDescent="0.2">
      <c r="A29294" s="258"/>
      <c r="Z29294" s="258"/>
    </row>
    <row r="29295" spans="1:26" ht="12.75" customHeight="1" x14ac:dyDescent="0.2">
      <c r="A29295" s="258"/>
      <c r="Z29295" s="258"/>
    </row>
    <row r="29296" spans="1:26" ht="12.75" customHeight="1" x14ac:dyDescent="0.2">
      <c r="A29296" s="258"/>
      <c r="Z29296" s="258"/>
    </row>
    <row r="29297" spans="1:26" ht="12.75" customHeight="1" x14ac:dyDescent="0.2">
      <c r="A29297" s="258"/>
      <c r="Z29297" s="258"/>
    </row>
    <row r="29298" spans="1:26" ht="12.75" customHeight="1" x14ac:dyDescent="0.2">
      <c r="A29298" s="258"/>
      <c r="Z29298" s="258"/>
    </row>
    <row r="29299" spans="1:26" ht="12.75" customHeight="1" x14ac:dyDescent="0.2">
      <c r="A29299" s="258"/>
      <c r="Z29299" s="258"/>
    </row>
    <row r="29300" spans="1:26" ht="12.75" customHeight="1" x14ac:dyDescent="0.2">
      <c r="A29300" s="258"/>
      <c r="Z29300" s="258"/>
    </row>
    <row r="29301" spans="1:26" ht="12.75" customHeight="1" x14ac:dyDescent="0.2">
      <c r="A29301" s="258"/>
      <c r="Z29301" s="258"/>
    </row>
    <row r="29302" spans="1:26" ht="12.75" customHeight="1" x14ac:dyDescent="0.2">
      <c r="A29302" s="258"/>
      <c r="Z29302" s="258"/>
    </row>
    <row r="29303" spans="1:26" ht="12.75" customHeight="1" x14ac:dyDescent="0.2">
      <c r="A29303" s="258"/>
      <c r="Z29303" s="258"/>
    </row>
    <row r="29304" spans="1:26" ht="12.75" customHeight="1" x14ac:dyDescent="0.2">
      <c r="A29304" s="258"/>
      <c r="Z29304" s="258"/>
    </row>
    <row r="29305" spans="1:26" ht="12.75" customHeight="1" x14ac:dyDescent="0.2">
      <c r="A29305" s="258"/>
      <c r="Z29305" s="258"/>
    </row>
    <row r="29306" spans="1:26" ht="12.75" customHeight="1" x14ac:dyDescent="0.2">
      <c r="A29306" s="258"/>
      <c r="Z29306" s="258"/>
    </row>
    <row r="29307" spans="1:26" ht="12.75" customHeight="1" x14ac:dyDescent="0.2">
      <c r="A29307" s="258"/>
      <c r="Z29307" s="258"/>
    </row>
    <row r="29308" spans="1:26" ht="12.75" customHeight="1" x14ac:dyDescent="0.2">
      <c r="A29308" s="258"/>
      <c r="Z29308" s="258"/>
    </row>
    <row r="29309" spans="1:26" ht="12.75" customHeight="1" x14ac:dyDescent="0.2">
      <c r="A29309" s="258"/>
      <c r="Z29309" s="258"/>
    </row>
    <row r="29310" spans="1:26" ht="12.75" customHeight="1" x14ac:dyDescent="0.2">
      <c r="A29310" s="258"/>
      <c r="Z29310" s="258"/>
    </row>
    <row r="29311" spans="1:26" ht="12.75" customHeight="1" x14ac:dyDescent="0.2">
      <c r="A29311" s="258"/>
      <c r="Z29311" s="258"/>
    </row>
    <row r="29312" spans="1:26" ht="12.75" customHeight="1" x14ac:dyDescent="0.2">
      <c r="A29312" s="258"/>
      <c r="Z29312" s="258"/>
    </row>
    <row r="29313" spans="1:26" ht="12.75" customHeight="1" x14ac:dyDescent="0.2">
      <c r="A29313" s="258"/>
      <c r="Z29313" s="258"/>
    </row>
    <row r="29314" spans="1:26" ht="12.75" customHeight="1" x14ac:dyDescent="0.2">
      <c r="A29314" s="258"/>
      <c r="Z29314" s="258"/>
    </row>
    <row r="29315" spans="1:26" ht="12.75" customHeight="1" x14ac:dyDescent="0.2">
      <c r="A29315" s="258"/>
      <c r="Z29315" s="258"/>
    </row>
    <row r="29316" spans="1:26" ht="12.75" customHeight="1" x14ac:dyDescent="0.2">
      <c r="A29316" s="258"/>
      <c r="Z29316" s="258"/>
    </row>
    <row r="29317" spans="1:26" ht="12.75" customHeight="1" x14ac:dyDescent="0.2">
      <c r="A29317" s="258"/>
      <c r="Z29317" s="258"/>
    </row>
    <row r="29318" spans="1:26" ht="12.75" customHeight="1" x14ac:dyDescent="0.2">
      <c r="A29318" s="258"/>
      <c r="Z29318" s="258"/>
    </row>
    <row r="29319" spans="1:26" ht="12.75" customHeight="1" x14ac:dyDescent="0.2">
      <c r="A29319" s="258"/>
      <c r="Z29319" s="258"/>
    </row>
    <row r="29320" spans="1:26" ht="12.75" customHeight="1" x14ac:dyDescent="0.2">
      <c r="A29320" s="258"/>
      <c r="Z29320" s="258"/>
    </row>
    <row r="29321" spans="1:26" ht="12.75" customHeight="1" x14ac:dyDescent="0.2">
      <c r="A29321" s="258"/>
      <c r="Z29321" s="258"/>
    </row>
    <row r="29322" spans="1:26" ht="12.75" customHeight="1" x14ac:dyDescent="0.2">
      <c r="A29322" s="258"/>
      <c r="Z29322" s="258"/>
    </row>
    <row r="29323" spans="1:26" ht="12.75" customHeight="1" x14ac:dyDescent="0.2">
      <c r="A29323" s="258"/>
      <c r="Z29323" s="258"/>
    </row>
    <row r="29324" spans="1:26" ht="12.75" customHeight="1" x14ac:dyDescent="0.2">
      <c r="A29324" s="258"/>
      <c r="Z29324" s="258"/>
    </row>
    <row r="29325" spans="1:26" ht="12.75" customHeight="1" x14ac:dyDescent="0.2">
      <c r="A29325" s="258"/>
      <c r="Z29325" s="258"/>
    </row>
    <row r="29326" spans="1:26" ht="12.75" customHeight="1" x14ac:dyDescent="0.2">
      <c r="A29326" s="258"/>
      <c r="Z29326" s="258"/>
    </row>
    <row r="29327" spans="1:26" ht="12.75" customHeight="1" x14ac:dyDescent="0.2">
      <c r="A29327" s="258"/>
      <c r="Z29327" s="258"/>
    </row>
    <row r="29328" spans="1:26" ht="12.75" customHeight="1" x14ac:dyDescent="0.2">
      <c r="A29328" s="258"/>
      <c r="Z29328" s="258"/>
    </row>
    <row r="29329" spans="1:26" ht="12.75" customHeight="1" x14ac:dyDescent="0.2">
      <c r="A29329" s="258"/>
      <c r="Z29329" s="258"/>
    </row>
    <row r="29330" spans="1:26" ht="12.75" customHeight="1" x14ac:dyDescent="0.2">
      <c r="A29330" s="258"/>
      <c r="Z29330" s="258"/>
    </row>
    <row r="29331" spans="1:26" ht="12.75" customHeight="1" x14ac:dyDescent="0.2">
      <c r="A29331" s="258"/>
      <c r="Z29331" s="258"/>
    </row>
    <row r="29332" spans="1:26" ht="12.75" customHeight="1" x14ac:dyDescent="0.2">
      <c r="A29332" s="258"/>
      <c r="Z29332" s="258"/>
    </row>
    <row r="29333" spans="1:26" ht="12.75" customHeight="1" x14ac:dyDescent="0.2">
      <c r="A29333" s="258"/>
      <c r="Z29333" s="258"/>
    </row>
    <row r="29334" spans="1:26" ht="12.75" customHeight="1" x14ac:dyDescent="0.2">
      <c r="A29334" s="258"/>
      <c r="Z29334" s="258"/>
    </row>
    <row r="29335" spans="1:26" ht="12.75" customHeight="1" x14ac:dyDescent="0.2">
      <c r="A29335" s="258"/>
      <c r="Z29335" s="258"/>
    </row>
    <row r="29336" spans="1:26" ht="12.75" customHeight="1" x14ac:dyDescent="0.2">
      <c r="A29336" s="258"/>
      <c r="Z29336" s="258"/>
    </row>
    <row r="29337" spans="1:26" ht="12.75" customHeight="1" x14ac:dyDescent="0.2">
      <c r="A29337" s="258"/>
      <c r="Z29337" s="258"/>
    </row>
    <row r="29338" spans="1:26" ht="12.75" customHeight="1" x14ac:dyDescent="0.2">
      <c r="A29338" s="258"/>
      <c r="Z29338" s="258"/>
    </row>
    <row r="29339" spans="1:26" ht="12.75" customHeight="1" x14ac:dyDescent="0.2">
      <c r="A29339" s="258"/>
      <c r="Z29339" s="258"/>
    </row>
    <row r="29340" spans="1:26" ht="12.75" customHeight="1" x14ac:dyDescent="0.2">
      <c r="A29340" s="258"/>
      <c r="Z29340" s="258"/>
    </row>
    <row r="29341" spans="1:26" ht="12.75" customHeight="1" x14ac:dyDescent="0.2">
      <c r="A29341" s="258"/>
      <c r="Z29341" s="258"/>
    </row>
    <row r="29342" spans="1:26" ht="12.75" customHeight="1" x14ac:dyDescent="0.2">
      <c r="A29342" s="258"/>
      <c r="Z29342" s="258"/>
    </row>
    <row r="29343" spans="1:26" ht="12.75" customHeight="1" x14ac:dyDescent="0.2">
      <c r="A29343" s="258"/>
      <c r="Z29343" s="258"/>
    </row>
    <row r="29344" spans="1:26" ht="12.75" customHeight="1" x14ac:dyDescent="0.2">
      <c r="A29344" s="258"/>
      <c r="Z29344" s="258"/>
    </row>
    <row r="29345" spans="1:26" ht="12.75" customHeight="1" x14ac:dyDescent="0.2">
      <c r="A29345" s="258"/>
      <c r="Z29345" s="258"/>
    </row>
    <row r="29346" spans="1:26" ht="12.75" customHeight="1" x14ac:dyDescent="0.2">
      <c r="A29346" s="258"/>
      <c r="Z29346" s="258"/>
    </row>
    <row r="29347" spans="1:26" ht="12.75" customHeight="1" x14ac:dyDescent="0.2">
      <c r="A29347" s="258"/>
      <c r="Z29347" s="258"/>
    </row>
    <row r="29348" spans="1:26" ht="12.75" customHeight="1" x14ac:dyDescent="0.2">
      <c r="A29348" s="258"/>
      <c r="Z29348" s="258"/>
    </row>
    <row r="29349" spans="1:26" ht="12.75" customHeight="1" x14ac:dyDescent="0.2">
      <c r="A29349" s="258"/>
      <c r="Z29349" s="258"/>
    </row>
    <row r="29350" spans="1:26" ht="12.75" customHeight="1" x14ac:dyDescent="0.2">
      <c r="A29350" s="258"/>
      <c r="Z29350" s="258"/>
    </row>
    <row r="29351" spans="1:26" ht="12.75" customHeight="1" x14ac:dyDescent="0.2">
      <c r="A29351" s="258"/>
      <c r="Z29351" s="258"/>
    </row>
    <row r="29352" spans="1:26" ht="12.75" customHeight="1" x14ac:dyDescent="0.2">
      <c r="A29352" s="258"/>
      <c r="Z29352" s="258"/>
    </row>
    <row r="29353" spans="1:26" ht="12.75" customHeight="1" x14ac:dyDescent="0.2">
      <c r="A29353" s="258"/>
      <c r="Z29353" s="258"/>
    </row>
    <row r="29354" spans="1:26" ht="12.75" customHeight="1" x14ac:dyDescent="0.2">
      <c r="A29354" s="258"/>
      <c r="Z29354" s="258"/>
    </row>
    <row r="29355" spans="1:26" ht="12.75" customHeight="1" x14ac:dyDescent="0.2">
      <c r="A29355" s="258"/>
      <c r="Z29355" s="258"/>
    </row>
    <row r="29356" spans="1:26" ht="12.75" customHeight="1" x14ac:dyDescent="0.2">
      <c r="A29356" s="258"/>
      <c r="Z29356" s="258"/>
    </row>
    <row r="29357" spans="1:26" ht="12.75" customHeight="1" x14ac:dyDescent="0.2">
      <c r="A29357" s="258"/>
      <c r="Z29357" s="258"/>
    </row>
    <row r="29358" spans="1:26" ht="12.75" customHeight="1" x14ac:dyDescent="0.2">
      <c r="A29358" s="258"/>
      <c r="Z29358" s="258"/>
    </row>
    <row r="29359" spans="1:26" ht="12.75" customHeight="1" x14ac:dyDescent="0.2">
      <c r="A29359" s="258"/>
      <c r="Z29359" s="258"/>
    </row>
    <row r="29360" spans="1:26" ht="12.75" customHeight="1" x14ac:dyDescent="0.2">
      <c r="A29360" s="258"/>
      <c r="Z29360" s="258"/>
    </row>
    <row r="29361" spans="1:26" ht="12.75" customHeight="1" x14ac:dyDescent="0.2">
      <c r="A29361" s="258"/>
      <c r="Z29361" s="258"/>
    </row>
    <row r="29362" spans="1:26" ht="12.75" customHeight="1" x14ac:dyDescent="0.2">
      <c r="A29362" s="258"/>
      <c r="Z29362" s="258"/>
    </row>
    <row r="29363" spans="1:26" ht="12.75" customHeight="1" x14ac:dyDescent="0.2">
      <c r="A29363" s="258"/>
      <c r="Z29363" s="258"/>
    </row>
    <row r="29364" spans="1:26" ht="12.75" customHeight="1" x14ac:dyDescent="0.2">
      <c r="A29364" s="258"/>
      <c r="Z29364" s="258"/>
    </row>
    <row r="29365" spans="1:26" ht="12.75" customHeight="1" x14ac:dyDescent="0.2">
      <c r="A29365" s="258"/>
      <c r="Z29365" s="258"/>
    </row>
    <row r="29366" spans="1:26" ht="12.75" customHeight="1" x14ac:dyDescent="0.2">
      <c r="A29366" s="258"/>
      <c r="Z29366" s="258"/>
    </row>
    <row r="29367" spans="1:26" ht="12.75" customHeight="1" x14ac:dyDescent="0.2">
      <c r="A29367" s="258"/>
      <c r="Z29367" s="258"/>
    </row>
    <row r="29368" spans="1:26" ht="12.75" customHeight="1" x14ac:dyDescent="0.2">
      <c r="A29368" s="258"/>
      <c r="Z29368" s="258"/>
    </row>
    <row r="29369" spans="1:26" ht="12.75" customHeight="1" x14ac:dyDescent="0.2">
      <c r="A29369" s="258"/>
      <c r="Z29369" s="258"/>
    </row>
    <row r="29370" spans="1:26" ht="12.75" customHeight="1" x14ac:dyDescent="0.2">
      <c r="A29370" s="258"/>
      <c r="Z29370" s="258"/>
    </row>
    <row r="29371" spans="1:26" ht="12.75" customHeight="1" x14ac:dyDescent="0.2">
      <c r="A29371" s="258"/>
      <c r="Z29371" s="258"/>
    </row>
    <row r="29372" spans="1:26" ht="12.75" customHeight="1" x14ac:dyDescent="0.2">
      <c r="A29372" s="258"/>
      <c r="Z29372" s="258"/>
    </row>
    <row r="29373" spans="1:26" ht="12.75" customHeight="1" x14ac:dyDescent="0.2">
      <c r="A29373" s="258"/>
      <c r="Z29373" s="258"/>
    </row>
    <row r="29374" spans="1:26" ht="12.75" customHeight="1" x14ac:dyDescent="0.2">
      <c r="A29374" s="258"/>
      <c r="Z29374" s="258"/>
    </row>
    <row r="29375" spans="1:26" ht="12.75" customHeight="1" x14ac:dyDescent="0.2">
      <c r="A29375" s="258"/>
      <c r="Z29375" s="258"/>
    </row>
    <row r="29376" spans="1:26" ht="12.75" customHeight="1" x14ac:dyDescent="0.2">
      <c r="A29376" s="258"/>
      <c r="Z29376" s="258"/>
    </row>
    <row r="29377" spans="1:26" ht="12.75" customHeight="1" x14ac:dyDescent="0.2">
      <c r="A29377" s="258"/>
      <c r="Z29377" s="258"/>
    </row>
    <row r="29378" spans="1:26" ht="12.75" customHeight="1" x14ac:dyDescent="0.2">
      <c r="A29378" s="258"/>
      <c r="Z29378" s="258"/>
    </row>
    <row r="29379" spans="1:26" ht="12.75" customHeight="1" x14ac:dyDescent="0.2">
      <c r="A29379" s="258"/>
      <c r="Z29379" s="258"/>
    </row>
    <row r="29380" spans="1:26" ht="12.75" customHeight="1" x14ac:dyDescent="0.2">
      <c r="A29380" s="258"/>
      <c r="Z29380" s="258"/>
    </row>
    <row r="29381" spans="1:26" ht="12.75" customHeight="1" x14ac:dyDescent="0.2">
      <c r="A29381" s="258"/>
      <c r="Z29381" s="258"/>
    </row>
    <row r="29382" spans="1:26" ht="12.75" customHeight="1" x14ac:dyDescent="0.2">
      <c r="A29382" s="258"/>
      <c r="Z29382" s="258"/>
    </row>
    <row r="29383" spans="1:26" ht="12.75" customHeight="1" x14ac:dyDescent="0.2">
      <c r="A29383" s="258"/>
      <c r="Z29383" s="258"/>
    </row>
    <row r="29384" spans="1:26" ht="12.75" customHeight="1" x14ac:dyDescent="0.2">
      <c r="A29384" s="258"/>
      <c r="Z29384" s="258"/>
    </row>
    <row r="29385" spans="1:26" ht="12.75" customHeight="1" x14ac:dyDescent="0.2">
      <c r="A29385" s="258"/>
      <c r="Z29385" s="258"/>
    </row>
    <row r="29386" spans="1:26" ht="12.75" customHeight="1" x14ac:dyDescent="0.2">
      <c r="A29386" s="258"/>
      <c r="Z29386" s="258"/>
    </row>
    <row r="29387" spans="1:26" ht="12.75" customHeight="1" x14ac:dyDescent="0.2">
      <c r="A29387" s="258"/>
      <c r="Z29387" s="258"/>
    </row>
    <row r="29388" spans="1:26" ht="12.75" customHeight="1" x14ac:dyDescent="0.2">
      <c r="A29388" s="258"/>
      <c r="Z29388" s="258"/>
    </row>
    <row r="29389" spans="1:26" ht="12.75" customHeight="1" x14ac:dyDescent="0.2">
      <c r="A29389" s="258"/>
      <c r="Z29389" s="258"/>
    </row>
    <row r="29390" spans="1:26" ht="12.75" customHeight="1" x14ac:dyDescent="0.2">
      <c r="A29390" s="258"/>
      <c r="Z29390" s="258"/>
    </row>
    <row r="29391" spans="1:26" ht="12.75" customHeight="1" x14ac:dyDescent="0.2">
      <c r="A29391" s="258"/>
      <c r="Z29391" s="258"/>
    </row>
    <row r="29392" spans="1:26" ht="12.75" customHeight="1" x14ac:dyDescent="0.2">
      <c r="A29392" s="258"/>
      <c r="Z29392" s="258"/>
    </row>
    <row r="29393" spans="1:26" ht="12.75" customHeight="1" x14ac:dyDescent="0.2">
      <c r="A29393" s="258"/>
      <c r="Z29393" s="258"/>
    </row>
    <row r="29394" spans="1:26" ht="12.75" customHeight="1" x14ac:dyDescent="0.2">
      <c r="A29394" s="258"/>
      <c r="Z29394" s="258"/>
    </row>
    <row r="29395" spans="1:26" ht="12.75" customHeight="1" x14ac:dyDescent="0.2">
      <c r="A29395" s="258"/>
      <c r="Z29395" s="258"/>
    </row>
    <row r="29396" spans="1:26" ht="12.75" customHeight="1" x14ac:dyDescent="0.2">
      <c r="A29396" s="258"/>
      <c r="Z29396" s="258"/>
    </row>
    <row r="29397" spans="1:26" ht="12.75" customHeight="1" x14ac:dyDescent="0.2">
      <c r="A29397" s="258"/>
      <c r="Z29397" s="258"/>
    </row>
    <row r="29398" spans="1:26" ht="12.75" customHeight="1" x14ac:dyDescent="0.2">
      <c r="A29398" s="258"/>
      <c r="Z29398" s="258"/>
    </row>
    <row r="29399" spans="1:26" ht="12.75" customHeight="1" x14ac:dyDescent="0.2">
      <c r="A29399" s="258"/>
      <c r="Z29399" s="258"/>
    </row>
    <row r="29400" spans="1:26" ht="12.75" customHeight="1" x14ac:dyDescent="0.2">
      <c r="A29400" s="258"/>
      <c r="Z29400" s="258"/>
    </row>
    <row r="29401" spans="1:26" ht="12.75" customHeight="1" x14ac:dyDescent="0.2">
      <c r="A29401" s="258"/>
      <c r="Z29401" s="258"/>
    </row>
    <row r="29402" spans="1:26" ht="12.75" customHeight="1" x14ac:dyDescent="0.2">
      <c r="A29402" s="258"/>
      <c r="Z29402" s="258"/>
    </row>
    <row r="29403" spans="1:26" ht="12.75" customHeight="1" x14ac:dyDescent="0.2">
      <c r="A29403" s="258"/>
      <c r="Z29403" s="258"/>
    </row>
    <row r="29404" spans="1:26" ht="12.75" customHeight="1" x14ac:dyDescent="0.2">
      <c r="A29404" s="258"/>
      <c r="Z29404" s="258"/>
    </row>
    <row r="29405" spans="1:26" ht="12.75" customHeight="1" x14ac:dyDescent="0.2">
      <c r="A29405" s="258"/>
      <c r="Z29405" s="258"/>
    </row>
    <row r="29406" spans="1:26" ht="12.75" customHeight="1" x14ac:dyDescent="0.2">
      <c r="A29406" s="258"/>
      <c r="Z29406" s="258"/>
    </row>
    <row r="29407" spans="1:26" ht="12.75" customHeight="1" x14ac:dyDescent="0.2">
      <c r="A29407" s="258"/>
      <c r="Z29407" s="258"/>
    </row>
    <row r="29408" spans="1:26" ht="12.75" customHeight="1" x14ac:dyDescent="0.2">
      <c r="A29408" s="258"/>
      <c r="Z29408" s="258"/>
    </row>
    <row r="29409" spans="1:26" ht="12.75" customHeight="1" x14ac:dyDescent="0.2">
      <c r="A29409" s="258"/>
      <c r="Z29409" s="258"/>
    </row>
    <row r="29410" spans="1:26" ht="12.75" customHeight="1" x14ac:dyDescent="0.2">
      <c r="A29410" s="258"/>
      <c r="Z29410" s="258"/>
    </row>
    <row r="29411" spans="1:26" ht="12.75" customHeight="1" x14ac:dyDescent="0.2">
      <c r="A29411" s="258"/>
      <c r="Z29411" s="258"/>
    </row>
    <row r="29412" spans="1:26" ht="12.75" customHeight="1" x14ac:dyDescent="0.2">
      <c r="A29412" s="258"/>
      <c r="Z29412" s="258"/>
    </row>
    <row r="29413" spans="1:26" ht="12.75" customHeight="1" x14ac:dyDescent="0.2">
      <c r="A29413" s="258"/>
      <c r="Z29413" s="258"/>
    </row>
    <row r="29414" spans="1:26" ht="12.75" customHeight="1" x14ac:dyDescent="0.2">
      <c r="A29414" s="258"/>
      <c r="Z29414" s="258"/>
    </row>
    <row r="29415" spans="1:26" ht="12.75" customHeight="1" x14ac:dyDescent="0.2">
      <c r="A29415" s="258"/>
      <c r="Z29415" s="258"/>
    </row>
    <row r="29416" spans="1:26" ht="12.75" customHeight="1" x14ac:dyDescent="0.2">
      <c r="A29416" s="258"/>
      <c r="Z29416" s="258"/>
    </row>
    <row r="29417" spans="1:26" ht="12.75" customHeight="1" x14ac:dyDescent="0.2">
      <c r="A29417" s="258"/>
      <c r="Z29417" s="258"/>
    </row>
    <row r="29418" spans="1:26" ht="12.75" customHeight="1" x14ac:dyDescent="0.2">
      <c r="A29418" s="258"/>
      <c r="Z29418" s="258"/>
    </row>
    <row r="29419" spans="1:26" ht="12.75" customHeight="1" x14ac:dyDescent="0.2">
      <c r="A29419" s="258"/>
      <c r="Z29419" s="258"/>
    </row>
    <row r="29420" spans="1:26" ht="12.75" customHeight="1" x14ac:dyDescent="0.2">
      <c r="A29420" s="258"/>
      <c r="Z29420" s="258"/>
    </row>
    <row r="29421" spans="1:26" ht="12.75" customHeight="1" x14ac:dyDescent="0.2">
      <c r="A29421" s="258"/>
      <c r="Z29421" s="258"/>
    </row>
    <row r="29422" spans="1:26" ht="12.75" customHeight="1" x14ac:dyDescent="0.2">
      <c r="A29422" s="258"/>
      <c r="Z29422" s="258"/>
    </row>
    <row r="29423" spans="1:26" ht="12.75" customHeight="1" x14ac:dyDescent="0.2">
      <c r="A29423" s="258"/>
      <c r="Z29423" s="258"/>
    </row>
    <row r="29424" spans="1:26" ht="12.75" customHeight="1" x14ac:dyDescent="0.2">
      <c r="A29424" s="258"/>
      <c r="Z29424" s="258"/>
    </row>
    <row r="29425" spans="1:26" ht="12.75" customHeight="1" x14ac:dyDescent="0.2">
      <c r="A29425" s="258"/>
      <c r="Z29425" s="258"/>
    </row>
    <row r="29426" spans="1:26" ht="12.75" customHeight="1" x14ac:dyDescent="0.2">
      <c r="A29426" s="258"/>
      <c r="Z29426" s="258"/>
    </row>
    <row r="29427" spans="1:26" ht="12.75" customHeight="1" x14ac:dyDescent="0.2">
      <c r="A29427" s="258"/>
      <c r="Z29427" s="258"/>
    </row>
    <row r="29428" spans="1:26" ht="12.75" customHeight="1" x14ac:dyDescent="0.2">
      <c r="A29428" s="258"/>
      <c r="Z29428" s="258"/>
    </row>
    <row r="29429" spans="1:26" ht="12.75" customHeight="1" x14ac:dyDescent="0.2">
      <c r="A29429" s="258"/>
      <c r="Z29429" s="258"/>
    </row>
    <row r="29430" spans="1:26" ht="12.75" customHeight="1" x14ac:dyDescent="0.2">
      <c r="A29430" s="258"/>
      <c r="Z29430" s="258"/>
    </row>
    <row r="29431" spans="1:26" ht="12.75" customHeight="1" x14ac:dyDescent="0.2">
      <c r="A29431" s="258"/>
      <c r="Z29431" s="258"/>
    </row>
    <row r="29432" spans="1:26" ht="12.75" customHeight="1" x14ac:dyDescent="0.2">
      <c r="A29432" s="258"/>
      <c r="Z29432" s="258"/>
    </row>
    <row r="29433" spans="1:26" ht="12.75" customHeight="1" x14ac:dyDescent="0.2">
      <c r="A29433" s="258"/>
      <c r="Z29433" s="258"/>
    </row>
    <row r="29434" spans="1:26" ht="12.75" customHeight="1" x14ac:dyDescent="0.2">
      <c r="A29434" s="258"/>
      <c r="Z29434" s="258"/>
    </row>
    <row r="29435" spans="1:26" ht="12.75" customHeight="1" x14ac:dyDescent="0.2">
      <c r="A29435" s="258"/>
      <c r="Z29435" s="258"/>
    </row>
    <row r="29436" spans="1:26" ht="12.75" customHeight="1" x14ac:dyDescent="0.2">
      <c r="A29436" s="258"/>
      <c r="Z29436" s="258"/>
    </row>
    <row r="29437" spans="1:26" ht="12.75" customHeight="1" x14ac:dyDescent="0.2">
      <c r="A29437" s="258"/>
      <c r="Z29437" s="258"/>
    </row>
    <row r="29438" spans="1:26" ht="12.75" customHeight="1" x14ac:dyDescent="0.2">
      <c r="A29438" s="258"/>
      <c r="Z29438" s="258"/>
    </row>
    <row r="29439" spans="1:26" ht="12.75" customHeight="1" x14ac:dyDescent="0.2">
      <c r="A29439" s="258"/>
      <c r="Z29439" s="258"/>
    </row>
    <row r="29440" spans="1:26" ht="12.75" customHeight="1" x14ac:dyDescent="0.2">
      <c r="A29440" s="258"/>
      <c r="Z29440" s="258"/>
    </row>
    <row r="29441" spans="1:26" ht="12.75" customHeight="1" x14ac:dyDescent="0.2">
      <c r="A29441" s="258"/>
      <c r="Z29441" s="258"/>
    </row>
    <row r="29442" spans="1:26" ht="12.75" customHeight="1" x14ac:dyDescent="0.2">
      <c r="A29442" s="258"/>
      <c r="Z29442" s="258"/>
    </row>
    <row r="29443" spans="1:26" ht="12.75" customHeight="1" x14ac:dyDescent="0.2">
      <c r="A29443" s="258"/>
      <c r="Z29443" s="258"/>
    </row>
    <row r="29444" spans="1:26" ht="12.75" customHeight="1" x14ac:dyDescent="0.2">
      <c r="A29444" s="258"/>
      <c r="Z29444" s="258"/>
    </row>
    <row r="29445" spans="1:26" ht="12.75" customHeight="1" x14ac:dyDescent="0.2">
      <c r="A29445" s="258"/>
      <c r="Z29445" s="258"/>
    </row>
    <row r="29446" spans="1:26" ht="12.75" customHeight="1" x14ac:dyDescent="0.2">
      <c r="A29446" s="258"/>
      <c r="Z29446" s="258"/>
    </row>
    <row r="29447" spans="1:26" ht="12.75" customHeight="1" x14ac:dyDescent="0.2">
      <c r="A29447" s="258"/>
      <c r="Z29447" s="258"/>
    </row>
    <row r="29448" spans="1:26" ht="12.75" customHeight="1" x14ac:dyDescent="0.2">
      <c r="A29448" s="258"/>
      <c r="Z29448" s="258"/>
    </row>
    <row r="29449" spans="1:26" ht="12.75" customHeight="1" x14ac:dyDescent="0.2">
      <c r="A29449" s="258"/>
      <c r="Z29449" s="258"/>
    </row>
    <row r="29450" spans="1:26" ht="12.75" customHeight="1" x14ac:dyDescent="0.2">
      <c r="A29450" s="258"/>
      <c r="Z29450" s="258"/>
    </row>
    <row r="29451" spans="1:26" ht="12.75" customHeight="1" x14ac:dyDescent="0.2">
      <c r="A29451" s="258"/>
      <c r="Z29451" s="258"/>
    </row>
    <row r="29452" spans="1:26" ht="12.75" customHeight="1" x14ac:dyDescent="0.2">
      <c r="A29452" s="258"/>
      <c r="Z29452" s="258"/>
    </row>
    <row r="29453" spans="1:26" ht="12.75" customHeight="1" x14ac:dyDescent="0.2">
      <c r="A29453" s="258"/>
      <c r="Z29453" s="258"/>
    </row>
    <row r="29454" spans="1:26" ht="12.75" customHeight="1" x14ac:dyDescent="0.2">
      <c r="A29454" s="258"/>
      <c r="Z29454" s="258"/>
    </row>
    <row r="29455" spans="1:26" ht="12.75" customHeight="1" x14ac:dyDescent="0.2">
      <c r="A29455" s="258"/>
      <c r="Z29455" s="258"/>
    </row>
    <row r="29456" spans="1:26" ht="12.75" customHeight="1" x14ac:dyDescent="0.2">
      <c r="A29456" s="258"/>
      <c r="Z29456" s="258"/>
    </row>
    <row r="29457" spans="1:26" ht="12.75" customHeight="1" x14ac:dyDescent="0.2">
      <c r="A29457" s="258"/>
      <c r="Z29457" s="258"/>
    </row>
    <row r="29458" spans="1:26" ht="12.75" customHeight="1" x14ac:dyDescent="0.2">
      <c r="A29458" s="258"/>
      <c r="Z29458" s="258"/>
    </row>
    <row r="29459" spans="1:26" ht="12.75" customHeight="1" x14ac:dyDescent="0.2">
      <c r="A29459" s="258"/>
      <c r="Z29459" s="258"/>
    </row>
    <row r="29460" spans="1:26" ht="12.75" customHeight="1" x14ac:dyDescent="0.2">
      <c r="A29460" s="258"/>
      <c r="Z29460" s="258"/>
    </row>
    <row r="29461" spans="1:26" ht="12.75" customHeight="1" x14ac:dyDescent="0.2">
      <c r="A29461" s="258"/>
      <c r="Z29461" s="258"/>
    </row>
    <row r="29462" spans="1:26" ht="12.75" customHeight="1" x14ac:dyDescent="0.2">
      <c r="A29462" s="258"/>
      <c r="Z29462" s="258"/>
    </row>
    <row r="29463" spans="1:26" ht="12.75" customHeight="1" x14ac:dyDescent="0.2">
      <c r="A29463" s="258"/>
      <c r="Z29463" s="258"/>
    </row>
    <row r="29464" spans="1:26" ht="12.75" customHeight="1" x14ac:dyDescent="0.2">
      <c r="A29464" s="258"/>
      <c r="Z29464" s="258"/>
    </row>
    <row r="29465" spans="1:26" ht="12.75" customHeight="1" x14ac:dyDescent="0.2">
      <c r="A29465" s="258"/>
      <c r="Z29465" s="258"/>
    </row>
    <row r="29466" spans="1:26" ht="12.75" customHeight="1" x14ac:dyDescent="0.2">
      <c r="A29466" s="258"/>
      <c r="Z29466" s="258"/>
    </row>
    <row r="29467" spans="1:26" ht="12.75" customHeight="1" x14ac:dyDescent="0.2">
      <c r="A29467" s="258"/>
      <c r="Z29467" s="258"/>
    </row>
    <row r="29468" spans="1:26" ht="12.75" customHeight="1" x14ac:dyDescent="0.2">
      <c r="A29468" s="258"/>
      <c r="Z29468" s="258"/>
    </row>
    <row r="29469" spans="1:26" ht="12.75" customHeight="1" x14ac:dyDescent="0.2">
      <c r="A29469" s="258"/>
      <c r="Z29469" s="258"/>
    </row>
    <row r="29470" spans="1:26" ht="12.75" customHeight="1" x14ac:dyDescent="0.2">
      <c r="A29470" s="258"/>
      <c r="Z29470" s="258"/>
    </row>
    <row r="29471" spans="1:26" ht="12.75" customHeight="1" x14ac:dyDescent="0.2">
      <c r="A29471" s="258"/>
      <c r="Z29471" s="258"/>
    </row>
    <row r="29472" spans="1:26" ht="12.75" customHeight="1" x14ac:dyDescent="0.2">
      <c r="A29472" s="258"/>
      <c r="Z29472" s="258"/>
    </row>
    <row r="29473" spans="1:26" ht="12.75" customHeight="1" x14ac:dyDescent="0.2">
      <c r="A29473" s="258"/>
      <c r="Z29473" s="258"/>
    </row>
    <row r="29474" spans="1:26" ht="12.75" customHeight="1" x14ac:dyDescent="0.2">
      <c r="A29474" s="258"/>
      <c r="Z29474" s="258"/>
    </row>
    <row r="29475" spans="1:26" ht="12.75" customHeight="1" x14ac:dyDescent="0.2">
      <c r="A29475" s="258"/>
      <c r="Z29475" s="258"/>
    </row>
    <row r="29476" spans="1:26" ht="12.75" customHeight="1" x14ac:dyDescent="0.2">
      <c r="A29476" s="258"/>
      <c r="Z29476" s="258"/>
    </row>
    <row r="29477" spans="1:26" ht="12.75" customHeight="1" x14ac:dyDescent="0.2">
      <c r="A29477" s="258"/>
      <c r="Z29477" s="258"/>
    </row>
    <row r="29478" spans="1:26" ht="12.75" customHeight="1" x14ac:dyDescent="0.2">
      <c r="A29478" s="258"/>
      <c r="Z29478" s="258"/>
    </row>
    <row r="29479" spans="1:26" ht="12.75" customHeight="1" x14ac:dyDescent="0.2">
      <c r="A29479" s="258"/>
      <c r="Z29479" s="258"/>
    </row>
    <row r="29480" spans="1:26" ht="12.75" customHeight="1" x14ac:dyDescent="0.2">
      <c r="A29480" s="258"/>
      <c r="Z29480" s="258"/>
    </row>
    <row r="29481" spans="1:26" ht="12.75" customHeight="1" x14ac:dyDescent="0.2">
      <c r="A29481" s="258"/>
      <c r="Z29481" s="258"/>
    </row>
    <row r="29482" spans="1:26" ht="12.75" customHeight="1" x14ac:dyDescent="0.2">
      <c r="A29482" s="258"/>
      <c r="Z29482" s="258"/>
    </row>
    <row r="29483" spans="1:26" ht="12.75" customHeight="1" x14ac:dyDescent="0.2">
      <c r="A29483" s="258"/>
      <c r="Z29483" s="258"/>
    </row>
    <row r="29484" spans="1:26" ht="12.75" customHeight="1" x14ac:dyDescent="0.2">
      <c r="A29484" s="258"/>
      <c r="Z29484" s="258"/>
    </row>
    <row r="29485" spans="1:26" ht="12.75" customHeight="1" x14ac:dyDescent="0.2">
      <c r="A29485" s="258"/>
      <c r="Z29485" s="258"/>
    </row>
    <row r="29486" spans="1:26" ht="12.75" customHeight="1" x14ac:dyDescent="0.2">
      <c r="A29486" s="258"/>
      <c r="Z29486" s="258"/>
    </row>
    <row r="29487" spans="1:26" ht="12.75" customHeight="1" x14ac:dyDescent="0.2">
      <c r="A29487" s="258"/>
      <c r="Z29487" s="258"/>
    </row>
    <row r="29488" spans="1:26" ht="12.75" customHeight="1" x14ac:dyDescent="0.2">
      <c r="A29488" s="258"/>
      <c r="Z29488" s="258"/>
    </row>
    <row r="29489" spans="1:26" ht="12.75" customHeight="1" x14ac:dyDescent="0.2">
      <c r="A29489" s="258"/>
      <c r="Z29489" s="258"/>
    </row>
    <row r="29490" spans="1:26" ht="12.75" customHeight="1" x14ac:dyDescent="0.2">
      <c r="A29490" s="258"/>
      <c r="Z29490" s="258"/>
    </row>
    <row r="29491" spans="1:26" ht="12.75" customHeight="1" x14ac:dyDescent="0.2">
      <c r="A29491" s="258"/>
      <c r="Z29491" s="258"/>
    </row>
    <row r="29492" spans="1:26" ht="12.75" customHeight="1" x14ac:dyDescent="0.2">
      <c r="A29492" s="258"/>
      <c r="Z29492" s="258"/>
    </row>
    <row r="29493" spans="1:26" ht="12.75" customHeight="1" x14ac:dyDescent="0.2">
      <c r="A29493" s="258"/>
      <c r="Z29493" s="258"/>
    </row>
    <row r="29494" spans="1:26" ht="12.75" customHeight="1" x14ac:dyDescent="0.2">
      <c r="A29494" s="258"/>
      <c r="Z29494" s="258"/>
    </row>
    <row r="29495" spans="1:26" ht="12.75" customHeight="1" x14ac:dyDescent="0.2">
      <c r="A29495" s="258"/>
      <c r="Z29495" s="258"/>
    </row>
    <row r="29496" spans="1:26" ht="12.75" customHeight="1" x14ac:dyDescent="0.2">
      <c r="A29496" s="258"/>
      <c r="Z29496" s="258"/>
    </row>
    <row r="29497" spans="1:26" ht="12.75" customHeight="1" x14ac:dyDescent="0.2">
      <c r="A29497" s="258"/>
      <c r="Z29497" s="258"/>
    </row>
    <row r="29498" spans="1:26" ht="12.75" customHeight="1" x14ac:dyDescent="0.2">
      <c r="A29498" s="258"/>
      <c r="Z29498" s="258"/>
    </row>
    <row r="29499" spans="1:26" ht="12.75" customHeight="1" x14ac:dyDescent="0.2">
      <c r="A29499" s="258"/>
      <c r="Z29499" s="258"/>
    </row>
    <row r="29500" spans="1:26" ht="12.75" customHeight="1" x14ac:dyDescent="0.2">
      <c r="A29500" s="258"/>
      <c r="Z29500" s="258"/>
    </row>
    <row r="29501" spans="1:26" ht="12.75" customHeight="1" x14ac:dyDescent="0.2">
      <c r="A29501" s="258"/>
      <c r="Z29501" s="258"/>
    </row>
    <row r="29502" spans="1:26" ht="12.75" customHeight="1" x14ac:dyDescent="0.2">
      <c r="A29502" s="258"/>
      <c r="Z29502" s="258"/>
    </row>
    <row r="29503" spans="1:26" ht="12.75" customHeight="1" x14ac:dyDescent="0.2">
      <c r="A29503" s="258"/>
      <c r="Z29503" s="258"/>
    </row>
    <row r="29504" spans="1:26" ht="12.75" customHeight="1" x14ac:dyDescent="0.2">
      <c r="A29504" s="258"/>
      <c r="Z29504" s="258"/>
    </row>
    <row r="29505" spans="1:26" ht="12.75" customHeight="1" x14ac:dyDescent="0.2">
      <c r="A29505" s="258"/>
      <c r="Z29505" s="258"/>
    </row>
    <row r="29506" spans="1:26" ht="12.75" customHeight="1" x14ac:dyDescent="0.2">
      <c r="A29506" s="258"/>
      <c r="Z29506" s="258"/>
    </row>
    <row r="29507" spans="1:26" ht="12.75" customHeight="1" x14ac:dyDescent="0.2">
      <c r="A29507" s="258"/>
      <c r="Z29507" s="258"/>
    </row>
    <row r="29508" spans="1:26" ht="12.75" customHeight="1" x14ac:dyDescent="0.2">
      <c r="A29508" s="258"/>
      <c r="Z29508" s="258"/>
    </row>
    <row r="29509" spans="1:26" ht="12.75" customHeight="1" x14ac:dyDescent="0.2">
      <c r="A29509" s="258"/>
      <c r="Z29509" s="258"/>
    </row>
    <row r="29510" spans="1:26" ht="12.75" customHeight="1" x14ac:dyDescent="0.2">
      <c r="A29510" s="258"/>
      <c r="Z29510" s="258"/>
    </row>
    <row r="29511" spans="1:26" ht="12.75" customHeight="1" x14ac:dyDescent="0.2">
      <c r="A29511" s="258"/>
      <c r="Z29511" s="258"/>
    </row>
    <row r="29512" spans="1:26" ht="12.75" customHeight="1" x14ac:dyDescent="0.2">
      <c r="A29512" s="258"/>
      <c r="Z29512" s="258"/>
    </row>
    <row r="29513" spans="1:26" ht="12.75" customHeight="1" x14ac:dyDescent="0.2">
      <c r="A29513" s="258"/>
      <c r="Z29513" s="258"/>
    </row>
    <row r="29514" spans="1:26" ht="12.75" customHeight="1" x14ac:dyDescent="0.2">
      <c r="A29514" s="258"/>
      <c r="Z29514" s="258"/>
    </row>
    <row r="29515" spans="1:26" ht="12.75" customHeight="1" x14ac:dyDescent="0.2">
      <c r="A29515" s="258"/>
      <c r="Z29515" s="258"/>
    </row>
    <row r="29516" spans="1:26" ht="12.75" customHeight="1" x14ac:dyDescent="0.2">
      <c r="A29516" s="258"/>
      <c r="Z29516" s="258"/>
    </row>
    <row r="29517" spans="1:26" ht="12.75" customHeight="1" x14ac:dyDescent="0.2">
      <c r="A29517" s="258"/>
      <c r="Z29517" s="258"/>
    </row>
    <row r="29518" spans="1:26" ht="12.75" customHeight="1" x14ac:dyDescent="0.2">
      <c r="A29518" s="258"/>
      <c r="Z29518" s="258"/>
    </row>
    <row r="29519" spans="1:26" ht="12.75" customHeight="1" x14ac:dyDescent="0.2">
      <c r="A29519" s="258"/>
      <c r="Z29519" s="258"/>
    </row>
    <row r="29520" spans="1:26" ht="12.75" customHeight="1" x14ac:dyDescent="0.2">
      <c r="A29520" s="258"/>
      <c r="Z29520" s="258"/>
    </row>
    <row r="29521" spans="1:26" ht="12.75" customHeight="1" x14ac:dyDescent="0.2">
      <c r="A29521" s="258"/>
      <c r="Z29521" s="258"/>
    </row>
    <row r="29522" spans="1:26" ht="12.75" customHeight="1" x14ac:dyDescent="0.2">
      <c r="A29522" s="258"/>
      <c r="Z29522" s="258"/>
    </row>
    <row r="29523" spans="1:26" ht="12.75" customHeight="1" x14ac:dyDescent="0.2">
      <c r="A29523" s="258"/>
      <c r="Z29523" s="258"/>
    </row>
    <row r="29524" spans="1:26" ht="12.75" customHeight="1" x14ac:dyDescent="0.2">
      <c r="A29524" s="258"/>
      <c r="Z29524" s="258"/>
    </row>
    <row r="29525" spans="1:26" ht="12.75" customHeight="1" x14ac:dyDescent="0.2">
      <c r="A29525" s="258"/>
      <c r="Z29525" s="258"/>
    </row>
    <row r="29526" spans="1:26" ht="12.75" customHeight="1" x14ac:dyDescent="0.2">
      <c r="A29526" s="258"/>
      <c r="Z29526" s="258"/>
    </row>
    <row r="29527" spans="1:26" ht="12.75" customHeight="1" x14ac:dyDescent="0.2">
      <c r="A29527" s="258"/>
      <c r="Z29527" s="258"/>
    </row>
    <row r="29528" spans="1:26" ht="12.75" customHeight="1" x14ac:dyDescent="0.2">
      <c r="A29528" s="258"/>
      <c r="Z29528" s="258"/>
    </row>
    <row r="29529" spans="1:26" ht="12.75" customHeight="1" x14ac:dyDescent="0.2">
      <c r="A29529" s="258"/>
      <c r="Z29529" s="258"/>
    </row>
    <row r="29530" spans="1:26" ht="12.75" customHeight="1" x14ac:dyDescent="0.2">
      <c r="A29530" s="258"/>
      <c r="Z29530" s="258"/>
    </row>
    <row r="29531" spans="1:26" ht="12.75" customHeight="1" x14ac:dyDescent="0.2">
      <c r="A29531" s="258"/>
      <c r="Z29531" s="258"/>
    </row>
    <row r="29532" spans="1:26" ht="12.75" customHeight="1" x14ac:dyDescent="0.2">
      <c r="A29532" s="258"/>
      <c r="Z29532" s="258"/>
    </row>
    <row r="29533" spans="1:26" ht="12.75" customHeight="1" x14ac:dyDescent="0.2">
      <c r="A29533" s="258"/>
      <c r="Z29533" s="258"/>
    </row>
    <row r="29534" spans="1:26" ht="12.75" customHeight="1" x14ac:dyDescent="0.2">
      <c r="A29534" s="258"/>
      <c r="Z29534" s="258"/>
    </row>
    <row r="29535" spans="1:26" ht="12.75" customHeight="1" x14ac:dyDescent="0.2">
      <c r="A29535" s="258"/>
      <c r="Z29535" s="258"/>
    </row>
    <row r="29536" spans="1:26" ht="12.75" customHeight="1" x14ac:dyDescent="0.2">
      <c r="A29536" s="258"/>
      <c r="Z29536" s="258"/>
    </row>
    <row r="29537" spans="1:26" ht="12.75" customHeight="1" x14ac:dyDescent="0.2">
      <c r="A29537" s="258"/>
      <c r="Z29537" s="258"/>
    </row>
    <row r="29538" spans="1:26" ht="12.75" customHeight="1" x14ac:dyDescent="0.2">
      <c r="A29538" s="258"/>
      <c r="Z29538" s="258"/>
    </row>
    <row r="29539" spans="1:26" ht="12.75" customHeight="1" x14ac:dyDescent="0.2">
      <c r="A29539" s="258"/>
      <c r="Z29539" s="258"/>
    </row>
    <row r="29540" spans="1:26" ht="12.75" customHeight="1" x14ac:dyDescent="0.2">
      <c r="A29540" s="258"/>
      <c r="Z29540" s="258"/>
    </row>
    <row r="29541" spans="1:26" ht="12.75" customHeight="1" x14ac:dyDescent="0.2">
      <c r="A29541" s="258"/>
      <c r="Z29541" s="258"/>
    </row>
    <row r="29542" spans="1:26" ht="12.75" customHeight="1" x14ac:dyDescent="0.2">
      <c r="A29542" s="258"/>
      <c r="Z29542" s="258"/>
    </row>
    <row r="29543" spans="1:26" ht="12.75" customHeight="1" x14ac:dyDescent="0.2">
      <c r="A29543" s="258"/>
      <c r="Z29543" s="258"/>
    </row>
    <row r="29544" spans="1:26" ht="12.75" customHeight="1" x14ac:dyDescent="0.2">
      <c r="A29544" s="258"/>
      <c r="Z29544" s="258"/>
    </row>
    <row r="29545" spans="1:26" ht="12.75" customHeight="1" x14ac:dyDescent="0.2">
      <c r="A29545" s="258"/>
      <c r="Z29545" s="258"/>
    </row>
    <row r="29546" spans="1:26" ht="12.75" customHeight="1" x14ac:dyDescent="0.2">
      <c r="A29546" s="258"/>
      <c r="Z29546" s="258"/>
    </row>
    <row r="29547" spans="1:26" ht="12.75" customHeight="1" x14ac:dyDescent="0.2">
      <c r="A29547" s="258"/>
      <c r="Z29547" s="258"/>
    </row>
    <row r="29548" spans="1:26" ht="12.75" customHeight="1" x14ac:dyDescent="0.2">
      <c r="A29548" s="258"/>
      <c r="Z29548" s="258"/>
    </row>
    <row r="29549" spans="1:26" ht="12.75" customHeight="1" x14ac:dyDescent="0.2">
      <c r="A29549" s="258"/>
      <c r="Z29549" s="258"/>
    </row>
    <row r="29550" spans="1:26" ht="12.75" customHeight="1" x14ac:dyDescent="0.2">
      <c r="A29550" s="258"/>
      <c r="Z29550" s="258"/>
    </row>
    <row r="29551" spans="1:26" ht="12.75" customHeight="1" x14ac:dyDescent="0.2">
      <c r="A29551" s="258"/>
      <c r="Z29551" s="258"/>
    </row>
    <row r="29552" spans="1:26" ht="12.75" customHeight="1" x14ac:dyDescent="0.2">
      <c r="A29552" s="258"/>
      <c r="Z29552" s="258"/>
    </row>
    <row r="29553" spans="1:26" ht="12.75" customHeight="1" x14ac:dyDescent="0.2">
      <c r="A29553" s="258"/>
      <c r="Z29553" s="258"/>
    </row>
    <row r="29554" spans="1:26" ht="12.75" customHeight="1" x14ac:dyDescent="0.2">
      <c r="A29554" s="258"/>
      <c r="Z29554" s="258"/>
    </row>
    <row r="29555" spans="1:26" ht="12.75" customHeight="1" x14ac:dyDescent="0.2">
      <c r="A29555" s="258"/>
      <c r="Z29555" s="258"/>
    </row>
    <row r="29556" spans="1:26" ht="12.75" customHeight="1" x14ac:dyDescent="0.2">
      <c r="A29556" s="258"/>
      <c r="Z29556" s="258"/>
    </row>
    <row r="29557" spans="1:26" ht="12.75" customHeight="1" x14ac:dyDescent="0.2">
      <c r="A29557" s="258"/>
      <c r="Z29557" s="258"/>
    </row>
    <row r="29558" spans="1:26" ht="12.75" customHeight="1" x14ac:dyDescent="0.2">
      <c r="A29558" s="258"/>
      <c r="Z29558" s="258"/>
    </row>
    <row r="29559" spans="1:26" ht="12.75" customHeight="1" x14ac:dyDescent="0.2">
      <c r="A29559" s="258"/>
      <c r="Z29559" s="258"/>
    </row>
    <row r="29560" spans="1:26" ht="12.75" customHeight="1" x14ac:dyDescent="0.2">
      <c r="A29560" s="258"/>
      <c r="Z29560" s="258"/>
    </row>
    <row r="29561" spans="1:26" ht="12.75" customHeight="1" x14ac:dyDescent="0.2">
      <c r="A29561" s="258"/>
      <c r="Z29561" s="258"/>
    </row>
    <row r="29562" spans="1:26" ht="12.75" customHeight="1" x14ac:dyDescent="0.2">
      <c r="A29562" s="258"/>
      <c r="Z29562" s="258"/>
    </row>
    <row r="29563" spans="1:26" ht="12.75" customHeight="1" x14ac:dyDescent="0.2">
      <c r="A29563" s="258"/>
      <c r="Z29563" s="258"/>
    </row>
    <row r="29564" spans="1:26" ht="12.75" customHeight="1" x14ac:dyDescent="0.2">
      <c r="A29564" s="258"/>
      <c r="Z29564" s="258"/>
    </row>
    <row r="29565" spans="1:26" ht="12.75" customHeight="1" x14ac:dyDescent="0.2">
      <c r="A29565" s="258"/>
      <c r="Z29565" s="258"/>
    </row>
    <row r="29566" spans="1:26" ht="12.75" customHeight="1" x14ac:dyDescent="0.2">
      <c r="A29566" s="258"/>
      <c r="Z29566" s="258"/>
    </row>
    <row r="29567" spans="1:26" ht="12.75" customHeight="1" x14ac:dyDescent="0.2">
      <c r="A29567" s="258"/>
      <c r="Z29567" s="258"/>
    </row>
    <row r="29568" spans="1:26" ht="12.75" customHeight="1" x14ac:dyDescent="0.2">
      <c r="A29568" s="258"/>
      <c r="Z29568" s="258"/>
    </row>
    <row r="29569" spans="1:26" ht="12.75" customHeight="1" x14ac:dyDescent="0.2">
      <c r="A29569" s="258"/>
      <c r="Z29569" s="258"/>
    </row>
    <row r="29570" spans="1:26" ht="12.75" customHeight="1" x14ac:dyDescent="0.2">
      <c r="A29570" s="258"/>
      <c r="Z29570" s="258"/>
    </row>
    <row r="29571" spans="1:26" ht="12.75" customHeight="1" x14ac:dyDescent="0.2">
      <c r="A29571" s="258"/>
      <c r="Z29571" s="258"/>
    </row>
    <row r="29572" spans="1:26" ht="12.75" customHeight="1" x14ac:dyDescent="0.2">
      <c r="A29572" s="258"/>
      <c r="Z29572" s="258"/>
    </row>
    <row r="29573" spans="1:26" ht="12.75" customHeight="1" x14ac:dyDescent="0.2">
      <c r="A29573" s="258"/>
      <c r="Z29573" s="258"/>
    </row>
    <row r="29574" spans="1:26" ht="12.75" customHeight="1" x14ac:dyDescent="0.2">
      <c r="A29574" s="258"/>
      <c r="Z29574" s="258"/>
    </row>
    <row r="29575" spans="1:26" ht="12.75" customHeight="1" x14ac:dyDescent="0.2">
      <c r="A29575" s="258"/>
      <c r="Z29575" s="258"/>
    </row>
    <row r="29576" spans="1:26" ht="12.75" customHeight="1" x14ac:dyDescent="0.2">
      <c r="A29576" s="258"/>
      <c r="Z29576" s="258"/>
    </row>
    <row r="29577" spans="1:26" ht="12.75" customHeight="1" x14ac:dyDescent="0.2">
      <c r="A29577" s="258"/>
      <c r="Z29577" s="258"/>
    </row>
    <row r="29578" spans="1:26" ht="12.75" customHeight="1" x14ac:dyDescent="0.2">
      <c r="A29578" s="258"/>
      <c r="Z29578" s="258"/>
    </row>
    <row r="29579" spans="1:26" ht="12.75" customHeight="1" x14ac:dyDescent="0.2">
      <c r="A29579" s="258"/>
      <c r="Z29579" s="258"/>
    </row>
    <row r="29580" spans="1:26" ht="12.75" customHeight="1" x14ac:dyDescent="0.2">
      <c r="A29580" s="258"/>
      <c r="Z29580" s="258"/>
    </row>
    <row r="29581" spans="1:26" ht="12.75" customHeight="1" x14ac:dyDescent="0.2">
      <c r="A29581" s="258"/>
      <c r="Z29581" s="258"/>
    </row>
    <row r="29582" spans="1:26" ht="12.75" customHeight="1" x14ac:dyDescent="0.2">
      <c r="A29582" s="258"/>
      <c r="Z29582" s="258"/>
    </row>
    <row r="29583" spans="1:26" ht="12.75" customHeight="1" x14ac:dyDescent="0.2">
      <c r="A29583" s="258"/>
      <c r="Z29583" s="258"/>
    </row>
    <row r="29584" spans="1:26" ht="12.75" customHeight="1" x14ac:dyDescent="0.2">
      <c r="A29584" s="258"/>
      <c r="Z29584" s="258"/>
    </row>
    <row r="29585" spans="1:26" ht="12.75" customHeight="1" x14ac:dyDescent="0.2">
      <c r="A29585" s="258"/>
      <c r="Z29585" s="258"/>
    </row>
    <row r="29586" spans="1:26" ht="12.75" customHeight="1" x14ac:dyDescent="0.2">
      <c r="A29586" s="258"/>
      <c r="Z29586" s="258"/>
    </row>
    <row r="29587" spans="1:26" ht="12.75" customHeight="1" x14ac:dyDescent="0.2">
      <c r="A29587" s="258"/>
      <c r="Z29587" s="258"/>
    </row>
    <row r="29588" spans="1:26" ht="12.75" customHeight="1" x14ac:dyDescent="0.2">
      <c r="A29588" s="258"/>
      <c r="Z29588" s="258"/>
    </row>
    <row r="29589" spans="1:26" ht="12.75" customHeight="1" x14ac:dyDescent="0.2">
      <c r="A29589" s="258"/>
      <c r="Z29589" s="258"/>
    </row>
    <row r="29590" spans="1:26" ht="12.75" customHeight="1" x14ac:dyDescent="0.2">
      <c r="A29590" s="258"/>
      <c r="Z29590" s="258"/>
    </row>
    <row r="29591" spans="1:26" ht="12.75" customHeight="1" x14ac:dyDescent="0.2">
      <c r="A29591" s="258"/>
      <c r="Z29591" s="258"/>
    </row>
    <row r="29592" spans="1:26" ht="12.75" customHeight="1" x14ac:dyDescent="0.2">
      <c r="A29592" s="258"/>
      <c r="Z29592" s="258"/>
    </row>
    <row r="29593" spans="1:26" ht="12.75" customHeight="1" x14ac:dyDescent="0.2">
      <c r="A29593" s="258"/>
      <c r="Z29593" s="258"/>
    </row>
    <row r="29594" spans="1:26" ht="12.75" customHeight="1" x14ac:dyDescent="0.2">
      <c r="A29594" s="258"/>
      <c r="Z29594" s="258"/>
    </row>
    <row r="29595" spans="1:26" ht="12.75" customHeight="1" x14ac:dyDescent="0.2">
      <c r="A29595" s="258"/>
      <c r="Z29595" s="258"/>
    </row>
    <row r="29596" spans="1:26" ht="12.75" customHeight="1" x14ac:dyDescent="0.2">
      <c r="A29596" s="258"/>
      <c r="Z29596" s="258"/>
    </row>
    <row r="29597" spans="1:26" ht="12.75" customHeight="1" x14ac:dyDescent="0.2">
      <c r="A29597" s="258"/>
      <c r="Z29597" s="258"/>
    </row>
    <row r="29598" spans="1:26" ht="12.75" customHeight="1" x14ac:dyDescent="0.2">
      <c r="A29598" s="258"/>
      <c r="Z29598" s="258"/>
    </row>
    <row r="29599" spans="1:26" ht="12.75" customHeight="1" x14ac:dyDescent="0.2">
      <c r="A29599" s="258"/>
      <c r="Z29599" s="258"/>
    </row>
    <row r="29600" spans="1:26" ht="12.75" customHeight="1" x14ac:dyDescent="0.2">
      <c r="A29600" s="258"/>
      <c r="Z29600" s="258"/>
    </row>
    <row r="29601" spans="1:26" ht="12.75" customHeight="1" x14ac:dyDescent="0.2">
      <c r="A29601" s="258"/>
      <c r="Z29601" s="258"/>
    </row>
    <row r="29602" spans="1:26" ht="12.75" customHeight="1" x14ac:dyDescent="0.2">
      <c r="A29602" s="258"/>
      <c r="Z29602" s="258"/>
    </row>
    <row r="29603" spans="1:26" ht="12.75" customHeight="1" x14ac:dyDescent="0.2">
      <c r="A29603" s="258"/>
      <c r="Z29603" s="258"/>
    </row>
    <row r="29604" spans="1:26" ht="12.75" customHeight="1" x14ac:dyDescent="0.2">
      <c r="A29604" s="258"/>
      <c r="Z29604" s="258"/>
    </row>
    <row r="29605" spans="1:26" ht="12.75" customHeight="1" x14ac:dyDescent="0.2">
      <c r="A29605" s="258"/>
      <c r="Z29605" s="258"/>
    </row>
    <row r="29606" spans="1:26" ht="12.75" customHeight="1" x14ac:dyDescent="0.2">
      <c r="A29606" s="258"/>
      <c r="Z29606" s="258"/>
    </row>
    <row r="29607" spans="1:26" ht="12.75" customHeight="1" x14ac:dyDescent="0.2">
      <c r="A29607" s="258"/>
      <c r="Z29607" s="258"/>
    </row>
    <row r="29608" spans="1:26" ht="12.75" customHeight="1" x14ac:dyDescent="0.2">
      <c r="A29608" s="258"/>
      <c r="Z29608" s="258"/>
    </row>
    <row r="29609" spans="1:26" ht="12.75" customHeight="1" x14ac:dyDescent="0.2">
      <c r="A29609" s="258"/>
      <c r="Z29609" s="258"/>
    </row>
    <row r="29610" spans="1:26" ht="12.75" customHeight="1" x14ac:dyDescent="0.2">
      <c r="A29610" s="258"/>
      <c r="Z29610" s="258"/>
    </row>
    <row r="29611" spans="1:26" ht="12.75" customHeight="1" x14ac:dyDescent="0.2">
      <c r="A29611" s="258"/>
      <c r="Z29611" s="258"/>
    </row>
    <row r="29612" spans="1:26" ht="12.75" customHeight="1" x14ac:dyDescent="0.2">
      <c r="A29612" s="258"/>
      <c r="Z29612" s="258"/>
    </row>
    <row r="29613" spans="1:26" ht="12.75" customHeight="1" x14ac:dyDescent="0.2">
      <c r="A29613" s="258"/>
      <c r="Z29613" s="258"/>
    </row>
    <row r="29614" spans="1:26" ht="12.75" customHeight="1" x14ac:dyDescent="0.2">
      <c r="A29614" s="258"/>
      <c r="Z29614" s="258"/>
    </row>
    <row r="29615" spans="1:26" ht="12.75" customHeight="1" x14ac:dyDescent="0.2">
      <c r="A29615" s="258"/>
      <c r="Z29615" s="258"/>
    </row>
    <row r="29616" spans="1:26" ht="12.75" customHeight="1" x14ac:dyDescent="0.2">
      <c r="A29616" s="258"/>
      <c r="Z29616" s="258"/>
    </row>
    <row r="29617" spans="1:26" ht="12.75" customHeight="1" x14ac:dyDescent="0.2">
      <c r="A29617" s="258"/>
      <c r="Z29617" s="258"/>
    </row>
    <row r="29618" spans="1:26" ht="12.75" customHeight="1" x14ac:dyDescent="0.2">
      <c r="A29618" s="258"/>
      <c r="Z29618" s="258"/>
    </row>
    <row r="29619" spans="1:26" ht="12.75" customHeight="1" x14ac:dyDescent="0.2">
      <c r="A29619" s="258"/>
      <c r="Z29619" s="258"/>
    </row>
    <row r="29620" spans="1:26" ht="12.75" customHeight="1" x14ac:dyDescent="0.2">
      <c r="A29620" s="258"/>
      <c r="Z29620" s="258"/>
    </row>
    <row r="29621" spans="1:26" ht="12.75" customHeight="1" x14ac:dyDescent="0.2">
      <c r="A29621" s="258"/>
      <c r="Z29621" s="258"/>
    </row>
    <row r="29622" spans="1:26" ht="12.75" customHeight="1" x14ac:dyDescent="0.2">
      <c r="A29622" s="258"/>
      <c r="Z29622" s="258"/>
    </row>
    <row r="29623" spans="1:26" ht="12.75" customHeight="1" x14ac:dyDescent="0.2">
      <c r="A29623" s="258"/>
      <c r="Z29623" s="258"/>
    </row>
    <row r="29624" spans="1:26" ht="12.75" customHeight="1" x14ac:dyDescent="0.2">
      <c r="A29624" s="258"/>
      <c r="Z29624" s="258"/>
    </row>
    <row r="29625" spans="1:26" ht="12.75" customHeight="1" x14ac:dyDescent="0.2">
      <c r="A29625" s="258"/>
      <c r="Z29625" s="258"/>
    </row>
    <row r="29626" spans="1:26" ht="12.75" customHeight="1" x14ac:dyDescent="0.2">
      <c r="A29626" s="258"/>
      <c r="Z29626" s="258"/>
    </row>
    <row r="29627" spans="1:26" ht="12.75" customHeight="1" x14ac:dyDescent="0.2">
      <c r="A29627" s="258"/>
      <c r="Z29627" s="258"/>
    </row>
    <row r="29628" spans="1:26" ht="12.75" customHeight="1" x14ac:dyDescent="0.2">
      <c r="A29628" s="258"/>
      <c r="Z29628" s="258"/>
    </row>
    <row r="29629" spans="1:26" ht="12.75" customHeight="1" x14ac:dyDescent="0.2">
      <c r="A29629" s="258"/>
      <c r="Z29629" s="258"/>
    </row>
    <row r="29630" spans="1:26" ht="12.75" customHeight="1" x14ac:dyDescent="0.2">
      <c r="A29630" s="258"/>
      <c r="Z29630" s="258"/>
    </row>
    <row r="29631" spans="1:26" ht="12.75" customHeight="1" x14ac:dyDescent="0.2">
      <c r="A29631" s="258"/>
      <c r="Z29631" s="258"/>
    </row>
    <row r="29632" spans="1:26" ht="12.75" customHeight="1" x14ac:dyDescent="0.2">
      <c r="A29632" s="258"/>
      <c r="Z29632" s="258"/>
    </row>
    <row r="29633" spans="1:26" ht="12.75" customHeight="1" x14ac:dyDescent="0.2">
      <c r="A29633" s="258"/>
      <c r="Z29633" s="258"/>
    </row>
    <row r="29634" spans="1:26" ht="12.75" customHeight="1" x14ac:dyDescent="0.2">
      <c r="A29634" s="258"/>
      <c r="Z29634" s="258"/>
    </row>
    <row r="29635" spans="1:26" ht="12.75" customHeight="1" x14ac:dyDescent="0.2">
      <c r="A29635" s="258"/>
      <c r="Z29635" s="258"/>
    </row>
    <row r="29636" spans="1:26" ht="12.75" customHeight="1" x14ac:dyDescent="0.2">
      <c r="A29636" s="258"/>
      <c r="Z29636" s="258"/>
    </row>
    <row r="29637" spans="1:26" ht="12.75" customHeight="1" x14ac:dyDescent="0.2">
      <c r="A29637" s="258"/>
      <c r="Z29637" s="258"/>
    </row>
    <row r="29638" spans="1:26" ht="12.75" customHeight="1" x14ac:dyDescent="0.2">
      <c r="A29638" s="258"/>
      <c r="Z29638" s="258"/>
    </row>
    <row r="29639" spans="1:26" ht="12.75" customHeight="1" x14ac:dyDescent="0.2">
      <c r="A29639" s="258"/>
      <c r="Z29639" s="258"/>
    </row>
    <row r="29640" spans="1:26" ht="12.75" customHeight="1" x14ac:dyDescent="0.2">
      <c r="A29640" s="258"/>
      <c r="Z29640" s="258"/>
    </row>
    <row r="29641" spans="1:26" ht="12.75" customHeight="1" x14ac:dyDescent="0.2">
      <c r="A29641" s="258"/>
      <c r="Z29641" s="258"/>
    </row>
    <row r="29642" spans="1:26" ht="12.75" customHeight="1" x14ac:dyDescent="0.2">
      <c r="A29642" s="258"/>
      <c r="Z29642" s="258"/>
    </row>
    <row r="29643" spans="1:26" ht="12.75" customHeight="1" x14ac:dyDescent="0.2">
      <c r="A29643" s="258"/>
      <c r="Z29643" s="258"/>
    </row>
    <row r="29644" spans="1:26" ht="12.75" customHeight="1" x14ac:dyDescent="0.2">
      <c r="A29644" s="258"/>
      <c r="Z29644" s="258"/>
    </row>
    <row r="29645" spans="1:26" ht="12.75" customHeight="1" x14ac:dyDescent="0.2">
      <c r="A29645" s="258"/>
      <c r="Z29645" s="258"/>
    </row>
    <row r="29646" spans="1:26" ht="12.75" customHeight="1" x14ac:dyDescent="0.2">
      <c r="A29646" s="258"/>
      <c r="Z29646" s="258"/>
    </row>
    <row r="29647" spans="1:26" ht="12.75" customHeight="1" x14ac:dyDescent="0.2">
      <c r="A29647" s="258"/>
      <c r="Z29647" s="258"/>
    </row>
    <row r="29648" spans="1:26" ht="12.75" customHeight="1" x14ac:dyDescent="0.2">
      <c r="A29648" s="258"/>
      <c r="Z29648" s="258"/>
    </row>
    <row r="29649" spans="1:26" ht="12.75" customHeight="1" x14ac:dyDescent="0.2">
      <c r="A29649" s="258"/>
      <c r="Z29649" s="258"/>
    </row>
    <row r="29650" spans="1:26" ht="12.75" customHeight="1" x14ac:dyDescent="0.2">
      <c r="A29650" s="258"/>
      <c r="Z29650" s="258"/>
    </row>
    <row r="29651" spans="1:26" ht="12.75" customHeight="1" x14ac:dyDescent="0.2">
      <c r="A29651" s="258"/>
      <c r="Z29651" s="258"/>
    </row>
    <row r="29652" spans="1:26" ht="12.75" customHeight="1" x14ac:dyDescent="0.2">
      <c r="A29652" s="258"/>
      <c r="Z29652" s="258"/>
    </row>
    <row r="29653" spans="1:26" ht="12.75" customHeight="1" x14ac:dyDescent="0.2">
      <c r="A29653" s="258"/>
      <c r="Z29653" s="258"/>
    </row>
    <row r="29654" spans="1:26" ht="12.75" customHeight="1" x14ac:dyDescent="0.2">
      <c r="A29654" s="258"/>
      <c r="Z29654" s="258"/>
    </row>
    <row r="29655" spans="1:26" ht="12.75" customHeight="1" x14ac:dyDescent="0.2">
      <c r="A29655" s="258"/>
      <c r="Z29655" s="258"/>
    </row>
    <row r="29656" spans="1:26" ht="12.75" customHeight="1" x14ac:dyDescent="0.2">
      <c r="A29656" s="258"/>
      <c r="Z29656" s="258"/>
    </row>
    <row r="29657" spans="1:26" ht="12.75" customHeight="1" x14ac:dyDescent="0.2">
      <c r="A29657" s="258"/>
      <c r="Z29657" s="258"/>
    </row>
    <row r="29658" spans="1:26" ht="12.75" customHeight="1" x14ac:dyDescent="0.2">
      <c r="A29658" s="258"/>
      <c r="Z29658" s="258"/>
    </row>
    <row r="29659" spans="1:26" ht="12.75" customHeight="1" x14ac:dyDescent="0.2">
      <c r="A29659" s="258"/>
      <c r="Z29659" s="258"/>
    </row>
    <row r="29660" spans="1:26" ht="12.75" customHeight="1" x14ac:dyDescent="0.2">
      <c r="A29660" s="258"/>
      <c r="Z29660" s="258"/>
    </row>
    <row r="29661" spans="1:26" ht="12.75" customHeight="1" x14ac:dyDescent="0.2">
      <c r="A29661" s="258"/>
      <c r="Z29661" s="258"/>
    </row>
    <row r="29662" spans="1:26" ht="12.75" customHeight="1" x14ac:dyDescent="0.2">
      <c r="A29662" s="258"/>
      <c r="Z29662" s="258"/>
    </row>
    <row r="29663" spans="1:26" ht="12.75" customHeight="1" x14ac:dyDescent="0.2">
      <c r="A29663" s="258"/>
      <c r="Z29663" s="258"/>
    </row>
    <row r="29664" spans="1:26" ht="12.75" customHeight="1" x14ac:dyDescent="0.2">
      <c r="A29664" s="258"/>
      <c r="Z29664" s="258"/>
    </row>
    <row r="29665" spans="1:26" ht="12.75" customHeight="1" x14ac:dyDescent="0.2">
      <c r="A29665" s="258"/>
      <c r="Z29665" s="258"/>
    </row>
    <row r="29666" spans="1:26" ht="12.75" customHeight="1" x14ac:dyDescent="0.2">
      <c r="A29666" s="258"/>
      <c r="Z29666" s="258"/>
    </row>
    <row r="29667" spans="1:26" ht="12.75" customHeight="1" x14ac:dyDescent="0.2">
      <c r="A29667" s="258"/>
      <c r="Z29667" s="258"/>
    </row>
    <row r="29668" spans="1:26" ht="12.75" customHeight="1" x14ac:dyDescent="0.2">
      <c r="A29668" s="258"/>
      <c r="Z29668" s="258"/>
    </row>
    <row r="29669" spans="1:26" ht="12.75" customHeight="1" x14ac:dyDescent="0.2">
      <c r="A29669" s="258"/>
      <c r="Z29669" s="258"/>
    </row>
    <row r="29670" spans="1:26" ht="12.75" customHeight="1" x14ac:dyDescent="0.2">
      <c r="A29670" s="258"/>
      <c r="Z29670" s="258"/>
    </row>
    <row r="29671" spans="1:26" ht="12.75" customHeight="1" x14ac:dyDescent="0.2">
      <c r="A29671" s="258"/>
      <c r="Z29671" s="258"/>
    </row>
    <row r="29672" spans="1:26" ht="12.75" customHeight="1" x14ac:dyDescent="0.2">
      <c r="A29672" s="258"/>
      <c r="Z29672" s="258"/>
    </row>
    <row r="29673" spans="1:26" ht="12.75" customHeight="1" x14ac:dyDescent="0.2">
      <c r="A29673" s="258"/>
      <c r="Z29673" s="258"/>
    </row>
    <row r="29674" spans="1:26" ht="12.75" customHeight="1" x14ac:dyDescent="0.2">
      <c r="A29674" s="258"/>
      <c r="Z29674" s="258"/>
    </row>
    <row r="29675" spans="1:26" ht="12.75" customHeight="1" x14ac:dyDescent="0.2">
      <c r="A29675" s="258"/>
      <c r="Z29675" s="258"/>
    </row>
    <row r="29676" spans="1:26" ht="12.75" customHeight="1" x14ac:dyDescent="0.2">
      <c r="A29676" s="258"/>
      <c r="Z29676" s="258"/>
    </row>
    <row r="29677" spans="1:26" ht="12.75" customHeight="1" x14ac:dyDescent="0.2">
      <c r="A29677" s="258"/>
      <c r="Z29677" s="258"/>
    </row>
    <row r="29678" spans="1:26" ht="12.75" customHeight="1" x14ac:dyDescent="0.2">
      <c r="A29678" s="258"/>
      <c r="Z29678" s="258"/>
    </row>
    <row r="29679" spans="1:26" ht="12.75" customHeight="1" x14ac:dyDescent="0.2">
      <c r="A29679" s="258"/>
      <c r="Z29679" s="258"/>
    </row>
    <row r="29680" spans="1:26" ht="12.75" customHeight="1" x14ac:dyDescent="0.2">
      <c r="A29680" s="258"/>
      <c r="Z29680" s="258"/>
    </row>
    <row r="29681" spans="1:26" ht="12.75" customHeight="1" x14ac:dyDescent="0.2">
      <c r="A29681" s="258"/>
      <c r="Z29681" s="258"/>
    </row>
    <row r="29682" spans="1:26" ht="12.75" customHeight="1" x14ac:dyDescent="0.2">
      <c r="A29682" s="258"/>
      <c r="Z29682" s="258"/>
    </row>
    <row r="29683" spans="1:26" ht="12.75" customHeight="1" x14ac:dyDescent="0.2">
      <c r="A29683" s="258"/>
      <c r="Z29683" s="258"/>
    </row>
    <row r="29684" spans="1:26" ht="12.75" customHeight="1" x14ac:dyDescent="0.2">
      <c r="A29684" s="258"/>
      <c r="Z29684" s="258"/>
    </row>
    <row r="29685" spans="1:26" ht="12.75" customHeight="1" x14ac:dyDescent="0.2">
      <c r="A29685" s="258"/>
      <c r="Z29685" s="258"/>
    </row>
    <row r="29686" spans="1:26" ht="12.75" customHeight="1" x14ac:dyDescent="0.2">
      <c r="A29686" s="258"/>
      <c r="Z29686" s="258"/>
    </row>
    <row r="29687" spans="1:26" ht="12.75" customHeight="1" x14ac:dyDescent="0.2">
      <c r="A29687" s="258"/>
      <c r="Z29687" s="258"/>
    </row>
    <row r="29688" spans="1:26" ht="12.75" customHeight="1" x14ac:dyDescent="0.2">
      <c r="A29688" s="258"/>
      <c r="Z29688" s="258"/>
    </row>
    <row r="29689" spans="1:26" ht="12.75" customHeight="1" x14ac:dyDescent="0.2">
      <c r="A29689" s="258"/>
      <c r="Z29689" s="258"/>
    </row>
    <row r="29690" spans="1:26" ht="12.75" customHeight="1" x14ac:dyDescent="0.2">
      <c r="A29690" s="258"/>
      <c r="Z29690" s="258"/>
    </row>
    <row r="29691" spans="1:26" ht="12.75" customHeight="1" x14ac:dyDescent="0.2">
      <c r="A29691" s="258"/>
      <c r="Z29691" s="258"/>
    </row>
    <row r="29692" spans="1:26" ht="12.75" customHeight="1" x14ac:dyDescent="0.2">
      <c r="A29692" s="258"/>
      <c r="Z29692" s="258"/>
    </row>
    <row r="29693" spans="1:26" ht="12.75" customHeight="1" x14ac:dyDescent="0.2">
      <c r="A29693" s="258"/>
      <c r="Z29693" s="258"/>
    </row>
    <row r="29694" spans="1:26" ht="12.75" customHeight="1" x14ac:dyDescent="0.2">
      <c r="A29694" s="258"/>
      <c r="Z29694" s="258"/>
    </row>
    <row r="29695" spans="1:26" ht="12.75" customHeight="1" x14ac:dyDescent="0.2">
      <c r="A29695" s="258"/>
      <c r="Z29695" s="258"/>
    </row>
    <row r="29696" spans="1:26" ht="12.75" customHeight="1" x14ac:dyDescent="0.2">
      <c r="A29696" s="258"/>
      <c r="Z29696" s="258"/>
    </row>
    <row r="29697" spans="1:26" ht="12.75" customHeight="1" x14ac:dyDescent="0.2">
      <c r="A29697" s="258"/>
      <c r="Z29697" s="258"/>
    </row>
    <row r="29698" spans="1:26" ht="12.75" customHeight="1" x14ac:dyDescent="0.2">
      <c r="A29698" s="258"/>
      <c r="Z29698" s="258"/>
    </row>
    <row r="29699" spans="1:26" ht="12.75" customHeight="1" x14ac:dyDescent="0.2">
      <c r="A29699" s="258"/>
      <c r="Z29699" s="258"/>
    </row>
    <row r="29700" spans="1:26" ht="12.75" customHeight="1" x14ac:dyDescent="0.2">
      <c r="A29700" s="258"/>
      <c r="Z29700" s="258"/>
    </row>
    <row r="29701" spans="1:26" ht="12.75" customHeight="1" x14ac:dyDescent="0.2">
      <c r="A29701" s="258"/>
      <c r="Z29701" s="258"/>
    </row>
    <row r="29702" spans="1:26" ht="12.75" customHeight="1" x14ac:dyDescent="0.2">
      <c r="A29702" s="258"/>
      <c r="Z29702" s="258"/>
    </row>
    <row r="29703" spans="1:26" ht="12.75" customHeight="1" x14ac:dyDescent="0.2">
      <c r="A29703" s="258"/>
      <c r="Z29703" s="258"/>
    </row>
    <row r="29704" spans="1:26" ht="12.75" customHeight="1" x14ac:dyDescent="0.2">
      <c r="A29704" s="258"/>
      <c r="Z29704" s="258"/>
    </row>
    <row r="29705" spans="1:26" ht="12.75" customHeight="1" x14ac:dyDescent="0.2">
      <c r="A29705" s="258"/>
      <c r="Z29705" s="258"/>
    </row>
    <row r="29706" spans="1:26" ht="12.75" customHeight="1" x14ac:dyDescent="0.2">
      <c r="A29706" s="258"/>
      <c r="Z29706" s="258"/>
    </row>
    <row r="29707" spans="1:26" ht="12.75" customHeight="1" x14ac:dyDescent="0.2">
      <c r="A29707" s="258"/>
      <c r="Z29707" s="258"/>
    </row>
    <row r="29708" spans="1:26" ht="12.75" customHeight="1" x14ac:dyDescent="0.2">
      <c r="A29708" s="258"/>
      <c r="Z29708" s="258"/>
    </row>
    <row r="29709" spans="1:26" ht="12.75" customHeight="1" x14ac:dyDescent="0.2">
      <c r="A29709" s="258"/>
      <c r="Z29709" s="258"/>
    </row>
    <row r="29710" spans="1:26" ht="12.75" customHeight="1" x14ac:dyDescent="0.2">
      <c r="A29710" s="258"/>
      <c r="Z29710" s="258"/>
    </row>
    <row r="29711" spans="1:26" ht="12.75" customHeight="1" x14ac:dyDescent="0.2">
      <c r="A29711" s="258"/>
      <c r="Z29711" s="258"/>
    </row>
    <row r="29712" spans="1:26" ht="12.75" customHeight="1" x14ac:dyDescent="0.2">
      <c r="A29712" s="258"/>
      <c r="Z29712" s="258"/>
    </row>
    <row r="29713" spans="1:26" ht="12.75" customHeight="1" x14ac:dyDescent="0.2">
      <c r="A29713" s="258"/>
      <c r="Z29713" s="258"/>
    </row>
    <row r="29714" spans="1:26" ht="12.75" customHeight="1" x14ac:dyDescent="0.2">
      <c r="A29714" s="258"/>
      <c r="Z29714" s="258"/>
    </row>
    <row r="29715" spans="1:26" ht="12.75" customHeight="1" x14ac:dyDescent="0.2">
      <c r="A29715" s="258"/>
      <c r="Z29715" s="258"/>
    </row>
    <row r="29716" spans="1:26" ht="12.75" customHeight="1" x14ac:dyDescent="0.2">
      <c r="A29716" s="258"/>
      <c r="Z29716" s="258"/>
    </row>
    <row r="29717" spans="1:26" ht="12.75" customHeight="1" x14ac:dyDescent="0.2">
      <c r="A29717" s="258"/>
      <c r="Z29717" s="258"/>
    </row>
    <row r="29718" spans="1:26" ht="12.75" customHeight="1" x14ac:dyDescent="0.2">
      <c r="A29718" s="258"/>
      <c r="Z29718" s="258"/>
    </row>
    <row r="29719" spans="1:26" ht="12.75" customHeight="1" x14ac:dyDescent="0.2">
      <c r="A29719" s="258"/>
      <c r="Z29719" s="258"/>
    </row>
    <row r="29720" spans="1:26" ht="12.75" customHeight="1" x14ac:dyDescent="0.2">
      <c r="A29720" s="258"/>
      <c r="Z29720" s="258"/>
    </row>
    <row r="29721" spans="1:26" ht="12.75" customHeight="1" x14ac:dyDescent="0.2">
      <c r="A29721" s="258"/>
      <c r="Z29721" s="258"/>
    </row>
    <row r="29722" spans="1:26" ht="12.75" customHeight="1" x14ac:dyDescent="0.2">
      <c r="A29722" s="258"/>
      <c r="Z29722" s="258"/>
    </row>
    <row r="29723" spans="1:26" ht="12.75" customHeight="1" x14ac:dyDescent="0.2">
      <c r="A29723" s="258"/>
      <c r="Z29723" s="258"/>
    </row>
    <row r="29724" spans="1:26" ht="12.75" customHeight="1" x14ac:dyDescent="0.2">
      <c r="A29724" s="258"/>
      <c r="Z29724" s="258"/>
    </row>
    <row r="29725" spans="1:26" ht="12.75" customHeight="1" x14ac:dyDescent="0.2">
      <c r="A29725" s="258"/>
      <c r="Z29725" s="258"/>
    </row>
    <row r="29726" spans="1:26" ht="12.75" customHeight="1" x14ac:dyDescent="0.2">
      <c r="A29726" s="258"/>
      <c r="Z29726" s="258"/>
    </row>
    <row r="29727" spans="1:26" ht="12.75" customHeight="1" x14ac:dyDescent="0.2">
      <c r="A29727" s="258"/>
      <c r="Z29727" s="258"/>
    </row>
    <row r="29728" spans="1:26" ht="12.75" customHeight="1" x14ac:dyDescent="0.2">
      <c r="A29728" s="258"/>
      <c r="Z29728" s="258"/>
    </row>
    <row r="29729" spans="1:26" ht="12.75" customHeight="1" x14ac:dyDescent="0.2">
      <c r="A29729" s="258"/>
      <c r="Z29729" s="258"/>
    </row>
    <row r="29730" spans="1:26" ht="12.75" customHeight="1" x14ac:dyDescent="0.2">
      <c r="A29730" s="258"/>
      <c r="Z29730" s="258"/>
    </row>
    <row r="29731" spans="1:26" ht="12.75" customHeight="1" x14ac:dyDescent="0.2">
      <c r="A29731" s="258"/>
      <c r="Z29731" s="258"/>
    </row>
    <row r="29732" spans="1:26" ht="12.75" customHeight="1" x14ac:dyDescent="0.2">
      <c r="A29732" s="258"/>
      <c r="Z29732" s="258"/>
    </row>
    <row r="29733" spans="1:26" ht="12.75" customHeight="1" x14ac:dyDescent="0.2">
      <c r="A29733" s="258"/>
      <c r="Z29733" s="258"/>
    </row>
    <row r="29734" spans="1:26" ht="12.75" customHeight="1" x14ac:dyDescent="0.2">
      <c r="A29734" s="258"/>
      <c r="Z29734" s="258"/>
    </row>
    <row r="29735" spans="1:26" ht="12.75" customHeight="1" x14ac:dyDescent="0.2">
      <c r="A29735" s="258"/>
      <c r="Z29735" s="258"/>
    </row>
    <row r="29736" spans="1:26" ht="12.75" customHeight="1" x14ac:dyDescent="0.2">
      <c r="A29736" s="258"/>
      <c r="Z29736" s="258"/>
    </row>
    <row r="29737" spans="1:26" ht="12.75" customHeight="1" x14ac:dyDescent="0.2">
      <c r="A29737" s="258"/>
      <c r="Z29737" s="258"/>
    </row>
    <row r="29738" spans="1:26" ht="12.75" customHeight="1" x14ac:dyDescent="0.2">
      <c r="A29738" s="258"/>
      <c r="Z29738" s="258"/>
    </row>
    <row r="29739" spans="1:26" ht="12.75" customHeight="1" x14ac:dyDescent="0.2">
      <c r="A29739" s="258"/>
      <c r="Z29739" s="258"/>
    </row>
    <row r="29740" spans="1:26" ht="12.75" customHeight="1" x14ac:dyDescent="0.2">
      <c r="A29740" s="258"/>
      <c r="Z29740" s="258"/>
    </row>
    <row r="29741" spans="1:26" ht="12.75" customHeight="1" x14ac:dyDescent="0.2">
      <c r="A29741" s="258"/>
      <c r="Z29741" s="258"/>
    </row>
    <row r="29742" spans="1:26" ht="12.75" customHeight="1" x14ac:dyDescent="0.2">
      <c r="A29742" s="258"/>
      <c r="Z29742" s="258"/>
    </row>
    <row r="29743" spans="1:26" ht="12.75" customHeight="1" x14ac:dyDescent="0.2">
      <c r="A29743" s="258"/>
      <c r="Z29743" s="258"/>
    </row>
    <row r="29744" spans="1:26" ht="12.75" customHeight="1" x14ac:dyDescent="0.2">
      <c r="A29744" s="258"/>
      <c r="Z29744" s="258"/>
    </row>
    <row r="29745" spans="1:26" ht="12.75" customHeight="1" x14ac:dyDescent="0.2">
      <c r="A29745" s="258"/>
      <c r="Z29745" s="258"/>
    </row>
    <row r="29746" spans="1:26" ht="12.75" customHeight="1" x14ac:dyDescent="0.2">
      <c r="A29746" s="258"/>
      <c r="Z29746" s="258"/>
    </row>
    <row r="29747" spans="1:26" ht="12.75" customHeight="1" x14ac:dyDescent="0.2">
      <c r="A29747" s="258"/>
      <c r="Z29747" s="258"/>
    </row>
    <row r="29748" spans="1:26" ht="12.75" customHeight="1" x14ac:dyDescent="0.2">
      <c r="A29748" s="258"/>
      <c r="Z29748" s="258"/>
    </row>
    <row r="29749" spans="1:26" ht="12.75" customHeight="1" x14ac:dyDescent="0.2">
      <c r="A29749" s="258"/>
      <c r="Z29749" s="258"/>
    </row>
    <row r="29750" spans="1:26" ht="12.75" customHeight="1" x14ac:dyDescent="0.2">
      <c r="A29750" s="258"/>
      <c r="Z29750" s="258"/>
    </row>
    <row r="29751" spans="1:26" ht="12.75" customHeight="1" x14ac:dyDescent="0.2">
      <c r="A29751" s="258"/>
      <c r="Z29751" s="258"/>
    </row>
    <row r="29752" spans="1:26" ht="12.75" customHeight="1" x14ac:dyDescent="0.2">
      <c r="A29752" s="258"/>
      <c r="Z29752" s="258"/>
    </row>
    <row r="29753" spans="1:26" ht="12.75" customHeight="1" x14ac:dyDescent="0.2">
      <c r="A29753" s="258"/>
      <c r="Z29753" s="258"/>
    </row>
    <row r="29754" spans="1:26" ht="12.75" customHeight="1" x14ac:dyDescent="0.2">
      <c r="A29754" s="258"/>
      <c r="Z29754" s="258"/>
    </row>
    <row r="29755" spans="1:26" ht="12.75" customHeight="1" x14ac:dyDescent="0.2">
      <c r="A29755" s="258"/>
      <c r="Z29755" s="258"/>
    </row>
    <row r="29756" spans="1:26" ht="12.75" customHeight="1" x14ac:dyDescent="0.2">
      <c r="A29756" s="258"/>
      <c r="Z29756" s="258"/>
    </row>
    <row r="29757" spans="1:26" ht="12.75" customHeight="1" x14ac:dyDescent="0.2">
      <c r="A29757" s="258"/>
      <c r="Z29757" s="258"/>
    </row>
    <row r="29758" spans="1:26" ht="12.75" customHeight="1" x14ac:dyDescent="0.2">
      <c r="A29758" s="258"/>
      <c r="Z29758" s="258"/>
    </row>
    <row r="29759" spans="1:26" ht="12.75" customHeight="1" x14ac:dyDescent="0.2">
      <c r="A29759" s="258"/>
      <c r="Z29759" s="258"/>
    </row>
    <row r="29760" spans="1:26" ht="12.75" customHeight="1" x14ac:dyDescent="0.2">
      <c r="A29760" s="258"/>
      <c r="Z29760" s="258"/>
    </row>
    <row r="29761" spans="1:26" ht="12.75" customHeight="1" x14ac:dyDescent="0.2">
      <c r="A29761" s="258"/>
      <c r="Z29761" s="258"/>
    </row>
    <row r="29762" spans="1:26" ht="12.75" customHeight="1" x14ac:dyDescent="0.2">
      <c r="A29762" s="258"/>
      <c r="Z29762" s="258"/>
    </row>
    <row r="29763" spans="1:26" ht="12.75" customHeight="1" x14ac:dyDescent="0.2">
      <c r="A29763" s="258"/>
      <c r="Z29763" s="258"/>
    </row>
    <row r="29764" spans="1:26" ht="12.75" customHeight="1" x14ac:dyDescent="0.2">
      <c r="A29764" s="258"/>
      <c r="Z29764" s="258"/>
    </row>
    <row r="29765" spans="1:26" ht="12.75" customHeight="1" x14ac:dyDescent="0.2">
      <c r="A29765" s="258"/>
      <c r="Z29765" s="258"/>
    </row>
    <row r="29766" spans="1:26" ht="12.75" customHeight="1" x14ac:dyDescent="0.2">
      <c r="A29766" s="258"/>
      <c r="Z29766" s="258"/>
    </row>
    <row r="29767" spans="1:26" ht="12.75" customHeight="1" x14ac:dyDescent="0.2">
      <c r="A29767" s="258"/>
      <c r="Z29767" s="258"/>
    </row>
    <row r="29768" spans="1:26" ht="12.75" customHeight="1" x14ac:dyDescent="0.2">
      <c r="A29768" s="258"/>
      <c r="Z29768" s="258"/>
    </row>
    <row r="29769" spans="1:26" ht="12.75" customHeight="1" x14ac:dyDescent="0.2">
      <c r="A29769" s="258"/>
      <c r="Z29769" s="258"/>
    </row>
    <row r="29770" spans="1:26" ht="12.75" customHeight="1" x14ac:dyDescent="0.2">
      <c r="A29770" s="258"/>
      <c r="Z29770" s="258"/>
    </row>
    <row r="29771" spans="1:26" ht="12.75" customHeight="1" x14ac:dyDescent="0.2">
      <c r="A29771" s="258"/>
      <c r="Z29771" s="258"/>
    </row>
    <row r="29772" spans="1:26" ht="12.75" customHeight="1" x14ac:dyDescent="0.2">
      <c r="A29772" s="258"/>
      <c r="Z29772" s="258"/>
    </row>
    <row r="29773" spans="1:26" ht="12.75" customHeight="1" x14ac:dyDescent="0.2">
      <c r="A29773" s="258"/>
      <c r="Z29773" s="258"/>
    </row>
    <row r="29774" spans="1:26" ht="12.75" customHeight="1" x14ac:dyDescent="0.2">
      <c r="A29774" s="258"/>
      <c r="Z29774" s="258"/>
    </row>
    <row r="29775" spans="1:26" ht="12.75" customHeight="1" x14ac:dyDescent="0.2">
      <c r="A29775" s="258"/>
      <c r="Z29775" s="258"/>
    </row>
    <row r="29776" spans="1:26" ht="12.75" customHeight="1" x14ac:dyDescent="0.2">
      <c r="A29776" s="258"/>
      <c r="Z29776" s="258"/>
    </row>
    <row r="29777" spans="1:26" ht="12.75" customHeight="1" x14ac:dyDescent="0.2">
      <c r="A29777" s="258"/>
      <c r="Z29777" s="258"/>
    </row>
    <row r="29778" spans="1:26" ht="12.75" customHeight="1" x14ac:dyDescent="0.2">
      <c r="A29778" s="258"/>
      <c r="Z29778" s="258"/>
    </row>
    <row r="29779" spans="1:26" ht="12.75" customHeight="1" x14ac:dyDescent="0.2">
      <c r="A29779" s="258"/>
      <c r="Z29779" s="258"/>
    </row>
    <row r="29780" spans="1:26" ht="12.75" customHeight="1" x14ac:dyDescent="0.2">
      <c r="A29780" s="258"/>
      <c r="Z29780" s="258"/>
    </row>
    <row r="29781" spans="1:26" ht="12.75" customHeight="1" x14ac:dyDescent="0.2">
      <c r="A29781" s="258"/>
      <c r="Z29781" s="258"/>
    </row>
    <row r="29782" spans="1:26" ht="12.75" customHeight="1" x14ac:dyDescent="0.2">
      <c r="A29782" s="258"/>
      <c r="Z29782" s="258"/>
    </row>
    <row r="29783" spans="1:26" ht="12.75" customHeight="1" x14ac:dyDescent="0.2">
      <c r="A29783" s="258"/>
      <c r="Z29783" s="258"/>
    </row>
    <row r="29784" spans="1:26" ht="12.75" customHeight="1" x14ac:dyDescent="0.2">
      <c r="A29784" s="258"/>
      <c r="Z29784" s="258"/>
    </row>
    <row r="29785" spans="1:26" ht="12.75" customHeight="1" x14ac:dyDescent="0.2">
      <c r="A29785" s="258"/>
      <c r="Z29785" s="258"/>
    </row>
    <row r="29786" spans="1:26" ht="12.75" customHeight="1" x14ac:dyDescent="0.2">
      <c r="A29786" s="258"/>
      <c r="Z29786" s="258"/>
    </row>
    <row r="29787" spans="1:26" ht="12.75" customHeight="1" x14ac:dyDescent="0.2">
      <c r="A29787" s="258"/>
      <c r="Z29787" s="258"/>
    </row>
    <row r="29788" spans="1:26" ht="12.75" customHeight="1" x14ac:dyDescent="0.2">
      <c r="A29788" s="258"/>
      <c r="Z29788" s="258"/>
    </row>
    <row r="29789" spans="1:26" ht="12.75" customHeight="1" x14ac:dyDescent="0.2">
      <c r="A29789" s="258"/>
      <c r="Z29789" s="258"/>
    </row>
    <row r="29790" spans="1:26" ht="12.75" customHeight="1" x14ac:dyDescent="0.2">
      <c r="A29790" s="258"/>
      <c r="Z29790" s="258"/>
    </row>
    <row r="29791" spans="1:26" ht="12.75" customHeight="1" x14ac:dyDescent="0.2">
      <c r="A29791" s="258"/>
      <c r="Z29791" s="258"/>
    </row>
    <row r="29792" spans="1:26" ht="12.75" customHeight="1" x14ac:dyDescent="0.2">
      <c r="A29792" s="258"/>
      <c r="Z29792" s="258"/>
    </row>
    <row r="29793" spans="1:26" ht="12.75" customHeight="1" x14ac:dyDescent="0.2">
      <c r="A29793" s="258"/>
      <c r="Z29793" s="258"/>
    </row>
    <row r="29794" spans="1:26" ht="12.75" customHeight="1" x14ac:dyDescent="0.2">
      <c r="A29794" s="258"/>
      <c r="Z29794" s="258"/>
    </row>
    <row r="29795" spans="1:26" ht="12.75" customHeight="1" x14ac:dyDescent="0.2">
      <c r="A29795" s="258"/>
      <c r="Z29795" s="258"/>
    </row>
    <row r="29796" spans="1:26" ht="12.75" customHeight="1" x14ac:dyDescent="0.2">
      <c r="A29796" s="258"/>
      <c r="Z29796" s="258"/>
    </row>
    <row r="29797" spans="1:26" ht="12.75" customHeight="1" x14ac:dyDescent="0.2">
      <c r="A29797" s="258"/>
      <c r="Z29797" s="258"/>
    </row>
    <row r="29798" spans="1:26" ht="12.75" customHeight="1" x14ac:dyDescent="0.2">
      <c r="A29798" s="258"/>
      <c r="Z29798" s="258"/>
    </row>
    <row r="29799" spans="1:26" ht="12.75" customHeight="1" x14ac:dyDescent="0.2">
      <c r="A29799" s="258"/>
      <c r="Z29799" s="258"/>
    </row>
    <row r="29800" spans="1:26" ht="12.75" customHeight="1" x14ac:dyDescent="0.2">
      <c r="A29800" s="258"/>
      <c r="Z29800" s="258"/>
    </row>
    <row r="29801" spans="1:26" ht="12.75" customHeight="1" x14ac:dyDescent="0.2">
      <c r="A29801" s="258"/>
      <c r="Z29801" s="258"/>
    </row>
    <row r="29802" spans="1:26" ht="12.75" customHeight="1" x14ac:dyDescent="0.2">
      <c r="A29802" s="258"/>
      <c r="Z29802" s="258"/>
    </row>
    <row r="29803" spans="1:26" ht="12.75" customHeight="1" x14ac:dyDescent="0.2">
      <c r="A29803" s="258"/>
      <c r="Z29803" s="258"/>
    </row>
    <row r="29804" spans="1:26" ht="12.75" customHeight="1" x14ac:dyDescent="0.2">
      <c r="A29804" s="258"/>
      <c r="Z29804" s="258"/>
    </row>
    <row r="29805" spans="1:26" ht="12.75" customHeight="1" x14ac:dyDescent="0.2">
      <c r="A29805" s="258"/>
      <c r="Z29805" s="258"/>
    </row>
    <row r="29806" spans="1:26" ht="12.75" customHeight="1" x14ac:dyDescent="0.2">
      <c r="A29806" s="258"/>
      <c r="Z29806" s="258"/>
    </row>
    <row r="29807" spans="1:26" ht="12.75" customHeight="1" x14ac:dyDescent="0.2">
      <c r="A29807" s="258"/>
      <c r="Z29807" s="258"/>
    </row>
    <row r="29808" spans="1:26" ht="12.75" customHeight="1" x14ac:dyDescent="0.2">
      <c r="A29808" s="258"/>
      <c r="Z29808" s="258"/>
    </row>
    <row r="29809" spans="1:26" ht="12.75" customHeight="1" x14ac:dyDescent="0.2">
      <c r="A29809" s="258"/>
      <c r="Z29809" s="258"/>
    </row>
    <row r="29810" spans="1:26" ht="12.75" customHeight="1" x14ac:dyDescent="0.2">
      <c r="A29810" s="258"/>
      <c r="Z29810" s="258"/>
    </row>
    <row r="29811" spans="1:26" ht="12.75" customHeight="1" x14ac:dyDescent="0.2">
      <c r="A29811" s="258"/>
      <c r="Z29811" s="258"/>
    </row>
    <row r="29812" spans="1:26" ht="12.75" customHeight="1" x14ac:dyDescent="0.2">
      <c r="A29812" s="258"/>
      <c r="Z29812" s="258"/>
    </row>
    <row r="29813" spans="1:26" ht="12.75" customHeight="1" x14ac:dyDescent="0.2">
      <c r="A29813" s="258"/>
      <c r="Z29813" s="258"/>
    </row>
    <row r="29814" spans="1:26" ht="12.75" customHeight="1" x14ac:dyDescent="0.2">
      <c r="A29814" s="258"/>
      <c r="Z29814" s="258"/>
    </row>
    <row r="29815" spans="1:26" ht="12.75" customHeight="1" x14ac:dyDescent="0.2">
      <c r="A29815" s="258"/>
      <c r="Z29815" s="258"/>
    </row>
    <row r="29816" spans="1:26" ht="12.75" customHeight="1" x14ac:dyDescent="0.2">
      <c r="A29816" s="258"/>
      <c r="Z29816" s="258"/>
    </row>
    <row r="29817" spans="1:26" ht="12.75" customHeight="1" x14ac:dyDescent="0.2">
      <c r="A29817" s="258"/>
      <c r="Z29817" s="258"/>
    </row>
    <row r="29818" spans="1:26" ht="12.75" customHeight="1" x14ac:dyDescent="0.2">
      <c r="A29818" s="258"/>
      <c r="Z29818" s="258"/>
    </row>
    <row r="29819" spans="1:26" ht="12.75" customHeight="1" x14ac:dyDescent="0.2">
      <c r="A29819" s="258"/>
      <c r="Z29819" s="258"/>
    </row>
    <row r="29820" spans="1:26" ht="12.75" customHeight="1" x14ac:dyDescent="0.2">
      <c r="A29820" s="258"/>
      <c r="Z29820" s="258"/>
    </row>
    <row r="29821" spans="1:26" ht="12.75" customHeight="1" x14ac:dyDescent="0.2">
      <c r="A29821" s="258"/>
      <c r="Z29821" s="258"/>
    </row>
    <row r="29822" spans="1:26" ht="12.75" customHeight="1" x14ac:dyDescent="0.2">
      <c r="A29822" s="258"/>
      <c r="Z29822" s="258"/>
    </row>
    <row r="29823" spans="1:26" ht="12.75" customHeight="1" x14ac:dyDescent="0.2">
      <c r="A29823" s="258"/>
      <c r="Z29823" s="258"/>
    </row>
    <row r="29824" spans="1:26" ht="12.75" customHeight="1" x14ac:dyDescent="0.2">
      <c r="A29824" s="258"/>
      <c r="Z29824" s="258"/>
    </row>
    <row r="29825" spans="1:26" ht="12.75" customHeight="1" x14ac:dyDescent="0.2">
      <c r="A29825" s="258"/>
      <c r="Z29825" s="258"/>
    </row>
    <row r="29826" spans="1:26" ht="12.75" customHeight="1" x14ac:dyDescent="0.2">
      <c r="A29826" s="258"/>
      <c r="Z29826" s="258"/>
    </row>
    <row r="29827" spans="1:26" ht="12.75" customHeight="1" x14ac:dyDescent="0.2">
      <c r="A29827" s="258"/>
      <c r="Z29827" s="258"/>
    </row>
    <row r="29828" spans="1:26" ht="12.75" customHeight="1" x14ac:dyDescent="0.2">
      <c r="A29828" s="258"/>
      <c r="Z29828" s="258"/>
    </row>
    <row r="29829" spans="1:26" ht="12.75" customHeight="1" x14ac:dyDescent="0.2">
      <c r="A29829" s="258"/>
      <c r="Z29829" s="258"/>
    </row>
    <row r="29830" spans="1:26" ht="12.75" customHeight="1" x14ac:dyDescent="0.2">
      <c r="A29830" s="258"/>
      <c r="Z29830" s="258"/>
    </row>
    <row r="29831" spans="1:26" ht="12.75" customHeight="1" x14ac:dyDescent="0.2">
      <c r="A29831" s="258"/>
      <c r="Z29831" s="258"/>
    </row>
    <row r="29832" spans="1:26" ht="12.75" customHeight="1" x14ac:dyDescent="0.2">
      <c r="A29832" s="258"/>
      <c r="Z29832" s="258"/>
    </row>
    <row r="29833" spans="1:26" ht="12.75" customHeight="1" x14ac:dyDescent="0.2">
      <c r="A29833" s="258"/>
      <c r="Z29833" s="258"/>
    </row>
    <row r="29834" spans="1:26" ht="12.75" customHeight="1" x14ac:dyDescent="0.2">
      <c r="A29834" s="258"/>
      <c r="Z29834" s="258"/>
    </row>
    <row r="29835" spans="1:26" ht="12.75" customHeight="1" x14ac:dyDescent="0.2">
      <c r="A29835" s="258"/>
      <c r="Z29835" s="258"/>
    </row>
    <row r="29836" spans="1:26" ht="12.75" customHeight="1" x14ac:dyDescent="0.2">
      <c r="A29836" s="258"/>
      <c r="Z29836" s="258"/>
    </row>
    <row r="29837" spans="1:26" ht="12.75" customHeight="1" x14ac:dyDescent="0.2">
      <c r="A29837" s="258"/>
      <c r="Z29837" s="258"/>
    </row>
    <row r="29838" spans="1:26" ht="12.75" customHeight="1" x14ac:dyDescent="0.2">
      <c r="A29838" s="258"/>
      <c r="Z29838" s="258"/>
    </row>
    <row r="29839" spans="1:26" ht="12.75" customHeight="1" x14ac:dyDescent="0.2">
      <c r="A29839" s="258"/>
      <c r="Z29839" s="258"/>
    </row>
    <row r="29840" spans="1:26" ht="12.75" customHeight="1" x14ac:dyDescent="0.2">
      <c r="A29840" s="258"/>
      <c r="Z29840" s="258"/>
    </row>
    <row r="29841" spans="1:26" ht="12.75" customHeight="1" x14ac:dyDescent="0.2">
      <c r="A29841" s="258"/>
      <c r="Z29841" s="258"/>
    </row>
    <row r="29842" spans="1:26" ht="12.75" customHeight="1" x14ac:dyDescent="0.2">
      <c r="A29842" s="258"/>
      <c r="Z29842" s="258"/>
    </row>
    <row r="29843" spans="1:26" ht="12.75" customHeight="1" x14ac:dyDescent="0.2">
      <c r="A29843" s="258"/>
      <c r="Z29843" s="258"/>
    </row>
    <row r="29844" spans="1:26" ht="12.75" customHeight="1" x14ac:dyDescent="0.2">
      <c r="A29844" s="258"/>
      <c r="Z29844" s="258"/>
    </row>
    <row r="29845" spans="1:26" ht="12.75" customHeight="1" x14ac:dyDescent="0.2">
      <c r="A29845" s="258"/>
      <c r="Z29845" s="258"/>
    </row>
    <row r="29846" spans="1:26" ht="12.75" customHeight="1" x14ac:dyDescent="0.2">
      <c r="A29846" s="258"/>
      <c r="Z29846" s="258"/>
    </row>
    <row r="29847" spans="1:26" ht="12.75" customHeight="1" x14ac:dyDescent="0.2">
      <c r="A29847" s="258"/>
      <c r="Z29847" s="258"/>
    </row>
    <row r="29848" spans="1:26" ht="12.75" customHeight="1" x14ac:dyDescent="0.2">
      <c r="A29848" s="258"/>
      <c r="Z29848" s="258"/>
    </row>
    <row r="29849" spans="1:26" ht="12.75" customHeight="1" x14ac:dyDescent="0.2">
      <c r="A29849" s="258"/>
      <c r="Z29849" s="258"/>
    </row>
    <row r="29850" spans="1:26" ht="12.75" customHeight="1" x14ac:dyDescent="0.2">
      <c r="A29850" s="258"/>
      <c r="Z29850" s="258"/>
    </row>
    <row r="29851" spans="1:26" ht="12.75" customHeight="1" x14ac:dyDescent="0.2">
      <c r="A29851" s="258"/>
      <c r="Z29851" s="258"/>
    </row>
    <row r="29852" spans="1:26" ht="12.75" customHeight="1" x14ac:dyDescent="0.2">
      <c r="A29852" s="258"/>
      <c r="Z29852" s="258"/>
    </row>
    <row r="29853" spans="1:26" ht="12.75" customHeight="1" x14ac:dyDescent="0.2">
      <c r="A29853" s="258"/>
      <c r="Z29853" s="258"/>
    </row>
    <row r="29854" spans="1:26" ht="12.75" customHeight="1" x14ac:dyDescent="0.2">
      <c r="A29854" s="258"/>
      <c r="Z29854" s="258"/>
    </row>
    <row r="29855" spans="1:26" ht="12.75" customHeight="1" x14ac:dyDescent="0.2">
      <c r="A29855" s="258"/>
      <c r="Z29855" s="258"/>
    </row>
    <row r="29856" spans="1:26" ht="12.75" customHeight="1" x14ac:dyDescent="0.2">
      <c r="A29856" s="258"/>
      <c r="Z29856" s="258"/>
    </row>
    <row r="29857" spans="1:26" ht="12.75" customHeight="1" x14ac:dyDescent="0.2">
      <c r="A29857" s="258"/>
      <c r="Z29857" s="258"/>
    </row>
    <row r="29858" spans="1:26" ht="12.75" customHeight="1" x14ac:dyDescent="0.2">
      <c r="A29858" s="258"/>
      <c r="Z29858" s="258"/>
    </row>
    <row r="29859" spans="1:26" ht="12.75" customHeight="1" x14ac:dyDescent="0.2">
      <c r="A29859" s="258"/>
      <c r="Z29859" s="258"/>
    </row>
    <row r="29860" spans="1:26" ht="12.75" customHeight="1" x14ac:dyDescent="0.2">
      <c r="A29860" s="258"/>
      <c r="Z29860" s="258"/>
    </row>
    <row r="29861" spans="1:26" ht="12.75" customHeight="1" x14ac:dyDescent="0.2">
      <c r="A29861" s="258"/>
      <c r="Z29861" s="258"/>
    </row>
    <row r="29862" spans="1:26" ht="12.75" customHeight="1" x14ac:dyDescent="0.2">
      <c r="A29862" s="258"/>
      <c r="Z29862" s="258"/>
    </row>
    <row r="29863" spans="1:26" ht="12.75" customHeight="1" x14ac:dyDescent="0.2">
      <c r="A29863" s="258"/>
      <c r="Z29863" s="258"/>
    </row>
    <row r="29864" spans="1:26" ht="12.75" customHeight="1" x14ac:dyDescent="0.2">
      <c r="A29864" s="258"/>
      <c r="Z29864" s="258"/>
    </row>
    <row r="29865" spans="1:26" ht="12.75" customHeight="1" x14ac:dyDescent="0.2">
      <c r="A29865" s="258"/>
      <c r="Z29865" s="258"/>
    </row>
    <row r="29866" spans="1:26" ht="12.75" customHeight="1" x14ac:dyDescent="0.2">
      <c r="A29866" s="258"/>
      <c r="Z29866" s="258"/>
    </row>
    <row r="29867" spans="1:26" ht="12.75" customHeight="1" x14ac:dyDescent="0.2">
      <c r="A29867" s="258"/>
      <c r="Z29867" s="258"/>
    </row>
    <row r="29868" spans="1:26" ht="12.75" customHeight="1" x14ac:dyDescent="0.2">
      <c r="A29868" s="258"/>
      <c r="Z29868" s="258"/>
    </row>
    <row r="29869" spans="1:26" ht="12.75" customHeight="1" x14ac:dyDescent="0.2">
      <c r="A29869" s="258"/>
      <c r="Z29869" s="258"/>
    </row>
    <row r="29870" spans="1:26" ht="12.75" customHeight="1" x14ac:dyDescent="0.2">
      <c r="A29870" s="258"/>
      <c r="Z29870" s="258"/>
    </row>
    <row r="29871" spans="1:26" ht="12.75" customHeight="1" x14ac:dyDescent="0.2">
      <c r="A29871" s="258"/>
      <c r="Z29871" s="258"/>
    </row>
    <row r="29872" spans="1:26" ht="12.75" customHeight="1" x14ac:dyDescent="0.2">
      <c r="A29872" s="258"/>
      <c r="Z29872" s="258"/>
    </row>
    <row r="29873" spans="1:26" ht="12.75" customHeight="1" x14ac:dyDescent="0.2">
      <c r="A29873" s="258"/>
      <c r="Z29873" s="258"/>
    </row>
    <row r="29874" spans="1:26" ht="12.75" customHeight="1" x14ac:dyDescent="0.2">
      <c r="A29874" s="258"/>
      <c r="Z29874" s="258"/>
    </row>
    <row r="29875" spans="1:26" ht="12.75" customHeight="1" x14ac:dyDescent="0.2">
      <c r="A29875" s="258"/>
      <c r="Z29875" s="258"/>
    </row>
    <row r="29876" spans="1:26" ht="12.75" customHeight="1" x14ac:dyDescent="0.2">
      <c r="A29876" s="258"/>
      <c r="Z29876" s="258"/>
    </row>
    <row r="29877" spans="1:26" ht="12.75" customHeight="1" x14ac:dyDescent="0.2">
      <c r="A29877" s="258"/>
      <c r="Z29877" s="258"/>
    </row>
    <row r="29878" spans="1:26" ht="12.75" customHeight="1" x14ac:dyDescent="0.2">
      <c r="A29878" s="258"/>
      <c r="Z29878" s="258"/>
    </row>
    <row r="29879" spans="1:26" ht="12.75" customHeight="1" x14ac:dyDescent="0.2">
      <c r="A29879" s="258"/>
      <c r="Z29879" s="258"/>
    </row>
    <row r="29880" spans="1:26" ht="12.75" customHeight="1" x14ac:dyDescent="0.2">
      <c r="A29880" s="258"/>
      <c r="Z29880" s="258"/>
    </row>
    <row r="29881" spans="1:26" ht="12.75" customHeight="1" x14ac:dyDescent="0.2">
      <c r="A29881" s="258"/>
      <c r="Z29881" s="258"/>
    </row>
    <row r="29882" spans="1:26" ht="12.75" customHeight="1" x14ac:dyDescent="0.2">
      <c r="A29882" s="258"/>
      <c r="Z29882" s="258"/>
    </row>
    <row r="29883" spans="1:26" ht="12.75" customHeight="1" x14ac:dyDescent="0.2">
      <c r="A29883" s="258"/>
      <c r="Z29883" s="258"/>
    </row>
    <row r="29884" spans="1:26" ht="12.75" customHeight="1" x14ac:dyDescent="0.2">
      <c r="A29884" s="258"/>
      <c r="Z29884" s="258"/>
    </row>
    <row r="29885" spans="1:26" ht="12.75" customHeight="1" x14ac:dyDescent="0.2">
      <c r="A29885" s="258"/>
      <c r="Z29885" s="258"/>
    </row>
    <row r="29886" spans="1:26" ht="12.75" customHeight="1" x14ac:dyDescent="0.2">
      <c r="A29886" s="258"/>
      <c r="Z29886" s="258"/>
    </row>
    <row r="29887" spans="1:26" ht="12.75" customHeight="1" x14ac:dyDescent="0.2">
      <c r="A29887" s="258"/>
      <c r="Z29887" s="258"/>
    </row>
    <row r="29888" spans="1:26" ht="12.75" customHeight="1" x14ac:dyDescent="0.2">
      <c r="A29888" s="258"/>
      <c r="Z29888" s="258"/>
    </row>
    <row r="29889" spans="1:26" ht="12.75" customHeight="1" x14ac:dyDescent="0.2">
      <c r="A29889" s="258"/>
      <c r="Z29889" s="258"/>
    </row>
    <row r="29890" spans="1:26" ht="12.75" customHeight="1" x14ac:dyDescent="0.2">
      <c r="A29890" s="258"/>
      <c r="Z29890" s="258"/>
    </row>
    <row r="29891" spans="1:26" ht="12.75" customHeight="1" x14ac:dyDescent="0.2">
      <c r="A29891" s="258"/>
      <c r="Z29891" s="258"/>
    </row>
    <row r="29892" spans="1:26" ht="12.75" customHeight="1" x14ac:dyDescent="0.2">
      <c r="A29892" s="258"/>
      <c r="Z29892" s="258"/>
    </row>
    <row r="29893" spans="1:26" ht="12.75" customHeight="1" x14ac:dyDescent="0.2">
      <c r="A29893" s="258"/>
      <c r="Z29893" s="258"/>
    </row>
    <row r="29894" spans="1:26" ht="12.75" customHeight="1" x14ac:dyDescent="0.2">
      <c r="A29894" s="258"/>
      <c r="Z29894" s="258"/>
    </row>
    <row r="29895" spans="1:26" ht="12.75" customHeight="1" x14ac:dyDescent="0.2">
      <c r="A29895" s="258"/>
      <c r="Z29895" s="258"/>
    </row>
    <row r="29896" spans="1:26" ht="12.75" customHeight="1" x14ac:dyDescent="0.2">
      <c r="A29896" s="258"/>
      <c r="Z29896" s="258"/>
    </row>
    <row r="29897" spans="1:26" ht="12.75" customHeight="1" x14ac:dyDescent="0.2">
      <c r="A29897" s="258"/>
      <c r="Z29897" s="258"/>
    </row>
    <row r="29898" spans="1:26" ht="12.75" customHeight="1" x14ac:dyDescent="0.2">
      <c r="A29898" s="258"/>
      <c r="Z29898" s="258"/>
    </row>
    <row r="29899" spans="1:26" ht="12.75" customHeight="1" x14ac:dyDescent="0.2">
      <c r="A29899" s="258"/>
      <c r="Z29899" s="258"/>
    </row>
    <row r="29900" spans="1:26" ht="12.75" customHeight="1" x14ac:dyDescent="0.2">
      <c r="A29900" s="258"/>
      <c r="Z29900" s="258"/>
    </row>
    <row r="29901" spans="1:26" ht="12.75" customHeight="1" x14ac:dyDescent="0.2">
      <c r="A29901" s="258"/>
      <c r="Z29901" s="258"/>
    </row>
    <row r="29902" spans="1:26" ht="12.75" customHeight="1" x14ac:dyDescent="0.2">
      <c r="A29902" s="258"/>
      <c r="Z29902" s="258"/>
    </row>
    <row r="29903" spans="1:26" ht="12.75" customHeight="1" x14ac:dyDescent="0.2">
      <c r="A29903" s="258"/>
      <c r="Z29903" s="258"/>
    </row>
    <row r="29904" spans="1:26" ht="12.75" customHeight="1" x14ac:dyDescent="0.2">
      <c r="A29904" s="258"/>
      <c r="Z29904" s="258"/>
    </row>
    <row r="29905" spans="1:26" ht="12.75" customHeight="1" x14ac:dyDescent="0.2">
      <c r="A29905" s="258"/>
      <c r="Z29905" s="258"/>
    </row>
    <row r="29906" spans="1:26" ht="12.75" customHeight="1" x14ac:dyDescent="0.2">
      <c r="A29906" s="258"/>
      <c r="Z29906" s="258"/>
    </row>
    <row r="29907" spans="1:26" ht="12.75" customHeight="1" x14ac:dyDescent="0.2">
      <c r="A29907" s="258"/>
      <c r="Z29907" s="258"/>
    </row>
    <row r="29908" spans="1:26" ht="12.75" customHeight="1" x14ac:dyDescent="0.2">
      <c r="A29908" s="258"/>
      <c r="Z29908" s="258"/>
    </row>
    <row r="29909" spans="1:26" ht="12.75" customHeight="1" x14ac:dyDescent="0.2">
      <c r="A29909" s="258"/>
      <c r="Z29909" s="258"/>
    </row>
    <row r="29910" spans="1:26" ht="12.75" customHeight="1" x14ac:dyDescent="0.2">
      <c r="A29910" s="258"/>
      <c r="Z29910" s="258"/>
    </row>
    <row r="29911" spans="1:26" ht="12.75" customHeight="1" x14ac:dyDescent="0.2">
      <c r="A29911" s="258"/>
      <c r="Z29911" s="258"/>
    </row>
    <row r="29912" spans="1:26" ht="12.75" customHeight="1" x14ac:dyDescent="0.2">
      <c r="A29912" s="258"/>
      <c r="Z29912" s="258"/>
    </row>
    <row r="29913" spans="1:26" ht="12.75" customHeight="1" x14ac:dyDescent="0.2">
      <c r="A29913" s="258"/>
      <c r="Z29913" s="258"/>
    </row>
    <row r="29914" spans="1:26" ht="12.75" customHeight="1" x14ac:dyDescent="0.2">
      <c r="A29914" s="258"/>
      <c r="Z29914" s="258"/>
    </row>
    <row r="29915" spans="1:26" ht="12.75" customHeight="1" x14ac:dyDescent="0.2">
      <c r="A29915" s="258"/>
      <c r="Z29915" s="258"/>
    </row>
    <row r="29916" spans="1:26" ht="12.75" customHeight="1" x14ac:dyDescent="0.2">
      <c r="A29916" s="258"/>
      <c r="Z29916" s="258"/>
    </row>
    <row r="29917" spans="1:26" ht="12.75" customHeight="1" x14ac:dyDescent="0.2">
      <c r="A29917" s="258"/>
      <c r="Z29917" s="258"/>
    </row>
    <row r="29918" spans="1:26" ht="12.75" customHeight="1" x14ac:dyDescent="0.2">
      <c r="A29918" s="258"/>
      <c r="Z29918" s="258"/>
    </row>
    <row r="29919" spans="1:26" ht="12.75" customHeight="1" x14ac:dyDescent="0.2">
      <c r="A29919" s="258"/>
      <c r="Z29919" s="258"/>
    </row>
    <row r="29920" spans="1:26" ht="12.75" customHeight="1" x14ac:dyDescent="0.2">
      <c r="A29920" s="258"/>
      <c r="Z29920" s="258"/>
    </row>
    <row r="29921" spans="1:26" ht="12.75" customHeight="1" x14ac:dyDescent="0.2">
      <c r="A29921" s="258"/>
      <c r="Z29921" s="258"/>
    </row>
    <row r="29922" spans="1:26" ht="12.75" customHeight="1" x14ac:dyDescent="0.2">
      <c r="A29922" s="258"/>
      <c r="Z29922" s="258"/>
    </row>
    <row r="29923" spans="1:26" ht="12.75" customHeight="1" x14ac:dyDescent="0.2">
      <c r="A29923" s="258"/>
      <c r="Z29923" s="258"/>
    </row>
    <row r="29924" spans="1:26" ht="12.75" customHeight="1" x14ac:dyDescent="0.2">
      <c r="A29924" s="258"/>
      <c r="Z29924" s="258"/>
    </row>
    <row r="29925" spans="1:26" ht="12.75" customHeight="1" x14ac:dyDescent="0.2">
      <c r="A29925" s="258"/>
      <c r="Z29925" s="258"/>
    </row>
    <row r="29926" spans="1:26" ht="12.75" customHeight="1" x14ac:dyDescent="0.2">
      <c r="A29926" s="258"/>
      <c r="Z29926" s="258"/>
    </row>
    <row r="29927" spans="1:26" ht="12.75" customHeight="1" x14ac:dyDescent="0.2">
      <c r="A29927" s="258"/>
      <c r="Z29927" s="258"/>
    </row>
    <row r="29928" spans="1:26" ht="12.75" customHeight="1" x14ac:dyDescent="0.2">
      <c r="A29928" s="258"/>
      <c r="Z29928" s="258"/>
    </row>
    <row r="29929" spans="1:26" ht="12.75" customHeight="1" x14ac:dyDescent="0.2">
      <c r="A29929" s="258"/>
      <c r="Z29929" s="258"/>
    </row>
    <row r="29930" spans="1:26" ht="12.75" customHeight="1" x14ac:dyDescent="0.2">
      <c r="A29930" s="258"/>
      <c r="Z29930" s="258"/>
    </row>
    <row r="29931" spans="1:26" ht="12.75" customHeight="1" x14ac:dyDescent="0.2">
      <c r="A29931" s="258"/>
      <c r="Z29931" s="258"/>
    </row>
    <row r="29932" spans="1:26" ht="12.75" customHeight="1" x14ac:dyDescent="0.2">
      <c r="A29932" s="258"/>
      <c r="Z29932" s="258"/>
    </row>
    <row r="29933" spans="1:26" ht="12.75" customHeight="1" x14ac:dyDescent="0.2">
      <c r="A29933" s="258"/>
      <c r="Z29933" s="258"/>
    </row>
    <row r="29934" spans="1:26" ht="12.75" customHeight="1" x14ac:dyDescent="0.2">
      <c r="A29934" s="258"/>
      <c r="Z29934" s="258"/>
    </row>
    <row r="29935" spans="1:26" ht="12.75" customHeight="1" x14ac:dyDescent="0.2">
      <c r="A29935" s="258"/>
      <c r="Z29935" s="258"/>
    </row>
    <row r="29936" spans="1:26" ht="12.75" customHeight="1" x14ac:dyDescent="0.2">
      <c r="A29936" s="258"/>
      <c r="Z29936" s="258"/>
    </row>
    <row r="29937" spans="1:26" ht="12.75" customHeight="1" x14ac:dyDescent="0.2">
      <c r="A29937" s="258"/>
      <c r="Z29937" s="258"/>
    </row>
    <row r="29938" spans="1:26" ht="12.75" customHeight="1" x14ac:dyDescent="0.2">
      <c r="A29938" s="258"/>
      <c r="Z29938" s="258"/>
    </row>
    <row r="29939" spans="1:26" ht="12.75" customHeight="1" x14ac:dyDescent="0.2">
      <c r="A29939" s="258"/>
      <c r="Z29939" s="258"/>
    </row>
    <row r="29940" spans="1:26" ht="12.75" customHeight="1" x14ac:dyDescent="0.2">
      <c r="A29940" s="258"/>
      <c r="Z29940" s="258"/>
    </row>
    <row r="29941" spans="1:26" ht="12.75" customHeight="1" x14ac:dyDescent="0.2">
      <c r="A29941" s="258"/>
      <c r="Z29941" s="258"/>
    </row>
    <row r="29942" spans="1:26" ht="12.75" customHeight="1" x14ac:dyDescent="0.2">
      <c r="A29942" s="258"/>
      <c r="Z29942" s="258"/>
    </row>
    <row r="29943" spans="1:26" ht="12.75" customHeight="1" x14ac:dyDescent="0.2">
      <c r="A29943" s="258"/>
      <c r="Z29943" s="258"/>
    </row>
    <row r="29944" spans="1:26" ht="12.75" customHeight="1" x14ac:dyDescent="0.2">
      <c r="A29944" s="258"/>
      <c r="Z29944" s="258"/>
    </row>
    <row r="29945" spans="1:26" ht="12.75" customHeight="1" x14ac:dyDescent="0.2">
      <c r="A29945" s="258"/>
      <c r="Z29945" s="258"/>
    </row>
    <row r="29946" spans="1:26" ht="12.75" customHeight="1" x14ac:dyDescent="0.2">
      <c r="A29946" s="258"/>
      <c r="Z29946" s="258"/>
    </row>
    <row r="29947" spans="1:26" ht="12.75" customHeight="1" x14ac:dyDescent="0.2">
      <c r="A29947" s="258"/>
      <c r="Z29947" s="258"/>
    </row>
    <row r="29948" spans="1:26" ht="12.75" customHeight="1" x14ac:dyDescent="0.2">
      <c r="A29948" s="258"/>
      <c r="Z29948" s="258"/>
    </row>
    <row r="29949" spans="1:26" ht="12.75" customHeight="1" x14ac:dyDescent="0.2">
      <c r="A29949" s="258"/>
      <c r="Z29949" s="258"/>
    </row>
    <row r="29950" spans="1:26" ht="12.75" customHeight="1" x14ac:dyDescent="0.2">
      <c r="A29950" s="258"/>
      <c r="Z29950" s="258"/>
    </row>
    <row r="29951" spans="1:26" ht="12.75" customHeight="1" x14ac:dyDescent="0.2">
      <c r="A29951" s="258"/>
      <c r="Z29951" s="258"/>
    </row>
    <row r="29952" spans="1:26" ht="12.75" customHeight="1" x14ac:dyDescent="0.2">
      <c r="A29952" s="258"/>
      <c r="Z29952" s="258"/>
    </row>
    <row r="29953" spans="1:26" ht="12.75" customHeight="1" x14ac:dyDescent="0.2">
      <c r="A29953" s="258"/>
      <c r="Z29953" s="258"/>
    </row>
    <row r="29954" spans="1:26" ht="12.75" customHeight="1" x14ac:dyDescent="0.2">
      <c r="A29954" s="258"/>
      <c r="Z29954" s="258"/>
    </row>
    <row r="29955" spans="1:26" ht="12.75" customHeight="1" x14ac:dyDescent="0.2">
      <c r="A29955" s="258"/>
      <c r="Z29955" s="258"/>
    </row>
    <row r="29956" spans="1:26" ht="12.75" customHeight="1" x14ac:dyDescent="0.2">
      <c r="A29956" s="258"/>
      <c r="Z29956" s="258"/>
    </row>
    <row r="29957" spans="1:26" ht="12.75" customHeight="1" x14ac:dyDescent="0.2">
      <c r="A29957" s="258"/>
      <c r="Z29957" s="258"/>
    </row>
    <row r="29958" spans="1:26" ht="12.75" customHeight="1" x14ac:dyDescent="0.2">
      <c r="A29958" s="258"/>
      <c r="Z29958" s="258"/>
    </row>
    <row r="29959" spans="1:26" ht="12.75" customHeight="1" x14ac:dyDescent="0.2">
      <c r="A29959" s="258"/>
      <c r="Z29959" s="258"/>
    </row>
    <row r="29960" spans="1:26" ht="12.75" customHeight="1" x14ac:dyDescent="0.2">
      <c r="A29960" s="258"/>
      <c r="Z29960" s="258"/>
    </row>
    <row r="29961" spans="1:26" ht="12.75" customHeight="1" x14ac:dyDescent="0.2">
      <c r="A29961" s="258"/>
      <c r="Z29961" s="258"/>
    </row>
    <row r="29962" spans="1:26" ht="12.75" customHeight="1" x14ac:dyDescent="0.2">
      <c r="A29962" s="258"/>
      <c r="Z29962" s="258"/>
    </row>
    <row r="29963" spans="1:26" ht="12.75" customHeight="1" x14ac:dyDescent="0.2">
      <c r="A29963" s="258"/>
      <c r="Z29963" s="258"/>
    </row>
    <row r="29964" spans="1:26" ht="12.75" customHeight="1" x14ac:dyDescent="0.2">
      <c r="A29964" s="258"/>
      <c r="Z29964" s="258"/>
    </row>
    <row r="29965" spans="1:26" ht="12.75" customHeight="1" x14ac:dyDescent="0.2">
      <c r="A29965" s="258"/>
      <c r="Z29965" s="258"/>
    </row>
    <row r="29966" spans="1:26" ht="12.75" customHeight="1" x14ac:dyDescent="0.2">
      <c r="A29966" s="258"/>
      <c r="Z29966" s="258"/>
    </row>
    <row r="29967" spans="1:26" ht="12.75" customHeight="1" x14ac:dyDescent="0.2">
      <c r="A29967" s="258"/>
      <c r="Z29967" s="258"/>
    </row>
    <row r="29968" spans="1:26" ht="12.75" customHeight="1" x14ac:dyDescent="0.2">
      <c r="A29968" s="258"/>
      <c r="Z29968" s="258"/>
    </row>
    <row r="29969" spans="1:26" ht="12.75" customHeight="1" x14ac:dyDescent="0.2">
      <c r="A29969" s="258"/>
      <c r="Z29969" s="258"/>
    </row>
    <row r="29970" spans="1:26" ht="12.75" customHeight="1" x14ac:dyDescent="0.2">
      <c r="A29970" s="258"/>
      <c r="Z29970" s="258"/>
    </row>
    <row r="29971" spans="1:26" ht="12.75" customHeight="1" x14ac:dyDescent="0.2">
      <c r="A29971" s="258"/>
      <c r="Z29971" s="258"/>
    </row>
    <row r="29972" spans="1:26" ht="12.75" customHeight="1" x14ac:dyDescent="0.2">
      <c r="A29972" s="258"/>
      <c r="Z29972" s="258"/>
    </row>
    <row r="29973" spans="1:26" ht="12.75" customHeight="1" x14ac:dyDescent="0.2">
      <c r="A29973" s="258"/>
      <c r="Z29973" s="258"/>
    </row>
    <row r="29974" spans="1:26" ht="12.75" customHeight="1" x14ac:dyDescent="0.2">
      <c r="A29974" s="258"/>
      <c r="Z29974" s="258"/>
    </row>
    <row r="29975" spans="1:26" ht="12.75" customHeight="1" x14ac:dyDescent="0.2">
      <c r="A29975" s="258"/>
      <c r="Z29975" s="258"/>
    </row>
    <row r="29976" spans="1:26" ht="12.75" customHeight="1" x14ac:dyDescent="0.2">
      <c r="A29976" s="258"/>
      <c r="Z29976" s="258"/>
    </row>
    <row r="29977" spans="1:26" ht="12.75" customHeight="1" x14ac:dyDescent="0.2">
      <c r="A29977" s="258"/>
      <c r="Z29977" s="258"/>
    </row>
    <row r="29978" spans="1:26" ht="12.75" customHeight="1" x14ac:dyDescent="0.2">
      <c r="A29978" s="258"/>
      <c r="Z29978" s="258"/>
    </row>
    <row r="29979" spans="1:26" ht="12.75" customHeight="1" x14ac:dyDescent="0.2">
      <c r="A29979" s="258"/>
      <c r="Z29979" s="258"/>
    </row>
    <row r="29980" spans="1:26" ht="12.75" customHeight="1" x14ac:dyDescent="0.2">
      <c r="A29980" s="258"/>
      <c r="Z29980" s="258"/>
    </row>
    <row r="29981" spans="1:26" ht="12.75" customHeight="1" x14ac:dyDescent="0.2">
      <c r="A29981" s="258"/>
      <c r="Z29981" s="258"/>
    </row>
    <row r="29982" spans="1:26" ht="12.75" customHeight="1" x14ac:dyDescent="0.2">
      <c r="A29982" s="258"/>
      <c r="Z29982" s="258"/>
    </row>
    <row r="29983" spans="1:26" ht="12.75" customHeight="1" x14ac:dyDescent="0.2">
      <c r="A29983" s="258"/>
      <c r="Z29983" s="258"/>
    </row>
    <row r="29984" spans="1:26" ht="12.75" customHeight="1" x14ac:dyDescent="0.2">
      <c r="A29984" s="258"/>
      <c r="Z29984" s="258"/>
    </row>
    <row r="29985" spans="1:26" ht="12.75" customHeight="1" x14ac:dyDescent="0.2">
      <c r="A29985" s="258"/>
      <c r="Z29985" s="258"/>
    </row>
    <row r="29986" spans="1:26" ht="12.75" customHeight="1" x14ac:dyDescent="0.2">
      <c r="A29986" s="258"/>
      <c r="Z29986" s="258"/>
    </row>
    <row r="29987" spans="1:26" ht="12.75" customHeight="1" x14ac:dyDescent="0.2">
      <c r="A29987" s="258"/>
      <c r="Z29987" s="258"/>
    </row>
    <row r="29988" spans="1:26" ht="12.75" customHeight="1" x14ac:dyDescent="0.2">
      <c r="A29988" s="258"/>
      <c r="Z29988" s="258"/>
    </row>
    <row r="29989" spans="1:26" ht="12.75" customHeight="1" x14ac:dyDescent="0.2">
      <c r="A29989" s="258"/>
      <c r="Z29989" s="258"/>
    </row>
    <row r="29990" spans="1:26" ht="12.75" customHeight="1" x14ac:dyDescent="0.2">
      <c r="A29990" s="258"/>
      <c r="Z29990" s="258"/>
    </row>
    <row r="29991" spans="1:26" ht="12.75" customHeight="1" x14ac:dyDescent="0.2">
      <c r="A29991" s="258"/>
      <c r="Z29991" s="258"/>
    </row>
    <row r="29992" spans="1:26" ht="12.75" customHeight="1" x14ac:dyDescent="0.2">
      <c r="A29992" s="258"/>
      <c r="Z29992" s="258"/>
    </row>
    <row r="29993" spans="1:26" ht="12.75" customHeight="1" x14ac:dyDescent="0.2">
      <c r="A29993" s="258"/>
      <c r="Z29993" s="258"/>
    </row>
    <row r="29994" spans="1:26" ht="12.75" customHeight="1" x14ac:dyDescent="0.2">
      <c r="A29994" s="258"/>
      <c r="Z29994" s="258"/>
    </row>
    <row r="29995" spans="1:26" ht="12.75" customHeight="1" x14ac:dyDescent="0.2">
      <c r="A29995" s="258"/>
      <c r="Z29995" s="258"/>
    </row>
    <row r="29996" spans="1:26" ht="12.75" customHeight="1" x14ac:dyDescent="0.2">
      <c r="A29996" s="258"/>
      <c r="Z29996" s="258"/>
    </row>
    <row r="29997" spans="1:26" ht="12.75" customHeight="1" x14ac:dyDescent="0.2">
      <c r="A29997" s="258"/>
      <c r="Z29997" s="258"/>
    </row>
    <row r="29998" spans="1:26" ht="12.75" customHeight="1" x14ac:dyDescent="0.2">
      <c r="A29998" s="258"/>
      <c r="Z29998" s="258"/>
    </row>
    <row r="29999" spans="1:26" ht="12.75" customHeight="1" x14ac:dyDescent="0.2">
      <c r="A29999" s="258"/>
      <c r="Z29999" s="258"/>
    </row>
    <row r="30000" spans="1:26" ht="12.75" customHeight="1" x14ac:dyDescent="0.2">
      <c r="A30000" s="258"/>
      <c r="Z30000" s="258"/>
    </row>
    <row r="30001" spans="1:26" ht="12.75" customHeight="1" x14ac:dyDescent="0.2">
      <c r="A30001" s="258"/>
      <c r="Z30001" s="258"/>
    </row>
    <row r="30002" spans="1:26" ht="12.75" customHeight="1" x14ac:dyDescent="0.2">
      <c r="A30002" s="258"/>
      <c r="Z30002" s="258"/>
    </row>
    <row r="30003" spans="1:26" ht="12.75" customHeight="1" x14ac:dyDescent="0.2">
      <c r="A30003" s="258"/>
      <c r="Z30003" s="258"/>
    </row>
    <row r="30004" spans="1:26" ht="12.75" customHeight="1" x14ac:dyDescent="0.2">
      <c r="A30004" s="258"/>
      <c r="Z30004" s="258"/>
    </row>
    <row r="30005" spans="1:26" ht="12.75" customHeight="1" x14ac:dyDescent="0.2">
      <c r="A30005" s="258"/>
      <c r="Z30005" s="258"/>
    </row>
    <row r="30006" spans="1:26" ht="12.75" customHeight="1" x14ac:dyDescent="0.2">
      <c r="A30006" s="258"/>
      <c r="Z30006" s="258"/>
    </row>
    <row r="30007" spans="1:26" ht="12.75" customHeight="1" x14ac:dyDescent="0.2">
      <c r="A30007" s="258"/>
      <c r="Z30007" s="258"/>
    </row>
    <row r="30008" spans="1:26" ht="12.75" customHeight="1" x14ac:dyDescent="0.2">
      <c r="A30008" s="258"/>
      <c r="Z30008" s="258"/>
    </row>
    <row r="30009" spans="1:26" ht="12.75" customHeight="1" x14ac:dyDescent="0.2">
      <c r="A30009" s="258"/>
      <c r="Z30009" s="258"/>
    </row>
    <row r="30010" spans="1:26" ht="12.75" customHeight="1" x14ac:dyDescent="0.2">
      <c r="A30010" s="258"/>
      <c r="Z30010" s="258"/>
    </row>
    <row r="30011" spans="1:26" ht="12.75" customHeight="1" x14ac:dyDescent="0.2">
      <c r="A30011" s="258"/>
      <c r="Z30011" s="258"/>
    </row>
    <row r="30012" spans="1:26" ht="12.75" customHeight="1" x14ac:dyDescent="0.2">
      <c r="A30012" s="258"/>
      <c r="Z30012" s="258"/>
    </row>
    <row r="30013" spans="1:26" ht="12.75" customHeight="1" x14ac:dyDescent="0.2">
      <c r="A30013" s="258"/>
      <c r="Z30013" s="258"/>
    </row>
    <row r="30014" spans="1:26" ht="12.75" customHeight="1" x14ac:dyDescent="0.2">
      <c r="A30014" s="258"/>
      <c r="Z30014" s="258"/>
    </row>
    <row r="30015" spans="1:26" ht="12.75" customHeight="1" x14ac:dyDescent="0.2">
      <c r="A30015" s="258"/>
      <c r="Z30015" s="258"/>
    </row>
    <row r="30016" spans="1:26" ht="12.75" customHeight="1" x14ac:dyDescent="0.2">
      <c r="A30016" s="258"/>
      <c r="Z30016" s="258"/>
    </row>
    <row r="30017" spans="1:26" ht="12.75" customHeight="1" x14ac:dyDescent="0.2">
      <c r="A30017" s="258"/>
      <c r="Z30017" s="258"/>
    </row>
    <row r="30018" spans="1:26" ht="12.75" customHeight="1" x14ac:dyDescent="0.2">
      <c r="A30018" s="258"/>
      <c r="Z30018" s="258"/>
    </row>
    <row r="30019" spans="1:26" ht="12.75" customHeight="1" x14ac:dyDescent="0.2">
      <c r="A30019" s="258"/>
      <c r="Z30019" s="258"/>
    </row>
    <row r="30020" spans="1:26" ht="12.75" customHeight="1" x14ac:dyDescent="0.2">
      <c r="A30020" s="258"/>
      <c r="Z30020" s="258"/>
    </row>
    <row r="30021" spans="1:26" ht="12.75" customHeight="1" x14ac:dyDescent="0.2">
      <c r="A30021" s="258"/>
      <c r="Z30021" s="258"/>
    </row>
    <row r="30022" spans="1:26" ht="12.75" customHeight="1" x14ac:dyDescent="0.2">
      <c r="A30022" s="258"/>
      <c r="Z30022" s="258"/>
    </row>
    <row r="30023" spans="1:26" ht="12.75" customHeight="1" x14ac:dyDescent="0.2">
      <c r="A30023" s="258"/>
      <c r="Z30023" s="258"/>
    </row>
    <row r="30024" spans="1:26" ht="12.75" customHeight="1" x14ac:dyDescent="0.2">
      <c r="A30024" s="258"/>
      <c r="Z30024" s="258"/>
    </row>
    <row r="30025" spans="1:26" ht="12.75" customHeight="1" x14ac:dyDescent="0.2">
      <c r="A30025" s="258"/>
      <c r="Z30025" s="258"/>
    </row>
    <row r="30026" spans="1:26" ht="12.75" customHeight="1" x14ac:dyDescent="0.2">
      <c r="A30026" s="258"/>
      <c r="Z30026" s="258"/>
    </row>
    <row r="30027" spans="1:26" ht="12.75" customHeight="1" x14ac:dyDescent="0.2">
      <c r="A30027" s="258"/>
      <c r="Z30027" s="258"/>
    </row>
    <row r="30028" spans="1:26" ht="12.75" customHeight="1" x14ac:dyDescent="0.2">
      <c r="A30028" s="258"/>
      <c r="Z30028" s="258"/>
    </row>
    <row r="30029" spans="1:26" ht="12.75" customHeight="1" x14ac:dyDescent="0.2">
      <c r="A30029" s="258"/>
      <c r="Z30029" s="258"/>
    </row>
    <row r="30030" spans="1:26" ht="12.75" customHeight="1" x14ac:dyDescent="0.2">
      <c r="A30030" s="258"/>
      <c r="Z30030" s="258"/>
    </row>
    <row r="30031" spans="1:26" ht="12.75" customHeight="1" x14ac:dyDescent="0.2">
      <c r="A30031" s="258"/>
      <c r="Z30031" s="258"/>
    </row>
    <row r="30032" spans="1:26" ht="12.75" customHeight="1" x14ac:dyDescent="0.2">
      <c r="A30032" s="258"/>
      <c r="Z30032" s="258"/>
    </row>
    <row r="30033" spans="1:26" ht="12.75" customHeight="1" x14ac:dyDescent="0.2">
      <c r="A30033" s="258"/>
      <c r="Z30033" s="258"/>
    </row>
    <row r="30034" spans="1:26" ht="12.75" customHeight="1" x14ac:dyDescent="0.2">
      <c r="A30034" s="258"/>
      <c r="Z30034" s="258"/>
    </row>
    <row r="30035" spans="1:26" ht="12.75" customHeight="1" x14ac:dyDescent="0.2">
      <c r="A30035" s="258"/>
      <c r="Z30035" s="258"/>
    </row>
    <row r="30036" spans="1:26" ht="12.75" customHeight="1" x14ac:dyDescent="0.2">
      <c r="A30036" s="258"/>
      <c r="Z30036" s="258"/>
    </row>
    <row r="30037" spans="1:26" ht="12.75" customHeight="1" x14ac:dyDescent="0.2">
      <c r="A30037" s="258"/>
      <c r="Z30037" s="258"/>
    </row>
    <row r="30038" spans="1:26" ht="12.75" customHeight="1" x14ac:dyDescent="0.2">
      <c r="A30038" s="258"/>
      <c r="Z30038" s="258"/>
    </row>
    <row r="30039" spans="1:26" ht="12.75" customHeight="1" x14ac:dyDescent="0.2">
      <c r="A30039" s="258"/>
      <c r="Z30039" s="258"/>
    </row>
    <row r="30040" spans="1:26" ht="12.75" customHeight="1" x14ac:dyDescent="0.2">
      <c r="A30040" s="258"/>
      <c r="Z30040" s="258"/>
    </row>
    <row r="30041" spans="1:26" ht="12.75" customHeight="1" x14ac:dyDescent="0.2">
      <c r="A30041" s="258"/>
      <c r="Z30041" s="258"/>
    </row>
    <row r="30042" spans="1:26" ht="12.75" customHeight="1" x14ac:dyDescent="0.2">
      <c r="A30042" s="258"/>
      <c r="Z30042" s="258"/>
    </row>
    <row r="30043" spans="1:26" ht="12.75" customHeight="1" x14ac:dyDescent="0.2">
      <c r="A30043" s="258"/>
      <c r="Z30043" s="258"/>
    </row>
    <row r="30044" spans="1:26" ht="12.75" customHeight="1" x14ac:dyDescent="0.2">
      <c r="A30044" s="258"/>
      <c r="Z30044" s="258"/>
    </row>
    <row r="30045" spans="1:26" ht="12.75" customHeight="1" x14ac:dyDescent="0.2">
      <c r="A30045" s="258"/>
      <c r="Z30045" s="258"/>
    </row>
    <row r="30046" spans="1:26" ht="12.75" customHeight="1" x14ac:dyDescent="0.2">
      <c r="A30046" s="258"/>
      <c r="Z30046" s="258"/>
    </row>
    <row r="30047" spans="1:26" ht="12.75" customHeight="1" x14ac:dyDescent="0.2">
      <c r="A30047" s="258"/>
      <c r="Z30047" s="258"/>
    </row>
    <row r="30048" spans="1:26" ht="12.75" customHeight="1" x14ac:dyDescent="0.2">
      <c r="A30048" s="258"/>
      <c r="Z30048" s="258"/>
    </row>
    <row r="30049" spans="1:26" ht="12.75" customHeight="1" x14ac:dyDescent="0.2">
      <c r="A30049" s="258"/>
      <c r="Z30049" s="258"/>
    </row>
    <row r="30050" spans="1:26" ht="12.75" customHeight="1" x14ac:dyDescent="0.2">
      <c r="A30050" s="258"/>
      <c r="Z30050" s="258"/>
    </row>
    <row r="30051" spans="1:26" ht="12.75" customHeight="1" x14ac:dyDescent="0.2">
      <c r="A30051" s="258"/>
      <c r="Z30051" s="258"/>
    </row>
    <row r="30052" spans="1:26" ht="12.75" customHeight="1" x14ac:dyDescent="0.2">
      <c r="A30052" s="258"/>
      <c r="Z30052" s="258"/>
    </row>
    <row r="30053" spans="1:26" ht="12.75" customHeight="1" x14ac:dyDescent="0.2">
      <c r="A30053" s="258"/>
      <c r="Z30053" s="258"/>
    </row>
    <row r="30054" spans="1:26" ht="12.75" customHeight="1" x14ac:dyDescent="0.2">
      <c r="A30054" s="258"/>
      <c r="Z30054" s="258"/>
    </row>
    <row r="30055" spans="1:26" ht="12.75" customHeight="1" x14ac:dyDescent="0.2">
      <c r="A30055" s="258"/>
      <c r="Z30055" s="258"/>
    </row>
    <row r="30056" spans="1:26" ht="12.75" customHeight="1" x14ac:dyDescent="0.2">
      <c r="A30056" s="258"/>
      <c r="Z30056" s="258"/>
    </row>
    <row r="30057" spans="1:26" ht="12.75" customHeight="1" x14ac:dyDescent="0.2">
      <c r="A30057" s="258"/>
      <c r="Z30057" s="258"/>
    </row>
    <row r="30058" spans="1:26" ht="12.75" customHeight="1" x14ac:dyDescent="0.2">
      <c r="A30058" s="258"/>
      <c r="Z30058" s="258"/>
    </row>
    <row r="30059" spans="1:26" ht="12.75" customHeight="1" x14ac:dyDescent="0.2">
      <c r="A30059" s="258"/>
      <c r="Z30059" s="258"/>
    </row>
    <row r="30060" spans="1:26" ht="12.75" customHeight="1" x14ac:dyDescent="0.2">
      <c r="A30060" s="258"/>
      <c r="Z30060" s="258"/>
    </row>
    <row r="30061" spans="1:26" ht="12.75" customHeight="1" x14ac:dyDescent="0.2">
      <c r="A30061" s="258"/>
      <c r="Z30061" s="258"/>
    </row>
    <row r="30062" spans="1:26" ht="12.75" customHeight="1" x14ac:dyDescent="0.2">
      <c r="A30062" s="258"/>
      <c r="Z30062" s="258"/>
    </row>
    <row r="30063" spans="1:26" ht="12.75" customHeight="1" x14ac:dyDescent="0.2">
      <c r="A30063" s="258"/>
      <c r="Z30063" s="258"/>
    </row>
    <row r="30064" spans="1:26" ht="12.75" customHeight="1" x14ac:dyDescent="0.2">
      <c r="A30064" s="258"/>
      <c r="Z30064" s="258"/>
    </row>
    <row r="30065" spans="1:26" ht="12.75" customHeight="1" x14ac:dyDescent="0.2">
      <c r="A30065" s="258"/>
      <c r="Z30065" s="258"/>
    </row>
    <row r="30066" spans="1:26" ht="12.75" customHeight="1" x14ac:dyDescent="0.2">
      <c r="A30066" s="258"/>
      <c r="Z30066" s="258"/>
    </row>
    <row r="30067" spans="1:26" ht="12.75" customHeight="1" x14ac:dyDescent="0.2">
      <c r="A30067" s="258"/>
      <c r="Z30067" s="258"/>
    </row>
    <row r="30068" spans="1:26" ht="12.75" customHeight="1" x14ac:dyDescent="0.2">
      <c r="A30068" s="258"/>
      <c r="Z30068" s="258"/>
    </row>
    <row r="30069" spans="1:26" ht="12.75" customHeight="1" x14ac:dyDescent="0.2">
      <c r="A30069" s="258"/>
      <c r="Z30069" s="258"/>
    </row>
    <row r="30070" spans="1:26" ht="12.75" customHeight="1" x14ac:dyDescent="0.2">
      <c r="A30070" s="258"/>
      <c r="Z30070" s="258"/>
    </row>
    <row r="30071" spans="1:26" ht="12.75" customHeight="1" x14ac:dyDescent="0.2">
      <c r="A30071" s="258"/>
      <c r="Z30071" s="258"/>
    </row>
    <row r="30072" spans="1:26" ht="12.75" customHeight="1" x14ac:dyDescent="0.2">
      <c r="A30072" s="258"/>
      <c r="Z30072" s="258"/>
    </row>
    <row r="30073" spans="1:26" ht="12.75" customHeight="1" x14ac:dyDescent="0.2">
      <c r="A30073" s="258"/>
      <c r="Z30073" s="258"/>
    </row>
    <row r="30074" spans="1:26" ht="12.75" customHeight="1" x14ac:dyDescent="0.2">
      <c r="A30074" s="258"/>
      <c r="Z30074" s="258"/>
    </row>
    <row r="30075" spans="1:26" ht="12.75" customHeight="1" x14ac:dyDescent="0.2">
      <c r="A30075" s="258"/>
      <c r="Z30075" s="258"/>
    </row>
    <row r="30076" spans="1:26" ht="12.75" customHeight="1" x14ac:dyDescent="0.2">
      <c r="A30076" s="258"/>
      <c r="Z30076" s="258"/>
    </row>
    <row r="30077" spans="1:26" ht="12.75" customHeight="1" x14ac:dyDescent="0.2">
      <c r="A30077" s="258"/>
      <c r="Z30077" s="258"/>
    </row>
    <row r="30078" spans="1:26" ht="12.75" customHeight="1" x14ac:dyDescent="0.2">
      <c r="A30078" s="258"/>
      <c r="Z30078" s="258"/>
    </row>
    <row r="30079" spans="1:26" ht="12.75" customHeight="1" x14ac:dyDescent="0.2">
      <c r="A30079" s="258"/>
      <c r="Z30079" s="258"/>
    </row>
    <row r="30080" spans="1:26" ht="12.75" customHeight="1" x14ac:dyDescent="0.2">
      <c r="A30080" s="258"/>
      <c r="Z30080" s="258"/>
    </row>
    <row r="30081" spans="1:26" ht="12.75" customHeight="1" x14ac:dyDescent="0.2">
      <c r="A30081" s="258"/>
      <c r="Z30081" s="258"/>
    </row>
    <row r="30082" spans="1:26" ht="12.75" customHeight="1" x14ac:dyDescent="0.2">
      <c r="A30082" s="258"/>
      <c r="Z30082" s="258"/>
    </row>
    <row r="30083" spans="1:26" ht="12.75" customHeight="1" x14ac:dyDescent="0.2">
      <c r="A30083" s="258"/>
      <c r="Z30083" s="258"/>
    </row>
    <row r="30084" spans="1:26" ht="12.75" customHeight="1" x14ac:dyDescent="0.2">
      <c r="A30084" s="258"/>
      <c r="Z30084" s="258"/>
    </row>
    <row r="30085" spans="1:26" ht="12.75" customHeight="1" x14ac:dyDescent="0.2">
      <c r="A30085" s="258"/>
      <c r="Z30085" s="258"/>
    </row>
    <row r="30086" spans="1:26" ht="12.75" customHeight="1" x14ac:dyDescent="0.2">
      <c r="A30086" s="258"/>
      <c r="Z30086" s="258"/>
    </row>
    <row r="30087" spans="1:26" ht="12.75" customHeight="1" x14ac:dyDescent="0.2">
      <c r="A30087" s="258"/>
      <c r="Z30087" s="258"/>
    </row>
    <row r="30088" spans="1:26" ht="12.75" customHeight="1" x14ac:dyDescent="0.2">
      <c r="A30088" s="258"/>
      <c r="Z30088" s="258"/>
    </row>
    <row r="30089" spans="1:26" ht="12.75" customHeight="1" x14ac:dyDescent="0.2">
      <c r="A30089" s="258"/>
      <c r="Z30089" s="258"/>
    </row>
    <row r="30090" spans="1:26" ht="12.75" customHeight="1" x14ac:dyDescent="0.2">
      <c r="A30090" s="258"/>
      <c r="Z30090" s="258"/>
    </row>
    <row r="30091" spans="1:26" ht="12.75" customHeight="1" x14ac:dyDescent="0.2">
      <c r="A30091" s="258"/>
      <c r="Z30091" s="258"/>
    </row>
    <row r="30092" spans="1:26" ht="12.75" customHeight="1" x14ac:dyDescent="0.2">
      <c r="A30092" s="258"/>
      <c r="Z30092" s="258"/>
    </row>
    <row r="30093" spans="1:26" ht="12.75" customHeight="1" x14ac:dyDescent="0.2">
      <c r="A30093" s="258"/>
      <c r="Z30093" s="258"/>
    </row>
    <row r="30094" spans="1:26" ht="12.75" customHeight="1" x14ac:dyDescent="0.2">
      <c r="A30094" s="258"/>
      <c r="Z30094" s="258"/>
    </row>
    <row r="30095" spans="1:26" ht="12.75" customHeight="1" x14ac:dyDescent="0.2">
      <c r="A30095" s="258"/>
      <c r="Z30095" s="258"/>
    </row>
    <row r="30096" spans="1:26" ht="12.75" customHeight="1" x14ac:dyDescent="0.2">
      <c r="A30096" s="258"/>
      <c r="Z30096" s="258"/>
    </row>
    <row r="30097" spans="1:26" ht="12.75" customHeight="1" x14ac:dyDescent="0.2">
      <c r="A30097" s="258"/>
      <c r="Z30097" s="258"/>
    </row>
    <row r="30098" spans="1:26" ht="12.75" customHeight="1" x14ac:dyDescent="0.2">
      <c r="A30098" s="258"/>
      <c r="Z30098" s="258"/>
    </row>
    <row r="30099" spans="1:26" ht="12.75" customHeight="1" x14ac:dyDescent="0.2">
      <c r="A30099" s="258"/>
      <c r="Z30099" s="258"/>
    </row>
    <row r="30100" spans="1:26" ht="12.75" customHeight="1" x14ac:dyDescent="0.2">
      <c r="A30100" s="258"/>
      <c r="Z30100" s="258"/>
    </row>
    <row r="30101" spans="1:26" ht="12.75" customHeight="1" x14ac:dyDescent="0.2">
      <c r="A30101" s="258"/>
      <c r="Z30101" s="258"/>
    </row>
    <row r="30102" spans="1:26" ht="12.75" customHeight="1" x14ac:dyDescent="0.2">
      <c r="A30102" s="258"/>
      <c r="Z30102" s="258"/>
    </row>
    <row r="30103" spans="1:26" ht="12.75" customHeight="1" x14ac:dyDescent="0.2">
      <c r="A30103" s="258"/>
      <c r="Z30103" s="258"/>
    </row>
    <row r="30104" spans="1:26" ht="12.75" customHeight="1" x14ac:dyDescent="0.2">
      <c r="A30104" s="258"/>
      <c r="Z30104" s="258"/>
    </row>
    <row r="30105" spans="1:26" ht="12.75" customHeight="1" x14ac:dyDescent="0.2">
      <c r="A30105" s="258"/>
      <c r="Z30105" s="258"/>
    </row>
    <row r="30106" spans="1:26" ht="12.75" customHeight="1" x14ac:dyDescent="0.2">
      <c r="A30106" s="258"/>
      <c r="Z30106" s="258"/>
    </row>
    <row r="30107" spans="1:26" ht="12.75" customHeight="1" x14ac:dyDescent="0.2">
      <c r="A30107" s="258"/>
      <c r="Z30107" s="258"/>
    </row>
    <row r="30108" spans="1:26" ht="12.75" customHeight="1" x14ac:dyDescent="0.2">
      <c r="A30108" s="258"/>
      <c r="Z30108" s="258"/>
    </row>
    <row r="30109" spans="1:26" ht="12.75" customHeight="1" x14ac:dyDescent="0.2">
      <c r="A30109" s="258"/>
      <c r="Z30109" s="258"/>
    </row>
    <row r="30110" spans="1:26" ht="12.75" customHeight="1" x14ac:dyDescent="0.2">
      <c r="A30110" s="258"/>
      <c r="Z30110" s="258"/>
    </row>
    <row r="30111" spans="1:26" ht="12.75" customHeight="1" x14ac:dyDescent="0.2">
      <c r="A30111" s="258"/>
      <c r="Z30111" s="258"/>
    </row>
    <row r="30112" spans="1:26" ht="12.75" customHeight="1" x14ac:dyDescent="0.2">
      <c r="A30112" s="258"/>
      <c r="Z30112" s="258"/>
    </row>
    <row r="30113" spans="1:26" ht="12.75" customHeight="1" x14ac:dyDescent="0.2">
      <c r="A30113" s="258"/>
      <c r="Z30113" s="258"/>
    </row>
    <row r="30114" spans="1:26" ht="12.75" customHeight="1" x14ac:dyDescent="0.2">
      <c r="A30114" s="258"/>
      <c r="Z30114" s="258"/>
    </row>
    <row r="30115" spans="1:26" ht="12.75" customHeight="1" x14ac:dyDescent="0.2">
      <c r="A30115" s="258"/>
      <c r="Z30115" s="258"/>
    </row>
    <row r="30116" spans="1:26" ht="12.75" customHeight="1" x14ac:dyDescent="0.2">
      <c r="A30116" s="258"/>
      <c r="Z30116" s="258"/>
    </row>
    <row r="30117" spans="1:26" ht="12.75" customHeight="1" x14ac:dyDescent="0.2">
      <c r="A30117" s="258"/>
      <c r="Z30117" s="258"/>
    </row>
    <row r="30118" spans="1:26" ht="12.75" customHeight="1" x14ac:dyDescent="0.2">
      <c r="A30118" s="258"/>
      <c r="Z30118" s="258"/>
    </row>
    <row r="30119" spans="1:26" ht="12.75" customHeight="1" x14ac:dyDescent="0.2">
      <c r="A30119" s="258"/>
      <c r="Z30119" s="258"/>
    </row>
    <row r="30120" spans="1:26" ht="12.75" customHeight="1" x14ac:dyDescent="0.2">
      <c r="A30120" s="258"/>
      <c r="Z30120" s="258"/>
    </row>
    <row r="30121" spans="1:26" ht="12.75" customHeight="1" x14ac:dyDescent="0.2">
      <c r="A30121" s="258"/>
      <c r="Z30121" s="258"/>
    </row>
    <row r="30122" spans="1:26" ht="12.75" customHeight="1" x14ac:dyDescent="0.2">
      <c r="A30122" s="258"/>
      <c r="Z30122" s="258"/>
    </row>
    <row r="30123" spans="1:26" ht="12.75" customHeight="1" x14ac:dyDescent="0.2">
      <c r="A30123" s="258"/>
      <c r="Z30123" s="258"/>
    </row>
    <row r="30124" spans="1:26" ht="12.75" customHeight="1" x14ac:dyDescent="0.2">
      <c r="A30124" s="258"/>
      <c r="Z30124" s="258"/>
    </row>
    <row r="30125" spans="1:26" ht="12.75" customHeight="1" x14ac:dyDescent="0.2">
      <c r="A30125" s="258"/>
      <c r="Z30125" s="258"/>
    </row>
    <row r="30126" spans="1:26" ht="12.75" customHeight="1" x14ac:dyDescent="0.2">
      <c r="A30126" s="258"/>
      <c r="Z30126" s="258"/>
    </row>
    <row r="30127" spans="1:26" ht="12.75" customHeight="1" x14ac:dyDescent="0.2">
      <c r="A30127" s="258"/>
      <c r="Z30127" s="258"/>
    </row>
    <row r="30128" spans="1:26" ht="12.75" customHeight="1" x14ac:dyDescent="0.2">
      <c r="A30128" s="258"/>
      <c r="Z30128" s="258"/>
    </row>
    <row r="30129" spans="1:26" ht="12.75" customHeight="1" x14ac:dyDescent="0.2">
      <c r="A30129" s="258"/>
      <c r="Z30129" s="258"/>
    </row>
    <row r="30130" spans="1:26" ht="12.75" customHeight="1" x14ac:dyDescent="0.2">
      <c r="A30130" s="258"/>
      <c r="Z30130" s="258"/>
    </row>
    <row r="30131" spans="1:26" ht="12.75" customHeight="1" x14ac:dyDescent="0.2">
      <c r="A30131" s="258"/>
      <c r="Z30131" s="258"/>
    </row>
    <row r="30132" spans="1:26" ht="12.75" customHeight="1" x14ac:dyDescent="0.2">
      <c r="A30132" s="258"/>
      <c r="Z30132" s="258"/>
    </row>
    <row r="30133" spans="1:26" ht="12.75" customHeight="1" x14ac:dyDescent="0.2">
      <c r="A30133" s="258"/>
      <c r="Z30133" s="258"/>
    </row>
    <row r="30134" spans="1:26" ht="12.75" customHeight="1" x14ac:dyDescent="0.2">
      <c r="A30134" s="258"/>
      <c r="Z30134" s="258"/>
    </row>
    <row r="30135" spans="1:26" ht="12.75" customHeight="1" x14ac:dyDescent="0.2">
      <c r="A30135" s="258"/>
      <c r="Z30135" s="258"/>
    </row>
    <row r="30136" spans="1:26" ht="12.75" customHeight="1" x14ac:dyDescent="0.2">
      <c r="A30136" s="258"/>
      <c r="Z30136" s="258"/>
    </row>
    <row r="30137" spans="1:26" ht="12.75" customHeight="1" x14ac:dyDescent="0.2">
      <c r="A30137" s="258"/>
      <c r="Z30137" s="258"/>
    </row>
    <row r="30138" spans="1:26" ht="12.75" customHeight="1" x14ac:dyDescent="0.2">
      <c r="A30138" s="258"/>
      <c r="Z30138" s="258"/>
    </row>
    <row r="30139" spans="1:26" ht="12.75" customHeight="1" x14ac:dyDescent="0.2">
      <c r="A30139" s="258"/>
      <c r="Z30139" s="258"/>
    </row>
    <row r="30140" spans="1:26" ht="12.75" customHeight="1" x14ac:dyDescent="0.2">
      <c r="A30140" s="258"/>
      <c r="Z30140" s="258"/>
    </row>
    <row r="30141" spans="1:26" ht="12.75" customHeight="1" x14ac:dyDescent="0.2">
      <c r="A30141" s="258"/>
      <c r="Z30141" s="258"/>
    </row>
    <row r="30142" spans="1:26" ht="12.75" customHeight="1" x14ac:dyDescent="0.2">
      <c r="A30142" s="258"/>
      <c r="Z30142" s="258"/>
    </row>
    <row r="30143" spans="1:26" ht="12.75" customHeight="1" x14ac:dyDescent="0.2">
      <c r="A30143" s="258"/>
      <c r="Z30143" s="258"/>
    </row>
    <row r="30144" spans="1:26" ht="12.75" customHeight="1" x14ac:dyDescent="0.2">
      <c r="A30144" s="258"/>
      <c r="Z30144" s="258"/>
    </row>
    <row r="30145" spans="1:26" ht="12.75" customHeight="1" x14ac:dyDescent="0.2">
      <c r="A30145" s="258"/>
      <c r="Z30145" s="258"/>
    </row>
    <row r="30146" spans="1:26" ht="12.75" customHeight="1" x14ac:dyDescent="0.2">
      <c r="A30146" s="258"/>
      <c r="Z30146" s="258"/>
    </row>
    <row r="30147" spans="1:26" ht="12.75" customHeight="1" x14ac:dyDescent="0.2">
      <c r="A30147" s="258"/>
      <c r="Z30147" s="258"/>
    </row>
    <row r="30148" spans="1:26" ht="12.75" customHeight="1" x14ac:dyDescent="0.2">
      <c r="A30148" s="258"/>
      <c r="Z30148" s="258"/>
    </row>
    <row r="30149" spans="1:26" ht="12.75" customHeight="1" x14ac:dyDescent="0.2">
      <c r="A30149" s="258"/>
      <c r="Z30149" s="258"/>
    </row>
    <row r="30150" spans="1:26" ht="12.75" customHeight="1" x14ac:dyDescent="0.2">
      <c r="A30150" s="258"/>
      <c r="Z30150" s="258"/>
    </row>
    <row r="30151" spans="1:26" ht="12.75" customHeight="1" x14ac:dyDescent="0.2">
      <c r="A30151" s="258"/>
      <c r="Z30151" s="258"/>
    </row>
    <row r="30152" spans="1:26" ht="12.75" customHeight="1" x14ac:dyDescent="0.2">
      <c r="A30152" s="258"/>
      <c r="Z30152" s="258"/>
    </row>
    <row r="30153" spans="1:26" ht="12.75" customHeight="1" x14ac:dyDescent="0.2">
      <c r="A30153" s="258"/>
      <c r="Z30153" s="258"/>
    </row>
    <row r="30154" spans="1:26" ht="12.75" customHeight="1" x14ac:dyDescent="0.2">
      <c r="A30154" s="258"/>
      <c r="Z30154" s="258"/>
    </row>
    <row r="30155" spans="1:26" ht="12.75" customHeight="1" x14ac:dyDescent="0.2">
      <c r="A30155" s="258"/>
      <c r="Z30155" s="258"/>
    </row>
    <row r="30156" spans="1:26" ht="12.75" customHeight="1" x14ac:dyDescent="0.2">
      <c r="A30156" s="258"/>
      <c r="Z30156" s="258"/>
    </row>
    <row r="30157" spans="1:26" ht="12.75" customHeight="1" x14ac:dyDescent="0.2">
      <c r="A30157" s="258"/>
      <c r="Z30157" s="258"/>
    </row>
    <row r="30158" spans="1:26" ht="12.75" customHeight="1" x14ac:dyDescent="0.2">
      <c r="A30158" s="258"/>
      <c r="Z30158" s="258"/>
    </row>
    <row r="30159" spans="1:26" ht="12.75" customHeight="1" x14ac:dyDescent="0.2">
      <c r="A30159" s="258"/>
      <c r="Z30159" s="258"/>
    </row>
    <row r="30160" spans="1:26" ht="12.75" customHeight="1" x14ac:dyDescent="0.2">
      <c r="A30160" s="258"/>
      <c r="Z30160" s="258"/>
    </row>
    <row r="30161" spans="1:26" ht="12.75" customHeight="1" x14ac:dyDescent="0.2">
      <c r="A30161" s="258"/>
      <c r="Z30161" s="258"/>
    </row>
    <row r="30162" spans="1:26" ht="12.75" customHeight="1" x14ac:dyDescent="0.2">
      <c r="A30162" s="258"/>
      <c r="Z30162" s="258"/>
    </row>
    <row r="30163" spans="1:26" ht="12.75" customHeight="1" x14ac:dyDescent="0.2">
      <c r="A30163" s="258"/>
      <c r="Z30163" s="258"/>
    </row>
    <row r="30164" spans="1:26" ht="12.75" customHeight="1" x14ac:dyDescent="0.2">
      <c r="A30164" s="258"/>
      <c r="Z30164" s="258"/>
    </row>
    <row r="30165" spans="1:26" ht="12.75" customHeight="1" x14ac:dyDescent="0.2">
      <c r="A30165" s="258"/>
      <c r="Z30165" s="258"/>
    </row>
    <row r="30166" spans="1:26" ht="12.75" customHeight="1" x14ac:dyDescent="0.2">
      <c r="A30166" s="258"/>
      <c r="Z30166" s="258"/>
    </row>
    <row r="30167" spans="1:26" ht="12.75" customHeight="1" x14ac:dyDescent="0.2">
      <c r="A30167" s="258"/>
      <c r="Z30167" s="258"/>
    </row>
    <row r="30168" spans="1:26" ht="12.75" customHeight="1" x14ac:dyDescent="0.2">
      <c r="A30168" s="258"/>
      <c r="Z30168" s="258"/>
    </row>
    <row r="30169" spans="1:26" ht="12.75" customHeight="1" x14ac:dyDescent="0.2">
      <c r="A30169" s="258"/>
      <c r="Z30169" s="258"/>
    </row>
    <row r="30170" spans="1:26" ht="12.75" customHeight="1" x14ac:dyDescent="0.2">
      <c r="A30170" s="258"/>
      <c r="Z30170" s="258"/>
    </row>
    <row r="30171" spans="1:26" ht="12.75" customHeight="1" x14ac:dyDescent="0.2">
      <c r="A30171" s="258"/>
      <c r="Z30171" s="258"/>
    </row>
    <row r="30172" spans="1:26" ht="12.75" customHeight="1" x14ac:dyDescent="0.2">
      <c r="A30172" s="258"/>
      <c r="Z30172" s="258"/>
    </row>
    <row r="30173" spans="1:26" ht="12.75" customHeight="1" x14ac:dyDescent="0.2">
      <c r="A30173" s="258"/>
      <c r="Z30173" s="258"/>
    </row>
    <row r="30174" spans="1:26" ht="12.75" customHeight="1" x14ac:dyDescent="0.2">
      <c r="A30174" s="258"/>
      <c r="Z30174" s="258"/>
    </row>
    <row r="30175" spans="1:26" ht="12.75" customHeight="1" x14ac:dyDescent="0.2">
      <c r="A30175" s="258"/>
      <c r="Z30175" s="258"/>
    </row>
    <row r="30176" spans="1:26" ht="12.75" customHeight="1" x14ac:dyDescent="0.2">
      <c r="A30176" s="258"/>
      <c r="Z30176" s="258"/>
    </row>
    <row r="30177" spans="1:26" ht="12.75" customHeight="1" x14ac:dyDescent="0.2">
      <c r="A30177" s="258"/>
      <c r="Z30177" s="258"/>
    </row>
    <row r="30178" spans="1:26" ht="12.75" customHeight="1" x14ac:dyDescent="0.2">
      <c r="A30178" s="258"/>
      <c r="Z30178" s="258"/>
    </row>
    <row r="30179" spans="1:26" ht="12.75" customHeight="1" x14ac:dyDescent="0.2">
      <c r="A30179" s="258"/>
      <c r="Z30179" s="258"/>
    </row>
    <row r="30180" spans="1:26" ht="12.75" customHeight="1" x14ac:dyDescent="0.2">
      <c r="A30180" s="258"/>
      <c r="Z30180" s="258"/>
    </row>
    <row r="30181" spans="1:26" ht="12.75" customHeight="1" x14ac:dyDescent="0.2">
      <c r="A30181" s="258"/>
      <c r="Z30181" s="258"/>
    </row>
    <row r="30182" spans="1:26" ht="12.75" customHeight="1" x14ac:dyDescent="0.2">
      <c r="A30182" s="258"/>
      <c r="Z30182" s="258"/>
    </row>
    <row r="30183" spans="1:26" ht="12.75" customHeight="1" x14ac:dyDescent="0.2">
      <c r="A30183" s="258"/>
      <c r="Z30183" s="258"/>
    </row>
    <row r="30184" spans="1:26" ht="12.75" customHeight="1" x14ac:dyDescent="0.2">
      <c r="A30184" s="258"/>
      <c r="Z30184" s="258"/>
    </row>
    <row r="30185" spans="1:26" ht="12.75" customHeight="1" x14ac:dyDescent="0.2">
      <c r="A30185" s="258"/>
      <c r="Z30185" s="258"/>
    </row>
    <row r="30186" spans="1:26" ht="12.75" customHeight="1" x14ac:dyDescent="0.2">
      <c r="A30186" s="258"/>
      <c r="Z30186" s="258"/>
    </row>
    <row r="30187" spans="1:26" ht="12.75" customHeight="1" x14ac:dyDescent="0.2">
      <c r="A30187" s="258"/>
      <c r="Z30187" s="258"/>
    </row>
    <row r="30188" spans="1:26" ht="12.75" customHeight="1" x14ac:dyDescent="0.2">
      <c r="A30188" s="258"/>
      <c r="Z30188" s="258"/>
    </row>
    <row r="30189" spans="1:26" ht="12.75" customHeight="1" x14ac:dyDescent="0.2">
      <c r="A30189" s="258"/>
      <c r="Z30189" s="258"/>
    </row>
    <row r="30190" spans="1:26" ht="12.75" customHeight="1" x14ac:dyDescent="0.2">
      <c r="A30190" s="258"/>
      <c r="Z30190" s="258"/>
    </row>
    <row r="30191" spans="1:26" ht="12.75" customHeight="1" x14ac:dyDescent="0.2">
      <c r="A30191" s="258"/>
      <c r="Z30191" s="258"/>
    </row>
    <row r="30192" spans="1:26" ht="12.75" customHeight="1" x14ac:dyDescent="0.2">
      <c r="A30192" s="258"/>
      <c r="Z30192" s="258"/>
    </row>
    <row r="30193" spans="1:26" ht="12.75" customHeight="1" x14ac:dyDescent="0.2">
      <c r="A30193" s="258"/>
      <c r="Z30193" s="258"/>
    </row>
    <row r="30194" spans="1:26" ht="12.75" customHeight="1" x14ac:dyDescent="0.2">
      <c r="A30194" s="258"/>
      <c r="Z30194" s="258"/>
    </row>
    <row r="30195" spans="1:26" ht="12.75" customHeight="1" x14ac:dyDescent="0.2">
      <c r="A30195" s="258"/>
      <c r="Z30195" s="258"/>
    </row>
    <row r="30196" spans="1:26" ht="12.75" customHeight="1" x14ac:dyDescent="0.2">
      <c r="A30196" s="258"/>
      <c r="Z30196" s="258"/>
    </row>
    <row r="30197" spans="1:26" ht="12.75" customHeight="1" x14ac:dyDescent="0.2">
      <c r="A30197" s="258"/>
      <c r="Z30197" s="258"/>
    </row>
    <row r="30198" spans="1:26" ht="12.75" customHeight="1" x14ac:dyDescent="0.2">
      <c r="A30198" s="258"/>
      <c r="Z30198" s="258"/>
    </row>
    <row r="30199" spans="1:26" ht="12.75" customHeight="1" x14ac:dyDescent="0.2">
      <c r="A30199" s="258"/>
      <c r="Z30199" s="258"/>
    </row>
    <row r="30200" spans="1:26" ht="12.75" customHeight="1" x14ac:dyDescent="0.2">
      <c r="A30200" s="258"/>
      <c r="Z30200" s="258"/>
    </row>
    <row r="30201" spans="1:26" ht="12.75" customHeight="1" x14ac:dyDescent="0.2">
      <c r="A30201" s="258"/>
      <c r="Z30201" s="258"/>
    </row>
    <row r="30202" spans="1:26" ht="12.75" customHeight="1" x14ac:dyDescent="0.2">
      <c r="A30202" s="258"/>
      <c r="Z30202" s="258"/>
    </row>
    <row r="30203" spans="1:26" ht="12.75" customHeight="1" x14ac:dyDescent="0.2">
      <c r="A30203" s="258"/>
      <c r="Z30203" s="258"/>
    </row>
    <row r="30204" spans="1:26" ht="12.75" customHeight="1" x14ac:dyDescent="0.2">
      <c r="A30204" s="258"/>
      <c r="Z30204" s="258"/>
    </row>
    <row r="30205" spans="1:26" ht="12.75" customHeight="1" x14ac:dyDescent="0.2">
      <c r="A30205" s="258"/>
      <c r="Z30205" s="258"/>
    </row>
    <row r="30206" spans="1:26" ht="12.75" customHeight="1" x14ac:dyDescent="0.2">
      <c r="A30206" s="258"/>
      <c r="Z30206" s="258"/>
    </row>
    <row r="30207" spans="1:26" ht="12.75" customHeight="1" x14ac:dyDescent="0.2">
      <c r="A30207" s="258"/>
      <c r="Z30207" s="258"/>
    </row>
    <row r="30208" spans="1:26" ht="12.75" customHeight="1" x14ac:dyDescent="0.2">
      <c r="A30208" s="258"/>
      <c r="Z30208" s="258"/>
    </row>
    <row r="30209" spans="1:26" ht="12.75" customHeight="1" x14ac:dyDescent="0.2">
      <c r="A30209" s="258"/>
      <c r="Z30209" s="258"/>
    </row>
    <row r="30210" spans="1:26" ht="12.75" customHeight="1" x14ac:dyDescent="0.2">
      <c r="A30210" s="258"/>
      <c r="Z30210" s="258"/>
    </row>
    <row r="30211" spans="1:26" ht="12.75" customHeight="1" x14ac:dyDescent="0.2">
      <c r="A30211" s="258"/>
      <c r="Z30211" s="258"/>
    </row>
    <row r="30212" spans="1:26" ht="12.75" customHeight="1" x14ac:dyDescent="0.2">
      <c r="A30212" s="258"/>
      <c r="Z30212" s="258"/>
    </row>
    <row r="30213" spans="1:26" ht="12.75" customHeight="1" x14ac:dyDescent="0.2">
      <c r="A30213" s="258"/>
      <c r="Z30213" s="258"/>
    </row>
    <row r="30214" spans="1:26" ht="12.75" customHeight="1" x14ac:dyDescent="0.2">
      <c r="A30214" s="258"/>
      <c r="Z30214" s="258"/>
    </row>
    <row r="30215" spans="1:26" ht="12.75" customHeight="1" x14ac:dyDescent="0.2">
      <c r="A30215" s="258"/>
      <c r="Z30215" s="258"/>
    </row>
    <row r="30216" spans="1:26" ht="12.75" customHeight="1" x14ac:dyDescent="0.2">
      <c r="A30216" s="258"/>
      <c r="Z30216" s="258"/>
    </row>
    <row r="30217" spans="1:26" ht="12.75" customHeight="1" x14ac:dyDescent="0.2">
      <c r="A30217" s="258"/>
      <c r="Z30217" s="258"/>
    </row>
    <row r="30218" spans="1:26" ht="12.75" customHeight="1" x14ac:dyDescent="0.2">
      <c r="A30218" s="258"/>
      <c r="Z30218" s="258"/>
    </row>
    <row r="30219" spans="1:26" ht="12.75" customHeight="1" x14ac:dyDescent="0.2">
      <c r="A30219" s="258"/>
      <c r="Z30219" s="258"/>
    </row>
    <row r="30220" spans="1:26" ht="12.75" customHeight="1" x14ac:dyDescent="0.2">
      <c r="A30220" s="258"/>
      <c r="Z30220" s="258"/>
    </row>
    <row r="30221" spans="1:26" ht="12.75" customHeight="1" x14ac:dyDescent="0.2">
      <c r="A30221" s="258"/>
      <c r="Z30221" s="258"/>
    </row>
    <row r="30222" spans="1:26" ht="12.75" customHeight="1" x14ac:dyDescent="0.2">
      <c r="A30222" s="258"/>
      <c r="Z30222" s="258"/>
    </row>
    <row r="30223" spans="1:26" ht="12.75" customHeight="1" x14ac:dyDescent="0.2">
      <c r="A30223" s="258"/>
      <c r="Z30223" s="258"/>
    </row>
    <row r="30224" spans="1:26" ht="12.75" customHeight="1" x14ac:dyDescent="0.2">
      <c r="A30224" s="258"/>
      <c r="Z30224" s="258"/>
    </row>
    <row r="30225" spans="1:26" ht="12.75" customHeight="1" x14ac:dyDescent="0.2">
      <c r="A30225" s="258"/>
      <c r="Z30225" s="258"/>
    </row>
    <row r="30226" spans="1:26" ht="12.75" customHeight="1" x14ac:dyDescent="0.2">
      <c r="A30226" s="258"/>
      <c r="Z30226" s="258"/>
    </row>
    <row r="30227" spans="1:26" ht="12.75" customHeight="1" x14ac:dyDescent="0.2">
      <c r="A30227" s="258"/>
      <c r="Z30227" s="258"/>
    </row>
    <row r="30228" spans="1:26" ht="12.75" customHeight="1" x14ac:dyDescent="0.2">
      <c r="A30228" s="258"/>
      <c r="Z30228" s="258"/>
    </row>
    <row r="30229" spans="1:26" ht="12.75" customHeight="1" x14ac:dyDescent="0.2">
      <c r="A30229" s="258"/>
      <c r="Z30229" s="258"/>
    </row>
    <row r="30230" spans="1:26" ht="12.75" customHeight="1" x14ac:dyDescent="0.2">
      <c r="A30230" s="258"/>
      <c r="Z30230" s="258"/>
    </row>
    <row r="30231" spans="1:26" ht="12.75" customHeight="1" x14ac:dyDescent="0.2">
      <c r="A30231" s="258"/>
      <c r="Z30231" s="258"/>
    </row>
    <row r="30232" spans="1:26" ht="12.75" customHeight="1" x14ac:dyDescent="0.2">
      <c r="A30232" s="258"/>
      <c r="Z30232" s="258"/>
    </row>
    <row r="30233" spans="1:26" ht="12.75" customHeight="1" x14ac:dyDescent="0.2">
      <c r="A30233" s="258"/>
      <c r="Z30233" s="258"/>
    </row>
    <row r="30234" spans="1:26" ht="12.75" customHeight="1" x14ac:dyDescent="0.2">
      <c r="A30234" s="258"/>
      <c r="Z30234" s="258"/>
    </row>
    <row r="30235" spans="1:26" ht="12.75" customHeight="1" x14ac:dyDescent="0.2">
      <c r="A30235" s="258"/>
      <c r="Z30235" s="258"/>
    </row>
    <row r="30236" spans="1:26" ht="12.75" customHeight="1" x14ac:dyDescent="0.2">
      <c r="A30236" s="258"/>
      <c r="Z30236" s="258"/>
    </row>
    <row r="30237" spans="1:26" ht="12.75" customHeight="1" x14ac:dyDescent="0.2">
      <c r="A30237" s="258"/>
      <c r="Z30237" s="258"/>
    </row>
    <row r="30238" spans="1:26" ht="12.75" customHeight="1" x14ac:dyDescent="0.2">
      <c r="A30238" s="258"/>
      <c r="Z30238" s="258"/>
    </row>
    <row r="30239" spans="1:26" ht="12.75" customHeight="1" x14ac:dyDescent="0.2">
      <c r="A30239" s="258"/>
      <c r="Z30239" s="258"/>
    </row>
    <row r="30240" spans="1:26" ht="12.75" customHeight="1" x14ac:dyDescent="0.2">
      <c r="A30240" s="258"/>
      <c r="Z30240" s="258"/>
    </row>
    <row r="30241" spans="1:26" ht="12.75" customHeight="1" x14ac:dyDescent="0.2">
      <c r="A30241" s="258"/>
      <c r="Z30241" s="258"/>
    </row>
    <row r="30242" spans="1:26" ht="12.75" customHeight="1" x14ac:dyDescent="0.2">
      <c r="A30242" s="258"/>
      <c r="Z30242" s="258"/>
    </row>
    <row r="30243" spans="1:26" ht="12.75" customHeight="1" x14ac:dyDescent="0.2">
      <c r="A30243" s="258"/>
      <c r="Z30243" s="258"/>
    </row>
    <row r="30244" spans="1:26" ht="12.75" customHeight="1" x14ac:dyDescent="0.2">
      <c r="A30244" s="258"/>
      <c r="Z30244" s="258"/>
    </row>
    <row r="30245" spans="1:26" ht="12.75" customHeight="1" x14ac:dyDescent="0.2">
      <c r="A30245" s="258"/>
      <c r="Z30245" s="258"/>
    </row>
    <row r="30246" spans="1:26" ht="12.75" customHeight="1" x14ac:dyDescent="0.2">
      <c r="A30246" s="258"/>
      <c r="Z30246" s="258"/>
    </row>
    <row r="30247" spans="1:26" ht="12.75" customHeight="1" x14ac:dyDescent="0.2">
      <c r="A30247" s="258"/>
      <c r="Z30247" s="258"/>
    </row>
    <row r="30248" spans="1:26" ht="12.75" customHeight="1" x14ac:dyDescent="0.2">
      <c r="A30248" s="258"/>
      <c r="Z30248" s="258"/>
    </row>
    <row r="30249" spans="1:26" ht="12.75" customHeight="1" x14ac:dyDescent="0.2">
      <c r="A30249" s="258"/>
      <c r="Z30249" s="258"/>
    </row>
    <row r="30250" spans="1:26" ht="12.75" customHeight="1" x14ac:dyDescent="0.2">
      <c r="A30250" s="258"/>
      <c r="Z30250" s="258"/>
    </row>
    <row r="30251" spans="1:26" ht="12.75" customHeight="1" x14ac:dyDescent="0.2">
      <c r="A30251" s="258"/>
      <c r="Z30251" s="258"/>
    </row>
    <row r="30252" spans="1:26" ht="12.75" customHeight="1" x14ac:dyDescent="0.2">
      <c r="A30252" s="258"/>
      <c r="Z30252" s="258"/>
    </row>
    <row r="30253" spans="1:26" ht="12.75" customHeight="1" x14ac:dyDescent="0.2">
      <c r="A30253" s="258"/>
      <c r="Z30253" s="258"/>
    </row>
    <row r="30254" spans="1:26" ht="12.75" customHeight="1" x14ac:dyDescent="0.2">
      <c r="A30254" s="258"/>
      <c r="Z30254" s="258"/>
    </row>
    <row r="30255" spans="1:26" ht="12.75" customHeight="1" x14ac:dyDescent="0.2">
      <c r="A30255" s="258"/>
      <c r="Z30255" s="258"/>
    </row>
    <row r="30256" spans="1:26" ht="12.75" customHeight="1" x14ac:dyDescent="0.2">
      <c r="A30256" s="258"/>
      <c r="Z30256" s="258"/>
    </row>
    <row r="30257" spans="1:26" ht="12.75" customHeight="1" x14ac:dyDescent="0.2">
      <c r="A30257" s="258"/>
      <c r="Z30257" s="258"/>
    </row>
    <row r="30258" spans="1:26" ht="12.75" customHeight="1" x14ac:dyDescent="0.2">
      <c r="A30258" s="258"/>
      <c r="Z30258" s="258"/>
    </row>
    <row r="30259" spans="1:26" ht="12.75" customHeight="1" x14ac:dyDescent="0.2">
      <c r="A30259" s="258"/>
      <c r="Z30259" s="258"/>
    </row>
    <row r="30260" spans="1:26" ht="12.75" customHeight="1" x14ac:dyDescent="0.2">
      <c r="A30260" s="258"/>
      <c r="Z30260" s="258"/>
    </row>
    <row r="30261" spans="1:26" ht="12.75" customHeight="1" x14ac:dyDescent="0.2">
      <c r="A30261" s="258"/>
      <c r="Z30261" s="258"/>
    </row>
    <row r="30262" spans="1:26" ht="12.75" customHeight="1" x14ac:dyDescent="0.2">
      <c r="A30262" s="258"/>
      <c r="Z30262" s="258"/>
    </row>
    <row r="30263" spans="1:26" ht="12.75" customHeight="1" x14ac:dyDescent="0.2">
      <c r="A30263" s="258"/>
      <c r="Z30263" s="258"/>
    </row>
    <row r="30264" spans="1:26" ht="12.75" customHeight="1" x14ac:dyDescent="0.2">
      <c r="A30264" s="258"/>
      <c r="Z30264" s="258"/>
    </row>
    <row r="30265" spans="1:26" ht="12.75" customHeight="1" x14ac:dyDescent="0.2">
      <c r="A30265" s="258"/>
      <c r="Z30265" s="258"/>
    </row>
    <row r="30266" spans="1:26" ht="12.75" customHeight="1" x14ac:dyDescent="0.2">
      <c r="A30266" s="258"/>
      <c r="Z30266" s="258"/>
    </row>
    <row r="30267" spans="1:26" ht="12.75" customHeight="1" x14ac:dyDescent="0.2">
      <c r="A30267" s="258"/>
      <c r="Z30267" s="258"/>
    </row>
    <row r="30268" spans="1:26" ht="12.75" customHeight="1" x14ac:dyDescent="0.2">
      <c r="A30268" s="258"/>
      <c r="Z30268" s="258"/>
    </row>
    <row r="30269" spans="1:26" ht="12.75" customHeight="1" x14ac:dyDescent="0.2">
      <c r="A30269" s="258"/>
      <c r="Z30269" s="258"/>
    </row>
    <row r="30270" spans="1:26" ht="12.75" customHeight="1" x14ac:dyDescent="0.2">
      <c r="A30270" s="258"/>
      <c r="Z30270" s="258"/>
    </row>
    <row r="30271" spans="1:26" ht="12.75" customHeight="1" x14ac:dyDescent="0.2">
      <c r="A30271" s="258"/>
      <c r="Z30271" s="258"/>
    </row>
    <row r="30272" spans="1:26" ht="12.75" customHeight="1" x14ac:dyDescent="0.2">
      <c r="A30272" s="258"/>
      <c r="Z30272" s="258"/>
    </row>
    <row r="30273" spans="1:26" ht="12.75" customHeight="1" x14ac:dyDescent="0.2">
      <c r="A30273" s="258"/>
      <c r="Z30273" s="258"/>
    </row>
    <row r="30274" spans="1:26" ht="12.75" customHeight="1" x14ac:dyDescent="0.2">
      <c r="A30274" s="258"/>
      <c r="Z30274" s="258"/>
    </row>
    <row r="30275" spans="1:26" ht="12.75" customHeight="1" x14ac:dyDescent="0.2">
      <c r="A30275" s="258"/>
      <c r="Z30275" s="258"/>
    </row>
    <row r="30276" spans="1:26" ht="12.75" customHeight="1" x14ac:dyDescent="0.2">
      <c r="A30276" s="258"/>
      <c r="Z30276" s="258"/>
    </row>
    <row r="30277" spans="1:26" ht="12.75" customHeight="1" x14ac:dyDescent="0.2">
      <c r="A30277" s="258"/>
      <c r="Z30277" s="258"/>
    </row>
    <row r="30278" spans="1:26" ht="12.75" customHeight="1" x14ac:dyDescent="0.2">
      <c r="A30278" s="258"/>
      <c r="Z30278" s="258"/>
    </row>
    <row r="30279" spans="1:26" ht="12.75" customHeight="1" x14ac:dyDescent="0.2">
      <c r="A30279" s="258"/>
      <c r="Z30279" s="258"/>
    </row>
    <row r="30280" spans="1:26" ht="12.75" customHeight="1" x14ac:dyDescent="0.2">
      <c r="A30280" s="258"/>
      <c r="Z30280" s="258"/>
    </row>
    <row r="30281" spans="1:26" ht="12.75" customHeight="1" x14ac:dyDescent="0.2">
      <c r="A30281" s="258"/>
      <c r="Z30281" s="258"/>
    </row>
    <row r="30282" spans="1:26" ht="12.75" customHeight="1" x14ac:dyDescent="0.2">
      <c r="A30282" s="258"/>
      <c r="Z30282" s="258"/>
    </row>
    <row r="30283" spans="1:26" ht="12.75" customHeight="1" x14ac:dyDescent="0.2">
      <c r="A30283" s="258"/>
      <c r="Z30283" s="258"/>
    </row>
    <row r="30284" spans="1:26" ht="12.75" customHeight="1" x14ac:dyDescent="0.2">
      <c r="A30284" s="258"/>
      <c r="Z30284" s="258"/>
    </row>
    <row r="30285" spans="1:26" ht="12.75" customHeight="1" x14ac:dyDescent="0.2">
      <c r="A30285" s="258"/>
      <c r="Z30285" s="258"/>
    </row>
    <row r="30286" spans="1:26" ht="12.75" customHeight="1" x14ac:dyDescent="0.2">
      <c r="A30286" s="258"/>
      <c r="Z30286" s="258"/>
    </row>
    <row r="30287" spans="1:26" ht="12.75" customHeight="1" x14ac:dyDescent="0.2">
      <c r="A30287" s="258"/>
      <c r="Z30287" s="258"/>
    </row>
    <row r="30288" spans="1:26" ht="12.75" customHeight="1" x14ac:dyDescent="0.2">
      <c r="A30288" s="258"/>
      <c r="Z30288" s="258"/>
    </row>
    <row r="30289" spans="1:26" ht="12.75" customHeight="1" x14ac:dyDescent="0.2">
      <c r="A30289" s="258"/>
      <c r="Z30289" s="258"/>
    </row>
    <row r="30290" spans="1:26" ht="12.75" customHeight="1" x14ac:dyDescent="0.2">
      <c r="A30290" s="258"/>
      <c r="Z30290" s="258"/>
    </row>
    <row r="30291" spans="1:26" ht="12.75" customHeight="1" x14ac:dyDescent="0.2">
      <c r="A30291" s="258"/>
      <c r="Z30291" s="258"/>
    </row>
    <row r="30292" spans="1:26" ht="12.75" customHeight="1" x14ac:dyDescent="0.2">
      <c r="A30292" s="258"/>
      <c r="Z30292" s="258"/>
    </row>
    <row r="30293" spans="1:26" ht="12.75" customHeight="1" x14ac:dyDescent="0.2">
      <c r="A30293" s="258"/>
      <c r="Z30293" s="258"/>
    </row>
    <row r="30294" spans="1:26" ht="12.75" customHeight="1" x14ac:dyDescent="0.2">
      <c r="A30294" s="258"/>
      <c r="Z30294" s="258"/>
    </row>
    <row r="30295" spans="1:26" ht="12.75" customHeight="1" x14ac:dyDescent="0.2">
      <c r="A30295" s="258"/>
      <c r="Z30295" s="258"/>
    </row>
    <row r="30296" spans="1:26" ht="12.75" customHeight="1" x14ac:dyDescent="0.2">
      <c r="A30296" s="258"/>
      <c r="Z30296" s="258"/>
    </row>
    <row r="30297" spans="1:26" ht="12.75" customHeight="1" x14ac:dyDescent="0.2">
      <c r="A30297" s="258"/>
      <c r="Z30297" s="258"/>
    </row>
    <row r="30298" spans="1:26" ht="12.75" customHeight="1" x14ac:dyDescent="0.2">
      <c r="A30298" s="258"/>
      <c r="Z30298" s="258"/>
    </row>
    <row r="30299" spans="1:26" ht="12.75" customHeight="1" x14ac:dyDescent="0.2">
      <c r="A30299" s="258"/>
      <c r="Z30299" s="258"/>
    </row>
    <row r="30300" spans="1:26" ht="12.75" customHeight="1" x14ac:dyDescent="0.2">
      <c r="A30300" s="258"/>
      <c r="Z30300" s="258"/>
    </row>
    <row r="30301" spans="1:26" ht="12.75" customHeight="1" x14ac:dyDescent="0.2">
      <c r="A30301" s="258"/>
      <c r="Z30301" s="258"/>
    </row>
    <row r="30302" spans="1:26" ht="12.75" customHeight="1" x14ac:dyDescent="0.2">
      <c r="A30302" s="258"/>
      <c r="Z30302" s="258"/>
    </row>
    <row r="30303" spans="1:26" ht="12.75" customHeight="1" x14ac:dyDescent="0.2">
      <c r="A30303" s="258"/>
      <c r="Z30303" s="258"/>
    </row>
    <row r="30304" spans="1:26" ht="12.75" customHeight="1" x14ac:dyDescent="0.2">
      <c r="A30304" s="258"/>
      <c r="Z30304" s="258"/>
    </row>
    <row r="30305" spans="1:26" ht="12.75" customHeight="1" x14ac:dyDescent="0.2">
      <c r="A30305" s="258"/>
      <c r="Z30305" s="258"/>
    </row>
    <row r="30306" spans="1:26" ht="12.75" customHeight="1" x14ac:dyDescent="0.2">
      <c r="A30306" s="258"/>
      <c r="Z30306" s="258"/>
    </row>
    <row r="30307" spans="1:26" ht="12.75" customHeight="1" x14ac:dyDescent="0.2">
      <c r="A30307" s="258"/>
      <c r="Z30307" s="258"/>
    </row>
    <row r="30308" spans="1:26" ht="12.75" customHeight="1" x14ac:dyDescent="0.2">
      <c r="A30308" s="258"/>
      <c r="Z30308" s="258"/>
    </row>
    <row r="30309" spans="1:26" ht="12.75" customHeight="1" x14ac:dyDescent="0.2">
      <c r="A30309" s="258"/>
      <c r="Z30309" s="258"/>
    </row>
    <row r="30310" spans="1:26" ht="12.75" customHeight="1" x14ac:dyDescent="0.2">
      <c r="A30310" s="258"/>
      <c r="Z30310" s="258"/>
    </row>
    <row r="30311" spans="1:26" ht="12.75" customHeight="1" x14ac:dyDescent="0.2">
      <c r="A30311" s="258"/>
      <c r="Z30311" s="258"/>
    </row>
    <row r="30312" spans="1:26" ht="12.75" customHeight="1" x14ac:dyDescent="0.2">
      <c r="A30312" s="258"/>
      <c r="Z30312" s="258"/>
    </row>
    <row r="30313" spans="1:26" ht="12.75" customHeight="1" x14ac:dyDescent="0.2">
      <c r="A30313" s="258"/>
      <c r="Z30313" s="258"/>
    </row>
    <row r="30314" spans="1:26" ht="12.75" customHeight="1" x14ac:dyDescent="0.2">
      <c r="A30314" s="258"/>
      <c r="Z30314" s="258"/>
    </row>
    <row r="30315" spans="1:26" ht="12.75" customHeight="1" x14ac:dyDescent="0.2">
      <c r="A30315" s="258"/>
      <c r="Z30315" s="258"/>
    </row>
    <row r="30316" spans="1:26" ht="12.75" customHeight="1" x14ac:dyDescent="0.2">
      <c r="A30316" s="258"/>
      <c r="Z30316" s="258"/>
    </row>
    <row r="30317" spans="1:26" ht="12.75" customHeight="1" x14ac:dyDescent="0.2">
      <c r="A30317" s="258"/>
      <c r="Z30317" s="258"/>
    </row>
    <row r="30318" spans="1:26" ht="12.75" customHeight="1" x14ac:dyDescent="0.2">
      <c r="A30318" s="258"/>
      <c r="Z30318" s="258"/>
    </row>
    <row r="30319" spans="1:26" ht="12.75" customHeight="1" x14ac:dyDescent="0.2">
      <c r="A30319" s="258"/>
      <c r="Z30319" s="258"/>
    </row>
    <row r="30320" spans="1:26" ht="12.75" customHeight="1" x14ac:dyDescent="0.2">
      <c r="A30320" s="258"/>
      <c r="Z30320" s="258"/>
    </row>
    <row r="30321" spans="1:26" ht="12.75" customHeight="1" x14ac:dyDescent="0.2">
      <c r="A30321" s="258"/>
      <c r="Z30321" s="258"/>
    </row>
    <row r="30322" spans="1:26" ht="12.75" customHeight="1" x14ac:dyDescent="0.2">
      <c r="A30322" s="258"/>
      <c r="Z30322" s="258"/>
    </row>
    <row r="30323" spans="1:26" ht="12.75" customHeight="1" x14ac:dyDescent="0.2">
      <c r="A30323" s="258"/>
      <c r="Z30323" s="258"/>
    </row>
    <row r="30324" spans="1:26" ht="12.75" customHeight="1" x14ac:dyDescent="0.2">
      <c r="A30324" s="258"/>
      <c r="Z30324" s="258"/>
    </row>
    <row r="30325" spans="1:26" ht="12.75" customHeight="1" x14ac:dyDescent="0.2">
      <c r="A30325" s="258"/>
      <c r="Z30325" s="258"/>
    </row>
    <row r="30326" spans="1:26" ht="12.75" customHeight="1" x14ac:dyDescent="0.2">
      <c r="A30326" s="258"/>
      <c r="Z30326" s="258"/>
    </row>
    <row r="30327" spans="1:26" ht="12.75" customHeight="1" x14ac:dyDescent="0.2">
      <c r="A30327" s="258"/>
      <c r="Z30327" s="258"/>
    </row>
    <row r="30328" spans="1:26" ht="12.75" customHeight="1" x14ac:dyDescent="0.2">
      <c r="A30328" s="258"/>
      <c r="Z30328" s="258"/>
    </row>
    <row r="30329" spans="1:26" ht="12.75" customHeight="1" x14ac:dyDescent="0.2">
      <c r="A30329" s="258"/>
      <c r="Z30329" s="258"/>
    </row>
    <row r="30330" spans="1:26" ht="12.75" customHeight="1" x14ac:dyDescent="0.2">
      <c r="A30330" s="258"/>
      <c r="Z30330" s="258"/>
    </row>
    <row r="30331" spans="1:26" ht="12.75" customHeight="1" x14ac:dyDescent="0.2">
      <c r="A30331" s="258"/>
      <c r="Z30331" s="258"/>
    </row>
    <row r="30332" spans="1:26" ht="12.75" customHeight="1" x14ac:dyDescent="0.2">
      <c r="A30332" s="258"/>
      <c r="Z30332" s="258"/>
    </row>
    <row r="30333" spans="1:26" ht="12.75" customHeight="1" x14ac:dyDescent="0.2">
      <c r="A30333" s="258"/>
      <c r="Z30333" s="258"/>
    </row>
    <row r="30334" spans="1:26" ht="12.75" customHeight="1" x14ac:dyDescent="0.2">
      <c r="A30334" s="258"/>
      <c r="Z30334" s="258"/>
    </row>
    <row r="30335" spans="1:26" ht="12.75" customHeight="1" x14ac:dyDescent="0.2">
      <c r="A30335" s="258"/>
      <c r="Z30335" s="258"/>
    </row>
    <row r="30336" spans="1:26" ht="12.75" customHeight="1" x14ac:dyDescent="0.2">
      <c r="A30336" s="258"/>
      <c r="Z30336" s="258"/>
    </row>
    <row r="30337" spans="1:26" ht="12.75" customHeight="1" x14ac:dyDescent="0.2">
      <c r="A30337" s="258"/>
      <c r="Z30337" s="258"/>
    </row>
    <row r="30338" spans="1:26" ht="12.75" customHeight="1" x14ac:dyDescent="0.2">
      <c r="A30338" s="258"/>
      <c r="Z30338" s="258"/>
    </row>
    <row r="30339" spans="1:26" ht="12.75" customHeight="1" x14ac:dyDescent="0.2">
      <c r="A30339" s="258"/>
      <c r="Z30339" s="258"/>
    </row>
    <row r="30340" spans="1:26" ht="12.75" customHeight="1" x14ac:dyDescent="0.2">
      <c r="A30340" s="258"/>
      <c r="Z30340" s="258"/>
    </row>
    <row r="30341" spans="1:26" ht="12.75" customHeight="1" x14ac:dyDescent="0.2">
      <c r="A30341" s="258"/>
      <c r="Z30341" s="258"/>
    </row>
    <row r="30342" spans="1:26" ht="12.75" customHeight="1" x14ac:dyDescent="0.2">
      <c r="A30342" s="258"/>
      <c r="Z30342" s="258"/>
    </row>
    <row r="30343" spans="1:26" ht="12.75" customHeight="1" x14ac:dyDescent="0.2">
      <c r="A30343" s="258"/>
      <c r="Z30343" s="258"/>
    </row>
    <row r="30344" spans="1:26" ht="12.75" customHeight="1" x14ac:dyDescent="0.2">
      <c r="A30344" s="258"/>
      <c r="Z30344" s="258"/>
    </row>
    <row r="30345" spans="1:26" ht="12.75" customHeight="1" x14ac:dyDescent="0.2">
      <c r="A30345" s="258"/>
      <c r="Z30345" s="258"/>
    </row>
    <row r="30346" spans="1:26" ht="12.75" customHeight="1" x14ac:dyDescent="0.2">
      <c r="A30346" s="258"/>
      <c r="Z30346" s="258"/>
    </row>
    <row r="30347" spans="1:26" ht="12.75" customHeight="1" x14ac:dyDescent="0.2">
      <c r="A30347" s="258"/>
      <c r="Z30347" s="258"/>
    </row>
    <row r="30348" spans="1:26" ht="12.75" customHeight="1" x14ac:dyDescent="0.2">
      <c r="A30348" s="258"/>
      <c r="Z30348" s="258"/>
    </row>
    <row r="30349" spans="1:26" ht="12.75" customHeight="1" x14ac:dyDescent="0.2">
      <c r="A30349" s="258"/>
      <c r="Z30349" s="258"/>
    </row>
    <row r="30350" spans="1:26" ht="12.75" customHeight="1" x14ac:dyDescent="0.2">
      <c r="A30350" s="258"/>
      <c r="Z30350" s="258"/>
    </row>
    <row r="30351" spans="1:26" ht="12.75" customHeight="1" x14ac:dyDescent="0.2">
      <c r="A30351" s="258"/>
      <c r="Z30351" s="258"/>
    </row>
    <row r="30352" spans="1:26" ht="12.75" customHeight="1" x14ac:dyDescent="0.2">
      <c r="A30352" s="258"/>
      <c r="Z30352" s="258"/>
    </row>
    <row r="30353" spans="1:26" ht="12.75" customHeight="1" x14ac:dyDescent="0.2">
      <c r="A30353" s="258"/>
      <c r="Z30353" s="258"/>
    </row>
    <row r="30354" spans="1:26" ht="12.75" customHeight="1" x14ac:dyDescent="0.2">
      <c r="A30354" s="258"/>
      <c r="Z30354" s="258"/>
    </row>
    <row r="30355" spans="1:26" ht="12.75" customHeight="1" x14ac:dyDescent="0.2">
      <c r="A30355" s="258"/>
      <c r="Z30355" s="258"/>
    </row>
    <row r="30356" spans="1:26" ht="12.75" customHeight="1" x14ac:dyDescent="0.2">
      <c r="A30356" s="258"/>
      <c r="Z30356" s="258"/>
    </row>
    <row r="30357" spans="1:26" ht="12.75" customHeight="1" x14ac:dyDescent="0.2">
      <c r="A30357" s="258"/>
      <c r="Z30357" s="258"/>
    </row>
    <row r="30358" spans="1:26" ht="12.75" customHeight="1" x14ac:dyDescent="0.2">
      <c r="A30358" s="258"/>
      <c r="Z30358" s="258"/>
    </row>
    <row r="30359" spans="1:26" ht="12.75" customHeight="1" x14ac:dyDescent="0.2">
      <c r="A30359" s="258"/>
      <c r="Z30359" s="258"/>
    </row>
    <row r="30360" spans="1:26" ht="12.75" customHeight="1" x14ac:dyDescent="0.2">
      <c r="A30360" s="258"/>
      <c r="Z30360" s="258"/>
    </row>
    <row r="30361" spans="1:26" ht="12.75" customHeight="1" x14ac:dyDescent="0.2">
      <c r="A30361" s="258"/>
      <c r="Z30361" s="258"/>
    </row>
    <row r="30362" spans="1:26" ht="12.75" customHeight="1" x14ac:dyDescent="0.2">
      <c r="A30362" s="258"/>
      <c r="Z30362" s="258"/>
    </row>
    <row r="30363" spans="1:26" ht="12.75" customHeight="1" x14ac:dyDescent="0.2">
      <c r="A30363" s="258"/>
      <c r="Z30363" s="258"/>
    </row>
    <row r="30364" spans="1:26" ht="12.75" customHeight="1" x14ac:dyDescent="0.2">
      <c r="A30364" s="258"/>
      <c r="Z30364" s="258"/>
    </row>
    <row r="30365" spans="1:26" ht="12.75" customHeight="1" x14ac:dyDescent="0.2">
      <c r="A30365" s="258"/>
      <c r="Z30365" s="258"/>
    </row>
    <row r="30366" spans="1:26" ht="12.75" customHeight="1" x14ac:dyDescent="0.2">
      <c r="A30366" s="258"/>
      <c r="Z30366" s="258"/>
    </row>
    <row r="30367" spans="1:26" ht="12.75" customHeight="1" x14ac:dyDescent="0.2">
      <c r="A30367" s="258"/>
      <c r="Z30367" s="258"/>
    </row>
    <row r="30368" spans="1:26" ht="12.75" customHeight="1" x14ac:dyDescent="0.2">
      <c r="A30368" s="258"/>
      <c r="Z30368" s="258"/>
    </row>
    <row r="30369" spans="1:26" ht="12.75" customHeight="1" x14ac:dyDescent="0.2">
      <c r="A30369" s="258"/>
      <c r="Z30369" s="258"/>
    </row>
    <row r="30370" spans="1:26" ht="12.75" customHeight="1" x14ac:dyDescent="0.2">
      <c r="A30370" s="258"/>
      <c r="Z30370" s="258"/>
    </row>
    <row r="30371" spans="1:26" ht="12.75" customHeight="1" x14ac:dyDescent="0.2">
      <c r="A30371" s="258"/>
      <c r="Z30371" s="258"/>
    </row>
    <row r="30372" spans="1:26" ht="12.75" customHeight="1" x14ac:dyDescent="0.2">
      <c r="A30372" s="258"/>
      <c r="Z30372" s="258"/>
    </row>
    <row r="30373" spans="1:26" ht="12.75" customHeight="1" x14ac:dyDescent="0.2">
      <c r="A30373" s="258"/>
      <c r="Z30373" s="258"/>
    </row>
    <row r="30374" spans="1:26" ht="12.75" customHeight="1" x14ac:dyDescent="0.2">
      <c r="A30374" s="258"/>
      <c r="Z30374" s="258"/>
    </row>
    <row r="30375" spans="1:26" ht="12.75" customHeight="1" x14ac:dyDescent="0.2">
      <c r="A30375" s="258"/>
      <c r="Z30375" s="258"/>
    </row>
    <row r="30376" spans="1:26" ht="12.75" customHeight="1" x14ac:dyDescent="0.2">
      <c r="A30376" s="258"/>
      <c r="Z30376" s="258"/>
    </row>
    <row r="30377" spans="1:26" ht="12.75" customHeight="1" x14ac:dyDescent="0.2">
      <c r="A30377" s="258"/>
      <c r="Z30377" s="258"/>
    </row>
    <row r="30378" spans="1:26" ht="12.75" customHeight="1" x14ac:dyDescent="0.2">
      <c r="A30378" s="258"/>
      <c r="Z30378" s="258"/>
    </row>
    <row r="30379" spans="1:26" ht="12.75" customHeight="1" x14ac:dyDescent="0.2">
      <c r="A30379" s="258"/>
      <c r="Z30379" s="258"/>
    </row>
    <row r="30380" spans="1:26" ht="12.75" customHeight="1" x14ac:dyDescent="0.2">
      <c r="A30380" s="258"/>
      <c r="Z30380" s="258"/>
    </row>
    <row r="30381" spans="1:26" ht="12.75" customHeight="1" x14ac:dyDescent="0.2">
      <c r="A30381" s="258"/>
      <c r="Z30381" s="258"/>
    </row>
    <row r="30382" spans="1:26" ht="12.75" customHeight="1" x14ac:dyDescent="0.2">
      <c r="A30382" s="258"/>
      <c r="Z30382" s="258"/>
    </row>
    <row r="30383" spans="1:26" ht="12.75" customHeight="1" x14ac:dyDescent="0.2">
      <c r="A30383" s="258"/>
      <c r="Z30383" s="258"/>
    </row>
    <row r="30384" spans="1:26" ht="12.75" customHeight="1" x14ac:dyDescent="0.2">
      <c r="A30384" s="258"/>
      <c r="Z30384" s="258"/>
    </row>
    <row r="30385" spans="1:26" ht="12.75" customHeight="1" x14ac:dyDescent="0.2">
      <c r="A30385" s="258"/>
      <c r="Z30385" s="258"/>
    </row>
    <row r="30386" spans="1:26" ht="12.75" customHeight="1" x14ac:dyDescent="0.2">
      <c r="A30386" s="258"/>
      <c r="Z30386" s="258"/>
    </row>
    <row r="30387" spans="1:26" ht="12.75" customHeight="1" x14ac:dyDescent="0.2">
      <c r="A30387" s="258"/>
      <c r="Z30387" s="258"/>
    </row>
    <row r="30388" spans="1:26" ht="12.75" customHeight="1" x14ac:dyDescent="0.2">
      <c r="A30388" s="258"/>
      <c r="Z30388" s="258"/>
    </row>
    <row r="30389" spans="1:26" ht="12.75" customHeight="1" x14ac:dyDescent="0.2">
      <c r="A30389" s="258"/>
      <c r="Z30389" s="258"/>
    </row>
    <row r="30390" spans="1:26" ht="12.75" customHeight="1" x14ac:dyDescent="0.2">
      <c r="A30390" s="258"/>
      <c r="Z30390" s="258"/>
    </row>
    <row r="30391" spans="1:26" ht="12.75" customHeight="1" x14ac:dyDescent="0.2">
      <c r="A30391" s="258"/>
      <c r="Z30391" s="258"/>
    </row>
    <row r="30392" spans="1:26" ht="12.75" customHeight="1" x14ac:dyDescent="0.2">
      <c r="A30392" s="258"/>
      <c r="Z30392" s="258"/>
    </row>
    <row r="30393" spans="1:26" ht="12.75" customHeight="1" x14ac:dyDescent="0.2">
      <c r="A30393" s="258"/>
      <c r="Z30393" s="258"/>
    </row>
    <row r="30394" spans="1:26" ht="12.75" customHeight="1" x14ac:dyDescent="0.2">
      <c r="A30394" s="258"/>
      <c r="Z30394" s="258"/>
    </row>
    <row r="30395" spans="1:26" ht="12.75" customHeight="1" x14ac:dyDescent="0.2">
      <c r="A30395" s="258"/>
      <c r="Z30395" s="258"/>
    </row>
    <row r="30396" spans="1:26" ht="12.75" customHeight="1" x14ac:dyDescent="0.2">
      <c r="A30396" s="258"/>
      <c r="Z30396" s="258"/>
    </row>
    <row r="30397" spans="1:26" ht="12.75" customHeight="1" x14ac:dyDescent="0.2">
      <c r="A30397" s="258"/>
      <c r="Z30397" s="258"/>
    </row>
    <row r="30398" spans="1:26" ht="12.75" customHeight="1" x14ac:dyDescent="0.2">
      <c r="A30398" s="258"/>
      <c r="Z30398" s="258"/>
    </row>
    <row r="30399" spans="1:26" ht="12.75" customHeight="1" x14ac:dyDescent="0.2">
      <c r="A30399" s="258"/>
      <c r="Z30399" s="258"/>
    </row>
    <row r="30400" spans="1:26" ht="12.75" customHeight="1" x14ac:dyDescent="0.2">
      <c r="A30400" s="258"/>
      <c r="Z30400" s="258"/>
    </row>
    <row r="30401" spans="1:26" ht="12.75" customHeight="1" x14ac:dyDescent="0.2">
      <c r="A30401" s="258"/>
      <c r="Z30401" s="258"/>
    </row>
    <row r="30402" spans="1:26" ht="12.75" customHeight="1" x14ac:dyDescent="0.2">
      <c r="A30402" s="258"/>
      <c r="Z30402" s="258"/>
    </row>
    <row r="30403" spans="1:26" ht="12.75" customHeight="1" x14ac:dyDescent="0.2">
      <c r="A30403" s="258"/>
      <c r="Z30403" s="258"/>
    </row>
    <row r="30404" spans="1:26" ht="12.75" customHeight="1" x14ac:dyDescent="0.2">
      <c r="A30404" s="258"/>
      <c r="Z30404" s="258"/>
    </row>
    <row r="30405" spans="1:26" ht="12.75" customHeight="1" x14ac:dyDescent="0.2">
      <c r="A30405" s="258"/>
      <c r="Z30405" s="258"/>
    </row>
    <row r="30406" spans="1:26" ht="12.75" customHeight="1" x14ac:dyDescent="0.2">
      <c r="A30406" s="258"/>
      <c r="Z30406" s="258"/>
    </row>
    <row r="30407" spans="1:26" ht="12.75" customHeight="1" x14ac:dyDescent="0.2">
      <c r="A30407" s="258"/>
      <c r="Z30407" s="258"/>
    </row>
    <row r="30408" spans="1:26" ht="12.75" customHeight="1" x14ac:dyDescent="0.2">
      <c r="A30408" s="258"/>
      <c r="Z30408" s="258"/>
    </row>
    <row r="30409" spans="1:26" ht="12.75" customHeight="1" x14ac:dyDescent="0.2">
      <c r="A30409" s="258"/>
      <c r="Z30409" s="258"/>
    </row>
    <row r="30410" spans="1:26" ht="12.75" customHeight="1" x14ac:dyDescent="0.2">
      <c r="A30410" s="258"/>
      <c r="Z30410" s="258"/>
    </row>
    <row r="30411" spans="1:26" ht="12.75" customHeight="1" x14ac:dyDescent="0.2">
      <c r="A30411" s="258"/>
      <c r="Z30411" s="258"/>
    </row>
    <row r="30412" spans="1:26" ht="12.75" customHeight="1" x14ac:dyDescent="0.2">
      <c r="A30412" s="258"/>
      <c r="Z30412" s="258"/>
    </row>
    <row r="30413" spans="1:26" ht="12.75" customHeight="1" x14ac:dyDescent="0.2">
      <c r="A30413" s="258"/>
      <c r="Z30413" s="258"/>
    </row>
    <row r="30414" spans="1:26" ht="12.75" customHeight="1" x14ac:dyDescent="0.2">
      <c r="A30414" s="258"/>
      <c r="Z30414" s="258"/>
    </row>
    <row r="30415" spans="1:26" ht="12.75" customHeight="1" x14ac:dyDescent="0.2">
      <c r="A30415" s="258"/>
      <c r="Z30415" s="258"/>
    </row>
    <row r="30416" spans="1:26" ht="12.75" customHeight="1" x14ac:dyDescent="0.2">
      <c r="A30416" s="258"/>
      <c r="Z30416" s="258"/>
    </row>
    <row r="30417" spans="1:26" ht="12.75" customHeight="1" x14ac:dyDescent="0.2">
      <c r="A30417" s="258"/>
      <c r="Z30417" s="258"/>
    </row>
    <row r="30418" spans="1:26" ht="12.75" customHeight="1" x14ac:dyDescent="0.2">
      <c r="A30418" s="258"/>
      <c r="Z30418" s="258"/>
    </row>
    <row r="30419" spans="1:26" ht="12.75" customHeight="1" x14ac:dyDescent="0.2">
      <c r="A30419" s="258"/>
      <c r="Z30419" s="258"/>
    </row>
    <row r="30420" spans="1:26" ht="12.75" customHeight="1" x14ac:dyDescent="0.2">
      <c r="A30420" s="258"/>
      <c r="Z30420" s="258"/>
    </row>
    <row r="30421" spans="1:26" ht="12.75" customHeight="1" x14ac:dyDescent="0.2">
      <c r="A30421" s="258"/>
      <c r="Z30421" s="258"/>
    </row>
    <row r="30422" spans="1:26" ht="12.75" customHeight="1" x14ac:dyDescent="0.2">
      <c r="A30422" s="258"/>
      <c r="Z30422" s="258"/>
    </row>
    <row r="30423" spans="1:26" ht="12.75" customHeight="1" x14ac:dyDescent="0.2">
      <c r="A30423" s="258"/>
      <c r="Z30423" s="258"/>
    </row>
    <row r="30424" spans="1:26" ht="12.75" customHeight="1" x14ac:dyDescent="0.2">
      <c r="A30424" s="258"/>
      <c r="Z30424" s="258"/>
    </row>
    <row r="30425" spans="1:26" ht="12.75" customHeight="1" x14ac:dyDescent="0.2">
      <c r="A30425" s="258"/>
      <c r="Z30425" s="258"/>
    </row>
    <row r="30426" spans="1:26" ht="12.75" customHeight="1" x14ac:dyDescent="0.2">
      <c r="A30426" s="258"/>
      <c r="Z30426" s="258"/>
    </row>
    <row r="30427" spans="1:26" ht="12.75" customHeight="1" x14ac:dyDescent="0.2">
      <c r="A30427" s="258"/>
      <c r="Z30427" s="258"/>
    </row>
    <row r="30428" spans="1:26" ht="12.75" customHeight="1" x14ac:dyDescent="0.2">
      <c r="A30428" s="258"/>
      <c r="Z30428" s="258"/>
    </row>
    <row r="30429" spans="1:26" ht="12.75" customHeight="1" x14ac:dyDescent="0.2">
      <c r="A30429" s="258"/>
      <c r="Z30429" s="258"/>
    </row>
    <row r="30430" spans="1:26" ht="12.75" customHeight="1" x14ac:dyDescent="0.2">
      <c r="A30430" s="258"/>
      <c r="Z30430" s="258"/>
    </row>
    <row r="30431" spans="1:26" ht="12.75" customHeight="1" x14ac:dyDescent="0.2">
      <c r="A30431" s="258"/>
      <c r="Z30431" s="258"/>
    </row>
    <row r="30432" spans="1:26" ht="12.75" customHeight="1" x14ac:dyDescent="0.2">
      <c r="A30432" s="258"/>
      <c r="Z30432" s="258"/>
    </row>
    <row r="30433" spans="1:26" ht="12.75" customHeight="1" x14ac:dyDescent="0.2">
      <c r="A30433" s="258"/>
      <c r="Z30433" s="258"/>
    </row>
    <row r="30434" spans="1:26" ht="12.75" customHeight="1" x14ac:dyDescent="0.2">
      <c r="A30434" s="258"/>
      <c r="Z30434" s="258"/>
    </row>
    <row r="30435" spans="1:26" ht="12.75" customHeight="1" x14ac:dyDescent="0.2">
      <c r="A30435" s="258"/>
      <c r="Z30435" s="258"/>
    </row>
    <row r="30436" spans="1:26" ht="12.75" customHeight="1" x14ac:dyDescent="0.2">
      <c r="A30436" s="258"/>
      <c r="Z30436" s="258"/>
    </row>
    <row r="30437" spans="1:26" ht="12.75" customHeight="1" x14ac:dyDescent="0.2">
      <c r="A30437" s="258"/>
      <c r="Z30437" s="258"/>
    </row>
    <row r="30438" spans="1:26" ht="12.75" customHeight="1" x14ac:dyDescent="0.2">
      <c r="A30438" s="258"/>
      <c r="Z30438" s="258"/>
    </row>
    <row r="30439" spans="1:26" ht="12.75" customHeight="1" x14ac:dyDescent="0.2">
      <c r="A30439" s="258"/>
      <c r="Z30439" s="258"/>
    </row>
    <row r="30440" spans="1:26" ht="12.75" customHeight="1" x14ac:dyDescent="0.2">
      <c r="A30440" s="258"/>
      <c r="Z30440" s="258"/>
    </row>
    <row r="30441" spans="1:26" ht="12.75" customHeight="1" x14ac:dyDescent="0.2">
      <c r="A30441" s="258"/>
      <c r="Z30441" s="258"/>
    </row>
    <row r="30442" spans="1:26" ht="12.75" customHeight="1" x14ac:dyDescent="0.2">
      <c r="A30442" s="258"/>
      <c r="Z30442" s="258"/>
    </row>
    <row r="30443" spans="1:26" ht="12.75" customHeight="1" x14ac:dyDescent="0.2">
      <c r="A30443" s="258"/>
      <c r="Z30443" s="258"/>
    </row>
    <row r="30444" spans="1:26" ht="12.75" customHeight="1" x14ac:dyDescent="0.2">
      <c r="A30444" s="258"/>
      <c r="Z30444" s="258"/>
    </row>
    <row r="30445" spans="1:26" ht="12.75" customHeight="1" x14ac:dyDescent="0.2">
      <c r="A30445" s="258"/>
      <c r="Z30445" s="258"/>
    </row>
    <row r="30446" spans="1:26" ht="12.75" customHeight="1" x14ac:dyDescent="0.2">
      <c r="A30446" s="258"/>
      <c r="Z30446" s="258"/>
    </row>
    <row r="30447" spans="1:26" ht="12.75" customHeight="1" x14ac:dyDescent="0.2">
      <c r="A30447" s="258"/>
      <c r="Z30447" s="258"/>
    </row>
    <row r="30448" spans="1:26" ht="12.75" customHeight="1" x14ac:dyDescent="0.2">
      <c r="A30448" s="258"/>
      <c r="Z30448" s="258"/>
    </row>
    <row r="30449" spans="1:26" ht="12.75" customHeight="1" x14ac:dyDescent="0.2">
      <c r="A30449" s="258"/>
      <c r="Z30449" s="258"/>
    </row>
    <row r="30450" spans="1:26" ht="12.75" customHeight="1" x14ac:dyDescent="0.2">
      <c r="A30450" s="258"/>
      <c r="Z30450" s="258"/>
    </row>
    <row r="30451" spans="1:26" ht="12.75" customHeight="1" x14ac:dyDescent="0.2">
      <c r="A30451" s="258"/>
      <c r="Z30451" s="258"/>
    </row>
    <row r="30452" spans="1:26" ht="12.75" customHeight="1" x14ac:dyDescent="0.2">
      <c r="A30452" s="258"/>
      <c r="Z30452" s="258"/>
    </row>
    <row r="30453" spans="1:26" ht="12.75" customHeight="1" x14ac:dyDescent="0.2">
      <c r="A30453" s="258"/>
      <c r="Z30453" s="258"/>
    </row>
    <row r="30454" spans="1:26" ht="12.75" customHeight="1" x14ac:dyDescent="0.2">
      <c r="A30454" s="258"/>
      <c r="Z30454" s="258"/>
    </row>
    <row r="30455" spans="1:26" ht="12.75" customHeight="1" x14ac:dyDescent="0.2">
      <c r="A30455" s="258"/>
      <c r="Z30455" s="258"/>
    </row>
    <row r="30456" spans="1:26" ht="12.75" customHeight="1" x14ac:dyDescent="0.2">
      <c r="A30456" s="258"/>
      <c r="Z30456" s="258"/>
    </row>
    <row r="30457" spans="1:26" ht="12.75" customHeight="1" x14ac:dyDescent="0.2">
      <c r="A30457" s="258"/>
      <c r="Z30457" s="258"/>
    </row>
    <row r="30458" spans="1:26" ht="12.75" customHeight="1" x14ac:dyDescent="0.2">
      <c r="A30458" s="258"/>
      <c r="Z30458" s="258"/>
    </row>
    <row r="30459" spans="1:26" ht="12.75" customHeight="1" x14ac:dyDescent="0.2">
      <c r="A30459" s="258"/>
      <c r="Z30459" s="258"/>
    </row>
    <row r="30460" spans="1:26" ht="12.75" customHeight="1" x14ac:dyDescent="0.2">
      <c r="A30460" s="258"/>
      <c r="Z30460" s="258"/>
    </row>
    <row r="30461" spans="1:26" ht="12.75" customHeight="1" x14ac:dyDescent="0.2">
      <c r="A30461" s="258"/>
      <c r="Z30461" s="258"/>
    </row>
    <row r="30462" spans="1:26" ht="12.75" customHeight="1" x14ac:dyDescent="0.2">
      <c r="A30462" s="258"/>
      <c r="Z30462" s="258"/>
    </row>
    <row r="30463" spans="1:26" ht="12.75" customHeight="1" x14ac:dyDescent="0.2">
      <c r="A30463" s="258"/>
      <c r="Z30463" s="258"/>
    </row>
    <row r="30464" spans="1:26" ht="12.75" customHeight="1" x14ac:dyDescent="0.2">
      <c r="A30464" s="258"/>
      <c r="Z30464" s="258"/>
    </row>
    <row r="30465" spans="1:26" ht="12.75" customHeight="1" x14ac:dyDescent="0.2">
      <c r="A30465" s="258"/>
      <c r="Z30465" s="258"/>
    </row>
    <row r="30466" spans="1:26" ht="12.75" customHeight="1" x14ac:dyDescent="0.2">
      <c r="A30466" s="258"/>
      <c r="Z30466" s="258"/>
    </row>
    <row r="30467" spans="1:26" ht="12.75" customHeight="1" x14ac:dyDescent="0.2">
      <c r="A30467" s="258"/>
      <c r="Z30467" s="258"/>
    </row>
    <row r="30468" spans="1:26" ht="12.75" customHeight="1" x14ac:dyDescent="0.2">
      <c r="A30468" s="258"/>
      <c r="Z30468" s="258"/>
    </row>
    <row r="30469" spans="1:26" ht="12.75" customHeight="1" x14ac:dyDescent="0.2">
      <c r="A30469" s="258"/>
      <c r="Z30469" s="258"/>
    </row>
    <row r="30470" spans="1:26" ht="12.75" customHeight="1" x14ac:dyDescent="0.2">
      <c r="A30470" s="258"/>
      <c r="Z30470" s="258"/>
    </row>
    <row r="30471" spans="1:26" ht="12.75" customHeight="1" x14ac:dyDescent="0.2">
      <c r="A30471" s="258"/>
      <c r="Z30471" s="258"/>
    </row>
    <row r="30472" spans="1:26" ht="12.75" customHeight="1" x14ac:dyDescent="0.2">
      <c r="A30472" s="258"/>
      <c r="Z30472" s="258"/>
    </row>
    <row r="30473" spans="1:26" ht="12.75" customHeight="1" x14ac:dyDescent="0.2">
      <c r="A30473" s="258"/>
      <c r="Z30473" s="258"/>
    </row>
    <row r="30474" spans="1:26" ht="12.75" customHeight="1" x14ac:dyDescent="0.2">
      <c r="A30474" s="258"/>
      <c r="Z30474" s="258"/>
    </row>
    <row r="30475" spans="1:26" ht="12.75" customHeight="1" x14ac:dyDescent="0.2">
      <c r="A30475" s="258"/>
      <c r="Z30475" s="258"/>
    </row>
    <row r="30476" spans="1:26" ht="12.75" customHeight="1" x14ac:dyDescent="0.2">
      <c r="A30476" s="258"/>
      <c r="Z30476" s="258"/>
    </row>
    <row r="30477" spans="1:26" ht="12.75" customHeight="1" x14ac:dyDescent="0.2">
      <c r="A30477" s="258"/>
      <c r="Z30477" s="258"/>
    </row>
    <row r="30478" spans="1:26" ht="12.75" customHeight="1" x14ac:dyDescent="0.2">
      <c r="A30478" s="258"/>
      <c r="Z30478" s="258"/>
    </row>
    <row r="30479" spans="1:26" ht="12.75" customHeight="1" x14ac:dyDescent="0.2">
      <c r="A30479" s="258"/>
      <c r="Z30479" s="258"/>
    </row>
    <row r="30480" spans="1:26" ht="12.75" customHeight="1" x14ac:dyDescent="0.2">
      <c r="A30480" s="258"/>
      <c r="Z30480" s="258"/>
    </row>
    <row r="30481" spans="1:26" ht="12.75" customHeight="1" x14ac:dyDescent="0.2">
      <c r="A30481" s="258"/>
      <c r="Z30481" s="258"/>
    </row>
    <row r="30482" spans="1:26" ht="12.75" customHeight="1" x14ac:dyDescent="0.2">
      <c r="A30482" s="258"/>
      <c r="Z30482" s="258"/>
    </row>
    <row r="30483" spans="1:26" ht="12.75" customHeight="1" x14ac:dyDescent="0.2">
      <c r="A30483" s="258"/>
      <c r="Z30483" s="258"/>
    </row>
    <row r="30484" spans="1:26" ht="12.75" customHeight="1" x14ac:dyDescent="0.2">
      <c r="A30484" s="258"/>
      <c r="Z30484" s="258"/>
    </row>
    <row r="30485" spans="1:26" ht="12.75" customHeight="1" x14ac:dyDescent="0.2">
      <c r="A30485" s="258"/>
      <c r="Z30485" s="258"/>
    </row>
    <row r="30486" spans="1:26" ht="12.75" customHeight="1" x14ac:dyDescent="0.2">
      <c r="A30486" s="258"/>
      <c r="Z30486" s="258"/>
    </row>
    <row r="30487" spans="1:26" ht="12.75" customHeight="1" x14ac:dyDescent="0.2">
      <c r="A30487" s="258"/>
      <c r="Z30487" s="258"/>
    </row>
    <row r="30488" spans="1:26" ht="12.75" customHeight="1" x14ac:dyDescent="0.2">
      <c r="A30488" s="258"/>
      <c r="Z30488" s="258"/>
    </row>
    <row r="30489" spans="1:26" ht="12.75" customHeight="1" x14ac:dyDescent="0.2">
      <c r="A30489" s="258"/>
      <c r="Z30489" s="258"/>
    </row>
    <row r="30490" spans="1:26" ht="12.75" customHeight="1" x14ac:dyDescent="0.2">
      <c r="A30490" s="258"/>
      <c r="Z30490" s="258"/>
    </row>
    <row r="30491" spans="1:26" ht="12.75" customHeight="1" x14ac:dyDescent="0.2">
      <c r="A30491" s="258"/>
      <c r="Z30491" s="258"/>
    </row>
    <row r="30492" spans="1:26" ht="12.75" customHeight="1" x14ac:dyDescent="0.2">
      <c r="A30492" s="258"/>
      <c r="Z30492" s="258"/>
    </row>
    <row r="30493" spans="1:26" ht="12.75" customHeight="1" x14ac:dyDescent="0.2">
      <c r="A30493" s="258"/>
      <c r="Z30493" s="258"/>
    </row>
    <row r="30494" spans="1:26" ht="12.75" customHeight="1" x14ac:dyDescent="0.2">
      <c r="A30494" s="258"/>
      <c r="Z30494" s="258"/>
    </row>
    <row r="30495" spans="1:26" ht="12.75" customHeight="1" x14ac:dyDescent="0.2">
      <c r="A30495" s="258"/>
      <c r="Z30495" s="258"/>
    </row>
    <row r="30496" spans="1:26" ht="12.75" customHeight="1" x14ac:dyDescent="0.2">
      <c r="A30496" s="258"/>
      <c r="Z30496" s="258"/>
    </row>
    <row r="30497" spans="1:26" ht="12.75" customHeight="1" x14ac:dyDescent="0.2">
      <c r="A30497" s="258"/>
      <c r="Z30497" s="258"/>
    </row>
    <row r="30498" spans="1:26" ht="12.75" customHeight="1" x14ac:dyDescent="0.2">
      <c r="A30498" s="258"/>
      <c r="Z30498" s="258"/>
    </row>
    <row r="30499" spans="1:26" ht="12.75" customHeight="1" x14ac:dyDescent="0.2">
      <c r="A30499" s="258"/>
      <c r="Z30499" s="258"/>
    </row>
    <row r="30500" spans="1:26" ht="12.75" customHeight="1" x14ac:dyDescent="0.2">
      <c r="A30500" s="258"/>
      <c r="Z30500" s="258"/>
    </row>
    <row r="30501" spans="1:26" ht="12.75" customHeight="1" x14ac:dyDescent="0.2">
      <c r="A30501" s="258"/>
      <c r="Z30501" s="258"/>
    </row>
    <row r="30502" spans="1:26" ht="12.75" customHeight="1" x14ac:dyDescent="0.2">
      <c r="A30502" s="258"/>
      <c r="Z30502" s="258"/>
    </row>
    <row r="30503" spans="1:26" ht="12.75" customHeight="1" x14ac:dyDescent="0.2">
      <c r="A30503" s="258"/>
      <c r="Z30503" s="258"/>
    </row>
    <row r="30504" spans="1:26" ht="12.75" customHeight="1" x14ac:dyDescent="0.2">
      <c r="A30504" s="258"/>
      <c r="Z30504" s="258"/>
    </row>
    <row r="30505" spans="1:26" ht="12.75" customHeight="1" x14ac:dyDescent="0.2">
      <c r="A30505" s="258"/>
      <c r="Z30505" s="258"/>
    </row>
    <row r="30506" spans="1:26" ht="12.75" customHeight="1" x14ac:dyDescent="0.2">
      <c r="A30506" s="258"/>
      <c r="Z30506" s="258"/>
    </row>
    <row r="30507" spans="1:26" ht="12.75" customHeight="1" x14ac:dyDescent="0.2">
      <c r="A30507" s="258"/>
      <c r="Z30507" s="258"/>
    </row>
    <row r="30508" spans="1:26" ht="12.75" customHeight="1" x14ac:dyDescent="0.2">
      <c r="A30508" s="258"/>
      <c r="Z30508" s="258"/>
    </row>
    <row r="30509" spans="1:26" ht="12.75" customHeight="1" x14ac:dyDescent="0.2">
      <c r="A30509" s="258"/>
      <c r="Z30509" s="258"/>
    </row>
    <row r="30510" spans="1:26" ht="12.75" customHeight="1" x14ac:dyDescent="0.2">
      <c r="A30510" s="258"/>
      <c r="Z30510" s="258"/>
    </row>
    <row r="30511" spans="1:26" ht="12.75" customHeight="1" x14ac:dyDescent="0.2">
      <c r="A30511" s="258"/>
      <c r="Z30511" s="258"/>
    </row>
    <row r="30512" spans="1:26" ht="12.75" customHeight="1" x14ac:dyDescent="0.2">
      <c r="A30512" s="258"/>
      <c r="Z30512" s="258"/>
    </row>
    <row r="30513" spans="1:26" ht="12.75" customHeight="1" x14ac:dyDescent="0.2">
      <c r="A30513" s="258"/>
      <c r="Z30513" s="258"/>
    </row>
    <row r="30514" spans="1:26" ht="12.75" customHeight="1" x14ac:dyDescent="0.2">
      <c r="A30514" s="258"/>
      <c r="Z30514" s="258"/>
    </row>
    <row r="30515" spans="1:26" ht="12.75" customHeight="1" x14ac:dyDescent="0.2">
      <c r="A30515" s="258"/>
      <c r="Z30515" s="258"/>
    </row>
    <row r="30516" spans="1:26" ht="12.75" customHeight="1" x14ac:dyDescent="0.2">
      <c r="A30516" s="258"/>
      <c r="Z30516" s="258"/>
    </row>
    <row r="30517" spans="1:26" ht="12.75" customHeight="1" x14ac:dyDescent="0.2">
      <c r="A30517" s="258"/>
      <c r="Z30517" s="258"/>
    </row>
    <row r="30518" spans="1:26" ht="12.75" customHeight="1" x14ac:dyDescent="0.2">
      <c r="A30518" s="258"/>
      <c r="Z30518" s="258"/>
    </row>
    <row r="30519" spans="1:26" ht="12.75" customHeight="1" x14ac:dyDescent="0.2">
      <c r="A30519" s="258"/>
      <c r="Z30519" s="258"/>
    </row>
    <row r="30520" spans="1:26" ht="12.75" customHeight="1" x14ac:dyDescent="0.2">
      <c r="A30520" s="258"/>
      <c r="Z30520" s="258"/>
    </row>
    <row r="30521" spans="1:26" ht="12.75" customHeight="1" x14ac:dyDescent="0.2">
      <c r="A30521" s="258"/>
      <c r="Z30521" s="258"/>
    </row>
    <row r="30522" spans="1:26" ht="12.75" customHeight="1" x14ac:dyDescent="0.2">
      <c r="A30522" s="258"/>
      <c r="Z30522" s="258"/>
    </row>
    <row r="30523" spans="1:26" ht="12.75" customHeight="1" x14ac:dyDescent="0.2">
      <c r="A30523" s="258"/>
      <c r="Z30523" s="258"/>
    </row>
    <row r="30524" spans="1:26" ht="12.75" customHeight="1" x14ac:dyDescent="0.2">
      <c r="A30524" s="258"/>
      <c r="Z30524" s="258"/>
    </row>
    <row r="30525" spans="1:26" ht="12.75" customHeight="1" x14ac:dyDescent="0.2">
      <c r="A30525" s="258"/>
      <c r="Z30525" s="258"/>
    </row>
    <row r="30526" spans="1:26" ht="12.75" customHeight="1" x14ac:dyDescent="0.2">
      <c r="A30526" s="258"/>
      <c r="Z30526" s="258"/>
    </row>
    <row r="30527" spans="1:26" ht="12.75" customHeight="1" x14ac:dyDescent="0.2">
      <c r="A30527" s="258"/>
      <c r="Z30527" s="258"/>
    </row>
    <row r="30528" spans="1:26" ht="12.75" customHeight="1" x14ac:dyDescent="0.2">
      <c r="A30528" s="258"/>
      <c r="Z30528" s="258"/>
    </row>
    <row r="30529" spans="1:26" ht="12.75" customHeight="1" x14ac:dyDescent="0.2">
      <c r="A30529" s="258"/>
      <c r="Z30529" s="258"/>
    </row>
    <row r="30530" spans="1:26" ht="12.75" customHeight="1" x14ac:dyDescent="0.2">
      <c r="A30530" s="258"/>
      <c r="Z30530" s="258"/>
    </row>
    <row r="30531" spans="1:26" ht="12.75" customHeight="1" x14ac:dyDescent="0.2">
      <c r="A30531" s="258"/>
      <c r="Z30531" s="258"/>
    </row>
    <row r="30532" spans="1:26" ht="12.75" customHeight="1" x14ac:dyDescent="0.2">
      <c r="A30532" s="258"/>
      <c r="Z30532" s="258"/>
    </row>
    <row r="30533" spans="1:26" ht="12.75" customHeight="1" x14ac:dyDescent="0.2">
      <c r="A30533" s="258"/>
      <c r="Z30533" s="258"/>
    </row>
    <row r="30534" spans="1:26" ht="12.75" customHeight="1" x14ac:dyDescent="0.2">
      <c r="A30534" s="258"/>
      <c r="Z30534" s="258"/>
    </row>
    <row r="30535" spans="1:26" ht="12.75" customHeight="1" x14ac:dyDescent="0.2">
      <c r="A30535" s="258"/>
      <c r="Z30535" s="258"/>
    </row>
    <row r="30536" spans="1:26" ht="12.75" customHeight="1" x14ac:dyDescent="0.2">
      <c r="A30536" s="258"/>
      <c r="Z30536" s="258"/>
    </row>
    <row r="30537" spans="1:26" ht="12.75" customHeight="1" x14ac:dyDescent="0.2">
      <c r="A30537" s="258"/>
      <c r="Z30537" s="258"/>
    </row>
    <row r="30538" spans="1:26" ht="12.75" customHeight="1" x14ac:dyDescent="0.2">
      <c r="A30538" s="258"/>
      <c r="Z30538" s="258"/>
    </row>
    <row r="30539" spans="1:26" ht="12.75" customHeight="1" x14ac:dyDescent="0.2">
      <c r="A30539" s="258"/>
      <c r="Z30539" s="258"/>
    </row>
    <row r="30540" spans="1:26" ht="12.75" customHeight="1" x14ac:dyDescent="0.2">
      <c r="A30540" s="258"/>
      <c r="Z30540" s="258"/>
    </row>
    <row r="30541" spans="1:26" ht="12.75" customHeight="1" x14ac:dyDescent="0.2">
      <c r="A30541" s="258"/>
      <c r="Z30541" s="258"/>
    </row>
    <row r="30542" spans="1:26" ht="12.75" customHeight="1" x14ac:dyDescent="0.2">
      <c r="A30542" s="258"/>
      <c r="Z30542" s="258"/>
    </row>
    <row r="30543" spans="1:26" ht="12.75" customHeight="1" x14ac:dyDescent="0.2">
      <c r="A30543" s="258"/>
      <c r="Z30543" s="258"/>
    </row>
    <row r="30544" spans="1:26" ht="12.75" customHeight="1" x14ac:dyDescent="0.2">
      <c r="A30544" s="258"/>
      <c r="Z30544" s="258"/>
    </row>
    <row r="30545" spans="1:26" ht="12.75" customHeight="1" x14ac:dyDescent="0.2">
      <c r="A30545" s="258"/>
      <c r="Z30545" s="258"/>
    </row>
    <row r="30546" spans="1:26" ht="12.75" customHeight="1" x14ac:dyDescent="0.2">
      <c r="A30546" s="258"/>
      <c r="Z30546" s="258"/>
    </row>
    <row r="30547" spans="1:26" ht="12.75" customHeight="1" x14ac:dyDescent="0.2">
      <c r="A30547" s="258"/>
      <c r="Z30547" s="258"/>
    </row>
    <row r="30548" spans="1:26" ht="12.75" customHeight="1" x14ac:dyDescent="0.2">
      <c r="A30548" s="258"/>
      <c r="Z30548" s="258"/>
    </row>
    <row r="30549" spans="1:26" ht="12.75" customHeight="1" x14ac:dyDescent="0.2">
      <c r="A30549" s="258"/>
      <c r="Z30549" s="258"/>
    </row>
    <row r="30550" spans="1:26" ht="12.75" customHeight="1" x14ac:dyDescent="0.2">
      <c r="A30550" s="258"/>
      <c r="Z30550" s="258"/>
    </row>
    <row r="30551" spans="1:26" ht="12.75" customHeight="1" x14ac:dyDescent="0.2">
      <c r="A30551" s="258"/>
      <c r="Z30551" s="258"/>
    </row>
    <row r="30552" spans="1:26" ht="12.75" customHeight="1" x14ac:dyDescent="0.2">
      <c r="A30552" s="258"/>
      <c r="Z30552" s="258"/>
    </row>
    <row r="30553" spans="1:26" ht="12.75" customHeight="1" x14ac:dyDescent="0.2">
      <c r="A30553" s="258"/>
      <c r="Z30553" s="258"/>
    </row>
    <row r="30554" spans="1:26" ht="12.75" customHeight="1" x14ac:dyDescent="0.2">
      <c r="A30554" s="258"/>
      <c r="Z30554" s="258"/>
    </row>
    <row r="30555" spans="1:26" ht="12.75" customHeight="1" x14ac:dyDescent="0.2">
      <c r="A30555" s="258"/>
      <c r="Z30555" s="258"/>
    </row>
    <row r="30556" spans="1:26" ht="12.75" customHeight="1" x14ac:dyDescent="0.2">
      <c r="A30556" s="258"/>
      <c r="Z30556" s="258"/>
    </row>
    <row r="30557" spans="1:26" ht="12.75" customHeight="1" x14ac:dyDescent="0.2">
      <c r="A30557" s="258"/>
      <c r="Z30557" s="258"/>
    </row>
    <row r="30558" spans="1:26" ht="12.75" customHeight="1" x14ac:dyDescent="0.2">
      <c r="A30558" s="258"/>
      <c r="Z30558" s="258"/>
    </row>
    <row r="30559" spans="1:26" ht="12.75" customHeight="1" x14ac:dyDescent="0.2">
      <c r="A30559" s="258"/>
      <c r="Z30559" s="258"/>
    </row>
    <row r="30560" spans="1:26" ht="12.75" customHeight="1" x14ac:dyDescent="0.2">
      <c r="A30560" s="258"/>
      <c r="Z30560" s="258"/>
    </row>
    <row r="30561" spans="1:26" ht="12.75" customHeight="1" x14ac:dyDescent="0.2">
      <c r="A30561" s="258"/>
      <c r="Z30561" s="258"/>
    </row>
    <row r="30562" spans="1:26" ht="12.75" customHeight="1" x14ac:dyDescent="0.2">
      <c r="A30562" s="258"/>
      <c r="Z30562" s="258"/>
    </row>
    <row r="30563" spans="1:26" ht="12.75" customHeight="1" x14ac:dyDescent="0.2">
      <c r="A30563" s="258"/>
      <c r="Z30563" s="258"/>
    </row>
    <row r="30564" spans="1:26" ht="12.75" customHeight="1" x14ac:dyDescent="0.2">
      <c r="A30564" s="258"/>
      <c r="Z30564" s="258"/>
    </row>
    <row r="30565" spans="1:26" ht="12.75" customHeight="1" x14ac:dyDescent="0.2">
      <c r="A30565" s="258"/>
      <c r="Z30565" s="258"/>
    </row>
    <row r="30566" spans="1:26" ht="12.75" customHeight="1" x14ac:dyDescent="0.2">
      <c r="A30566" s="258"/>
      <c r="Z30566" s="258"/>
    </row>
    <row r="30567" spans="1:26" ht="12.75" customHeight="1" x14ac:dyDescent="0.2">
      <c r="A30567" s="258"/>
      <c r="Z30567" s="258"/>
    </row>
    <row r="30568" spans="1:26" ht="12.75" customHeight="1" x14ac:dyDescent="0.2">
      <c r="A30568" s="258"/>
      <c r="Z30568" s="258"/>
    </row>
    <row r="30569" spans="1:26" ht="12.75" customHeight="1" x14ac:dyDescent="0.2">
      <c r="A30569" s="258"/>
      <c r="Z30569" s="258"/>
    </row>
    <row r="30570" spans="1:26" ht="12.75" customHeight="1" x14ac:dyDescent="0.2">
      <c r="A30570" s="258"/>
      <c r="Z30570" s="258"/>
    </row>
    <row r="30571" spans="1:26" ht="12.75" customHeight="1" x14ac:dyDescent="0.2">
      <c r="A30571" s="258"/>
      <c r="Z30571" s="258"/>
    </row>
    <row r="30572" spans="1:26" ht="12.75" customHeight="1" x14ac:dyDescent="0.2">
      <c r="A30572" s="258"/>
      <c r="Z30572" s="258"/>
    </row>
    <row r="30573" spans="1:26" ht="12.75" customHeight="1" x14ac:dyDescent="0.2">
      <c r="A30573" s="258"/>
      <c r="Z30573" s="258"/>
    </row>
    <row r="30574" spans="1:26" ht="12.75" customHeight="1" x14ac:dyDescent="0.2">
      <c r="A30574" s="258"/>
      <c r="Z30574" s="258"/>
    </row>
    <row r="30575" spans="1:26" ht="12.75" customHeight="1" x14ac:dyDescent="0.2">
      <c r="A30575" s="258"/>
      <c r="Z30575" s="258"/>
    </row>
    <row r="30576" spans="1:26" ht="12.75" customHeight="1" x14ac:dyDescent="0.2">
      <c r="A30576" s="258"/>
      <c r="Z30576" s="258"/>
    </row>
    <row r="30577" spans="1:26" ht="12.75" customHeight="1" x14ac:dyDescent="0.2">
      <c r="A30577" s="258"/>
      <c r="Z30577" s="258"/>
    </row>
    <row r="30578" spans="1:26" ht="12.75" customHeight="1" x14ac:dyDescent="0.2">
      <c r="A30578" s="258"/>
      <c r="Z30578" s="258"/>
    </row>
    <row r="30579" spans="1:26" ht="12.75" customHeight="1" x14ac:dyDescent="0.2">
      <c r="A30579" s="258"/>
      <c r="Z30579" s="258"/>
    </row>
    <row r="30580" spans="1:26" ht="12.75" customHeight="1" x14ac:dyDescent="0.2">
      <c r="A30580" s="258"/>
      <c r="Z30580" s="258"/>
    </row>
    <row r="30581" spans="1:26" ht="12.75" customHeight="1" x14ac:dyDescent="0.2">
      <c r="A30581" s="258"/>
      <c r="Z30581" s="258"/>
    </row>
    <row r="30582" spans="1:26" ht="12.75" customHeight="1" x14ac:dyDescent="0.2">
      <c r="A30582" s="258"/>
      <c r="Z30582" s="258"/>
    </row>
    <row r="30583" spans="1:26" ht="12.75" customHeight="1" x14ac:dyDescent="0.2">
      <c r="A30583" s="258"/>
      <c r="Z30583" s="258"/>
    </row>
    <row r="30584" spans="1:26" ht="12.75" customHeight="1" x14ac:dyDescent="0.2">
      <c r="A30584" s="258"/>
      <c r="Z30584" s="258"/>
    </row>
    <row r="30585" spans="1:26" ht="12.75" customHeight="1" x14ac:dyDescent="0.2">
      <c r="A30585" s="258"/>
      <c r="Z30585" s="258"/>
    </row>
    <row r="30586" spans="1:26" ht="12.75" customHeight="1" x14ac:dyDescent="0.2">
      <c r="A30586" s="258"/>
      <c r="Z30586" s="258"/>
    </row>
    <row r="30587" spans="1:26" ht="12.75" customHeight="1" x14ac:dyDescent="0.2">
      <c r="A30587" s="258"/>
      <c r="Z30587" s="258"/>
    </row>
    <row r="30588" spans="1:26" ht="12.75" customHeight="1" x14ac:dyDescent="0.2">
      <c r="A30588" s="258"/>
      <c r="Z30588" s="258"/>
    </row>
    <row r="30589" spans="1:26" ht="12.75" customHeight="1" x14ac:dyDescent="0.2">
      <c r="A30589" s="258"/>
      <c r="Z30589" s="258"/>
    </row>
    <row r="30590" spans="1:26" ht="12.75" customHeight="1" x14ac:dyDescent="0.2">
      <c r="A30590" s="258"/>
      <c r="Z30590" s="258"/>
    </row>
    <row r="30591" spans="1:26" ht="12.75" customHeight="1" x14ac:dyDescent="0.2">
      <c r="A30591" s="258"/>
      <c r="Z30591" s="258"/>
    </row>
    <row r="30592" spans="1:26" ht="12.75" customHeight="1" x14ac:dyDescent="0.2">
      <c r="A30592" s="258"/>
      <c r="Z30592" s="258"/>
    </row>
    <row r="30593" spans="1:26" ht="12.75" customHeight="1" x14ac:dyDescent="0.2">
      <c r="A30593" s="258"/>
      <c r="Z30593" s="258"/>
    </row>
    <row r="30594" spans="1:26" ht="12.75" customHeight="1" x14ac:dyDescent="0.2">
      <c r="A30594" s="258"/>
      <c r="Z30594" s="258"/>
    </row>
    <row r="30595" spans="1:26" ht="12.75" customHeight="1" x14ac:dyDescent="0.2">
      <c r="A30595" s="258"/>
      <c r="Z30595" s="258"/>
    </row>
    <row r="30596" spans="1:26" ht="12.75" customHeight="1" x14ac:dyDescent="0.2">
      <c r="A30596" s="258"/>
      <c r="Z30596" s="258"/>
    </row>
    <row r="30597" spans="1:26" ht="12.75" customHeight="1" x14ac:dyDescent="0.2">
      <c r="A30597" s="258"/>
      <c r="Z30597" s="258"/>
    </row>
    <row r="30598" spans="1:26" ht="12.75" customHeight="1" x14ac:dyDescent="0.2">
      <c r="A30598" s="258"/>
      <c r="Z30598" s="258"/>
    </row>
    <row r="30599" spans="1:26" ht="12.75" customHeight="1" x14ac:dyDescent="0.2">
      <c r="A30599" s="258"/>
      <c r="Z30599" s="258"/>
    </row>
    <row r="30600" spans="1:26" ht="12.75" customHeight="1" x14ac:dyDescent="0.2">
      <c r="A30600" s="258"/>
      <c r="Z30600" s="258"/>
    </row>
    <row r="30601" spans="1:26" ht="12.75" customHeight="1" x14ac:dyDescent="0.2">
      <c r="A30601" s="258"/>
      <c r="Z30601" s="258"/>
    </row>
    <row r="30602" spans="1:26" ht="12.75" customHeight="1" x14ac:dyDescent="0.2">
      <c r="A30602" s="258"/>
      <c r="Z30602" s="258"/>
    </row>
    <row r="30603" spans="1:26" ht="12.75" customHeight="1" x14ac:dyDescent="0.2">
      <c r="A30603" s="258"/>
      <c r="Z30603" s="258"/>
    </row>
    <row r="30604" spans="1:26" ht="12.75" customHeight="1" x14ac:dyDescent="0.2">
      <c r="A30604" s="258"/>
      <c r="Z30604" s="258"/>
    </row>
    <row r="30605" spans="1:26" ht="12.75" customHeight="1" x14ac:dyDescent="0.2">
      <c r="A30605" s="258"/>
      <c r="Z30605" s="258"/>
    </row>
    <row r="30606" spans="1:26" ht="12.75" customHeight="1" x14ac:dyDescent="0.2">
      <c r="A30606" s="258"/>
      <c r="Z30606" s="258"/>
    </row>
    <row r="30607" spans="1:26" ht="12.75" customHeight="1" x14ac:dyDescent="0.2">
      <c r="A30607" s="258"/>
      <c r="Z30607" s="258"/>
    </row>
    <row r="30608" spans="1:26" ht="12.75" customHeight="1" x14ac:dyDescent="0.2">
      <c r="A30608" s="258"/>
      <c r="Z30608" s="258"/>
    </row>
    <row r="30609" spans="1:26" ht="12.75" customHeight="1" x14ac:dyDescent="0.2">
      <c r="A30609" s="258"/>
      <c r="Z30609" s="258"/>
    </row>
    <row r="30610" spans="1:26" ht="12.75" customHeight="1" x14ac:dyDescent="0.2">
      <c r="A30610" s="258"/>
      <c r="Z30610" s="258"/>
    </row>
    <row r="30611" spans="1:26" ht="12.75" customHeight="1" x14ac:dyDescent="0.2">
      <c r="A30611" s="258"/>
      <c r="Z30611" s="258"/>
    </row>
    <row r="30612" spans="1:26" ht="12.75" customHeight="1" x14ac:dyDescent="0.2">
      <c r="A30612" s="258"/>
      <c r="Z30612" s="258"/>
    </row>
    <row r="30613" spans="1:26" ht="12.75" customHeight="1" x14ac:dyDescent="0.2">
      <c r="A30613" s="258"/>
      <c r="Z30613" s="258"/>
    </row>
    <row r="30614" spans="1:26" ht="12.75" customHeight="1" x14ac:dyDescent="0.2">
      <c r="A30614" s="258"/>
      <c r="Z30614" s="258"/>
    </row>
    <row r="30615" spans="1:26" ht="12.75" customHeight="1" x14ac:dyDescent="0.2">
      <c r="A30615" s="258"/>
      <c r="Z30615" s="258"/>
    </row>
    <row r="30616" spans="1:26" ht="12.75" customHeight="1" x14ac:dyDescent="0.2">
      <c r="A30616" s="258"/>
      <c r="Z30616" s="258"/>
    </row>
    <row r="30617" spans="1:26" ht="12.75" customHeight="1" x14ac:dyDescent="0.2">
      <c r="A30617" s="258"/>
      <c r="Z30617" s="258"/>
    </row>
    <row r="30618" spans="1:26" ht="12.75" customHeight="1" x14ac:dyDescent="0.2">
      <c r="A30618" s="258"/>
      <c r="Z30618" s="258"/>
    </row>
    <row r="30619" spans="1:26" ht="12.75" customHeight="1" x14ac:dyDescent="0.2">
      <c r="A30619" s="258"/>
      <c r="Z30619" s="258"/>
    </row>
    <row r="30620" spans="1:26" ht="12.75" customHeight="1" x14ac:dyDescent="0.2">
      <c r="A30620" s="258"/>
      <c r="Z30620" s="258"/>
    </row>
    <row r="30621" spans="1:26" ht="12.75" customHeight="1" x14ac:dyDescent="0.2">
      <c r="A30621" s="258"/>
      <c r="Z30621" s="258"/>
    </row>
    <row r="30622" spans="1:26" ht="12.75" customHeight="1" x14ac:dyDescent="0.2">
      <c r="A30622" s="258"/>
      <c r="Z30622" s="258"/>
    </row>
    <row r="30623" spans="1:26" ht="12.75" customHeight="1" x14ac:dyDescent="0.2">
      <c r="A30623" s="258"/>
      <c r="Z30623" s="258"/>
    </row>
    <row r="30624" spans="1:26" ht="12.75" customHeight="1" x14ac:dyDescent="0.2">
      <c r="A30624" s="258"/>
      <c r="Z30624" s="258"/>
    </row>
    <row r="30625" spans="1:26" ht="12.75" customHeight="1" x14ac:dyDescent="0.2">
      <c r="A30625" s="258"/>
      <c r="Z30625" s="258"/>
    </row>
    <row r="30626" spans="1:26" ht="12.75" customHeight="1" x14ac:dyDescent="0.2">
      <c r="A30626" s="258"/>
      <c r="Z30626" s="258"/>
    </row>
    <row r="30627" spans="1:26" ht="12.75" customHeight="1" x14ac:dyDescent="0.2">
      <c r="A30627" s="258"/>
      <c r="Z30627" s="258"/>
    </row>
    <row r="30628" spans="1:26" ht="12.75" customHeight="1" x14ac:dyDescent="0.2">
      <c r="A30628" s="258"/>
      <c r="Z30628" s="258"/>
    </row>
    <row r="30629" spans="1:26" ht="12.75" customHeight="1" x14ac:dyDescent="0.2">
      <c r="A30629" s="258"/>
      <c r="Z30629" s="258"/>
    </row>
    <row r="30630" spans="1:26" ht="12.75" customHeight="1" x14ac:dyDescent="0.2">
      <c r="A30630" s="258"/>
      <c r="Z30630" s="258"/>
    </row>
    <row r="30631" spans="1:26" ht="12.75" customHeight="1" x14ac:dyDescent="0.2">
      <c r="A30631" s="258"/>
      <c r="Z30631" s="258"/>
    </row>
    <row r="30632" spans="1:26" ht="12.75" customHeight="1" x14ac:dyDescent="0.2">
      <c r="A30632" s="258"/>
      <c r="Z30632" s="258"/>
    </row>
    <row r="30633" spans="1:26" ht="12.75" customHeight="1" x14ac:dyDescent="0.2">
      <c r="A30633" s="258"/>
      <c r="Z30633" s="258"/>
    </row>
    <row r="30634" spans="1:26" ht="12.75" customHeight="1" x14ac:dyDescent="0.2">
      <c r="A30634" s="258"/>
      <c r="Z30634" s="258"/>
    </row>
    <row r="30635" spans="1:26" ht="12.75" customHeight="1" x14ac:dyDescent="0.2">
      <c r="A30635" s="258"/>
      <c r="Z30635" s="258"/>
    </row>
    <row r="30636" spans="1:26" ht="12.75" customHeight="1" x14ac:dyDescent="0.2">
      <c r="A30636" s="258"/>
      <c r="Z30636" s="258"/>
    </row>
    <row r="30637" spans="1:26" ht="12.75" customHeight="1" x14ac:dyDescent="0.2">
      <c r="A30637" s="258"/>
      <c r="Z30637" s="258"/>
    </row>
    <row r="30638" spans="1:26" ht="12.75" customHeight="1" x14ac:dyDescent="0.2">
      <c r="A30638" s="258"/>
      <c r="Z30638" s="258"/>
    </row>
    <row r="30639" spans="1:26" ht="12.75" customHeight="1" x14ac:dyDescent="0.2">
      <c r="A30639" s="258"/>
      <c r="Z30639" s="258"/>
    </row>
    <row r="30640" spans="1:26" ht="12.75" customHeight="1" x14ac:dyDescent="0.2">
      <c r="A30640" s="258"/>
      <c r="Z30640" s="258"/>
    </row>
    <row r="30641" spans="1:26" ht="12.75" customHeight="1" x14ac:dyDescent="0.2">
      <c r="A30641" s="258"/>
      <c r="Z30641" s="258"/>
    </row>
    <row r="30642" spans="1:26" ht="12.75" customHeight="1" x14ac:dyDescent="0.2">
      <c r="A30642" s="258"/>
      <c r="Z30642" s="258"/>
    </row>
    <row r="30643" spans="1:26" ht="12.75" customHeight="1" x14ac:dyDescent="0.2">
      <c r="A30643" s="258"/>
      <c r="Z30643" s="258"/>
    </row>
    <row r="30644" spans="1:26" ht="12.75" customHeight="1" x14ac:dyDescent="0.2">
      <c r="A30644" s="258"/>
      <c r="Z30644" s="258"/>
    </row>
    <row r="30645" spans="1:26" ht="12.75" customHeight="1" x14ac:dyDescent="0.2">
      <c r="A30645" s="258"/>
      <c r="Z30645" s="258"/>
    </row>
    <row r="30646" spans="1:26" ht="12.75" customHeight="1" x14ac:dyDescent="0.2">
      <c r="A30646" s="258"/>
      <c r="Z30646" s="258"/>
    </row>
    <row r="30647" spans="1:26" ht="12.75" customHeight="1" x14ac:dyDescent="0.2">
      <c r="A30647" s="258"/>
      <c r="Z30647" s="258"/>
    </row>
    <row r="30648" spans="1:26" ht="12.75" customHeight="1" x14ac:dyDescent="0.2">
      <c r="A30648" s="258"/>
      <c r="Z30648" s="258"/>
    </row>
    <row r="30649" spans="1:26" ht="12.75" customHeight="1" x14ac:dyDescent="0.2">
      <c r="A30649" s="258"/>
      <c r="Z30649" s="258"/>
    </row>
    <row r="30650" spans="1:26" ht="12.75" customHeight="1" x14ac:dyDescent="0.2">
      <c r="A30650" s="258"/>
      <c r="Z30650" s="258"/>
    </row>
    <row r="30651" spans="1:26" ht="12.75" customHeight="1" x14ac:dyDescent="0.2">
      <c r="A30651" s="258"/>
      <c r="Z30651" s="258"/>
    </row>
    <row r="30652" spans="1:26" ht="12.75" customHeight="1" x14ac:dyDescent="0.2">
      <c r="A30652" s="258"/>
      <c r="Z30652" s="258"/>
    </row>
    <row r="30653" spans="1:26" ht="12.75" customHeight="1" x14ac:dyDescent="0.2">
      <c r="A30653" s="258"/>
      <c r="Z30653" s="258"/>
    </row>
    <row r="30654" spans="1:26" ht="12.75" customHeight="1" x14ac:dyDescent="0.2">
      <c r="A30654" s="258"/>
      <c r="Z30654" s="258"/>
    </row>
    <row r="30655" spans="1:26" ht="12.75" customHeight="1" x14ac:dyDescent="0.2">
      <c r="A30655" s="258"/>
      <c r="Z30655" s="258"/>
    </row>
    <row r="30656" spans="1:26" ht="12.75" customHeight="1" x14ac:dyDescent="0.2">
      <c r="A30656" s="258"/>
      <c r="Z30656" s="258"/>
    </row>
    <row r="30657" spans="1:26" ht="12.75" customHeight="1" x14ac:dyDescent="0.2">
      <c r="A30657" s="258"/>
      <c r="Z30657" s="258"/>
    </row>
    <row r="30658" spans="1:26" ht="12.75" customHeight="1" x14ac:dyDescent="0.2">
      <c r="A30658" s="258"/>
      <c r="Z30658" s="258"/>
    </row>
    <row r="30659" spans="1:26" ht="12.75" customHeight="1" x14ac:dyDescent="0.2">
      <c r="A30659" s="258"/>
      <c r="Z30659" s="258"/>
    </row>
    <row r="30660" spans="1:26" ht="12.75" customHeight="1" x14ac:dyDescent="0.2">
      <c r="A30660" s="258"/>
      <c r="Z30660" s="258"/>
    </row>
    <row r="30661" spans="1:26" ht="12.75" customHeight="1" x14ac:dyDescent="0.2">
      <c r="A30661" s="258"/>
      <c r="Z30661" s="258"/>
    </row>
    <row r="30662" spans="1:26" ht="12.75" customHeight="1" x14ac:dyDescent="0.2">
      <c r="A30662" s="258"/>
      <c r="Z30662" s="258"/>
    </row>
    <row r="30663" spans="1:26" ht="12.75" customHeight="1" x14ac:dyDescent="0.2">
      <c r="A30663" s="258"/>
      <c r="Z30663" s="258"/>
    </row>
    <row r="30664" spans="1:26" ht="12.75" customHeight="1" x14ac:dyDescent="0.2">
      <c r="A30664" s="258"/>
      <c r="Z30664" s="258"/>
    </row>
    <row r="30665" spans="1:26" ht="12.75" customHeight="1" x14ac:dyDescent="0.2">
      <c r="A30665" s="258"/>
      <c r="Z30665" s="258"/>
    </row>
    <row r="30666" spans="1:26" ht="12.75" customHeight="1" x14ac:dyDescent="0.2">
      <c r="A30666" s="258"/>
      <c r="Z30666" s="258"/>
    </row>
    <row r="30667" spans="1:26" ht="12.75" customHeight="1" x14ac:dyDescent="0.2">
      <c r="A30667" s="258"/>
      <c r="Z30667" s="258"/>
    </row>
    <row r="30668" spans="1:26" ht="12.75" customHeight="1" x14ac:dyDescent="0.2">
      <c r="A30668" s="258"/>
      <c r="Z30668" s="258"/>
    </row>
    <row r="30669" spans="1:26" ht="12.75" customHeight="1" x14ac:dyDescent="0.2">
      <c r="A30669" s="258"/>
      <c r="Z30669" s="258"/>
    </row>
    <row r="30670" spans="1:26" ht="12.75" customHeight="1" x14ac:dyDescent="0.2">
      <c r="A30670" s="258"/>
      <c r="Z30670" s="258"/>
    </row>
    <row r="30671" spans="1:26" ht="12.75" customHeight="1" x14ac:dyDescent="0.2">
      <c r="A30671" s="258"/>
      <c r="Z30671" s="258"/>
    </row>
    <row r="30672" spans="1:26" ht="12.75" customHeight="1" x14ac:dyDescent="0.2">
      <c r="A30672" s="258"/>
      <c r="Z30672" s="258"/>
    </row>
    <row r="30673" spans="1:26" ht="12.75" customHeight="1" x14ac:dyDescent="0.2">
      <c r="A30673" s="258"/>
      <c r="Z30673" s="258"/>
    </row>
    <row r="30674" spans="1:26" ht="12.75" customHeight="1" x14ac:dyDescent="0.2">
      <c r="A30674" s="258"/>
      <c r="Z30674" s="258"/>
    </row>
    <row r="30675" spans="1:26" ht="12.75" customHeight="1" x14ac:dyDescent="0.2">
      <c r="A30675" s="258"/>
      <c r="Z30675" s="258"/>
    </row>
    <row r="30676" spans="1:26" ht="12.75" customHeight="1" x14ac:dyDescent="0.2">
      <c r="A30676" s="258"/>
      <c r="Z30676" s="258"/>
    </row>
    <row r="30677" spans="1:26" ht="12.75" customHeight="1" x14ac:dyDescent="0.2">
      <c r="A30677" s="258"/>
      <c r="Z30677" s="258"/>
    </row>
    <row r="30678" spans="1:26" ht="12.75" customHeight="1" x14ac:dyDescent="0.2">
      <c r="A30678" s="258"/>
      <c r="Z30678" s="258"/>
    </row>
    <row r="30679" spans="1:26" ht="12.75" customHeight="1" x14ac:dyDescent="0.2">
      <c r="A30679" s="258"/>
      <c r="Z30679" s="258"/>
    </row>
    <row r="30680" spans="1:26" ht="12.75" customHeight="1" x14ac:dyDescent="0.2">
      <c r="A30680" s="258"/>
      <c r="Z30680" s="258"/>
    </row>
    <row r="30681" spans="1:26" ht="12.75" customHeight="1" x14ac:dyDescent="0.2">
      <c r="A30681" s="258"/>
      <c r="Z30681" s="258"/>
    </row>
    <row r="30682" spans="1:26" ht="12.75" customHeight="1" x14ac:dyDescent="0.2">
      <c r="A30682" s="258"/>
      <c r="Z30682" s="258"/>
    </row>
    <row r="30683" spans="1:26" ht="12.75" customHeight="1" x14ac:dyDescent="0.2">
      <c r="A30683" s="258"/>
      <c r="Z30683" s="258"/>
    </row>
    <row r="30684" spans="1:26" ht="12.75" customHeight="1" x14ac:dyDescent="0.2">
      <c r="A30684" s="258"/>
      <c r="Z30684" s="258"/>
    </row>
    <row r="30685" spans="1:26" ht="12.75" customHeight="1" x14ac:dyDescent="0.2">
      <c r="A30685" s="258"/>
      <c r="Z30685" s="258"/>
    </row>
    <row r="30686" spans="1:26" ht="12.75" customHeight="1" x14ac:dyDescent="0.2">
      <c r="A30686" s="258"/>
      <c r="Z30686" s="258"/>
    </row>
    <row r="30687" spans="1:26" ht="12.75" customHeight="1" x14ac:dyDescent="0.2">
      <c r="A30687" s="258"/>
      <c r="Z30687" s="258"/>
    </row>
    <row r="30688" spans="1:26" ht="12.75" customHeight="1" x14ac:dyDescent="0.2">
      <c r="A30688" s="258"/>
      <c r="Z30688" s="258"/>
    </row>
    <row r="30689" spans="1:26" ht="12.75" customHeight="1" x14ac:dyDescent="0.2">
      <c r="A30689" s="258"/>
      <c r="Z30689" s="258"/>
    </row>
    <row r="30690" spans="1:26" ht="12.75" customHeight="1" x14ac:dyDescent="0.2">
      <c r="A30690" s="258"/>
      <c r="Z30690" s="258"/>
    </row>
    <row r="30691" spans="1:26" ht="12.75" customHeight="1" x14ac:dyDescent="0.2">
      <c r="A30691" s="258"/>
      <c r="Z30691" s="258"/>
    </row>
    <row r="30692" spans="1:26" ht="12.75" customHeight="1" x14ac:dyDescent="0.2">
      <c r="A30692" s="258"/>
      <c r="Z30692" s="258"/>
    </row>
    <row r="30693" spans="1:26" ht="12.75" customHeight="1" x14ac:dyDescent="0.2">
      <c r="A30693" s="258"/>
      <c r="Z30693" s="258"/>
    </row>
    <row r="30694" spans="1:26" ht="12.75" customHeight="1" x14ac:dyDescent="0.2">
      <c r="A30694" s="258"/>
      <c r="Z30694" s="258"/>
    </row>
    <row r="30695" spans="1:26" ht="12.75" customHeight="1" x14ac:dyDescent="0.2">
      <c r="A30695" s="258"/>
      <c r="Z30695" s="258"/>
    </row>
    <row r="30696" spans="1:26" ht="12.75" customHeight="1" x14ac:dyDescent="0.2">
      <c r="A30696" s="258"/>
      <c r="Z30696" s="258"/>
    </row>
    <row r="30697" spans="1:26" ht="12.75" customHeight="1" x14ac:dyDescent="0.2">
      <c r="A30697" s="258"/>
      <c r="Z30697" s="258"/>
    </row>
    <row r="30698" spans="1:26" ht="12.75" customHeight="1" x14ac:dyDescent="0.2">
      <c r="A30698" s="258"/>
      <c r="Z30698" s="258"/>
    </row>
    <row r="30699" spans="1:26" ht="12.75" customHeight="1" x14ac:dyDescent="0.2">
      <c r="A30699" s="258"/>
      <c r="Z30699" s="258"/>
    </row>
    <row r="30700" spans="1:26" ht="12.75" customHeight="1" x14ac:dyDescent="0.2">
      <c r="A30700" s="258"/>
      <c r="Z30700" s="258"/>
    </row>
    <row r="30701" spans="1:26" ht="12.75" customHeight="1" x14ac:dyDescent="0.2">
      <c r="A30701" s="258"/>
      <c r="Z30701" s="258"/>
    </row>
    <row r="30702" spans="1:26" ht="12.75" customHeight="1" x14ac:dyDescent="0.2">
      <c r="A30702" s="258"/>
      <c r="Z30702" s="258"/>
    </row>
    <row r="30703" spans="1:26" ht="12.75" customHeight="1" x14ac:dyDescent="0.2">
      <c r="A30703" s="258"/>
      <c r="Z30703" s="258"/>
    </row>
    <row r="30704" spans="1:26" ht="12.75" customHeight="1" x14ac:dyDescent="0.2">
      <c r="A30704" s="258"/>
      <c r="Z30704" s="258"/>
    </row>
    <row r="30705" spans="1:26" ht="12.75" customHeight="1" x14ac:dyDescent="0.2">
      <c r="A30705" s="258"/>
      <c r="Z30705" s="258"/>
    </row>
    <row r="30706" spans="1:26" ht="12.75" customHeight="1" x14ac:dyDescent="0.2">
      <c r="A30706" s="258"/>
      <c r="Z30706" s="258"/>
    </row>
    <row r="30707" spans="1:26" ht="12.75" customHeight="1" x14ac:dyDescent="0.2">
      <c r="A30707" s="258"/>
      <c r="Z30707" s="258"/>
    </row>
    <row r="30708" spans="1:26" ht="12.75" customHeight="1" x14ac:dyDescent="0.2">
      <c r="A30708" s="258"/>
      <c r="Z30708" s="258"/>
    </row>
    <row r="30709" spans="1:26" ht="12.75" customHeight="1" x14ac:dyDescent="0.2">
      <c r="A30709" s="258"/>
      <c r="Z30709" s="258"/>
    </row>
    <row r="30710" spans="1:26" ht="12.75" customHeight="1" x14ac:dyDescent="0.2">
      <c r="A30710" s="258"/>
      <c r="Z30710" s="258"/>
    </row>
    <row r="30711" spans="1:26" ht="12.75" customHeight="1" x14ac:dyDescent="0.2">
      <c r="A30711" s="258"/>
      <c r="Z30711" s="258"/>
    </row>
    <row r="30712" spans="1:26" ht="12.75" customHeight="1" x14ac:dyDescent="0.2">
      <c r="A30712" s="258"/>
      <c r="Z30712" s="258"/>
    </row>
    <row r="30713" spans="1:26" ht="12.75" customHeight="1" x14ac:dyDescent="0.2">
      <c r="A30713" s="258"/>
      <c r="Z30713" s="258"/>
    </row>
    <row r="30714" spans="1:26" ht="12.75" customHeight="1" x14ac:dyDescent="0.2">
      <c r="A30714" s="258"/>
      <c r="Z30714" s="258"/>
    </row>
    <row r="30715" spans="1:26" ht="12.75" customHeight="1" x14ac:dyDescent="0.2">
      <c r="A30715" s="258"/>
      <c r="Z30715" s="258"/>
    </row>
    <row r="30716" spans="1:26" ht="12.75" customHeight="1" x14ac:dyDescent="0.2">
      <c r="A30716" s="258"/>
      <c r="Z30716" s="258"/>
    </row>
    <row r="30717" spans="1:26" ht="12.75" customHeight="1" x14ac:dyDescent="0.2">
      <c r="A30717" s="258"/>
      <c r="Z30717" s="258"/>
    </row>
    <row r="30718" spans="1:26" ht="12.75" customHeight="1" x14ac:dyDescent="0.2">
      <c r="A30718" s="258"/>
      <c r="Z30718" s="258"/>
    </row>
    <row r="30719" spans="1:26" ht="12.75" customHeight="1" x14ac:dyDescent="0.2">
      <c r="A30719" s="258"/>
      <c r="Z30719" s="258"/>
    </row>
    <row r="30720" spans="1:26" ht="12.75" customHeight="1" x14ac:dyDescent="0.2">
      <c r="A30720" s="258"/>
      <c r="Z30720" s="258"/>
    </row>
    <row r="30721" spans="1:26" ht="12.75" customHeight="1" x14ac:dyDescent="0.2">
      <c r="A30721" s="258"/>
      <c r="Z30721" s="258"/>
    </row>
    <row r="30722" spans="1:26" ht="12.75" customHeight="1" x14ac:dyDescent="0.2">
      <c r="A30722" s="258"/>
      <c r="Z30722" s="258"/>
    </row>
    <row r="30723" spans="1:26" ht="12.75" customHeight="1" x14ac:dyDescent="0.2">
      <c r="A30723" s="258"/>
      <c r="Z30723" s="258"/>
    </row>
    <row r="30724" spans="1:26" ht="12.75" customHeight="1" x14ac:dyDescent="0.2">
      <c r="A30724" s="258"/>
      <c r="Z30724" s="258"/>
    </row>
    <row r="30725" spans="1:26" ht="12.75" customHeight="1" x14ac:dyDescent="0.2">
      <c r="A30725" s="258"/>
      <c r="Z30725" s="258"/>
    </row>
    <row r="30726" spans="1:26" ht="12.75" customHeight="1" x14ac:dyDescent="0.2">
      <c r="A30726" s="258"/>
      <c r="Z30726" s="258"/>
    </row>
    <row r="30727" spans="1:26" ht="12.75" customHeight="1" x14ac:dyDescent="0.2">
      <c r="A30727" s="258"/>
      <c r="Z30727" s="258"/>
    </row>
    <row r="30728" spans="1:26" ht="12.75" customHeight="1" x14ac:dyDescent="0.2">
      <c r="A30728" s="258"/>
      <c r="Z30728" s="258"/>
    </row>
    <row r="30729" spans="1:26" ht="12.75" customHeight="1" x14ac:dyDescent="0.2">
      <c r="A30729" s="258"/>
      <c r="Z30729" s="258"/>
    </row>
    <row r="30730" spans="1:26" ht="12.75" customHeight="1" x14ac:dyDescent="0.2">
      <c r="A30730" s="258"/>
      <c r="Z30730" s="258"/>
    </row>
    <row r="30731" spans="1:26" ht="12.75" customHeight="1" x14ac:dyDescent="0.2">
      <c r="A30731" s="258"/>
      <c r="Z30731" s="258"/>
    </row>
    <row r="30732" spans="1:26" ht="12.75" customHeight="1" x14ac:dyDescent="0.2">
      <c r="A30732" s="258"/>
      <c r="Z30732" s="258"/>
    </row>
    <row r="30733" spans="1:26" ht="12.75" customHeight="1" x14ac:dyDescent="0.2">
      <c r="A30733" s="258"/>
      <c r="Z30733" s="258"/>
    </row>
    <row r="30734" spans="1:26" ht="12.75" customHeight="1" x14ac:dyDescent="0.2">
      <c r="A30734" s="258"/>
      <c r="Z30734" s="258"/>
    </row>
    <row r="30735" spans="1:26" ht="12.75" customHeight="1" x14ac:dyDescent="0.2">
      <c r="A30735" s="258"/>
      <c r="Z30735" s="258"/>
    </row>
    <row r="30736" spans="1:26" ht="12.75" customHeight="1" x14ac:dyDescent="0.2">
      <c r="A30736" s="258"/>
      <c r="Z30736" s="258"/>
    </row>
    <row r="30737" spans="1:26" ht="12.75" customHeight="1" x14ac:dyDescent="0.2">
      <c r="A30737" s="258"/>
      <c r="Z30737" s="258"/>
    </row>
    <row r="30738" spans="1:26" ht="12.75" customHeight="1" x14ac:dyDescent="0.2">
      <c r="A30738" s="258"/>
      <c r="Z30738" s="258"/>
    </row>
    <row r="30739" spans="1:26" ht="12.75" customHeight="1" x14ac:dyDescent="0.2">
      <c r="A30739" s="258"/>
      <c r="Z30739" s="258"/>
    </row>
    <row r="30740" spans="1:26" ht="12.75" customHeight="1" x14ac:dyDescent="0.2">
      <c r="A30740" s="258"/>
      <c r="Z30740" s="258"/>
    </row>
    <row r="30741" spans="1:26" ht="12.75" customHeight="1" x14ac:dyDescent="0.2">
      <c r="A30741" s="258"/>
      <c r="Z30741" s="258"/>
    </row>
    <row r="30742" spans="1:26" ht="12.75" customHeight="1" x14ac:dyDescent="0.2">
      <c r="A30742" s="258"/>
      <c r="Z30742" s="258"/>
    </row>
    <row r="30743" spans="1:26" ht="12.75" customHeight="1" x14ac:dyDescent="0.2">
      <c r="A30743" s="258"/>
      <c r="Z30743" s="258"/>
    </row>
    <row r="30744" spans="1:26" ht="12.75" customHeight="1" x14ac:dyDescent="0.2">
      <c r="A30744" s="258"/>
      <c r="Z30744" s="258"/>
    </row>
    <row r="30745" spans="1:26" ht="12.75" customHeight="1" x14ac:dyDescent="0.2">
      <c r="A30745" s="258"/>
      <c r="Z30745" s="258"/>
    </row>
    <row r="30746" spans="1:26" ht="12.75" customHeight="1" x14ac:dyDescent="0.2">
      <c r="A30746" s="258"/>
      <c r="Z30746" s="258"/>
    </row>
    <row r="30747" spans="1:26" ht="12.75" customHeight="1" x14ac:dyDescent="0.2">
      <c r="A30747" s="258"/>
      <c r="Z30747" s="258"/>
    </row>
    <row r="30748" spans="1:26" ht="12.75" customHeight="1" x14ac:dyDescent="0.2">
      <c r="A30748" s="258"/>
      <c r="Z30748" s="258"/>
    </row>
    <row r="30749" spans="1:26" ht="12.75" customHeight="1" x14ac:dyDescent="0.2">
      <c r="A30749" s="258"/>
      <c r="Z30749" s="258"/>
    </row>
    <row r="30750" spans="1:26" ht="12.75" customHeight="1" x14ac:dyDescent="0.2">
      <c r="A30750" s="258"/>
      <c r="Z30750" s="258"/>
    </row>
    <row r="30751" spans="1:26" ht="12.75" customHeight="1" x14ac:dyDescent="0.2">
      <c r="A30751" s="258"/>
      <c r="Z30751" s="258"/>
    </row>
    <row r="30752" spans="1:26" ht="12.75" customHeight="1" x14ac:dyDescent="0.2">
      <c r="A30752" s="258"/>
      <c r="Z30752" s="258"/>
    </row>
    <row r="30753" spans="1:26" ht="12.75" customHeight="1" x14ac:dyDescent="0.2">
      <c r="A30753" s="258"/>
      <c r="Z30753" s="258"/>
    </row>
    <row r="30754" spans="1:26" ht="12.75" customHeight="1" x14ac:dyDescent="0.2">
      <c r="A30754" s="258"/>
      <c r="Z30754" s="258"/>
    </row>
    <row r="30755" spans="1:26" ht="12.75" customHeight="1" x14ac:dyDescent="0.2">
      <c r="A30755" s="258"/>
      <c r="Z30755" s="258"/>
    </row>
    <row r="30756" spans="1:26" ht="12.75" customHeight="1" x14ac:dyDescent="0.2">
      <c r="A30756" s="258"/>
      <c r="Z30756" s="258"/>
    </row>
    <row r="30757" spans="1:26" ht="12.75" customHeight="1" x14ac:dyDescent="0.2">
      <c r="A30757" s="258"/>
      <c r="Z30757" s="258"/>
    </row>
    <row r="30758" spans="1:26" ht="12.75" customHeight="1" x14ac:dyDescent="0.2">
      <c r="A30758" s="258"/>
      <c r="Z30758" s="258"/>
    </row>
    <row r="30759" spans="1:26" ht="12.75" customHeight="1" x14ac:dyDescent="0.2">
      <c r="A30759" s="258"/>
      <c r="Z30759" s="258"/>
    </row>
    <row r="30760" spans="1:26" ht="12.75" customHeight="1" x14ac:dyDescent="0.2">
      <c r="A30760" s="258"/>
      <c r="Z30760" s="258"/>
    </row>
    <row r="30761" spans="1:26" ht="12.75" customHeight="1" x14ac:dyDescent="0.2">
      <c r="A30761" s="258"/>
      <c r="Z30761" s="258"/>
    </row>
    <row r="30762" spans="1:26" ht="12.75" customHeight="1" x14ac:dyDescent="0.2">
      <c r="A30762" s="258"/>
      <c r="Z30762" s="258"/>
    </row>
    <row r="30763" spans="1:26" ht="12.75" customHeight="1" x14ac:dyDescent="0.2">
      <c r="A30763" s="258"/>
      <c r="Z30763" s="258"/>
    </row>
    <row r="30764" spans="1:26" ht="12.75" customHeight="1" x14ac:dyDescent="0.2">
      <c r="A30764" s="258"/>
      <c r="Z30764" s="258"/>
    </row>
    <row r="30765" spans="1:26" ht="12.75" customHeight="1" x14ac:dyDescent="0.2">
      <c r="A30765" s="258"/>
      <c r="Z30765" s="258"/>
    </row>
    <row r="30766" spans="1:26" ht="12.75" customHeight="1" x14ac:dyDescent="0.2">
      <c r="A30766" s="258"/>
      <c r="Z30766" s="258"/>
    </row>
    <row r="30767" spans="1:26" ht="12.75" customHeight="1" x14ac:dyDescent="0.2">
      <c r="A30767" s="258"/>
      <c r="Z30767" s="258"/>
    </row>
    <row r="30768" spans="1:26" ht="12.75" customHeight="1" x14ac:dyDescent="0.2">
      <c r="A30768" s="258"/>
      <c r="Z30768" s="258"/>
    </row>
    <row r="30769" spans="1:26" ht="12.75" customHeight="1" x14ac:dyDescent="0.2">
      <c r="A30769" s="258"/>
      <c r="Z30769" s="258"/>
    </row>
    <row r="30770" spans="1:26" ht="12.75" customHeight="1" x14ac:dyDescent="0.2">
      <c r="A30770" s="258"/>
      <c r="Z30770" s="258"/>
    </row>
    <row r="30771" spans="1:26" ht="12.75" customHeight="1" x14ac:dyDescent="0.2">
      <c r="A30771" s="258"/>
      <c r="Z30771" s="258"/>
    </row>
    <row r="30772" spans="1:26" ht="12.75" customHeight="1" x14ac:dyDescent="0.2">
      <c r="A30772" s="258"/>
      <c r="Z30772" s="258"/>
    </row>
    <row r="30773" spans="1:26" ht="12.75" customHeight="1" x14ac:dyDescent="0.2">
      <c r="A30773" s="258"/>
      <c r="Z30773" s="258"/>
    </row>
    <row r="30774" spans="1:26" ht="12.75" customHeight="1" x14ac:dyDescent="0.2">
      <c r="A30774" s="258"/>
      <c r="Z30774" s="258"/>
    </row>
    <row r="30775" spans="1:26" ht="12.75" customHeight="1" x14ac:dyDescent="0.2">
      <c r="A30775" s="258"/>
      <c r="Z30775" s="258"/>
    </row>
    <row r="30776" spans="1:26" ht="12.75" customHeight="1" x14ac:dyDescent="0.2">
      <c r="A30776" s="258"/>
      <c r="Z30776" s="258"/>
    </row>
    <row r="30777" spans="1:26" ht="12.75" customHeight="1" x14ac:dyDescent="0.2">
      <c r="A30777" s="258"/>
      <c r="Z30777" s="258"/>
    </row>
    <row r="30778" spans="1:26" ht="12.75" customHeight="1" x14ac:dyDescent="0.2">
      <c r="A30778" s="258"/>
      <c r="Z30778" s="258"/>
    </row>
    <row r="30779" spans="1:26" ht="12.75" customHeight="1" x14ac:dyDescent="0.2">
      <c r="A30779" s="258"/>
      <c r="Z30779" s="258"/>
    </row>
    <row r="30780" spans="1:26" ht="12.75" customHeight="1" x14ac:dyDescent="0.2">
      <c r="A30780" s="258"/>
      <c r="Z30780" s="258"/>
    </row>
    <row r="30781" spans="1:26" ht="12.75" customHeight="1" x14ac:dyDescent="0.2">
      <c r="A30781" s="258"/>
      <c r="Z30781" s="258"/>
    </row>
    <row r="30782" spans="1:26" ht="12.75" customHeight="1" x14ac:dyDescent="0.2">
      <c r="A30782" s="258"/>
      <c r="Z30782" s="258"/>
    </row>
    <row r="30783" spans="1:26" ht="12.75" customHeight="1" x14ac:dyDescent="0.2">
      <c r="A30783" s="258"/>
      <c r="Z30783" s="258"/>
    </row>
    <row r="30784" spans="1:26" ht="12.75" customHeight="1" x14ac:dyDescent="0.2">
      <c r="A30784" s="258"/>
      <c r="Z30784" s="258"/>
    </row>
    <row r="30785" spans="1:26" ht="12.75" customHeight="1" x14ac:dyDescent="0.2">
      <c r="A30785" s="258"/>
      <c r="Z30785" s="258"/>
    </row>
    <row r="30786" spans="1:26" ht="12.75" customHeight="1" x14ac:dyDescent="0.2">
      <c r="A30786" s="258"/>
      <c r="Z30786" s="258"/>
    </row>
    <row r="30787" spans="1:26" ht="12.75" customHeight="1" x14ac:dyDescent="0.2">
      <c r="A30787" s="258"/>
      <c r="Z30787" s="258"/>
    </row>
    <row r="30788" spans="1:26" ht="12.75" customHeight="1" x14ac:dyDescent="0.2">
      <c r="A30788" s="258"/>
      <c r="Z30788" s="258"/>
    </row>
    <row r="30789" spans="1:26" ht="12.75" customHeight="1" x14ac:dyDescent="0.2">
      <c r="A30789" s="258"/>
      <c r="Z30789" s="258"/>
    </row>
    <row r="30790" spans="1:26" ht="12.75" customHeight="1" x14ac:dyDescent="0.2">
      <c r="A30790" s="258"/>
      <c r="Z30790" s="258"/>
    </row>
    <row r="30791" spans="1:26" ht="12.75" customHeight="1" x14ac:dyDescent="0.2">
      <c r="A30791" s="258"/>
      <c r="Z30791" s="258"/>
    </row>
    <row r="30792" spans="1:26" ht="12.75" customHeight="1" x14ac:dyDescent="0.2">
      <c r="A30792" s="258"/>
      <c r="Z30792" s="258"/>
    </row>
    <row r="30793" spans="1:26" ht="12.75" customHeight="1" x14ac:dyDescent="0.2">
      <c r="A30793" s="258"/>
      <c r="Z30793" s="258"/>
    </row>
    <row r="30794" spans="1:26" ht="12.75" customHeight="1" x14ac:dyDescent="0.2">
      <c r="A30794" s="258"/>
      <c r="Z30794" s="258"/>
    </row>
    <row r="30795" spans="1:26" ht="12.75" customHeight="1" x14ac:dyDescent="0.2">
      <c r="A30795" s="258"/>
      <c r="Z30795" s="258"/>
    </row>
    <row r="30796" spans="1:26" ht="12.75" customHeight="1" x14ac:dyDescent="0.2">
      <c r="A30796" s="258"/>
      <c r="Z30796" s="258"/>
    </row>
    <row r="30797" spans="1:26" ht="12.75" customHeight="1" x14ac:dyDescent="0.2">
      <c r="A30797" s="258"/>
      <c r="Z30797" s="258"/>
    </row>
    <row r="30798" spans="1:26" ht="12.75" customHeight="1" x14ac:dyDescent="0.2">
      <c r="A30798" s="258"/>
      <c r="Z30798" s="258"/>
    </row>
    <row r="30799" spans="1:26" ht="12.75" customHeight="1" x14ac:dyDescent="0.2">
      <c r="A30799" s="258"/>
      <c r="Z30799" s="258"/>
    </row>
    <row r="30800" spans="1:26" ht="12.75" customHeight="1" x14ac:dyDescent="0.2">
      <c r="A30800" s="258"/>
      <c r="Z30800" s="258"/>
    </row>
    <row r="30801" spans="1:26" ht="12.75" customHeight="1" x14ac:dyDescent="0.2">
      <c r="A30801" s="258"/>
      <c r="Z30801" s="258"/>
    </row>
    <row r="30802" spans="1:26" ht="12.75" customHeight="1" x14ac:dyDescent="0.2">
      <c r="A30802" s="258"/>
      <c r="Z30802" s="258"/>
    </row>
    <row r="30803" spans="1:26" ht="12.75" customHeight="1" x14ac:dyDescent="0.2">
      <c r="A30803" s="258"/>
      <c r="Z30803" s="258"/>
    </row>
    <row r="30804" spans="1:26" ht="12.75" customHeight="1" x14ac:dyDescent="0.2">
      <c r="A30804" s="258"/>
      <c r="Z30804" s="258"/>
    </row>
    <row r="30805" spans="1:26" ht="12.75" customHeight="1" x14ac:dyDescent="0.2">
      <c r="A30805" s="258"/>
      <c r="Z30805" s="258"/>
    </row>
    <row r="30806" spans="1:26" ht="12.75" customHeight="1" x14ac:dyDescent="0.2">
      <c r="A30806" s="258"/>
      <c r="Z30806" s="258"/>
    </row>
    <row r="30807" spans="1:26" ht="12.75" customHeight="1" x14ac:dyDescent="0.2">
      <c r="A30807" s="258"/>
      <c r="Z30807" s="258"/>
    </row>
    <row r="30808" spans="1:26" ht="12.75" customHeight="1" x14ac:dyDescent="0.2">
      <c r="A30808" s="258"/>
      <c r="Z30808" s="258"/>
    </row>
    <row r="30809" spans="1:26" ht="12.75" customHeight="1" x14ac:dyDescent="0.2">
      <c r="A30809" s="258"/>
      <c r="Z30809" s="258"/>
    </row>
    <row r="30810" spans="1:26" ht="12.75" customHeight="1" x14ac:dyDescent="0.2">
      <c r="A30810" s="258"/>
      <c r="Z30810" s="258"/>
    </row>
    <row r="30811" spans="1:26" ht="12.75" customHeight="1" x14ac:dyDescent="0.2">
      <c r="A30811" s="258"/>
      <c r="Z30811" s="258"/>
    </row>
    <row r="30812" spans="1:26" ht="12.75" customHeight="1" x14ac:dyDescent="0.2">
      <c r="A30812" s="258"/>
      <c r="Z30812" s="258"/>
    </row>
    <row r="30813" spans="1:26" ht="12.75" customHeight="1" x14ac:dyDescent="0.2">
      <c r="A30813" s="258"/>
      <c r="Z30813" s="258"/>
    </row>
    <row r="30814" spans="1:26" ht="12.75" customHeight="1" x14ac:dyDescent="0.2">
      <c r="A30814" s="258"/>
      <c r="Z30814" s="258"/>
    </row>
    <row r="30815" spans="1:26" ht="12.75" customHeight="1" x14ac:dyDescent="0.2">
      <c r="A30815" s="258"/>
      <c r="Z30815" s="258"/>
    </row>
    <row r="30816" spans="1:26" ht="12.75" customHeight="1" x14ac:dyDescent="0.2">
      <c r="A30816" s="258"/>
      <c r="Z30816" s="258"/>
    </row>
    <row r="30817" spans="1:26" ht="12.75" customHeight="1" x14ac:dyDescent="0.2">
      <c r="A30817" s="258"/>
      <c r="Z30817" s="258"/>
    </row>
    <row r="30818" spans="1:26" ht="12.75" customHeight="1" x14ac:dyDescent="0.2">
      <c r="A30818" s="258"/>
      <c r="Z30818" s="258"/>
    </row>
    <row r="30819" spans="1:26" ht="12.75" customHeight="1" x14ac:dyDescent="0.2">
      <c r="A30819" s="258"/>
      <c r="Z30819" s="258"/>
    </row>
    <row r="30820" spans="1:26" ht="12.75" customHeight="1" x14ac:dyDescent="0.2">
      <c r="A30820" s="258"/>
      <c r="Z30820" s="258"/>
    </row>
    <row r="30821" spans="1:26" ht="12.75" customHeight="1" x14ac:dyDescent="0.2">
      <c r="A30821" s="258"/>
      <c r="Z30821" s="258"/>
    </row>
    <row r="30822" spans="1:26" ht="12.75" customHeight="1" x14ac:dyDescent="0.2">
      <c r="A30822" s="258"/>
      <c r="Z30822" s="258"/>
    </row>
    <row r="30823" spans="1:26" ht="12.75" customHeight="1" x14ac:dyDescent="0.2">
      <c r="A30823" s="258"/>
      <c r="Z30823" s="258"/>
    </row>
    <row r="30824" spans="1:26" ht="12.75" customHeight="1" x14ac:dyDescent="0.2">
      <c r="A30824" s="258"/>
      <c r="Z30824" s="258"/>
    </row>
    <row r="30825" spans="1:26" ht="12.75" customHeight="1" x14ac:dyDescent="0.2">
      <c r="A30825" s="258"/>
      <c r="Z30825" s="258"/>
    </row>
    <row r="30826" spans="1:26" ht="12.75" customHeight="1" x14ac:dyDescent="0.2">
      <c r="A30826" s="258"/>
      <c r="Z30826" s="258"/>
    </row>
    <row r="30827" spans="1:26" ht="12.75" customHeight="1" x14ac:dyDescent="0.2">
      <c r="A30827" s="258"/>
      <c r="Z30827" s="258"/>
    </row>
    <row r="30828" spans="1:26" ht="12.75" customHeight="1" x14ac:dyDescent="0.2">
      <c r="A30828" s="258"/>
      <c r="Z30828" s="258"/>
    </row>
    <row r="30829" spans="1:26" ht="12.75" customHeight="1" x14ac:dyDescent="0.2">
      <c r="A30829" s="258"/>
      <c r="Z30829" s="258"/>
    </row>
    <row r="30830" spans="1:26" ht="12.75" customHeight="1" x14ac:dyDescent="0.2">
      <c r="A30830" s="258"/>
      <c r="Z30830" s="258"/>
    </row>
    <row r="30831" spans="1:26" ht="12.75" customHeight="1" x14ac:dyDescent="0.2">
      <c r="A30831" s="258"/>
      <c r="Z30831" s="258"/>
    </row>
    <row r="30832" spans="1:26" ht="12.75" customHeight="1" x14ac:dyDescent="0.2">
      <c r="A30832" s="258"/>
      <c r="Z30832" s="258"/>
    </row>
    <row r="30833" spans="1:26" ht="12.75" customHeight="1" x14ac:dyDescent="0.2">
      <c r="A30833" s="258"/>
      <c r="Z30833" s="258"/>
    </row>
    <row r="30834" spans="1:26" ht="12.75" customHeight="1" x14ac:dyDescent="0.2">
      <c r="A30834" s="258"/>
      <c r="Z30834" s="258"/>
    </row>
    <row r="30835" spans="1:26" ht="12.75" customHeight="1" x14ac:dyDescent="0.2">
      <c r="A30835" s="258"/>
      <c r="Z30835" s="258"/>
    </row>
    <row r="30836" spans="1:26" ht="12.75" customHeight="1" x14ac:dyDescent="0.2">
      <c r="A30836" s="258"/>
      <c r="Z30836" s="258"/>
    </row>
    <row r="30837" spans="1:26" ht="12.75" customHeight="1" x14ac:dyDescent="0.2">
      <c r="A30837" s="258"/>
      <c r="Z30837" s="258"/>
    </row>
    <row r="30838" spans="1:26" ht="12.75" customHeight="1" x14ac:dyDescent="0.2">
      <c r="A30838" s="258"/>
      <c r="Z30838" s="258"/>
    </row>
    <row r="30839" spans="1:26" ht="12.75" customHeight="1" x14ac:dyDescent="0.2">
      <c r="A30839" s="258"/>
      <c r="Z30839" s="258"/>
    </row>
    <row r="30840" spans="1:26" ht="12.75" customHeight="1" x14ac:dyDescent="0.2">
      <c r="A30840" s="258"/>
      <c r="Z30840" s="258"/>
    </row>
    <row r="30841" spans="1:26" ht="12.75" customHeight="1" x14ac:dyDescent="0.2">
      <c r="A30841" s="258"/>
      <c r="Z30841" s="258"/>
    </row>
    <row r="30842" spans="1:26" ht="12.75" customHeight="1" x14ac:dyDescent="0.2">
      <c r="A30842" s="258"/>
      <c r="Z30842" s="258"/>
    </row>
    <row r="30843" spans="1:26" ht="12.75" customHeight="1" x14ac:dyDescent="0.2">
      <c r="A30843" s="258"/>
      <c r="Z30843" s="258"/>
    </row>
    <row r="30844" spans="1:26" ht="12.75" customHeight="1" x14ac:dyDescent="0.2">
      <c r="A30844" s="258"/>
      <c r="Z30844" s="258"/>
    </row>
    <row r="30845" spans="1:26" ht="12.75" customHeight="1" x14ac:dyDescent="0.2">
      <c r="A30845" s="258"/>
      <c r="Z30845" s="258"/>
    </row>
    <row r="30846" spans="1:26" ht="12.75" customHeight="1" x14ac:dyDescent="0.2">
      <c r="A30846" s="258"/>
      <c r="Z30846" s="258"/>
    </row>
    <row r="30847" spans="1:26" ht="12.75" customHeight="1" x14ac:dyDescent="0.2">
      <c r="A30847" s="258"/>
      <c r="Z30847" s="258"/>
    </row>
    <row r="30848" spans="1:26" ht="12.75" customHeight="1" x14ac:dyDescent="0.2">
      <c r="A30848" s="258"/>
      <c r="Z30848" s="258"/>
    </row>
    <row r="30849" spans="1:26" ht="12.75" customHeight="1" x14ac:dyDescent="0.2">
      <c r="A30849" s="258"/>
      <c r="Z30849" s="258"/>
    </row>
    <row r="30850" spans="1:26" ht="12.75" customHeight="1" x14ac:dyDescent="0.2">
      <c r="A30850" s="258"/>
      <c r="Z30850" s="258"/>
    </row>
    <row r="30851" spans="1:26" ht="12.75" customHeight="1" x14ac:dyDescent="0.2">
      <c r="A30851" s="258"/>
      <c r="Z30851" s="258"/>
    </row>
    <row r="30852" spans="1:26" ht="12.75" customHeight="1" x14ac:dyDescent="0.2">
      <c r="A30852" s="258"/>
      <c r="Z30852" s="258"/>
    </row>
    <row r="30853" spans="1:26" ht="12.75" customHeight="1" x14ac:dyDescent="0.2">
      <c r="A30853" s="258"/>
      <c r="Z30853" s="258"/>
    </row>
    <row r="30854" spans="1:26" ht="12.75" customHeight="1" x14ac:dyDescent="0.2">
      <c r="A30854" s="258"/>
      <c r="Z30854" s="258"/>
    </row>
    <row r="30855" spans="1:26" ht="12.75" customHeight="1" x14ac:dyDescent="0.2">
      <c r="A30855" s="258"/>
      <c r="Z30855" s="258"/>
    </row>
    <row r="30856" spans="1:26" ht="12.75" customHeight="1" x14ac:dyDescent="0.2">
      <c r="A30856" s="258"/>
      <c r="Z30856" s="258"/>
    </row>
    <row r="30857" spans="1:26" ht="12.75" customHeight="1" x14ac:dyDescent="0.2">
      <c r="A30857" s="258"/>
      <c r="Z30857" s="258"/>
    </row>
    <row r="30858" spans="1:26" ht="12.75" customHeight="1" x14ac:dyDescent="0.2">
      <c r="A30858" s="258"/>
      <c r="Z30858" s="258"/>
    </row>
    <row r="30859" spans="1:26" ht="12.75" customHeight="1" x14ac:dyDescent="0.2">
      <c r="A30859" s="258"/>
      <c r="Z30859" s="258"/>
    </row>
    <row r="30860" spans="1:26" ht="12.75" customHeight="1" x14ac:dyDescent="0.2">
      <c r="A30860" s="258"/>
      <c r="Z30860" s="258"/>
    </row>
    <row r="30861" spans="1:26" ht="12.75" customHeight="1" x14ac:dyDescent="0.2">
      <c r="A30861" s="258"/>
      <c r="Z30861" s="258"/>
    </row>
    <row r="30862" spans="1:26" ht="12.75" customHeight="1" x14ac:dyDescent="0.2">
      <c r="A30862" s="258"/>
      <c r="Z30862" s="258"/>
    </row>
    <row r="30863" spans="1:26" ht="12.75" customHeight="1" x14ac:dyDescent="0.2">
      <c r="A30863" s="258"/>
      <c r="Z30863" s="258"/>
    </row>
    <row r="30864" spans="1:26" ht="12.75" customHeight="1" x14ac:dyDescent="0.2">
      <c r="A30864" s="258"/>
      <c r="Z30864" s="258"/>
    </row>
    <row r="30865" spans="1:26" ht="12.75" customHeight="1" x14ac:dyDescent="0.2">
      <c r="A30865" s="258"/>
      <c r="Z30865" s="258"/>
    </row>
    <row r="30866" spans="1:26" ht="12.75" customHeight="1" x14ac:dyDescent="0.2">
      <c r="A30866" s="258"/>
      <c r="Z30866" s="258"/>
    </row>
    <row r="30867" spans="1:26" ht="12.75" customHeight="1" x14ac:dyDescent="0.2">
      <c r="A30867" s="258"/>
      <c r="Z30867" s="258"/>
    </row>
    <row r="30868" spans="1:26" ht="12.75" customHeight="1" x14ac:dyDescent="0.2">
      <c r="A30868" s="258"/>
      <c r="Z30868" s="258"/>
    </row>
    <row r="30869" spans="1:26" ht="12.75" customHeight="1" x14ac:dyDescent="0.2">
      <c r="A30869" s="258"/>
      <c r="Z30869" s="258"/>
    </row>
    <row r="30870" spans="1:26" ht="12.75" customHeight="1" x14ac:dyDescent="0.2">
      <c r="A30870" s="258"/>
      <c r="Z30870" s="258"/>
    </row>
    <row r="30871" spans="1:26" ht="12.75" customHeight="1" x14ac:dyDescent="0.2">
      <c r="A30871" s="258"/>
      <c r="Z30871" s="258"/>
    </row>
    <row r="30872" spans="1:26" ht="12.75" customHeight="1" x14ac:dyDescent="0.2">
      <c r="A30872" s="258"/>
      <c r="Z30872" s="258"/>
    </row>
    <row r="30873" spans="1:26" ht="12.75" customHeight="1" x14ac:dyDescent="0.2">
      <c r="A30873" s="258"/>
      <c r="Z30873" s="258"/>
    </row>
    <row r="30874" spans="1:26" ht="12.75" customHeight="1" x14ac:dyDescent="0.2">
      <c r="A30874" s="258"/>
      <c r="Z30874" s="258"/>
    </row>
    <row r="30875" spans="1:26" ht="12.75" customHeight="1" x14ac:dyDescent="0.2">
      <c r="A30875" s="258"/>
      <c r="Z30875" s="258"/>
    </row>
    <row r="30876" spans="1:26" ht="12.75" customHeight="1" x14ac:dyDescent="0.2">
      <c r="A30876" s="258"/>
      <c r="Z30876" s="258"/>
    </row>
    <row r="30877" spans="1:26" ht="12.75" customHeight="1" x14ac:dyDescent="0.2">
      <c r="A30877" s="258"/>
      <c r="Z30877" s="258"/>
    </row>
    <row r="30878" spans="1:26" ht="12.75" customHeight="1" x14ac:dyDescent="0.2">
      <c r="A30878" s="258"/>
      <c r="Z30878" s="258"/>
    </row>
    <row r="30879" spans="1:26" ht="12.75" customHeight="1" x14ac:dyDescent="0.2">
      <c r="A30879" s="258"/>
      <c r="Z30879" s="258"/>
    </row>
    <row r="30880" spans="1:26" ht="12.75" customHeight="1" x14ac:dyDescent="0.2">
      <c r="A30880" s="258"/>
      <c r="Z30880" s="258"/>
    </row>
    <row r="30881" spans="1:26" ht="12.75" customHeight="1" x14ac:dyDescent="0.2">
      <c r="A30881" s="258"/>
      <c r="Z30881" s="258"/>
    </row>
    <row r="30882" spans="1:26" ht="12.75" customHeight="1" x14ac:dyDescent="0.2">
      <c r="A30882" s="258"/>
      <c r="Z30882" s="258"/>
    </row>
    <row r="30883" spans="1:26" ht="12.75" customHeight="1" x14ac:dyDescent="0.2">
      <c r="A30883" s="258"/>
      <c r="Z30883" s="258"/>
    </row>
    <row r="30884" spans="1:26" ht="12.75" customHeight="1" x14ac:dyDescent="0.2">
      <c r="A30884" s="258"/>
      <c r="Z30884" s="258"/>
    </row>
    <row r="30885" spans="1:26" ht="12.75" customHeight="1" x14ac:dyDescent="0.2">
      <c r="A30885" s="258"/>
      <c r="Z30885" s="258"/>
    </row>
    <row r="30886" spans="1:26" ht="12.75" customHeight="1" x14ac:dyDescent="0.2">
      <c r="A30886" s="258"/>
      <c r="Z30886" s="258"/>
    </row>
    <row r="30887" spans="1:26" ht="12.75" customHeight="1" x14ac:dyDescent="0.2">
      <c r="A30887" s="258"/>
      <c r="Z30887" s="258"/>
    </row>
    <row r="30888" spans="1:26" ht="12.75" customHeight="1" x14ac:dyDescent="0.2">
      <c r="A30888" s="258"/>
      <c r="Z30888" s="258"/>
    </row>
    <row r="30889" spans="1:26" ht="12.75" customHeight="1" x14ac:dyDescent="0.2">
      <c r="A30889" s="258"/>
      <c r="Z30889" s="258"/>
    </row>
    <row r="30890" spans="1:26" ht="12.75" customHeight="1" x14ac:dyDescent="0.2">
      <c r="A30890" s="258"/>
      <c r="Z30890" s="258"/>
    </row>
    <row r="30891" spans="1:26" ht="12.75" customHeight="1" x14ac:dyDescent="0.2">
      <c r="A30891" s="258"/>
      <c r="Z30891" s="258"/>
    </row>
    <row r="30892" spans="1:26" ht="12.75" customHeight="1" x14ac:dyDescent="0.2">
      <c r="A30892" s="258"/>
      <c r="Z30892" s="258"/>
    </row>
    <row r="30893" spans="1:26" ht="12.75" customHeight="1" x14ac:dyDescent="0.2">
      <c r="A30893" s="258"/>
      <c r="Z30893" s="258"/>
    </row>
    <row r="30894" spans="1:26" ht="12.75" customHeight="1" x14ac:dyDescent="0.2">
      <c r="A30894" s="258"/>
      <c r="Z30894" s="258"/>
    </row>
    <row r="30895" spans="1:26" ht="12.75" customHeight="1" x14ac:dyDescent="0.2">
      <c r="A30895" s="258"/>
      <c r="Z30895" s="258"/>
    </row>
    <row r="30896" spans="1:26" ht="12.75" customHeight="1" x14ac:dyDescent="0.2">
      <c r="A30896" s="258"/>
      <c r="Z30896" s="258"/>
    </row>
    <row r="30897" spans="1:26" ht="12.75" customHeight="1" x14ac:dyDescent="0.2">
      <c r="A30897" s="258"/>
      <c r="Z30897" s="258"/>
    </row>
    <row r="30898" spans="1:26" ht="12.75" customHeight="1" x14ac:dyDescent="0.2">
      <c r="A30898" s="258"/>
      <c r="Z30898" s="258"/>
    </row>
    <row r="30899" spans="1:26" ht="12.75" customHeight="1" x14ac:dyDescent="0.2">
      <c r="A30899" s="258"/>
      <c r="Z30899" s="258"/>
    </row>
    <row r="30900" spans="1:26" ht="12.75" customHeight="1" x14ac:dyDescent="0.2">
      <c r="A30900" s="258"/>
      <c r="Z30900" s="258"/>
    </row>
    <row r="30901" spans="1:26" ht="12.75" customHeight="1" x14ac:dyDescent="0.2">
      <c r="A30901" s="258"/>
      <c r="Z30901" s="258"/>
    </row>
    <row r="30902" spans="1:26" ht="12.75" customHeight="1" x14ac:dyDescent="0.2">
      <c r="A30902" s="258"/>
      <c r="Z30902" s="258"/>
    </row>
    <row r="30903" spans="1:26" ht="12.75" customHeight="1" x14ac:dyDescent="0.2">
      <c r="A30903" s="258"/>
      <c r="Z30903" s="258"/>
    </row>
    <row r="30904" spans="1:26" ht="12.75" customHeight="1" x14ac:dyDescent="0.2">
      <c r="A30904" s="258"/>
      <c r="Z30904" s="258"/>
    </row>
    <row r="30905" spans="1:26" ht="12.75" customHeight="1" x14ac:dyDescent="0.2">
      <c r="A30905" s="258"/>
      <c r="Z30905" s="258"/>
    </row>
    <row r="30906" spans="1:26" ht="12.75" customHeight="1" x14ac:dyDescent="0.2">
      <c r="A30906" s="258"/>
      <c r="Z30906" s="258"/>
    </row>
    <row r="30907" spans="1:26" ht="12.75" customHeight="1" x14ac:dyDescent="0.2">
      <c r="A30907" s="258"/>
      <c r="Z30907" s="258"/>
    </row>
    <row r="30908" spans="1:26" ht="12.75" customHeight="1" x14ac:dyDescent="0.2">
      <c r="A30908" s="258"/>
      <c r="Z30908" s="258"/>
    </row>
    <row r="30909" spans="1:26" ht="12.75" customHeight="1" x14ac:dyDescent="0.2">
      <c r="A30909" s="258"/>
      <c r="Z30909" s="258"/>
    </row>
    <row r="30910" spans="1:26" ht="12.75" customHeight="1" x14ac:dyDescent="0.2">
      <c r="A30910" s="258"/>
      <c r="Z30910" s="258"/>
    </row>
    <row r="30911" spans="1:26" ht="12.75" customHeight="1" x14ac:dyDescent="0.2">
      <c r="A30911" s="258"/>
      <c r="Z30911" s="258"/>
    </row>
    <row r="30912" spans="1:26" ht="12.75" customHeight="1" x14ac:dyDescent="0.2">
      <c r="A30912" s="258"/>
      <c r="Z30912" s="258"/>
    </row>
    <row r="30913" spans="1:26" ht="12.75" customHeight="1" x14ac:dyDescent="0.2">
      <c r="A30913" s="258"/>
      <c r="Z30913" s="258"/>
    </row>
    <row r="30914" spans="1:26" ht="12.75" customHeight="1" x14ac:dyDescent="0.2">
      <c r="A30914" s="258"/>
      <c r="Z30914" s="258"/>
    </row>
    <row r="30915" spans="1:26" ht="12.75" customHeight="1" x14ac:dyDescent="0.2">
      <c r="A30915" s="258"/>
      <c r="Z30915" s="258"/>
    </row>
    <row r="30916" spans="1:26" ht="12.75" customHeight="1" x14ac:dyDescent="0.2">
      <c r="A30916" s="258"/>
      <c r="Z30916" s="258"/>
    </row>
    <row r="30917" spans="1:26" ht="12.75" customHeight="1" x14ac:dyDescent="0.2">
      <c r="A30917" s="258"/>
      <c r="Z30917" s="258"/>
    </row>
    <row r="30918" spans="1:26" ht="12.75" customHeight="1" x14ac:dyDescent="0.2">
      <c r="A30918" s="258"/>
      <c r="Z30918" s="258"/>
    </row>
    <row r="30919" spans="1:26" ht="12.75" customHeight="1" x14ac:dyDescent="0.2">
      <c r="A30919" s="258"/>
      <c r="Z30919" s="258"/>
    </row>
    <row r="30920" spans="1:26" ht="12.75" customHeight="1" x14ac:dyDescent="0.2">
      <c r="A30920" s="258"/>
      <c r="Z30920" s="258"/>
    </row>
    <row r="30921" spans="1:26" ht="12.75" customHeight="1" x14ac:dyDescent="0.2">
      <c r="A30921" s="258"/>
      <c r="Z30921" s="258"/>
    </row>
    <row r="30922" spans="1:26" ht="12.75" customHeight="1" x14ac:dyDescent="0.2">
      <c r="A30922" s="258"/>
      <c r="Z30922" s="258"/>
    </row>
    <row r="30923" spans="1:26" ht="12.75" customHeight="1" x14ac:dyDescent="0.2">
      <c r="A30923" s="258"/>
      <c r="Z30923" s="258"/>
    </row>
    <row r="30924" spans="1:26" ht="12.75" customHeight="1" x14ac:dyDescent="0.2">
      <c r="A30924" s="258"/>
      <c r="Z30924" s="258"/>
    </row>
    <row r="30925" spans="1:26" ht="12.75" customHeight="1" x14ac:dyDescent="0.2">
      <c r="A30925" s="258"/>
      <c r="Z30925" s="258"/>
    </row>
    <row r="30926" spans="1:26" ht="12.75" customHeight="1" x14ac:dyDescent="0.2">
      <c r="A30926" s="258"/>
      <c r="Z30926" s="258"/>
    </row>
    <row r="30927" spans="1:26" ht="12.75" customHeight="1" x14ac:dyDescent="0.2">
      <c r="A30927" s="258"/>
      <c r="Z30927" s="258"/>
    </row>
    <row r="30928" spans="1:26" ht="12.75" customHeight="1" x14ac:dyDescent="0.2">
      <c r="A30928" s="258"/>
      <c r="Z30928" s="258"/>
    </row>
    <row r="30929" spans="1:26" ht="12.75" customHeight="1" x14ac:dyDescent="0.2">
      <c r="A30929" s="258"/>
      <c r="Z30929" s="258"/>
    </row>
    <row r="30930" spans="1:26" ht="12.75" customHeight="1" x14ac:dyDescent="0.2">
      <c r="A30930" s="258"/>
      <c r="Z30930" s="258"/>
    </row>
    <row r="30931" spans="1:26" ht="12.75" customHeight="1" x14ac:dyDescent="0.2">
      <c r="A30931" s="258"/>
      <c r="Z30931" s="258"/>
    </row>
    <row r="30932" spans="1:26" ht="12.75" customHeight="1" x14ac:dyDescent="0.2">
      <c r="A30932" s="258"/>
      <c r="Z30932" s="258"/>
    </row>
    <row r="30933" spans="1:26" ht="12.75" customHeight="1" x14ac:dyDescent="0.2">
      <c r="A30933" s="258"/>
      <c r="Z30933" s="258"/>
    </row>
    <row r="30934" spans="1:26" ht="12.75" customHeight="1" x14ac:dyDescent="0.2">
      <c r="A30934" s="258"/>
      <c r="Z30934" s="258"/>
    </row>
    <row r="30935" spans="1:26" ht="12.75" customHeight="1" x14ac:dyDescent="0.2">
      <c r="A30935" s="258"/>
      <c r="Z30935" s="258"/>
    </row>
    <row r="30936" spans="1:26" ht="12.75" customHeight="1" x14ac:dyDescent="0.2">
      <c r="A30936" s="258"/>
      <c r="Z30936" s="258"/>
    </row>
    <row r="30937" spans="1:26" ht="12.75" customHeight="1" x14ac:dyDescent="0.2">
      <c r="A30937" s="258"/>
      <c r="Z30937" s="258"/>
    </row>
    <row r="30938" spans="1:26" ht="12.75" customHeight="1" x14ac:dyDescent="0.2">
      <c r="A30938" s="258"/>
      <c r="Z30938" s="258"/>
    </row>
    <row r="30939" spans="1:26" ht="12.75" customHeight="1" x14ac:dyDescent="0.2">
      <c r="A30939" s="258"/>
      <c r="Z30939" s="258"/>
    </row>
    <row r="30940" spans="1:26" ht="12.75" customHeight="1" x14ac:dyDescent="0.2">
      <c r="A30940" s="258"/>
      <c r="Z30940" s="258"/>
    </row>
    <row r="30941" spans="1:26" ht="12.75" customHeight="1" x14ac:dyDescent="0.2">
      <c r="A30941" s="258"/>
      <c r="Z30941" s="258"/>
    </row>
    <row r="30942" spans="1:26" ht="12.75" customHeight="1" x14ac:dyDescent="0.2">
      <c r="A30942" s="258"/>
      <c r="Z30942" s="258"/>
    </row>
    <row r="30943" spans="1:26" ht="12.75" customHeight="1" x14ac:dyDescent="0.2">
      <c r="A30943" s="258"/>
      <c r="Z30943" s="258"/>
    </row>
    <row r="30944" spans="1:26" ht="12.75" customHeight="1" x14ac:dyDescent="0.2">
      <c r="A30944" s="258"/>
      <c r="Z30944" s="258"/>
    </row>
    <row r="30945" spans="1:26" ht="12.75" customHeight="1" x14ac:dyDescent="0.2">
      <c r="A30945" s="258"/>
      <c r="Z30945" s="258"/>
    </row>
    <row r="30946" spans="1:26" ht="12.75" customHeight="1" x14ac:dyDescent="0.2">
      <c r="A30946" s="258"/>
      <c r="Z30946" s="258"/>
    </row>
    <row r="30947" spans="1:26" ht="12.75" customHeight="1" x14ac:dyDescent="0.2">
      <c r="A30947" s="258"/>
      <c r="Z30947" s="258"/>
    </row>
    <row r="30948" spans="1:26" ht="12.75" customHeight="1" x14ac:dyDescent="0.2">
      <c r="A30948" s="258"/>
      <c r="Z30948" s="258"/>
    </row>
    <row r="30949" spans="1:26" ht="12.75" customHeight="1" x14ac:dyDescent="0.2">
      <c r="A30949" s="258"/>
      <c r="Z30949" s="258"/>
    </row>
    <row r="30950" spans="1:26" ht="12.75" customHeight="1" x14ac:dyDescent="0.2">
      <c r="A30950" s="258"/>
      <c r="Z30950" s="258"/>
    </row>
    <row r="30951" spans="1:26" ht="12.75" customHeight="1" x14ac:dyDescent="0.2">
      <c r="A30951" s="258"/>
      <c r="Z30951" s="258"/>
    </row>
    <row r="30952" spans="1:26" ht="12.75" customHeight="1" x14ac:dyDescent="0.2">
      <c r="A30952" s="258"/>
      <c r="Z30952" s="258"/>
    </row>
    <row r="30953" spans="1:26" ht="12.75" customHeight="1" x14ac:dyDescent="0.2">
      <c r="A30953" s="258"/>
      <c r="Z30953" s="258"/>
    </row>
    <row r="30954" spans="1:26" ht="12.75" customHeight="1" x14ac:dyDescent="0.2">
      <c r="A30954" s="258"/>
      <c r="Z30954" s="258"/>
    </row>
    <row r="30955" spans="1:26" ht="12.75" customHeight="1" x14ac:dyDescent="0.2">
      <c r="A30955" s="258"/>
      <c r="Z30955" s="258"/>
    </row>
    <row r="30956" spans="1:26" ht="12.75" customHeight="1" x14ac:dyDescent="0.2">
      <c r="A30956" s="258"/>
      <c r="Z30956" s="258"/>
    </row>
    <row r="30957" spans="1:26" ht="12.75" customHeight="1" x14ac:dyDescent="0.2">
      <c r="A30957" s="258"/>
      <c r="Z30957" s="258"/>
    </row>
    <row r="30958" spans="1:26" ht="12.75" customHeight="1" x14ac:dyDescent="0.2">
      <c r="A30958" s="258"/>
      <c r="Z30958" s="258"/>
    </row>
    <row r="30959" spans="1:26" ht="12.75" customHeight="1" x14ac:dyDescent="0.2">
      <c r="A30959" s="258"/>
      <c r="Z30959" s="258"/>
    </row>
    <row r="30960" spans="1:26" ht="12.75" customHeight="1" x14ac:dyDescent="0.2">
      <c r="A30960" s="258"/>
      <c r="Z30960" s="258"/>
    </row>
    <row r="30961" spans="1:26" ht="12.75" customHeight="1" x14ac:dyDescent="0.2">
      <c r="A30961" s="258"/>
      <c r="Z30961" s="258"/>
    </row>
    <row r="30962" spans="1:26" ht="12.75" customHeight="1" x14ac:dyDescent="0.2">
      <c r="A30962" s="258"/>
      <c r="Z30962" s="258"/>
    </row>
    <row r="30963" spans="1:26" ht="12.75" customHeight="1" x14ac:dyDescent="0.2">
      <c r="A30963" s="258"/>
      <c r="Z30963" s="258"/>
    </row>
    <row r="30964" spans="1:26" ht="12.75" customHeight="1" x14ac:dyDescent="0.2">
      <c r="A30964" s="258"/>
      <c r="Z30964" s="258"/>
    </row>
    <row r="30965" spans="1:26" ht="12.75" customHeight="1" x14ac:dyDescent="0.2">
      <c r="A30965" s="258"/>
      <c r="Z30965" s="258"/>
    </row>
    <row r="30966" spans="1:26" ht="12.75" customHeight="1" x14ac:dyDescent="0.2">
      <c r="A30966" s="258"/>
      <c r="Z30966" s="258"/>
    </row>
    <row r="30967" spans="1:26" ht="12.75" customHeight="1" x14ac:dyDescent="0.2">
      <c r="A30967" s="258"/>
      <c r="Z30967" s="258"/>
    </row>
    <row r="30968" spans="1:26" ht="12.75" customHeight="1" x14ac:dyDescent="0.2">
      <c r="A30968" s="258"/>
      <c r="Z30968" s="258"/>
    </row>
    <row r="30969" spans="1:26" ht="12.75" customHeight="1" x14ac:dyDescent="0.2">
      <c r="A30969" s="258"/>
      <c r="Z30969" s="258"/>
    </row>
    <row r="30970" spans="1:26" ht="12.75" customHeight="1" x14ac:dyDescent="0.2">
      <c r="A30970" s="258"/>
      <c r="Z30970" s="258"/>
    </row>
    <row r="30971" spans="1:26" ht="12.75" customHeight="1" x14ac:dyDescent="0.2">
      <c r="A30971" s="258"/>
      <c r="Z30971" s="258"/>
    </row>
    <row r="30972" spans="1:26" ht="12.75" customHeight="1" x14ac:dyDescent="0.2">
      <c r="A30972" s="258"/>
      <c r="Z30972" s="258"/>
    </row>
    <row r="30973" spans="1:26" ht="12.75" customHeight="1" x14ac:dyDescent="0.2">
      <c r="A30973" s="258"/>
      <c r="Z30973" s="258"/>
    </row>
    <row r="30974" spans="1:26" ht="12.75" customHeight="1" x14ac:dyDescent="0.2">
      <c r="A30974" s="258"/>
      <c r="Z30974" s="258"/>
    </row>
    <row r="30975" spans="1:26" ht="12.75" customHeight="1" x14ac:dyDescent="0.2">
      <c r="A30975" s="258"/>
      <c r="Z30975" s="258"/>
    </row>
    <row r="30976" spans="1:26" ht="12.75" customHeight="1" x14ac:dyDescent="0.2">
      <c r="A30976" s="258"/>
      <c r="Z30976" s="258"/>
    </row>
    <row r="30977" spans="1:26" ht="12.75" customHeight="1" x14ac:dyDescent="0.2">
      <c r="A30977" s="258"/>
      <c r="Z30977" s="258"/>
    </row>
    <row r="30978" spans="1:26" ht="12.75" customHeight="1" x14ac:dyDescent="0.2">
      <c r="A30978" s="258"/>
      <c r="Z30978" s="258"/>
    </row>
    <row r="30979" spans="1:26" ht="12.75" customHeight="1" x14ac:dyDescent="0.2">
      <c r="A30979" s="258"/>
      <c r="Z30979" s="258"/>
    </row>
    <row r="30980" spans="1:26" ht="12.75" customHeight="1" x14ac:dyDescent="0.2">
      <c r="A30980" s="258"/>
      <c r="Z30980" s="258"/>
    </row>
    <row r="30981" spans="1:26" ht="12.75" customHeight="1" x14ac:dyDescent="0.2">
      <c r="A30981" s="258"/>
      <c r="Z30981" s="258"/>
    </row>
    <row r="30982" spans="1:26" ht="12.75" customHeight="1" x14ac:dyDescent="0.2">
      <c r="A30982" s="258"/>
      <c r="Z30982" s="258"/>
    </row>
    <row r="30983" spans="1:26" ht="12.75" customHeight="1" x14ac:dyDescent="0.2">
      <c r="A30983" s="258"/>
      <c r="Z30983" s="258"/>
    </row>
    <row r="30984" spans="1:26" ht="12.75" customHeight="1" x14ac:dyDescent="0.2">
      <c r="A30984" s="258"/>
      <c r="Z30984" s="258"/>
    </row>
    <row r="30985" spans="1:26" ht="12.75" customHeight="1" x14ac:dyDescent="0.2">
      <c r="A30985" s="258"/>
      <c r="Z30985" s="258"/>
    </row>
    <row r="30986" spans="1:26" ht="12.75" customHeight="1" x14ac:dyDescent="0.2">
      <c r="A30986" s="258"/>
      <c r="Z30986" s="258"/>
    </row>
    <row r="30987" spans="1:26" ht="12.75" customHeight="1" x14ac:dyDescent="0.2">
      <c r="A30987" s="258"/>
      <c r="Z30987" s="258"/>
    </row>
    <row r="30988" spans="1:26" ht="12.75" customHeight="1" x14ac:dyDescent="0.2">
      <c r="A30988" s="258"/>
      <c r="Z30988" s="258"/>
    </row>
    <row r="30989" spans="1:26" ht="12.75" customHeight="1" x14ac:dyDescent="0.2">
      <c r="A30989" s="258"/>
      <c r="Z30989" s="258"/>
    </row>
    <row r="30990" spans="1:26" ht="12.75" customHeight="1" x14ac:dyDescent="0.2">
      <c r="A30990" s="258"/>
      <c r="Z30990" s="258"/>
    </row>
    <row r="30991" spans="1:26" ht="12.75" customHeight="1" x14ac:dyDescent="0.2">
      <c r="A30991" s="258"/>
      <c r="Z30991" s="258"/>
    </row>
    <row r="30992" spans="1:26" ht="12.75" customHeight="1" x14ac:dyDescent="0.2">
      <c r="A30992" s="258"/>
      <c r="Z30992" s="258"/>
    </row>
    <row r="30993" spans="1:26" ht="12.75" customHeight="1" x14ac:dyDescent="0.2">
      <c r="A30993" s="258"/>
      <c r="Z30993" s="258"/>
    </row>
    <row r="30994" spans="1:26" ht="12.75" customHeight="1" x14ac:dyDescent="0.2">
      <c r="A30994" s="258"/>
      <c r="Z30994" s="258"/>
    </row>
    <row r="30995" spans="1:26" ht="12.75" customHeight="1" x14ac:dyDescent="0.2">
      <c r="A30995" s="258"/>
      <c r="Z30995" s="258"/>
    </row>
    <row r="30996" spans="1:26" ht="12.75" customHeight="1" x14ac:dyDescent="0.2">
      <c r="A30996" s="258"/>
      <c r="Z30996" s="258"/>
    </row>
    <row r="30997" spans="1:26" ht="12.75" customHeight="1" x14ac:dyDescent="0.2">
      <c r="A30997" s="258"/>
      <c r="Z30997" s="258"/>
    </row>
    <row r="30998" spans="1:26" ht="12.75" customHeight="1" x14ac:dyDescent="0.2">
      <c r="A30998" s="258"/>
      <c r="Z30998" s="258"/>
    </row>
    <row r="30999" spans="1:26" ht="12.75" customHeight="1" x14ac:dyDescent="0.2">
      <c r="A30999" s="258"/>
      <c r="Z30999" s="258"/>
    </row>
    <row r="31000" spans="1:26" ht="12.75" customHeight="1" x14ac:dyDescent="0.2">
      <c r="A31000" s="258"/>
      <c r="Z31000" s="258"/>
    </row>
    <row r="31001" spans="1:26" ht="12.75" customHeight="1" x14ac:dyDescent="0.2">
      <c r="A31001" s="258"/>
      <c r="Z31001" s="258"/>
    </row>
    <row r="31002" spans="1:26" ht="12.75" customHeight="1" x14ac:dyDescent="0.2">
      <c r="A31002" s="258"/>
      <c r="Z31002" s="258"/>
    </row>
    <row r="31003" spans="1:26" ht="12.75" customHeight="1" x14ac:dyDescent="0.2">
      <c r="A31003" s="258"/>
      <c r="Z31003" s="258"/>
    </row>
    <row r="31004" spans="1:26" ht="12.75" customHeight="1" x14ac:dyDescent="0.2">
      <c r="A31004" s="258"/>
      <c r="Z31004" s="258"/>
    </row>
    <row r="31005" spans="1:26" ht="12.75" customHeight="1" x14ac:dyDescent="0.2">
      <c r="A31005" s="258"/>
      <c r="Z31005" s="258"/>
    </row>
    <row r="31006" spans="1:26" ht="12.75" customHeight="1" x14ac:dyDescent="0.2">
      <c r="A31006" s="258"/>
      <c r="Z31006" s="258"/>
    </row>
    <row r="31007" spans="1:26" ht="12.75" customHeight="1" x14ac:dyDescent="0.2">
      <c r="A31007" s="258"/>
      <c r="Z31007" s="258"/>
    </row>
    <row r="31008" spans="1:26" ht="12.75" customHeight="1" x14ac:dyDescent="0.2">
      <c r="A31008" s="258"/>
      <c r="Z31008" s="258"/>
    </row>
    <row r="31009" spans="1:26" ht="12.75" customHeight="1" x14ac:dyDescent="0.2">
      <c r="A31009" s="258"/>
      <c r="Z31009" s="258"/>
    </row>
    <row r="31010" spans="1:26" ht="12.75" customHeight="1" x14ac:dyDescent="0.2">
      <c r="A31010" s="258"/>
      <c r="Z31010" s="258"/>
    </row>
    <row r="31011" spans="1:26" ht="12.75" customHeight="1" x14ac:dyDescent="0.2">
      <c r="A31011" s="258"/>
      <c r="Z31011" s="258"/>
    </row>
    <row r="31012" spans="1:26" ht="12.75" customHeight="1" x14ac:dyDescent="0.2">
      <c r="A31012" s="258"/>
      <c r="Z31012" s="258"/>
    </row>
    <row r="31013" spans="1:26" ht="12.75" customHeight="1" x14ac:dyDescent="0.2">
      <c r="A31013" s="258"/>
      <c r="Z31013" s="258"/>
    </row>
    <row r="31014" spans="1:26" ht="12.75" customHeight="1" x14ac:dyDescent="0.2">
      <c r="A31014" s="258"/>
      <c r="Z31014" s="258"/>
    </row>
    <row r="31015" spans="1:26" ht="12.75" customHeight="1" x14ac:dyDescent="0.2">
      <c r="A31015" s="258"/>
      <c r="Z31015" s="258"/>
    </row>
    <row r="31016" spans="1:26" ht="12.75" customHeight="1" x14ac:dyDescent="0.2">
      <c r="A31016" s="258"/>
      <c r="Z31016" s="258"/>
    </row>
    <row r="31017" spans="1:26" ht="12.75" customHeight="1" x14ac:dyDescent="0.2">
      <c r="A31017" s="258"/>
      <c r="Z31017" s="258"/>
    </row>
    <row r="31018" spans="1:26" ht="12.75" customHeight="1" x14ac:dyDescent="0.2">
      <c r="A31018" s="258"/>
      <c r="Z31018" s="258"/>
    </row>
    <row r="31019" spans="1:26" ht="12.75" customHeight="1" x14ac:dyDescent="0.2">
      <c r="A31019" s="258"/>
      <c r="Z31019" s="258"/>
    </row>
    <row r="31020" spans="1:26" ht="12.75" customHeight="1" x14ac:dyDescent="0.2">
      <c r="A31020" s="258"/>
      <c r="Z31020" s="258"/>
    </row>
    <row r="31021" spans="1:26" ht="12.75" customHeight="1" x14ac:dyDescent="0.2">
      <c r="A31021" s="258"/>
      <c r="Z31021" s="258"/>
    </row>
    <row r="31022" spans="1:26" ht="12.75" customHeight="1" x14ac:dyDescent="0.2">
      <c r="A31022" s="258"/>
      <c r="Z31022" s="258"/>
    </row>
    <row r="31023" spans="1:26" ht="12.75" customHeight="1" x14ac:dyDescent="0.2">
      <c r="A31023" s="258"/>
      <c r="Z31023" s="258"/>
    </row>
    <row r="31024" spans="1:26" ht="12.75" customHeight="1" x14ac:dyDescent="0.2">
      <c r="A31024" s="258"/>
      <c r="Z31024" s="258"/>
    </row>
    <row r="31025" spans="1:26" ht="12.75" customHeight="1" x14ac:dyDescent="0.2">
      <c r="A31025" s="258"/>
      <c r="Z31025" s="258"/>
    </row>
    <row r="31026" spans="1:26" ht="12.75" customHeight="1" x14ac:dyDescent="0.2">
      <c r="A31026" s="258"/>
      <c r="Z31026" s="258"/>
    </row>
    <row r="31027" spans="1:26" ht="12.75" customHeight="1" x14ac:dyDescent="0.2">
      <c r="A31027" s="258"/>
      <c r="Z31027" s="258"/>
    </row>
    <row r="31028" spans="1:26" ht="12.75" customHeight="1" x14ac:dyDescent="0.2">
      <c r="A31028" s="258"/>
      <c r="Z31028" s="258"/>
    </row>
    <row r="31029" spans="1:26" ht="12.75" customHeight="1" x14ac:dyDescent="0.2">
      <c r="A31029" s="258"/>
      <c r="Z31029" s="258"/>
    </row>
    <row r="31030" spans="1:26" ht="12.75" customHeight="1" x14ac:dyDescent="0.2">
      <c r="A31030" s="258"/>
      <c r="Z31030" s="258"/>
    </row>
    <row r="31031" spans="1:26" ht="12.75" customHeight="1" x14ac:dyDescent="0.2">
      <c r="A31031" s="258"/>
      <c r="Z31031" s="258"/>
    </row>
    <row r="31032" spans="1:26" ht="12.75" customHeight="1" x14ac:dyDescent="0.2">
      <c r="A31032" s="258"/>
      <c r="Z31032" s="258"/>
    </row>
    <row r="31033" spans="1:26" ht="12.75" customHeight="1" x14ac:dyDescent="0.2">
      <c r="A31033" s="258"/>
      <c r="Z31033" s="258"/>
    </row>
    <row r="31034" spans="1:26" ht="12.75" customHeight="1" x14ac:dyDescent="0.2">
      <c r="A31034" s="258"/>
      <c r="Z31034" s="258"/>
    </row>
    <row r="31035" spans="1:26" ht="12.75" customHeight="1" x14ac:dyDescent="0.2">
      <c r="A31035" s="258"/>
      <c r="Z31035" s="258"/>
    </row>
    <row r="31036" spans="1:26" ht="12.75" customHeight="1" x14ac:dyDescent="0.2">
      <c r="A31036" s="258"/>
      <c r="Z31036" s="258"/>
    </row>
    <row r="31037" spans="1:26" ht="12.75" customHeight="1" x14ac:dyDescent="0.2">
      <c r="A31037" s="258"/>
      <c r="Z31037" s="258"/>
    </row>
    <row r="31038" spans="1:26" ht="12.75" customHeight="1" x14ac:dyDescent="0.2">
      <c r="A31038" s="258"/>
      <c r="Z31038" s="258"/>
    </row>
    <row r="31039" spans="1:26" ht="12.75" customHeight="1" x14ac:dyDescent="0.2">
      <c r="A31039" s="258"/>
      <c r="Z31039" s="258"/>
    </row>
    <row r="31040" spans="1:26" ht="12.75" customHeight="1" x14ac:dyDescent="0.2">
      <c r="A31040" s="258"/>
      <c r="Z31040" s="258"/>
    </row>
    <row r="31041" spans="1:26" ht="12.75" customHeight="1" x14ac:dyDescent="0.2">
      <c r="A31041" s="258"/>
      <c r="Z31041" s="258"/>
    </row>
    <row r="31042" spans="1:26" ht="12.75" customHeight="1" x14ac:dyDescent="0.2">
      <c r="A31042" s="258"/>
      <c r="Z31042" s="258"/>
    </row>
    <row r="31043" spans="1:26" ht="12.75" customHeight="1" x14ac:dyDescent="0.2">
      <c r="A31043" s="258"/>
      <c r="Z31043" s="258"/>
    </row>
    <row r="31044" spans="1:26" ht="12.75" customHeight="1" x14ac:dyDescent="0.2">
      <c r="A31044" s="258"/>
      <c r="Z31044" s="258"/>
    </row>
    <row r="31045" spans="1:26" ht="12.75" customHeight="1" x14ac:dyDescent="0.2">
      <c r="A31045" s="258"/>
      <c r="Z31045" s="258"/>
    </row>
    <row r="31046" spans="1:26" ht="12.75" customHeight="1" x14ac:dyDescent="0.2">
      <c r="A31046" s="258"/>
      <c r="Z31046" s="258"/>
    </row>
    <row r="31047" spans="1:26" ht="12.75" customHeight="1" x14ac:dyDescent="0.2">
      <c r="A31047" s="258"/>
      <c r="Z31047" s="258"/>
    </row>
    <row r="31048" spans="1:26" ht="12.75" customHeight="1" x14ac:dyDescent="0.2">
      <c r="A31048" s="258"/>
      <c r="Z31048" s="258"/>
    </row>
    <row r="31049" spans="1:26" ht="12.75" customHeight="1" x14ac:dyDescent="0.2">
      <c r="A31049" s="258"/>
      <c r="Z31049" s="258"/>
    </row>
    <row r="31050" spans="1:26" ht="12.75" customHeight="1" x14ac:dyDescent="0.2">
      <c r="A31050" s="258"/>
      <c r="Z31050" s="258"/>
    </row>
    <row r="31051" spans="1:26" ht="12.75" customHeight="1" x14ac:dyDescent="0.2">
      <c r="A31051" s="258"/>
      <c r="Z31051" s="258"/>
    </row>
    <row r="31052" spans="1:26" ht="12.75" customHeight="1" x14ac:dyDescent="0.2">
      <c r="A31052" s="258"/>
      <c r="Z31052" s="258"/>
    </row>
    <row r="31053" spans="1:26" ht="12.75" customHeight="1" x14ac:dyDescent="0.2">
      <c r="A31053" s="258"/>
      <c r="Z31053" s="258"/>
    </row>
    <row r="31054" spans="1:26" ht="12.75" customHeight="1" x14ac:dyDescent="0.2">
      <c r="A31054" s="258"/>
      <c r="Z31054" s="258"/>
    </row>
    <row r="31055" spans="1:26" ht="12.75" customHeight="1" x14ac:dyDescent="0.2">
      <c r="A31055" s="258"/>
      <c r="Z31055" s="258"/>
    </row>
    <row r="31056" spans="1:26" ht="12.75" customHeight="1" x14ac:dyDescent="0.2">
      <c r="A31056" s="258"/>
      <c r="Z31056" s="258"/>
    </row>
    <row r="31057" spans="1:26" ht="12.75" customHeight="1" x14ac:dyDescent="0.2">
      <c r="A31057" s="258"/>
      <c r="Z31057" s="258"/>
    </row>
    <row r="31058" spans="1:26" ht="12.75" customHeight="1" x14ac:dyDescent="0.2">
      <c r="A31058" s="258"/>
      <c r="Z31058" s="258"/>
    </row>
    <row r="31059" spans="1:26" ht="12.75" customHeight="1" x14ac:dyDescent="0.2">
      <c r="A31059" s="258"/>
      <c r="Z31059" s="258"/>
    </row>
    <row r="31060" spans="1:26" ht="12.75" customHeight="1" x14ac:dyDescent="0.2">
      <c r="A31060" s="258"/>
      <c r="Z31060" s="258"/>
    </row>
    <row r="31061" spans="1:26" ht="12.75" customHeight="1" x14ac:dyDescent="0.2">
      <c r="A31061" s="258"/>
      <c r="Z31061" s="258"/>
    </row>
    <row r="31062" spans="1:26" ht="12.75" customHeight="1" x14ac:dyDescent="0.2">
      <c r="A31062" s="258"/>
      <c r="Z31062" s="258"/>
    </row>
    <row r="31063" spans="1:26" ht="12.75" customHeight="1" x14ac:dyDescent="0.2">
      <c r="A31063" s="258"/>
      <c r="Z31063" s="258"/>
    </row>
    <row r="31064" spans="1:26" ht="12.75" customHeight="1" x14ac:dyDescent="0.2">
      <c r="A31064" s="258"/>
      <c r="Z31064" s="258"/>
    </row>
    <row r="31065" spans="1:26" ht="12.75" customHeight="1" x14ac:dyDescent="0.2">
      <c r="A31065" s="258"/>
      <c r="Z31065" s="258"/>
    </row>
    <row r="31066" spans="1:26" ht="12.75" customHeight="1" x14ac:dyDescent="0.2">
      <c r="A31066" s="258"/>
      <c r="Z31066" s="258"/>
    </row>
    <row r="31067" spans="1:26" ht="12.75" customHeight="1" x14ac:dyDescent="0.2">
      <c r="A31067" s="258"/>
      <c r="Z31067" s="258"/>
    </row>
    <row r="31068" spans="1:26" ht="12.75" customHeight="1" x14ac:dyDescent="0.2">
      <c r="A31068" s="258"/>
      <c r="Z31068" s="258"/>
    </row>
    <row r="31069" spans="1:26" ht="12.75" customHeight="1" x14ac:dyDescent="0.2">
      <c r="A31069" s="258"/>
      <c r="Z31069" s="258"/>
    </row>
    <row r="31070" spans="1:26" ht="12.75" customHeight="1" x14ac:dyDescent="0.2">
      <c r="A31070" s="258"/>
      <c r="Z31070" s="258"/>
    </row>
    <row r="31071" spans="1:26" ht="12.75" customHeight="1" x14ac:dyDescent="0.2">
      <c r="A31071" s="258"/>
      <c r="Z31071" s="258"/>
    </row>
    <row r="31072" spans="1:26" ht="12.75" customHeight="1" x14ac:dyDescent="0.2">
      <c r="A31072" s="258"/>
      <c r="Z31072" s="258"/>
    </row>
    <row r="31073" spans="1:26" ht="12.75" customHeight="1" x14ac:dyDescent="0.2">
      <c r="A31073" s="258"/>
      <c r="Z31073" s="258"/>
    </row>
    <row r="31074" spans="1:26" ht="12.75" customHeight="1" x14ac:dyDescent="0.2">
      <c r="A31074" s="258"/>
      <c r="Z31074" s="258"/>
    </row>
    <row r="31075" spans="1:26" ht="12.75" customHeight="1" x14ac:dyDescent="0.2">
      <c r="A31075" s="258"/>
      <c r="Z31075" s="258"/>
    </row>
    <row r="31076" spans="1:26" ht="12.75" customHeight="1" x14ac:dyDescent="0.2">
      <c r="A31076" s="258"/>
      <c r="Z31076" s="258"/>
    </row>
    <row r="31077" spans="1:26" ht="12.75" customHeight="1" x14ac:dyDescent="0.2">
      <c r="A31077" s="258"/>
      <c r="Z31077" s="258"/>
    </row>
    <row r="31078" spans="1:26" ht="12.75" customHeight="1" x14ac:dyDescent="0.2">
      <c r="A31078" s="258"/>
      <c r="Z31078" s="258"/>
    </row>
    <row r="31079" spans="1:26" ht="12.75" customHeight="1" x14ac:dyDescent="0.2">
      <c r="A31079" s="258"/>
      <c r="Z31079" s="258"/>
    </row>
    <row r="31080" spans="1:26" ht="12.75" customHeight="1" x14ac:dyDescent="0.2">
      <c r="A31080" s="258"/>
      <c r="Z31080" s="258"/>
    </row>
    <row r="31081" spans="1:26" ht="12.75" customHeight="1" x14ac:dyDescent="0.2">
      <c r="A31081" s="258"/>
      <c r="Z31081" s="258"/>
    </row>
    <row r="31082" spans="1:26" ht="12.75" customHeight="1" x14ac:dyDescent="0.2">
      <c r="A31082" s="258"/>
      <c r="Z31082" s="258"/>
    </row>
    <row r="31083" spans="1:26" ht="12.75" customHeight="1" x14ac:dyDescent="0.2">
      <c r="A31083" s="258"/>
      <c r="Z31083" s="258"/>
    </row>
    <row r="31084" spans="1:26" ht="12.75" customHeight="1" x14ac:dyDescent="0.2">
      <c r="A31084" s="258"/>
      <c r="Z31084" s="258"/>
    </row>
    <row r="31085" spans="1:26" ht="12.75" customHeight="1" x14ac:dyDescent="0.2">
      <c r="A31085" s="258"/>
      <c r="Z31085" s="258"/>
    </row>
    <row r="31086" spans="1:26" ht="12.75" customHeight="1" x14ac:dyDescent="0.2">
      <c r="A31086" s="258"/>
      <c r="Z31086" s="258"/>
    </row>
    <row r="31087" spans="1:26" ht="12.75" customHeight="1" x14ac:dyDescent="0.2">
      <c r="A31087" s="258"/>
      <c r="Z31087" s="258"/>
    </row>
    <row r="31088" spans="1:26" ht="12.75" customHeight="1" x14ac:dyDescent="0.2">
      <c r="A31088" s="258"/>
      <c r="Z31088" s="258"/>
    </row>
    <row r="31089" spans="1:26" ht="12.75" customHeight="1" x14ac:dyDescent="0.2">
      <c r="A31089" s="258"/>
      <c r="Z31089" s="258"/>
    </row>
    <row r="31090" spans="1:26" ht="12.75" customHeight="1" x14ac:dyDescent="0.2">
      <c r="A31090" s="258"/>
      <c r="Z31090" s="258"/>
    </row>
    <row r="31091" spans="1:26" ht="12.75" customHeight="1" x14ac:dyDescent="0.2">
      <c r="A31091" s="258"/>
      <c r="Z31091" s="258"/>
    </row>
    <row r="31092" spans="1:26" ht="12.75" customHeight="1" x14ac:dyDescent="0.2">
      <c r="A31092" s="258"/>
      <c r="Z31092" s="258"/>
    </row>
    <row r="31093" spans="1:26" ht="12.75" customHeight="1" x14ac:dyDescent="0.2">
      <c r="A31093" s="258"/>
      <c r="Z31093" s="258"/>
    </row>
    <row r="31094" spans="1:26" ht="12.75" customHeight="1" x14ac:dyDescent="0.2">
      <c r="A31094" s="258"/>
      <c r="Z31094" s="258"/>
    </row>
    <row r="31095" spans="1:26" ht="12.75" customHeight="1" x14ac:dyDescent="0.2">
      <c r="A31095" s="258"/>
      <c r="Z31095" s="258"/>
    </row>
    <row r="31096" spans="1:26" ht="12.75" customHeight="1" x14ac:dyDescent="0.2">
      <c r="A31096" s="258"/>
      <c r="Z31096" s="258"/>
    </row>
    <row r="31097" spans="1:26" ht="12.75" customHeight="1" x14ac:dyDescent="0.2">
      <c r="A31097" s="258"/>
      <c r="Z31097" s="258"/>
    </row>
    <row r="31098" spans="1:26" ht="12.75" customHeight="1" x14ac:dyDescent="0.2">
      <c r="A31098" s="258"/>
      <c r="Z31098" s="258"/>
    </row>
    <row r="31099" spans="1:26" ht="12.75" customHeight="1" x14ac:dyDescent="0.2">
      <c r="A31099" s="258"/>
      <c r="Z31099" s="258"/>
    </row>
    <row r="31100" spans="1:26" ht="12.75" customHeight="1" x14ac:dyDescent="0.2">
      <c r="A31100" s="258"/>
      <c r="Z31100" s="258"/>
    </row>
    <row r="31101" spans="1:26" ht="12.75" customHeight="1" x14ac:dyDescent="0.2">
      <c r="A31101" s="258"/>
      <c r="Z31101" s="258"/>
    </row>
    <row r="31102" spans="1:26" ht="12.75" customHeight="1" x14ac:dyDescent="0.2">
      <c r="A31102" s="258"/>
      <c r="Z31102" s="258"/>
    </row>
    <row r="31103" spans="1:26" ht="12.75" customHeight="1" x14ac:dyDescent="0.2">
      <c r="A31103" s="258"/>
      <c r="Z31103" s="258"/>
    </row>
    <row r="31104" spans="1:26" ht="12.75" customHeight="1" x14ac:dyDescent="0.2">
      <c r="A31104" s="258"/>
      <c r="Z31104" s="258"/>
    </row>
    <row r="31105" spans="1:26" ht="12.75" customHeight="1" x14ac:dyDescent="0.2">
      <c r="A31105" s="258"/>
      <c r="Z31105" s="258"/>
    </row>
    <row r="31106" spans="1:26" ht="12.75" customHeight="1" x14ac:dyDescent="0.2">
      <c r="A31106" s="258"/>
      <c r="Z31106" s="258"/>
    </row>
    <row r="31107" spans="1:26" ht="12.75" customHeight="1" x14ac:dyDescent="0.2">
      <c r="A31107" s="258"/>
      <c r="Z31107" s="258"/>
    </row>
    <row r="31108" spans="1:26" ht="12.75" customHeight="1" x14ac:dyDescent="0.2">
      <c r="A31108" s="258"/>
      <c r="Z31108" s="258"/>
    </row>
    <row r="31109" spans="1:26" ht="12.75" customHeight="1" x14ac:dyDescent="0.2">
      <c r="A31109" s="258"/>
      <c r="Z31109" s="258"/>
    </row>
    <row r="31110" spans="1:26" ht="12.75" customHeight="1" x14ac:dyDescent="0.2">
      <c r="A31110" s="258"/>
      <c r="Z31110" s="258"/>
    </row>
    <row r="31111" spans="1:26" ht="12.75" customHeight="1" x14ac:dyDescent="0.2">
      <c r="A31111" s="258"/>
      <c r="Z31111" s="258"/>
    </row>
    <row r="31112" spans="1:26" ht="12.75" customHeight="1" x14ac:dyDescent="0.2">
      <c r="A31112" s="258"/>
      <c r="Z31112" s="258"/>
    </row>
    <row r="31113" spans="1:26" ht="12.75" customHeight="1" x14ac:dyDescent="0.2">
      <c r="A31113" s="258"/>
      <c r="Z31113" s="258"/>
    </row>
    <row r="31114" spans="1:26" ht="12.75" customHeight="1" x14ac:dyDescent="0.2">
      <c r="A31114" s="258"/>
      <c r="Z31114" s="258"/>
    </row>
    <row r="31115" spans="1:26" ht="12.75" customHeight="1" x14ac:dyDescent="0.2">
      <c r="A31115" s="258"/>
      <c r="Z31115" s="258"/>
    </row>
    <row r="31116" spans="1:26" ht="12.75" customHeight="1" x14ac:dyDescent="0.2">
      <c r="A31116" s="258"/>
      <c r="Z31116" s="258"/>
    </row>
    <row r="31117" spans="1:26" ht="12.75" customHeight="1" x14ac:dyDescent="0.2">
      <c r="A31117" s="258"/>
      <c r="Z31117" s="258"/>
    </row>
    <row r="31118" spans="1:26" ht="12.75" customHeight="1" x14ac:dyDescent="0.2">
      <c r="A31118" s="258"/>
      <c r="Z31118" s="258"/>
    </row>
    <row r="31119" spans="1:26" ht="12.75" customHeight="1" x14ac:dyDescent="0.2">
      <c r="A31119" s="258"/>
      <c r="Z31119" s="258"/>
    </row>
    <row r="31120" spans="1:26" ht="12.75" customHeight="1" x14ac:dyDescent="0.2">
      <c r="A31120" s="258"/>
      <c r="Z31120" s="258"/>
    </row>
    <row r="31121" spans="1:26" ht="12.75" customHeight="1" x14ac:dyDescent="0.2">
      <c r="A31121" s="258"/>
      <c r="Z31121" s="258"/>
    </row>
    <row r="31122" spans="1:26" ht="12.75" customHeight="1" x14ac:dyDescent="0.2">
      <c r="A31122" s="258"/>
      <c r="Z31122" s="258"/>
    </row>
    <row r="31123" spans="1:26" ht="12.75" customHeight="1" x14ac:dyDescent="0.2">
      <c r="A31123" s="258"/>
      <c r="Z31123" s="258"/>
    </row>
    <row r="31124" spans="1:26" ht="12.75" customHeight="1" x14ac:dyDescent="0.2">
      <c r="A31124" s="258"/>
      <c r="Z31124" s="258"/>
    </row>
    <row r="31125" spans="1:26" ht="12.75" customHeight="1" x14ac:dyDescent="0.2">
      <c r="A31125" s="258"/>
      <c r="Z31125" s="258"/>
    </row>
    <row r="31126" spans="1:26" ht="12.75" customHeight="1" x14ac:dyDescent="0.2">
      <c r="A31126" s="258"/>
      <c r="Z31126" s="258"/>
    </row>
    <row r="31127" spans="1:26" ht="12.75" customHeight="1" x14ac:dyDescent="0.2">
      <c r="A31127" s="258"/>
      <c r="Z31127" s="258"/>
    </row>
    <row r="31128" spans="1:26" ht="12.75" customHeight="1" x14ac:dyDescent="0.2">
      <c r="A31128" s="258"/>
      <c r="Z31128" s="258"/>
    </row>
    <row r="31129" spans="1:26" ht="12.75" customHeight="1" x14ac:dyDescent="0.2">
      <c r="A31129" s="258"/>
      <c r="Z31129" s="258"/>
    </row>
    <row r="31130" spans="1:26" ht="12.75" customHeight="1" x14ac:dyDescent="0.2">
      <c r="A31130" s="258"/>
      <c r="Z31130" s="258"/>
    </row>
    <row r="31131" spans="1:26" ht="12.75" customHeight="1" x14ac:dyDescent="0.2">
      <c r="A31131" s="258"/>
      <c r="Z31131" s="258"/>
    </row>
    <row r="31132" spans="1:26" ht="12.75" customHeight="1" x14ac:dyDescent="0.2">
      <c r="A31132" s="258"/>
      <c r="Z31132" s="258"/>
    </row>
    <row r="31133" spans="1:26" ht="12.75" customHeight="1" x14ac:dyDescent="0.2">
      <c r="A31133" s="258"/>
      <c r="Z31133" s="258"/>
    </row>
    <row r="31134" spans="1:26" ht="12.75" customHeight="1" x14ac:dyDescent="0.2">
      <c r="A31134" s="258"/>
      <c r="Z31134" s="258"/>
    </row>
    <row r="31135" spans="1:26" ht="12.75" customHeight="1" x14ac:dyDescent="0.2">
      <c r="A31135" s="258"/>
      <c r="Z31135" s="258"/>
    </row>
    <row r="31136" spans="1:26" ht="12.75" customHeight="1" x14ac:dyDescent="0.2">
      <c r="A31136" s="258"/>
      <c r="Z31136" s="258"/>
    </row>
    <row r="31137" spans="1:26" ht="12.75" customHeight="1" x14ac:dyDescent="0.2">
      <c r="A31137" s="258"/>
      <c r="Z31137" s="258"/>
    </row>
    <row r="31138" spans="1:26" ht="12.75" customHeight="1" x14ac:dyDescent="0.2">
      <c r="A31138" s="258"/>
      <c r="Z31138" s="258"/>
    </row>
    <row r="31139" spans="1:26" ht="12.75" customHeight="1" x14ac:dyDescent="0.2">
      <c r="A31139" s="258"/>
      <c r="Z31139" s="258"/>
    </row>
    <row r="31140" spans="1:26" ht="12.75" customHeight="1" x14ac:dyDescent="0.2">
      <c r="A31140" s="258"/>
      <c r="Z31140" s="258"/>
    </row>
    <row r="31141" spans="1:26" ht="12.75" customHeight="1" x14ac:dyDescent="0.2">
      <c r="A31141" s="258"/>
      <c r="Z31141" s="258"/>
    </row>
    <row r="31142" spans="1:26" ht="12.75" customHeight="1" x14ac:dyDescent="0.2">
      <c r="A31142" s="258"/>
      <c r="Z31142" s="258"/>
    </row>
    <row r="31143" spans="1:26" ht="12.75" customHeight="1" x14ac:dyDescent="0.2">
      <c r="A31143" s="258"/>
      <c r="Z31143" s="258"/>
    </row>
    <row r="31144" spans="1:26" ht="12.75" customHeight="1" x14ac:dyDescent="0.2">
      <c r="A31144" s="258"/>
      <c r="Z31144" s="258"/>
    </row>
    <row r="31145" spans="1:26" ht="12.75" customHeight="1" x14ac:dyDescent="0.2">
      <c r="A31145" s="258"/>
      <c r="Z31145" s="258"/>
    </row>
    <row r="31146" spans="1:26" ht="12.75" customHeight="1" x14ac:dyDescent="0.2">
      <c r="A31146" s="258"/>
      <c r="Z31146" s="258"/>
    </row>
    <row r="31147" spans="1:26" ht="12.75" customHeight="1" x14ac:dyDescent="0.2">
      <c r="A31147" s="258"/>
      <c r="Z31147" s="258"/>
    </row>
    <row r="31148" spans="1:26" ht="12.75" customHeight="1" x14ac:dyDescent="0.2">
      <c r="A31148" s="258"/>
      <c r="Z31148" s="258"/>
    </row>
    <row r="31149" spans="1:26" ht="12.75" customHeight="1" x14ac:dyDescent="0.2">
      <c r="A31149" s="258"/>
      <c r="Z31149" s="258"/>
    </row>
    <row r="31150" spans="1:26" ht="12.75" customHeight="1" x14ac:dyDescent="0.2">
      <c r="A31150" s="258"/>
      <c r="Z31150" s="258"/>
    </row>
    <row r="31151" spans="1:26" ht="12.75" customHeight="1" x14ac:dyDescent="0.2">
      <c r="A31151" s="258"/>
      <c r="Z31151" s="258"/>
    </row>
    <row r="31152" spans="1:26" ht="12.75" customHeight="1" x14ac:dyDescent="0.2">
      <c r="A31152" s="258"/>
      <c r="Z31152" s="258"/>
    </row>
    <row r="31153" spans="1:26" ht="12.75" customHeight="1" x14ac:dyDescent="0.2">
      <c r="A31153" s="258"/>
      <c r="Z31153" s="258"/>
    </row>
    <row r="31154" spans="1:26" ht="12.75" customHeight="1" x14ac:dyDescent="0.2">
      <c r="A31154" s="258"/>
      <c r="Z31154" s="258"/>
    </row>
    <row r="31155" spans="1:26" ht="12.75" customHeight="1" x14ac:dyDescent="0.2">
      <c r="A31155" s="258"/>
      <c r="Z31155" s="258"/>
    </row>
    <row r="31156" spans="1:26" ht="12.75" customHeight="1" x14ac:dyDescent="0.2">
      <c r="A31156" s="258"/>
      <c r="Z31156" s="258"/>
    </row>
    <row r="31157" spans="1:26" ht="12.75" customHeight="1" x14ac:dyDescent="0.2">
      <c r="A31157" s="258"/>
      <c r="Z31157" s="258"/>
    </row>
    <row r="31158" spans="1:26" ht="12.75" customHeight="1" x14ac:dyDescent="0.2">
      <c r="A31158" s="258"/>
      <c r="Z31158" s="258"/>
    </row>
    <row r="31159" spans="1:26" ht="12.75" customHeight="1" x14ac:dyDescent="0.2">
      <c r="A31159" s="258"/>
      <c r="Z31159" s="258"/>
    </row>
    <row r="31160" spans="1:26" ht="12.75" customHeight="1" x14ac:dyDescent="0.2">
      <c r="A31160" s="258"/>
      <c r="Z31160" s="258"/>
    </row>
    <row r="31161" spans="1:26" ht="12.75" customHeight="1" x14ac:dyDescent="0.2">
      <c r="A31161" s="258"/>
      <c r="Z31161" s="258"/>
    </row>
    <row r="31162" spans="1:26" ht="12.75" customHeight="1" x14ac:dyDescent="0.2">
      <c r="A31162" s="258"/>
      <c r="Z31162" s="258"/>
    </row>
    <row r="31163" spans="1:26" ht="12.75" customHeight="1" x14ac:dyDescent="0.2">
      <c r="A31163" s="258"/>
      <c r="Z31163" s="258"/>
    </row>
    <row r="31164" spans="1:26" ht="12.75" customHeight="1" x14ac:dyDescent="0.2">
      <c r="A31164" s="258"/>
      <c r="Z31164" s="258"/>
    </row>
    <row r="31165" spans="1:26" ht="12.75" customHeight="1" x14ac:dyDescent="0.2">
      <c r="A31165" s="258"/>
      <c r="Z31165" s="258"/>
    </row>
    <row r="31166" spans="1:26" ht="12.75" customHeight="1" x14ac:dyDescent="0.2">
      <c r="A31166" s="258"/>
      <c r="Z31166" s="258"/>
    </row>
    <row r="31167" spans="1:26" ht="12.75" customHeight="1" x14ac:dyDescent="0.2">
      <c r="A31167" s="258"/>
      <c r="Z31167" s="258"/>
    </row>
    <row r="31168" spans="1:26" ht="12.75" customHeight="1" x14ac:dyDescent="0.2">
      <c r="A31168" s="258"/>
      <c r="Z31168" s="258"/>
    </row>
    <row r="31169" spans="1:26" ht="12.75" customHeight="1" x14ac:dyDescent="0.2">
      <c r="A31169" s="258"/>
      <c r="Z31169" s="258"/>
    </row>
    <row r="31170" spans="1:26" ht="12.75" customHeight="1" x14ac:dyDescent="0.2">
      <c r="A31170" s="258"/>
      <c r="Z31170" s="258"/>
    </row>
    <row r="31171" spans="1:26" ht="12.75" customHeight="1" x14ac:dyDescent="0.2">
      <c r="A31171" s="258"/>
      <c r="Z31171" s="258"/>
    </row>
    <row r="31172" spans="1:26" ht="12.75" customHeight="1" x14ac:dyDescent="0.2">
      <c r="A31172" s="258"/>
      <c r="Z31172" s="258"/>
    </row>
    <row r="31173" spans="1:26" ht="12.75" customHeight="1" x14ac:dyDescent="0.2">
      <c r="A31173" s="258"/>
      <c r="Z31173" s="258"/>
    </row>
    <row r="31174" spans="1:26" ht="12.75" customHeight="1" x14ac:dyDescent="0.2">
      <c r="A31174" s="258"/>
      <c r="Z31174" s="258"/>
    </row>
    <row r="31175" spans="1:26" ht="12.75" customHeight="1" x14ac:dyDescent="0.2">
      <c r="A31175" s="258"/>
      <c r="Z31175" s="258"/>
    </row>
    <row r="31176" spans="1:26" ht="12.75" customHeight="1" x14ac:dyDescent="0.2">
      <c r="A31176" s="258"/>
      <c r="Z31176" s="258"/>
    </row>
    <row r="31177" spans="1:26" ht="12.75" customHeight="1" x14ac:dyDescent="0.2">
      <c r="A31177" s="258"/>
      <c r="Z31177" s="258"/>
    </row>
    <row r="31178" spans="1:26" ht="12.75" customHeight="1" x14ac:dyDescent="0.2">
      <c r="A31178" s="258"/>
      <c r="Z31178" s="258"/>
    </row>
    <row r="31179" spans="1:26" ht="12.75" customHeight="1" x14ac:dyDescent="0.2">
      <c r="A31179" s="258"/>
      <c r="Z31179" s="258"/>
    </row>
    <row r="31180" spans="1:26" ht="12.75" customHeight="1" x14ac:dyDescent="0.2">
      <c r="A31180" s="258"/>
      <c r="Z31180" s="258"/>
    </row>
    <row r="31181" spans="1:26" ht="12.75" customHeight="1" x14ac:dyDescent="0.2">
      <c r="A31181" s="258"/>
      <c r="Z31181" s="258"/>
    </row>
    <row r="31182" spans="1:26" ht="12.75" customHeight="1" x14ac:dyDescent="0.2">
      <c r="A31182" s="258"/>
      <c r="Z31182" s="258"/>
    </row>
    <row r="31183" spans="1:26" ht="12.75" customHeight="1" x14ac:dyDescent="0.2">
      <c r="A31183" s="258"/>
      <c r="Z31183" s="258"/>
    </row>
    <row r="31184" spans="1:26" ht="12.75" customHeight="1" x14ac:dyDescent="0.2">
      <c r="A31184" s="258"/>
      <c r="Z31184" s="258"/>
    </row>
    <row r="31185" spans="1:26" ht="12.75" customHeight="1" x14ac:dyDescent="0.2">
      <c r="A31185" s="258"/>
      <c r="Z31185" s="258"/>
    </row>
    <row r="31186" spans="1:26" ht="12.75" customHeight="1" x14ac:dyDescent="0.2">
      <c r="A31186" s="258"/>
      <c r="Z31186" s="258"/>
    </row>
    <row r="31187" spans="1:26" ht="12.75" customHeight="1" x14ac:dyDescent="0.2">
      <c r="A31187" s="258"/>
      <c r="Z31187" s="258"/>
    </row>
    <row r="31188" spans="1:26" ht="12.75" customHeight="1" x14ac:dyDescent="0.2">
      <c r="A31188" s="258"/>
      <c r="Z31188" s="258"/>
    </row>
    <row r="31189" spans="1:26" ht="12.75" customHeight="1" x14ac:dyDescent="0.2">
      <c r="A31189" s="258"/>
      <c r="Z31189" s="258"/>
    </row>
    <row r="31190" spans="1:26" ht="12.75" customHeight="1" x14ac:dyDescent="0.2">
      <c r="A31190" s="258"/>
      <c r="Z31190" s="258"/>
    </row>
    <row r="31191" spans="1:26" ht="12.75" customHeight="1" x14ac:dyDescent="0.2">
      <c r="A31191" s="258"/>
      <c r="Z31191" s="258"/>
    </row>
    <row r="31192" spans="1:26" ht="12.75" customHeight="1" x14ac:dyDescent="0.2">
      <c r="A31192" s="258"/>
      <c r="Z31192" s="258"/>
    </row>
    <row r="31193" spans="1:26" ht="12.75" customHeight="1" x14ac:dyDescent="0.2">
      <c r="A31193" s="258"/>
      <c r="Z31193" s="258"/>
    </row>
    <row r="31194" spans="1:26" ht="12.75" customHeight="1" x14ac:dyDescent="0.2">
      <c r="A31194" s="258"/>
      <c r="Z31194" s="258"/>
    </row>
    <row r="31195" spans="1:26" ht="12.75" customHeight="1" x14ac:dyDescent="0.2">
      <c r="A31195" s="258"/>
      <c r="Z31195" s="258"/>
    </row>
    <row r="31196" spans="1:26" ht="12.75" customHeight="1" x14ac:dyDescent="0.2">
      <c r="A31196" s="258"/>
      <c r="Z31196" s="258"/>
    </row>
    <row r="31197" spans="1:26" ht="12.75" customHeight="1" x14ac:dyDescent="0.2">
      <c r="A31197" s="258"/>
      <c r="Z31197" s="258"/>
    </row>
    <row r="31198" spans="1:26" ht="12.75" customHeight="1" x14ac:dyDescent="0.2">
      <c r="A31198" s="258"/>
      <c r="Z31198" s="258"/>
    </row>
    <row r="31199" spans="1:26" ht="12.75" customHeight="1" x14ac:dyDescent="0.2">
      <c r="A31199" s="258"/>
      <c r="Z31199" s="258"/>
    </row>
    <row r="31200" spans="1:26" ht="12.75" customHeight="1" x14ac:dyDescent="0.2">
      <c r="A31200" s="258"/>
      <c r="Z31200" s="258"/>
    </row>
    <row r="31201" spans="1:26" ht="12.75" customHeight="1" x14ac:dyDescent="0.2">
      <c r="A31201" s="258"/>
      <c r="Z31201" s="258"/>
    </row>
    <row r="31202" spans="1:26" ht="12.75" customHeight="1" x14ac:dyDescent="0.2">
      <c r="A31202" s="258"/>
      <c r="Z31202" s="258"/>
    </row>
    <row r="31203" spans="1:26" ht="12.75" customHeight="1" x14ac:dyDescent="0.2">
      <c r="A31203" s="258"/>
      <c r="Z31203" s="258"/>
    </row>
    <row r="31204" spans="1:26" ht="12.75" customHeight="1" x14ac:dyDescent="0.2">
      <c r="A31204" s="258"/>
      <c r="Z31204" s="258"/>
    </row>
    <row r="31205" spans="1:26" ht="12.75" customHeight="1" x14ac:dyDescent="0.2">
      <c r="A31205" s="258"/>
      <c r="Z31205" s="258"/>
    </row>
    <row r="31206" spans="1:26" ht="12.75" customHeight="1" x14ac:dyDescent="0.2">
      <c r="A31206" s="258"/>
      <c r="Z31206" s="258"/>
    </row>
    <row r="31207" spans="1:26" ht="12.75" customHeight="1" x14ac:dyDescent="0.2">
      <c r="A31207" s="258"/>
      <c r="Z31207" s="258"/>
    </row>
    <row r="31208" spans="1:26" ht="12.75" customHeight="1" x14ac:dyDescent="0.2">
      <c r="A31208" s="258"/>
      <c r="Z31208" s="258"/>
    </row>
    <row r="31209" spans="1:26" ht="12.75" customHeight="1" x14ac:dyDescent="0.2">
      <c r="A31209" s="258"/>
      <c r="Z31209" s="258"/>
    </row>
    <row r="31210" spans="1:26" ht="12.75" customHeight="1" x14ac:dyDescent="0.2">
      <c r="A31210" s="258"/>
      <c r="Z31210" s="258"/>
    </row>
    <row r="31211" spans="1:26" ht="12.75" customHeight="1" x14ac:dyDescent="0.2">
      <c r="A31211" s="258"/>
      <c r="Z31211" s="258"/>
    </row>
    <row r="31212" spans="1:26" ht="12.75" customHeight="1" x14ac:dyDescent="0.2">
      <c r="A31212" s="258"/>
      <c r="Z31212" s="258"/>
    </row>
    <row r="31213" spans="1:26" ht="12.75" customHeight="1" x14ac:dyDescent="0.2">
      <c r="A31213" s="258"/>
      <c r="Z31213" s="258"/>
    </row>
    <row r="31214" spans="1:26" ht="12.75" customHeight="1" x14ac:dyDescent="0.2">
      <c r="A31214" s="258"/>
      <c r="Z31214" s="258"/>
    </row>
    <row r="31215" spans="1:26" ht="12.75" customHeight="1" x14ac:dyDescent="0.2">
      <c r="A31215" s="258"/>
      <c r="Z31215" s="258"/>
    </row>
    <row r="31216" spans="1:26" ht="12.75" customHeight="1" x14ac:dyDescent="0.2">
      <c r="A31216" s="258"/>
      <c r="Z31216" s="258"/>
    </row>
    <row r="31217" spans="1:26" ht="12.75" customHeight="1" x14ac:dyDescent="0.2">
      <c r="A31217" s="258"/>
      <c r="Z31217" s="258"/>
    </row>
    <row r="31218" spans="1:26" ht="12.75" customHeight="1" x14ac:dyDescent="0.2">
      <c r="A31218" s="258"/>
      <c r="Z31218" s="258"/>
    </row>
    <row r="31219" spans="1:26" ht="12.75" customHeight="1" x14ac:dyDescent="0.2">
      <c r="A31219" s="258"/>
      <c r="Z31219" s="258"/>
    </row>
    <row r="31220" spans="1:26" ht="12.75" customHeight="1" x14ac:dyDescent="0.2">
      <c r="A31220" s="258"/>
      <c r="Z31220" s="258"/>
    </row>
    <row r="31221" spans="1:26" ht="12.75" customHeight="1" x14ac:dyDescent="0.2">
      <c r="A31221" s="258"/>
      <c r="Z31221" s="258"/>
    </row>
    <row r="31222" spans="1:26" ht="12.75" customHeight="1" x14ac:dyDescent="0.2">
      <c r="A31222" s="258"/>
      <c r="Z31222" s="258"/>
    </row>
    <row r="31223" spans="1:26" ht="12.75" customHeight="1" x14ac:dyDescent="0.2">
      <c r="A31223" s="258"/>
      <c r="Z31223" s="258"/>
    </row>
    <row r="31224" spans="1:26" ht="12.75" customHeight="1" x14ac:dyDescent="0.2">
      <c r="A31224" s="258"/>
      <c r="Z31224" s="258"/>
    </row>
    <row r="31225" spans="1:26" ht="12.75" customHeight="1" x14ac:dyDescent="0.2">
      <c r="A31225" s="258"/>
      <c r="Z31225" s="258"/>
    </row>
    <row r="31226" spans="1:26" ht="12.75" customHeight="1" x14ac:dyDescent="0.2">
      <c r="A31226" s="258"/>
      <c r="Z31226" s="258"/>
    </row>
    <row r="31227" spans="1:26" ht="12.75" customHeight="1" x14ac:dyDescent="0.2">
      <c r="A31227" s="258"/>
      <c r="Z31227" s="258"/>
    </row>
    <row r="31228" spans="1:26" ht="12.75" customHeight="1" x14ac:dyDescent="0.2">
      <c r="A31228" s="258"/>
      <c r="Z31228" s="258"/>
    </row>
    <row r="31229" spans="1:26" ht="12.75" customHeight="1" x14ac:dyDescent="0.2">
      <c r="A31229" s="258"/>
      <c r="Z31229" s="258"/>
    </row>
    <row r="31230" spans="1:26" ht="12.75" customHeight="1" x14ac:dyDescent="0.2">
      <c r="A31230" s="258"/>
      <c r="Z31230" s="258"/>
    </row>
    <row r="31231" spans="1:26" ht="12.75" customHeight="1" x14ac:dyDescent="0.2">
      <c r="A31231" s="258"/>
      <c r="Z31231" s="258"/>
    </row>
    <row r="31232" spans="1:26" ht="12.75" customHeight="1" x14ac:dyDescent="0.2">
      <c r="A31232" s="258"/>
      <c r="Z31232" s="258"/>
    </row>
    <row r="31233" spans="1:26" ht="12.75" customHeight="1" x14ac:dyDescent="0.2">
      <c r="A31233" s="258"/>
      <c r="Z31233" s="258"/>
    </row>
    <row r="31234" spans="1:26" ht="12.75" customHeight="1" x14ac:dyDescent="0.2">
      <c r="A31234" s="258"/>
      <c r="Z31234" s="258"/>
    </row>
    <row r="31235" spans="1:26" ht="12.75" customHeight="1" x14ac:dyDescent="0.2">
      <c r="A31235" s="258"/>
      <c r="Z31235" s="258"/>
    </row>
    <row r="31236" spans="1:26" ht="12.75" customHeight="1" x14ac:dyDescent="0.2">
      <c r="A31236" s="258"/>
      <c r="Z31236" s="258"/>
    </row>
    <row r="31237" spans="1:26" ht="12.75" customHeight="1" x14ac:dyDescent="0.2">
      <c r="A31237" s="258"/>
      <c r="Z31237" s="258"/>
    </row>
    <row r="31238" spans="1:26" ht="12.75" customHeight="1" x14ac:dyDescent="0.2">
      <c r="A31238" s="258"/>
      <c r="Z31238" s="258"/>
    </row>
    <row r="31239" spans="1:26" ht="12.75" customHeight="1" x14ac:dyDescent="0.2">
      <c r="A31239" s="258"/>
      <c r="Z31239" s="258"/>
    </row>
    <row r="31240" spans="1:26" ht="12.75" customHeight="1" x14ac:dyDescent="0.2">
      <c r="A31240" s="258"/>
      <c r="Z31240" s="258"/>
    </row>
    <row r="31241" spans="1:26" ht="12.75" customHeight="1" x14ac:dyDescent="0.2">
      <c r="A31241" s="258"/>
      <c r="Z31241" s="258"/>
    </row>
    <row r="31242" spans="1:26" ht="12.75" customHeight="1" x14ac:dyDescent="0.2">
      <c r="A31242" s="258"/>
      <c r="Z31242" s="258"/>
    </row>
    <row r="31243" spans="1:26" ht="12.75" customHeight="1" x14ac:dyDescent="0.2">
      <c r="A31243" s="258"/>
      <c r="Z31243" s="258"/>
    </row>
    <row r="31244" spans="1:26" ht="12.75" customHeight="1" x14ac:dyDescent="0.2">
      <c r="A31244" s="258"/>
      <c r="Z31244" s="258"/>
    </row>
    <row r="31245" spans="1:26" ht="12.75" customHeight="1" x14ac:dyDescent="0.2">
      <c r="A31245" s="258"/>
      <c r="Z31245" s="258"/>
    </row>
    <row r="31246" spans="1:26" ht="12.75" customHeight="1" x14ac:dyDescent="0.2">
      <c r="A31246" s="258"/>
      <c r="Z31246" s="258"/>
    </row>
    <row r="31247" spans="1:26" ht="12.75" customHeight="1" x14ac:dyDescent="0.2">
      <c r="A31247" s="258"/>
      <c r="Z31247" s="258"/>
    </row>
    <row r="31248" spans="1:26" ht="12.75" customHeight="1" x14ac:dyDescent="0.2">
      <c r="A31248" s="258"/>
      <c r="Z31248" s="258"/>
    </row>
    <row r="31249" spans="1:26" ht="12.75" customHeight="1" x14ac:dyDescent="0.2">
      <c r="A31249" s="258"/>
      <c r="Z31249" s="258"/>
    </row>
    <row r="31250" spans="1:26" ht="12.75" customHeight="1" x14ac:dyDescent="0.2">
      <c r="A31250" s="258"/>
      <c r="Z31250" s="258"/>
    </row>
    <row r="31251" spans="1:26" ht="12.75" customHeight="1" x14ac:dyDescent="0.2">
      <c r="A31251" s="258"/>
      <c r="Z31251" s="258"/>
    </row>
    <row r="31252" spans="1:26" ht="12.75" customHeight="1" x14ac:dyDescent="0.2">
      <c r="A31252" s="258"/>
      <c r="Z31252" s="258"/>
    </row>
    <row r="31253" spans="1:26" ht="12.75" customHeight="1" x14ac:dyDescent="0.2">
      <c r="A31253" s="258"/>
      <c r="Z31253" s="258"/>
    </row>
    <row r="31254" spans="1:26" ht="12.75" customHeight="1" x14ac:dyDescent="0.2">
      <c r="A31254" s="258"/>
      <c r="Z31254" s="258"/>
    </row>
    <row r="31255" spans="1:26" ht="12.75" customHeight="1" x14ac:dyDescent="0.2">
      <c r="A31255" s="258"/>
      <c r="Z31255" s="258"/>
    </row>
    <row r="31256" spans="1:26" ht="12.75" customHeight="1" x14ac:dyDescent="0.2">
      <c r="A31256" s="258"/>
      <c r="Z31256" s="258"/>
    </row>
    <row r="31257" spans="1:26" ht="12.75" customHeight="1" x14ac:dyDescent="0.2">
      <c r="A31257" s="258"/>
      <c r="Z31257" s="258"/>
    </row>
    <row r="31258" spans="1:26" ht="12.75" customHeight="1" x14ac:dyDescent="0.2">
      <c r="A31258" s="258"/>
      <c r="Z31258" s="258"/>
    </row>
    <row r="31259" spans="1:26" ht="12.75" customHeight="1" x14ac:dyDescent="0.2">
      <c r="A31259" s="258"/>
      <c r="Z31259" s="258"/>
    </row>
    <row r="31260" spans="1:26" ht="12.75" customHeight="1" x14ac:dyDescent="0.2">
      <c r="A31260" s="258"/>
      <c r="Z31260" s="258"/>
    </row>
    <row r="31261" spans="1:26" ht="12.75" customHeight="1" x14ac:dyDescent="0.2">
      <c r="A31261" s="258"/>
      <c r="Z31261" s="258"/>
    </row>
    <row r="31262" spans="1:26" ht="12.75" customHeight="1" x14ac:dyDescent="0.2">
      <c r="A31262" s="258"/>
      <c r="Z31262" s="258"/>
    </row>
    <row r="31263" spans="1:26" ht="12.75" customHeight="1" x14ac:dyDescent="0.2">
      <c r="A31263" s="258"/>
      <c r="Z31263" s="258"/>
    </row>
    <row r="31264" spans="1:26" ht="12.75" customHeight="1" x14ac:dyDescent="0.2">
      <c r="A31264" s="258"/>
      <c r="Z31264" s="258"/>
    </row>
    <row r="31265" spans="1:26" ht="12.75" customHeight="1" x14ac:dyDescent="0.2">
      <c r="A31265" s="258"/>
      <c r="Z31265" s="258"/>
    </row>
    <row r="31266" spans="1:26" ht="12.75" customHeight="1" x14ac:dyDescent="0.2">
      <c r="A31266" s="258"/>
      <c r="Z31266" s="258"/>
    </row>
    <row r="31267" spans="1:26" ht="12.75" customHeight="1" x14ac:dyDescent="0.2">
      <c r="A31267" s="258"/>
      <c r="Z31267" s="258"/>
    </row>
    <row r="31268" spans="1:26" ht="12.75" customHeight="1" x14ac:dyDescent="0.2">
      <c r="A31268" s="258"/>
      <c r="Z31268" s="258"/>
    </row>
    <row r="31269" spans="1:26" ht="12.75" customHeight="1" x14ac:dyDescent="0.2">
      <c r="A31269" s="258"/>
      <c r="Z31269" s="258"/>
    </row>
    <row r="31270" spans="1:26" ht="12.75" customHeight="1" x14ac:dyDescent="0.2">
      <c r="A31270" s="258"/>
      <c r="Z31270" s="258"/>
    </row>
    <row r="31271" spans="1:26" ht="12.75" customHeight="1" x14ac:dyDescent="0.2">
      <c r="A31271" s="258"/>
      <c r="Z31271" s="258"/>
    </row>
    <row r="31272" spans="1:26" ht="12.75" customHeight="1" x14ac:dyDescent="0.2">
      <c r="A31272" s="258"/>
      <c r="Z31272" s="258"/>
    </row>
    <row r="31273" spans="1:26" ht="12.75" customHeight="1" x14ac:dyDescent="0.2">
      <c r="A31273" s="258"/>
      <c r="Z31273" s="258"/>
    </row>
    <row r="31274" spans="1:26" ht="12.75" customHeight="1" x14ac:dyDescent="0.2">
      <c r="A31274" s="258"/>
      <c r="Z31274" s="258"/>
    </row>
    <row r="31275" spans="1:26" ht="12.75" customHeight="1" x14ac:dyDescent="0.2">
      <c r="A31275" s="258"/>
      <c r="Z31275" s="258"/>
    </row>
    <row r="31276" spans="1:26" ht="12.75" customHeight="1" x14ac:dyDescent="0.2">
      <c r="A31276" s="258"/>
      <c r="Z31276" s="258"/>
    </row>
    <row r="31277" spans="1:26" ht="12.75" customHeight="1" x14ac:dyDescent="0.2">
      <c r="A31277" s="258"/>
      <c r="Z31277" s="258"/>
    </row>
    <row r="31278" spans="1:26" ht="12.75" customHeight="1" x14ac:dyDescent="0.2">
      <c r="A31278" s="258"/>
      <c r="Z31278" s="258"/>
    </row>
    <row r="31279" spans="1:26" ht="12.75" customHeight="1" x14ac:dyDescent="0.2">
      <c r="A31279" s="258"/>
      <c r="Z31279" s="258"/>
    </row>
    <row r="31280" spans="1:26" ht="12.75" customHeight="1" x14ac:dyDescent="0.2">
      <c r="A31280" s="258"/>
      <c r="Z31280" s="258"/>
    </row>
    <row r="31281" spans="1:26" ht="12.75" customHeight="1" x14ac:dyDescent="0.2">
      <c r="A31281" s="258"/>
      <c r="Z31281" s="258"/>
    </row>
    <row r="31282" spans="1:26" ht="12.75" customHeight="1" x14ac:dyDescent="0.2">
      <c r="A31282" s="258"/>
      <c r="Z31282" s="258"/>
    </row>
    <row r="31283" spans="1:26" ht="12.75" customHeight="1" x14ac:dyDescent="0.2">
      <c r="A31283" s="258"/>
      <c r="Z31283" s="258"/>
    </row>
    <row r="31284" spans="1:26" ht="12.75" customHeight="1" x14ac:dyDescent="0.2">
      <c r="A31284" s="258"/>
      <c r="Z31284" s="258"/>
    </row>
    <row r="31285" spans="1:26" ht="12.75" customHeight="1" x14ac:dyDescent="0.2">
      <c r="A31285" s="258"/>
      <c r="Z31285" s="258"/>
    </row>
    <row r="31286" spans="1:26" ht="12.75" customHeight="1" x14ac:dyDescent="0.2">
      <c r="A31286" s="258"/>
      <c r="Z31286" s="258"/>
    </row>
    <row r="31287" spans="1:26" ht="12.75" customHeight="1" x14ac:dyDescent="0.2">
      <c r="A31287" s="258"/>
      <c r="Z31287" s="258"/>
    </row>
    <row r="31288" spans="1:26" ht="12.75" customHeight="1" x14ac:dyDescent="0.2">
      <c r="A31288" s="258"/>
      <c r="Z31288" s="258"/>
    </row>
    <row r="31289" spans="1:26" ht="12.75" customHeight="1" x14ac:dyDescent="0.2">
      <c r="A31289" s="258"/>
      <c r="Z31289" s="258"/>
    </row>
    <row r="31290" spans="1:26" ht="12.75" customHeight="1" x14ac:dyDescent="0.2">
      <c r="A31290" s="258"/>
      <c r="Z31290" s="258"/>
    </row>
    <row r="31291" spans="1:26" ht="12.75" customHeight="1" x14ac:dyDescent="0.2">
      <c r="A31291" s="258"/>
      <c r="Z31291" s="258"/>
    </row>
    <row r="31292" spans="1:26" ht="12.75" customHeight="1" x14ac:dyDescent="0.2">
      <c r="A31292" s="258"/>
      <c r="Z31292" s="258"/>
    </row>
    <row r="31293" spans="1:26" ht="12.75" customHeight="1" x14ac:dyDescent="0.2">
      <c r="A31293" s="258"/>
      <c r="Z31293" s="258"/>
    </row>
    <row r="31294" spans="1:26" ht="12.75" customHeight="1" x14ac:dyDescent="0.2">
      <c r="A31294" s="258"/>
      <c r="Z31294" s="258"/>
    </row>
    <row r="31295" spans="1:26" ht="12.75" customHeight="1" x14ac:dyDescent="0.2">
      <c r="A31295" s="258"/>
      <c r="Z31295" s="258"/>
    </row>
    <row r="31296" spans="1:26" ht="12.75" customHeight="1" x14ac:dyDescent="0.2">
      <c r="A31296" s="258"/>
      <c r="Z31296" s="258"/>
    </row>
    <row r="31297" spans="1:26" ht="12.75" customHeight="1" x14ac:dyDescent="0.2">
      <c r="A31297" s="258"/>
      <c r="Z31297" s="258"/>
    </row>
    <row r="31298" spans="1:26" ht="12.75" customHeight="1" x14ac:dyDescent="0.2">
      <c r="A31298" s="258"/>
      <c r="Z31298" s="258"/>
    </row>
    <row r="31299" spans="1:26" ht="12.75" customHeight="1" x14ac:dyDescent="0.2">
      <c r="A31299" s="258"/>
      <c r="Z31299" s="258"/>
    </row>
    <row r="31300" spans="1:26" ht="12.75" customHeight="1" x14ac:dyDescent="0.2">
      <c r="A31300" s="258"/>
      <c r="Z31300" s="258"/>
    </row>
    <row r="31301" spans="1:26" ht="12.75" customHeight="1" x14ac:dyDescent="0.2">
      <c r="A31301" s="258"/>
      <c r="Z31301" s="258"/>
    </row>
    <row r="31302" spans="1:26" ht="12.75" customHeight="1" x14ac:dyDescent="0.2">
      <c r="A31302" s="258"/>
      <c r="Z31302" s="258"/>
    </row>
    <row r="31303" spans="1:26" ht="12.75" customHeight="1" x14ac:dyDescent="0.2">
      <c r="A31303" s="258"/>
      <c r="Z31303" s="258"/>
    </row>
    <row r="31304" spans="1:26" ht="12.75" customHeight="1" x14ac:dyDescent="0.2">
      <c r="A31304" s="258"/>
      <c r="Z31304" s="258"/>
    </row>
    <row r="31305" spans="1:26" ht="12.75" customHeight="1" x14ac:dyDescent="0.2">
      <c r="A31305" s="258"/>
      <c r="Z31305" s="258"/>
    </row>
    <row r="31306" spans="1:26" ht="12.75" customHeight="1" x14ac:dyDescent="0.2">
      <c r="A31306" s="258"/>
      <c r="Z31306" s="258"/>
    </row>
    <row r="31307" spans="1:26" ht="12.75" customHeight="1" x14ac:dyDescent="0.2">
      <c r="A31307" s="258"/>
      <c r="Z31307" s="258"/>
    </row>
    <row r="31308" spans="1:26" ht="12.75" customHeight="1" x14ac:dyDescent="0.2">
      <c r="A31308" s="258"/>
      <c r="Z31308" s="258"/>
    </row>
    <row r="31309" spans="1:26" ht="12.75" customHeight="1" x14ac:dyDescent="0.2">
      <c r="A31309" s="258"/>
      <c r="Z31309" s="258"/>
    </row>
    <row r="31310" spans="1:26" ht="12.75" customHeight="1" x14ac:dyDescent="0.2">
      <c r="A31310" s="258"/>
      <c r="Z31310" s="258"/>
    </row>
    <row r="31311" spans="1:26" ht="12.75" customHeight="1" x14ac:dyDescent="0.2">
      <c r="A31311" s="258"/>
      <c r="Z31311" s="258"/>
    </row>
    <row r="31312" spans="1:26" ht="12.75" customHeight="1" x14ac:dyDescent="0.2">
      <c r="A31312" s="258"/>
      <c r="Z31312" s="258"/>
    </row>
    <row r="31313" spans="1:26" ht="12.75" customHeight="1" x14ac:dyDescent="0.2">
      <c r="A31313" s="258"/>
      <c r="Z31313" s="258"/>
    </row>
    <row r="31314" spans="1:26" ht="12.75" customHeight="1" x14ac:dyDescent="0.2">
      <c r="A31314" s="258"/>
      <c r="Z31314" s="258"/>
    </row>
    <row r="31315" spans="1:26" ht="12.75" customHeight="1" x14ac:dyDescent="0.2">
      <c r="A31315" s="258"/>
      <c r="Z31315" s="258"/>
    </row>
    <row r="31316" spans="1:26" ht="12.75" customHeight="1" x14ac:dyDescent="0.2">
      <c r="A31316" s="258"/>
      <c r="Z31316" s="258"/>
    </row>
    <row r="31317" spans="1:26" ht="12.75" customHeight="1" x14ac:dyDescent="0.2">
      <c r="A31317" s="258"/>
      <c r="Z31317" s="258"/>
    </row>
    <row r="31318" spans="1:26" ht="12.75" customHeight="1" x14ac:dyDescent="0.2">
      <c r="A31318" s="258"/>
      <c r="Z31318" s="258"/>
    </row>
    <row r="31319" spans="1:26" ht="12.75" customHeight="1" x14ac:dyDescent="0.2">
      <c r="A31319" s="258"/>
      <c r="Z31319" s="258"/>
    </row>
    <row r="31320" spans="1:26" ht="12.75" customHeight="1" x14ac:dyDescent="0.2">
      <c r="A31320" s="258"/>
      <c r="Z31320" s="258"/>
    </row>
    <row r="31321" spans="1:26" ht="12.75" customHeight="1" x14ac:dyDescent="0.2">
      <c r="A31321" s="258"/>
      <c r="Z31321" s="258"/>
    </row>
    <row r="31322" spans="1:26" ht="12.75" customHeight="1" x14ac:dyDescent="0.2">
      <c r="A31322" s="258"/>
      <c r="Z31322" s="258"/>
    </row>
    <row r="31323" spans="1:26" ht="12.75" customHeight="1" x14ac:dyDescent="0.2">
      <c r="A31323" s="258"/>
      <c r="Z31323" s="258"/>
    </row>
    <row r="31324" spans="1:26" ht="12.75" customHeight="1" x14ac:dyDescent="0.2">
      <c r="A31324" s="258"/>
      <c r="Z31324" s="258"/>
    </row>
    <row r="31325" spans="1:26" ht="12.75" customHeight="1" x14ac:dyDescent="0.2">
      <c r="A31325" s="258"/>
      <c r="Z31325" s="258"/>
    </row>
    <row r="31326" spans="1:26" ht="12.75" customHeight="1" x14ac:dyDescent="0.2">
      <c r="A31326" s="258"/>
      <c r="Z31326" s="258"/>
    </row>
    <row r="31327" spans="1:26" ht="12.75" customHeight="1" x14ac:dyDescent="0.2">
      <c r="A31327" s="258"/>
      <c r="Z31327" s="258"/>
    </row>
    <row r="31328" spans="1:26" ht="12.75" customHeight="1" x14ac:dyDescent="0.2">
      <c r="A31328" s="258"/>
      <c r="Z31328" s="258"/>
    </row>
    <row r="31329" spans="1:26" ht="12.75" customHeight="1" x14ac:dyDescent="0.2">
      <c r="A31329" s="258"/>
      <c r="Z31329" s="258"/>
    </row>
    <row r="31330" spans="1:26" ht="12.75" customHeight="1" x14ac:dyDescent="0.2">
      <c r="A31330" s="258"/>
      <c r="Z31330" s="258"/>
    </row>
    <row r="31331" spans="1:26" ht="12.75" customHeight="1" x14ac:dyDescent="0.2">
      <c r="A31331" s="258"/>
      <c r="Z31331" s="258"/>
    </row>
    <row r="31332" spans="1:26" ht="12.75" customHeight="1" x14ac:dyDescent="0.2">
      <c r="A31332" s="258"/>
      <c r="Z31332" s="258"/>
    </row>
    <row r="31333" spans="1:26" ht="12.75" customHeight="1" x14ac:dyDescent="0.2">
      <c r="A31333" s="258"/>
      <c r="Z31333" s="258"/>
    </row>
    <row r="31334" spans="1:26" ht="12.75" customHeight="1" x14ac:dyDescent="0.2">
      <c r="A31334" s="258"/>
      <c r="Z31334" s="258"/>
    </row>
    <row r="31335" spans="1:26" ht="12.75" customHeight="1" x14ac:dyDescent="0.2">
      <c r="A31335" s="258"/>
      <c r="Z31335" s="258"/>
    </row>
    <row r="31336" spans="1:26" ht="12.75" customHeight="1" x14ac:dyDescent="0.2">
      <c r="A31336" s="258"/>
      <c r="Z31336" s="258"/>
    </row>
    <row r="31337" spans="1:26" ht="12.75" customHeight="1" x14ac:dyDescent="0.2">
      <c r="A31337" s="258"/>
      <c r="Z31337" s="258"/>
    </row>
    <row r="31338" spans="1:26" ht="12.75" customHeight="1" x14ac:dyDescent="0.2">
      <c r="A31338" s="258"/>
      <c r="Z31338" s="258"/>
    </row>
    <row r="31339" spans="1:26" ht="12.75" customHeight="1" x14ac:dyDescent="0.2">
      <c r="A31339" s="258"/>
      <c r="Z31339" s="258"/>
    </row>
    <row r="31340" spans="1:26" ht="12.75" customHeight="1" x14ac:dyDescent="0.2">
      <c r="A31340" s="258"/>
      <c r="Z31340" s="258"/>
    </row>
    <row r="31341" spans="1:26" ht="12.75" customHeight="1" x14ac:dyDescent="0.2">
      <c r="A31341" s="258"/>
      <c r="Z31341" s="258"/>
    </row>
    <row r="31342" spans="1:26" ht="12.75" customHeight="1" x14ac:dyDescent="0.2">
      <c r="A31342" s="258"/>
      <c r="Z31342" s="258"/>
    </row>
    <row r="31343" spans="1:26" ht="12.75" customHeight="1" x14ac:dyDescent="0.2">
      <c r="A31343" s="258"/>
      <c r="Z31343" s="258"/>
    </row>
    <row r="31344" spans="1:26" ht="12.75" customHeight="1" x14ac:dyDescent="0.2">
      <c r="A31344" s="258"/>
      <c r="Z31344" s="258"/>
    </row>
    <row r="31345" spans="1:26" ht="12.75" customHeight="1" x14ac:dyDescent="0.2">
      <c r="A31345" s="258"/>
      <c r="Z31345" s="258"/>
    </row>
    <row r="31346" spans="1:26" ht="12.75" customHeight="1" x14ac:dyDescent="0.2">
      <c r="A31346" s="258"/>
      <c r="Z31346" s="258"/>
    </row>
    <row r="31347" spans="1:26" ht="12.75" customHeight="1" x14ac:dyDescent="0.2">
      <c r="A31347" s="258"/>
      <c r="Z31347" s="258"/>
    </row>
    <row r="31348" spans="1:26" ht="12.75" customHeight="1" x14ac:dyDescent="0.2">
      <c r="A31348" s="258"/>
      <c r="Z31348" s="258"/>
    </row>
    <row r="31349" spans="1:26" ht="12.75" customHeight="1" x14ac:dyDescent="0.2">
      <c r="A31349" s="258"/>
      <c r="Z31349" s="258"/>
    </row>
    <row r="31350" spans="1:26" ht="12.75" customHeight="1" x14ac:dyDescent="0.2">
      <c r="A31350" s="258"/>
      <c r="Z31350" s="258"/>
    </row>
    <row r="31351" spans="1:26" ht="12.75" customHeight="1" x14ac:dyDescent="0.2">
      <c r="A31351" s="258"/>
      <c r="Z31351" s="258"/>
    </row>
    <row r="31352" spans="1:26" ht="12.75" customHeight="1" x14ac:dyDescent="0.2">
      <c r="A31352" s="258"/>
      <c r="Z31352" s="258"/>
    </row>
    <row r="31353" spans="1:26" ht="12.75" customHeight="1" x14ac:dyDescent="0.2">
      <c r="A31353" s="258"/>
      <c r="Z31353" s="258"/>
    </row>
    <row r="31354" spans="1:26" ht="12.75" customHeight="1" x14ac:dyDescent="0.2">
      <c r="A31354" s="258"/>
      <c r="Z31354" s="258"/>
    </row>
    <row r="31355" spans="1:26" ht="12.75" customHeight="1" x14ac:dyDescent="0.2">
      <c r="A31355" s="258"/>
      <c r="Z31355" s="258"/>
    </row>
    <row r="31356" spans="1:26" ht="12.75" customHeight="1" x14ac:dyDescent="0.2">
      <c r="A31356" s="258"/>
      <c r="Z31356" s="258"/>
    </row>
    <row r="31357" spans="1:26" ht="12.75" customHeight="1" x14ac:dyDescent="0.2">
      <c r="A31357" s="258"/>
      <c r="Z31357" s="258"/>
    </row>
    <row r="31358" spans="1:26" ht="12.75" customHeight="1" x14ac:dyDescent="0.2">
      <c r="A31358" s="258"/>
      <c r="Z31358" s="258"/>
    </row>
    <row r="31359" spans="1:26" ht="12.75" customHeight="1" x14ac:dyDescent="0.2">
      <c r="A31359" s="258"/>
      <c r="Z31359" s="258"/>
    </row>
    <row r="31360" spans="1:26" ht="12.75" customHeight="1" x14ac:dyDescent="0.2">
      <c r="A31360" s="258"/>
      <c r="Z31360" s="258"/>
    </row>
    <row r="31361" spans="1:26" ht="12.75" customHeight="1" x14ac:dyDescent="0.2">
      <c r="A31361" s="258"/>
      <c r="Z31361" s="258"/>
    </row>
    <row r="31362" spans="1:26" ht="12.75" customHeight="1" x14ac:dyDescent="0.2">
      <c r="A31362" s="258"/>
      <c r="Z31362" s="258"/>
    </row>
    <row r="31363" spans="1:26" ht="12.75" customHeight="1" x14ac:dyDescent="0.2">
      <c r="A31363" s="258"/>
      <c r="Z31363" s="258"/>
    </row>
    <row r="31364" spans="1:26" ht="12.75" customHeight="1" x14ac:dyDescent="0.2">
      <c r="A31364" s="258"/>
      <c r="Z31364" s="258"/>
    </row>
    <row r="31365" spans="1:26" ht="12.75" customHeight="1" x14ac:dyDescent="0.2">
      <c r="A31365" s="258"/>
      <c r="Z31365" s="258"/>
    </row>
    <row r="31366" spans="1:26" ht="12.75" customHeight="1" x14ac:dyDescent="0.2">
      <c r="A31366" s="258"/>
      <c r="Z31366" s="258"/>
    </row>
    <row r="31367" spans="1:26" ht="12.75" customHeight="1" x14ac:dyDescent="0.2">
      <c r="A31367" s="258"/>
      <c r="Z31367" s="258"/>
    </row>
    <row r="31368" spans="1:26" ht="12.75" customHeight="1" x14ac:dyDescent="0.2">
      <c r="A31368" s="258"/>
      <c r="Z31368" s="258"/>
    </row>
    <row r="31369" spans="1:26" ht="12.75" customHeight="1" x14ac:dyDescent="0.2">
      <c r="A31369" s="258"/>
      <c r="Z31369" s="258"/>
    </row>
    <row r="31370" spans="1:26" ht="12.75" customHeight="1" x14ac:dyDescent="0.2">
      <c r="A31370" s="258"/>
      <c r="Z31370" s="258"/>
    </row>
    <row r="31371" spans="1:26" ht="12.75" customHeight="1" x14ac:dyDescent="0.2">
      <c r="A31371" s="258"/>
      <c r="Z31371" s="258"/>
    </row>
    <row r="31372" spans="1:26" ht="12.75" customHeight="1" x14ac:dyDescent="0.2">
      <c r="A31372" s="258"/>
      <c r="Z31372" s="258"/>
    </row>
    <row r="31373" spans="1:26" ht="12.75" customHeight="1" x14ac:dyDescent="0.2">
      <c r="A31373" s="258"/>
      <c r="Z31373" s="258"/>
    </row>
    <row r="31374" spans="1:26" ht="12.75" customHeight="1" x14ac:dyDescent="0.2">
      <c r="A31374" s="258"/>
      <c r="Z31374" s="258"/>
    </row>
    <row r="31375" spans="1:26" ht="12.75" customHeight="1" x14ac:dyDescent="0.2">
      <c r="A31375" s="258"/>
      <c r="Z31375" s="258"/>
    </row>
    <row r="31376" spans="1:26" ht="12.75" customHeight="1" x14ac:dyDescent="0.2">
      <c r="A31376" s="258"/>
      <c r="Z31376" s="258"/>
    </row>
    <row r="31377" spans="1:26" ht="12.75" customHeight="1" x14ac:dyDescent="0.2">
      <c r="A31377" s="258"/>
      <c r="Z31377" s="258"/>
    </row>
    <row r="31378" spans="1:26" ht="12.75" customHeight="1" x14ac:dyDescent="0.2">
      <c r="A31378" s="258"/>
      <c r="Z31378" s="258"/>
    </row>
    <row r="31379" spans="1:26" ht="12.75" customHeight="1" x14ac:dyDescent="0.2">
      <c r="A31379" s="258"/>
      <c r="Z31379" s="258"/>
    </row>
    <row r="31380" spans="1:26" ht="12.75" customHeight="1" x14ac:dyDescent="0.2">
      <c r="A31380" s="258"/>
      <c r="Z31380" s="258"/>
    </row>
    <row r="31381" spans="1:26" ht="12.75" customHeight="1" x14ac:dyDescent="0.2">
      <c r="A31381" s="258"/>
      <c r="Z31381" s="258"/>
    </row>
    <row r="31382" spans="1:26" ht="12.75" customHeight="1" x14ac:dyDescent="0.2">
      <c r="A31382" s="258"/>
      <c r="Z31382" s="258"/>
    </row>
    <row r="31383" spans="1:26" ht="12.75" customHeight="1" x14ac:dyDescent="0.2">
      <c r="A31383" s="258"/>
      <c r="Z31383" s="258"/>
    </row>
    <row r="31384" spans="1:26" ht="12.75" customHeight="1" x14ac:dyDescent="0.2">
      <c r="A31384" s="258"/>
      <c r="Z31384" s="258"/>
    </row>
    <row r="31385" spans="1:26" ht="12.75" customHeight="1" x14ac:dyDescent="0.2">
      <c r="A31385" s="258"/>
      <c r="Z31385" s="258"/>
    </row>
    <row r="31386" spans="1:26" ht="12.75" customHeight="1" x14ac:dyDescent="0.2">
      <c r="A31386" s="258"/>
      <c r="Z31386" s="258"/>
    </row>
    <row r="31387" spans="1:26" ht="12.75" customHeight="1" x14ac:dyDescent="0.2">
      <c r="A31387" s="258"/>
      <c r="Z31387" s="258"/>
    </row>
    <row r="31388" spans="1:26" ht="12.75" customHeight="1" x14ac:dyDescent="0.2">
      <c r="A31388" s="258"/>
      <c r="Z31388" s="258"/>
    </row>
    <row r="31389" spans="1:26" ht="12.75" customHeight="1" x14ac:dyDescent="0.2">
      <c r="A31389" s="258"/>
      <c r="Z31389" s="258"/>
    </row>
    <row r="31390" spans="1:26" ht="12.75" customHeight="1" x14ac:dyDescent="0.2">
      <c r="A31390" s="258"/>
      <c r="Z31390" s="258"/>
    </row>
    <row r="31391" spans="1:26" ht="12.75" customHeight="1" x14ac:dyDescent="0.2">
      <c r="A31391" s="258"/>
      <c r="Z31391" s="258"/>
    </row>
    <row r="31392" spans="1:26" ht="12.75" customHeight="1" x14ac:dyDescent="0.2">
      <c r="A31392" s="258"/>
      <c r="Z31392" s="258"/>
    </row>
    <row r="31393" spans="1:26" ht="12.75" customHeight="1" x14ac:dyDescent="0.2">
      <c r="A31393" s="258"/>
      <c r="Z31393" s="258"/>
    </row>
    <row r="31394" spans="1:26" ht="12.75" customHeight="1" x14ac:dyDescent="0.2">
      <c r="A31394" s="258"/>
      <c r="Z31394" s="258"/>
    </row>
    <row r="31395" spans="1:26" ht="12.75" customHeight="1" x14ac:dyDescent="0.2">
      <c r="A31395" s="258"/>
      <c r="Z31395" s="258"/>
    </row>
    <row r="31396" spans="1:26" ht="12.75" customHeight="1" x14ac:dyDescent="0.2">
      <c r="A31396" s="258"/>
      <c r="Z31396" s="258"/>
    </row>
    <row r="31397" spans="1:26" ht="12.75" customHeight="1" x14ac:dyDescent="0.2">
      <c r="A31397" s="258"/>
      <c r="Z31397" s="258"/>
    </row>
    <row r="31398" spans="1:26" ht="12.75" customHeight="1" x14ac:dyDescent="0.2">
      <c r="A31398" s="258"/>
      <c r="Z31398" s="258"/>
    </row>
    <row r="31399" spans="1:26" ht="12.75" customHeight="1" x14ac:dyDescent="0.2">
      <c r="A31399" s="258"/>
      <c r="Z31399" s="258"/>
    </row>
    <row r="31400" spans="1:26" ht="12.75" customHeight="1" x14ac:dyDescent="0.2">
      <c r="A31400" s="258"/>
      <c r="Z31400" s="258"/>
    </row>
    <row r="31401" spans="1:26" ht="12.75" customHeight="1" x14ac:dyDescent="0.2">
      <c r="A31401" s="258"/>
      <c r="Z31401" s="258"/>
    </row>
    <row r="31402" spans="1:26" ht="12.75" customHeight="1" x14ac:dyDescent="0.2">
      <c r="A31402" s="258"/>
      <c r="Z31402" s="258"/>
    </row>
    <row r="31403" spans="1:26" ht="12.75" customHeight="1" x14ac:dyDescent="0.2">
      <c r="A31403" s="258"/>
      <c r="Z31403" s="258"/>
    </row>
    <row r="31404" spans="1:26" ht="12.75" customHeight="1" x14ac:dyDescent="0.2">
      <c r="A31404" s="258"/>
      <c r="Z31404" s="258"/>
    </row>
    <row r="31405" spans="1:26" ht="12.75" customHeight="1" x14ac:dyDescent="0.2">
      <c r="A31405" s="258"/>
      <c r="Z31405" s="258"/>
    </row>
    <row r="31406" spans="1:26" ht="12.75" customHeight="1" x14ac:dyDescent="0.2">
      <c r="A31406" s="258"/>
      <c r="Z31406" s="258"/>
    </row>
    <row r="31407" spans="1:26" ht="12.75" customHeight="1" x14ac:dyDescent="0.2">
      <c r="A31407" s="258"/>
      <c r="Z31407" s="258"/>
    </row>
    <row r="31408" spans="1:26" ht="12.75" customHeight="1" x14ac:dyDescent="0.2">
      <c r="A31408" s="258"/>
      <c r="Z31408" s="258"/>
    </row>
    <row r="31409" spans="1:26" ht="12.75" customHeight="1" x14ac:dyDescent="0.2">
      <c r="A31409" s="258"/>
      <c r="Z31409" s="258"/>
    </row>
    <row r="31410" spans="1:26" ht="12.75" customHeight="1" x14ac:dyDescent="0.2">
      <c r="A31410" s="258"/>
      <c r="Z31410" s="258"/>
    </row>
    <row r="31411" spans="1:26" ht="12.75" customHeight="1" x14ac:dyDescent="0.2">
      <c r="A31411" s="258"/>
      <c r="Z31411" s="258"/>
    </row>
    <row r="31412" spans="1:26" ht="12.75" customHeight="1" x14ac:dyDescent="0.2">
      <c r="A31412" s="258"/>
      <c r="Z31412" s="258"/>
    </row>
    <row r="31413" spans="1:26" ht="12.75" customHeight="1" x14ac:dyDescent="0.2">
      <c r="A31413" s="258"/>
      <c r="Z31413" s="258"/>
    </row>
    <row r="31414" spans="1:26" ht="12.75" customHeight="1" x14ac:dyDescent="0.2">
      <c r="A31414" s="258"/>
      <c r="Z31414" s="258"/>
    </row>
    <row r="31415" spans="1:26" ht="12.75" customHeight="1" x14ac:dyDescent="0.2">
      <c r="A31415" s="258"/>
      <c r="Z31415" s="258"/>
    </row>
    <row r="31416" spans="1:26" ht="12.75" customHeight="1" x14ac:dyDescent="0.2">
      <c r="A31416" s="258"/>
      <c r="Z31416" s="258"/>
    </row>
    <row r="31417" spans="1:26" ht="12.75" customHeight="1" x14ac:dyDescent="0.2">
      <c r="A31417" s="258"/>
      <c r="Z31417" s="258"/>
    </row>
    <row r="31418" spans="1:26" ht="12.75" customHeight="1" x14ac:dyDescent="0.2">
      <c r="A31418" s="258"/>
      <c r="Z31418" s="258"/>
    </row>
    <row r="31419" spans="1:26" ht="12.75" customHeight="1" x14ac:dyDescent="0.2">
      <c r="A31419" s="258"/>
      <c r="Z31419" s="258"/>
    </row>
    <row r="31420" spans="1:26" ht="12.75" customHeight="1" x14ac:dyDescent="0.2">
      <c r="A31420" s="258"/>
      <c r="Z31420" s="258"/>
    </row>
    <row r="31421" spans="1:26" ht="12.75" customHeight="1" x14ac:dyDescent="0.2">
      <c r="A31421" s="258"/>
      <c r="Z31421" s="258"/>
    </row>
    <row r="31422" spans="1:26" ht="12.75" customHeight="1" x14ac:dyDescent="0.2">
      <c r="A31422" s="258"/>
      <c r="Z31422" s="258"/>
    </row>
    <row r="31423" spans="1:26" ht="12.75" customHeight="1" x14ac:dyDescent="0.2">
      <c r="A31423" s="258"/>
      <c r="Z31423" s="258"/>
    </row>
    <row r="31424" spans="1:26" ht="12.75" customHeight="1" x14ac:dyDescent="0.2">
      <c r="A31424" s="258"/>
      <c r="Z31424" s="258"/>
    </row>
    <row r="31425" spans="1:26" ht="12.75" customHeight="1" x14ac:dyDescent="0.2">
      <c r="A31425" s="258"/>
      <c r="Z31425" s="258"/>
    </row>
    <row r="31426" spans="1:26" ht="12.75" customHeight="1" x14ac:dyDescent="0.2">
      <c r="A31426" s="258"/>
      <c r="Z31426" s="258"/>
    </row>
    <row r="31427" spans="1:26" ht="12.75" customHeight="1" x14ac:dyDescent="0.2">
      <c r="A31427" s="258"/>
      <c r="Z31427" s="258"/>
    </row>
    <row r="31428" spans="1:26" ht="12.75" customHeight="1" x14ac:dyDescent="0.2">
      <c r="A31428" s="258"/>
      <c r="Z31428" s="258"/>
    </row>
    <row r="31429" spans="1:26" ht="12.75" customHeight="1" x14ac:dyDescent="0.2">
      <c r="A31429" s="258"/>
      <c r="Z31429" s="258"/>
    </row>
    <row r="31430" spans="1:26" ht="12.75" customHeight="1" x14ac:dyDescent="0.2">
      <c r="A31430" s="258"/>
      <c r="Z31430" s="258"/>
    </row>
    <row r="31431" spans="1:26" ht="12.75" customHeight="1" x14ac:dyDescent="0.2">
      <c r="A31431" s="258"/>
      <c r="Z31431" s="258"/>
    </row>
    <row r="31432" spans="1:26" ht="12.75" customHeight="1" x14ac:dyDescent="0.2">
      <c r="A31432" s="258"/>
      <c r="Z31432" s="258"/>
    </row>
    <row r="31433" spans="1:26" ht="12.75" customHeight="1" x14ac:dyDescent="0.2">
      <c r="A31433" s="258"/>
      <c r="Z31433" s="258"/>
    </row>
    <row r="31434" spans="1:26" ht="12.75" customHeight="1" x14ac:dyDescent="0.2">
      <c r="A31434" s="258"/>
      <c r="Z31434" s="258"/>
    </row>
    <row r="31435" spans="1:26" ht="12.75" customHeight="1" x14ac:dyDescent="0.2">
      <c r="A31435" s="258"/>
      <c r="Z31435" s="258"/>
    </row>
    <row r="31436" spans="1:26" ht="12.75" customHeight="1" x14ac:dyDescent="0.2">
      <c r="A31436" s="258"/>
      <c r="Z31436" s="258"/>
    </row>
    <row r="31437" spans="1:26" ht="12.75" customHeight="1" x14ac:dyDescent="0.2">
      <c r="A31437" s="258"/>
      <c r="Z31437" s="258"/>
    </row>
    <row r="31438" spans="1:26" ht="12.75" customHeight="1" x14ac:dyDescent="0.2">
      <c r="A31438" s="258"/>
      <c r="Z31438" s="258"/>
    </row>
    <row r="31439" spans="1:26" ht="12.75" customHeight="1" x14ac:dyDescent="0.2">
      <c r="A31439" s="258"/>
      <c r="Z31439" s="258"/>
    </row>
    <row r="31440" spans="1:26" ht="12.75" customHeight="1" x14ac:dyDescent="0.2">
      <c r="A31440" s="258"/>
      <c r="Z31440" s="258"/>
    </row>
    <row r="31441" spans="1:26" ht="12.75" customHeight="1" x14ac:dyDescent="0.2">
      <c r="A31441" s="258"/>
      <c r="Z31441" s="258"/>
    </row>
    <row r="31442" spans="1:26" ht="12.75" customHeight="1" x14ac:dyDescent="0.2">
      <c r="A31442" s="258"/>
      <c r="Z31442" s="258"/>
    </row>
    <row r="31443" spans="1:26" ht="12.75" customHeight="1" x14ac:dyDescent="0.2">
      <c r="A31443" s="258"/>
      <c r="Z31443" s="258"/>
    </row>
    <row r="31444" spans="1:26" ht="12.75" customHeight="1" x14ac:dyDescent="0.2">
      <c r="A31444" s="258"/>
      <c r="Z31444" s="258"/>
    </row>
    <row r="31445" spans="1:26" ht="12.75" customHeight="1" x14ac:dyDescent="0.2">
      <c r="A31445" s="258"/>
      <c r="Z31445" s="258"/>
    </row>
    <row r="31446" spans="1:26" ht="12.75" customHeight="1" x14ac:dyDescent="0.2">
      <c r="A31446" s="258"/>
      <c r="Z31446" s="258"/>
    </row>
    <row r="31447" spans="1:26" ht="12.75" customHeight="1" x14ac:dyDescent="0.2">
      <c r="A31447" s="258"/>
      <c r="Z31447" s="258"/>
    </row>
    <row r="31448" spans="1:26" ht="12.75" customHeight="1" x14ac:dyDescent="0.2">
      <c r="A31448" s="258"/>
      <c r="Z31448" s="258"/>
    </row>
    <row r="31449" spans="1:26" ht="12.75" customHeight="1" x14ac:dyDescent="0.2">
      <c r="A31449" s="258"/>
      <c r="Z31449" s="258"/>
    </row>
    <row r="31450" spans="1:26" ht="12.75" customHeight="1" x14ac:dyDescent="0.2">
      <c r="A31450" s="258"/>
      <c r="Z31450" s="258"/>
    </row>
    <row r="31451" spans="1:26" ht="12.75" customHeight="1" x14ac:dyDescent="0.2">
      <c r="A31451" s="258"/>
      <c r="Z31451" s="258"/>
    </row>
    <row r="31452" spans="1:26" ht="12.75" customHeight="1" x14ac:dyDescent="0.2">
      <c r="A31452" s="258"/>
      <c r="Z31452" s="258"/>
    </row>
    <row r="31453" spans="1:26" ht="12.75" customHeight="1" x14ac:dyDescent="0.2">
      <c r="A31453" s="258"/>
      <c r="Z31453" s="258"/>
    </row>
    <row r="31454" spans="1:26" ht="12.75" customHeight="1" x14ac:dyDescent="0.2">
      <c r="A31454" s="258"/>
      <c r="Z31454" s="258"/>
    </row>
    <row r="31455" spans="1:26" ht="12.75" customHeight="1" x14ac:dyDescent="0.2">
      <c r="A31455" s="258"/>
      <c r="Z31455" s="258"/>
    </row>
    <row r="31456" spans="1:26" ht="12.75" customHeight="1" x14ac:dyDescent="0.2">
      <c r="A31456" s="258"/>
      <c r="Z31456" s="258"/>
    </row>
    <row r="31457" spans="1:26" ht="12.75" customHeight="1" x14ac:dyDescent="0.2">
      <c r="A31457" s="258"/>
      <c r="Z31457" s="258"/>
    </row>
    <row r="31458" spans="1:26" ht="12.75" customHeight="1" x14ac:dyDescent="0.2">
      <c r="A31458" s="258"/>
      <c r="Z31458" s="258"/>
    </row>
    <row r="31459" spans="1:26" ht="12.75" customHeight="1" x14ac:dyDescent="0.2">
      <c r="A31459" s="258"/>
      <c r="Z31459" s="258"/>
    </row>
    <row r="31460" spans="1:26" ht="12.75" customHeight="1" x14ac:dyDescent="0.2">
      <c r="A31460" s="258"/>
      <c r="Z31460" s="258"/>
    </row>
    <row r="31461" spans="1:26" ht="12.75" customHeight="1" x14ac:dyDescent="0.2">
      <c r="A31461" s="258"/>
      <c r="Z31461" s="258"/>
    </row>
    <row r="31462" spans="1:26" ht="12.75" customHeight="1" x14ac:dyDescent="0.2">
      <c r="A31462" s="258"/>
      <c r="Z31462" s="258"/>
    </row>
    <row r="31463" spans="1:26" ht="12.75" customHeight="1" x14ac:dyDescent="0.2">
      <c r="A31463" s="258"/>
      <c r="Z31463" s="258"/>
    </row>
    <row r="31464" spans="1:26" ht="12.75" customHeight="1" x14ac:dyDescent="0.2">
      <c r="A31464" s="258"/>
      <c r="Z31464" s="258"/>
    </row>
    <row r="31465" spans="1:26" ht="12.75" customHeight="1" x14ac:dyDescent="0.2">
      <c r="A31465" s="258"/>
      <c r="Z31465" s="258"/>
    </row>
    <row r="31466" spans="1:26" ht="12.75" customHeight="1" x14ac:dyDescent="0.2">
      <c r="A31466" s="258"/>
      <c r="Z31466" s="258"/>
    </row>
    <row r="31467" spans="1:26" ht="12.75" customHeight="1" x14ac:dyDescent="0.2">
      <c r="A31467" s="258"/>
      <c r="Z31467" s="258"/>
    </row>
    <row r="31468" spans="1:26" ht="12.75" customHeight="1" x14ac:dyDescent="0.2">
      <c r="A31468" s="258"/>
      <c r="Z31468" s="258"/>
    </row>
    <row r="31469" spans="1:26" ht="12.75" customHeight="1" x14ac:dyDescent="0.2">
      <c r="A31469" s="258"/>
      <c r="Z31469" s="258"/>
    </row>
    <row r="31470" spans="1:26" ht="12.75" customHeight="1" x14ac:dyDescent="0.2">
      <c r="A31470" s="258"/>
      <c r="Z31470" s="258"/>
    </row>
    <row r="31471" spans="1:26" ht="12.75" customHeight="1" x14ac:dyDescent="0.2">
      <c r="A31471" s="258"/>
      <c r="Z31471" s="258"/>
    </row>
    <row r="31472" spans="1:26" ht="12.75" customHeight="1" x14ac:dyDescent="0.2">
      <c r="A31472" s="258"/>
      <c r="Z31472" s="258"/>
    </row>
    <row r="31473" spans="1:26" ht="12.75" customHeight="1" x14ac:dyDescent="0.2">
      <c r="A31473" s="258"/>
      <c r="Z31473" s="258"/>
    </row>
    <row r="31474" spans="1:26" ht="12.75" customHeight="1" x14ac:dyDescent="0.2">
      <c r="A31474" s="258"/>
      <c r="Z31474" s="258"/>
    </row>
    <row r="31475" spans="1:26" ht="12.75" customHeight="1" x14ac:dyDescent="0.2">
      <c r="A31475" s="258"/>
      <c r="Z31475" s="258"/>
    </row>
    <row r="31476" spans="1:26" ht="12.75" customHeight="1" x14ac:dyDescent="0.2">
      <c r="A31476" s="258"/>
      <c r="Z31476" s="258"/>
    </row>
    <row r="31477" spans="1:26" ht="12.75" customHeight="1" x14ac:dyDescent="0.2">
      <c r="A31477" s="258"/>
      <c r="Z31477" s="258"/>
    </row>
    <row r="31478" spans="1:26" ht="12.75" customHeight="1" x14ac:dyDescent="0.2">
      <c r="A31478" s="258"/>
      <c r="Z31478" s="258"/>
    </row>
    <row r="31479" spans="1:26" ht="12.75" customHeight="1" x14ac:dyDescent="0.2">
      <c r="A31479" s="258"/>
      <c r="Z31479" s="258"/>
    </row>
    <row r="31480" spans="1:26" ht="12.75" customHeight="1" x14ac:dyDescent="0.2">
      <c r="A31480" s="258"/>
      <c r="Z31480" s="258"/>
    </row>
    <row r="31481" spans="1:26" ht="12.75" customHeight="1" x14ac:dyDescent="0.2">
      <c r="A31481" s="258"/>
      <c r="Z31481" s="258"/>
    </row>
    <row r="31482" spans="1:26" ht="12.75" customHeight="1" x14ac:dyDescent="0.2">
      <c r="A31482" s="258"/>
      <c r="Z31482" s="258"/>
    </row>
    <row r="31483" spans="1:26" ht="12.75" customHeight="1" x14ac:dyDescent="0.2">
      <c r="A31483" s="258"/>
      <c r="Z31483" s="258"/>
    </row>
    <row r="31484" spans="1:26" ht="12.75" customHeight="1" x14ac:dyDescent="0.2">
      <c r="A31484" s="258"/>
      <c r="Z31484" s="258"/>
    </row>
    <row r="31485" spans="1:26" ht="12.75" customHeight="1" x14ac:dyDescent="0.2">
      <c r="A31485" s="258"/>
      <c r="Z31485" s="258"/>
    </row>
    <row r="31486" spans="1:26" ht="12.75" customHeight="1" x14ac:dyDescent="0.2">
      <c r="A31486" s="258"/>
      <c r="Z31486" s="258"/>
    </row>
    <row r="31487" spans="1:26" ht="12.75" customHeight="1" x14ac:dyDescent="0.2">
      <c r="A31487" s="258"/>
      <c r="Z31487" s="258"/>
    </row>
    <row r="31488" spans="1:26" ht="12.75" customHeight="1" x14ac:dyDescent="0.2">
      <c r="A31488" s="258"/>
      <c r="Z31488" s="258"/>
    </row>
    <row r="31489" spans="1:26" ht="12.75" customHeight="1" x14ac:dyDescent="0.2">
      <c r="A31489" s="258"/>
      <c r="Z31489" s="258"/>
    </row>
    <row r="31490" spans="1:26" ht="12.75" customHeight="1" x14ac:dyDescent="0.2">
      <c r="A31490" s="258"/>
      <c r="Z31490" s="258"/>
    </row>
    <row r="31491" spans="1:26" ht="12.75" customHeight="1" x14ac:dyDescent="0.2">
      <c r="A31491" s="258"/>
      <c r="Z31491" s="258"/>
    </row>
    <row r="31492" spans="1:26" ht="12.75" customHeight="1" x14ac:dyDescent="0.2">
      <c r="A31492" s="258"/>
      <c r="Z31492" s="258"/>
    </row>
    <row r="31493" spans="1:26" ht="12.75" customHeight="1" x14ac:dyDescent="0.2">
      <c r="A31493" s="258"/>
      <c r="Z31493" s="258"/>
    </row>
    <row r="31494" spans="1:26" ht="12.75" customHeight="1" x14ac:dyDescent="0.2">
      <c r="A31494" s="258"/>
      <c r="Z31494" s="258"/>
    </row>
    <row r="31495" spans="1:26" ht="12.75" customHeight="1" x14ac:dyDescent="0.2">
      <c r="A31495" s="258"/>
      <c r="Z31495" s="258"/>
    </row>
    <row r="31496" spans="1:26" ht="12.75" customHeight="1" x14ac:dyDescent="0.2">
      <c r="A31496" s="258"/>
      <c r="Z31496" s="258"/>
    </row>
    <row r="31497" spans="1:26" ht="12.75" customHeight="1" x14ac:dyDescent="0.2">
      <c r="A31497" s="258"/>
      <c r="Z31497" s="258"/>
    </row>
    <row r="31498" spans="1:26" ht="12.75" customHeight="1" x14ac:dyDescent="0.2">
      <c r="A31498" s="258"/>
      <c r="Z31498" s="258"/>
    </row>
    <row r="31499" spans="1:26" ht="12.75" customHeight="1" x14ac:dyDescent="0.2">
      <c r="A31499" s="258"/>
      <c r="Z31499" s="258"/>
    </row>
    <row r="31500" spans="1:26" ht="12.75" customHeight="1" x14ac:dyDescent="0.2">
      <c r="A31500" s="258"/>
      <c r="Z31500" s="258"/>
    </row>
    <row r="31501" spans="1:26" ht="12.75" customHeight="1" x14ac:dyDescent="0.2">
      <c r="A31501" s="258"/>
      <c r="Z31501" s="258"/>
    </row>
    <row r="31502" spans="1:26" ht="12.75" customHeight="1" x14ac:dyDescent="0.2">
      <c r="A31502" s="258"/>
      <c r="Z31502" s="258"/>
    </row>
    <row r="31503" spans="1:26" ht="12.75" customHeight="1" x14ac:dyDescent="0.2">
      <c r="A31503" s="258"/>
      <c r="Z31503" s="258"/>
    </row>
    <row r="31504" spans="1:26" ht="12.75" customHeight="1" x14ac:dyDescent="0.2">
      <c r="A31504" s="258"/>
      <c r="Z31504" s="258"/>
    </row>
    <row r="31505" spans="1:26" ht="12.75" customHeight="1" x14ac:dyDescent="0.2">
      <c r="A31505" s="258"/>
      <c r="Z31505" s="258"/>
    </row>
    <row r="31506" spans="1:26" ht="12.75" customHeight="1" x14ac:dyDescent="0.2">
      <c r="A31506" s="258"/>
      <c r="Z31506" s="258"/>
    </row>
    <row r="31507" spans="1:26" ht="12.75" customHeight="1" x14ac:dyDescent="0.2">
      <c r="A31507" s="258"/>
      <c r="Z31507" s="258"/>
    </row>
    <row r="31508" spans="1:26" ht="12.75" customHeight="1" x14ac:dyDescent="0.2">
      <c r="A31508" s="258"/>
      <c r="Z31508" s="258"/>
    </row>
    <row r="31509" spans="1:26" ht="12.75" customHeight="1" x14ac:dyDescent="0.2">
      <c r="A31509" s="258"/>
      <c r="Z31509" s="258"/>
    </row>
    <row r="31510" spans="1:26" ht="12.75" customHeight="1" x14ac:dyDescent="0.2">
      <c r="A31510" s="258"/>
      <c r="Z31510" s="258"/>
    </row>
    <row r="31511" spans="1:26" ht="12.75" customHeight="1" x14ac:dyDescent="0.2">
      <c r="A31511" s="258"/>
      <c r="Z31511" s="258"/>
    </row>
    <row r="31512" spans="1:26" ht="12.75" customHeight="1" x14ac:dyDescent="0.2">
      <c r="A31512" s="258"/>
      <c r="Z31512" s="258"/>
    </row>
    <row r="31513" spans="1:26" ht="12.75" customHeight="1" x14ac:dyDescent="0.2">
      <c r="A31513" s="258"/>
      <c r="Z31513" s="258"/>
    </row>
    <row r="31514" spans="1:26" ht="12.75" customHeight="1" x14ac:dyDescent="0.2">
      <c r="A31514" s="258"/>
      <c r="Z31514" s="258"/>
    </row>
    <row r="31515" spans="1:26" ht="12.75" customHeight="1" x14ac:dyDescent="0.2">
      <c r="A31515" s="258"/>
      <c r="Z31515" s="258"/>
    </row>
    <row r="31516" spans="1:26" ht="12.75" customHeight="1" x14ac:dyDescent="0.2">
      <c r="A31516" s="258"/>
      <c r="Z31516" s="258"/>
    </row>
    <row r="31517" spans="1:26" ht="12.75" customHeight="1" x14ac:dyDescent="0.2">
      <c r="A31517" s="258"/>
      <c r="Z31517" s="258"/>
    </row>
    <row r="31518" spans="1:26" ht="12.75" customHeight="1" x14ac:dyDescent="0.2">
      <c r="A31518" s="258"/>
      <c r="Z31518" s="258"/>
    </row>
    <row r="31519" spans="1:26" ht="12.75" customHeight="1" x14ac:dyDescent="0.2">
      <c r="A31519" s="258"/>
      <c r="Z31519" s="258"/>
    </row>
    <row r="31520" spans="1:26" ht="12.75" customHeight="1" x14ac:dyDescent="0.2">
      <c r="A31520" s="258"/>
      <c r="Z31520" s="258"/>
    </row>
    <row r="31521" spans="1:26" ht="12.75" customHeight="1" x14ac:dyDescent="0.2">
      <c r="A31521" s="258"/>
      <c r="Z31521" s="258"/>
    </row>
    <row r="31522" spans="1:26" ht="12.75" customHeight="1" x14ac:dyDescent="0.2">
      <c r="A31522" s="258"/>
      <c r="Z31522" s="258"/>
    </row>
    <row r="31523" spans="1:26" ht="12.75" customHeight="1" x14ac:dyDescent="0.2">
      <c r="A31523" s="258"/>
      <c r="Z31523" s="258"/>
    </row>
    <row r="31524" spans="1:26" ht="12.75" customHeight="1" x14ac:dyDescent="0.2">
      <c r="A31524" s="258"/>
      <c r="Z31524" s="258"/>
    </row>
    <row r="31525" spans="1:26" ht="12.75" customHeight="1" x14ac:dyDescent="0.2">
      <c r="A31525" s="258"/>
      <c r="Z31525" s="258"/>
    </row>
    <row r="31526" spans="1:26" ht="12.75" customHeight="1" x14ac:dyDescent="0.2">
      <c r="A31526" s="258"/>
      <c r="Z31526" s="258"/>
    </row>
    <row r="31527" spans="1:26" ht="12.75" customHeight="1" x14ac:dyDescent="0.2">
      <c r="A31527" s="258"/>
      <c r="Z31527" s="258"/>
    </row>
    <row r="31528" spans="1:26" ht="12.75" customHeight="1" x14ac:dyDescent="0.2">
      <c r="A31528" s="258"/>
      <c r="Z31528" s="258"/>
    </row>
    <row r="31529" spans="1:26" ht="12.75" customHeight="1" x14ac:dyDescent="0.2">
      <c r="A31529" s="258"/>
      <c r="Z31529" s="258"/>
    </row>
    <row r="31530" spans="1:26" ht="12.75" customHeight="1" x14ac:dyDescent="0.2">
      <c r="A31530" s="258"/>
      <c r="Z31530" s="258"/>
    </row>
    <row r="31531" spans="1:26" ht="12.75" customHeight="1" x14ac:dyDescent="0.2">
      <c r="A31531" s="258"/>
      <c r="Z31531" s="258"/>
    </row>
    <row r="31532" spans="1:26" ht="12.75" customHeight="1" x14ac:dyDescent="0.2">
      <c r="A31532" s="258"/>
      <c r="Z31532" s="258"/>
    </row>
    <row r="31533" spans="1:26" ht="12.75" customHeight="1" x14ac:dyDescent="0.2">
      <c r="A31533" s="258"/>
      <c r="Z31533" s="258"/>
    </row>
    <row r="31534" spans="1:26" ht="12.75" customHeight="1" x14ac:dyDescent="0.2">
      <c r="A31534" s="258"/>
      <c r="Z31534" s="258"/>
    </row>
    <row r="31535" spans="1:26" ht="12.75" customHeight="1" x14ac:dyDescent="0.2">
      <c r="A31535" s="258"/>
      <c r="Z31535" s="258"/>
    </row>
    <row r="31536" spans="1:26" ht="12.75" customHeight="1" x14ac:dyDescent="0.2">
      <c r="A31536" s="258"/>
      <c r="Z31536" s="258"/>
    </row>
    <row r="31537" spans="1:26" ht="12.75" customHeight="1" x14ac:dyDescent="0.2">
      <c r="A31537" s="258"/>
      <c r="Z31537" s="258"/>
    </row>
    <row r="31538" spans="1:26" ht="12.75" customHeight="1" x14ac:dyDescent="0.2">
      <c r="A31538" s="258"/>
      <c r="Z31538" s="258"/>
    </row>
    <row r="31539" spans="1:26" ht="12.75" customHeight="1" x14ac:dyDescent="0.2">
      <c r="A31539" s="258"/>
      <c r="Z31539" s="258"/>
    </row>
    <row r="31540" spans="1:26" ht="12.75" customHeight="1" x14ac:dyDescent="0.2">
      <c r="A31540" s="258"/>
      <c r="Z31540" s="258"/>
    </row>
    <row r="31541" spans="1:26" ht="12.75" customHeight="1" x14ac:dyDescent="0.2">
      <c r="A31541" s="258"/>
      <c r="Z31541" s="258"/>
    </row>
    <row r="31542" spans="1:26" ht="12.75" customHeight="1" x14ac:dyDescent="0.2">
      <c r="A31542" s="258"/>
      <c r="Z31542" s="258"/>
    </row>
    <row r="31543" spans="1:26" ht="12.75" customHeight="1" x14ac:dyDescent="0.2">
      <c r="A31543" s="258"/>
      <c r="Z31543" s="258"/>
    </row>
    <row r="31544" spans="1:26" ht="12.75" customHeight="1" x14ac:dyDescent="0.2">
      <c r="A31544" s="258"/>
      <c r="Z31544" s="258"/>
    </row>
    <row r="31545" spans="1:26" ht="12.75" customHeight="1" x14ac:dyDescent="0.2">
      <c r="A31545" s="258"/>
      <c r="Z31545" s="258"/>
    </row>
    <row r="31546" spans="1:26" ht="12.75" customHeight="1" x14ac:dyDescent="0.2">
      <c r="A31546" s="258"/>
      <c r="Z31546" s="258"/>
    </row>
    <row r="31547" spans="1:26" ht="12.75" customHeight="1" x14ac:dyDescent="0.2">
      <c r="A31547" s="258"/>
      <c r="Z31547" s="258"/>
    </row>
    <row r="31548" spans="1:26" ht="12.75" customHeight="1" x14ac:dyDescent="0.2">
      <c r="A31548" s="258"/>
      <c r="Z31548" s="258"/>
    </row>
    <row r="31549" spans="1:26" ht="12.75" customHeight="1" x14ac:dyDescent="0.2">
      <c r="A31549" s="258"/>
      <c r="Z31549" s="258"/>
    </row>
    <row r="31550" spans="1:26" ht="12.75" customHeight="1" x14ac:dyDescent="0.2">
      <c r="A31550" s="258"/>
      <c r="Z31550" s="258"/>
    </row>
    <row r="31551" spans="1:26" ht="12.75" customHeight="1" x14ac:dyDescent="0.2">
      <c r="A31551" s="258"/>
      <c r="Z31551" s="258"/>
    </row>
    <row r="31552" spans="1:26" ht="12.75" customHeight="1" x14ac:dyDescent="0.2">
      <c r="A31552" s="258"/>
      <c r="Z31552" s="258"/>
    </row>
    <row r="31553" spans="1:26" ht="12.75" customHeight="1" x14ac:dyDescent="0.2">
      <c r="A31553" s="258"/>
      <c r="Z31553" s="258"/>
    </row>
    <row r="31554" spans="1:26" ht="12.75" customHeight="1" x14ac:dyDescent="0.2">
      <c r="A31554" s="258"/>
      <c r="Z31554" s="258"/>
    </row>
    <row r="31555" spans="1:26" ht="12.75" customHeight="1" x14ac:dyDescent="0.2">
      <c r="A31555" s="258"/>
      <c r="Z31555" s="258"/>
    </row>
    <row r="31556" spans="1:26" ht="12.75" customHeight="1" x14ac:dyDescent="0.2">
      <c r="A31556" s="258"/>
      <c r="Z31556" s="258"/>
    </row>
    <row r="31557" spans="1:26" ht="12.75" customHeight="1" x14ac:dyDescent="0.2">
      <c r="A31557" s="258"/>
      <c r="Z31557" s="258"/>
    </row>
    <row r="31558" spans="1:26" ht="12.75" customHeight="1" x14ac:dyDescent="0.2">
      <c r="A31558" s="258"/>
      <c r="Z31558" s="258"/>
    </row>
    <row r="31559" spans="1:26" ht="12.75" customHeight="1" x14ac:dyDescent="0.2">
      <c r="A31559" s="258"/>
      <c r="Z31559" s="258"/>
    </row>
    <row r="31560" spans="1:26" ht="12.75" customHeight="1" x14ac:dyDescent="0.2">
      <c r="A31560" s="258"/>
      <c r="Z31560" s="258"/>
    </row>
    <row r="31561" spans="1:26" ht="12.75" customHeight="1" x14ac:dyDescent="0.2">
      <c r="A31561" s="258"/>
      <c r="Z31561" s="258"/>
    </row>
    <row r="31562" spans="1:26" ht="12.75" customHeight="1" x14ac:dyDescent="0.2">
      <c r="A31562" s="258"/>
      <c r="Z31562" s="258"/>
    </row>
    <row r="31563" spans="1:26" ht="12.75" customHeight="1" x14ac:dyDescent="0.2">
      <c r="A31563" s="258"/>
      <c r="Z31563" s="258"/>
    </row>
    <row r="31564" spans="1:26" ht="12.75" customHeight="1" x14ac:dyDescent="0.2">
      <c r="A31564" s="258"/>
      <c r="Z31564" s="258"/>
    </row>
    <row r="31565" spans="1:26" ht="12.75" customHeight="1" x14ac:dyDescent="0.2">
      <c r="A31565" s="258"/>
      <c r="Z31565" s="258"/>
    </row>
    <row r="31566" spans="1:26" ht="12.75" customHeight="1" x14ac:dyDescent="0.2">
      <c r="A31566" s="258"/>
      <c r="Z31566" s="258"/>
    </row>
    <row r="31567" spans="1:26" ht="12.75" customHeight="1" x14ac:dyDescent="0.2">
      <c r="A31567" s="258"/>
      <c r="Z31567" s="258"/>
    </row>
    <row r="31568" spans="1:26" ht="12.75" customHeight="1" x14ac:dyDescent="0.2">
      <c r="A31568" s="258"/>
      <c r="Z31568" s="258"/>
    </row>
    <row r="31569" spans="1:26" ht="12.75" customHeight="1" x14ac:dyDescent="0.2">
      <c r="A31569" s="258"/>
      <c r="Z31569" s="258"/>
    </row>
    <row r="31570" spans="1:26" ht="12.75" customHeight="1" x14ac:dyDescent="0.2">
      <c r="A31570" s="258"/>
      <c r="Z31570" s="258"/>
    </row>
    <row r="31571" spans="1:26" ht="12.75" customHeight="1" x14ac:dyDescent="0.2">
      <c r="A31571" s="258"/>
      <c r="Z31571" s="258"/>
    </row>
    <row r="31572" spans="1:26" ht="12.75" customHeight="1" x14ac:dyDescent="0.2">
      <c r="A31572" s="258"/>
      <c r="Z31572" s="258"/>
    </row>
    <row r="31573" spans="1:26" ht="12.75" customHeight="1" x14ac:dyDescent="0.2">
      <c r="A31573" s="258"/>
      <c r="Z31573" s="258"/>
    </row>
    <row r="31574" spans="1:26" ht="12.75" customHeight="1" x14ac:dyDescent="0.2">
      <c r="A31574" s="258"/>
      <c r="Z31574" s="258"/>
    </row>
    <row r="31575" spans="1:26" ht="12.75" customHeight="1" x14ac:dyDescent="0.2">
      <c r="A31575" s="258"/>
      <c r="Z31575" s="258"/>
    </row>
    <row r="31576" spans="1:26" ht="12.75" customHeight="1" x14ac:dyDescent="0.2">
      <c r="A31576" s="258"/>
      <c r="Z31576" s="258"/>
    </row>
    <row r="31577" spans="1:26" ht="12.75" customHeight="1" x14ac:dyDescent="0.2">
      <c r="A31577" s="258"/>
      <c r="Z31577" s="258"/>
    </row>
    <row r="31578" spans="1:26" ht="12.75" customHeight="1" x14ac:dyDescent="0.2">
      <c r="A31578" s="258"/>
      <c r="Z31578" s="258"/>
    </row>
    <row r="31579" spans="1:26" ht="12.75" customHeight="1" x14ac:dyDescent="0.2">
      <c r="A31579" s="258"/>
      <c r="Z31579" s="258"/>
    </row>
    <row r="31580" spans="1:26" ht="12.75" customHeight="1" x14ac:dyDescent="0.2">
      <c r="A31580" s="258"/>
      <c r="Z31580" s="258"/>
    </row>
    <row r="31581" spans="1:26" ht="12.75" customHeight="1" x14ac:dyDescent="0.2">
      <c r="A31581" s="258"/>
      <c r="Z31581" s="258"/>
    </row>
    <row r="31582" spans="1:26" ht="12.75" customHeight="1" x14ac:dyDescent="0.2">
      <c r="A31582" s="258"/>
      <c r="Z31582" s="258"/>
    </row>
    <row r="31583" spans="1:26" ht="12.75" customHeight="1" x14ac:dyDescent="0.2">
      <c r="A31583" s="258"/>
      <c r="Z31583" s="258"/>
    </row>
    <row r="31584" spans="1:26" ht="12.75" customHeight="1" x14ac:dyDescent="0.2">
      <c r="A31584" s="258"/>
      <c r="Z31584" s="258"/>
    </row>
    <row r="31585" spans="1:26" ht="12.75" customHeight="1" x14ac:dyDescent="0.2">
      <c r="A31585" s="258"/>
      <c r="Z31585" s="258"/>
    </row>
    <row r="31586" spans="1:26" ht="12.75" customHeight="1" x14ac:dyDescent="0.2">
      <c r="A31586" s="258"/>
      <c r="Z31586" s="258"/>
    </row>
    <row r="31587" spans="1:26" ht="12.75" customHeight="1" x14ac:dyDescent="0.2">
      <c r="A31587" s="258"/>
      <c r="Z31587" s="258"/>
    </row>
    <row r="31588" spans="1:26" ht="12.75" customHeight="1" x14ac:dyDescent="0.2">
      <c r="A31588" s="258"/>
      <c r="Z31588" s="258"/>
    </row>
    <row r="31589" spans="1:26" ht="12.75" customHeight="1" x14ac:dyDescent="0.2">
      <c r="A31589" s="258"/>
      <c r="Z31589" s="258"/>
    </row>
    <row r="31590" spans="1:26" ht="12.75" customHeight="1" x14ac:dyDescent="0.2">
      <c r="A31590" s="258"/>
      <c r="Z31590" s="258"/>
    </row>
    <row r="31591" spans="1:26" ht="12.75" customHeight="1" x14ac:dyDescent="0.2">
      <c r="A31591" s="258"/>
      <c r="Z31591" s="258"/>
    </row>
    <row r="31592" spans="1:26" ht="12.75" customHeight="1" x14ac:dyDescent="0.2">
      <c r="A31592" s="258"/>
      <c r="Z31592" s="258"/>
    </row>
    <row r="31593" spans="1:26" ht="12.75" customHeight="1" x14ac:dyDescent="0.2">
      <c r="A31593" s="258"/>
      <c r="Z31593" s="258"/>
    </row>
    <row r="31594" spans="1:26" ht="12.75" customHeight="1" x14ac:dyDescent="0.2">
      <c r="A31594" s="258"/>
      <c r="Z31594" s="258"/>
    </row>
    <row r="31595" spans="1:26" ht="12.75" customHeight="1" x14ac:dyDescent="0.2">
      <c r="A31595" s="258"/>
      <c r="Z31595" s="258"/>
    </row>
    <row r="31596" spans="1:26" ht="12.75" customHeight="1" x14ac:dyDescent="0.2">
      <c r="A31596" s="258"/>
      <c r="Z31596" s="258"/>
    </row>
    <row r="31597" spans="1:26" ht="12.75" customHeight="1" x14ac:dyDescent="0.2">
      <c r="A31597" s="258"/>
      <c r="Z31597" s="258"/>
    </row>
    <row r="31598" spans="1:26" ht="12.75" customHeight="1" x14ac:dyDescent="0.2">
      <c r="A31598" s="258"/>
      <c r="Z31598" s="258"/>
    </row>
    <row r="31599" spans="1:26" ht="12.75" customHeight="1" x14ac:dyDescent="0.2">
      <c r="A31599" s="258"/>
      <c r="Z31599" s="258"/>
    </row>
    <row r="31600" spans="1:26" ht="12.75" customHeight="1" x14ac:dyDescent="0.2">
      <c r="A31600" s="258"/>
      <c r="Z31600" s="258"/>
    </row>
    <row r="31601" spans="1:26" ht="12.75" customHeight="1" x14ac:dyDescent="0.2">
      <c r="A31601" s="258"/>
      <c r="Z31601" s="258"/>
    </row>
    <row r="31602" spans="1:26" ht="12.75" customHeight="1" x14ac:dyDescent="0.2">
      <c r="A31602" s="258"/>
      <c r="Z31602" s="258"/>
    </row>
    <row r="31603" spans="1:26" ht="12.75" customHeight="1" x14ac:dyDescent="0.2">
      <c r="A31603" s="258"/>
      <c r="Z31603" s="258"/>
    </row>
    <row r="31604" spans="1:26" ht="12.75" customHeight="1" x14ac:dyDescent="0.2">
      <c r="A31604" s="258"/>
      <c r="Z31604" s="258"/>
    </row>
    <row r="31605" spans="1:26" ht="12.75" customHeight="1" x14ac:dyDescent="0.2">
      <c r="A31605" s="258"/>
      <c r="Z31605" s="258"/>
    </row>
    <row r="31606" spans="1:26" ht="12.75" customHeight="1" x14ac:dyDescent="0.2">
      <c r="A31606" s="258"/>
      <c r="Z31606" s="258"/>
    </row>
    <row r="31607" spans="1:26" ht="12.75" customHeight="1" x14ac:dyDescent="0.2">
      <c r="A31607" s="258"/>
      <c r="Z31607" s="258"/>
    </row>
    <row r="31608" spans="1:26" ht="12.75" customHeight="1" x14ac:dyDescent="0.2">
      <c r="A31608" s="258"/>
      <c r="Z31608" s="258"/>
    </row>
    <row r="31609" spans="1:26" ht="12.75" customHeight="1" x14ac:dyDescent="0.2">
      <c r="A31609" s="258"/>
      <c r="Z31609" s="258"/>
    </row>
    <row r="31610" spans="1:26" ht="12.75" customHeight="1" x14ac:dyDescent="0.2">
      <c r="A31610" s="258"/>
      <c r="Z31610" s="258"/>
    </row>
    <row r="31611" spans="1:26" ht="12.75" customHeight="1" x14ac:dyDescent="0.2">
      <c r="A31611" s="258"/>
      <c r="Z31611" s="258"/>
    </row>
    <row r="31612" spans="1:26" ht="12.75" customHeight="1" x14ac:dyDescent="0.2">
      <c r="A31612" s="258"/>
      <c r="Z31612" s="258"/>
    </row>
    <row r="31613" spans="1:26" ht="12.75" customHeight="1" x14ac:dyDescent="0.2">
      <c r="A31613" s="258"/>
      <c r="Z31613" s="258"/>
    </row>
    <row r="31614" spans="1:26" ht="12.75" customHeight="1" x14ac:dyDescent="0.2">
      <c r="A31614" s="258"/>
      <c r="Z31614" s="258"/>
    </row>
    <row r="31615" spans="1:26" ht="12.75" customHeight="1" x14ac:dyDescent="0.2">
      <c r="A31615" s="258"/>
      <c r="Z31615" s="258"/>
    </row>
    <row r="31616" spans="1:26" ht="12.75" customHeight="1" x14ac:dyDescent="0.2">
      <c r="A31616" s="258"/>
      <c r="Z31616" s="258"/>
    </row>
    <row r="31617" spans="1:26" ht="12.75" customHeight="1" x14ac:dyDescent="0.2">
      <c r="A31617" s="258"/>
      <c r="Z31617" s="258"/>
    </row>
    <row r="31618" spans="1:26" ht="12.75" customHeight="1" x14ac:dyDescent="0.2">
      <c r="A31618" s="258"/>
      <c r="Z31618" s="258"/>
    </row>
    <row r="31619" spans="1:26" ht="12.75" customHeight="1" x14ac:dyDescent="0.2">
      <c r="A31619" s="258"/>
      <c r="Z31619" s="258"/>
    </row>
    <row r="31620" spans="1:26" ht="12.75" customHeight="1" x14ac:dyDescent="0.2">
      <c r="A31620" s="258"/>
      <c r="Z31620" s="258"/>
    </row>
    <row r="31621" spans="1:26" ht="12.75" customHeight="1" x14ac:dyDescent="0.2">
      <c r="A31621" s="258"/>
      <c r="Z31621" s="258"/>
    </row>
    <row r="31622" spans="1:26" ht="12.75" customHeight="1" x14ac:dyDescent="0.2">
      <c r="A31622" s="258"/>
      <c r="Z31622" s="258"/>
    </row>
    <row r="31623" spans="1:26" ht="12.75" customHeight="1" x14ac:dyDescent="0.2">
      <c r="A31623" s="258"/>
      <c r="Z31623" s="258"/>
    </row>
    <row r="31624" spans="1:26" ht="12.75" customHeight="1" x14ac:dyDescent="0.2">
      <c r="A31624" s="258"/>
      <c r="Z31624" s="258"/>
    </row>
    <row r="31625" spans="1:26" ht="12.75" customHeight="1" x14ac:dyDescent="0.2">
      <c r="A31625" s="258"/>
      <c r="Z31625" s="258"/>
    </row>
    <row r="31626" spans="1:26" ht="12.75" customHeight="1" x14ac:dyDescent="0.2">
      <c r="A31626" s="258"/>
      <c r="Z31626" s="258"/>
    </row>
    <row r="31627" spans="1:26" ht="12.75" customHeight="1" x14ac:dyDescent="0.2">
      <c r="A31627" s="258"/>
      <c r="Z31627" s="258"/>
    </row>
    <row r="31628" spans="1:26" ht="12.75" customHeight="1" x14ac:dyDescent="0.2">
      <c r="A31628" s="258"/>
      <c r="Z31628" s="258"/>
    </row>
    <row r="31629" spans="1:26" ht="12.75" customHeight="1" x14ac:dyDescent="0.2">
      <c r="A31629" s="258"/>
      <c r="Z31629" s="258"/>
    </row>
    <row r="31630" spans="1:26" ht="12.75" customHeight="1" x14ac:dyDescent="0.2">
      <c r="A31630" s="258"/>
      <c r="Z31630" s="258"/>
    </row>
    <row r="31631" spans="1:26" ht="12.75" customHeight="1" x14ac:dyDescent="0.2">
      <c r="A31631" s="258"/>
      <c r="Z31631" s="258"/>
    </row>
    <row r="31632" spans="1:26" ht="12.75" customHeight="1" x14ac:dyDescent="0.2">
      <c r="A31632" s="258"/>
      <c r="Z31632" s="258"/>
    </row>
    <row r="31633" spans="1:26" ht="12.75" customHeight="1" x14ac:dyDescent="0.2">
      <c r="A31633" s="258"/>
      <c r="Z31633" s="258"/>
    </row>
    <row r="31634" spans="1:26" ht="12.75" customHeight="1" x14ac:dyDescent="0.2">
      <c r="A31634" s="258"/>
      <c r="Z31634" s="258"/>
    </row>
    <row r="31635" spans="1:26" ht="12.75" customHeight="1" x14ac:dyDescent="0.2">
      <c r="A31635" s="258"/>
      <c r="Z31635" s="258"/>
    </row>
    <row r="31636" spans="1:26" ht="12.75" customHeight="1" x14ac:dyDescent="0.2">
      <c r="A31636" s="258"/>
      <c r="Z31636" s="258"/>
    </row>
    <row r="31637" spans="1:26" ht="12.75" customHeight="1" x14ac:dyDescent="0.2">
      <c r="A31637" s="258"/>
      <c r="Z31637" s="258"/>
    </row>
    <row r="31638" spans="1:26" ht="12.75" customHeight="1" x14ac:dyDescent="0.2">
      <c r="A31638" s="258"/>
      <c r="Z31638" s="258"/>
    </row>
    <row r="31639" spans="1:26" ht="12.75" customHeight="1" x14ac:dyDescent="0.2">
      <c r="A31639" s="258"/>
      <c r="Z31639" s="258"/>
    </row>
    <row r="31640" spans="1:26" ht="12.75" customHeight="1" x14ac:dyDescent="0.2">
      <c r="A31640" s="258"/>
      <c r="Z31640" s="258"/>
    </row>
    <row r="31641" spans="1:26" ht="12.75" customHeight="1" x14ac:dyDescent="0.2">
      <c r="A31641" s="258"/>
      <c r="Z31641" s="258"/>
    </row>
    <row r="31642" spans="1:26" ht="12.75" customHeight="1" x14ac:dyDescent="0.2">
      <c r="A31642" s="258"/>
      <c r="Z31642" s="258"/>
    </row>
    <row r="31643" spans="1:26" ht="12.75" customHeight="1" x14ac:dyDescent="0.2">
      <c r="A31643" s="258"/>
      <c r="Z31643" s="258"/>
    </row>
    <row r="31644" spans="1:26" ht="12.75" customHeight="1" x14ac:dyDescent="0.2">
      <c r="A31644" s="258"/>
      <c r="Z31644" s="258"/>
    </row>
    <row r="31645" spans="1:26" ht="12.75" customHeight="1" x14ac:dyDescent="0.2">
      <c r="A31645" s="258"/>
      <c r="Z31645" s="258"/>
    </row>
    <row r="31646" spans="1:26" ht="12.75" customHeight="1" x14ac:dyDescent="0.2">
      <c r="A31646" s="258"/>
      <c r="Z31646" s="258"/>
    </row>
    <row r="31647" spans="1:26" ht="12.75" customHeight="1" x14ac:dyDescent="0.2">
      <c r="A31647" s="258"/>
      <c r="Z31647" s="258"/>
    </row>
    <row r="31648" spans="1:26" ht="12.75" customHeight="1" x14ac:dyDescent="0.2">
      <c r="A31648" s="258"/>
      <c r="Z31648" s="258"/>
    </row>
    <row r="31649" spans="1:26" ht="12.75" customHeight="1" x14ac:dyDescent="0.2">
      <c r="A31649" s="258"/>
      <c r="Z31649" s="258"/>
    </row>
    <row r="31650" spans="1:26" ht="12.75" customHeight="1" x14ac:dyDescent="0.2">
      <c r="A31650" s="258"/>
      <c r="Z31650" s="258"/>
    </row>
    <row r="31651" spans="1:26" ht="12.75" customHeight="1" x14ac:dyDescent="0.2">
      <c r="A31651" s="258"/>
      <c r="Z31651" s="258"/>
    </row>
    <row r="31652" spans="1:26" ht="12.75" customHeight="1" x14ac:dyDescent="0.2">
      <c r="A31652" s="258"/>
      <c r="Z31652" s="258"/>
    </row>
    <row r="31653" spans="1:26" ht="12.75" customHeight="1" x14ac:dyDescent="0.2">
      <c r="A31653" s="258"/>
      <c r="Z31653" s="258"/>
    </row>
    <row r="31654" spans="1:26" ht="12.75" customHeight="1" x14ac:dyDescent="0.2">
      <c r="A31654" s="258"/>
      <c r="Z31654" s="258"/>
    </row>
    <row r="31655" spans="1:26" ht="12.75" customHeight="1" x14ac:dyDescent="0.2">
      <c r="A31655" s="258"/>
      <c r="Z31655" s="258"/>
    </row>
    <row r="31656" spans="1:26" ht="12.75" customHeight="1" x14ac:dyDescent="0.2">
      <c r="A31656" s="258"/>
      <c r="Z31656" s="258"/>
    </row>
    <row r="31657" spans="1:26" ht="12.75" customHeight="1" x14ac:dyDescent="0.2">
      <c r="A31657" s="258"/>
      <c r="Z31657" s="258"/>
    </row>
    <row r="31658" spans="1:26" ht="12.75" customHeight="1" x14ac:dyDescent="0.2">
      <c r="A31658" s="258"/>
      <c r="Z31658" s="258"/>
    </row>
    <row r="31659" spans="1:26" ht="12.75" customHeight="1" x14ac:dyDescent="0.2">
      <c r="A31659" s="258"/>
      <c r="Z31659" s="258"/>
    </row>
    <row r="31660" spans="1:26" ht="12.75" customHeight="1" x14ac:dyDescent="0.2">
      <c r="A31660" s="258"/>
      <c r="Z31660" s="258"/>
    </row>
    <row r="31661" spans="1:26" ht="12.75" customHeight="1" x14ac:dyDescent="0.2">
      <c r="A31661" s="258"/>
      <c r="Z31661" s="258"/>
    </row>
    <row r="31662" spans="1:26" ht="12.75" customHeight="1" x14ac:dyDescent="0.2">
      <c r="A31662" s="258"/>
      <c r="Z31662" s="258"/>
    </row>
    <row r="31663" spans="1:26" ht="12.75" customHeight="1" x14ac:dyDescent="0.2">
      <c r="A31663" s="258"/>
      <c r="Z31663" s="258"/>
    </row>
    <row r="31664" spans="1:26" ht="12.75" customHeight="1" x14ac:dyDescent="0.2">
      <c r="A31664" s="258"/>
      <c r="Z31664" s="258"/>
    </row>
    <row r="31665" spans="1:26" ht="12.75" customHeight="1" x14ac:dyDescent="0.2">
      <c r="A31665" s="258"/>
      <c r="Z31665" s="258"/>
    </row>
    <row r="31666" spans="1:26" ht="12.75" customHeight="1" x14ac:dyDescent="0.2">
      <c r="A31666" s="258"/>
      <c r="Z31666" s="258"/>
    </row>
    <row r="31667" spans="1:26" ht="12.75" customHeight="1" x14ac:dyDescent="0.2">
      <c r="A31667" s="258"/>
      <c r="Z31667" s="258"/>
    </row>
    <row r="31668" spans="1:26" ht="12.75" customHeight="1" x14ac:dyDescent="0.2">
      <c r="A31668" s="258"/>
      <c r="Z31668" s="258"/>
    </row>
    <row r="31669" spans="1:26" ht="12.75" customHeight="1" x14ac:dyDescent="0.2">
      <c r="A31669" s="258"/>
      <c r="Z31669" s="258"/>
    </row>
    <row r="31670" spans="1:26" ht="12.75" customHeight="1" x14ac:dyDescent="0.2">
      <c r="A31670" s="258"/>
      <c r="Z31670" s="258"/>
    </row>
    <row r="31671" spans="1:26" ht="12.75" customHeight="1" x14ac:dyDescent="0.2">
      <c r="A31671" s="258"/>
      <c r="Z31671" s="258"/>
    </row>
    <row r="31672" spans="1:26" ht="12.75" customHeight="1" x14ac:dyDescent="0.2">
      <c r="A31672" s="258"/>
      <c r="Z31672" s="258"/>
    </row>
    <row r="31673" spans="1:26" ht="12.75" customHeight="1" x14ac:dyDescent="0.2">
      <c r="A31673" s="258"/>
      <c r="Z31673" s="258"/>
    </row>
    <row r="31674" spans="1:26" ht="12.75" customHeight="1" x14ac:dyDescent="0.2">
      <c r="A31674" s="258"/>
      <c r="Z31674" s="258"/>
    </row>
    <row r="31675" spans="1:26" ht="12.75" customHeight="1" x14ac:dyDescent="0.2">
      <c r="A31675" s="258"/>
      <c r="Z31675" s="258"/>
    </row>
    <row r="31676" spans="1:26" ht="12.75" customHeight="1" x14ac:dyDescent="0.2">
      <c r="A31676" s="258"/>
      <c r="Z31676" s="258"/>
    </row>
    <row r="31677" spans="1:26" ht="12.75" customHeight="1" x14ac:dyDescent="0.2">
      <c r="A31677" s="258"/>
      <c r="Z31677" s="258"/>
    </row>
    <row r="31678" spans="1:26" ht="12.75" customHeight="1" x14ac:dyDescent="0.2">
      <c r="A31678" s="258"/>
      <c r="Z31678" s="258"/>
    </row>
    <row r="31679" spans="1:26" ht="12.75" customHeight="1" x14ac:dyDescent="0.2">
      <c r="A31679" s="258"/>
      <c r="Z31679" s="258"/>
    </row>
    <row r="31680" spans="1:26" ht="12.75" customHeight="1" x14ac:dyDescent="0.2">
      <c r="A31680" s="258"/>
      <c r="Z31680" s="258"/>
    </row>
    <row r="31681" spans="1:26" ht="12.75" customHeight="1" x14ac:dyDescent="0.2">
      <c r="A31681" s="258"/>
      <c r="Z31681" s="258"/>
    </row>
    <row r="31682" spans="1:26" ht="12.75" customHeight="1" x14ac:dyDescent="0.2">
      <c r="A31682" s="258"/>
      <c r="Z31682" s="258"/>
    </row>
    <row r="31683" spans="1:26" ht="12.75" customHeight="1" x14ac:dyDescent="0.2">
      <c r="A31683" s="258"/>
      <c r="Z31683" s="258"/>
    </row>
    <row r="31684" spans="1:26" ht="12.75" customHeight="1" x14ac:dyDescent="0.2">
      <c r="A31684" s="258"/>
      <c r="Z31684" s="258"/>
    </row>
    <row r="31685" spans="1:26" ht="12.75" customHeight="1" x14ac:dyDescent="0.2">
      <c r="A31685" s="258"/>
      <c r="Z31685" s="258"/>
    </row>
    <row r="31686" spans="1:26" ht="12.75" customHeight="1" x14ac:dyDescent="0.2">
      <c r="A31686" s="258"/>
      <c r="Z31686" s="258"/>
    </row>
    <row r="31687" spans="1:26" ht="12.75" customHeight="1" x14ac:dyDescent="0.2">
      <c r="A31687" s="258"/>
      <c r="Z31687" s="258"/>
    </row>
    <row r="31688" spans="1:26" ht="12.75" customHeight="1" x14ac:dyDescent="0.2">
      <c r="A31688" s="258"/>
      <c r="Z31688" s="258"/>
    </row>
    <row r="31689" spans="1:26" ht="12.75" customHeight="1" x14ac:dyDescent="0.2">
      <c r="A31689" s="258"/>
      <c r="Z31689" s="258"/>
    </row>
    <row r="31690" spans="1:26" ht="12.75" customHeight="1" x14ac:dyDescent="0.2">
      <c r="A31690" s="258"/>
      <c r="Z31690" s="258"/>
    </row>
    <row r="31691" spans="1:26" ht="12.75" customHeight="1" x14ac:dyDescent="0.2">
      <c r="A31691" s="258"/>
      <c r="Z31691" s="258"/>
    </row>
    <row r="31692" spans="1:26" ht="12.75" customHeight="1" x14ac:dyDescent="0.2">
      <c r="A31692" s="258"/>
      <c r="Z31692" s="258"/>
    </row>
    <row r="31693" spans="1:26" ht="12.75" customHeight="1" x14ac:dyDescent="0.2">
      <c r="A31693" s="258"/>
      <c r="Z31693" s="258"/>
    </row>
    <row r="31694" spans="1:26" ht="12.75" customHeight="1" x14ac:dyDescent="0.2">
      <c r="A31694" s="258"/>
      <c r="Z31694" s="258"/>
    </row>
    <row r="31695" spans="1:26" ht="12.75" customHeight="1" x14ac:dyDescent="0.2">
      <c r="A31695" s="258"/>
      <c r="Z31695" s="258"/>
    </row>
    <row r="31696" spans="1:26" ht="12.75" customHeight="1" x14ac:dyDescent="0.2">
      <c r="A31696" s="258"/>
      <c r="Z31696" s="258"/>
    </row>
    <row r="31697" spans="1:26" ht="12.75" customHeight="1" x14ac:dyDescent="0.2">
      <c r="A31697" s="258"/>
      <c r="Z31697" s="258"/>
    </row>
    <row r="31698" spans="1:26" ht="12.75" customHeight="1" x14ac:dyDescent="0.2">
      <c r="A31698" s="258"/>
      <c r="Z31698" s="258"/>
    </row>
    <row r="31699" spans="1:26" ht="12.75" customHeight="1" x14ac:dyDescent="0.2">
      <c r="A31699" s="258"/>
      <c r="Z31699" s="258"/>
    </row>
    <row r="31700" spans="1:26" ht="12.75" customHeight="1" x14ac:dyDescent="0.2">
      <c r="A31700" s="258"/>
      <c r="Z31700" s="258"/>
    </row>
    <row r="31701" spans="1:26" ht="12.75" customHeight="1" x14ac:dyDescent="0.2">
      <c r="A31701" s="258"/>
      <c r="Z31701" s="258"/>
    </row>
    <row r="31702" spans="1:26" ht="12.75" customHeight="1" x14ac:dyDescent="0.2">
      <c r="A31702" s="258"/>
      <c r="Z31702" s="258"/>
    </row>
    <row r="31703" spans="1:26" ht="12.75" customHeight="1" x14ac:dyDescent="0.2">
      <c r="A31703" s="258"/>
      <c r="Z31703" s="258"/>
    </row>
    <row r="31704" spans="1:26" ht="12.75" customHeight="1" x14ac:dyDescent="0.2">
      <c r="A31704" s="258"/>
      <c r="Z31704" s="258"/>
    </row>
    <row r="31705" spans="1:26" ht="12.75" customHeight="1" x14ac:dyDescent="0.2">
      <c r="A31705" s="258"/>
      <c r="Z31705" s="258"/>
    </row>
    <row r="31706" spans="1:26" ht="12.75" customHeight="1" x14ac:dyDescent="0.2">
      <c r="A31706" s="258"/>
      <c r="Z31706" s="258"/>
    </row>
    <row r="31707" spans="1:26" ht="12.75" customHeight="1" x14ac:dyDescent="0.2">
      <c r="A31707" s="258"/>
      <c r="Z31707" s="258"/>
    </row>
    <row r="31708" spans="1:26" ht="12.75" customHeight="1" x14ac:dyDescent="0.2">
      <c r="A31708" s="258"/>
      <c r="Z31708" s="258"/>
    </row>
    <row r="31709" spans="1:26" ht="12.75" customHeight="1" x14ac:dyDescent="0.2">
      <c r="A31709" s="258"/>
      <c r="Z31709" s="258"/>
    </row>
    <row r="31710" spans="1:26" ht="12.75" customHeight="1" x14ac:dyDescent="0.2">
      <c r="A31710" s="258"/>
      <c r="Z31710" s="258"/>
    </row>
    <row r="31711" spans="1:26" ht="12.75" customHeight="1" x14ac:dyDescent="0.2">
      <c r="A31711" s="258"/>
      <c r="Z31711" s="258"/>
    </row>
    <row r="31712" spans="1:26" ht="12.75" customHeight="1" x14ac:dyDescent="0.2">
      <c r="A31712" s="258"/>
      <c r="Z31712" s="258"/>
    </row>
    <row r="31713" spans="1:26" ht="12.75" customHeight="1" x14ac:dyDescent="0.2">
      <c r="A31713" s="258"/>
      <c r="Z31713" s="258"/>
    </row>
    <row r="31714" spans="1:26" ht="12.75" customHeight="1" x14ac:dyDescent="0.2">
      <c r="A31714" s="258"/>
      <c r="Z31714" s="258"/>
    </row>
    <row r="31715" spans="1:26" ht="12.75" customHeight="1" x14ac:dyDescent="0.2">
      <c r="A31715" s="258"/>
      <c r="Z31715" s="258"/>
    </row>
    <row r="31716" spans="1:26" ht="12.75" customHeight="1" x14ac:dyDescent="0.2">
      <c r="A31716" s="258"/>
      <c r="Z31716" s="258"/>
    </row>
    <row r="31717" spans="1:26" ht="12.75" customHeight="1" x14ac:dyDescent="0.2">
      <c r="A31717" s="258"/>
      <c r="Z31717" s="258"/>
    </row>
    <row r="31718" spans="1:26" ht="12.75" customHeight="1" x14ac:dyDescent="0.2">
      <c r="A31718" s="258"/>
      <c r="Z31718" s="258"/>
    </row>
    <row r="31719" spans="1:26" ht="12.75" customHeight="1" x14ac:dyDescent="0.2">
      <c r="A31719" s="258"/>
      <c r="Z31719" s="258"/>
    </row>
    <row r="31720" spans="1:26" ht="12.75" customHeight="1" x14ac:dyDescent="0.2">
      <c r="A31720" s="258"/>
      <c r="Z31720" s="258"/>
    </row>
    <row r="31721" spans="1:26" ht="12.75" customHeight="1" x14ac:dyDescent="0.2">
      <c r="A31721" s="258"/>
      <c r="Z31721" s="258"/>
    </row>
    <row r="31722" spans="1:26" ht="12.75" customHeight="1" x14ac:dyDescent="0.2">
      <c r="A31722" s="258"/>
      <c r="Z31722" s="258"/>
    </row>
    <row r="31723" spans="1:26" ht="12.75" customHeight="1" x14ac:dyDescent="0.2">
      <c r="A31723" s="258"/>
      <c r="Z31723" s="258"/>
    </row>
    <row r="31724" spans="1:26" ht="12.75" customHeight="1" x14ac:dyDescent="0.2">
      <c r="A31724" s="258"/>
      <c r="Z31724" s="258"/>
    </row>
    <row r="31725" spans="1:26" ht="12.75" customHeight="1" x14ac:dyDescent="0.2">
      <c r="A31725" s="258"/>
      <c r="Z31725" s="258"/>
    </row>
    <row r="31726" spans="1:26" ht="12.75" customHeight="1" x14ac:dyDescent="0.2">
      <c r="A31726" s="258"/>
      <c r="Z31726" s="258"/>
    </row>
    <row r="31727" spans="1:26" ht="12.75" customHeight="1" x14ac:dyDescent="0.2">
      <c r="A31727" s="258"/>
      <c r="Z31727" s="258"/>
    </row>
    <row r="31728" spans="1:26" ht="12.75" customHeight="1" x14ac:dyDescent="0.2">
      <c r="A31728" s="258"/>
      <c r="Z31728" s="258"/>
    </row>
    <row r="31729" spans="1:26" ht="12.75" customHeight="1" x14ac:dyDescent="0.2">
      <c r="A31729" s="258"/>
      <c r="Z31729" s="258"/>
    </row>
    <row r="31730" spans="1:26" ht="12.75" customHeight="1" x14ac:dyDescent="0.2">
      <c r="A31730" s="258"/>
      <c r="Z31730" s="258"/>
    </row>
    <row r="31731" spans="1:26" ht="12.75" customHeight="1" x14ac:dyDescent="0.2">
      <c r="A31731" s="258"/>
      <c r="Z31731" s="258"/>
    </row>
    <row r="31732" spans="1:26" ht="12.75" customHeight="1" x14ac:dyDescent="0.2">
      <c r="A31732" s="258"/>
      <c r="Z31732" s="258"/>
    </row>
    <row r="31733" spans="1:26" ht="12.75" customHeight="1" x14ac:dyDescent="0.2">
      <c r="A31733" s="258"/>
      <c r="Z31733" s="258"/>
    </row>
    <row r="31734" spans="1:26" ht="12.75" customHeight="1" x14ac:dyDescent="0.2">
      <c r="A31734" s="258"/>
      <c r="Z31734" s="258"/>
    </row>
    <row r="31735" spans="1:26" ht="12.75" customHeight="1" x14ac:dyDescent="0.2">
      <c r="A31735" s="258"/>
      <c r="Z31735" s="258"/>
    </row>
    <row r="31736" spans="1:26" ht="12.75" customHeight="1" x14ac:dyDescent="0.2">
      <c r="A31736" s="258"/>
      <c r="Z31736" s="258"/>
    </row>
    <row r="31737" spans="1:26" ht="12.75" customHeight="1" x14ac:dyDescent="0.2">
      <c r="A31737" s="258"/>
      <c r="Z31737" s="258"/>
    </row>
    <row r="31738" spans="1:26" ht="12.75" customHeight="1" x14ac:dyDescent="0.2">
      <c r="A31738" s="258"/>
      <c r="Z31738" s="258"/>
    </row>
    <row r="31739" spans="1:26" ht="12.75" customHeight="1" x14ac:dyDescent="0.2">
      <c r="A31739" s="258"/>
      <c r="Z31739" s="258"/>
    </row>
    <row r="31740" spans="1:26" ht="12.75" customHeight="1" x14ac:dyDescent="0.2">
      <c r="A31740" s="258"/>
      <c r="Z31740" s="258"/>
    </row>
    <row r="31741" spans="1:26" ht="12.75" customHeight="1" x14ac:dyDescent="0.2">
      <c r="A31741" s="258"/>
      <c r="Z31741" s="258"/>
    </row>
    <row r="31742" spans="1:26" ht="12.75" customHeight="1" x14ac:dyDescent="0.2">
      <c r="A31742" s="258"/>
      <c r="Z31742" s="258"/>
    </row>
    <row r="31743" spans="1:26" ht="12.75" customHeight="1" x14ac:dyDescent="0.2">
      <c r="A31743" s="258"/>
      <c r="Z31743" s="258"/>
    </row>
    <row r="31744" spans="1:26" ht="12.75" customHeight="1" x14ac:dyDescent="0.2">
      <c r="A31744" s="258"/>
      <c r="Z31744" s="258"/>
    </row>
    <row r="31745" spans="1:26" ht="12.75" customHeight="1" x14ac:dyDescent="0.2">
      <c r="A31745" s="258"/>
      <c r="Z31745" s="258"/>
    </row>
    <row r="31746" spans="1:26" ht="12.75" customHeight="1" x14ac:dyDescent="0.2">
      <c r="A31746" s="258"/>
      <c r="Z31746" s="258"/>
    </row>
    <row r="31747" spans="1:26" ht="12.75" customHeight="1" x14ac:dyDescent="0.2">
      <c r="A31747" s="258"/>
      <c r="Z31747" s="258"/>
    </row>
    <row r="31748" spans="1:26" ht="12.75" customHeight="1" x14ac:dyDescent="0.2">
      <c r="A31748" s="258"/>
      <c r="Z31748" s="258"/>
    </row>
    <row r="31749" spans="1:26" ht="12.75" customHeight="1" x14ac:dyDescent="0.2">
      <c r="A31749" s="258"/>
      <c r="Z31749" s="258"/>
    </row>
    <row r="31750" spans="1:26" ht="12.75" customHeight="1" x14ac:dyDescent="0.2">
      <c r="A31750" s="258"/>
      <c r="Z31750" s="258"/>
    </row>
    <row r="31751" spans="1:26" ht="12.75" customHeight="1" x14ac:dyDescent="0.2">
      <c r="A31751" s="258"/>
      <c r="Z31751" s="258"/>
    </row>
    <row r="31752" spans="1:26" ht="12.75" customHeight="1" x14ac:dyDescent="0.2">
      <c r="A31752" s="258"/>
      <c r="Z31752" s="258"/>
    </row>
    <row r="31753" spans="1:26" ht="12.75" customHeight="1" x14ac:dyDescent="0.2">
      <c r="A31753" s="258"/>
      <c r="Z31753" s="258"/>
    </row>
    <row r="31754" spans="1:26" ht="12.75" customHeight="1" x14ac:dyDescent="0.2">
      <c r="A31754" s="258"/>
      <c r="Z31754" s="258"/>
    </row>
    <row r="31755" spans="1:26" ht="12.75" customHeight="1" x14ac:dyDescent="0.2">
      <c r="A31755" s="258"/>
      <c r="Z31755" s="258"/>
    </row>
    <row r="31756" spans="1:26" ht="12.75" customHeight="1" x14ac:dyDescent="0.2">
      <c r="A31756" s="258"/>
      <c r="Z31756" s="258"/>
    </row>
    <row r="31757" spans="1:26" ht="12.75" customHeight="1" x14ac:dyDescent="0.2">
      <c r="A31757" s="258"/>
      <c r="Z31757" s="258"/>
    </row>
    <row r="31758" spans="1:26" ht="12.75" customHeight="1" x14ac:dyDescent="0.2">
      <c r="A31758" s="258"/>
      <c r="Z31758" s="258"/>
    </row>
    <row r="31759" spans="1:26" ht="12.75" customHeight="1" x14ac:dyDescent="0.2">
      <c r="A31759" s="258"/>
      <c r="Z31759" s="258"/>
    </row>
    <row r="31760" spans="1:26" ht="12.75" customHeight="1" x14ac:dyDescent="0.2">
      <c r="A31760" s="258"/>
      <c r="Z31760" s="258"/>
    </row>
    <row r="31761" spans="1:26" ht="12.75" customHeight="1" x14ac:dyDescent="0.2">
      <c r="A31761" s="258"/>
      <c r="Z31761" s="258"/>
    </row>
    <row r="31762" spans="1:26" ht="12.75" customHeight="1" x14ac:dyDescent="0.2">
      <c r="A31762" s="258"/>
      <c r="Z31762" s="258"/>
    </row>
    <row r="31763" spans="1:26" ht="12.75" customHeight="1" x14ac:dyDescent="0.2">
      <c r="A31763" s="258"/>
      <c r="Z31763" s="258"/>
    </row>
    <row r="31764" spans="1:26" ht="12.75" customHeight="1" x14ac:dyDescent="0.2">
      <c r="A31764" s="258"/>
      <c r="Z31764" s="258"/>
    </row>
    <row r="31765" spans="1:26" ht="12.75" customHeight="1" x14ac:dyDescent="0.2">
      <c r="A31765" s="258"/>
      <c r="Z31765" s="258"/>
    </row>
    <row r="31766" spans="1:26" ht="12.75" customHeight="1" x14ac:dyDescent="0.2">
      <c r="A31766" s="258"/>
      <c r="Z31766" s="258"/>
    </row>
    <row r="31767" spans="1:26" ht="12.75" customHeight="1" x14ac:dyDescent="0.2">
      <c r="A31767" s="258"/>
      <c r="Z31767" s="258"/>
    </row>
    <row r="31768" spans="1:26" ht="12.75" customHeight="1" x14ac:dyDescent="0.2">
      <c r="A31768" s="258"/>
      <c r="Z31768" s="258"/>
    </row>
    <row r="31769" spans="1:26" ht="12.75" customHeight="1" x14ac:dyDescent="0.2">
      <c r="A31769" s="258"/>
      <c r="Z31769" s="258"/>
    </row>
    <row r="31770" spans="1:26" ht="12.75" customHeight="1" x14ac:dyDescent="0.2">
      <c r="A31770" s="258"/>
      <c r="Z31770" s="258"/>
    </row>
    <row r="31771" spans="1:26" ht="12.75" customHeight="1" x14ac:dyDescent="0.2">
      <c r="A31771" s="258"/>
      <c r="Z31771" s="258"/>
    </row>
    <row r="31772" spans="1:26" ht="12.75" customHeight="1" x14ac:dyDescent="0.2">
      <c r="A31772" s="258"/>
      <c r="Z31772" s="258"/>
    </row>
    <row r="31773" spans="1:26" ht="12.75" customHeight="1" x14ac:dyDescent="0.2">
      <c r="A31773" s="258"/>
      <c r="Z31773" s="258"/>
    </row>
    <row r="31774" spans="1:26" ht="12.75" customHeight="1" x14ac:dyDescent="0.2">
      <c r="A31774" s="258"/>
      <c r="Z31774" s="258"/>
    </row>
    <row r="31775" spans="1:26" ht="12.75" customHeight="1" x14ac:dyDescent="0.2">
      <c r="A31775" s="258"/>
      <c r="Z31775" s="258"/>
    </row>
    <row r="31776" spans="1:26" ht="12.75" customHeight="1" x14ac:dyDescent="0.2">
      <c r="A31776" s="258"/>
      <c r="Z31776" s="258"/>
    </row>
    <row r="31777" spans="1:26" ht="12.75" customHeight="1" x14ac:dyDescent="0.2">
      <c r="A31777" s="258"/>
      <c r="Z31777" s="258"/>
    </row>
    <row r="31778" spans="1:26" ht="12.75" customHeight="1" x14ac:dyDescent="0.2">
      <c r="A31778" s="258"/>
      <c r="Z31778" s="258"/>
    </row>
    <row r="31779" spans="1:26" ht="12.75" customHeight="1" x14ac:dyDescent="0.2">
      <c r="A31779" s="258"/>
      <c r="Z31779" s="258"/>
    </row>
    <row r="31780" spans="1:26" ht="12.75" customHeight="1" x14ac:dyDescent="0.2">
      <c r="A31780" s="258"/>
      <c r="Z31780" s="258"/>
    </row>
    <row r="31781" spans="1:26" ht="12.75" customHeight="1" x14ac:dyDescent="0.2">
      <c r="A31781" s="258"/>
      <c r="Z31781" s="258"/>
    </row>
    <row r="31782" spans="1:26" ht="12.75" customHeight="1" x14ac:dyDescent="0.2">
      <c r="A31782" s="258"/>
      <c r="Z31782" s="258"/>
    </row>
    <row r="31783" spans="1:26" ht="12.75" customHeight="1" x14ac:dyDescent="0.2">
      <c r="A31783" s="258"/>
      <c r="Z31783" s="258"/>
    </row>
    <row r="31784" spans="1:26" ht="12.75" customHeight="1" x14ac:dyDescent="0.2">
      <c r="A31784" s="258"/>
      <c r="Z31784" s="258"/>
    </row>
    <row r="31785" spans="1:26" ht="12.75" customHeight="1" x14ac:dyDescent="0.2">
      <c r="A31785" s="258"/>
      <c r="Z31785" s="258"/>
    </row>
    <row r="31786" spans="1:26" ht="12.75" customHeight="1" x14ac:dyDescent="0.2">
      <c r="A31786" s="258"/>
      <c r="Z31786" s="258"/>
    </row>
    <row r="31787" spans="1:26" ht="12.75" customHeight="1" x14ac:dyDescent="0.2">
      <c r="A31787" s="258"/>
      <c r="Z31787" s="258"/>
    </row>
    <row r="31788" spans="1:26" ht="12.75" customHeight="1" x14ac:dyDescent="0.2">
      <c r="A31788" s="258"/>
      <c r="Z31788" s="258"/>
    </row>
    <row r="31789" spans="1:26" ht="12.75" customHeight="1" x14ac:dyDescent="0.2">
      <c r="A31789" s="258"/>
      <c r="Z31789" s="258"/>
    </row>
    <row r="31790" spans="1:26" ht="12.75" customHeight="1" x14ac:dyDescent="0.2">
      <c r="A31790" s="258"/>
      <c r="Z31790" s="258"/>
    </row>
    <row r="31791" spans="1:26" ht="12.75" customHeight="1" x14ac:dyDescent="0.2">
      <c r="A31791" s="258"/>
      <c r="Z31791" s="258"/>
    </row>
    <row r="31792" spans="1:26" ht="12.75" customHeight="1" x14ac:dyDescent="0.2">
      <c r="A31792" s="258"/>
      <c r="Z31792" s="258"/>
    </row>
    <row r="31793" spans="1:26" ht="12.75" customHeight="1" x14ac:dyDescent="0.2">
      <c r="A31793" s="258"/>
      <c r="Z31793" s="258"/>
    </row>
    <row r="31794" spans="1:26" ht="12.75" customHeight="1" x14ac:dyDescent="0.2">
      <c r="A31794" s="258"/>
      <c r="Z31794" s="258"/>
    </row>
    <row r="31795" spans="1:26" ht="12.75" customHeight="1" x14ac:dyDescent="0.2">
      <c r="A31795" s="258"/>
      <c r="Z31795" s="258"/>
    </row>
    <row r="31796" spans="1:26" ht="12.75" customHeight="1" x14ac:dyDescent="0.2">
      <c r="A31796" s="258"/>
      <c r="Z31796" s="258"/>
    </row>
    <row r="31797" spans="1:26" ht="12.75" customHeight="1" x14ac:dyDescent="0.2">
      <c r="A31797" s="258"/>
      <c r="Z31797" s="258"/>
    </row>
    <row r="31798" spans="1:26" ht="12.75" customHeight="1" x14ac:dyDescent="0.2">
      <c r="A31798" s="258"/>
      <c r="Z31798" s="258"/>
    </row>
    <row r="31799" spans="1:26" ht="12.75" customHeight="1" x14ac:dyDescent="0.2">
      <c r="A31799" s="258"/>
      <c r="Z31799" s="258"/>
    </row>
    <row r="31800" spans="1:26" ht="12.75" customHeight="1" x14ac:dyDescent="0.2">
      <c r="A31800" s="258"/>
      <c r="Z31800" s="258"/>
    </row>
    <row r="31801" spans="1:26" ht="12.75" customHeight="1" x14ac:dyDescent="0.2">
      <c r="A31801" s="258"/>
      <c r="Z31801" s="258"/>
    </row>
    <row r="31802" spans="1:26" ht="12.75" customHeight="1" x14ac:dyDescent="0.2">
      <c r="A31802" s="258"/>
      <c r="Z31802" s="258"/>
    </row>
    <row r="31803" spans="1:26" ht="12.75" customHeight="1" x14ac:dyDescent="0.2">
      <c r="A31803" s="258"/>
      <c r="Z31803" s="258"/>
    </row>
    <row r="31804" spans="1:26" ht="12.75" customHeight="1" x14ac:dyDescent="0.2">
      <c r="A31804" s="258"/>
      <c r="Z31804" s="258"/>
    </row>
    <row r="31805" spans="1:26" ht="12.75" customHeight="1" x14ac:dyDescent="0.2">
      <c r="A31805" s="258"/>
      <c r="Z31805" s="258"/>
    </row>
    <row r="31806" spans="1:26" ht="12.75" customHeight="1" x14ac:dyDescent="0.2">
      <c r="A31806" s="258"/>
      <c r="Z31806" s="258"/>
    </row>
    <row r="31807" spans="1:26" ht="12.75" customHeight="1" x14ac:dyDescent="0.2">
      <c r="A31807" s="258"/>
      <c r="Z31807" s="258"/>
    </row>
    <row r="31808" spans="1:26" ht="12.75" customHeight="1" x14ac:dyDescent="0.2">
      <c r="A31808" s="258"/>
      <c r="Z31808" s="258"/>
    </row>
    <row r="31809" spans="1:26" ht="12.75" customHeight="1" x14ac:dyDescent="0.2">
      <c r="A31809" s="258"/>
      <c r="Z31809" s="258"/>
    </row>
    <row r="31810" spans="1:26" ht="12.75" customHeight="1" x14ac:dyDescent="0.2">
      <c r="A31810" s="258"/>
      <c r="Z31810" s="258"/>
    </row>
    <row r="31811" spans="1:26" ht="12.75" customHeight="1" x14ac:dyDescent="0.2">
      <c r="A31811" s="258"/>
      <c r="Z31811" s="258"/>
    </row>
    <row r="31812" spans="1:26" ht="12.75" customHeight="1" x14ac:dyDescent="0.2">
      <c r="A31812" s="258"/>
      <c r="Z31812" s="258"/>
    </row>
    <row r="31813" spans="1:26" ht="12.75" customHeight="1" x14ac:dyDescent="0.2">
      <c r="A31813" s="258"/>
      <c r="Z31813" s="258"/>
    </row>
    <row r="31814" spans="1:26" ht="12.75" customHeight="1" x14ac:dyDescent="0.2">
      <c r="A31814" s="258"/>
      <c r="Z31814" s="258"/>
    </row>
    <row r="31815" spans="1:26" ht="12.75" customHeight="1" x14ac:dyDescent="0.2">
      <c r="A31815" s="258"/>
      <c r="Z31815" s="258"/>
    </row>
    <row r="31816" spans="1:26" ht="12.75" customHeight="1" x14ac:dyDescent="0.2">
      <c r="A31816" s="258"/>
      <c r="Z31816" s="258"/>
    </row>
    <row r="31817" spans="1:26" ht="12.75" customHeight="1" x14ac:dyDescent="0.2">
      <c r="A31817" s="258"/>
      <c r="Z31817" s="258"/>
    </row>
    <row r="31818" spans="1:26" ht="12.75" customHeight="1" x14ac:dyDescent="0.2">
      <c r="A31818" s="258"/>
      <c r="Z31818" s="258"/>
    </row>
    <row r="31819" spans="1:26" ht="12.75" customHeight="1" x14ac:dyDescent="0.2">
      <c r="A31819" s="258"/>
      <c r="Z31819" s="258"/>
    </row>
    <row r="31820" spans="1:26" ht="12.75" customHeight="1" x14ac:dyDescent="0.2">
      <c r="A31820" s="258"/>
      <c r="Z31820" s="258"/>
    </row>
    <row r="31821" spans="1:26" ht="12.75" customHeight="1" x14ac:dyDescent="0.2">
      <c r="A31821" s="258"/>
      <c r="Z31821" s="258"/>
    </row>
    <row r="31822" spans="1:26" ht="12.75" customHeight="1" x14ac:dyDescent="0.2">
      <c r="A31822" s="258"/>
      <c r="Z31822" s="258"/>
    </row>
    <row r="31823" spans="1:26" ht="12.75" customHeight="1" x14ac:dyDescent="0.2">
      <c r="A31823" s="258"/>
      <c r="Z31823" s="258"/>
    </row>
    <row r="31824" spans="1:26" ht="12.75" customHeight="1" x14ac:dyDescent="0.2">
      <c r="A31824" s="258"/>
      <c r="Z31824" s="258"/>
    </row>
    <row r="31825" spans="1:26" ht="12.75" customHeight="1" x14ac:dyDescent="0.2">
      <c r="A31825" s="258"/>
      <c r="Z31825" s="258"/>
    </row>
    <row r="31826" spans="1:26" ht="12.75" customHeight="1" x14ac:dyDescent="0.2">
      <c r="A31826" s="258"/>
      <c r="Z31826" s="258"/>
    </row>
    <row r="31827" spans="1:26" ht="12.75" customHeight="1" x14ac:dyDescent="0.2">
      <c r="A31827" s="258"/>
      <c r="Z31827" s="258"/>
    </row>
    <row r="31828" spans="1:26" ht="12.75" customHeight="1" x14ac:dyDescent="0.2">
      <c r="A31828" s="258"/>
      <c r="Z31828" s="258"/>
    </row>
    <row r="31829" spans="1:26" ht="12.75" customHeight="1" x14ac:dyDescent="0.2">
      <c r="A31829" s="258"/>
      <c r="Z31829" s="258"/>
    </row>
    <row r="31830" spans="1:26" ht="12.75" customHeight="1" x14ac:dyDescent="0.2">
      <c r="A31830" s="258"/>
      <c r="Z31830" s="258"/>
    </row>
    <row r="31831" spans="1:26" ht="12.75" customHeight="1" x14ac:dyDescent="0.2">
      <c r="A31831" s="258"/>
      <c r="Z31831" s="258"/>
    </row>
    <row r="31832" spans="1:26" ht="12.75" customHeight="1" x14ac:dyDescent="0.2">
      <c r="A31832" s="258"/>
      <c r="Z31832" s="258"/>
    </row>
    <row r="31833" spans="1:26" ht="12.75" customHeight="1" x14ac:dyDescent="0.2">
      <c r="A31833" s="258"/>
      <c r="Z31833" s="258"/>
    </row>
    <row r="31834" spans="1:26" ht="12.75" customHeight="1" x14ac:dyDescent="0.2">
      <c r="A31834" s="258"/>
      <c r="Z31834" s="258"/>
    </row>
    <row r="31835" spans="1:26" ht="12.75" customHeight="1" x14ac:dyDescent="0.2">
      <c r="A31835" s="258"/>
      <c r="Z31835" s="258"/>
    </row>
    <row r="31836" spans="1:26" ht="12.75" customHeight="1" x14ac:dyDescent="0.2">
      <c r="A31836" s="258"/>
      <c r="Z31836" s="258"/>
    </row>
    <row r="31837" spans="1:26" ht="12.75" customHeight="1" x14ac:dyDescent="0.2">
      <c r="A31837" s="258"/>
      <c r="Z31837" s="258"/>
    </row>
    <row r="31838" spans="1:26" ht="12.75" customHeight="1" x14ac:dyDescent="0.2">
      <c r="A31838" s="258"/>
      <c r="Z31838" s="258"/>
    </row>
    <row r="31839" spans="1:26" ht="12.75" customHeight="1" x14ac:dyDescent="0.2">
      <c r="A31839" s="258"/>
      <c r="Z31839" s="258"/>
    </row>
    <row r="31840" spans="1:26" ht="12.75" customHeight="1" x14ac:dyDescent="0.2">
      <c r="A31840" s="258"/>
      <c r="Z31840" s="258"/>
    </row>
    <row r="31841" spans="1:26" ht="12.75" customHeight="1" x14ac:dyDescent="0.2">
      <c r="A31841" s="258"/>
      <c r="Z31841" s="258"/>
    </row>
    <row r="31842" spans="1:26" ht="12.75" customHeight="1" x14ac:dyDescent="0.2">
      <c r="A31842" s="258"/>
      <c r="Z31842" s="258"/>
    </row>
    <row r="31843" spans="1:26" ht="12.75" customHeight="1" x14ac:dyDescent="0.2">
      <c r="A31843" s="258"/>
      <c r="Z31843" s="258"/>
    </row>
    <row r="31844" spans="1:26" ht="12.75" customHeight="1" x14ac:dyDescent="0.2">
      <c r="A31844" s="258"/>
      <c r="Z31844" s="258"/>
    </row>
    <row r="31845" spans="1:26" ht="12.75" customHeight="1" x14ac:dyDescent="0.2">
      <c r="A31845" s="258"/>
      <c r="Z31845" s="258"/>
    </row>
    <row r="31846" spans="1:26" ht="12.75" customHeight="1" x14ac:dyDescent="0.2">
      <c r="A31846" s="258"/>
      <c r="Z31846" s="258"/>
    </row>
    <row r="31847" spans="1:26" ht="12.75" customHeight="1" x14ac:dyDescent="0.2">
      <c r="A31847" s="258"/>
      <c r="Z31847" s="258"/>
    </row>
    <row r="31848" spans="1:26" ht="12.75" customHeight="1" x14ac:dyDescent="0.2">
      <c r="A31848" s="258"/>
      <c r="Z31848" s="258"/>
    </row>
    <row r="31849" spans="1:26" ht="12.75" customHeight="1" x14ac:dyDescent="0.2">
      <c r="A31849" s="258"/>
      <c r="Z31849" s="258"/>
    </row>
    <row r="31850" spans="1:26" ht="12.75" customHeight="1" x14ac:dyDescent="0.2">
      <c r="A31850" s="258"/>
      <c r="Z31850" s="258"/>
    </row>
    <row r="31851" spans="1:26" ht="12.75" customHeight="1" x14ac:dyDescent="0.2">
      <c r="A31851" s="258"/>
      <c r="Z31851" s="258"/>
    </row>
    <row r="31852" spans="1:26" ht="12.75" customHeight="1" x14ac:dyDescent="0.2">
      <c r="A31852" s="258"/>
      <c r="Z31852" s="258"/>
    </row>
    <row r="31853" spans="1:26" ht="12.75" customHeight="1" x14ac:dyDescent="0.2">
      <c r="A31853" s="258"/>
      <c r="Z31853" s="258"/>
    </row>
    <row r="31854" spans="1:26" ht="12.75" customHeight="1" x14ac:dyDescent="0.2">
      <c r="A31854" s="258"/>
      <c r="Z31854" s="258"/>
    </row>
    <row r="31855" spans="1:26" ht="12.75" customHeight="1" x14ac:dyDescent="0.2">
      <c r="A31855" s="258"/>
      <c r="Z31855" s="258"/>
    </row>
    <row r="31856" spans="1:26" ht="12.75" customHeight="1" x14ac:dyDescent="0.2">
      <c r="A31856" s="258"/>
      <c r="Z31856" s="258"/>
    </row>
    <row r="31857" spans="1:26" ht="12.75" customHeight="1" x14ac:dyDescent="0.2">
      <c r="A31857" s="258"/>
      <c r="Z31857" s="258"/>
    </row>
    <row r="31858" spans="1:26" ht="12.75" customHeight="1" x14ac:dyDescent="0.2">
      <c r="A31858" s="258"/>
      <c r="Z31858" s="258"/>
    </row>
    <row r="31859" spans="1:26" ht="12.75" customHeight="1" x14ac:dyDescent="0.2">
      <c r="A31859" s="258"/>
      <c r="Z31859" s="258"/>
    </row>
    <row r="31860" spans="1:26" ht="12.75" customHeight="1" x14ac:dyDescent="0.2">
      <c r="A31860" s="258"/>
      <c r="Z31860" s="258"/>
    </row>
    <row r="31861" spans="1:26" ht="12.75" customHeight="1" x14ac:dyDescent="0.2">
      <c r="A31861" s="258"/>
      <c r="Z31861" s="258"/>
    </row>
    <row r="31862" spans="1:26" ht="12.75" customHeight="1" x14ac:dyDescent="0.2">
      <c r="A31862" s="258"/>
      <c r="Z31862" s="258"/>
    </row>
    <row r="31863" spans="1:26" ht="12.75" customHeight="1" x14ac:dyDescent="0.2">
      <c r="A31863" s="258"/>
      <c r="Z31863" s="258"/>
    </row>
    <row r="31864" spans="1:26" ht="12.75" customHeight="1" x14ac:dyDescent="0.2">
      <c r="A31864" s="258"/>
      <c r="Z31864" s="258"/>
    </row>
    <row r="31865" spans="1:26" ht="12.75" customHeight="1" x14ac:dyDescent="0.2">
      <c r="A31865" s="258"/>
      <c r="Z31865" s="258"/>
    </row>
    <row r="31866" spans="1:26" ht="12.75" customHeight="1" x14ac:dyDescent="0.2">
      <c r="A31866" s="258"/>
      <c r="Z31866" s="258"/>
    </row>
    <row r="31867" spans="1:26" ht="12.75" customHeight="1" x14ac:dyDescent="0.2">
      <c r="A31867" s="258"/>
      <c r="Z31867" s="258"/>
    </row>
    <row r="31868" spans="1:26" ht="12.75" customHeight="1" x14ac:dyDescent="0.2">
      <c r="A31868" s="258"/>
      <c r="Z31868" s="258"/>
    </row>
    <row r="31869" spans="1:26" ht="12.75" customHeight="1" x14ac:dyDescent="0.2">
      <c r="A31869" s="258"/>
      <c r="Z31869" s="258"/>
    </row>
    <row r="31870" spans="1:26" ht="12.75" customHeight="1" x14ac:dyDescent="0.2">
      <c r="A31870" s="258"/>
      <c r="Z31870" s="258"/>
    </row>
    <row r="31871" spans="1:26" ht="12.75" customHeight="1" x14ac:dyDescent="0.2">
      <c r="A31871" s="258"/>
      <c r="Z31871" s="258"/>
    </row>
    <row r="31872" spans="1:26" ht="12.75" customHeight="1" x14ac:dyDescent="0.2">
      <c r="A31872" s="258"/>
      <c r="Z31872" s="258"/>
    </row>
    <row r="31873" spans="1:26" ht="12.75" customHeight="1" x14ac:dyDescent="0.2">
      <c r="A31873" s="258"/>
      <c r="Z31873" s="258"/>
    </row>
    <row r="31874" spans="1:26" ht="12.75" customHeight="1" x14ac:dyDescent="0.2">
      <c r="A31874" s="258"/>
      <c r="Z31874" s="258"/>
    </row>
    <row r="31875" spans="1:26" ht="12.75" customHeight="1" x14ac:dyDescent="0.2">
      <c r="A31875" s="258"/>
      <c r="Z31875" s="258"/>
    </row>
    <row r="31876" spans="1:26" ht="12.75" customHeight="1" x14ac:dyDescent="0.2">
      <c r="A31876" s="258"/>
      <c r="Z31876" s="258"/>
    </row>
    <row r="31877" spans="1:26" ht="12.75" customHeight="1" x14ac:dyDescent="0.2">
      <c r="A31877" s="258"/>
      <c r="Z31877" s="258"/>
    </row>
    <row r="31878" spans="1:26" ht="12.75" customHeight="1" x14ac:dyDescent="0.2">
      <c r="A31878" s="258"/>
      <c r="Z31878" s="258"/>
    </row>
    <row r="31879" spans="1:26" ht="12.75" customHeight="1" x14ac:dyDescent="0.2">
      <c r="A31879" s="258"/>
      <c r="Z31879" s="258"/>
    </row>
    <row r="31880" spans="1:26" ht="12.75" customHeight="1" x14ac:dyDescent="0.2">
      <c r="A31880" s="258"/>
      <c r="Z31880" s="258"/>
    </row>
    <row r="31881" spans="1:26" ht="12.75" customHeight="1" x14ac:dyDescent="0.2">
      <c r="A31881" s="258"/>
      <c r="Z31881" s="258"/>
    </row>
    <row r="31882" spans="1:26" ht="12.75" customHeight="1" x14ac:dyDescent="0.2">
      <c r="A31882" s="258"/>
      <c r="Z31882" s="258"/>
    </row>
    <row r="31883" spans="1:26" ht="12.75" customHeight="1" x14ac:dyDescent="0.2">
      <c r="A31883" s="258"/>
      <c r="Z31883" s="258"/>
    </row>
    <row r="31884" spans="1:26" ht="12.75" customHeight="1" x14ac:dyDescent="0.2">
      <c r="A31884" s="258"/>
      <c r="Z31884" s="258"/>
    </row>
    <row r="31885" spans="1:26" ht="12.75" customHeight="1" x14ac:dyDescent="0.2">
      <c r="A31885" s="258"/>
      <c r="Z31885" s="258"/>
    </row>
    <row r="31886" spans="1:26" ht="12.75" customHeight="1" x14ac:dyDescent="0.2">
      <c r="A31886" s="258"/>
      <c r="Z31886" s="258"/>
    </row>
    <row r="31887" spans="1:26" ht="12.75" customHeight="1" x14ac:dyDescent="0.2">
      <c r="A31887" s="258"/>
      <c r="Z31887" s="258"/>
    </row>
    <row r="31888" spans="1:26" ht="12.75" customHeight="1" x14ac:dyDescent="0.2">
      <c r="A31888" s="258"/>
      <c r="Z31888" s="258"/>
    </row>
    <row r="31889" spans="1:26" ht="12.75" customHeight="1" x14ac:dyDescent="0.2">
      <c r="A31889" s="258"/>
      <c r="Z31889" s="258"/>
    </row>
    <row r="31890" spans="1:26" ht="12.75" customHeight="1" x14ac:dyDescent="0.2">
      <c r="A31890" s="258"/>
      <c r="Z31890" s="258"/>
    </row>
    <row r="31891" spans="1:26" ht="12.75" customHeight="1" x14ac:dyDescent="0.2">
      <c r="A31891" s="258"/>
      <c r="Z31891" s="258"/>
    </row>
    <row r="31892" spans="1:26" ht="12.75" customHeight="1" x14ac:dyDescent="0.2">
      <c r="A31892" s="258"/>
      <c r="Z31892" s="258"/>
    </row>
    <row r="31893" spans="1:26" ht="12.75" customHeight="1" x14ac:dyDescent="0.2">
      <c r="A31893" s="258"/>
      <c r="Z31893" s="258"/>
    </row>
    <row r="31894" spans="1:26" ht="12.75" customHeight="1" x14ac:dyDescent="0.2">
      <c r="A31894" s="258"/>
      <c r="Z31894" s="258"/>
    </row>
    <row r="31895" spans="1:26" ht="12.75" customHeight="1" x14ac:dyDescent="0.2">
      <c r="A31895" s="258"/>
      <c r="Z31895" s="258"/>
    </row>
    <row r="31896" spans="1:26" ht="12.75" customHeight="1" x14ac:dyDescent="0.2">
      <c r="A31896" s="258"/>
      <c r="Z31896" s="258"/>
    </row>
    <row r="31897" spans="1:26" ht="12.75" customHeight="1" x14ac:dyDescent="0.2">
      <c r="A31897" s="258"/>
      <c r="Z31897" s="258"/>
    </row>
    <row r="31898" spans="1:26" ht="12.75" customHeight="1" x14ac:dyDescent="0.2">
      <c r="A31898" s="258"/>
      <c r="Z31898" s="258"/>
    </row>
    <row r="31899" spans="1:26" ht="12.75" customHeight="1" x14ac:dyDescent="0.2">
      <c r="A31899" s="258"/>
      <c r="Z31899" s="258"/>
    </row>
    <row r="31900" spans="1:26" ht="12.75" customHeight="1" x14ac:dyDescent="0.2">
      <c r="A31900" s="258"/>
      <c r="Z31900" s="258"/>
    </row>
    <row r="31901" spans="1:26" ht="12.75" customHeight="1" x14ac:dyDescent="0.2">
      <c r="A31901" s="258"/>
      <c r="Z31901" s="258"/>
    </row>
    <row r="31902" spans="1:26" ht="12.75" customHeight="1" x14ac:dyDescent="0.2">
      <c r="A31902" s="258"/>
      <c r="Z31902" s="258"/>
    </row>
    <row r="31903" spans="1:26" ht="12.75" customHeight="1" x14ac:dyDescent="0.2">
      <c r="A31903" s="258"/>
      <c r="Z31903" s="258"/>
    </row>
    <row r="31904" spans="1:26" ht="12.75" customHeight="1" x14ac:dyDescent="0.2">
      <c r="A31904" s="258"/>
      <c r="Z31904" s="258"/>
    </row>
    <row r="31905" spans="1:26" ht="12.75" customHeight="1" x14ac:dyDescent="0.2">
      <c r="A31905" s="258"/>
      <c r="Z31905" s="258"/>
    </row>
    <row r="31906" spans="1:26" ht="12.75" customHeight="1" x14ac:dyDescent="0.2">
      <c r="A31906" s="258"/>
      <c r="Z31906" s="258"/>
    </row>
    <row r="31907" spans="1:26" ht="12.75" customHeight="1" x14ac:dyDescent="0.2">
      <c r="A31907" s="258"/>
      <c r="Z31907" s="258"/>
    </row>
    <row r="31908" spans="1:26" ht="12.75" customHeight="1" x14ac:dyDescent="0.2">
      <c r="A31908" s="258"/>
      <c r="Z31908" s="258"/>
    </row>
    <row r="31909" spans="1:26" ht="12.75" customHeight="1" x14ac:dyDescent="0.2">
      <c r="A31909" s="258"/>
      <c r="Z31909" s="258"/>
    </row>
    <row r="31910" spans="1:26" ht="12.75" customHeight="1" x14ac:dyDescent="0.2">
      <c r="A31910" s="258"/>
      <c r="Z31910" s="258"/>
    </row>
    <row r="31911" spans="1:26" ht="12.75" customHeight="1" x14ac:dyDescent="0.2">
      <c r="A31911" s="258"/>
      <c r="Z31911" s="258"/>
    </row>
    <row r="31912" spans="1:26" ht="12.75" customHeight="1" x14ac:dyDescent="0.2">
      <c r="A31912" s="258"/>
      <c r="Z31912" s="258"/>
    </row>
    <row r="31913" spans="1:26" ht="12.75" customHeight="1" x14ac:dyDescent="0.2">
      <c r="A31913" s="258"/>
      <c r="Z31913" s="258"/>
    </row>
    <row r="31914" spans="1:26" ht="12.75" customHeight="1" x14ac:dyDescent="0.2">
      <c r="A31914" s="258"/>
      <c r="Z31914" s="258"/>
    </row>
    <row r="31915" spans="1:26" ht="12.75" customHeight="1" x14ac:dyDescent="0.2">
      <c r="A31915" s="258"/>
      <c r="Z31915" s="258"/>
    </row>
    <row r="31916" spans="1:26" ht="12.75" customHeight="1" x14ac:dyDescent="0.2">
      <c r="A31916" s="258"/>
      <c r="Z31916" s="258"/>
    </row>
    <row r="31917" spans="1:26" ht="12.75" customHeight="1" x14ac:dyDescent="0.2">
      <c r="A31917" s="258"/>
      <c r="Z31917" s="258"/>
    </row>
    <row r="31918" spans="1:26" ht="12.75" customHeight="1" x14ac:dyDescent="0.2">
      <c r="A31918" s="258"/>
      <c r="Z31918" s="258"/>
    </row>
    <row r="31919" spans="1:26" ht="12.75" customHeight="1" x14ac:dyDescent="0.2">
      <c r="A31919" s="258"/>
      <c r="Z31919" s="258"/>
    </row>
    <row r="31920" spans="1:26" ht="12.75" customHeight="1" x14ac:dyDescent="0.2">
      <c r="A31920" s="258"/>
      <c r="Z31920" s="258"/>
    </row>
    <row r="31921" spans="1:26" ht="12.75" customHeight="1" x14ac:dyDescent="0.2">
      <c r="A31921" s="258"/>
      <c r="Z31921" s="258"/>
    </row>
    <row r="31922" spans="1:26" ht="12.75" customHeight="1" x14ac:dyDescent="0.2">
      <c r="A31922" s="258"/>
      <c r="Z31922" s="258"/>
    </row>
    <row r="31923" spans="1:26" ht="12.75" customHeight="1" x14ac:dyDescent="0.2">
      <c r="A31923" s="258"/>
      <c r="Z31923" s="258"/>
    </row>
    <row r="31924" spans="1:26" ht="12.75" customHeight="1" x14ac:dyDescent="0.2">
      <c r="A31924" s="258"/>
      <c r="Z31924" s="258"/>
    </row>
    <row r="31925" spans="1:26" ht="12.75" customHeight="1" x14ac:dyDescent="0.2">
      <c r="A31925" s="258"/>
      <c r="Z31925" s="258"/>
    </row>
    <row r="31926" spans="1:26" ht="12.75" customHeight="1" x14ac:dyDescent="0.2">
      <c r="A31926" s="258"/>
      <c r="Z31926" s="258"/>
    </row>
    <row r="31927" spans="1:26" ht="12.75" customHeight="1" x14ac:dyDescent="0.2">
      <c r="A31927" s="258"/>
      <c r="Z31927" s="258"/>
    </row>
    <row r="31928" spans="1:26" ht="12.75" customHeight="1" x14ac:dyDescent="0.2">
      <c r="A31928" s="258"/>
      <c r="Z31928" s="258"/>
    </row>
    <row r="31929" spans="1:26" ht="12.75" customHeight="1" x14ac:dyDescent="0.2">
      <c r="A31929" s="258"/>
      <c r="Z31929" s="258"/>
    </row>
    <row r="31930" spans="1:26" ht="12.75" customHeight="1" x14ac:dyDescent="0.2">
      <c r="A31930" s="258"/>
      <c r="Z31930" s="258"/>
    </row>
    <row r="31931" spans="1:26" ht="12.75" customHeight="1" x14ac:dyDescent="0.2">
      <c r="A31931" s="258"/>
      <c r="Z31931" s="258"/>
    </row>
    <row r="31932" spans="1:26" ht="12.75" customHeight="1" x14ac:dyDescent="0.2">
      <c r="A31932" s="258"/>
      <c r="Z31932" s="258"/>
    </row>
    <row r="31933" spans="1:26" ht="12.75" customHeight="1" x14ac:dyDescent="0.2">
      <c r="A31933" s="258"/>
      <c r="Z31933" s="258"/>
    </row>
    <row r="31934" spans="1:26" ht="12.75" customHeight="1" x14ac:dyDescent="0.2">
      <c r="A31934" s="258"/>
      <c r="Z31934" s="258"/>
    </row>
    <row r="31935" spans="1:26" ht="12.75" customHeight="1" x14ac:dyDescent="0.2">
      <c r="A31935" s="258"/>
      <c r="Z31935" s="258"/>
    </row>
    <row r="31936" spans="1:26" ht="12.75" customHeight="1" x14ac:dyDescent="0.2">
      <c r="A31936" s="258"/>
      <c r="Z31936" s="258"/>
    </row>
    <row r="31937" spans="1:26" ht="12.75" customHeight="1" x14ac:dyDescent="0.2">
      <c r="A31937" s="258"/>
      <c r="Z31937" s="258"/>
    </row>
    <row r="31938" spans="1:26" ht="12.75" customHeight="1" x14ac:dyDescent="0.2">
      <c r="A31938" s="258"/>
      <c r="Z31938" s="258"/>
    </row>
    <row r="31939" spans="1:26" ht="12.75" customHeight="1" x14ac:dyDescent="0.2">
      <c r="A31939" s="258"/>
      <c r="Z31939" s="258"/>
    </row>
    <row r="31940" spans="1:26" ht="12.75" customHeight="1" x14ac:dyDescent="0.2">
      <c r="A31940" s="258"/>
      <c r="Z31940" s="258"/>
    </row>
    <row r="31941" spans="1:26" ht="12.75" customHeight="1" x14ac:dyDescent="0.2">
      <c r="A31941" s="258"/>
      <c r="Z31941" s="258"/>
    </row>
    <row r="31942" spans="1:26" ht="12.75" customHeight="1" x14ac:dyDescent="0.2">
      <c r="A31942" s="258"/>
      <c r="Z31942" s="258"/>
    </row>
    <row r="31943" spans="1:26" ht="12.75" customHeight="1" x14ac:dyDescent="0.2">
      <c r="A31943" s="258"/>
      <c r="Z31943" s="258"/>
    </row>
    <row r="31944" spans="1:26" ht="12.75" customHeight="1" x14ac:dyDescent="0.2">
      <c r="A31944" s="258"/>
      <c r="Z31944" s="258"/>
    </row>
    <row r="31945" spans="1:26" ht="12.75" customHeight="1" x14ac:dyDescent="0.2">
      <c r="A31945" s="258"/>
      <c r="Z31945" s="258"/>
    </row>
    <row r="31946" spans="1:26" ht="12.75" customHeight="1" x14ac:dyDescent="0.2">
      <c r="A31946" s="258"/>
      <c r="Z31946" s="258"/>
    </row>
    <row r="31947" spans="1:26" ht="12.75" customHeight="1" x14ac:dyDescent="0.2">
      <c r="A31947" s="258"/>
      <c r="Z31947" s="258"/>
    </row>
    <row r="31948" spans="1:26" ht="12.75" customHeight="1" x14ac:dyDescent="0.2">
      <c r="A31948" s="258"/>
      <c r="Z31948" s="258"/>
    </row>
    <row r="31949" spans="1:26" ht="12.75" customHeight="1" x14ac:dyDescent="0.2">
      <c r="A31949" s="258"/>
      <c r="Z31949" s="258"/>
    </row>
    <row r="31950" spans="1:26" ht="12.75" customHeight="1" x14ac:dyDescent="0.2">
      <c r="A31950" s="258"/>
      <c r="Z31950" s="258"/>
    </row>
    <row r="31951" spans="1:26" ht="12.75" customHeight="1" x14ac:dyDescent="0.2">
      <c r="A31951" s="258"/>
      <c r="Z31951" s="258"/>
    </row>
    <row r="31952" spans="1:26" ht="12.75" customHeight="1" x14ac:dyDescent="0.2">
      <c r="A31952" s="258"/>
      <c r="Z31952" s="258"/>
    </row>
    <row r="31953" spans="1:26" ht="12.75" customHeight="1" x14ac:dyDescent="0.2">
      <c r="A31953" s="258"/>
      <c r="Z31953" s="258"/>
    </row>
    <row r="31954" spans="1:26" ht="12.75" customHeight="1" x14ac:dyDescent="0.2">
      <c r="A31954" s="258"/>
      <c r="Z31954" s="258"/>
    </row>
    <row r="31955" spans="1:26" ht="12.75" customHeight="1" x14ac:dyDescent="0.2">
      <c r="A31955" s="258"/>
      <c r="Z31955" s="258"/>
    </row>
    <row r="31956" spans="1:26" ht="12.75" customHeight="1" x14ac:dyDescent="0.2">
      <c r="A31956" s="258"/>
      <c r="Z31956" s="258"/>
    </row>
    <row r="31957" spans="1:26" ht="12.75" customHeight="1" x14ac:dyDescent="0.2">
      <c r="A31957" s="258"/>
      <c r="Z31957" s="258"/>
    </row>
    <row r="31958" spans="1:26" ht="12.75" customHeight="1" x14ac:dyDescent="0.2">
      <c r="A31958" s="258"/>
      <c r="Z31958" s="258"/>
    </row>
    <row r="31959" spans="1:26" ht="12.75" customHeight="1" x14ac:dyDescent="0.2">
      <c r="A31959" s="258"/>
      <c r="Z31959" s="258"/>
    </row>
    <row r="31960" spans="1:26" ht="12.75" customHeight="1" x14ac:dyDescent="0.2">
      <c r="A31960" s="258"/>
      <c r="Z31960" s="258"/>
    </row>
    <row r="31961" spans="1:26" ht="12.75" customHeight="1" x14ac:dyDescent="0.2">
      <c r="A31961" s="258"/>
      <c r="Z31961" s="258"/>
    </row>
    <row r="31962" spans="1:26" ht="12.75" customHeight="1" x14ac:dyDescent="0.2">
      <c r="A31962" s="258"/>
      <c r="Z31962" s="258"/>
    </row>
    <row r="31963" spans="1:26" ht="12.75" customHeight="1" x14ac:dyDescent="0.2">
      <c r="A31963" s="258"/>
      <c r="Z31963" s="258"/>
    </row>
    <row r="31964" spans="1:26" ht="12.75" customHeight="1" x14ac:dyDescent="0.2">
      <c r="A31964" s="258"/>
      <c r="Z31964" s="258"/>
    </row>
    <row r="31965" spans="1:26" ht="12.75" customHeight="1" x14ac:dyDescent="0.2">
      <c r="A31965" s="258"/>
      <c r="Z31965" s="258"/>
    </row>
    <row r="31966" spans="1:26" ht="12.75" customHeight="1" x14ac:dyDescent="0.2">
      <c r="A31966" s="258"/>
      <c r="Z31966" s="258"/>
    </row>
    <row r="31967" spans="1:26" ht="12.75" customHeight="1" x14ac:dyDescent="0.2">
      <c r="A31967" s="258"/>
      <c r="Z31967" s="258"/>
    </row>
    <row r="31968" spans="1:26" ht="12.75" customHeight="1" x14ac:dyDescent="0.2">
      <c r="A31968" s="258"/>
      <c r="Z31968" s="258"/>
    </row>
    <row r="31969" spans="1:26" ht="12.75" customHeight="1" x14ac:dyDescent="0.2">
      <c r="A31969" s="258"/>
      <c r="Z31969" s="258"/>
    </row>
    <row r="31970" spans="1:26" ht="12.75" customHeight="1" x14ac:dyDescent="0.2">
      <c r="A31970" s="258"/>
      <c r="Z31970" s="258"/>
    </row>
    <row r="31971" spans="1:26" ht="12.75" customHeight="1" x14ac:dyDescent="0.2">
      <c r="A31971" s="258"/>
      <c r="Z31971" s="258"/>
    </row>
    <row r="31972" spans="1:26" ht="12.75" customHeight="1" x14ac:dyDescent="0.2">
      <c r="A31972" s="258"/>
      <c r="Z31972" s="258"/>
    </row>
    <row r="31973" spans="1:26" ht="12.75" customHeight="1" x14ac:dyDescent="0.2">
      <c r="A31973" s="258"/>
      <c r="Z31973" s="258"/>
    </row>
    <row r="31974" spans="1:26" ht="12.75" customHeight="1" x14ac:dyDescent="0.2">
      <c r="A31974" s="258"/>
      <c r="Z31974" s="258"/>
    </row>
    <row r="31975" spans="1:26" ht="12.75" customHeight="1" x14ac:dyDescent="0.2">
      <c r="A31975" s="258"/>
      <c r="Z31975" s="258"/>
    </row>
    <row r="31976" spans="1:26" ht="12.75" customHeight="1" x14ac:dyDescent="0.2">
      <c r="A31976" s="258"/>
      <c r="Z31976" s="258"/>
    </row>
    <row r="31977" spans="1:26" ht="12.75" customHeight="1" x14ac:dyDescent="0.2">
      <c r="A31977" s="258"/>
      <c r="Z31977" s="258"/>
    </row>
    <row r="31978" spans="1:26" ht="12.75" customHeight="1" x14ac:dyDescent="0.2">
      <c r="A31978" s="258"/>
      <c r="Z31978" s="258"/>
    </row>
    <row r="31979" spans="1:26" ht="12.75" customHeight="1" x14ac:dyDescent="0.2">
      <c r="A31979" s="258"/>
      <c r="Z31979" s="258"/>
    </row>
    <row r="31980" spans="1:26" ht="12.75" customHeight="1" x14ac:dyDescent="0.2">
      <c r="A31980" s="258"/>
      <c r="Z31980" s="258"/>
    </row>
    <row r="31981" spans="1:26" ht="12.75" customHeight="1" x14ac:dyDescent="0.2">
      <c r="A31981" s="258"/>
      <c r="Z31981" s="258"/>
    </row>
    <row r="31982" spans="1:26" ht="12.75" customHeight="1" x14ac:dyDescent="0.2">
      <c r="A31982" s="258"/>
      <c r="Z31982" s="258"/>
    </row>
    <row r="31983" spans="1:26" ht="12.75" customHeight="1" x14ac:dyDescent="0.2">
      <c r="A31983" s="258"/>
      <c r="Z31983" s="258"/>
    </row>
    <row r="31984" spans="1:26" ht="12.75" customHeight="1" x14ac:dyDescent="0.2">
      <c r="A31984" s="258"/>
      <c r="Z31984" s="258"/>
    </row>
    <row r="31985" spans="1:26" ht="12.75" customHeight="1" x14ac:dyDescent="0.2">
      <c r="A31985" s="258"/>
      <c r="Z31985" s="258"/>
    </row>
    <row r="31986" spans="1:26" ht="12.75" customHeight="1" x14ac:dyDescent="0.2">
      <c r="A31986" s="258"/>
      <c r="Z31986" s="258"/>
    </row>
    <row r="31987" spans="1:26" ht="12.75" customHeight="1" x14ac:dyDescent="0.2">
      <c r="A31987" s="258"/>
      <c r="Z31987" s="258"/>
    </row>
    <row r="31988" spans="1:26" ht="12.75" customHeight="1" x14ac:dyDescent="0.2">
      <c r="A31988" s="258"/>
      <c r="Z31988" s="258"/>
    </row>
    <row r="31989" spans="1:26" ht="12.75" customHeight="1" x14ac:dyDescent="0.2">
      <c r="A31989" s="258"/>
      <c r="Z31989" s="258"/>
    </row>
    <row r="31990" spans="1:26" ht="12.75" customHeight="1" x14ac:dyDescent="0.2">
      <c r="A31990" s="258"/>
      <c r="Z31990" s="258"/>
    </row>
    <row r="31991" spans="1:26" ht="12.75" customHeight="1" x14ac:dyDescent="0.2">
      <c r="A31991" s="258"/>
      <c r="Z31991" s="258"/>
    </row>
    <row r="31992" spans="1:26" ht="12.75" customHeight="1" x14ac:dyDescent="0.2">
      <c r="A31992" s="258"/>
      <c r="Z31992" s="258"/>
    </row>
    <row r="31993" spans="1:26" ht="12.75" customHeight="1" x14ac:dyDescent="0.2">
      <c r="A31993" s="258"/>
      <c r="Z31993" s="258"/>
    </row>
    <row r="31994" spans="1:26" ht="12.75" customHeight="1" x14ac:dyDescent="0.2">
      <c r="A31994" s="258"/>
      <c r="Z31994" s="258"/>
    </row>
    <row r="31995" spans="1:26" ht="12.75" customHeight="1" x14ac:dyDescent="0.2">
      <c r="A31995" s="258"/>
      <c r="Z31995" s="258"/>
    </row>
    <row r="31996" spans="1:26" ht="12.75" customHeight="1" x14ac:dyDescent="0.2">
      <c r="A31996" s="258"/>
      <c r="Z31996" s="258"/>
    </row>
    <row r="31997" spans="1:26" ht="12.75" customHeight="1" x14ac:dyDescent="0.2">
      <c r="A31997" s="258"/>
      <c r="Z31997" s="258"/>
    </row>
    <row r="31998" spans="1:26" ht="12.75" customHeight="1" x14ac:dyDescent="0.2">
      <c r="A31998" s="258"/>
      <c r="Z31998" s="258"/>
    </row>
    <row r="31999" spans="1:26" ht="12.75" customHeight="1" x14ac:dyDescent="0.2">
      <c r="A31999" s="258"/>
      <c r="Z31999" s="258"/>
    </row>
    <row r="32000" spans="1:26" ht="12.75" customHeight="1" x14ac:dyDescent="0.2">
      <c r="A32000" s="258"/>
      <c r="Z32000" s="258"/>
    </row>
    <row r="32001" spans="1:26" ht="12.75" customHeight="1" x14ac:dyDescent="0.2">
      <c r="A32001" s="258"/>
      <c r="Z32001" s="258"/>
    </row>
    <row r="32002" spans="1:26" ht="12.75" customHeight="1" x14ac:dyDescent="0.2">
      <c r="A32002" s="258"/>
      <c r="Z32002" s="258"/>
    </row>
    <row r="32003" spans="1:26" ht="12.75" customHeight="1" x14ac:dyDescent="0.2">
      <c r="A32003" s="258"/>
      <c r="Z32003" s="258"/>
    </row>
    <row r="32004" spans="1:26" ht="12.75" customHeight="1" x14ac:dyDescent="0.2">
      <c r="A32004" s="258"/>
      <c r="Z32004" s="258"/>
    </row>
    <row r="32005" spans="1:26" ht="12.75" customHeight="1" x14ac:dyDescent="0.2">
      <c r="A32005" s="258"/>
      <c r="Z32005" s="258"/>
    </row>
    <row r="32006" spans="1:26" ht="12.75" customHeight="1" x14ac:dyDescent="0.2">
      <c r="A32006" s="258"/>
      <c r="Z32006" s="258"/>
    </row>
    <row r="32007" spans="1:26" ht="12.75" customHeight="1" x14ac:dyDescent="0.2">
      <c r="A32007" s="258"/>
      <c r="Z32007" s="258"/>
    </row>
    <row r="32008" spans="1:26" ht="12.75" customHeight="1" x14ac:dyDescent="0.2">
      <c r="A32008" s="258"/>
      <c r="Z32008" s="258"/>
    </row>
    <row r="32009" spans="1:26" ht="12.75" customHeight="1" x14ac:dyDescent="0.2">
      <c r="A32009" s="258"/>
      <c r="Z32009" s="258"/>
    </row>
    <row r="32010" spans="1:26" ht="12.75" customHeight="1" x14ac:dyDescent="0.2">
      <c r="A32010" s="258"/>
      <c r="Z32010" s="258"/>
    </row>
    <row r="32011" spans="1:26" ht="12.75" customHeight="1" x14ac:dyDescent="0.2">
      <c r="A32011" s="258"/>
      <c r="Z32011" s="258"/>
    </row>
    <row r="32012" spans="1:26" ht="12.75" customHeight="1" x14ac:dyDescent="0.2">
      <c r="A32012" s="258"/>
      <c r="Z32012" s="258"/>
    </row>
    <row r="32013" spans="1:26" ht="12.75" customHeight="1" x14ac:dyDescent="0.2">
      <c r="A32013" s="258"/>
      <c r="Z32013" s="258"/>
    </row>
    <row r="32014" spans="1:26" ht="12.75" customHeight="1" x14ac:dyDescent="0.2">
      <c r="A32014" s="258"/>
      <c r="Z32014" s="258"/>
    </row>
    <row r="32015" spans="1:26" ht="12.75" customHeight="1" x14ac:dyDescent="0.2">
      <c r="A32015" s="258"/>
      <c r="Z32015" s="258"/>
    </row>
    <row r="32016" spans="1:26" ht="12.75" customHeight="1" x14ac:dyDescent="0.2">
      <c r="A32016" s="258"/>
      <c r="Z32016" s="258"/>
    </row>
    <row r="32017" spans="1:26" ht="12.75" customHeight="1" x14ac:dyDescent="0.2">
      <c r="A32017" s="258"/>
      <c r="Z32017" s="258"/>
    </row>
    <row r="32018" spans="1:26" ht="12.75" customHeight="1" x14ac:dyDescent="0.2">
      <c r="A32018" s="258"/>
      <c r="Z32018" s="258"/>
    </row>
    <row r="32019" spans="1:26" ht="12.75" customHeight="1" x14ac:dyDescent="0.2">
      <c r="A32019" s="258"/>
      <c r="Z32019" s="258"/>
    </row>
    <row r="32020" spans="1:26" ht="12.75" customHeight="1" x14ac:dyDescent="0.2">
      <c r="A32020" s="258"/>
      <c r="Z32020" s="258"/>
    </row>
    <row r="32021" spans="1:26" ht="12.75" customHeight="1" x14ac:dyDescent="0.2">
      <c r="A32021" s="258"/>
      <c r="Z32021" s="258"/>
    </row>
    <row r="32022" spans="1:26" ht="12.75" customHeight="1" x14ac:dyDescent="0.2">
      <c r="A32022" s="258"/>
      <c r="Z32022" s="258"/>
    </row>
    <row r="32023" spans="1:26" ht="12.75" customHeight="1" x14ac:dyDescent="0.2">
      <c r="A32023" s="258"/>
      <c r="Z32023" s="258"/>
    </row>
    <row r="32024" spans="1:26" ht="12.75" customHeight="1" x14ac:dyDescent="0.2">
      <c r="A32024" s="258"/>
      <c r="Z32024" s="258"/>
    </row>
    <row r="32025" spans="1:26" ht="12.75" customHeight="1" x14ac:dyDescent="0.2">
      <c r="A32025" s="258"/>
      <c r="Z32025" s="258"/>
    </row>
    <row r="32026" spans="1:26" ht="12.75" customHeight="1" x14ac:dyDescent="0.2">
      <c r="A32026" s="258"/>
      <c r="Z32026" s="258"/>
    </row>
    <row r="32027" spans="1:26" ht="12.75" customHeight="1" x14ac:dyDescent="0.2">
      <c r="A32027" s="258"/>
      <c r="Z32027" s="258"/>
    </row>
    <row r="32028" spans="1:26" ht="12.75" customHeight="1" x14ac:dyDescent="0.2">
      <c r="A32028" s="258"/>
      <c r="Z32028" s="258"/>
    </row>
    <row r="32029" spans="1:26" ht="12.75" customHeight="1" x14ac:dyDescent="0.2">
      <c r="A32029" s="258"/>
      <c r="Z32029" s="258"/>
    </row>
    <row r="32030" spans="1:26" ht="12.75" customHeight="1" x14ac:dyDescent="0.2">
      <c r="A32030" s="258"/>
      <c r="Z32030" s="258"/>
    </row>
    <row r="32031" spans="1:26" ht="12.75" customHeight="1" x14ac:dyDescent="0.2">
      <c r="A32031" s="258"/>
      <c r="Z32031" s="258"/>
    </row>
    <row r="32032" spans="1:26" ht="12.75" customHeight="1" x14ac:dyDescent="0.2">
      <c r="A32032" s="258"/>
      <c r="Z32032" s="258"/>
    </row>
    <row r="32033" spans="1:26" ht="12.75" customHeight="1" x14ac:dyDescent="0.2">
      <c r="A32033" s="258"/>
      <c r="Z32033" s="258"/>
    </row>
    <row r="32034" spans="1:26" ht="12.75" customHeight="1" x14ac:dyDescent="0.2">
      <c r="A32034" s="258"/>
      <c r="Z32034" s="258"/>
    </row>
    <row r="32035" spans="1:26" ht="12.75" customHeight="1" x14ac:dyDescent="0.2">
      <c r="A32035" s="258"/>
      <c r="Z32035" s="258"/>
    </row>
    <row r="32036" spans="1:26" ht="12.75" customHeight="1" x14ac:dyDescent="0.2">
      <c r="A32036" s="258"/>
      <c r="Z32036" s="258"/>
    </row>
    <row r="32037" spans="1:26" ht="12.75" customHeight="1" x14ac:dyDescent="0.2">
      <c r="A32037" s="258"/>
      <c r="Z32037" s="258"/>
    </row>
    <row r="32038" spans="1:26" ht="12.75" customHeight="1" x14ac:dyDescent="0.2">
      <c r="A32038" s="258"/>
      <c r="Z32038" s="258"/>
    </row>
    <row r="32039" spans="1:26" ht="12.75" customHeight="1" x14ac:dyDescent="0.2">
      <c r="A32039" s="258"/>
      <c r="Z32039" s="258"/>
    </row>
    <row r="32040" spans="1:26" ht="12.75" customHeight="1" x14ac:dyDescent="0.2">
      <c r="A32040" s="258"/>
      <c r="Z32040" s="258"/>
    </row>
    <row r="32041" spans="1:26" ht="12.75" customHeight="1" x14ac:dyDescent="0.2">
      <c r="A32041" s="258"/>
      <c r="Z32041" s="258"/>
    </row>
    <row r="32042" spans="1:26" ht="12.75" customHeight="1" x14ac:dyDescent="0.2">
      <c r="A32042" s="258"/>
      <c r="Z32042" s="258"/>
    </row>
    <row r="32043" spans="1:26" ht="12.75" customHeight="1" x14ac:dyDescent="0.2">
      <c r="A32043" s="258"/>
      <c r="Z32043" s="258"/>
    </row>
    <row r="32044" spans="1:26" ht="12.75" customHeight="1" x14ac:dyDescent="0.2">
      <c r="A32044" s="258"/>
      <c r="Z32044" s="258"/>
    </row>
    <row r="32045" spans="1:26" ht="12.75" customHeight="1" x14ac:dyDescent="0.2">
      <c r="A32045" s="258"/>
      <c r="Z32045" s="258"/>
    </row>
    <row r="32046" spans="1:26" ht="12.75" customHeight="1" x14ac:dyDescent="0.2">
      <c r="A32046" s="258"/>
      <c r="Z32046" s="258"/>
    </row>
    <row r="32047" spans="1:26" ht="12.75" customHeight="1" x14ac:dyDescent="0.2">
      <c r="A32047" s="258"/>
      <c r="Z32047" s="258"/>
    </row>
    <row r="32048" spans="1:26" ht="12.75" customHeight="1" x14ac:dyDescent="0.2">
      <c r="A32048" s="258"/>
      <c r="Z32048" s="258"/>
    </row>
    <row r="32049" spans="1:26" ht="12.75" customHeight="1" x14ac:dyDescent="0.2">
      <c r="A32049" s="258"/>
      <c r="Z32049" s="258"/>
    </row>
    <row r="32050" spans="1:26" ht="12.75" customHeight="1" x14ac:dyDescent="0.2">
      <c r="A32050" s="258"/>
      <c r="Z32050" s="258"/>
    </row>
    <row r="32051" spans="1:26" ht="12.75" customHeight="1" x14ac:dyDescent="0.2">
      <c r="A32051" s="258"/>
      <c r="Z32051" s="258"/>
    </row>
    <row r="32052" spans="1:26" ht="12.75" customHeight="1" x14ac:dyDescent="0.2">
      <c r="A32052" s="258"/>
      <c r="Z32052" s="258"/>
    </row>
    <row r="32053" spans="1:26" ht="12.75" customHeight="1" x14ac:dyDescent="0.2">
      <c r="A32053" s="258"/>
      <c r="Z32053" s="258"/>
    </row>
    <row r="32054" spans="1:26" ht="12.75" customHeight="1" x14ac:dyDescent="0.2">
      <c r="A32054" s="258"/>
      <c r="Z32054" s="258"/>
    </row>
    <row r="32055" spans="1:26" ht="12.75" customHeight="1" x14ac:dyDescent="0.2">
      <c r="A32055" s="258"/>
      <c r="Z32055" s="258"/>
    </row>
    <row r="32056" spans="1:26" ht="12.75" customHeight="1" x14ac:dyDescent="0.2">
      <c r="A32056" s="258"/>
      <c r="Z32056" s="258"/>
    </row>
    <row r="32057" spans="1:26" ht="12.75" customHeight="1" x14ac:dyDescent="0.2">
      <c r="A32057" s="258"/>
      <c r="Z32057" s="258"/>
    </row>
    <row r="32058" spans="1:26" ht="12.75" customHeight="1" x14ac:dyDescent="0.2">
      <c r="A32058" s="258"/>
      <c r="Z32058" s="258"/>
    </row>
    <row r="32059" spans="1:26" ht="12.75" customHeight="1" x14ac:dyDescent="0.2">
      <c r="A32059" s="258"/>
      <c r="Z32059" s="258"/>
    </row>
    <row r="32060" spans="1:26" ht="12.75" customHeight="1" x14ac:dyDescent="0.2">
      <c r="A32060" s="258"/>
      <c r="Z32060" s="258"/>
    </row>
    <row r="32061" spans="1:26" ht="12.75" customHeight="1" x14ac:dyDescent="0.2">
      <c r="A32061" s="258"/>
      <c r="Z32061" s="258"/>
    </row>
    <row r="32062" spans="1:26" ht="12.75" customHeight="1" x14ac:dyDescent="0.2">
      <c r="A32062" s="258"/>
      <c r="Z32062" s="258"/>
    </row>
    <row r="32063" spans="1:26" ht="12.75" customHeight="1" x14ac:dyDescent="0.2">
      <c r="A32063" s="258"/>
      <c r="Z32063" s="258"/>
    </row>
    <row r="32064" spans="1:26" ht="12.75" customHeight="1" x14ac:dyDescent="0.2">
      <c r="A32064" s="258"/>
      <c r="Z32064" s="258"/>
    </row>
    <row r="32065" spans="1:26" ht="12.75" customHeight="1" x14ac:dyDescent="0.2">
      <c r="A32065" s="258"/>
      <c r="Z32065" s="258"/>
    </row>
    <row r="32066" spans="1:26" ht="12.75" customHeight="1" x14ac:dyDescent="0.2">
      <c r="A32066" s="258"/>
      <c r="Z32066" s="258"/>
    </row>
    <row r="32067" spans="1:26" ht="12.75" customHeight="1" x14ac:dyDescent="0.2">
      <c r="A32067" s="258"/>
      <c r="Z32067" s="258"/>
    </row>
    <row r="32068" spans="1:26" ht="12.75" customHeight="1" x14ac:dyDescent="0.2">
      <c r="A32068" s="258"/>
      <c r="Z32068" s="258"/>
    </row>
    <row r="32069" spans="1:26" ht="12.75" customHeight="1" x14ac:dyDescent="0.2">
      <c r="A32069" s="258"/>
      <c r="Z32069" s="258"/>
    </row>
    <row r="32070" spans="1:26" ht="12.75" customHeight="1" x14ac:dyDescent="0.2">
      <c r="A32070" s="258"/>
      <c r="Z32070" s="258"/>
    </row>
    <row r="32071" spans="1:26" ht="12.75" customHeight="1" x14ac:dyDescent="0.2">
      <c r="A32071" s="258"/>
      <c r="Z32071" s="258"/>
    </row>
    <row r="32072" spans="1:26" ht="12.75" customHeight="1" x14ac:dyDescent="0.2">
      <c r="A32072" s="258"/>
      <c r="Z32072" s="258"/>
    </row>
    <row r="32073" spans="1:26" ht="12.75" customHeight="1" x14ac:dyDescent="0.2">
      <c r="A32073" s="258"/>
      <c r="Z32073" s="258"/>
    </row>
    <row r="32074" spans="1:26" ht="12.75" customHeight="1" x14ac:dyDescent="0.2">
      <c r="A32074" s="258"/>
      <c r="Z32074" s="258"/>
    </row>
    <row r="32075" spans="1:26" ht="12.75" customHeight="1" x14ac:dyDescent="0.2">
      <c r="A32075" s="258"/>
      <c r="Z32075" s="258"/>
    </row>
    <row r="32076" spans="1:26" ht="12.75" customHeight="1" x14ac:dyDescent="0.2">
      <c r="A32076" s="258"/>
      <c r="Z32076" s="258"/>
    </row>
    <row r="32077" spans="1:26" ht="12.75" customHeight="1" x14ac:dyDescent="0.2">
      <c r="A32077" s="258"/>
      <c r="Z32077" s="258"/>
    </row>
    <row r="32078" spans="1:26" ht="12.75" customHeight="1" x14ac:dyDescent="0.2">
      <c r="A32078" s="258"/>
      <c r="Z32078" s="258"/>
    </row>
    <row r="32079" spans="1:26" ht="12.75" customHeight="1" x14ac:dyDescent="0.2">
      <c r="A32079" s="258"/>
      <c r="Z32079" s="258"/>
    </row>
    <row r="32080" spans="1:26" ht="12.75" customHeight="1" x14ac:dyDescent="0.2">
      <c r="A32080" s="258"/>
      <c r="Z32080" s="258"/>
    </row>
    <row r="32081" spans="1:26" ht="12.75" customHeight="1" x14ac:dyDescent="0.2">
      <c r="A32081" s="258"/>
      <c r="Z32081" s="258"/>
    </row>
    <row r="32082" spans="1:26" ht="12.75" customHeight="1" x14ac:dyDescent="0.2">
      <c r="A32082" s="258"/>
      <c r="Z32082" s="258"/>
    </row>
    <row r="32083" spans="1:26" ht="12.75" customHeight="1" x14ac:dyDescent="0.2">
      <c r="A32083" s="258"/>
      <c r="Z32083" s="258"/>
    </row>
    <row r="32084" spans="1:26" ht="12.75" customHeight="1" x14ac:dyDescent="0.2">
      <c r="A32084" s="258"/>
      <c r="Z32084" s="258"/>
    </row>
    <row r="32085" spans="1:26" ht="12.75" customHeight="1" x14ac:dyDescent="0.2">
      <c r="A32085" s="258"/>
      <c r="Z32085" s="258"/>
    </row>
    <row r="32086" spans="1:26" ht="12.75" customHeight="1" x14ac:dyDescent="0.2">
      <c r="A32086" s="258"/>
      <c r="Z32086" s="258"/>
    </row>
    <row r="32087" spans="1:26" ht="12.75" customHeight="1" x14ac:dyDescent="0.2">
      <c r="A32087" s="258"/>
      <c r="Z32087" s="258"/>
    </row>
    <row r="32088" spans="1:26" ht="12.75" customHeight="1" x14ac:dyDescent="0.2">
      <c r="A32088" s="258"/>
      <c r="Z32088" s="258"/>
    </row>
    <row r="32089" spans="1:26" ht="12.75" customHeight="1" x14ac:dyDescent="0.2">
      <c r="A32089" s="258"/>
      <c r="Z32089" s="258"/>
    </row>
    <row r="32090" spans="1:26" ht="12.75" customHeight="1" x14ac:dyDescent="0.2">
      <c r="A32090" s="258"/>
      <c r="Z32090" s="258"/>
    </row>
    <row r="32091" spans="1:26" ht="12.75" customHeight="1" x14ac:dyDescent="0.2">
      <c r="A32091" s="258"/>
      <c r="Z32091" s="258"/>
    </row>
    <row r="32092" spans="1:26" ht="12.75" customHeight="1" x14ac:dyDescent="0.2">
      <c r="A32092" s="258"/>
      <c r="Z32092" s="258"/>
    </row>
    <row r="32093" spans="1:26" ht="12.75" customHeight="1" x14ac:dyDescent="0.2">
      <c r="A32093" s="258"/>
      <c r="Z32093" s="258"/>
    </row>
    <row r="32094" spans="1:26" ht="12.75" customHeight="1" x14ac:dyDescent="0.2">
      <c r="A32094" s="258"/>
      <c r="Z32094" s="258"/>
    </row>
    <row r="32095" spans="1:26" ht="12.75" customHeight="1" x14ac:dyDescent="0.2">
      <c r="A32095" s="258"/>
      <c r="Z32095" s="258"/>
    </row>
    <row r="32096" spans="1:26" ht="12.75" customHeight="1" x14ac:dyDescent="0.2">
      <c r="A32096" s="258"/>
      <c r="Z32096" s="258"/>
    </row>
    <row r="32097" spans="1:26" ht="12.75" customHeight="1" x14ac:dyDescent="0.2">
      <c r="A32097" s="258"/>
      <c r="Z32097" s="258"/>
    </row>
    <row r="32098" spans="1:26" ht="12.75" customHeight="1" x14ac:dyDescent="0.2">
      <c r="A32098" s="258"/>
      <c r="Z32098" s="258"/>
    </row>
    <row r="32099" spans="1:26" ht="12.75" customHeight="1" x14ac:dyDescent="0.2">
      <c r="A32099" s="258"/>
      <c r="Z32099" s="258"/>
    </row>
    <row r="32100" spans="1:26" ht="12.75" customHeight="1" x14ac:dyDescent="0.2">
      <c r="A32100" s="258"/>
      <c r="Z32100" s="258"/>
    </row>
    <row r="32101" spans="1:26" ht="12.75" customHeight="1" x14ac:dyDescent="0.2">
      <c r="A32101" s="258"/>
      <c r="Z32101" s="258"/>
    </row>
    <row r="32102" spans="1:26" ht="12.75" customHeight="1" x14ac:dyDescent="0.2">
      <c r="A32102" s="258"/>
      <c r="Z32102" s="258"/>
    </row>
    <row r="32103" spans="1:26" ht="12.75" customHeight="1" x14ac:dyDescent="0.2">
      <c r="A32103" s="258"/>
      <c r="Z32103" s="258"/>
    </row>
    <row r="32104" spans="1:26" ht="12.75" customHeight="1" x14ac:dyDescent="0.2">
      <c r="A32104" s="258"/>
      <c r="Z32104" s="258"/>
    </row>
    <row r="32105" spans="1:26" ht="12.75" customHeight="1" x14ac:dyDescent="0.2">
      <c r="A32105" s="258"/>
      <c r="Z32105" s="258"/>
    </row>
    <row r="32106" spans="1:26" ht="12.75" customHeight="1" x14ac:dyDescent="0.2">
      <c r="A32106" s="258"/>
      <c r="Z32106" s="258"/>
    </row>
    <row r="32107" spans="1:26" ht="12.75" customHeight="1" x14ac:dyDescent="0.2">
      <c r="A32107" s="258"/>
      <c r="Z32107" s="258"/>
    </row>
    <row r="32108" spans="1:26" ht="12.75" customHeight="1" x14ac:dyDescent="0.2">
      <c r="A32108" s="258"/>
      <c r="Z32108" s="258"/>
    </row>
    <row r="32109" spans="1:26" ht="12.75" customHeight="1" x14ac:dyDescent="0.2">
      <c r="A32109" s="258"/>
      <c r="Z32109" s="258"/>
    </row>
    <row r="32110" spans="1:26" ht="12.75" customHeight="1" x14ac:dyDescent="0.2">
      <c r="A32110" s="258"/>
      <c r="Z32110" s="258"/>
    </row>
    <row r="32111" spans="1:26" ht="12.75" customHeight="1" x14ac:dyDescent="0.2">
      <c r="A32111" s="258"/>
      <c r="Z32111" s="258"/>
    </row>
    <row r="32112" spans="1:26" ht="12.75" customHeight="1" x14ac:dyDescent="0.2">
      <c r="A32112" s="258"/>
      <c r="Z32112" s="258"/>
    </row>
    <row r="32113" spans="1:26" ht="12.75" customHeight="1" x14ac:dyDescent="0.2">
      <c r="A32113" s="258"/>
      <c r="Z32113" s="258"/>
    </row>
    <row r="32114" spans="1:26" ht="12.75" customHeight="1" x14ac:dyDescent="0.2">
      <c r="A32114" s="258"/>
      <c r="Z32114" s="258"/>
    </row>
    <row r="32115" spans="1:26" ht="12.75" customHeight="1" x14ac:dyDescent="0.2">
      <c r="A32115" s="258"/>
      <c r="Z32115" s="258"/>
    </row>
    <row r="32116" spans="1:26" ht="12.75" customHeight="1" x14ac:dyDescent="0.2">
      <c r="A32116" s="258"/>
      <c r="Z32116" s="258"/>
    </row>
    <row r="32117" spans="1:26" ht="12.75" customHeight="1" x14ac:dyDescent="0.2">
      <c r="A32117" s="258"/>
      <c r="Z32117" s="258"/>
    </row>
    <row r="32118" spans="1:26" ht="12.75" customHeight="1" x14ac:dyDescent="0.2">
      <c r="A32118" s="258"/>
      <c r="Z32118" s="258"/>
    </row>
    <row r="32119" spans="1:26" ht="12.75" customHeight="1" x14ac:dyDescent="0.2">
      <c r="A32119" s="258"/>
      <c r="Z32119" s="258"/>
    </row>
    <row r="32120" spans="1:26" ht="12.75" customHeight="1" x14ac:dyDescent="0.2">
      <c r="A32120" s="258"/>
      <c r="Z32120" s="258"/>
    </row>
    <row r="32121" spans="1:26" ht="12.75" customHeight="1" x14ac:dyDescent="0.2">
      <c r="A32121" s="258"/>
      <c r="Z32121" s="258"/>
    </row>
    <row r="32122" spans="1:26" ht="12.75" customHeight="1" x14ac:dyDescent="0.2">
      <c r="A32122" s="258"/>
      <c r="Z32122" s="258"/>
    </row>
    <row r="32123" spans="1:26" ht="12.75" customHeight="1" x14ac:dyDescent="0.2">
      <c r="A32123" s="258"/>
      <c r="Z32123" s="258"/>
    </row>
    <row r="32124" spans="1:26" ht="12.75" customHeight="1" x14ac:dyDescent="0.2">
      <c r="A32124" s="258"/>
      <c r="Z32124" s="258"/>
    </row>
    <row r="32125" spans="1:26" ht="12.75" customHeight="1" x14ac:dyDescent="0.2">
      <c r="A32125" s="258"/>
      <c r="Z32125" s="258"/>
    </row>
    <row r="32126" spans="1:26" ht="12.75" customHeight="1" x14ac:dyDescent="0.2">
      <c r="A32126" s="258"/>
      <c r="Z32126" s="258"/>
    </row>
    <row r="32127" spans="1:26" ht="12.75" customHeight="1" x14ac:dyDescent="0.2">
      <c r="A32127" s="258"/>
      <c r="Z32127" s="258"/>
    </row>
    <row r="32128" spans="1:26" ht="12.75" customHeight="1" x14ac:dyDescent="0.2">
      <c r="A32128" s="258"/>
      <c r="Z32128" s="258"/>
    </row>
    <row r="32129" spans="1:26" ht="12.75" customHeight="1" x14ac:dyDescent="0.2">
      <c r="A32129" s="258"/>
      <c r="Z32129" s="258"/>
    </row>
    <row r="32130" spans="1:26" ht="12.75" customHeight="1" x14ac:dyDescent="0.2">
      <c r="A32130" s="258"/>
      <c r="Z32130" s="258"/>
    </row>
    <row r="32131" spans="1:26" ht="12.75" customHeight="1" x14ac:dyDescent="0.2">
      <c r="A32131" s="258"/>
      <c r="Z32131" s="258"/>
    </row>
    <row r="32132" spans="1:26" ht="12.75" customHeight="1" x14ac:dyDescent="0.2">
      <c r="A32132" s="258"/>
      <c r="Z32132" s="258"/>
    </row>
    <row r="32133" spans="1:26" ht="12.75" customHeight="1" x14ac:dyDescent="0.2">
      <c r="A32133" s="258"/>
      <c r="Z32133" s="258"/>
    </row>
    <row r="32134" spans="1:26" ht="12.75" customHeight="1" x14ac:dyDescent="0.2">
      <c r="A32134" s="258"/>
      <c r="Z32134" s="258"/>
    </row>
    <row r="32135" spans="1:26" ht="12.75" customHeight="1" x14ac:dyDescent="0.2">
      <c r="A32135" s="258"/>
      <c r="Z32135" s="258"/>
    </row>
    <row r="32136" spans="1:26" ht="12.75" customHeight="1" x14ac:dyDescent="0.2">
      <c r="A32136" s="258"/>
      <c r="Z32136" s="258"/>
    </row>
    <row r="32137" spans="1:26" ht="12.75" customHeight="1" x14ac:dyDescent="0.2">
      <c r="A32137" s="258"/>
      <c r="Z32137" s="258"/>
    </row>
    <row r="32138" spans="1:26" ht="12.75" customHeight="1" x14ac:dyDescent="0.2">
      <c r="A32138" s="258"/>
      <c r="Z32138" s="258"/>
    </row>
    <row r="32139" spans="1:26" ht="12.75" customHeight="1" x14ac:dyDescent="0.2">
      <c r="A32139" s="258"/>
      <c r="Z32139" s="258"/>
    </row>
    <row r="32140" spans="1:26" ht="12.75" customHeight="1" x14ac:dyDescent="0.2">
      <c r="A32140" s="258"/>
      <c r="Z32140" s="258"/>
    </row>
    <row r="32141" spans="1:26" ht="12.75" customHeight="1" x14ac:dyDescent="0.2">
      <c r="A32141" s="258"/>
      <c r="Z32141" s="258"/>
    </row>
    <row r="32142" spans="1:26" ht="12.75" customHeight="1" x14ac:dyDescent="0.2">
      <c r="A32142" s="258"/>
      <c r="Z32142" s="258"/>
    </row>
    <row r="32143" spans="1:26" ht="12.75" customHeight="1" x14ac:dyDescent="0.2">
      <c r="A32143" s="258"/>
      <c r="Z32143" s="258"/>
    </row>
    <row r="32144" spans="1:26" ht="12.75" customHeight="1" x14ac:dyDescent="0.2">
      <c r="A32144" s="258"/>
      <c r="Z32144" s="258"/>
    </row>
    <row r="32145" spans="1:26" ht="12.75" customHeight="1" x14ac:dyDescent="0.2">
      <c r="A32145" s="258"/>
      <c r="Z32145" s="258"/>
    </row>
    <row r="32146" spans="1:26" ht="12.75" customHeight="1" x14ac:dyDescent="0.2">
      <c r="A32146" s="258"/>
      <c r="Z32146" s="258"/>
    </row>
    <row r="32147" spans="1:26" ht="12.75" customHeight="1" x14ac:dyDescent="0.2">
      <c r="A32147" s="258"/>
      <c r="Z32147" s="258"/>
    </row>
    <row r="32148" spans="1:26" ht="12.75" customHeight="1" x14ac:dyDescent="0.2">
      <c r="A32148" s="258"/>
      <c r="Z32148" s="258"/>
    </row>
    <row r="32149" spans="1:26" ht="12.75" customHeight="1" x14ac:dyDescent="0.2">
      <c r="A32149" s="258"/>
      <c r="Z32149" s="258"/>
    </row>
    <row r="32150" spans="1:26" ht="12.75" customHeight="1" x14ac:dyDescent="0.2">
      <c r="A32150" s="258"/>
      <c r="Z32150" s="258"/>
    </row>
    <row r="32151" spans="1:26" ht="12.75" customHeight="1" x14ac:dyDescent="0.2">
      <c r="A32151" s="258"/>
      <c r="Z32151" s="258"/>
    </row>
    <row r="32152" spans="1:26" ht="12.75" customHeight="1" x14ac:dyDescent="0.2">
      <c r="A32152" s="258"/>
      <c r="Z32152" s="258"/>
    </row>
    <row r="32153" spans="1:26" ht="12.75" customHeight="1" x14ac:dyDescent="0.2">
      <c r="A32153" s="258"/>
      <c r="Z32153" s="258"/>
    </row>
    <row r="32154" spans="1:26" ht="12.75" customHeight="1" x14ac:dyDescent="0.2">
      <c r="A32154" s="258"/>
      <c r="Z32154" s="258"/>
    </row>
    <row r="32155" spans="1:26" ht="12.75" customHeight="1" x14ac:dyDescent="0.2">
      <c r="A32155" s="258"/>
      <c r="Z32155" s="258"/>
    </row>
    <row r="32156" spans="1:26" ht="12.75" customHeight="1" x14ac:dyDescent="0.2">
      <c r="A32156" s="258"/>
      <c r="Z32156" s="258"/>
    </row>
    <row r="32157" spans="1:26" ht="12.75" customHeight="1" x14ac:dyDescent="0.2">
      <c r="A32157" s="258"/>
      <c r="Z32157" s="258"/>
    </row>
    <row r="32158" spans="1:26" ht="12.75" customHeight="1" x14ac:dyDescent="0.2">
      <c r="A32158" s="258"/>
      <c r="Z32158" s="258"/>
    </row>
    <row r="32159" spans="1:26" ht="12.75" customHeight="1" x14ac:dyDescent="0.2">
      <c r="A32159" s="258"/>
      <c r="Z32159" s="258"/>
    </row>
    <row r="32160" spans="1:26" ht="12.75" customHeight="1" x14ac:dyDescent="0.2">
      <c r="A32160" s="258"/>
      <c r="Z32160" s="258"/>
    </row>
    <row r="32161" spans="1:26" ht="12.75" customHeight="1" x14ac:dyDescent="0.2">
      <c r="A32161" s="258"/>
      <c r="Z32161" s="258"/>
    </row>
    <row r="32162" spans="1:26" ht="12.75" customHeight="1" x14ac:dyDescent="0.2">
      <c r="A32162" s="258"/>
      <c r="Z32162" s="258"/>
    </row>
    <row r="32163" spans="1:26" ht="12.75" customHeight="1" x14ac:dyDescent="0.2">
      <c r="A32163" s="258"/>
      <c r="Z32163" s="258"/>
    </row>
    <row r="32164" spans="1:26" ht="12.75" customHeight="1" x14ac:dyDescent="0.2">
      <c r="A32164" s="258"/>
      <c r="Z32164" s="258"/>
    </row>
    <row r="32165" spans="1:26" ht="12.75" customHeight="1" x14ac:dyDescent="0.2">
      <c r="A32165" s="258"/>
      <c r="Z32165" s="258"/>
    </row>
    <row r="32166" spans="1:26" ht="12.75" customHeight="1" x14ac:dyDescent="0.2">
      <c r="A32166" s="258"/>
      <c r="Z32166" s="258"/>
    </row>
    <row r="32167" spans="1:26" ht="12.75" customHeight="1" x14ac:dyDescent="0.2">
      <c r="A32167" s="258"/>
      <c r="Z32167" s="258"/>
    </row>
    <row r="32168" spans="1:26" ht="12.75" customHeight="1" x14ac:dyDescent="0.2">
      <c r="A32168" s="258"/>
      <c r="Z32168" s="258"/>
    </row>
    <row r="32169" spans="1:26" ht="12.75" customHeight="1" x14ac:dyDescent="0.2">
      <c r="A32169" s="258"/>
      <c r="Z32169" s="258"/>
    </row>
    <row r="32170" spans="1:26" ht="12.75" customHeight="1" x14ac:dyDescent="0.2">
      <c r="A32170" s="258"/>
      <c r="Z32170" s="258"/>
    </row>
    <row r="32171" spans="1:26" ht="12.75" customHeight="1" x14ac:dyDescent="0.2">
      <c r="A32171" s="258"/>
      <c r="Z32171" s="258"/>
    </row>
    <row r="32172" spans="1:26" ht="12.75" customHeight="1" x14ac:dyDescent="0.2">
      <c r="A32172" s="258"/>
      <c r="Z32172" s="258"/>
    </row>
    <row r="32173" spans="1:26" ht="12.75" customHeight="1" x14ac:dyDescent="0.2">
      <c r="A32173" s="258"/>
      <c r="Z32173" s="258"/>
    </row>
    <row r="32174" spans="1:26" ht="12.75" customHeight="1" x14ac:dyDescent="0.2">
      <c r="A32174" s="258"/>
      <c r="Z32174" s="258"/>
    </row>
    <row r="32175" spans="1:26" ht="12.75" customHeight="1" x14ac:dyDescent="0.2">
      <c r="A32175" s="258"/>
      <c r="Z32175" s="258"/>
    </row>
    <row r="32176" spans="1:26" ht="12.75" customHeight="1" x14ac:dyDescent="0.2">
      <c r="A32176" s="258"/>
      <c r="Z32176" s="258"/>
    </row>
    <row r="32177" spans="1:26" ht="12.75" customHeight="1" x14ac:dyDescent="0.2">
      <c r="A32177" s="258"/>
      <c r="Z32177" s="258"/>
    </row>
    <row r="32178" spans="1:26" ht="12.75" customHeight="1" x14ac:dyDescent="0.2">
      <c r="A32178" s="258"/>
      <c r="Z32178" s="258"/>
    </row>
    <row r="32179" spans="1:26" ht="12.75" customHeight="1" x14ac:dyDescent="0.2">
      <c r="A32179" s="258"/>
      <c r="Z32179" s="258"/>
    </row>
    <row r="32180" spans="1:26" ht="12.75" customHeight="1" x14ac:dyDescent="0.2">
      <c r="A32180" s="258"/>
      <c r="Z32180" s="258"/>
    </row>
    <row r="32181" spans="1:26" ht="12.75" customHeight="1" x14ac:dyDescent="0.2">
      <c r="A32181" s="258"/>
      <c r="Z32181" s="258"/>
    </row>
    <row r="32182" spans="1:26" ht="12.75" customHeight="1" x14ac:dyDescent="0.2">
      <c r="A32182" s="258"/>
      <c r="Z32182" s="258"/>
    </row>
    <row r="32183" spans="1:26" ht="12.75" customHeight="1" x14ac:dyDescent="0.2">
      <c r="A32183" s="258"/>
      <c r="Z32183" s="258"/>
    </row>
    <row r="32184" spans="1:26" ht="12.75" customHeight="1" x14ac:dyDescent="0.2">
      <c r="A32184" s="258"/>
      <c r="Z32184" s="258"/>
    </row>
    <row r="32185" spans="1:26" ht="12.75" customHeight="1" x14ac:dyDescent="0.2">
      <c r="A32185" s="258"/>
      <c r="Z32185" s="258"/>
    </row>
    <row r="32186" spans="1:26" ht="12.75" customHeight="1" x14ac:dyDescent="0.2">
      <c r="A32186" s="258"/>
      <c r="Z32186" s="258"/>
    </row>
    <row r="32187" spans="1:26" ht="12.75" customHeight="1" x14ac:dyDescent="0.2">
      <c r="A32187" s="258"/>
      <c r="Z32187" s="258"/>
    </row>
    <row r="32188" spans="1:26" ht="12.75" customHeight="1" x14ac:dyDescent="0.2">
      <c r="A32188" s="258"/>
      <c r="Z32188" s="258"/>
    </row>
    <row r="32189" spans="1:26" ht="12.75" customHeight="1" x14ac:dyDescent="0.2">
      <c r="A32189" s="258"/>
      <c r="Z32189" s="258"/>
    </row>
    <row r="32190" spans="1:26" ht="12.75" customHeight="1" x14ac:dyDescent="0.2">
      <c r="A32190" s="258"/>
      <c r="Z32190" s="258"/>
    </row>
    <row r="32191" spans="1:26" ht="12.75" customHeight="1" x14ac:dyDescent="0.2">
      <c r="A32191" s="258"/>
      <c r="Z32191" s="258"/>
    </row>
    <row r="32192" spans="1:26" ht="12.75" customHeight="1" x14ac:dyDescent="0.2">
      <c r="A32192" s="258"/>
      <c r="Z32192" s="258"/>
    </row>
    <row r="32193" spans="1:26" ht="12.75" customHeight="1" x14ac:dyDescent="0.2">
      <c r="A32193" s="258"/>
      <c r="Z32193" s="258"/>
    </row>
    <row r="32194" spans="1:26" ht="12.75" customHeight="1" x14ac:dyDescent="0.2">
      <c r="A32194" s="258"/>
      <c r="Z32194" s="258"/>
    </row>
    <row r="32195" spans="1:26" ht="12.75" customHeight="1" x14ac:dyDescent="0.2">
      <c r="A32195" s="258"/>
      <c r="Z32195" s="258"/>
    </row>
    <row r="32196" spans="1:26" ht="12.75" customHeight="1" x14ac:dyDescent="0.2">
      <c r="A32196" s="258"/>
      <c r="Z32196" s="258"/>
    </row>
    <row r="32197" spans="1:26" ht="12.75" customHeight="1" x14ac:dyDescent="0.2">
      <c r="A32197" s="258"/>
      <c r="Z32197" s="258"/>
    </row>
    <row r="32198" spans="1:26" ht="12.75" customHeight="1" x14ac:dyDescent="0.2">
      <c r="A32198" s="258"/>
      <c r="Z32198" s="258"/>
    </row>
    <row r="32199" spans="1:26" ht="12.75" customHeight="1" x14ac:dyDescent="0.2">
      <c r="A32199" s="258"/>
      <c r="Z32199" s="258"/>
    </row>
    <row r="32200" spans="1:26" ht="12.75" customHeight="1" x14ac:dyDescent="0.2">
      <c r="A32200" s="258"/>
      <c r="Z32200" s="258"/>
    </row>
    <row r="32201" spans="1:26" ht="12.75" customHeight="1" x14ac:dyDescent="0.2">
      <c r="A32201" s="258"/>
      <c r="Z32201" s="258"/>
    </row>
    <row r="32202" spans="1:26" ht="12.75" customHeight="1" x14ac:dyDescent="0.2">
      <c r="A32202" s="258"/>
      <c r="Z32202" s="258"/>
    </row>
    <row r="32203" spans="1:26" ht="12.75" customHeight="1" x14ac:dyDescent="0.2">
      <c r="A32203" s="258"/>
      <c r="Z32203" s="258"/>
    </row>
    <row r="32204" spans="1:26" ht="12.75" customHeight="1" x14ac:dyDescent="0.2">
      <c r="A32204" s="258"/>
      <c r="Z32204" s="258"/>
    </row>
    <row r="32205" spans="1:26" ht="12.75" customHeight="1" x14ac:dyDescent="0.2">
      <c r="A32205" s="258"/>
      <c r="Z32205" s="258"/>
    </row>
    <row r="32206" spans="1:26" ht="12.75" customHeight="1" x14ac:dyDescent="0.2">
      <c r="A32206" s="258"/>
      <c r="Z32206" s="258"/>
    </row>
    <row r="32207" spans="1:26" ht="12.75" customHeight="1" x14ac:dyDescent="0.2">
      <c r="A32207" s="258"/>
      <c r="Z32207" s="258"/>
    </row>
    <row r="32208" spans="1:26" ht="12.75" customHeight="1" x14ac:dyDescent="0.2">
      <c r="A32208" s="258"/>
      <c r="Z32208" s="258"/>
    </row>
    <row r="32209" spans="1:26" ht="12.75" customHeight="1" x14ac:dyDescent="0.2">
      <c r="A32209" s="258"/>
      <c r="Z32209" s="258"/>
    </row>
    <row r="32210" spans="1:26" ht="12.75" customHeight="1" x14ac:dyDescent="0.2">
      <c r="A32210" s="258"/>
      <c r="Z32210" s="258"/>
    </row>
    <row r="32211" spans="1:26" ht="12.75" customHeight="1" x14ac:dyDescent="0.2">
      <c r="A32211" s="258"/>
      <c r="Z32211" s="258"/>
    </row>
    <row r="32212" spans="1:26" ht="12.75" customHeight="1" x14ac:dyDescent="0.2">
      <c r="A32212" s="258"/>
      <c r="Z32212" s="258"/>
    </row>
    <row r="32213" spans="1:26" ht="12.75" customHeight="1" x14ac:dyDescent="0.2">
      <c r="A32213" s="258"/>
      <c r="Z32213" s="258"/>
    </row>
    <row r="32214" spans="1:26" ht="12.75" customHeight="1" x14ac:dyDescent="0.2">
      <c r="A32214" s="258"/>
      <c r="Z32214" s="258"/>
    </row>
    <row r="32215" spans="1:26" ht="12.75" customHeight="1" x14ac:dyDescent="0.2">
      <c r="A32215" s="258"/>
      <c r="Z32215" s="258"/>
    </row>
    <row r="32216" spans="1:26" ht="12.75" customHeight="1" x14ac:dyDescent="0.2">
      <c r="A32216" s="258"/>
      <c r="Z32216" s="258"/>
    </row>
    <row r="32217" spans="1:26" ht="12.75" customHeight="1" x14ac:dyDescent="0.2">
      <c r="A32217" s="258"/>
      <c r="Z32217" s="258"/>
    </row>
    <row r="32218" spans="1:26" ht="12.75" customHeight="1" x14ac:dyDescent="0.2">
      <c r="A32218" s="258"/>
      <c r="Z32218" s="258"/>
    </row>
    <row r="32219" spans="1:26" ht="12.75" customHeight="1" x14ac:dyDescent="0.2">
      <c r="A32219" s="258"/>
      <c r="Z32219" s="258"/>
    </row>
    <row r="32220" spans="1:26" ht="12.75" customHeight="1" x14ac:dyDescent="0.2">
      <c r="A32220" s="258"/>
      <c r="Z32220" s="258"/>
    </row>
    <row r="32221" spans="1:26" ht="12.75" customHeight="1" x14ac:dyDescent="0.2">
      <c r="A32221" s="258"/>
      <c r="Z32221" s="258"/>
    </row>
    <row r="32222" spans="1:26" ht="12.75" customHeight="1" x14ac:dyDescent="0.2">
      <c r="A32222" s="258"/>
      <c r="Z32222" s="258"/>
    </row>
    <row r="32223" spans="1:26" ht="12.75" customHeight="1" x14ac:dyDescent="0.2">
      <c r="A32223" s="258"/>
      <c r="Z32223" s="258"/>
    </row>
    <row r="32224" spans="1:26" ht="12.75" customHeight="1" x14ac:dyDescent="0.2">
      <c r="A32224" s="258"/>
      <c r="Z32224" s="258"/>
    </row>
    <row r="32225" spans="1:26" ht="12.75" customHeight="1" x14ac:dyDescent="0.2">
      <c r="A32225" s="258"/>
      <c r="Z32225" s="258"/>
    </row>
    <row r="32226" spans="1:26" ht="12.75" customHeight="1" x14ac:dyDescent="0.2">
      <c r="A32226" s="258"/>
      <c r="Z32226" s="258"/>
    </row>
    <row r="32227" spans="1:26" ht="12.75" customHeight="1" x14ac:dyDescent="0.2">
      <c r="A32227" s="258"/>
      <c r="Z32227" s="258"/>
    </row>
    <row r="32228" spans="1:26" ht="12.75" customHeight="1" x14ac:dyDescent="0.2">
      <c r="A32228" s="258"/>
      <c r="Z32228" s="258"/>
    </row>
    <row r="32229" spans="1:26" ht="12.75" customHeight="1" x14ac:dyDescent="0.2">
      <c r="A32229" s="258"/>
      <c r="Z32229" s="258"/>
    </row>
    <row r="32230" spans="1:26" ht="12.75" customHeight="1" x14ac:dyDescent="0.2">
      <c r="A32230" s="258"/>
      <c r="Z32230" s="258"/>
    </row>
    <row r="32231" spans="1:26" ht="12.75" customHeight="1" x14ac:dyDescent="0.2">
      <c r="A32231" s="258"/>
      <c r="Z32231" s="258"/>
    </row>
    <row r="32232" spans="1:26" ht="12.75" customHeight="1" x14ac:dyDescent="0.2">
      <c r="A32232" s="258"/>
      <c r="Z32232" s="258"/>
    </row>
    <row r="32233" spans="1:26" ht="12.75" customHeight="1" x14ac:dyDescent="0.2">
      <c r="A32233" s="258"/>
      <c r="Z32233" s="258"/>
    </row>
    <row r="32234" spans="1:26" ht="12.75" customHeight="1" x14ac:dyDescent="0.2">
      <c r="A32234" s="258"/>
      <c r="Z32234" s="258"/>
    </row>
    <row r="32235" spans="1:26" ht="12.75" customHeight="1" x14ac:dyDescent="0.2">
      <c r="A32235" s="258"/>
      <c r="Z32235" s="258"/>
    </row>
    <row r="32236" spans="1:26" ht="12.75" customHeight="1" x14ac:dyDescent="0.2">
      <c r="A32236" s="258"/>
      <c r="Z32236" s="258"/>
    </row>
    <row r="32237" spans="1:26" ht="12.75" customHeight="1" x14ac:dyDescent="0.2">
      <c r="A32237" s="258"/>
      <c r="Z32237" s="258"/>
    </row>
    <row r="32238" spans="1:26" ht="12.75" customHeight="1" x14ac:dyDescent="0.2">
      <c r="A32238" s="258"/>
      <c r="Z32238" s="258"/>
    </row>
    <row r="32239" spans="1:26" ht="12.75" customHeight="1" x14ac:dyDescent="0.2">
      <c r="A32239" s="258"/>
      <c r="Z32239" s="258"/>
    </row>
    <row r="32240" spans="1:26" ht="12.75" customHeight="1" x14ac:dyDescent="0.2">
      <c r="A32240" s="258"/>
      <c r="Z32240" s="258"/>
    </row>
    <row r="32241" spans="1:26" ht="12.75" customHeight="1" x14ac:dyDescent="0.2">
      <c r="A32241" s="258"/>
      <c r="Z32241" s="258"/>
    </row>
    <row r="32242" spans="1:26" ht="12.75" customHeight="1" x14ac:dyDescent="0.2">
      <c r="A32242" s="258"/>
      <c r="Z32242" s="258"/>
    </row>
    <row r="32243" spans="1:26" ht="12.75" customHeight="1" x14ac:dyDescent="0.2">
      <c r="A32243" s="258"/>
      <c r="Z32243" s="258"/>
    </row>
    <row r="32244" spans="1:26" ht="12.75" customHeight="1" x14ac:dyDescent="0.2">
      <c r="A32244" s="258"/>
      <c r="Z32244" s="258"/>
    </row>
    <row r="32245" spans="1:26" ht="12.75" customHeight="1" x14ac:dyDescent="0.2">
      <c r="A32245" s="258"/>
      <c r="Z32245" s="258"/>
    </row>
    <row r="32246" spans="1:26" ht="12.75" customHeight="1" x14ac:dyDescent="0.2">
      <c r="A32246" s="258"/>
      <c r="Z32246" s="258"/>
    </row>
    <row r="32247" spans="1:26" ht="12.75" customHeight="1" x14ac:dyDescent="0.2">
      <c r="A32247" s="258"/>
      <c r="Z32247" s="258"/>
    </row>
    <row r="32248" spans="1:26" ht="12.75" customHeight="1" x14ac:dyDescent="0.2">
      <c r="A32248" s="258"/>
      <c r="Z32248" s="258"/>
    </row>
    <row r="32249" spans="1:26" ht="12.75" customHeight="1" x14ac:dyDescent="0.2">
      <c r="A32249" s="258"/>
      <c r="Z32249" s="258"/>
    </row>
    <row r="32250" spans="1:26" ht="12.75" customHeight="1" x14ac:dyDescent="0.2">
      <c r="A32250" s="258"/>
      <c r="Z32250" s="258"/>
    </row>
    <row r="32251" spans="1:26" ht="12.75" customHeight="1" x14ac:dyDescent="0.2">
      <c r="A32251" s="258"/>
      <c r="Z32251" s="258"/>
    </row>
    <row r="32252" spans="1:26" ht="12.75" customHeight="1" x14ac:dyDescent="0.2">
      <c r="A32252" s="258"/>
      <c r="Z32252" s="258"/>
    </row>
    <row r="32253" spans="1:26" ht="12.75" customHeight="1" x14ac:dyDescent="0.2">
      <c r="A32253" s="258"/>
      <c r="Z32253" s="258"/>
    </row>
    <row r="32254" spans="1:26" ht="12.75" customHeight="1" x14ac:dyDescent="0.2">
      <c r="A32254" s="258"/>
      <c r="Z32254" s="258"/>
    </row>
    <row r="32255" spans="1:26" ht="12.75" customHeight="1" x14ac:dyDescent="0.2">
      <c r="A32255" s="258"/>
      <c r="Z32255" s="258"/>
    </row>
    <row r="32256" spans="1:26" ht="12.75" customHeight="1" x14ac:dyDescent="0.2">
      <c r="A32256" s="258"/>
      <c r="Z32256" s="258"/>
    </row>
    <row r="32257" spans="1:26" ht="12.75" customHeight="1" x14ac:dyDescent="0.2">
      <c r="A32257" s="258"/>
      <c r="Z32257" s="258"/>
    </row>
    <row r="32258" spans="1:26" ht="12.75" customHeight="1" x14ac:dyDescent="0.2">
      <c r="A32258" s="258"/>
      <c r="Z32258" s="258"/>
    </row>
    <row r="32259" spans="1:26" ht="12.75" customHeight="1" x14ac:dyDescent="0.2">
      <c r="A32259" s="258"/>
      <c r="Z32259" s="258"/>
    </row>
    <row r="32260" spans="1:26" ht="12.75" customHeight="1" x14ac:dyDescent="0.2">
      <c r="A32260" s="258"/>
      <c r="Z32260" s="258"/>
    </row>
    <row r="32261" spans="1:26" ht="12.75" customHeight="1" x14ac:dyDescent="0.2">
      <c r="A32261" s="258"/>
      <c r="Z32261" s="258"/>
    </row>
    <row r="32262" spans="1:26" ht="12.75" customHeight="1" x14ac:dyDescent="0.2">
      <c r="A32262" s="258"/>
      <c r="Z32262" s="258"/>
    </row>
    <row r="32263" spans="1:26" ht="12.75" customHeight="1" x14ac:dyDescent="0.2">
      <c r="A32263" s="258"/>
      <c r="Z32263" s="258"/>
    </row>
    <row r="32264" spans="1:26" ht="12.75" customHeight="1" x14ac:dyDescent="0.2">
      <c r="A32264" s="258"/>
      <c r="Z32264" s="258"/>
    </row>
    <row r="32265" spans="1:26" ht="12.75" customHeight="1" x14ac:dyDescent="0.2">
      <c r="A32265" s="258"/>
      <c r="Z32265" s="258"/>
    </row>
    <row r="32266" spans="1:26" ht="12.75" customHeight="1" x14ac:dyDescent="0.2">
      <c r="A32266" s="258"/>
      <c r="Z32266" s="258"/>
    </row>
    <row r="32267" spans="1:26" ht="12.75" customHeight="1" x14ac:dyDescent="0.2">
      <c r="A32267" s="258"/>
      <c r="Z32267" s="258"/>
    </row>
    <row r="32268" spans="1:26" ht="12.75" customHeight="1" x14ac:dyDescent="0.2">
      <c r="A32268" s="258"/>
      <c r="Z32268" s="258"/>
    </row>
    <row r="32269" spans="1:26" ht="12.75" customHeight="1" x14ac:dyDescent="0.2">
      <c r="A32269" s="258"/>
      <c r="Z32269" s="258"/>
    </row>
    <row r="32270" spans="1:26" ht="12.75" customHeight="1" x14ac:dyDescent="0.2">
      <c r="A32270" s="258"/>
      <c r="Z32270" s="258"/>
    </row>
    <row r="32271" spans="1:26" ht="12.75" customHeight="1" x14ac:dyDescent="0.2">
      <c r="A32271" s="258"/>
      <c r="Z32271" s="258"/>
    </row>
    <row r="32272" spans="1:26" ht="12.75" customHeight="1" x14ac:dyDescent="0.2">
      <c r="A32272" s="258"/>
      <c r="Z32272" s="258"/>
    </row>
    <row r="32273" spans="1:26" ht="12.75" customHeight="1" x14ac:dyDescent="0.2">
      <c r="A32273" s="258"/>
      <c r="Z32273" s="258"/>
    </row>
    <row r="32274" spans="1:26" ht="12.75" customHeight="1" x14ac:dyDescent="0.2">
      <c r="A32274" s="258"/>
      <c r="Z32274" s="258"/>
    </row>
    <row r="32275" spans="1:26" ht="12.75" customHeight="1" x14ac:dyDescent="0.2">
      <c r="A32275" s="258"/>
      <c r="Z32275" s="258"/>
    </row>
    <row r="32276" spans="1:26" ht="12.75" customHeight="1" x14ac:dyDescent="0.2">
      <c r="A32276" s="258"/>
      <c r="Z32276" s="258"/>
    </row>
    <row r="32277" spans="1:26" ht="12.75" customHeight="1" x14ac:dyDescent="0.2">
      <c r="A32277" s="258"/>
      <c r="Z32277" s="258"/>
    </row>
    <row r="32278" spans="1:26" ht="12.75" customHeight="1" x14ac:dyDescent="0.2">
      <c r="A32278" s="258"/>
      <c r="Z32278" s="258"/>
    </row>
    <row r="32279" spans="1:26" ht="12.75" customHeight="1" x14ac:dyDescent="0.2">
      <c r="A32279" s="258"/>
      <c r="Z32279" s="258"/>
    </row>
    <row r="32280" spans="1:26" ht="12.75" customHeight="1" x14ac:dyDescent="0.2">
      <c r="A32280" s="258"/>
      <c r="Z32280" s="258"/>
    </row>
    <row r="32281" spans="1:26" ht="12.75" customHeight="1" x14ac:dyDescent="0.2">
      <c r="A32281" s="258"/>
      <c r="Z32281" s="258"/>
    </row>
    <row r="32282" spans="1:26" ht="12.75" customHeight="1" x14ac:dyDescent="0.2">
      <c r="A32282" s="258"/>
      <c r="Z32282" s="258"/>
    </row>
    <row r="32283" spans="1:26" ht="12.75" customHeight="1" x14ac:dyDescent="0.2">
      <c r="A32283" s="258"/>
      <c r="Z32283" s="258"/>
    </row>
    <row r="32284" spans="1:26" ht="12.75" customHeight="1" x14ac:dyDescent="0.2">
      <c r="A32284" s="258"/>
      <c r="Z32284" s="258"/>
    </row>
    <row r="32285" spans="1:26" ht="12.75" customHeight="1" x14ac:dyDescent="0.2">
      <c r="A32285" s="258"/>
      <c r="Z32285" s="258"/>
    </row>
    <row r="32286" spans="1:26" ht="12.75" customHeight="1" x14ac:dyDescent="0.2">
      <c r="A32286" s="258"/>
      <c r="Z32286" s="258"/>
    </row>
    <row r="32287" spans="1:26" ht="12.75" customHeight="1" x14ac:dyDescent="0.2">
      <c r="A32287" s="258"/>
      <c r="Z32287" s="258"/>
    </row>
    <row r="32288" spans="1:26" ht="12.75" customHeight="1" x14ac:dyDescent="0.2">
      <c r="A32288" s="258"/>
      <c r="Z32288" s="258"/>
    </row>
    <row r="32289" spans="1:26" ht="12.75" customHeight="1" x14ac:dyDescent="0.2">
      <c r="A32289" s="258"/>
      <c r="Z32289" s="258"/>
    </row>
    <row r="32290" spans="1:26" ht="12.75" customHeight="1" x14ac:dyDescent="0.2">
      <c r="A32290" s="258"/>
      <c r="Z32290" s="258"/>
    </row>
    <row r="32291" spans="1:26" ht="12.75" customHeight="1" x14ac:dyDescent="0.2">
      <c r="A32291" s="258"/>
      <c r="Z32291" s="258"/>
    </row>
    <row r="32292" spans="1:26" ht="12.75" customHeight="1" x14ac:dyDescent="0.2">
      <c r="A32292" s="258"/>
      <c r="Z32292" s="258"/>
    </row>
    <row r="32293" spans="1:26" ht="12.75" customHeight="1" x14ac:dyDescent="0.2">
      <c r="A32293" s="258"/>
      <c r="Z32293" s="258"/>
    </row>
    <row r="32294" spans="1:26" ht="12.75" customHeight="1" x14ac:dyDescent="0.2">
      <c r="A32294" s="258"/>
      <c r="Z32294" s="258"/>
    </row>
    <row r="32295" spans="1:26" ht="12.75" customHeight="1" x14ac:dyDescent="0.2">
      <c r="A32295" s="258"/>
      <c r="Z32295" s="258"/>
    </row>
    <row r="32296" spans="1:26" ht="12.75" customHeight="1" x14ac:dyDescent="0.2">
      <c r="A32296" s="258"/>
      <c r="Z32296" s="258"/>
    </row>
    <row r="32297" spans="1:26" ht="12.75" customHeight="1" x14ac:dyDescent="0.2">
      <c r="A32297" s="258"/>
      <c r="Z32297" s="258"/>
    </row>
    <row r="32298" spans="1:26" ht="12.75" customHeight="1" x14ac:dyDescent="0.2">
      <c r="A32298" s="258"/>
      <c r="Z32298" s="258"/>
    </row>
    <row r="32299" spans="1:26" ht="12.75" customHeight="1" x14ac:dyDescent="0.2">
      <c r="A32299" s="258"/>
      <c r="Z32299" s="258"/>
    </row>
    <row r="32300" spans="1:26" ht="12.75" customHeight="1" x14ac:dyDescent="0.2">
      <c r="A32300" s="258"/>
      <c r="Z32300" s="258"/>
    </row>
    <row r="32301" spans="1:26" ht="12.75" customHeight="1" x14ac:dyDescent="0.2">
      <c r="A32301" s="258"/>
      <c r="Z32301" s="258"/>
    </row>
    <row r="32302" spans="1:26" ht="12.75" customHeight="1" x14ac:dyDescent="0.2">
      <c r="A32302" s="258"/>
      <c r="Z32302" s="258"/>
    </row>
    <row r="32303" spans="1:26" ht="12.75" customHeight="1" x14ac:dyDescent="0.2">
      <c r="A32303" s="258"/>
      <c r="Z32303" s="258"/>
    </row>
    <row r="32304" spans="1:26" ht="12.75" customHeight="1" x14ac:dyDescent="0.2">
      <c r="A32304" s="258"/>
      <c r="Z32304" s="258"/>
    </row>
    <row r="32305" spans="1:26" ht="12.75" customHeight="1" x14ac:dyDescent="0.2">
      <c r="A32305" s="258"/>
      <c r="Z32305" s="258"/>
    </row>
    <row r="32306" spans="1:26" ht="12.75" customHeight="1" x14ac:dyDescent="0.2">
      <c r="A32306" s="258"/>
      <c r="Z32306" s="258"/>
    </row>
    <row r="32307" spans="1:26" ht="12.75" customHeight="1" x14ac:dyDescent="0.2">
      <c r="A32307" s="258"/>
      <c r="Z32307" s="258"/>
    </row>
    <row r="32308" spans="1:26" ht="12.75" customHeight="1" x14ac:dyDescent="0.2">
      <c r="A32308" s="258"/>
      <c r="Z32308" s="258"/>
    </row>
    <row r="32309" spans="1:26" ht="12.75" customHeight="1" x14ac:dyDescent="0.2">
      <c r="A32309" s="258"/>
      <c r="Z32309" s="258"/>
    </row>
    <row r="32310" spans="1:26" ht="12.75" customHeight="1" x14ac:dyDescent="0.2">
      <c r="A32310" s="258"/>
      <c r="Z32310" s="258"/>
    </row>
    <row r="32311" spans="1:26" ht="12.75" customHeight="1" x14ac:dyDescent="0.2">
      <c r="A32311" s="258"/>
      <c r="Z32311" s="258"/>
    </row>
    <row r="32312" spans="1:26" ht="12.75" customHeight="1" x14ac:dyDescent="0.2">
      <c r="A32312" s="258"/>
      <c r="Z32312" s="258"/>
    </row>
    <row r="32313" spans="1:26" ht="12.75" customHeight="1" x14ac:dyDescent="0.2">
      <c r="A32313" s="258"/>
      <c r="Z32313" s="258"/>
    </row>
    <row r="32314" spans="1:26" ht="12.75" customHeight="1" x14ac:dyDescent="0.2">
      <c r="A32314" s="258"/>
      <c r="Z32314" s="258"/>
    </row>
    <row r="32315" spans="1:26" ht="12.75" customHeight="1" x14ac:dyDescent="0.2">
      <c r="A32315" s="258"/>
      <c r="Z32315" s="258"/>
    </row>
    <row r="32316" spans="1:26" ht="12.75" customHeight="1" x14ac:dyDescent="0.2">
      <c r="A32316" s="258"/>
      <c r="Z32316" s="258"/>
    </row>
    <row r="32317" spans="1:26" ht="12.75" customHeight="1" x14ac:dyDescent="0.2">
      <c r="A32317" s="258"/>
      <c r="Z32317" s="258"/>
    </row>
    <row r="32318" spans="1:26" ht="12.75" customHeight="1" x14ac:dyDescent="0.2">
      <c r="A32318" s="258"/>
      <c r="Z32318" s="258"/>
    </row>
    <row r="32319" spans="1:26" ht="12.75" customHeight="1" x14ac:dyDescent="0.2">
      <c r="A32319" s="258"/>
      <c r="Z32319" s="258"/>
    </row>
    <row r="32320" spans="1:26" ht="12.75" customHeight="1" x14ac:dyDescent="0.2">
      <c r="A32320" s="258"/>
      <c r="Z32320" s="258"/>
    </row>
    <row r="32321" spans="1:26" ht="12.75" customHeight="1" x14ac:dyDescent="0.2">
      <c r="A32321" s="258"/>
      <c r="Z32321" s="258"/>
    </row>
    <row r="32322" spans="1:26" ht="12.75" customHeight="1" x14ac:dyDescent="0.2">
      <c r="A32322" s="258"/>
      <c r="Z32322" s="258"/>
    </row>
    <row r="32323" spans="1:26" ht="12.75" customHeight="1" x14ac:dyDescent="0.2">
      <c r="A32323" s="258"/>
      <c r="Z32323" s="258"/>
    </row>
    <row r="32324" spans="1:26" ht="12.75" customHeight="1" x14ac:dyDescent="0.2">
      <c r="A32324" s="258"/>
      <c r="Z32324" s="258"/>
    </row>
    <row r="32325" spans="1:26" ht="12.75" customHeight="1" x14ac:dyDescent="0.2">
      <c r="A32325" s="258"/>
      <c r="Z32325" s="258"/>
    </row>
    <row r="32326" spans="1:26" ht="12.75" customHeight="1" x14ac:dyDescent="0.2">
      <c r="A32326" s="258"/>
      <c r="Z32326" s="258"/>
    </row>
    <row r="32327" spans="1:26" ht="12.75" customHeight="1" x14ac:dyDescent="0.2">
      <c r="A32327" s="258"/>
      <c r="Z32327" s="258"/>
    </row>
    <row r="32328" spans="1:26" ht="12.75" customHeight="1" x14ac:dyDescent="0.2">
      <c r="A32328" s="258"/>
      <c r="Z32328" s="258"/>
    </row>
    <row r="32329" spans="1:26" ht="12.75" customHeight="1" x14ac:dyDescent="0.2">
      <c r="A32329" s="258"/>
      <c r="Z32329" s="258"/>
    </row>
    <row r="32330" spans="1:26" ht="12.75" customHeight="1" x14ac:dyDescent="0.2">
      <c r="A32330" s="258"/>
      <c r="Z32330" s="258"/>
    </row>
    <row r="32331" spans="1:26" ht="12.75" customHeight="1" x14ac:dyDescent="0.2">
      <c r="A32331" s="258"/>
      <c r="Z32331" s="258"/>
    </row>
    <row r="32332" spans="1:26" ht="12.75" customHeight="1" x14ac:dyDescent="0.2">
      <c r="A32332" s="258"/>
      <c r="Z32332" s="258"/>
    </row>
    <row r="32333" spans="1:26" ht="12.75" customHeight="1" x14ac:dyDescent="0.2">
      <c r="A32333" s="258"/>
      <c r="Z32333" s="258"/>
    </row>
    <row r="32334" spans="1:26" ht="12.75" customHeight="1" x14ac:dyDescent="0.2">
      <c r="A32334" s="258"/>
      <c r="Z32334" s="258"/>
    </row>
    <row r="32335" spans="1:26" ht="12.75" customHeight="1" x14ac:dyDescent="0.2">
      <c r="A32335" s="258"/>
      <c r="Z32335" s="258"/>
    </row>
    <row r="32336" spans="1:26" ht="12.75" customHeight="1" x14ac:dyDescent="0.2">
      <c r="A32336" s="258"/>
      <c r="Z32336" s="258"/>
    </row>
    <row r="32337" spans="1:26" ht="12.75" customHeight="1" x14ac:dyDescent="0.2">
      <c r="A32337" s="258"/>
      <c r="Z32337" s="258"/>
    </row>
    <row r="32338" spans="1:26" ht="12.75" customHeight="1" x14ac:dyDescent="0.2">
      <c r="A32338" s="258"/>
      <c r="Z32338" s="258"/>
    </row>
    <row r="32339" spans="1:26" ht="12.75" customHeight="1" x14ac:dyDescent="0.2">
      <c r="A32339" s="258"/>
      <c r="Z32339" s="258"/>
    </row>
    <row r="32340" spans="1:26" ht="12.75" customHeight="1" x14ac:dyDescent="0.2">
      <c r="A32340" s="258"/>
      <c r="Z32340" s="258"/>
    </row>
    <row r="32341" spans="1:26" ht="12.75" customHeight="1" x14ac:dyDescent="0.2">
      <c r="A32341" s="258"/>
      <c r="Z32341" s="258"/>
    </row>
    <row r="32342" spans="1:26" ht="12.75" customHeight="1" x14ac:dyDescent="0.2">
      <c r="A32342" s="258"/>
      <c r="Z32342" s="258"/>
    </row>
    <row r="32343" spans="1:26" ht="12.75" customHeight="1" x14ac:dyDescent="0.2">
      <c r="A32343" s="258"/>
      <c r="Z32343" s="258"/>
    </row>
    <row r="32344" spans="1:26" ht="12.75" customHeight="1" x14ac:dyDescent="0.2">
      <c r="A32344" s="258"/>
      <c r="Z32344" s="258"/>
    </row>
    <row r="32345" spans="1:26" ht="12.75" customHeight="1" x14ac:dyDescent="0.2">
      <c r="A32345" s="258"/>
      <c r="Z32345" s="258"/>
    </row>
    <row r="32346" spans="1:26" ht="12.75" customHeight="1" x14ac:dyDescent="0.2">
      <c r="A32346" s="258"/>
      <c r="Z32346" s="258"/>
    </row>
    <row r="32347" spans="1:26" ht="12.75" customHeight="1" x14ac:dyDescent="0.2">
      <c r="A32347" s="258"/>
      <c r="Z32347" s="258"/>
    </row>
    <row r="32348" spans="1:26" ht="12.75" customHeight="1" x14ac:dyDescent="0.2">
      <c r="A32348" s="258"/>
      <c r="Z32348" s="258"/>
    </row>
    <row r="32349" spans="1:26" ht="12.75" customHeight="1" x14ac:dyDescent="0.2">
      <c r="A32349" s="258"/>
      <c r="Z32349" s="258"/>
    </row>
    <row r="32350" spans="1:26" ht="12.75" customHeight="1" x14ac:dyDescent="0.2">
      <c r="A32350" s="258"/>
      <c r="Z32350" s="258"/>
    </row>
    <row r="32351" spans="1:26" ht="12.75" customHeight="1" x14ac:dyDescent="0.2">
      <c r="A32351" s="258"/>
      <c r="Z32351" s="258"/>
    </row>
    <row r="32352" spans="1:26" ht="12.75" customHeight="1" x14ac:dyDescent="0.2">
      <c r="A32352" s="258"/>
      <c r="Z32352" s="258"/>
    </row>
    <row r="32353" spans="1:26" ht="12.75" customHeight="1" x14ac:dyDescent="0.2">
      <c r="A32353" s="258"/>
      <c r="Z32353" s="258"/>
    </row>
    <row r="32354" spans="1:26" ht="12.75" customHeight="1" x14ac:dyDescent="0.2">
      <c r="A32354" s="258"/>
      <c r="Z32354" s="258"/>
    </row>
    <row r="32355" spans="1:26" ht="12.75" customHeight="1" x14ac:dyDescent="0.2">
      <c r="A32355" s="258"/>
      <c r="Z32355" s="258"/>
    </row>
    <row r="32356" spans="1:26" ht="12.75" customHeight="1" x14ac:dyDescent="0.2">
      <c r="A32356" s="258"/>
      <c r="Z32356" s="258"/>
    </row>
    <row r="32357" spans="1:26" ht="12.75" customHeight="1" x14ac:dyDescent="0.2">
      <c r="A32357" s="258"/>
      <c r="Z32357" s="258"/>
    </row>
    <row r="32358" spans="1:26" ht="12.75" customHeight="1" x14ac:dyDescent="0.2">
      <c r="A32358" s="258"/>
      <c r="Z32358" s="258"/>
    </row>
    <row r="32359" spans="1:26" ht="12.75" customHeight="1" x14ac:dyDescent="0.2">
      <c r="A32359" s="258"/>
      <c r="Z32359" s="258"/>
    </row>
    <row r="32360" spans="1:26" ht="12.75" customHeight="1" x14ac:dyDescent="0.2">
      <c r="A32360" s="258"/>
      <c r="Z32360" s="258"/>
    </row>
    <row r="32361" spans="1:26" ht="12.75" customHeight="1" x14ac:dyDescent="0.2">
      <c r="A32361" s="258"/>
      <c r="Z32361" s="258"/>
    </row>
    <row r="32362" spans="1:26" ht="12.75" customHeight="1" x14ac:dyDescent="0.2">
      <c r="A32362" s="258"/>
      <c r="Z32362" s="258"/>
    </row>
    <row r="32363" spans="1:26" ht="12.75" customHeight="1" x14ac:dyDescent="0.2">
      <c r="A32363" s="258"/>
      <c r="Z32363" s="258"/>
    </row>
    <row r="32364" spans="1:26" ht="12.75" customHeight="1" x14ac:dyDescent="0.2">
      <c r="A32364" s="258"/>
      <c r="Z32364" s="258"/>
    </row>
    <row r="32365" spans="1:26" ht="12.75" customHeight="1" x14ac:dyDescent="0.2">
      <c r="A32365" s="258"/>
      <c r="Z32365" s="258"/>
    </row>
    <row r="32366" spans="1:26" ht="12.75" customHeight="1" x14ac:dyDescent="0.2">
      <c r="A32366" s="258"/>
      <c r="Z32366" s="258"/>
    </row>
    <row r="32367" spans="1:26" ht="12.75" customHeight="1" x14ac:dyDescent="0.2">
      <c r="A32367" s="258"/>
      <c r="Z32367" s="258"/>
    </row>
    <row r="32368" spans="1:26" ht="12.75" customHeight="1" x14ac:dyDescent="0.2">
      <c r="A32368" s="258"/>
      <c r="Z32368" s="258"/>
    </row>
    <row r="32369" spans="1:26" ht="12.75" customHeight="1" x14ac:dyDescent="0.2">
      <c r="A32369" s="258"/>
      <c r="Z32369" s="258"/>
    </row>
    <row r="32370" spans="1:26" ht="12.75" customHeight="1" x14ac:dyDescent="0.2">
      <c r="A32370" s="258"/>
      <c r="Z32370" s="258"/>
    </row>
    <row r="32371" spans="1:26" ht="12.75" customHeight="1" x14ac:dyDescent="0.2">
      <c r="A32371" s="258"/>
      <c r="Z32371" s="258"/>
    </row>
    <row r="32372" spans="1:26" ht="12.75" customHeight="1" x14ac:dyDescent="0.2">
      <c r="A32372" s="258"/>
      <c r="Z32372" s="258"/>
    </row>
    <row r="32373" spans="1:26" ht="12.75" customHeight="1" x14ac:dyDescent="0.2">
      <c r="A32373" s="258"/>
      <c r="Z32373" s="258"/>
    </row>
    <row r="32374" spans="1:26" ht="12.75" customHeight="1" x14ac:dyDescent="0.2">
      <c r="A32374" s="258"/>
      <c r="Z32374" s="258"/>
    </row>
    <row r="32375" spans="1:26" ht="12.75" customHeight="1" x14ac:dyDescent="0.2">
      <c r="A32375" s="258"/>
      <c r="Z32375" s="258"/>
    </row>
    <row r="32376" spans="1:26" ht="12.75" customHeight="1" x14ac:dyDescent="0.2">
      <c r="A32376" s="258"/>
      <c r="Z32376" s="258"/>
    </row>
    <row r="32377" spans="1:26" ht="12.75" customHeight="1" x14ac:dyDescent="0.2">
      <c r="A32377" s="258"/>
      <c r="Z32377" s="258"/>
    </row>
    <row r="32378" spans="1:26" ht="12.75" customHeight="1" x14ac:dyDescent="0.2">
      <c r="A32378" s="258"/>
      <c r="Z32378" s="258"/>
    </row>
    <row r="32379" spans="1:26" ht="12.75" customHeight="1" x14ac:dyDescent="0.2">
      <c r="A32379" s="258"/>
      <c r="Z32379" s="258"/>
    </row>
    <row r="32380" spans="1:26" ht="12.75" customHeight="1" x14ac:dyDescent="0.2">
      <c r="A32380" s="258"/>
      <c r="Z32380" s="258"/>
    </row>
    <row r="32381" spans="1:26" ht="12.75" customHeight="1" x14ac:dyDescent="0.2">
      <c r="A32381" s="258"/>
      <c r="Z32381" s="258"/>
    </row>
    <row r="32382" spans="1:26" ht="12.75" customHeight="1" x14ac:dyDescent="0.2">
      <c r="A32382" s="258"/>
      <c r="Z32382" s="258"/>
    </row>
    <row r="32383" spans="1:26" ht="12.75" customHeight="1" x14ac:dyDescent="0.2">
      <c r="A32383" s="258"/>
      <c r="Z32383" s="258"/>
    </row>
    <row r="32384" spans="1:26" ht="12.75" customHeight="1" x14ac:dyDescent="0.2">
      <c r="A32384" s="258"/>
      <c r="Z32384" s="258"/>
    </row>
    <row r="32385" spans="1:26" ht="12.75" customHeight="1" x14ac:dyDescent="0.2">
      <c r="A32385" s="258"/>
      <c r="Z32385" s="258"/>
    </row>
    <row r="32386" spans="1:26" ht="12.75" customHeight="1" x14ac:dyDescent="0.2">
      <c r="A32386" s="258"/>
      <c r="Z32386" s="258"/>
    </row>
    <row r="32387" spans="1:26" ht="12.75" customHeight="1" x14ac:dyDescent="0.2">
      <c r="A32387" s="258"/>
      <c r="Z32387" s="258"/>
    </row>
    <row r="32388" spans="1:26" ht="12.75" customHeight="1" x14ac:dyDescent="0.2">
      <c r="A32388" s="258"/>
      <c r="Z32388" s="258"/>
    </row>
    <row r="32389" spans="1:26" ht="12.75" customHeight="1" x14ac:dyDescent="0.2">
      <c r="A32389" s="258"/>
      <c r="Z32389" s="258"/>
    </row>
    <row r="32390" spans="1:26" ht="12.75" customHeight="1" x14ac:dyDescent="0.2">
      <c r="A32390" s="258"/>
      <c r="Z32390" s="258"/>
    </row>
    <row r="32391" spans="1:26" ht="12.75" customHeight="1" x14ac:dyDescent="0.2">
      <c r="A32391" s="258"/>
      <c r="Z32391" s="258"/>
    </row>
    <row r="32392" spans="1:26" ht="12.75" customHeight="1" x14ac:dyDescent="0.2">
      <c r="A32392" s="258"/>
      <c r="Z32392" s="258"/>
    </row>
    <row r="32393" spans="1:26" ht="12.75" customHeight="1" x14ac:dyDescent="0.2">
      <c r="A32393" s="258"/>
      <c r="Z32393" s="258"/>
    </row>
    <row r="32394" spans="1:26" ht="12.75" customHeight="1" x14ac:dyDescent="0.2">
      <c r="A32394" s="258"/>
      <c r="Z32394" s="258"/>
    </row>
    <row r="32395" spans="1:26" ht="12.75" customHeight="1" x14ac:dyDescent="0.2">
      <c r="A32395" s="258"/>
      <c r="Z32395" s="258"/>
    </row>
    <row r="32396" spans="1:26" ht="12.75" customHeight="1" x14ac:dyDescent="0.2">
      <c r="A32396" s="258"/>
      <c r="Z32396" s="258"/>
    </row>
    <row r="32397" spans="1:26" ht="12.75" customHeight="1" x14ac:dyDescent="0.2">
      <c r="A32397" s="258"/>
      <c r="Z32397" s="258"/>
    </row>
    <row r="32398" spans="1:26" ht="12.75" customHeight="1" x14ac:dyDescent="0.2">
      <c r="A32398" s="258"/>
      <c r="Z32398" s="258"/>
    </row>
    <row r="32399" spans="1:26" ht="12.75" customHeight="1" x14ac:dyDescent="0.2">
      <c r="A32399" s="258"/>
      <c r="Z32399" s="258"/>
    </row>
    <row r="32400" spans="1:26" ht="12.75" customHeight="1" x14ac:dyDescent="0.2">
      <c r="A32400" s="258"/>
      <c r="Z32400" s="258"/>
    </row>
    <row r="32401" spans="1:26" ht="12.75" customHeight="1" x14ac:dyDescent="0.2">
      <c r="A32401" s="258"/>
      <c r="Z32401" s="258"/>
    </row>
    <row r="32402" spans="1:26" ht="12.75" customHeight="1" x14ac:dyDescent="0.2">
      <c r="A32402" s="258"/>
      <c r="Z32402" s="258"/>
    </row>
    <row r="32403" spans="1:26" ht="12.75" customHeight="1" x14ac:dyDescent="0.2">
      <c r="A32403" s="258"/>
      <c r="Z32403" s="258"/>
    </row>
    <row r="32404" spans="1:26" ht="12.75" customHeight="1" x14ac:dyDescent="0.2">
      <c r="A32404" s="258"/>
      <c r="Z32404" s="258"/>
    </row>
    <row r="32405" spans="1:26" ht="12.75" customHeight="1" x14ac:dyDescent="0.2">
      <c r="A32405" s="258"/>
      <c r="Z32405" s="258"/>
    </row>
    <row r="32406" spans="1:26" ht="12.75" customHeight="1" x14ac:dyDescent="0.2">
      <c r="A32406" s="258"/>
      <c r="Z32406" s="258"/>
    </row>
    <row r="32407" spans="1:26" ht="12.75" customHeight="1" x14ac:dyDescent="0.2">
      <c r="A32407" s="258"/>
      <c r="Z32407" s="258"/>
    </row>
    <row r="32408" spans="1:26" ht="12.75" customHeight="1" x14ac:dyDescent="0.2">
      <c r="A32408" s="258"/>
      <c r="Z32408" s="258"/>
    </row>
    <row r="32409" spans="1:26" ht="12.75" customHeight="1" x14ac:dyDescent="0.2">
      <c r="A32409" s="258"/>
      <c r="Z32409" s="258"/>
    </row>
    <row r="32410" spans="1:26" ht="12.75" customHeight="1" x14ac:dyDescent="0.2">
      <c r="A32410" s="258"/>
      <c r="Z32410" s="258"/>
    </row>
    <row r="32411" spans="1:26" ht="12.75" customHeight="1" x14ac:dyDescent="0.2">
      <c r="A32411" s="258"/>
      <c r="Z32411" s="258"/>
    </row>
    <row r="32412" spans="1:26" ht="12.75" customHeight="1" x14ac:dyDescent="0.2">
      <c r="A32412" s="258"/>
      <c r="Z32412" s="258"/>
    </row>
    <row r="32413" spans="1:26" ht="12.75" customHeight="1" x14ac:dyDescent="0.2">
      <c r="A32413" s="258"/>
      <c r="Z32413" s="258"/>
    </row>
    <row r="32414" spans="1:26" ht="12.75" customHeight="1" x14ac:dyDescent="0.2">
      <c r="A32414" s="258"/>
      <c r="Z32414" s="258"/>
    </row>
    <row r="32415" spans="1:26" ht="12.75" customHeight="1" x14ac:dyDescent="0.2">
      <c r="A32415" s="258"/>
      <c r="Z32415" s="258"/>
    </row>
    <row r="32416" spans="1:26" ht="12.75" customHeight="1" x14ac:dyDescent="0.2">
      <c r="A32416" s="258"/>
      <c r="Z32416" s="258"/>
    </row>
    <row r="32417" spans="1:26" ht="12.75" customHeight="1" x14ac:dyDescent="0.2">
      <c r="A32417" s="258"/>
      <c r="Z32417" s="258"/>
    </row>
    <row r="32418" spans="1:26" ht="12.75" customHeight="1" x14ac:dyDescent="0.2">
      <c r="A32418" s="258"/>
      <c r="Z32418" s="258"/>
    </row>
    <row r="32419" spans="1:26" ht="12.75" customHeight="1" x14ac:dyDescent="0.2">
      <c r="A32419" s="258"/>
      <c r="Z32419" s="258"/>
    </row>
    <row r="32420" spans="1:26" ht="12.75" customHeight="1" x14ac:dyDescent="0.2">
      <c r="A32420" s="258"/>
      <c r="Z32420" s="258"/>
    </row>
    <row r="32421" spans="1:26" ht="12.75" customHeight="1" x14ac:dyDescent="0.2">
      <c r="A32421" s="258"/>
      <c r="Z32421" s="258"/>
    </row>
    <row r="32422" spans="1:26" ht="12.75" customHeight="1" x14ac:dyDescent="0.2">
      <c r="A32422" s="258"/>
      <c r="Z32422" s="258"/>
    </row>
    <row r="32423" spans="1:26" ht="12.75" customHeight="1" x14ac:dyDescent="0.2">
      <c r="A32423" s="258"/>
      <c r="Z32423" s="258"/>
    </row>
    <row r="32424" spans="1:26" ht="12.75" customHeight="1" x14ac:dyDescent="0.2">
      <c r="A32424" s="258"/>
      <c r="Z32424" s="258"/>
    </row>
    <row r="32425" spans="1:26" ht="12.75" customHeight="1" x14ac:dyDescent="0.2">
      <c r="A32425" s="258"/>
      <c r="Z32425" s="258"/>
    </row>
    <row r="32426" spans="1:26" ht="12.75" customHeight="1" x14ac:dyDescent="0.2">
      <c r="A32426" s="258"/>
      <c r="Z32426" s="258"/>
    </row>
    <row r="32427" spans="1:26" ht="12.75" customHeight="1" x14ac:dyDescent="0.2">
      <c r="A32427" s="258"/>
      <c r="Z32427" s="258"/>
    </row>
    <row r="32428" spans="1:26" ht="12.75" customHeight="1" x14ac:dyDescent="0.2">
      <c r="A32428" s="258"/>
      <c r="Z32428" s="258"/>
    </row>
    <row r="32429" spans="1:26" ht="12.75" customHeight="1" x14ac:dyDescent="0.2">
      <c r="A32429" s="258"/>
      <c r="Z32429" s="258"/>
    </row>
    <row r="32430" spans="1:26" ht="12.75" customHeight="1" x14ac:dyDescent="0.2">
      <c r="A32430" s="258"/>
      <c r="Z32430" s="258"/>
    </row>
    <row r="32431" spans="1:26" ht="12.75" customHeight="1" x14ac:dyDescent="0.2">
      <c r="A32431" s="258"/>
      <c r="Z32431" s="258"/>
    </row>
    <row r="32432" spans="1:26" ht="12.75" customHeight="1" x14ac:dyDescent="0.2">
      <c r="A32432" s="258"/>
      <c r="Z32432" s="258"/>
    </row>
    <row r="32433" spans="1:26" ht="12.75" customHeight="1" x14ac:dyDescent="0.2">
      <c r="A32433" s="258"/>
      <c r="Z32433" s="258"/>
    </row>
    <row r="32434" spans="1:26" ht="12.75" customHeight="1" x14ac:dyDescent="0.2">
      <c r="A32434" s="258"/>
      <c r="Z32434" s="258"/>
    </row>
    <row r="32435" spans="1:26" ht="12.75" customHeight="1" x14ac:dyDescent="0.2">
      <c r="A32435" s="258"/>
      <c r="Z32435" s="258"/>
    </row>
    <row r="32436" spans="1:26" ht="12.75" customHeight="1" x14ac:dyDescent="0.2">
      <c r="A32436" s="258"/>
      <c r="Z32436" s="258"/>
    </row>
    <row r="32437" spans="1:26" ht="12.75" customHeight="1" x14ac:dyDescent="0.2">
      <c r="A32437" s="258"/>
      <c r="Z32437" s="258"/>
    </row>
    <row r="32438" spans="1:26" ht="12.75" customHeight="1" x14ac:dyDescent="0.2">
      <c r="A32438" s="258"/>
      <c r="Z32438" s="258"/>
    </row>
    <row r="32439" spans="1:26" ht="12.75" customHeight="1" x14ac:dyDescent="0.2">
      <c r="A32439" s="258"/>
      <c r="Z32439" s="258"/>
    </row>
    <row r="32440" spans="1:26" ht="12.75" customHeight="1" x14ac:dyDescent="0.2">
      <c r="A32440" s="258"/>
      <c r="Z32440" s="258"/>
    </row>
    <row r="32441" spans="1:26" ht="12.75" customHeight="1" x14ac:dyDescent="0.2">
      <c r="A32441" s="258"/>
      <c r="Z32441" s="258"/>
    </row>
    <row r="32442" spans="1:26" ht="12.75" customHeight="1" x14ac:dyDescent="0.2">
      <c r="A32442" s="258"/>
      <c r="Z32442" s="258"/>
    </row>
    <row r="32443" spans="1:26" ht="12.75" customHeight="1" x14ac:dyDescent="0.2">
      <c r="A32443" s="258"/>
      <c r="Z32443" s="258"/>
    </row>
    <row r="32444" spans="1:26" ht="12.75" customHeight="1" x14ac:dyDescent="0.2">
      <c r="A32444" s="258"/>
      <c r="Z32444" s="258"/>
    </row>
    <row r="32445" spans="1:26" ht="12.75" customHeight="1" x14ac:dyDescent="0.2">
      <c r="A32445" s="258"/>
      <c r="Z32445" s="258"/>
    </row>
    <row r="32446" spans="1:26" ht="12.75" customHeight="1" x14ac:dyDescent="0.2">
      <c r="A32446" s="258"/>
      <c r="Z32446" s="258"/>
    </row>
    <row r="32447" spans="1:26" ht="12.75" customHeight="1" x14ac:dyDescent="0.2">
      <c r="A32447" s="258"/>
      <c r="Z32447" s="258"/>
    </row>
    <row r="32448" spans="1:26" ht="12.75" customHeight="1" x14ac:dyDescent="0.2">
      <c r="A32448" s="258"/>
      <c r="Z32448" s="258"/>
    </row>
    <row r="32449" spans="1:26" ht="12.75" customHeight="1" x14ac:dyDescent="0.2">
      <c r="A32449" s="258"/>
      <c r="Z32449" s="258"/>
    </row>
    <row r="32450" spans="1:26" ht="12.75" customHeight="1" x14ac:dyDescent="0.2">
      <c r="A32450" s="258"/>
      <c r="Z32450" s="258"/>
    </row>
    <row r="32451" spans="1:26" ht="12.75" customHeight="1" x14ac:dyDescent="0.2">
      <c r="A32451" s="258"/>
      <c r="Z32451" s="258"/>
    </row>
    <row r="32452" spans="1:26" ht="12.75" customHeight="1" x14ac:dyDescent="0.2">
      <c r="A32452" s="258"/>
      <c r="Z32452" s="258"/>
    </row>
    <row r="32453" spans="1:26" ht="12.75" customHeight="1" x14ac:dyDescent="0.2">
      <c r="A32453" s="258"/>
      <c r="Z32453" s="258"/>
    </row>
    <row r="32454" spans="1:26" ht="12.75" customHeight="1" x14ac:dyDescent="0.2">
      <c r="A32454" s="258"/>
      <c r="Z32454" s="258"/>
    </row>
    <row r="32455" spans="1:26" ht="12.75" customHeight="1" x14ac:dyDescent="0.2">
      <c r="A32455" s="258"/>
      <c r="Z32455" s="258"/>
    </row>
    <row r="32456" spans="1:26" ht="12.75" customHeight="1" x14ac:dyDescent="0.2">
      <c r="A32456" s="258"/>
      <c r="Z32456" s="258"/>
    </row>
    <row r="32457" spans="1:26" ht="12.75" customHeight="1" x14ac:dyDescent="0.2">
      <c r="A32457" s="258"/>
      <c r="Z32457" s="258"/>
    </row>
    <row r="32458" spans="1:26" ht="12.75" customHeight="1" x14ac:dyDescent="0.2">
      <c r="A32458" s="258"/>
      <c r="Z32458" s="258"/>
    </row>
    <row r="32459" spans="1:26" ht="12.75" customHeight="1" x14ac:dyDescent="0.2">
      <c r="A32459" s="258"/>
      <c r="Z32459" s="258"/>
    </row>
    <row r="32460" spans="1:26" ht="12.75" customHeight="1" x14ac:dyDescent="0.2">
      <c r="A32460" s="258"/>
      <c r="Z32460" s="258"/>
    </row>
    <row r="32461" spans="1:26" ht="12.75" customHeight="1" x14ac:dyDescent="0.2">
      <c r="A32461" s="258"/>
      <c r="Z32461" s="258"/>
    </row>
    <row r="32462" spans="1:26" ht="12.75" customHeight="1" x14ac:dyDescent="0.2">
      <c r="A32462" s="258"/>
      <c r="Z32462" s="258"/>
    </row>
    <row r="32463" spans="1:26" ht="12.75" customHeight="1" x14ac:dyDescent="0.2">
      <c r="A32463" s="258"/>
      <c r="Z32463" s="258"/>
    </row>
    <row r="32464" spans="1:26" ht="12.75" customHeight="1" x14ac:dyDescent="0.2">
      <c r="A32464" s="258"/>
      <c r="Z32464" s="258"/>
    </row>
    <row r="32465" spans="1:26" ht="12.75" customHeight="1" x14ac:dyDescent="0.2">
      <c r="A32465" s="258"/>
      <c r="Z32465" s="258"/>
    </row>
    <row r="32466" spans="1:26" ht="12.75" customHeight="1" x14ac:dyDescent="0.2">
      <c r="A32466" s="258"/>
      <c r="Z32466" s="258"/>
    </row>
    <row r="32467" spans="1:26" ht="12.75" customHeight="1" x14ac:dyDescent="0.2">
      <c r="A32467" s="258"/>
      <c r="Z32467" s="258"/>
    </row>
    <row r="32468" spans="1:26" ht="12.75" customHeight="1" x14ac:dyDescent="0.2">
      <c r="A32468" s="258"/>
      <c r="Z32468" s="258"/>
    </row>
    <row r="32469" spans="1:26" ht="12.75" customHeight="1" x14ac:dyDescent="0.2">
      <c r="A32469" s="258"/>
      <c r="Z32469" s="258"/>
    </row>
    <row r="32470" spans="1:26" ht="12.75" customHeight="1" x14ac:dyDescent="0.2">
      <c r="A32470" s="258"/>
      <c r="Z32470" s="258"/>
    </row>
    <row r="32471" spans="1:26" ht="12.75" customHeight="1" x14ac:dyDescent="0.2">
      <c r="A32471" s="258"/>
      <c r="Z32471" s="258"/>
    </row>
    <row r="32472" spans="1:26" ht="12.75" customHeight="1" x14ac:dyDescent="0.2">
      <c r="A32472" s="258"/>
      <c r="Z32472" s="258"/>
    </row>
    <row r="32473" spans="1:26" ht="12.75" customHeight="1" x14ac:dyDescent="0.2">
      <c r="A32473" s="258"/>
      <c r="Z32473" s="258"/>
    </row>
    <row r="32474" spans="1:26" ht="12.75" customHeight="1" x14ac:dyDescent="0.2">
      <c r="A32474" s="258"/>
      <c r="Z32474" s="258"/>
    </row>
    <row r="32475" spans="1:26" ht="12.75" customHeight="1" x14ac:dyDescent="0.2">
      <c r="A32475" s="258"/>
      <c r="Z32475" s="258"/>
    </row>
    <row r="32476" spans="1:26" ht="12.75" customHeight="1" x14ac:dyDescent="0.2">
      <c r="A32476" s="258"/>
      <c r="Z32476" s="258"/>
    </row>
    <row r="32477" spans="1:26" ht="12.75" customHeight="1" x14ac:dyDescent="0.2">
      <c r="A32477" s="258"/>
      <c r="Z32477" s="258"/>
    </row>
    <row r="32478" spans="1:26" ht="12.75" customHeight="1" x14ac:dyDescent="0.2">
      <c r="A32478" s="258"/>
      <c r="Z32478" s="258"/>
    </row>
    <row r="32479" spans="1:26" ht="12.75" customHeight="1" x14ac:dyDescent="0.2">
      <c r="A32479" s="258"/>
      <c r="Z32479" s="258"/>
    </row>
    <row r="32480" spans="1:26" ht="12.75" customHeight="1" x14ac:dyDescent="0.2">
      <c r="A32480" s="258"/>
      <c r="Z32480" s="258"/>
    </row>
    <row r="32481" spans="1:26" ht="12.75" customHeight="1" x14ac:dyDescent="0.2">
      <c r="A32481" s="258"/>
      <c r="Z32481" s="258"/>
    </row>
    <row r="32482" spans="1:26" ht="12.75" customHeight="1" x14ac:dyDescent="0.2">
      <c r="A32482" s="258"/>
      <c r="Z32482" s="258"/>
    </row>
    <row r="32483" spans="1:26" ht="12.75" customHeight="1" x14ac:dyDescent="0.2">
      <c r="A32483" s="258"/>
      <c r="Z32483" s="258"/>
    </row>
    <row r="32484" spans="1:26" ht="12.75" customHeight="1" x14ac:dyDescent="0.2">
      <c r="A32484" s="258"/>
      <c r="Z32484" s="258"/>
    </row>
    <row r="32485" spans="1:26" ht="12.75" customHeight="1" x14ac:dyDescent="0.2">
      <c r="A32485" s="258"/>
      <c r="Z32485" s="258"/>
    </row>
    <row r="32486" spans="1:26" ht="12.75" customHeight="1" x14ac:dyDescent="0.2">
      <c r="A32486" s="258"/>
      <c r="Z32486" s="258"/>
    </row>
    <row r="32487" spans="1:26" ht="12.75" customHeight="1" x14ac:dyDescent="0.2">
      <c r="A32487" s="258"/>
      <c r="Z32487" s="258"/>
    </row>
    <row r="32488" spans="1:26" ht="12.75" customHeight="1" x14ac:dyDescent="0.2">
      <c r="A32488" s="258"/>
      <c r="Z32488" s="258"/>
    </row>
    <row r="32489" spans="1:26" ht="12.75" customHeight="1" x14ac:dyDescent="0.2">
      <c r="A32489" s="258"/>
      <c r="Z32489" s="258"/>
    </row>
    <row r="32490" spans="1:26" ht="12.75" customHeight="1" x14ac:dyDescent="0.2">
      <c r="A32490" s="258"/>
      <c r="Z32490" s="258"/>
    </row>
    <row r="32491" spans="1:26" ht="12.75" customHeight="1" x14ac:dyDescent="0.2">
      <c r="A32491" s="258"/>
      <c r="Z32491" s="258"/>
    </row>
    <row r="32492" spans="1:26" ht="12.75" customHeight="1" x14ac:dyDescent="0.2">
      <c r="A32492" s="258"/>
      <c r="Z32492" s="258"/>
    </row>
    <row r="32493" spans="1:26" ht="12.75" customHeight="1" x14ac:dyDescent="0.2">
      <c r="A32493" s="258"/>
      <c r="Z32493" s="258"/>
    </row>
    <row r="32494" spans="1:26" ht="12.75" customHeight="1" x14ac:dyDescent="0.2">
      <c r="A32494" s="258"/>
      <c r="Z32494" s="258"/>
    </row>
    <row r="32495" spans="1:26" ht="12.75" customHeight="1" x14ac:dyDescent="0.2">
      <c r="A32495" s="258"/>
      <c r="Z32495" s="258"/>
    </row>
    <row r="32496" spans="1:26" ht="12.75" customHeight="1" x14ac:dyDescent="0.2">
      <c r="A32496" s="258"/>
      <c r="Z32496" s="258"/>
    </row>
    <row r="32497" spans="1:26" ht="12.75" customHeight="1" x14ac:dyDescent="0.2">
      <c r="A32497" s="258"/>
      <c r="Z32497" s="258"/>
    </row>
    <row r="32498" spans="1:26" ht="12.75" customHeight="1" x14ac:dyDescent="0.2">
      <c r="A32498" s="258"/>
      <c r="Z32498" s="258"/>
    </row>
    <row r="32499" spans="1:26" ht="12.75" customHeight="1" x14ac:dyDescent="0.2">
      <c r="A32499" s="258"/>
      <c r="Z32499" s="258"/>
    </row>
    <row r="32500" spans="1:26" ht="12.75" customHeight="1" x14ac:dyDescent="0.2">
      <c r="A32500" s="258"/>
      <c r="Z32500" s="258"/>
    </row>
    <row r="32501" spans="1:26" ht="12.75" customHeight="1" x14ac:dyDescent="0.2">
      <c r="A32501" s="258"/>
      <c r="Z32501" s="258"/>
    </row>
    <row r="32502" spans="1:26" ht="12.75" customHeight="1" x14ac:dyDescent="0.2">
      <c r="A32502" s="258"/>
      <c r="Z32502" s="258"/>
    </row>
    <row r="32503" spans="1:26" ht="12.75" customHeight="1" x14ac:dyDescent="0.2">
      <c r="A32503" s="258"/>
      <c r="Z32503" s="258"/>
    </row>
    <row r="32504" spans="1:26" ht="12.75" customHeight="1" x14ac:dyDescent="0.2">
      <c r="A32504" s="258"/>
      <c r="Z32504" s="258"/>
    </row>
    <row r="32505" spans="1:26" ht="12.75" customHeight="1" x14ac:dyDescent="0.2">
      <c r="A32505" s="258"/>
      <c r="Z32505" s="258"/>
    </row>
    <row r="32506" spans="1:26" ht="12.75" customHeight="1" x14ac:dyDescent="0.2">
      <c r="A32506" s="258"/>
      <c r="Z32506" s="258"/>
    </row>
    <row r="32507" spans="1:26" ht="12.75" customHeight="1" x14ac:dyDescent="0.2">
      <c r="A32507" s="258"/>
      <c r="Z32507" s="258"/>
    </row>
    <row r="32508" spans="1:26" ht="12.75" customHeight="1" x14ac:dyDescent="0.2">
      <c r="A32508" s="258"/>
      <c r="Z32508" s="258"/>
    </row>
    <row r="32509" spans="1:26" ht="12.75" customHeight="1" x14ac:dyDescent="0.2">
      <c r="A32509" s="258"/>
      <c r="Z32509" s="258"/>
    </row>
    <row r="32510" spans="1:26" ht="12.75" customHeight="1" x14ac:dyDescent="0.2">
      <c r="A32510" s="258"/>
      <c r="Z32510" s="258"/>
    </row>
    <row r="32511" spans="1:26" ht="12.75" customHeight="1" x14ac:dyDescent="0.2">
      <c r="A32511" s="258"/>
      <c r="Z32511" s="258"/>
    </row>
    <row r="32512" spans="1:26" ht="12.75" customHeight="1" x14ac:dyDescent="0.2">
      <c r="A32512" s="258"/>
      <c r="Z32512" s="258"/>
    </row>
    <row r="32513" spans="1:26" ht="12.75" customHeight="1" x14ac:dyDescent="0.2">
      <c r="A32513" s="258"/>
      <c r="Z32513" s="258"/>
    </row>
    <row r="32514" spans="1:26" ht="12.75" customHeight="1" x14ac:dyDescent="0.2">
      <c r="A32514" s="258"/>
      <c r="Z32514" s="258"/>
    </row>
    <row r="32515" spans="1:26" ht="12.75" customHeight="1" x14ac:dyDescent="0.2">
      <c r="A32515" s="258"/>
      <c r="Z32515" s="258"/>
    </row>
    <row r="32516" spans="1:26" ht="12.75" customHeight="1" x14ac:dyDescent="0.2">
      <c r="A32516" s="258"/>
      <c r="Z32516" s="258"/>
    </row>
    <row r="32517" spans="1:26" ht="12.75" customHeight="1" x14ac:dyDescent="0.2">
      <c r="A32517" s="258"/>
      <c r="Z32517" s="258"/>
    </row>
    <row r="32518" spans="1:26" ht="12.75" customHeight="1" x14ac:dyDescent="0.2">
      <c r="A32518" s="258"/>
      <c r="Z32518" s="258"/>
    </row>
    <row r="32519" spans="1:26" ht="12.75" customHeight="1" x14ac:dyDescent="0.2">
      <c r="A32519" s="258"/>
      <c r="Z32519" s="258"/>
    </row>
    <row r="32520" spans="1:26" ht="12.75" customHeight="1" x14ac:dyDescent="0.2">
      <c r="A32520" s="258"/>
      <c r="Z32520" s="258"/>
    </row>
    <row r="32521" spans="1:26" ht="12.75" customHeight="1" x14ac:dyDescent="0.2">
      <c r="A32521" s="258"/>
      <c r="Z32521" s="258"/>
    </row>
    <row r="32522" spans="1:26" ht="12.75" customHeight="1" x14ac:dyDescent="0.2">
      <c r="A32522" s="258"/>
      <c r="Z32522" s="258"/>
    </row>
    <row r="32523" spans="1:26" ht="12.75" customHeight="1" x14ac:dyDescent="0.2">
      <c r="A32523" s="258"/>
      <c r="Z32523" s="258"/>
    </row>
    <row r="32524" spans="1:26" ht="12.75" customHeight="1" x14ac:dyDescent="0.2">
      <c r="A32524" s="258"/>
      <c r="Z32524" s="258"/>
    </row>
    <row r="32525" spans="1:26" ht="12.75" customHeight="1" x14ac:dyDescent="0.2">
      <c r="A32525" s="258"/>
      <c r="Z32525" s="258"/>
    </row>
    <row r="32526" spans="1:26" ht="12.75" customHeight="1" x14ac:dyDescent="0.2">
      <c r="A32526" s="258"/>
      <c r="Z32526" s="258"/>
    </row>
    <row r="32527" spans="1:26" ht="12.75" customHeight="1" x14ac:dyDescent="0.2">
      <c r="A32527" s="258"/>
      <c r="Z32527" s="258"/>
    </row>
    <row r="32528" spans="1:26" ht="12.75" customHeight="1" x14ac:dyDescent="0.2">
      <c r="A32528" s="258"/>
      <c r="Z32528" s="258"/>
    </row>
    <row r="32529" spans="1:26" ht="12.75" customHeight="1" x14ac:dyDescent="0.2">
      <c r="A32529" s="258"/>
      <c r="Z32529" s="258"/>
    </row>
    <row r="32530" spans="1:26" ht="12.75" customHeight="1" x14ac:dyDescent="0.2">
      <c r="A32530" s="258"/>
      <c r="Z32530" s="258"/>
    </row>
    <row r="32531" spans="1:26" ht="12.75" customHeight="1" x14ac:dyDescent="0.2">
      <c r="A32531" s="258"/>
      <c r="Z32531" s="258"/>
    </row>
    <row r="32532" spans="1:26" ht="12.75" customHeight="1" x14ac:dyDescent="0.2">
      <c r="A32532" s="258"/>
      <c r="Z32532" s="258"/>
    </row>
    <row r="32533" spans="1:26" ht="12.75" customHeight="1" x14ac:dyDescent="0.2">
      <c r="A32533" s="258"/>
      <c r="Z32533" s="258"/>
    </row>
    <row r="32534" spans="1:26" ht="12.75" customHeight="1" x14ac:dyDescent="0.2">
      <c r="A32534" s="258"/>
      <c r="Z32534" s="258"/>
    </row>
    <row r="32535" spans="1:26" ht="12.75" customHeight="1" x14ac:dyDescent="0.2">
      <c r="A32535" s="258"/>
      <c r="Z32535" s="258"/>
    </row>
    <row r="32536" spans="1:26" ht="12.75" customHeight="1" x14ac:dyDescent="0.2">
      <c r="A32536" s="258"/>
      <c r="Z32536" s="258"/>
    </row>
    <row r="32537" spans="1:26" ht="12.75" customHeight="1" x14ac:dyDescent="0.2">
      <c r="A32537" s="258"/>
      <c r="Z32537" s="258"/>
    </row>
    <row r="32538" spans="1:26" ht="12.75" customHeight="1" x14ac:dyDescent="0.2">
      <c r="A32538" s="258"/>
      <c r="Z32538" s="258"/>
    </row>
    <row r="32539" spans="1:26" ht="12.75" customHeight="1" x14ac:dyDescent="0.2">
      <c r="A32539" s="258"/>
      <c r="Z32539" s="258"/>
    </row>
    <row r="32540" spans="1:26" ht="12.75" customHeight="1" x14ac:dyDescent="0.2">
      <c r="A32540" s="258"/>
      <c r="Z32540" s="258"/>
    </row>
    <row r="32541" spans="1:26" ht="12.75" customHeight="1" x14ac:dyDescent="0.2">
      <c r="A32541" s="258"/>
      <c r="Z32541" s="258"/>
    </row>
    <row r="32542" spans="1:26" ht="12.75" customHeight="1" x14ac:dyDescent="0.2">
      <c r="A32542" s="258"/>
      <c r="Z32542" s="258"/>
    </row>
    <row r="32543" spans="1:26" ht="12.75" customHeight="1" x14ac:dyDescent="0.2">
      <c r="A32543" s="258"/>
      <c r="Z32543" s="258"/>
    </row>
    <row r="32544" spans="1:26" ht="12.75" customHeight="1" x14ac:dyDescent="0.2">
      <c r="A32544" s="258"/>
      <c r="Z32544" s="258"/>
    </row>
    <row r="32545" spans="1:26" ht="12.75" customHeight="1" x14ac:dyDescent="0.2">
      <c r="A32545" s="258"/>
      <c r="Z32545" s="258"/>
    </row>
    <row r="32546" spans="1:26" ht="12.75" customHeight="1" x14ac:dyDescent="0.2">
      <c r="A32546" s="258"/>
      <c r="Z32546" s="258"/>
    </row>
    <row r="32547" spans="1:26" ht="12.75" customHeight="1" x14ac:dyDescent="0.2">
      <c r="A32547" s="258"/>
      <c r="Z32547" s="258"/>
    </row>
    <row r="32548" spans="1:26" ht="12.75" customHeight="1" x14ac:dyDescent="0.2">
      <c r="A32548" s="258"/>
      <c r="Z32548" s="258"/>
    </row>
    <row r="32549" spans="1:26" ht="12.75" customHeight="1" x14ac:dyDescent="0.2">
      <c r="A32549" s="258"/>
      <c r="Z32549" s="258"/>
    </row>
    <row r="32550" spans="1:26" ht="12.75" customHeight="1" x14ac:dyDescent="0.2">
      <c r="A32550" s="258"/>
      <c r="Z32550" s="258"/>
    </row>
    <row r="32551" spans="1:26" ht="12.75" customHeight="1" x14ac:dyDescent="0.2">
      <c r="A32551" s="258"/>
      <c r="Z32551" s="258"/>
    </row>
    <row r="32552" spans="1:26" ht="12.75" customHeight="1" x14ac:dyDescent="0.2">
      <c r="A32552" s="258"/>
      <c r="Z32552" s="258"/>
    </row>
    <row r="32553" spans="1:26" ht="12.75" customHeight="1" x14ac:dyDescent="0.2">
      <c r="A32553" s="258"/>
      <c r="Z32553" s="258"/>
    </row>
    <row r="32554" spans="1:26" ht="12.75" customHeight="1" x14ac:dyDescent="0.2">
      <c r="A32554" s="258"/>
      <c r="Z32554" s="258"/>
    </row>
    <row r="32555" spans="1:26" ht="12.75" customHeight="1" x14ac:dyDescent="0.2">
      <c r="A32555" s="258"/>
      <c r="Z32555" s="258"/>
    </row>
    <row r="32556" spans="1:26" ht="12.75" customHeight="1" x14ac:dyDescent="0.2">
      <c r="A32556" s="258"/>
      <c r="Z32556" s="258"/>
    </row>
    <row r="32557" spans="1:26" ht="12.75" customHeight="1" x14ac:dyDescent="0.2">
      <c r="A32557" s="258"/>
      <c r="Z32557" s="258"/>
    </row>
    <row r="32558" spans="1:26" ht="12.75" customHeight="1" x14ac:dyDescent="0.2">
      <c r="A32558" s="258"/>
      <c r="Z32558" s="258"/>
    </row>
    <row r="32559" spans="1:26" ht="12.75" customHeight="1" x14ac:dyDescent="0.2">
      <c r="A32559" s="258"/>
      <c r="Z32559" s="258"/>
    </row>
    <row r="32560" spans="1:26" ht="12.75" customHeight="1" x14ac:dyDescent="0.2">
      <c r="A32560" s="258"/>
      <c r="Z32560" s="258"/>
    </row>
    <row r="32561" spans="1:26" ht="12.75" customHeight="1" x14ac:dyDescent="0.2">
      <c r="A32561" s="258"/>
      <c r="Z32561" s="258"/>
    </row>
    <row r="32562" spans="1:26" ht="12.75" customHeight="1" x14ac:dyDescent="0.2">
      <c r="A32562" s="258"/>
      <c r="Z32562" s="258"/>
    </row>
    <row r="32563" spans="1:26" ht="12.75" customHeight="1" x14ac:dyDescent="0.2">
      <c r="A32563" s="258"/>
      <c r="Z32563" s="258"/>
    </row>
    <row r="32564" spans="1:26" ht="12.75" customHeight="1" x14ac:dyDescent="0.2">
      <c r="A32564" s="258"/>
      <c r="Z32564" s="258"/>
    </row>
    <row r="32565" spans="1:26" ht="12.75" customHeight="1" x14ac:dyDescent="0.2">
      <c r="A32565" s="258"/>
      <c r="Z32565" s="258"/>
    </row>
    <row r="32566" spans="1:26" ht="12.75" customHeight="1" x14ac:dyDescent="0.2">
      <c r="A32566" s="258"/>
      <c r="Z32566" s="258"/>
    </row>
    <row r="32567" spans="1:26" ht="12.75" customHeight="1" x14ac:dyDescent="0.2">
      <c r="A32567" s="258"/>
      <c r="Z32567" s="258"/>
    </row>
    <row r="32568" spans="1:26" ht="12.75" customHeight="1" x14ac:dyDescent="0.2">
      <c r="A32568" s="258"/>
      <c r="Z32568" s="258"/>
    </row>
    <row r="32569" spans="1:26" ht="12.75" customHeight="1" x14ac:dyDescent="0.2">
      <c r="A32569" s="258"/>
      <c r="Z32569" s="258"/>
    </row>
    <row r="32570" spans="1:26" ht="12.75" customHeight="1" x14ac:dyDescent="0.2">
      <c r="A32570" s="258"/>
      <c r="Z32570" s="258"/>
    </row>
    <row r="32571" spans="1:26" ht="12.75" customHeight="1" x14ac:dyDescent="0.2">
      <c r="A32571" s="258"/>
      <c r="Z32571" s="258"/>
    </row>
    <row r="32572" spans="1:26" ht="12.75" customHeight="1" x14ac:dyDescent="0.2">
      <c r="A32572" s="258"/>
      <c r="Z32572" s="258"/>
    </row>
    <row r="32573" spans="1:26" ht="12.75" customHeight="1" x14ac:dyDescent="0.2">
      <c r="A32573" s="258"/>
      <c r="Z32573" s="258"/>
    </row>
    <row r="32574" spans="1:26" ht="12.75" customHeight="1" x14ac:dyDescent="0.2">
      <c r="A32574" s="258"/>
      <c r="Z32574" s="258"/>
    </row>
    <row r="32575" spans="1:26" ht="12.75" customHeight="1" x14ac:dyDescent="0.2">
      <c r="A32575" s="258"/>
      <c r="Z32575" s="258"/>
    </row>
    <row r="32576" spans="1:26" ht="12.75" customHeight="1" x14ac:dyDescent="0.2">
      <c r="A32576" s="258"/>
      <c r="Z32576" s="258"/>
    </row>
    <row r="32577" spans="1:26" ht="12.75" customHeight="1" x14ac:dyDescent="0.2">
      <c r="A32577" s="258"/>
      <c r="Z32577" s="258"/>
    </row>
    <row r="32578" spans="1:26" ht="12.75" customHeight="1" x14ac:dyDescent="0.2">
      <c r="A32578" s="258"/>
      <c r="Z32578" s="258"/>
    </row>
    <row r="32579" spans="1:26" ht="12.75" customHeight="1" x14ac:dyDescent="0.2">
      <c r="A32579" s="258"/>
      <c r="Z32579" s="258"/>
    </row>
    <row r="32580" spans="1:26" ht="12.75" customHeight="1" x14ac:dyDescent="0.2">
      <c r="A32580" s="258"/>
      <c r="Z32580" s="258"/>
    </row>
    <row r="32581" spans="1:26" ht="12.75" customHeight="1" x14ac:dyDescent="0.2">
      <c r="A32581" s="258"/>
      <c r="Z32581" s="258"/>
    </row>
    <row r="32582" spans="1:26" ht="12.75" customHeight="1" x14ac:dyDescent="0.2">
      <c r="A32582" s="258"/>
      <c r="Z32582" s="258"/>
    </row>
    <row r="32583" spans="1:26" ht="12.75" customHeight="1" x14ac:dyDescent="0.2">
      <c r="A32583" s="258"/>
      <c r="Z32583" s="258"/>
    </row>
    <row r="32584" spans="1:26" ht="12.75" customHeight="1" x14ac:dyDescent="0.2">
      <c r="A32584" s="258"/>
      <c r="Z32584" s="258"/>
    </row>
    <row r="32585" spans="1:26" ht="12.75" customHeight="1" x14ac:dyDescent="0.2">
      <c r="A32585" s="258"/>
      <c r="Z32585" s="258"/>
    </row>
    <row r="32586" spans="1:26" ht="12.75" customHeight="1" x14ac:dyDescent="0.2">
      <c r="A32586" s="258"/>
      <c r="Z32586" s="258"/>
    </row>
    <row r="32587" spans="1:26" ht="12.75" customHeight="1" x14ac:dyDescent="0.2">
      <c r="A32587" s="258"/>
      <c r="Z32587" s="258"/>
    </row>
    <row r="32588" spans="1:26" ht="12.75" customHeight="1" x14ac:dyDescent="0.2">
      <c r="A32588" s="258"/>
      <c r="Z32588" s="258"/>
    </row>
    <row r="32589" spans="1:26" ht="12.75" customHeight="1" x14ac:dyDescent="0.2">
      <c r="A32589" s="258"/>
      <c r="Z32589" s="258"/>
    </row>
    <row r="32590" spans="1:26" ht="12.75" customHeight="1" x14ac:dyDescent="0.2">
      <c r="A32590" s="258"/>
      <c r="Z32590" s="258"/>
    </row>
    <row r="32591" spans="1:26" ht="12.75" customHeight="1" x14ac:dyDescent="0.2">
      <c r="A32591" s="258"/>
      <c r="Z32591" s="258"/>
    </row>
    <row r="32592" spans="1:26" ht="12.75" customHeight="1" x14ac:dyDescent="0.2">
      <c r="A32592" s="258"/>
      <c r="Z32592" s="258"/>
    </row>
    <row r="32593" spans="1:26" ht="12.75" customHeight="1" x14ac:dyDescent="0.2">
      <c r="A32593" s="258"/>
      <c r="Z32593" s="258"/>
    </row>
    <row r="32594" spans="1:26" ht="12.75" customHeight="1" x14ac:dyDescent="0.2">
      <c r="A32594" s="258"/>
      <c r="Z32594" s="258"/>
    </row>
    <row r="32595" spans="1:26" ht="12.75" customHeight="1" x14ac:dyDescent="0.2">
      <c r="A32595" s="258"/>
      <c r="Z32595" s="258"/>
    </row>
    <row r="32596" spans="1:26" ht="12.75" customHeight="1" x14ac:dyDescent="0.2">
      <c r="A32596" s="258"/>
      <c r="Z32596" s="258"/>
    </row>
    <row r="32597" spans="1:26" ht="12.75" customHeight="1" x14ac:dyDescent="0.2">
      <c r="A32597" s="258"/>
      <c r="Z32597" s="258"/>
    </row>
    <row r="32598" spans="1:26" ht="12.75" customHeight="1" x14ac:dyDescent="0.2">
      <c r="A32598" s="258"/>
      <c r="Z32598" s="258"/>
    </row>
    <row r="32599" spans="1:26" ht="12.75" customHeight="1" x14ac:dyDescent="0.2">
      <c r="A32599" s="258"/>
      <c r="Z32599" s="258"/>
    </row>
    <row r="32600" spans="1:26" ht="12.75" customHeight="1" x14ac:dyDescent="0.2">
      <c r="A32600" s="258"/>
      <c r="Z32600" s="258"/>
    </row>
    <row r="32601" spans="1:26" ht="12.75" customHeight="1" x14ac:dyDescent="0.2">
      <c r="A32601" s="258"/>
      <c r="Z32601" s="258"/>
    </row>
    <row r="32602" spans="1:26" ht="12.75" customHeight="1" x14ac:dyDescent="0.2">
      <c r="A32602" s="258"/>
      <c r="Z32602" s="258"/>
    </row>
    <row r="32603" spans="1:26" ht="12.75" customHeight="1" x14ac:dyDescent="0.2">
      <c r="A32603" s="258"/>
      <c r="Z32603" s="258"/>
    </row>
    <row r="32604" spans="1:26" ht="12.75" customHeight="1" x14ac:dyDescent="0.2">
      <c r="A32604" s="258"/>
      <c r="Z32604" s="258"/>
    </row>
    <row r="32605" spans="1:26" ht="12.75" customHeight="1" x14ac:dyDescent="0.2">
      <c r="A32605" s="258"/>
      <c r="Z32605" s="258"/>
    </row>
    <row r="32606" spans="1:26" ht="12.75" customHeight="1" x14ac:dyDescent="0.2">
      <c r="A32606" s="258"/>
      <c r="Z32606" s="258"/>
    </row>
    <row r="32607" spans="1:26" ht="12.75" customHeight="1" x14ac:dyDescent="0.2">
      <c r="A32607" s="258"/>
      <c r="Z32607" s="258"/>
    </row>
    <row r="32608" spans="1:26" ht="12.75" customHeight="1" x14ac:dyDescent="0.2">
      <c r="A32608" s="258"/>
      <c r="Z32608" s="258"/>
    </row>
    <row r="32609" spans="1:26" ht="12.75" customHeight="1" x14ac:dyDescent="0.2">
      <c r="A32609" s="258"/>
      <c r="Z32609" s="258"/>
    </row>
    <row r="32610" spans="1:26" ht="12.75" customHeight="1" x14ac:dyDescent="0.2">
      <c r="A32610" s="258"/>
      <c r="Z32610" s="258"/>
    </row>
    <row r="32611" spans="1:26" ht="12.75" customHeight="1" x14ac:dyDescent="0.2">
      <c r="A32611" s="258"/>
      <c r="Z32611" s="258"/>
    </row>
    <row r="32612" spans="1:26" ht="12.75" customHeight="1" x14ac:dyDescent="0.2">
      <c r="A32612" s="258"/>
      <c r="Z32612" s="258"/>
    </row>
    <row r="32613" spans="1:26" ht="12.75" customHeight="1" x14ac:dyDescent="0.2">
      <c r="A32613" s="258"/>
      <c r="Z32613" s="258"/>
    </row>
    <row r="32614" spans="1:26" ht="12.75" customHeight="1" x14ac:dyDescent="0.2">
      <c r="A32614" s="258"/>
      <c r="Z32614" s="258"/>
    </row>
    <row r="32615" spans="1:26" ht="12.75" customHeight="1" x14ac:dyDescent="0.2">
      <c r="A32615" s="258"/>
      <c r="Z32615" s="258"/>
    </row>
    <row r="32616" spans="1:26" ht="12.75" customHeight="1" x14ac:dyDescent="0.2">
      <c r="A32616" s="258"/>
      <c r="Z32616" s="258"/>
    </row>
    <row r="32617" spans="1:26" ht="12.75" customHeight="1" x14ac:dyDescent="0.2">
      <c r="A32617" s="258"/>
      <c r="Z32617" s="258"/>
    </row>
    <row r="32618" spans="1:26" ht="12.75" customHeight="1" x14ac:dyDescent="0.2">
      <c r="A32618" s="258"/>
      <c r="Z32618" s="258"/>
    </row>
    <row r="32619" spans="1:26" ht="12.75" customHeight="1" x14ac:dyDescent="0.2">
      <c r="A32619" s="258"/>
      <c r="Z32619" s="258"/>
    </row>
    <row r="32620" spans="1:26" ht="12.75" customHeight="1" x14ac:dyDescent="0.2">
      <c r="A32620" s="258"/>
      <c r="Z32620" s="258"/>
    </row>
    <row r="32621" spans="1:26" ht="12.75" customHeight="1" x14ac:dyDescent="0.2">
      <c r="A32621" s="258"/>
      <c r="Z32621" s="258"/>
    </row>
    <row r="32622" spans="1:26" ht="12.75" customHeight="1" x14ac:dyDescent="0.2">
      <c r="A32622" s="258"/>
      <c r="Z32622" s="258"/>
    </row>
    <row r="32623" spans="1:26" ht="12.75" customHeight="1" x14ac:dyDescent="0.2">
      <c r="A32623" s="258"/>
      <c r="Z32623" s="258"/>
    </row>
    <row r="32624" spans="1:26" ht="12.75" customHeight="1" x14ac:dyDescent="0.2">
      <c r="A32624" s="258"/>
      <c r="Z32624" s="258"/>
    </row>
    <row r="32625" spans="1:26" ht="12.75" customHeight="1" x14ac:dyDescent="0.2">
      <c r="A32625" s="258"/>
      <c r="Z32625" s="258"/>
    </row>
    <row r="32626" spans="1:26" ht="12.75" customHeight="1" x14ac:dyDescent="0.2">
      <c r="A32626" s="258"/>
      <c r="Z32626" s="258"/>
    </row>
    <row r="32627" spans="1:26" ht="12.75" customHeight="1" x14ac:dyDescent="0.2">
      <c r="A32627" s="258"/>
      <c r="Z32627" s="258"/>
    </row>
    <row r="32628" spans="1:26" ht="12.75" customHeight="1" x14ac:dyDescent="0.2">
      <c r="A32628" s="258"/>
      <c r="Z32628" s="258"/>
    </row>
    <row r="32629" spans="1:26" ht="12.75" customHeight="1" x14ac:dyDescent="0.2">
      <c r="A32629" s="258"/>
      <c r="Z32629" s="258"/>
    </row>
    <row r="32630" spans="1:26" ht="12.75" customHeight="1" x14ac:dyDescent="0.2">
      <c r="A32630" s="258"/>
      <c r="Z32630" s="258"/>
    </row>
    <row r="32631" spans="1:26" ht="12.75" customHeight="1" x14ac:dyDescent="0.2">
      <c r="A32631" s="258"/>
      <c r="Z32631" s="258"/>
    </row>
    <row r="32632" spans="1:26" ht="12.75" customHeight="1" x14ac:dyDescent="0.2">
      <c r="A32632" s="258"/>
      <c r="Z32632" s="258"/>
    </row>
    <row r="32633" spans="1:26" ht="12.75" customHeight="1" x14ac:dyDescent="0.2">
      <c r="A32633" s="258"/>
      <c r="Z32633" s="258"/>
    </row>
    <row r="32634" spans="1:26" ht="12.75" customHeight="1" x14ac:dyDescent="0.2">
      <c r="A32634" s="258"/>
      <c r="Z32634" s="258"/>
    </row>
    <row r="32635" spans="1:26" ht="12.75" customHeight="1" x14ac:dyDescent="0.2">
      <c r="A32635" s="258"/>
      <c r="Z32635" s="258"/>
    </row>
    <row r="32636" spans="1:26" ht="12.75" customHeight="1" x14ac:dyDescent="0.2">
      <c r="A32636" s="258"/>
      <c r="Z32636" s="258"/>
    </row>
    <row r="32637" spans="1:26" ht="12.75" customHeight="1" x14ac:dyDescent="0.2">
      <c r="A32637" s="258"/>
      <c r="Z32637" s="258"/>
    </row>
    <row r="32638" spans="1:26" ht="12.75" customHeight="1" x14ac:dyDescent="0.2">
      <c r="A32638" s="258"/>
      <c r="Z32638" s="258"/>
    </row>
    <row r="32639" spans="1:26" ht="12.75" customHeight="1" x14ac:dyDescent="0.2">
      <c r="A32639" s="258"/>
      <c r="Z32639" s="258"/>
    </row>
    <row r="32640" spans="1:26" ht="12.75" customHeight="1" x14ac:dyDescent="0.2">
      <c r="A32640" s="258"/>
      <c r="Z32640" s="258"/>
    </row>
    <row r="32641" spans="1:26" ht="12.75" customHeight="1" x14ac:dyDescent="0.2">
      <c r="A32641" s="258"/>
      <c r="Z32641" s="258"/>
    </row>
    <row r="32642" spans="1:26" ht="12.75" customHeight="1" x14ac:dyDescent="0.2">
      <c r="A32642" s="258"/>
      <c r="Z32642" s="258"/>
    </row>
    <row r="32643" spans="1:26" ht="12.75" customHeight="1" x14ac:dyDescent="0.2">
      <c r="A32643" s="258"/>
      <c r="Z32643" s="258"/>
    </row>
    <row r="32644" spans="1:26" ht="12.75" customHeight="1" x14ac:dyDescent="0.2">
      <c r="A32644" s="258"/>
      <c r="Z32644" s="258"/>
    </row>
    <row r="32645" spans="1:26" ht="12.75" customHeight="1" x14ac:dyDescent="0.2">
      <c r="A32645" s="258"/>
      <c r="Z32645" s="258"/>
    </row>
    <row r="32646" spans="1:26" ht="12.75" customHeight="1" x14ac:dyDescent="0.2">
      <c r="A32646" s="258"/>
      <c r="Z32646" s="258"/>
    </row>
    <row r="32647" spans="1:26" ht="12.75" customHeight="1" x14ac:dyDescent="0.2">
      <c r="A32647" s="258"/>
      <c r="Z32647" s="258"/>
    </row>
    <row r="32648" spans="1:26" ht="12.75" customHeight="1" x14ac:dyDescent="0.2">
      <c r="A32648" s="258"/>
      <c r="Z32648" s="258"/>
    </row>
    <row r="32649" spans="1:26" ht="12.75" customHeight="1" x14ac:dyDescent="0.2">
      <c r="A32649" s="258"/>
      <c r="Z32649" s="258"/>
    </row>
    <row r="32650" spans="1:26" ht="12.75" customHeight="1" x14ac:dyDescent="0.2">
      <c r="A32650" s="258"/>
      <c r="Z32650" s="258"/>
    </row>
    <row r="32651" spans="1:26" ht="12.75" customHeight="1" x14ac:dyDescent="0.2">
      <c r="A32651" s="258"/>
      <c r="Z32651" s="258"/>
    </row>
    <row r="32652" spans="1:26" ht="12.75" customHeight="1" x14ac:dyDescent="0.2">
      <c r="A32652" s="258"/>
      <c r="Z32652" s="258"/>
    </row>
    <row r="32653" spans="1:26" ht="12.75" customHeight="1" x14ac:dyDescent="0.2">
      <c r="A32653" s="258"/>
      <c r="Z32653" s="258"/>
    </row>
    <row r="32654" spans="1:26" ht="12.75" customHeight="1" x14ac:dyDescent="0.2">
      <c r="A32654" s="258"/>
      <c r="Z32654" s="258"/>
    </row>
    <row r="32655" spans="1:26" ht="12.75" customHeight="1" x14ac:dyDescent="0.2">
      <c r="A32655" s="258"/>
      <c r="Z32655" s="258"/>
    </row>
    <row r="32656" spans="1:26" ht="12.75" customHeight="1" x14ac:dyDescent="0.2">
      <c r="A32656" s="258"/>
      <c r="Z32656" s="258"/>
    </row>
    <row r="32657" spans="1:26" ht="12.75" customHeight="1" x14ac:dyDescent="0.2">
      <c r="A32657" s="258"/>
      <c r="Z32657" s="258"/>
    </row>
    <row r="32658" spans="1:26" ht="12.75" customHeight="1" x14ac:dyDescent="0.2">
      <c r="A32658" s="258"/>
      <c r="Z32658" s="258"/>
    </row>
    <row r="32659" spans="1:26" ht="12.75" customHeight="1" x14ac:dyDescent="0.2">
      <c r="A32659" s="258"/>
      <c r="Z32659" s="258"/>
    </row>
    <row r="32660" spans="1:26" ht="12.75" customHeight="1" x14ac:dyDescent="0.2">
      <c r="A32660" s="258"/>
      <c r="Z32660" s="258"/>
    </row>
    <row r="32661" spans="1:26" ht="12.75" customHeight="1" x14ac:dyDescent="0.2">
      <c r="A32661" s="258"/>
      <c r="Z32661" s="258"/>
    </row>
    <row r="32662" spans="1:26" ht="12.75" customHeight="1" x14ac:dyDescent="0.2">
      <c r="A32662" s="258"/>
      <c r="Z32662" s="258"/>
    </row>
    <row r="32663" spans="1:26" ht="12.75" customHeight="1" x14ac:dyDescent="0.2">
      <c r="A32663" s="258"/>
      <c r="Z32663" s="258"/>
    </row>
    <row r="32664" spans="1:26" ht="12.75" customHeight="1" x14ac:dyDescent="0.2">
      <c r="A32664" s="258"/>
      <c r="Z32664" s="258"/>
    </row>
    <row r="32665" spans="1:26" ht="12.75" customHeight="1" x14ac:dyDescent="0.2">
      <c r="A32665" s="258"/>
      <c r="Z32665" s="258"/>
    </row>
    <row r="32666" spans="1:26" ht="12.75" customHeight="1" x14ac:dyDescent="0.2">
      <c r="A32666" s="258"/>
      <c r="Z32666" s="258"/>
    </row>
    <row r="32667" spans="1:26" ht="12.75" customHeight="1" x14ac:dyDescent="0.2">
      <c r="A32667" s="258"/>
      <c r="Z32667" s="258"/>
    </row>
    <row r="32668" spans="1:26" ht="12.75" customHeight="1" x14ac:dyDescent="0.2">
      <c r="A32668" s="258"/>
      <c r="Z32668" s="258"/>
    </row>
    <row r="32669" spans="1:26" ht="12.75" customHeight="1" x14ac:dyDescent="0.2">
      <c r="A32669" s="258"/>
      <c r="Z32669" s="258"/>
    </row>
    <row r="32670" spans="1:26" ht="12.75" customHeight="1" x14ac:dyDescent="0.2">
      <c r="A32670" s="258"/>
      <c r="Z32670" s="258"/>
    </row>
    <row r="32671" spans="1:26" ht="12.75" customHeight="1" x14ac:dyDescent="0.2">
      <c r="A32671" s="258"/>
      <c r="Z32671" s="258"/>
    </row>
    <row r="32672" spans="1:26" ht="12.75" customHeight="1" x14ac:dyDescent="0.2">
      <c r="A32672" s="258"/>
      <c r="Z32672" s="258"/>
    </row>
    <row r="32673" spans="1:26" ht="12.75" customHeight="1" x14ac:dyDescent="0.2">
      <c r="A32673" s="258"/>
      <c r="Z32673" s="258"/>
    </row>
    <row r="32674" spans="1:26" ht="12.75" customHeight="1" x14ac:dyDescent="0.2">
      <c r="A32674" s="258"/>
      <c r="Z32674" s="258"/>
    </row>
    <row r="32675" spans="1:26" ht="12.75" customHeight="1" x14ac:dyDescent="0.2">
      <c r="A32675" s="258"/>
      <c r="Z32675" s="258"/>
    </row>
    <row r="32676" spans="1:26" ht="12.75" customHeight="1" x14ac:dyDescent="0.2">
      <c r="A32676" s="258"/>
      <c r="Z32676" s="258"/>
    </row>
    <row r="32677" spans="1:26" ht="12.75" customHeight="1" x14ac:dyDescent="0.2">
      <c r="A32677" s="258"/>
      <c r="Z32677" s="258"/>
    </row>
    <row r="32678" spans="1:26" ht="12.75" customHeight="1" x14ac:dyDescent="0.2">
      <c r="A32678" s="258"/>
      <c r="Z32678" s="258"/>
    </row>
    <row r="32679" spans="1:26" ht="12.75" customHeight="1" x14ac:dyDescent="0.2">
      <c r="A32679" s="258"/>
      <c r="Z32679" s="258"/>
    </row>
    <row r="32680" spans="1:26" ht="12.75" customHeight="1" x14ac:dyDescent="0.2">
      <c r="A32680" s="258"/>
      <c r="Z32680" s="258"/>
    </row>
    <row r="32681" spans="1:26" ht="12.75" customHeight="1" x14ac:dyDescent="0.2">
      <c r="A32681" s="258"/>
      <c r="Z32681" s="258"/>
    </row>
    <row r="32682" spans="1:26" ht="12.75" customHeight="1" x14ac:dyDescent="0.2">
      <c r="A32682" s="258"/>
      <c r="Z32682" s="258"/>
    </row>
    <row r="32683" spans="1:26" ht="12.75" customHeight="1" x14ac:dyDescent="0.2">
      <c r="A32683" s="258"/>
      <c r="Z32683" s="258"/>
    </row>
    <row r="32684" spans="1:26" ht="12.75" customHeight="1" x14ac:dyDescent="0.2">
      <c r="A32684" s="258"/>
      <c r="Z32684" s="258"/>
    </row>
    <row r="32685" spans="1:26" ht="12.75" customHeight="1" x14ac:dyDescent="0.2">
      <c r="A32685" s="258"/>
      <c r="Z32685" s="258"/>
    </row>
    <row r="32686" spans="1:26" ht="12.75" customHeight="1" x14ac:dyDescent="0.2">
      <c r="A32686" s="258"/>
      <c r="Z32686" s="258"/>
    </row>
    <row r="32687" spans="1:26" ht="12.75" customHeight="1" x14ac:dyDescent="0.2">
      <c r="A32687" s="258"/>
      <c r="Z32687" s="258"/>
    </row>
    <row r="32688" spans="1:26" ht="12.75" customHeight="1" x14ac:dyDescent="0.2">
      <c r="A32688" s="258"/>
      <c r="Z32688" s="258"/>
    </row>
    <row r="32689" spans="1:26" ht="12.75" customHeight="1" x14ac:dyDescent="0.2">
      <c r="A32689" s="258"/>
      <c r="Z32689" s="258"/>
    </row>
    <row r="32690" spans="1:26" ht="12.75" customHeight="1" x14ac:dyDescent="0.2">
      <c r="A32690" s="258"/>
      <c r="Z32690" s="258"/>
    </row>
    <row r="32691" spans="1:26" ht="12.75" customHeight="1" x14ac:dyDescent="0.2">
      <c r="A32691" s="258"/>
      <c r="Z32691" s="258"/>
    </row>
    <row r="32692" spans="1:26" ht="12.75" customHeight="1" x14ac:dyDescent="0.2">
      <c r="A32692" s="258"/>
      <c r="Z32692" s="258"/>
    </row>
    <row r="32693" spans="1:26" ht="12.75" customHeight="1" x14ac:dyDescent="0.2">
      <c r="A32693" s="258"/>
      <c r="Z32693" s="258"/>
    </row>
    <row r="32694" spans="1:26" ht="12.75" customHeight="1" x14ac:dyDescent="0.2">
      <c r="A32694" s="258"/>
      <c r="Z32694" s="258"/>
    </row>
    <row r="32695" spans="1:26" ht="12.75" customHeight="1" x14ac:dyDescent="0.2">
      <c r="A32695" s="258"/>
      <c r="Z32695" s="258"/>
    </row>
    <row r="32696" spans="1:26" ht="12.75" customHeight="1" x14ac:dyDescent="0.2">
      <c r="A32696" s="258"/>
      <c r="Z32696" s="258"/>
    </row>
    <row r="32697" spans="1:26" ht="12.75" customHeight="1" x14ac:dyDescent="0.2">
      <c r="A32697" s="258"/>
      <c r="Z32697" s="258"/>
    </row>
    <row r="32698" spans="1:26" ht="12.75" customHeight="1" x14ac:dyDescent="0.2">
      <c r="A32698" s="258"/>
      <c r="Z32698" s="258"/>
    </row>
    <row r="32699" spans="1:26" ht="12.75" customHeight="1" x14ac:dyDescent="0.2">
      <c r="A32699" s="258"/>
      <c r="Z32699" s="258"/>
    </row>
    <row r="32700" spans="1:26" ht="12.75" customHeight="1" x14ac:dyDescent="0.2">
      <c r="A32700" s="258"/>
      <c r="Z32700" s="258"/>
    </row>
    <row r="32701" spans="1:26" ht="12.75" customHeight="1" x14ac:dyDescent="0.2">
      <c r="A32701" s="258"/>
      <c r="Z32701" s="258"/>
    </row>
    <row r="32702" spans="1:26" ht="12.75" customHeight="1" x14ac:dyDescent="0.2">
      <c r="A32702" s="258"/>
      <c r="Z32702" s="258"/>
    </row>
    <row r="32703" spans="1:26" ht="12.75" customHeight="1" x14ac:dyDescent="0.2">
      <c r="A32703" s="258"/>
      <c r="Z32703" s="258"/>
    </row>
    <row r="32704" spans="1:26" ht="12.75" customHeight="1" x14ac:dyDescent="0.2">
      <c r="A32704" s="258"/>
      <c r="Z32704" s="258"/>
    </row>
    <row r="32705" spans="1:26" ht="12.75" customHeight="1" x14ac:dyDescent="0.2">
      <c r="A32705" s="258"/>
      <c r="Z32705" s="258"/>
    </row>
    <row r="32706" spans="1:26" ht="12.75" customHeight="1" x14ac:dyDescent="0.2">
      <c r="A32706" s="258"/>
      <c r="Z32706" s="258"/>
    </row>
    <row r="32707" spans="1:26" ht="12.75" customHeight="1" x14ac:dyDescent="0.2">
      <c r="A32707" s="258"/>
      <c r="Z32707" s="258"/>
    </row>
    <row r="32708" spans="1:26" ht="12.75" customHeight="1" x14ac:dyDescent="0.2">
      <c r="A32708" s="258"/>
      <c r="Z32708" s="258"/>
    </row>
    <row r="32709" spans="1:26" ht="12.75" customHeight="1" x14ac:dyDescent="0.2">
      <c r="A32709" s="258"/>
      <c r="Z32709" s="258"/>
    </row>
    <row r="32710" spans="1:26" ht="12.75" customHeight="1" x14ac:dyDescent="0.2">
      <c r="A32710" s="258"/>
      <c r="Z32710" s="258"/>
    </row>
    <row r="32711" spans="1:26" ht="12.75" customHeight="1" x14ac:dyDescent="0.2">
      <c r="A32711" s="258"/>
      <c r="Z32711" s="258"/>
    </row>
    <row r="32712" spans="1:26" ht="12.75" customHeight="1" x14ac:dyDescent="0.2">
      <c r="A32712" s="258"/>
      <c r="Z32712" s="258"/>
    </row>
    <row r="32713" spans="1:26" ht="12.75" customHeight="1" x14ac:dyDescent="0.2">
      <c r="A32713" s="258"/>
      <c r="Z32713" s="258"/>
    </row>
    <row r="32714" spans="1:26" ht="12.75" customHeight="1" x14ac:dyDescent="0.2">
      <c r="A32714" s="258"/>
      <c r="Z32714" s="258"/>
    </row>
    <row r="32715" spans="1:26" ht="12.75" customHeight="1" x14ac:dyDescent="0.2">
      <c r="A32715" s="258"/>
      <c r="Z32715" s="258"/>
    </row>
    <row r="32716" spans="1:26" ht="12.75" customHeight="1" x14ac:dyDescent="0.2">
      <c r="A32716" s="258"/>
      <c r="Z32716" s="258"/>
    </row>
    <row r="32717" spans="1:26" ht="12.75" customHeight="1" x14ac:dyDescent="0.2">
      <c r="A32717" s="258"/>
      <c r="Z32717" s="258"/>
    </row>
    <row r="32718" spans="1:26" ht="12.75" customHeight="1" x14ac:dyDescent="0.2">
      <c r="A32718" s="258"/>
      <c r="Z32718" s="258"/>
    </row>
    <row r="32719" spans="1:26" ht="12.75" customHeight="1" x14ac:dyDescent="0.2">
      <c r="A32719" s="258"/>
      <c r="Z32719" s="258"/>
    </row>
    <row r="32720" spans="1:26" ht="12.75" customHeight="1" x14ac:dyDescent="0.2">
      <c r="A32720" s="258"/>
      <c r="Z32720" s="258"/>
    </row>
    <row r="32721" spans="1:26" ht="12.75" customHeight="1" x14ac:dyDescent="0.2">
      <c r="A32721" s="258"/>
      <c r="Z32721" s="258"/>
    </row>
    <row r="32722" spans="1:26" ht="12.75" customHeight="1" x14ac:dyDescent="0.2">
      <c r="A32722" s="258"/>
      <c r="Z32722" s="258"/>
    </row>
    <row r="32723" spans="1:26" ht="12.75" customHeight="1" x14ac:dyDescent="0.2">
      <c r="A32723" s="258"/>
      <c r="Z32723" s="258"/>
    </row>
    <row r="32724" spans="1:26" ht="12.75" customHeight="1" x14ac:dyDescent="0.2">
      <c r="A32724" s="258"/>
      <c r="Z32724" s="258"/>
    </row>
    <row r="32725" spans="1:26" ht="12.75" customHeight="1" x14ac:dyDescent="0.2">
      <c r="A32725" s="258"/>
      <c r="Z32725" s="258"/>
    </row>
    <row r="32726" spans="1:26" ht="12.75" customHeight="1" x14ac:dyDescent="0.2">
      <c r="A32726" s="258"/>
      <c r="Z32726" s="258"/>
    </row>
    <row r="32727" spans="1:26" ht="12.75" customHeight="1" x14ac:dyDescent="0.2">
      <c r="A32727" s="258"/>
      <c r="Z32727" s="258"/>
    </row>
    <row r="32728" spans="1:26" ht="12.75" customHeight="1" x14ac:dyDescent="0.2">
      <c r="A32728" s="258"/>
      <c r="Z32728" s="258"/>
    </row>
    <row r="32729" spans="1:26" ht="12.75" customHeight="1" x14ac:dyDescent="0.2">
      <c r="A32729" s="258"/>
      <c r="Z32729" s="258"/>
    </row>
    <row r="32730" spans="1:26" ht="12.75" customHeight="1" x14ac:dyDescent="0.2">
      <c r="A32730" s="258"/>
      <c r="Z32730" s="258"/>
    </row>
    <row r="32731" spans="1:26" ht="12.75" customHeight="1" x14ac:dyDescent="0.2">
      <c r="A32731" s="258"/>
      <c r="Z32731" s="258"/>
    </row>
    <row r="32732" spans="1:26" ht="12.75" customHeight="1" x14ac:dyDescent="0.2">
      <c r="A32732" s="258"/>
      <c r="Z32732" s="258"/>
    </row>
    <row r="32733" spans="1:26" ht="12.75" customHeight="1" x14ac:dyDescent="0.2">
      <c r="A32733" s="258"/>
      <c r="Z32733" s="258"/>
    </row>
    <row r="32734" spans="1:26" ht="12.75" customHeight="1" x14ac:dyDescent="0.2">
      <c r="A32734" s="258"/>
      <c r="Z32734" s="258"/>
    </row>
    <row r="32735" spans="1:26" ht="12.75" customHeight="1" x14ac:dyDescent="0.2">
      <c r="A32735" s="258"/>
      <c r="Z32735" s="258"/>
    </row>
    <row r="32736" spans="1:26" ht="12.75" customHeight="1" x14ac:dyDescent="0.2">
      <c r="A32736" s="258"/>
      <c r="Z32736" s="258"/>
    </row>
    <row r="32737" spans="1:26" ht="12.75" customHeight="1" x14ac:dyDescent="0.2">
      <c r="A32737" s="258"/>
      <c r="Z32737" s="258"/>
    </row>
    <row r="32738" spans="1:26" ht="12.75" customHeight="1" x14ac:dyDescent="0.2">
      <c r="A32738" s="258"/>
      <c r="Z32738" s="258"/>
    </row>
    <row r="32739" spans="1:26" ht="12.75" customHeight="1" x14ac:dyDescent="0.2">
      <c r="A32739" s="258"/>
      <c r="Z32739" s="258"/>
    </row>
    <row r="32740" spans="1:26" ht="12.75" customHeight="1" x14ac:dyDescent="0.2">
      <c r="A32740" s="258"/>
      <c r="Z32740" s="258"/>
    </row>
    <row r="32741" spans="1:26" ht="12.75" customHeight="1" x14ac:dyDescent="0.2">
      <c r="A32741" s="258"/>
      <c r="Z32741" s="258"/>
    </row>
    <row r="32742" spans="1:26" ht="12.75" customHeight="1" x14ac:dyDescent="0.2">
      <c r="A32742" s="258"/>
      <c r="Z32742" s="258"/>
    </row>
    <row r="32743" spans="1:26" ht="12.75" customHeight="1" x14ac:dyDescent="0.2">
      <c r="A32743" s="258"/>
      <c r="Z32743" s="258"/>
    </row>
    <row r="32744" spans="1:26" ht="12.75" customHeight="1" x14ac:dyDescent="0.2">
      <c r="A32744" s="258"/>
      <c r="Z32744" s="258"/>
    </row>
    <row r="32745" spans="1:26" ht="12.75" customHeight="1" x14ac:dyDescent="0.2">
      <c r="A32745" s="258"/>
      <c r="Z32745" s="258"/>
    </row>
    <row r="32746" spans="1:26" ht="12.75" customHeight="1" x14ac:dyDescent="0.2">
      <c r="A32746" s="258"/>
      <c r="Z32746" s="258"/>
    </row>
    <row r="32747" spans="1:26" ht="12.75" customHeight="1" x14ac:dyDescent="0.2">
      <c r="A32747" s="258"/>
      <c r="Z32747" s="258"/>
    </row>
    <row r="32748" spans="1:26" ht="12.75" customHeight="1" x14ac:dyDescent="0.2">
      <c r="A32748" s="258"/>
      <c r="Z32748" s="258"/>
    </row>
    <row r="32749" spans="1:26" ht="12.75" customHeight="1" x14ac:dyDescent="0.2">
      <c r="A32749" s="258"/>
      <c r="Z32749" s="258"/>
    </row>
    <row r="32750" spans="1:26" ht="12.75" customHeight="1" x14ac:dyDescent="0.2">
      <c r="A32750" s="258"/>
      <c r="Z32750" s="258"/>
    </row>
    <row r="32751" spans="1:26" ht="12.75" customHeight="1" x14ac:dyDescent="0.2">
      <c r="A32751" s="258"/>
      <c r="Z32751" s="258"/>
    </row>
    <row r="32752" spans="1:26" ht="12.75" customHeight="1" x14ac:dyDescent="0.2">
      <c r="A32752" s="258"/>
      <c r="Z32752" s="258"/>
    </row>
    <row r="32753" spans="1:26" ht="12.75" customHeight="1" x14ac:dyDescent="0.2">
      <c r="A32753" s="258"/>
      <c r="Z32753" s="258"/>
    </row>
    <row r="32754" spans="1:26" ht="12.75" customHeight="1" x14ac:dyDescent="0.2">
      <c r="A32754" s="258"/>
      <c r="Z32754" s="258"/>
    </row>
    <row r="32755" spans="1:26" ht="12.75" customHeight="1" x14ac:dyDescent="0.2">
      <c r="A32755" s="258"/>
      <c r="Z32755" s="258"/>
    </row>
    <row r="32756" spans="1:26" ht="12.75" customHeight="1" x14ac:dyDescent="0.2">
      <c r="A32756" s="258"/>
      <c r="Z32756" s="258"/>
    </row>
    <row r="32757" spans="1:26" ht="12.75" customHeight="1" x14ac:dyDescent="0.2">
      <c r="A32757" s="258"/>
      <c r="Z32757" s="258"/>
    </row>
    <row r="32758" spans="1:26" ht="12.75" customHeight="1" x14ac:dyDescent="0.2">
      <c r="A32758" s="258"/>
      <c r="Z32758" s="258"/>
    </row>
    <row r="32759" spans="1:26" ht="12.75" customHeight="1" x14ac:dyDescent="0.2">
      <c r="A32759" s="258"/>
      <c r="Z32759" s="258"/>
    </row>
    <row r="32760" spans="1:26" ht="12.75" customHeight="1" x14ac:dyDescent="0.2">
      <c r="A32760" s="258"/>
      <c r="Z32760" s="258"/>
    </row>
    <row r="32761" spans="1:26" ht="12.75" customHeight="1" x14ac:dyDescent="0.2">
      <c r="A32761" s="258"/>
      <c r="Z32761" s="258"/>
    </row>
    <row r="32762" spans="1:26" ht="12.75" customHeight="1" x14ac:dyDescent="0.2">
      <c r="A32762" s="258"/>
      <c r="Z32762" s="258"/>
    </row>
    <row r="32763" spans="1:26" ht="12.75" customHeight="1" x14ac:dyDescent="0.2">
      <c r="A32763" s="258"/>
      <c r="Z32763" s="258"/>
    </row>
    <row r="32764" spans="1:26" ht="12.75" customHeight="1" x14ac:dyDescent="0.2">
      <c r="A32764" s="258"/>
      <c r="Z32764" s="258"/>
    </row>
    <row r="32765" spans="1:26" ht="12.75" customHeight="1" x14ac:dyDescent="0.2">
      <c r="A32765" s="258"/>
      <c r="Z32765" s="258"/>
    </row>
    <row r="32766" spans="1:26" ht="12.75" customHeight="1" x14ac:dyDescent="0.2">
      <c r="A32766" s="258"/>
      <c r="Z32766" s="258"/>
    </row>
    <row r="32767" spans="1:26" ht="12.75" customHeight="1" x14ac:dyDescent="0.2">
      <c r="A32767" s="258"/>
      <c r="Z32767" s="258"/>
    </row>
    <row r="32768" spans="1:26" ht="12.75" customHeight="1" x14ac:dyDescent="0.2">
      <c r="A32768" s="258"/>
      <c r="Z32768" s="258"/>
    </row>
    <row r="32769" spans="1:26" ht="12.75" customHeight="1" x14ac:dyDescent="0.2">
      <c r="A32769" s="258"/>
      <c r="Z32769" s="258"/>
    </row>
    <row r="32770" spans="1:26" ht="12.75" customHeight="1" x14ac:dyDescent="0.2">
      <c r="A32770" s="258"/>
      <c r="Z32770" s="258"/>
    </row>
    <row r="32771" spans="1:26" ht="12.75" customHeight="1" x14ac:dyDescent="0.2">
      <c r="A32771" s="258"/>
      <c r="Z32771" s="258"/>
    </row>
    <row r="32772" spans="1:26" ht="12.75" customHeight="1" x14ac:dyDescent="0.2">
      <c r="A32772" s="258"/>
      <c r="Z32772" s="258"/>
    </row>
    <row r="32773" spans="1:26" ht="12.75" customHeight="1" x14ac:dyDescent="0.2">
      <c r="A32773" s="258"/>
      <c r="Z32773" s="258"/>
    </row>
    <row r="32774" spans="1:26" ht="12.75" customHeight="1" x14ac:dyDescent="0.2">
      <c r="A32774" s="258"/>
      <c r="Z32774" s="258"/>
    </row>
    <row r="32775" spans="1:26" ht="12.75" customHeight="1" x14ac:dyDescent="0.2">
      <c r="A32775" s="258"/>
      <c r="Z32775" s="258"/>
    </row>
    <row r="32776" spans="1:26" ht="12.75" customHeight="1" x14ac:dyDescent="0.2">
      <c r="A32776" s="258"/>
      <c r="Z32776" s="258"/>
    </row>
    <row r="32777" spans="1:26" ht="12.75" customHeight="1" x14ac:dyDescent="0.2">
      <c r="A32777" s="258"/>
      <c r="Z32777" s="258"/>
    </row>
    <row r="32778" spans="1:26" ht="12.75" customHeight="1" x14ac:dyDescent="0.2">
      <c r="A32778" s="258"/>
      <c r="Z32778" s="258"/>
    </row>
    <row r="32779" spans="1:26" ht="12.75" customHeight="1" x14ac:dyDescent="0.2">
      <c r="A32779" s="258"/>
      <c r="Z32779" s="258"/>
    </row>
    <row r="32780" spans="1:26" ht="12.75" customHeight="1" x14ac:dyDescent="0.2">
      <c r="A32780" s="258"/>
      <c r="Z32780" s="258"/>
    </row>
    <row r="32781" spans="1:26" ht="12.75" customHeight="1" x14ac:dyDescent="0.2">
      <c r="A32781" s="258"/>
      <c r="Z32781" s="258"/>
    </row>
    <row r="32782" spans="1:26" ht="12.75" customHeight="1" x14ac:dyDescent="0.2">
      <c r="A32782" s="258"/>
      <c r="Z32782" s="258"/>
    </row>
    <row r="32783" spans="1:26" ht="12.75" customHeight="1" x14ac:dyDescent="0.2">
      <c r="A32783" s="258"/>
      <c r="Z32783" s="258"/>
    </row>
    <row r="32784" spans="1:26" ht="12.75" customHeight="1" x14ac:dyDescent="0.2">
      <c r="A32784" s="258"/>
      <c r="Z32784" s="258"/>
    </row>
    <row r="32785" spans="1:26" ht="12.75" customHeight="1" x14ac:dyDescent="0.2">
      <c r="A32785" s="258"/>
      <c r="Z32785" s="258"/>
    </row>
    <row r="32786" spans="1:26" ht="12.75" customHeight="1" x14ac:dyDescent="0.2">
      <c r="A32786" s="258"/>
      <c r="Z32786" s="258"/>
    </row>
    <row r="32787" spans="1:26" ht="12.75" customHeight="1" x14ac:dyDescent="0.2">
      <c r="A32787" s="258"/>
      <c r="Z32787" s="258"/>
    </row>
    <row r="32788" spans="1:26" ht="12.75" customHeight="1" x14ac:dyDescent="0.2">
      <c r="A32788" s="258"/>
      <c r="Z32788" s="258"/>
    </row>
    <row r="32789" spans="1:26" ht="12.75" customHeight="1" x14ac:dyDescent="0.2">
      <c r="A32789" s="258"/>
      <c r="Z32789" s="258"/>
    </row>
    <row r="32790" spans="1:26" ht="12.75" customHeight="1" x14ac:dyDescent="0.2">
      <c r="A32790" s="258"/>
      <c r="Z32790" s="258"/>
    </row>
    <row r="32791" spans="1:26" ht="12.75" customHeight="1" x14ac:dyDescent="0.2">
      <c r="A32791" s="258"/>
      <c r="Z32791" s="258"/>
    </row>
    <row r="32792" spans="1:26" ht="12.75" customHeight="1" x14ac:dyDescent="0.2">
      <c r="A32792" s="258"/>
      <c r="Z32792" s="258"/>
    </row>
    <row r="32793" spans="1:26" ht="12.75" customHeight="1" x14ac:dyDescent="0.2">
      <c r="A32793" s="258"/>
      <c r="Z32793" s="258"/>
    </row>
    <row r="32794" spans="1:26" ht="12.75" customHeight="1" x14ac:dyDescent="0.2">
      <c r="A32794" s="258"/>
      <c r="Z32794" s="258"/>
    </row>
    <row r="32795" spans="1:26" ht="12.75" customHeight="1" x14ac:dyDescent="0.2">
      <c r="A32795" s="258"/>
      <c r="Z32795" s="258"/>
    </row>
    <row r="32796" spans="1:26" ht="12.75" customHeight="1" x14ac:dyDescent="0.2">
      <c r="A32796" s="258"/>
      <c r="Z32796" s="258"/>
    </row>
    <row r="32797" spans="1:26" ht="12.75" customHeight="1" x14ac:dyDescent="0.2">
      <c r="A32797" s="258"/>
      <c r="Z32797" s="258"/>
    </row>
    <row r="32798" spans="1:26" ht="12.75" customHeight="1" x14ac:dyDescent="0.2">
      <c r="A32798" s="258"/>
      <c r="Z32798" s="258"/>
    </row>
    <row r="32799" spans="1:26" ht="12.75" customHeight="1" x14ac:dyDescent="0.2">
      <c r="A32799" s="258"/>
      <c r="Z32799" s="258"/>
    </row>
    <row r="32800" spans="1:26" ht="12.75" customHeight="1" x14ac:dyDescent="0.2">
      <c r="A32800" s="258"/>
      <c r="Z32800" s="258"/>
    </row>
    <row r="32801" spans="1:26" ht="12.75" customHeight="1" x14ac:dyDescent="0.2">
      <c r="A32801" s="258"/>
      <c r="Z32801" s="258"/>
    </row>
    <row r="32802" spans="1:26" ht="12.75" customHeight="1" x14ac:dyDescent="0.2">
      <c r="A32802" s="258"/>
      <c r="Z32802" s="258"/>
    </row>
    <row r="32803" spans="1:26" ht="12.75" customHeight="1" x14ac:dyDescent="0.2">
      <c r="A32803" s="258"/>
      <c r="Z32803" s="258"/>
    </row>
    <row r="32804" spans="1:26" ht="12.75" customHeight="1" x14ac:dyDescent="0.2">
      <c r="A32804" s="258"/>
      <c r="Z32804" s="258"/>
    </row>
    <row r="32805" spans="1:26" ht="12.75" customHeight="1" x14ac:dyDescent="0.2">
      <c r="A32805" s="258"/>
      <c r="Z32805" s="258"/>
    </row>
    <row r="32806" spans="1:26" ht="12.75" customHeight="1" x14ac:dyDescent="0.2">
      <c r="A32806" s="258"/>
      <c r="Z32806" s="258"/>
    </row>
    <row r="32807" spans="1:26" ht="12.75" customHeight="1" x14ac:dyDescent="0.2">
      <c r="A32807" s="258"/>
      <c r="Z32807" s="258"/>
    </row>
    <row r="32808" spans="1:26" ht="12.75" customHeight="1" x14ac:dyDescent="0.2">
      <c r="A32808" s="258"/>
      <c r="Z32808" s="258"/>
    </row>
    <row r="32809" spans="1:26" ht="12.75" customHeight="1" x14ac:dyDescent="0.2">
      <c r="A32809" s="258"/>
      <c r="Z32809" s="258"/>
    </row>
    <row r="32810" spans="1:26" ht="12.75" customHeight="1" x14ac:dyDescent="0.2">
      <c r="A32810" s="258"/>
      <c r="Z32810" s="258"/>
    </row>
    <row r="32811" spans="1:26" ht="12.75" customHeight="1" x14ac:dyDescent="0.2">
      <c r="A32811" s="258"/>
      <c r="Z32811" s="258"/>
    </row>
    <row r="32812" spans="1:26" ht="12.75" customHeight="1" x14ac:dyDescent="0.2">
      <c r="A32812" s="258"/>
      <c r="Z32812" s="258"/>
    </row>
    <row r="32813" spans="1:26" ht="12.75" customHeight="1" x14ac:dyDescent="0.2">
      <c r="A32813" s="258"/>
      <c r="Z32813" s="258"/>
    </row>
    <row r="32814" spans="1:26" ht="12.75" customHeight="1" x14ac:dyDescent="0.2">
      <c r="A32814" s="258"/>
      <c r="Z32814" s="258"/>
    </row>
    <row r="32815" spans="1:26" ht="12.75" customHeight="1" x14ac:dyDescent="0.2">
      <c r="A32815" s="258"/>
      <c r="Z32815" s="258"/>
    </row>
    <row r="32816" spans="1:26" ht="12.75" customHeight="1" x14ac:dyDescent="0.2">
      <c r="A32816" s="258"/>
      <c r="Z32816" s="258"/>
    </row>
    <row r="32817" spans="1:26" ht="12.75" customHeight="1" x14ac:dyDescent="0.2">
      <c r="A32817" s="258"/>
      <c r="Z32817" s="258"/>
    </row>
    <row r="32818" spans="1:26" ht="12.75" customHeight="1" x14ac:dyDescent="0.2">
      <c r="A32818" s="258"/>
      <c r="Z32818" s="258"/>
    </row>
    <row r="32819" spans="1:26" ht="12.75" customHeight="1" x14ac:dyDescent="0.2">
      <c r="A32819" s="258"/>
      <c r="Z32819" s="258"/>
    </row>
    <row r="32820" spans="1:26" ht="12.75" customHeight="1" x14ac:dyDescent="0.2">
      <c r="A32820" s="258"/>
      <c r="Z32820" s="258"/>
    </row>
    <row r="32821" spans="1:26" ht="12.75" customHeight="1" x14ac:dyDescent="0.2">
      <c r="A32821" s="258"/>
      <c r="Z32821" s="258"/>
    </row>
    <row r="32822" spans="1:26" ht="12.75" customHeight="1" x14ac:dyDescent="0.2">
      <c r="A32822" s="258"/>
      <c r="Z32822" s="258"/>
    </row>
    <row r="32823" spans="1:26" ht="12.75" customHeight="1" x14ac:dyDescent="0.2">
      <c r="A32823" s="258"/>
      <c r="Z32823" s="258"/>
    </row>
    <row r="32824" spans="1:26" ht="12.75" customHeight="1" x14ac:dyDescent="0.2">
      <c r="A32824" s="258"/>
      <c r="Z32824" s="258"/>
    </row>
    <row r="32825" spans="1:26" ht="12.75" customHeight="1" x14ac:dyDescent="0.2">
      <c r="A32825" s="258"/>
      <c r="Z32825" s="258"/>
    </row>
    <row r="32826" spans="1:26" ht="12.75" customHeight="1" x14ac:dyDescent="0.2">
      <c r="A32826" s="258"/>
      <c r="Z32826" s="258"/>
    </row>
    <row r="32827" spans="1:26" ht="12.75" customHeight="1" x14ac:dyDescent="0.2">
      <c r="A32827" s="258"/>
      <c r="Z32827" s="258"/>
    </row>
    <row r="32828" spans="1:26" ht="12.75" customHeight="1" x14ac:dyDescent="0.2">
      <c r="A32828" s="258"/>
      <c r="Z32828" s="258"/>
    </row>
    <row r="32829" spans="1:26" ht="12.75" customHeight="1" x14ac:dyDescent="0.2">
      <c r="A32829" s="258"/>
      <c r="Z32829" s="258"/>
    </row>
    <row r="32830" spans="1:26" ht="12.75" customHeight="1" x14ac:dyDescent="0.2">
      <c r="A32830" s="258"/>
      <c r="Z32830" s="258"/>
    </row>
    <row r="32831" spans="1:26" ht="12.75" customHeight="1" x14ac:dyDescent="0.2">
      <c r="A32831" s="258"/>
      <c r="Z32831" s="258"/>
    </row>
    <row r="32832" spans="1:26" ht="12.75" customHeight="1" x14ac:dyDescent="0.2">
      <c r="A32832" s="258"/>
      <c r="Z32832" s="258"/>
    </row>
    <row r="32833" spans="1:26" ht="12.75" customHeight="1" x14ac:dyDescent="0.2">
      <c r="A32833" s="258"/>
      <c r="Z32833" s="258"/>
    </row>
    <row r="32834" spans="1:26" ht="12.75" customHeight="1" x14ac:dyDescent="0.2">
      <c r="A32834" s="258"/>
      <c r="Z32834" s="258"/>
    </row>
    <row r="32835" spans="1:26" ht="12.75" customHeight="1" x14ac:dyDescent="0.2">
      <c r="A32835" s="258"/>
      <c r="Z32835" s="258"/>
    </row>
    <row r="32836" spans="1:26" ht="12.75" customHeight="1" x14ac:dyDescent="0.2">
      <c r="A32836" s="258"/>
      <c r="Z32836" s="258"/>
    </row>
    <row r="32837" spans="1:26" ht="12.75" customHeight="1" x14ac:dyDescent="0.2">
      <c r="A32837" s="258"/>
      <c r="Z32837" s="258"/>
    </row>
    <row r="32838" spans="1:26" ht="12.75" customHeight="1" x14ac:dyDescent="0.2">
      <c r="A32838" s="258"/>
      <c r="Z32838" s="258"/>
    </row>
    <row r="32839" spans="1:26" ht="12.75" customHeight="1" x14ac:dyDescent="0.2">
      <c r="A32839" s="258"/>
      <c r="Z32839" s="258"/>
    </row>
    <row r="32840" spans="1:26" ht="12.75" customHeight="1" x14ac:dyDescent="0.2">
      <c r="A32840" s="258"/>
      <c r="Z32840" s="258"/>
    </row>
    <row r="32841" spans="1:26" ht="12.75" customHeight="1" x14ac:dyDescent="0.2">
      <c r="A32841" s="258"/>
      <c r="Z32841" s="258"/>
    </row>
    <row r="32842" spans="1:26" ht="12.75" customHeight="1" x14ac:dyDescent="0.2">
      <c r="A32842" s="258"/>
      <c r="Z32842" s="258"/>
    </row>
    <row r="32843" spans="1:26" ht="12.75" customHeight="1" x14ac:dyDescent="0.2">
      <c r="A32843" s="258"/>
      <c r="Z32843" s="258"/>
    </row>
    <row r="32844" spans="1:26" ht="12.75" customHeight="1" x14ac:dyDescent="0.2">
      <c r="A32844" s="258"/>
      <c r="Z32844" s="258"/>
    </row>
    <row r="32845" spans="1:26" ht="12.75" customHeight="1" x14ac:dyDescent="0.2">
      <c r="A32845" s="258"/>
      <c r="Z32845" s="258"/>
    </row>
    <row r="32846" spans="1:26" ht="12.75" customHeight="1" x14ac:dyDescent="0.2">
      <c r="A32846" s="258"/>
      <c r="Z32846" s="258"/>
    </row>
    <row r="32847" spans="1:26" ht="12.75" customHeight="1" x14ac:dyDescent="0.2">
      <c r="A32847" s="258"/>
      <c r="Z32847" s="258"/>
    </row>
    <row r="32848" spans="1:26" ht="12.75" customHeight="1" x14ac:dyDescent="0.2">
      <c r="A32848" s="258"/>
      <c r="Z32848" s="258"/>
    </row>
    <row r="32849" spans="1:26" ht="12.75" customHeight="1" x14ac:dyDescent="0.2">
      <c r="A32849" s="258"/>
      <c r="Z32849" s="258"/>
    </row>
    <row r="32850" spans="1:26" ht="12.75" customHeight="1" x14ac:dyDescent="0.2">
      <c r="A32850" s="258"/>
      <c r="Z32850" s="258"/>
    </row>
    <row r="32851" spans="1:26" ht="12.75" customHeight="1" x14ac:dyDescent="0.2">
      <c r="A32851" s="258"/>
      <c r="Z32851" s="258"/>
    </row>
    <row r="32852" spans="1:26" ht="12.75" customHeight="1" x14ac:dyDescent="0.2">
      <c r="A32852" s="258"/>
      <c r="Z32852" s="258"/>
    </row>
    <row r="32853" spans="1:26" ht="12.75" customHeight="1" x14ac:dyDescent="0.2">
      <c r="A32853" s="258"/>
      <c r="Z32853" s="258"/>
    </row>
    <row r="32854" spans="1:26" ht="12.75" customHeight="1" x14ac:dyDescent="0.2">
      <c r="A32854" s="258"/>
      <c r="Z32854" s="258"/>
    </row>
    <row r="32855" spans="1:26" ht="12.75" customHeight="1" x14ac:dyDescent="0.2">
      <c r="A32855" s="258"/>
      <c r="Z32855" s="258"/>
    </row>
    <row r="32856" spans="1:26" ht="12.75" customHeight="1" x14ac:dyDescent="0.2">
      <c r="A32856" s="258"/>
      <c r="Z32856" s="258"/>
    </row>
    <row r="32857" spans="1:26" ht="12.75" customHeight="1" x14ac:dyDescent="0.2">
      <c r="A32857" s="258"/>
      <c r="Z32857" s="258"/>
    </row>
    <row r="32858" spans="1:26" ht="12.75" customHeight="1" x14ac:dyDescent="0.2">
      <c r="A32858" s="258"/>
      <c r="Z32858" s="258"/>
    </row>
    <row r="32859" spans="1:26" ht="12.75" customHeight="1" x14ac:dyDescent="0.2">
      <c r="A32859" s="258"/>
      <c r="Z32859" s="258"/>
    </row>
    <row r="32860" spans="1:26" ht="12.75" customHeight="1" x14ac:dyDescent="0.2">
      <c r="A32860" s="258"/>
      <c r="Z32860" s="258"/>
    </row>
    <row r="32861" spans="1:26" ht="12.75" customHeight="1" x14ac:dyDescent="0.2">
      <c r="A32861" s="258"/>
      <c r="Z32861" s="258"/>
    </row>
    <row r="32862" spans="1:26" ht="12.75" customHeight="1" x14ac:dyDescent="0.2">
      <c r="A32862" s="258"/>
      <c r="Z32862" s="258"/>
    </row>
    <row r="32863" spans="1:26" ht="12.75" customHeight="1" x14ac:dyDescent="0.2">
      <c r="A32863" s="258"/>
      <c r="Z32863" s="258"/>
    </row>
    <row r="32864" spans="1:26" ht="12.75" customHeight="1" x14ac:dyDescent="0.2">
      <c r="A32864" s="258"/>
      <c r="Z32864" s="258"/>
    </row>
    <row r="32865" spans="1:26" ht="12.75" customHeight="1" x14ac:dyDescent="0.2">
      <c r="A32865" s="258"/>
      <c r="Z32865" s="258"/>
    </row>
    <row r="32866" spans="1:26" ht="12.75" customHeight="1" x14ac:dyDescent="0.2">
      <c r="A32866" s="258"/>
      <c r="Z32866" s="258"/>
    </row>
    <row r="32867" spans="1:26" ht="12.75" customHeight="1" x14ac:dyDescent="0.2">
      <c r="A32867" s="258"/>
      <c r="Z32867" s="258"/>
    </row>
    <row r="32868" spans="1:26" ht="12.75" customHeight="1" x14ac:dyDescent="0.2">
      <c r="A32868" s="258"/>
      <c r="Z32868" s="258"/>
    </row>
    <row r="32869" spans="1:26" ht="12.75" customHeight="1" x14ac:dyDescent="0.2">
      <c r="A32869" s="258"/>
      <c r="Z32869" s="258"/>
    </row>
    <row r="32870" spans="1:26" ht="12.75" customHeight="1" x14ac:dyDescent="0.2">
      <c r="A32870" s="258"/>
      <c r="Z32870" s="258"/>
    </row>
    <row r="32871" spans="1:26" ht="12.75" customHeight="1" x14ac:dyDescent="0.2">
      <c r="A32871" s="258"/>
      <c r="Z32871" s="258"/>
    </row>
    <row r="32872" spans="1:26" ht="12.75" customHeight="1" x14ac:dyDescent="0.2">
      <c r="A32872" s="258"/>
      <c r="Z32872" s="258"/>
    </row>
    <row r="32873" spans="1:26" ht="12.75" customHeight="1" x14ac:dyDescent="0.2">
      <c r="A32873" s="258"/>
      <c r="Z32873" s="258"/>
    </row>
    <row r="32874" spans="1:26" ht="12.75" customHeight="1" x14ac:dyDescent="0.2">
      <c r="A32874" s="258"/>
      <c r="Z32874" s="258"/>
    </row>
    <row r="32875" spans="1:26" ht="12.75" customHeight="1" x14ac:dyDescent="0.2">
      <c r="A32875" s="258"/>
      <c r="Z32875" s="258"/>
    </row>
    <row r="32876" spans="1:26" ht="12.75" customHeight="1" x14ac:dyDescent="0.2">
      <c r="A32876" s="258"/>
      <c r="Z32876" s="258"/>
    </row>
    <row r="32877" spans="1:26" ht="12.75" customHeight="1" x14ac:dyDescent="0.2">
      <c r="A32877" s="258"/>
      <c r="Z32877" s="258"/>
    </row>
    <row r="32878" spans="1:26" ht="12.75" customHeight="1" x14ac:dyDescent="0.2">
      <c r="A32878" s="258"/>
      <c r="Z32878" s="258"/>
    </row>
    <row r="32879" spans="1:26" ht="12.75" customHeight="1" x14ac:dyDescent="0.2">
      <c r="A32879" s="258"/>
      <c r="Z32879" s="258"/>
    </row>
    <row r="32880" spans="1:26" ht="12.75" customHeight="1" x14ac:dyDescent="0.2">
      <c r="A32880" s="258"/>
      <c r="Z32880" s="258"/>
    </row>
    <row r="32881" spans="1:26" ht="12.75" customHeight="1" x14ac:dyDescent="0.2">
      <c r="A32881" s="258"/>
      <c r="Z32881" s="258"/>
    </row>
    <row r="32882" spans="1:26" ht="12.75" customHeight="1" x14ac:dyDescent="0.2">
      <c r="A32882" s="258"/>
      <c r="Z32882" s="258"/>
    </row>
    <row r="32883" spans="1:26" ht="12.75" customHeight="1" x14ac:dyDescent="0.2">
      <c r="A32883" s="258"/>
      <c r="Z32883" s="258"/>
    </row>
    <row r="32884" spans="1:26" ht="12.75" customHeight="1" x14ac:dyDescent="0.2">
      <c r="A32884" s="258"/>
      <c r="Z32884" s="258"/>
    </row>
    <row r="32885" spans="1:26" ht="12.75" customHeight="1" x14ac:dyDescent="0.2">
      <c r="A32885" s="258"/>
      <c r="Z32885" s="258"/>
    </row>
    <row r="32886" spans="1:26" ht="12.75" customHeight="1" x14ac:dyDescent="0.2">
      <c r="A32886" s="258"/>
      <c r="Z32886" s="258"/>
    </row>
    <row r="32887" spans="1:26" ht="12.75" customHeight="1" x14ac:dyDescent="0.2">
      <c r="A32887" s="258"/>
      <c r="Z32887" s="258"/>
    </row>
    <row r="32888" spans="1:26" ht="12.75" customHeight="1" x14ac:dyDescent="0.2">
      <c r="A32888" s="258"/>
      <c r="Z32888" s="258"/>
    </row>
    <row r="32889" spans="1:26" ht="12.75" customHeight="1" x14ac:dyDescent="0.2">
      <c r="A32889" s="258"/>
      <c r="Z32889" s="258"/>
    </row>
    <row r="32890" spans="1:26" ht="12.75" customHeight="1" x14ac:dyDescent="0.2">
      <c r="A32890" s="258"/>
      <c r="Z32890" s="258"/>
    </row>
    <row r="32891" spans="1:26" ht="12.75" customHeight="1" x14ac:dyDescent="0.2">
      <c r="A32891" s="258"/>
      <c r="Z32891" s="258"/>
    </row>
    <row r="32892" spans="1:26" ht="12.75" customHeight="1" x14ac:dyDescent="0.2">
      <c r="A32892" s="258"/>
      <c r="Z32892" s="258"/>
    </row>
    <row r="32893" spans="1:26" ht="12.75" customHeight="1" x14ac:dyDescent="0.2">
      <c r="A32893" s="258"/>
      <c r="Z32893" s="258"/>
    </row>
    <row r="32894" spans="1:26" ht="12.75" customHeight="1" x14ac:dyDescent="0.2">
      <c r="A32894" s="258"/>
      <c r="Z32894" s="258"/>
    </row>
    <row r="32895" spans="1:26" ht="12.75" customHeight="1" x14ac:dyDescent="0.2">
      <c r="A32895" s="258"/>
      <c r="Z32895" s="258"/>
    </row>
    <row r="32896" spans="1:26" ht="12.75" customHeight="1" x14ac:dyDescent="0.2">
      <c r="A32896" s="258"/>
      <c r="Z32896" s="258"/>
    </row>
    <row r="32897" spans="1:26" ht="12.75" customHeight="1" x14ac:dyDescent="0.2">
      <c r="A32897" s="258"/>
      <c r="Z32897" s="258"/>
    </row>
    <row r="32898" spans="1:26" ht="12.75" customHeight="1" x14ac:dyDescent="0.2">
      <c r="A32898" s="258"/>
      <c r="Z32898" s="258"/>
    </row>
    <row r="32899" spans="1:26" ht="12.75" customHeight="1" x14ac:dyDescent="0.2">
      <c r="A32899" s="258"/>
      <c r="Z32899" s="258"/>
    </row>
    <row r="32900" spans="1:26" ht="12.75" customHeight="1" x14ac:dyDescent="0.2">
      <c r="A32900" s="258"/>
      <c r="Z32900" s="258"/>
    </row>
    <row r="32901" spans="1:26" ht="12.75" customHeight="1" x14ac:dyDescent="0.2">
      <c r="A32901" s="258"/>
      <c r="Z32901" s="258"/>
    </row>
    <row r="32902" spans="1:26" ht="12.75" customHeight="1" x14ac:dyDescent="0.2">
      <c r="A32902" s="258"/>
      <c r="Z32902" s="258"/>
    </row>
    <row r="32903" spans="1:26" ht="12.75" customHeight="1" x14ac:dyDescent="0.2">
      <c r="A32903" s="258"/>
      <c r="Z32903" s="258"/>
    </row>
    <row r="32904" spans="1:26" ht="12.75" customHeight="1" x14ac:dyDescent="0.2">
      <c r="A32904" s="258"/>
      <c r="Z32904" s="258"/>
    </row>
    <row r="32905" spans="1:26" ht="12.75" customHeight="1" x14ac:dyDescent="0.2">
      <c r="A32905" s="258"/>
      <c r="Z32905" s="258"/>
    </row>
    <row r="32906" spans="1:26" ht="12.75" customHeight="1" x14ac:dyDescent="0.2">
      <c r="A32906" s="258"/>
      <c r="Z32906" s="258"/>
    </row>
    <row r="32907" spans="1:26" ht="12.75" customHeight="1" x14ac:dyDescent="0.2">
      <c r="A32907" s="258"/>
      <c r="Z32907" s="258"/>
    </row>
    <row r="32908" spans="1:26" ht="12.75" customHeight="1" x14ac:dyDescent="0.2">
      <c r="A32908" s="258"/>
      <c r="Z32908" s="258"/>
    </row>
    <row r="32909" spans="1:26" ht="12.75" customHeight="1" x14ac:dyDescent="0.2">
      <c r="A32909" s="258"/>
      <c r="Z32909" s="258"/>
    </row>
    <row r="32910" spans="1:26" ht="12.75" customHeight="1" x14ac:dyDescent="0.2">
      <c r="A32910" s="258"/>
      <c r="Z32910" s="258"/>
    </row>
    <row r="32911" spans="1:26" ht="12.75" customHeight="1" x14ac:dyDescent="0.2">
      <c r="A32911" s="258"/>
      <c r="Z32911" s="258"/>
    </row>
    <row r="32912" spans="1:26" ht="12.75" customHeight="1" x14ac:dyDescent="0.2">
      <c r="A32912" s="258"/>
      <c r="Z32912" s="258"/>
    </row>
    <row r="32913" spans="1:26" ht="12.75" customHeight="1" x14ac:dyDescent="0.2">
      <c r="A32913" s="258"/>
      <c r="Z32913" s="258"/>
    </row>
    <row r="32914" spans="1:26" ht="12.75" customHeight="1" x14ac:dyDescent="0.2">
      <c r="A32914" s="258"/>
      <c r="Z32914" s="258"/>
    </row>
    <row r="32915" spans="1:26" ht="12.75" customHeight="1" x14ac:dyDescent="0.2">
      <c r="A32915" s="258"/>
      <c r="Z32915" s="258"/>
    </row>
    <row r="32916" spans="1:26" ht="12.75" customHeight="1" x14ac:dyDescent="0.2">
      <c r="A32916" s="258"/>
      <c r="Z32916" s="258"/>
    </row>
    <row r="32917" spans="1:26" ht="12.75" customHeight="1" x14ac:dyDescent="0.2">
      <c r="A32917" s="258"/>
      <c r="Z32917" s="258"/>
    </row>
    <row r="32918" spans="1:26" ht="12.75" customHeight="1" x14ac:dyDescent="0.2">
      <c r="A32918" s="258"/>
      <c r="Z32918" s="258"/>
    </row>
    <row r="32919" spans="1:26" ht="12.75" customHeight="1" x14ac:dyDescent="0.2">
      <c r="A32919" s="258"/>
      <c r="Z32919" s="258"/>
    </row>
    <row r="32920" spans="1:26" ht="12.75" customHeight="1" x14ac:dyDescent="0.2">
      <c r="A32920" s="258"/>
      <c r="Z32920" s="258"/>
    </row>
    <row r="32921" spans="1:26" ht="12.75" customHeight="1" x14ac:dyDescent="0.2">
      <c r="A32921" s="258"/>
      <c r="Z32921" s="258"/>
    </row>
    <row r="32922" spans="1:26" ht="12.75" customHeight="1" x14ac:dyDescent="0.2">
      <c r="A32922" s="258"/>
      <c r="Z32922" s="258"/>
    </row>
    <row r="32923" spans="1:26" ht="12.75" customHeight="1" x14ac:dyDescent="0.2">
      <c r="A32923" s="258"/>
      <c r="Z32923" s="258"/>
    </row>
    <row r="32924" spans="1:26" ht="12.75" customHeight="1" x14ac:dyDescent="0.2">
      <c r="A32924" s="258"/>
      <c r="Z32924" s="258"/>
    </row>
    <row r="32925" spans="1:26" ht="12.75" customHeight="1" x14ac:dyDescent="0.2">
      <c r="A32925" s="258"/>
      <c r="Z32925" s="258"/>
    </row>
    <row r="32926" spans="1:26" ht="12.75" customHeight="1" x14ac:dyDescent="0.2">
      <c r="A32926" s="258"/>
      <c r="Z32926" s="258"/>
    </row>
    <row r="32927" spans="1:26" ht="12.75" customHeight="1" x14ac:dyDescent="0.2">
      <c r="A32927" s="258"/>
      <c r="Z32927" s="258"/>
    </row>
    <row r="32928" spans="1:26" ht="12.75" customHeight="1" x14ac:dyDescent="0.2">
      <c r="A32928" s="258"/>
      <c r="Z32928" s="258"/>
    </row>
    <row r="32929" spans="1:26" ht="12.75" customHeight="1" x14ac:dyDescent="0.2">
      <c r="A32929" s="258"/>
      <c r="Z32929" s="258"/>
    </row>
    <row r="32930" spans="1:26" ht="12.75" customHeight="1" x14ac:dyDescent="0.2">
      <c r="A32930" s="258"/>
      <c r="Z32930" s="258"/>
    </row>
    <row r="32931" spans="1:26" ht="12.75" customHeight="1" x14ac:dyDescent="0.2">
      <c r="A32931" s="258"/>
      <c r="Z32931" s="258"/>
    </row>
    <row r="32932" spans="1:26" ht="12.75" customHeight="1" x14ac:dyDescent="0.2">
      <c r="A32932" s="258"/>
      <c r="Z32932" s="258"/>
    </row>
    <row r="32933" spans="1:26" ht="12.75" customHeight="1" x14ac:dyDescent="0.2">
      <c r="A32933" s="258"/>
      <c r="Z32933" s="258"/>
    </row>
    <row r="32934" spans="1:26" ht="12.75" customHeight="1" x14ac:dyDescent="0.2">
      <c r="A32934" s="258"/>
      <c r="Z32934" s="258"/>
    </row>
    <row r="32935" spans="1:26" ht="12.75" customHeight="1" x14ac:dyDescent="0.2">
      <c r="A32935" s="258"/>
      <c r="Z32935" s="258"/>
    </row>
    <row r="32936" spans="1:26" ht="12.75" customHeight="1" x14ac:dyDescent="0.2">
      <c r="A32936" s="258"/>
      <c r="Z32936" s="258"/>
    </row>
    <row r="32937" spans="1:26" ht="12.75" customHeight="1" x14ac:dyDescent="0.2">
      <c r="A32937" s="258"/>
      <c r="Z32937" s="258"/>
    </row>
    <row r="32938" spans="1:26" ht="12.75" customHeight="1" x14ac:dyDescent="0.2">
      <c r="A32938" s="258"/>
      <c r="Z32938" s="258"/>
    </row>
    <row r="32939" spans="1:26" ht="12.75" customHeight="1" x14ac:dyDescent="0.2">
      <c r="A32939" s="258"/>
      <c r="Z32939" s="258"/>
    </row>
    <row r="32940" spans="1:26" ht="12.75" customHeight="1" x14ac:dyDescent="0.2">
      <c r="A32940" s="258"/>
      <c r="Z32940" s="258"/>
    </row>
    <row r="32941" spans="1:26" ht="12.75" customHeight="1" x14ac:dyDescent="0.2">
      <c r="A32941" s="258"/>
      <c r="Z32941" s="258"/>
    </row>
    <row r="32942" spans="1:26" ht="12.75" customHeight="1" x14ac:dyDescent="0.2">
      <c r="A32942" s="258"/>
      <c r="Z32942" s="258"/>
    </row>
    <row r="32943" spans="1:26" ht="12.75" customHeight="1" x14ac:dyDescent="0.2">
      <c r="A32943" s="258"/>
      <c r="Z32943" s="258"/>
    </row>
    <row r="32944" spans="1:26" ht="12.75" customHeight="1" x14ac:dyDescent="0.2">
      <c r="A32944" s="258"/>
      <c r="Z32944" s="258"/>
    </row>
    <row r="32945" spans="1:26" ht="12.75" customHeight="1" x14ac:dyDescent="0.2">
      <c r="A32945" s="258"/>
      <c r="Z32945" s="258"/>
    </row>
    <row r="32946" spans="1:26" ht="12.75" customHeight="1" x14ac:dyDescent="0.2">
      <c r="A32946" s="258"/>
      <c r="Z32946" s="258"/>
    </row>
    <row r="32947" spans="1:26" ht="12.75" customHeight="1" x14ac:dyDescent="0.2">
      <c r="A32947" s="258"/>
      <c r="Z32947" s="258"/>
    </row>
    <row r="32948" spans="1:26" ht="12.75" customHeight="1" x14ac:dyDescent="0.2">
      <c r="A32948" s="258"/>
      <c r="Z32948" s="258"/>
    </row>
    <row r="32949" spans="1:26" ht="12.75" customHeight="1" x14ac:dyDescent="0.2">
      <c r="A32949" s="258"/>
      <c r="Z32949" s="258"/>
    </row>
    <row r="32950" spans="1:26" ht="12.75" customHeight="1" x14ac:dyDescent="0.2">
      <c r="A32950" s="258"/>
      <c r="Z32950" s="258"/>
    </row>
    <row r="32951" spans="1:26" ht="12.75" customHeight="1" x14ac:dyDescent="0.2">
      <c r="A32951" s="258"/>
      <c r="Z32951" s="258"/>
    </row>
    <row r="32952" spans="1:26" ht="12.75" customHeight="1" x14ac:dyDescent="0.2">
      <c r="A32952" s="258"/>
      <c r="Z32952" s="258"/>
    </row>
    <row r="32953" spans="1:26" ht="12.75" customHeight="1" x14ac:dyDescent="0.2">
      <c r="A32953" s="258"/>
      <c r="Z32953" s="258"/>
    </row>
    <row r="32954" spans="1:26" ht="12.75" customHeight="1" x14ac:dyDescent="0.2">
      <c r="A32954" s="258"/>
      <c r="Z32954" s="258"/>
    </row>
    <row r="32955" spans="1:26" ht="12.75" customHeight="1" x14ac:dyDescent="0.2">
      <c r="A32955" s="258"/>
      <c r="Z32955" s="258"/>
    </row>
    <row r="32956" spans="1:26" ht="12.75" customHeight="1" x14ac:dyDescent="0.2">
      <c r="A32956" s="258"/>
      <c r="Z32956" s="258"/>
    </row>
    <row r="32957" spans="1:26" ht="12.75" customHeight="1" x14ac:dyDescent="0.2">
      <c r="A32957" s="258"/>
      <c r="Z32957" s="258"/>
    </row>
    <row r="32958" spans="1:26" ht="12.75" customHeight="1" x14ac:dyDescent="0.2">
      <c r="A32958" s="258"/>
      <c r="Z32958" s="258"/>
    </row>
    <row r="32959" spans="1:26" ht="12.75" customHeight="1" x14ac:dyDescent="0.2">
      <c r="A32959" s="258"/>
      <c r="Z32959" s="258"/>
    </row>
    <row r="32960" spans="1:26" ht="12.75" customHeight="1" x14ac:dyDescent="0.2">
      <c r="A32960" s="258"/>
      <c r="Z32960" s="258"/>
    </row>
    <row r="32961" spans="1:26" ht="12.75" customHeight="1" x14ac:dyDescent="0.2">
      <c r="A32961" s="258"/>
      <c r="Z32961" s="258"/>
    </row>
    <row r="32962" spans="1:26" ht="12.75" customHeight="1" x14ac:dyDescent="0.2">
      <c r="A32962" s="258"/>
      <c r="Z32962" s="258"/>
    </row>
    <row r="32963" spans="1:26" ht="12.75" customHeight="1" x14ac:dyDescent="0.2">
      <c r="A32963" s="258"/>
      <c r="Z32963" s="258"/>
    </row>
    <row r="32964" spans="1:26" ht="12.75" customHeight="1" x14ac:dyDescent="0.2">
      <c r="A32964" s="258"/>
      <c r="Z32964" s="258"/>
    </row>
    <row r="32965" spans="1:26" ht="12.75" customHeight="1" x14ac:dyDescent="0.2">
      <c r="A32965" s="258"/>
      <c r="Z32965" s="258"/>
    </row>
    <row r="32966" spans="1:26" ht="12.75" customHeight="1" x14ac:dyDescent="0.2">
      <c r="A32966" s="258"/>
      <c r="Z32966" s="258"/>
    </row>
    <row r="32967" spans="1:26" ht="12.75" customHeight="1" x14ac:dyDescent="0.2">
      <c r="A32967" s="258"/>
      <c r="Z32967" s="258"/>
    </row>
    <row r="32968" spans="1:26" ht="12.75" customHeight="1" x14ac:dyDescent="0.2">
      <c r="A32968" s="258"/>
      <c r="Z32968" s="258"/>
    </row>
    <row r="32969" spans="1:26" ht="12.75" customHeight="1" x14ac:dyDescent="0.2">
      <c r="A32969" s="258"/>
      <c r="Z32969" s="258"/>
    </row>
    <row r="32970" spans="1:26" ht="12.75" customHeight="1" x14ac:dyDescent="0.2">
      <c r="A32970" s="258"/>
      <c r="Z32970" s="258"/>
    </row>
    <row r="32971" spans="1:26" ht="12.75" customHeight="1" x14ac:dyDescent="0.2">
      <c r="A32971" s="258"/>
      <c r="Z32971" s="258"/>
    </row>
    <row r="32972" spans="1:26" ht="12.75" customHeight="1" x14ac:dyDescent="0.2">
      <c r="A32972" s="258"/>
      <c r="Z32972" s="258"/>
    </row>
    <row r="32973" spans="1:26" ht="12.75" customHeight="1" x14ac:dyDescent="0.2">
      <c r="A32973" s="258"/>
      <c r="Z32973" s="258"/>
    </row>
    <row r="32974" spans="1:26" ht="12.75" customHeight="1" x14ac:dyDescent="0.2">
      <c r="A32974" s="258"/>
      <c r="Z32974" s="258"/>
    </row>
    <row r="32975" spans="1:26" ht="12.75" customHeight="1" x14ac:dyDescent="0.2">
      <c r="A32975" s="258"/>
      <c r="Z32975" s="258"/>
    </row>
    <row r="32976" spans="1:26" ht="12.75" customHeight="1" x14ac:dyDescent="0.2">
      <c r="A32976" s="258"/>
      <c r="Z32976" s="258"/>
    </row>
    <row r="32977" spans="1:26" ht="12.75" customHeight="1" x14ac:dyDescent="0.2">
      <c r="A32977" s="258"/>
      <c r="Z32977" s="258"/>
    </row>
    <row r="32978" spans="1:26" ht="12.75" customHeight="1" x14ac:dyDescent="0.2">
      <c r="A32978" s="258"/>
      <c r="Z32978" s="258"/>
    </row>
    <row r="32979" spans="1:26" ht="12.75" customHeight="1" x14ac:dyDescent="0.2">
      <c r="A32979" s="258"/>
      <c r="Z32979" s="258"/>
    </row>
    <row r="32980" spans="1:26" ht="12.75" customHeight="1" x14ac:dyDescent="0.2">
      <c r="A32980" s="258"/>
      <c r="Z32980" s="258"/>
    </row>
    <row r="32981" spans="1:26" ht="12.75" customHeight="1" x14ac:dyDescent="0.2">
      <c r="A32981" s="258"/>
      <c r="Z32981" s="258"/>
    </row>
    <row r="32982" spans="1:26" ht="12.75" customHeight="1" x14ac:dyDescent="0.2">
      <c r="A32982" s="258"/>
      <c r="Z32982" s="258"/>
    </row>
    <row r="32983" spans="1:26" ht="12.75" customHeight="1" x14ac:dyDescent="0.2">
      <c r="A32983" s="258"/>
      <c r="Z32983" s="258"/>
    </row>
    <row r="32984" spans="1:26" ht="12.75" customHeight="1" x14ac:dyDescent="0.2">
      <c r="A32984" s="258"/>
      <c r="Z32984" s="258"/>
    </row>
    <row r="32985" spans="1:26" ht="12.75" customHeight="1" x14ac:dyDescent="0.2">
      <c r="A32985" s="258"/>
      <c r="Z32985" s="258"/>
    </row>
    <row r="32986" spans="1:26" ht="12.75" customHeight="1" x14ac:dyDescent="0.2">
      <c r="A32986" s="258"/>
      <c r="Z32986" s="258"/>
    </row>
    <row r="32987" spans="1:26" ht="12.75" customHeight="1" x14ac:dyDescent="0.2">
      <c r="A32987" s="258"/>
      <c r="Z32987" s="258"/>
    </row>
    <row r="32988" spans="1:26" ht="12.75" customHeight="1" x14ac:dyDescent="0.2">
      <c r="A32988" s="258"/>
      <c r="Z32988" s="258"/>
    </row>
    <row r="32989" spans="1:26" ht="12.75" customHeight="1" x14ac:dyDescent="0.2">
      <c r="A32989" s="258"/>
      <c r="Z32989" s="258"/>
    </row>
    <row r="32990" spans="1:26" ht="12.75" customHeight="1" x14ac:dyDescent="0.2">
      <c r="A32990" s="258"/>
      <c r="Z32990" s="258"/>
    </row>
    <row r="32991" spans="1:26" ht="12.75" customHeight="1" x14ac:dyDescent="0.2">
      <c r="A32991" s="258"/>
      <c r="Z32991" s="258"/>
    </row>
    <row r="32992" spans="1:26" ht="12.75" customHeight="1" x14ac:dyDescent="0.2">
      <c r="A32992" s="258"/>
      <c r="Z32992" s="258"/>
    </row>
    <row r="32993" spans="1:26" ht="12.75" customHeight="1" x14ac:dyDescent="0.2">
      <c r="A32993" s="258"/>
      <c r="Z32993" s="258"/>
    </row>
    <row r="32994" spans="1:26" ht="12.75" customHeight="1" x14ac:dyDescent="0.2">
      <c r="A32994" s="258"/>
      <c r="Z32994" s="258"/>
    </row>
    <row r="32995" spans="1:26" ht="12.75" customHeight="1" x14ac:dyDescent="0.2">
      <c r="A32995" s="258"/>
      <c r="Z32995" s="258"/>
    </row>
    <row r="32996" spans="1:26" ht="12.75" customHeight="1" x14ac:dyDescent="0.2">
      <c r="A32996" s="258"/>
      <c r="Z32996" s="258"/>
    </row>
    <row r="32997" spans="1:26" ht="12.75" customHeight="1" x14ac:dyDescent="0.2">
      <c r="A32997" s="258"/>
      <c r="Z32997" s="258"/>
    </row>
    <row r="32998" spans="1:26" ht="12.75" customHeight="1" x14ac:dyDescent="0.2">
      <c r="A32998" s="258"/>
      <c r="Z32998" s="258"/>
    </row>
    <row r="32999" spans="1:26" ht="12.75" customHeight="1" x14ac:dyDescent="0.2">
      <c r="A32999" s="258"/>
      <c r="Z32999" s="258"/>
    </row>
    <row r="33000" spans="1:26" ht="12.75" customHeight="1" x14ac:dyDescent="0.2">
      <c r="A33000" s="258"/>
      <c r="Z33000" s="258"/>
    </row>
    <row r="33001" spans="1:26" ht="12.75" customHeight="1" x14ac:dyDescent="0.2">
      <c r="A33001" s="258"/>
      <c r="Z33001" s="258"/>
    </row>
    <row r="33002" spans="1:26" ht="12.75" customHeight="1" x14ac:dyDescent="0.2">
      <c r="A33002" s="258"/>
      <c r="Z33002" s="258"/>
    </row>
    <row r="33003" spans="1:26" ht="12.75" customHeight="1" x14ac:dyDescent="0.2">
      <c r="A33003" s="258"/>
      <c r="Z33003" s="258"/>
    </row>
    <row r="33004" spans="1:26" ht="12.75" customHeight="1" x14ac:dyDescent="0.2">
      <c r="A33004" s="258"/>
      <c r="Z33004" s="258"/>
    </row>
    <row r="33005" spans="1:26" ht="12.75" customHeight="1" x14ac:dyDescent="0.2">
      <c r="A33005" s="258"/>
      <c r="Z33005" s="258"/>
    </row>
    <row r="33006" spans="1:26" ht="12.75" customHeight="1" x14ac:dyDescent="0.2">
      <c r="A33006" s="258"/>
      <c r="Z33006" s="258"/>
    </row>
    <row r="33007" spans="1:26" ht="12.75" customHeight="1" x14ac:dyDescent="0.2">
      <c r="A33007" s="258"/>
      <c r="Z33007" s="258"/>
    </row>
    <row r="33008" spans="1:26" ht="12.75" customHeight="1" x14ac:dyDescent="0.2">
      <c r="A33008" s="258"/>
      <c r="Z33008" s="258"/>
    </row>
    <row r="33009" spans="1:26" ht="12.75" customHeight="1" x14ac:dyDescent="0.2">
      <c r="A33009" s="258"/>
      <c r="Z33009" s="258"/>
    </row>
    <row r="33010" spans="1:26" ht="12.75" customHeight="1" x14ac:dyDescent="0.2">
      <c r="A33010" s="258"/>
      <c r="Z33010" s="258"/>
    </row>
    <row r="33011" spans="1:26" ht="12.75" customHeight="1" x14ac:dyDescent="0.2">
      <c r="A33011" s="258"/>
      <c r="Z33011" s="258"/>
    </row>
    <row r="33012" spans="1:26" ht="12.75" customHeight="1" x14ac:dyDescent="0.2">
      <c r="A33012" s="258"/>
      <c r="Z33012" s="258"/>
    </row>
    <row r="33013" spans="1:26" ht="12.75" customHeight="1" x14ac:dyDescent="0.2">
      <c r="A33013" s="258"/>
      <c r="Z33013" s="258"/>
    </row>
    <row r="33014" spans="1:26" ht="12.75" customHeight="1" x14ac:dyDescent="0.2">
      <c r="A33014" s="258"/>
      <c r="Z33014" s="258"/>
    </row>
    <row r="33015" spans="1:26" ht="12.75" customHeight="1" x14ac:dyDescent="0.2">
      <c r="A33015" s="258"/>
      <c r="Z33015" s="258"/>
    </row>
    <row r="33016" spans="1:26" ht="12.75" customHeight="1" x14ac:dyDescent="0.2">
      <c r="A33016" s="258"/>
      <c r="Z33016" s="258"/>
    </row>
    <row r="33017" spans="1:26" ht="12.75" customHeight="1" x14ac:dyDescent="0.2">
      <c r="A33017" s="258"/>
      <c r="Z33017" s="258"/>
    </row>
    <row r="33018" spans="1:26" ht="12.75" customHeight="1" x14ac:dyDescent="0.2">
      <c r="A33018" s="258"/>
      <c r="Z33018" s="258"/>
    </row>
    <row r="33019" spans="1:26" ht="12.75" customHeight="1" x14ac:dyDescent="0.2">
      <c r="A33019" s="258"/>
      <c r="Z33019" s="258"/>
    </row>
    <row r="33020" spans="1:26" ht="12.75" customHeight="1" x14ac:dyDescent="0.2">
      <c r="A33020" s="258"/>
      <c r="Z33020" s="258"/>
    </row>
    <row r="33021" spans="1:26" ht="12.75" customHeight="1" x14ac:dyDescent="0.2">
      <c r="A33021" s="258"/>
      <c r="Z33021" s="258"/>
    </row>
    <row r="33022" spans="1:26" ht="12.75" customHeight="1" x14ac:dyDescent="0.2">
      <c r="A33022" s="258"/>
      <c r="Z33022" s="258"/>
    </row>
    <row r="33023" spans="1:26" ht="12.75" customHeight="1" x14ac:dyDescent="0.2">
      <c r="A33023" s="258"/>
      <c r="Z33023" s="258"/>
    </row>
    <row r="33024" spans="1:26" ht="12.75" customHeight="1" x14ac:dyDescent="0.2">
      <c r="A33024" s="258"/>
      <c r="Z33024" s="258"/>
    </row>
    <row r="33025" spans="1:26" ht="12.75" customHeight="1" x14ac:dyDescent="0.2">
      <c r="A33025" s="258"/>
      <c r="Z33025" s="258"/>
    </row>
    <row r="33026" spans="1:26" ht="12.75" customHeight="1" x14ac:dyDescent="0.2">
      <c r="A33026" s="258"/>
      <c r="Z33026" s="258"/>
    </row>
    <row r="33027" spans="1:26" ht="12.75" customHeight="1" x14ac:dyDescent="0.2">
      <c r="A33027" s="258"/>
      <c r="Z33027" s="258"/>
    </row>
    <row r="33028" spans="1:26" ht="12.75" customHeight="1" x14ac:dyDescent="0.2">
      <c r="A33028" s="258"/>
      <c r="Z33028" s="258"/>
    </row>
    <row r="33029" spans="1:26" ht="12.75" customHeight="1" x14ac:dyDescent="0.2">
      <c r="A33029" s="258"/>
      <c r="Z33029" s="258"/>
    </row>
    <row r="33030" spans="1:26" ht="12.75" customHeight="1" x14ac:dyDescent="0.2">
      <c r="A33030" s="258"/>
      <c r="Z33030" s="258"/>
    </row>
    <row r="33031" spans="1:26" ht="12.75" customHeight="1" x14ac:dyDescent="0.2">
      <c r="A33031" s="258"/>
      <c r="Z33031" s="258"/>
    </row>
    <row r="33032" spans="1:26" ht="12.75" customHeight="1" x14ac:dyDescent="0.2">
      <c r="A33032" s="258"/>
      <c r="Z33032" s="258"/>
    </row>
    <row r="33033" spans="1:26" ht="12.75" customHeight="1" x14ac:dyDescent="0.2">
      <c r="A33033" s="258"/>
      <c r="Z33033" s="258"/>
    </row>
    <row r="33034" spans="1:26" ht="12.75" customHeight="1" x14ac:dyDescent="0.2">
      <c r="A33034" s="258"/>
      <c r="Z33034" s="258"/>
    </row>
    <row r="33035" spans="1:26" ht="12.75" customHeight="1" x14ac:dyDescent="0.2">
      <c r="A33035" s="258"/>
      <c r="Z33035" s="258"/>
    </row>
    <row r="33036" spans="1:26" ht="12.75" customHeight="1" x14ac:dyDescent="0.2">
      <c r="A33036" s="258"/>
      <c r="Z33036" s="258"/>
    </row>
    <row r="33037" spans="1:26" ht="12.75" customHeight="1" x14ac:dyDescent="0.2">
      <c r="A33037" s="258"/>
      <c r="Z33037" s="258"/>
    </row>
    <row r="33038" spans="1:26" ht="12.75" customHeight="1" x14ac:dyDescent="0.2">
      <c r="A33038" s="258"/>
      <c r="Z33038" s="258"/>
    </row>
    <row r="33039" spans="1:26" ht="12.75" customHeight="1" x14ac:dyDescent="0.2">
      <c r="A33039" s="258"/>
      <c r="Z33039" s="258"/>
    </row>
    <row r="33040" spans="1:26" ht="12.75" customHeight="1" x14ac:dyDescent="0.2">
      <c r="A33040" s="258"/>
      <c r="Z33040" s="258"/>
    </row>
    <row r="33041" spans="1:26" ht="12.75" customHeight="1" x14ac:dyDescent="0.2">
      <c r="A33041" s="258"/>
      <c r="Z33041" s="258"/>
    </row>
    <row r="33042" spans="1:26" ht="12.75" customHeight="1" x14ac:dyDescent="0.2">
      <c r="A33042" s="258"/>
      <c r="Z33042" s="258"/>
    </row>
    <row r="33043" spans="1:26" ht="12.75" customHeight="1" x14ac:dyDescent="0.2">
      <c r="A33043" s="258"/>
      <c r="Z33043" s="258"/>
    </row>
    <row r="33044" spans="1:26" ht="12.75" customHeight="1" x14ac:dyDescent="0.2">
      <c r="A33044" s="258"/>
      <c r="Z33044" s="258"/>
    </row>
    <row r="33045" spans="1:26" ht="12.75" customHeight="1" x14ac:dyDescent="0.2">
      <c r="A33045" s="258"/>
      <c r="Z33045" s="258"/>
    </row>
    <row r="33046" spans="1:26" ht="12.75" customHeight="1" x14ac:dyDescent="0.2">
      <c r="A33046" s="258"/>
      <c r="Z33046" s="258"/>
    </row>
    <row r="33047" spans="1:26" ht="12.75" customHeight="1" x14ac:dyDescent="0.2">
      <c r="A33047" s="258"/>
      <c r="Z33047" s="258"/>
    </row>
    <row r="33048" spans="1:26" ht="12.75" customHeight="1" x14ac:dyDescent="0.2">
      <c r="A33048" s="258"/>
      <c r="Z33048" s="258"/>
    </row>
    <row r="33049" spans="1:26" ht="12.75" customHeight="1" x14ac:dyDescent="0.2">
      <c r="A33049" s="258"/>
      <c r="Z33049" s="258"/>
    </row>
    <row r="33050" spans="1:26" ht="12.75" customHeight="1" x14ac:dyDescent="0.2">
      <c r="A33050" s="258"/>
      <c r="Z33050" s="258"/>
    </row>
    <row r="33051" spans="1:26" ht="12.75" customHeight="1" x14ac:dyDescent="0.2">
      <c r="A33051" s="258"/>
      <c r="Z33051" s="258"/>
    </row>
    <row r="33052" spans="1:26" ht="12.75" customHeight="1" x14ac:dyDescent="0.2">
      <c r="A33052" s="258"/>
      <c r="Z33052" s="258"/>
    </row>
    <row r="33053" spans="1:26" ht="12.75" customHeight="1" x14ac:dyDescent="0.2">
      <c r="A33053" s="258"/>
      <c r="Z33053" s="258"/>
    </row>
    <row r="33054" spans="1:26" ht="12.75" customHeight="1" x14ac:dyDescent="0.2">
      <c r="A33054" s="258"/>
      <c r="Z33054" s="258"/>
    </row>
    <row r="33055" spans="1:26" ht="12.75" customHeight="1" x14ac:dyDescent="0.2">
      <c r="A33055" s="258"/>
      <c r="Z33055" s="258"/>
    </row>
    <row r="33056" spans="1:26" ht="12.75" customHeight="1" x14ac:dyDescent="0.2">
      <c r="A33056" s="258"/>
      <c r="Z33056" s="258"/>
    </row>
    <row r="33057" spans="1:26" ht="12.75" customHeight="1" x14ac:dyDescent="0.2">
      <c r="A33057" s="258"/>
      <c r="Z33057" s="258"/>
    </row>
    <row r="33058" spans="1:26" ht="12.75" customHeight="1" x14ac:dyDescent="0.2">
      <c r="A33058" s="258"/>
      <c r="Z33058" s="258"/>
    </row>
    <row r="33059" spans="1:26" ht="12.75" customHeight="1" x14ac:dyDescent="0.2">
      <c r="A33059" s="258"/>
      <c r="Z33059" s="258"/>
    </row>
    <row r="33060" spans="1:26" ht="12.75" customHeight="1" x14ac:dyDescent="0.2">
      <c r="A33060" s="258"/>
      <c r="Z33060" s="258"/>
    </row>
    <row r="33061" spans="1:26" ht="12.75" customHeight="1" x14ac:dyDescent="0.2">
      <c r="A33061" s="258"/>
      <c r="Z33061" s="258"/>
    </row>
    <row r="33062" spans="1:26" ht="12.75" customHeight="1" x14ac:dyDescent="0.2">
      <c r="A33062" s="258"/>
      <c r="Z33062" s="258"/>
    </row>
    <row r="33063" spans="1:26" ht="12.75" customHeight="1" x14ac:dyDescent="0.2">
      <c r="A33063" s="258"/>
      <c r="Z33063" s="258"/>
    </row>
    <row r="33064" spans="1:26" ht="12.75" customHeight="1" x14ac:dyDescent="0.2">
      <c r="A33064" s="258"/>
      <c r="Z33064" s="258"/>
    </row>
    <row r="33065" spans="1:26" ht="12.75" customHeight="1" x14ac:dyDescent="0.2">
      <c r="A33065" s="258"/>
      <c r="Z33065" s="258"/>
    </row>
    <row r="33066" spans="1:26" ht="12.75" customHeight="1" x14ac:dyDescent="0.2">
      <c r="A33066" s="258"/>
      <c r="Z33066" s="258"/>
    </row>
    <row r="33067" spans="1:26" ht="12.75" customHeight="1" x14ac:dyDescent="0.2">
      <c r="A33067" s="258"/>
      <c r="Z33067" s="258"/>
    </row>
    <row r="33068" spans="1:26" ht="12.75" customHeight="1" x14ac:dyDescent="0.2">
      <c r="A33068" s="258"/>
      <c r="Z33068" s="258"/>
    </row>
    <row r="33069" spans="1:26" ht="12.75" customHeight="1" x14ac:dyDescent="0.2">
      <c r="A33069" s="258"/>
      <c r="Z33069" s="258"/>
    </row>
    <row r="33070" spans="1:26" ht="12.75" customHeight="1" x14ac:dyDescent="0.2">
      <c r="A33070" s="258"/>
      <c r="Z33070" s="258"/>
    </row>
    <row r="33071" spans="1:26" ht="12.75" customHeight="1" x14ac:dyDescent="0.2">
      <c r="A33071" s="258"/>
      <c r="Z33071" s="258"/>
    </row>
    <row r="33072" spans="1:26" ht="12.75" customHeight="1" x14ac:dyDescent="0.2">
      <c r="A33072" s="258"/>
      <c r="Z33072" s="258"/>
    </row>
    <row r="33073" spans="1:26" ht="12.75" customHeight="1" x14ac:dyDescent="0.2">
      <c r="A33073" s="258"/>
      <c r="Z33073" s="258"/>
    </row>
    <row r="33074" spans="1:26" ht="12.75" customHeight="1" x14ac:dyDescent="0.2">
      <c r="A33074" s="258"/>
      <c r="Z33074" s="258"/>
    </row>
    <row r="33075" spans="1:26" ht="12.75" customHeight="1" x14ac:dyDescent="0.2">
      <c r="A33075" s="258"/>
      <c r="Z33075" s="258"/>
    </row>
    <row r="33076" spans="1:26" ht="12.75" customHeight="1" x14ac:dyDescent="0.2">
      <c r="A33076" s="258"/>
      <c r="Z33076" s="258"/>
    </row>
    <row r="33077" spans="1:26" ht="12.75" customHeight="1" x14ac:dyDescent="0.2">
      <c r="A33077" s="258"/>
      <c r="Z33077" s="258"/>
    </row>
    <row r="33078" spans="1:26" ht="12.75" customHeight="1" x14ac:dyDescent="0.2">
      <c r="A33078" s="258"/>
      <c r="Z33078" s="258"/>
    </row>
    <row r="33079" spans="1:26" ht="12.75" customHeight="1" x14ac:dyDescent="0.2">
      <c r="A33079" s="258"/>
      <c r="Z33079" s="258"/>
    </row>
    <row r="33080" spans="1:26" ht="12.75" customHeight="1" x14ac:dyDescent="0.2">
      <c r="A33080" s="258"/>
      <c r="Z33080" s="258"/>
    </row>
    <row r="33081" spans="1:26" ht="12.75" customHeight="1" x14ac:dyDescent="0.2">
      <c r="A33081" s="258"/>
      <c r="Z33081" s="258"/>
    </row>
    <row r="33082" spans="1:26" ht="12.75" customHeight="1" x14ac:dyDescent="0.2">
      <c r="A33082" s="258"/>
      <c r="Z33082" s="258"/>
    </row>
    <row r="33083" spans="1:26" ht="12.75" customHeight="1" x14ac:dyDescent="0.2">
      <c r="A33083" s="258"/>
      <c r="Z33083" s="258"/>
    </row>
    <row r="33084" spans="1:26" ht="12.75" customHeight="1" x14ac:dyDescent="0.2">
      <c r="A33084" s="258"/>
      <c r="Z33084" s="258"/>
    </row>
    <row r="33085" spans="1:26" ht="12.75" customHeight="1" x14ac:dyDescent="0.2">
      <c r="A33085" s="258"/>
      <c r="Z33085" s="258"/>
    </row>
    <row r="33086" spans="1:26" ht="12.75" customHeight="1" x14ac:dyDescent="0.2">
      <c r="A33086" s="258"/>
      <c r="Z33086" s="258"/>
    </row>
    <row r="33087" spans="1:26" ht="12.75" customHeight="1" x14ac:dyDescent="0.2">
      <c r="A33087" s="258"/>
      <c r="Z33087" s="258"/>
    </row>
    <row r="33088" spans="1:26" ht="12.75" customHeight="1" x14ac:dyDescent="0.2">
      <c r="A33088" s="258"/>
      <c r="Z33088" s="258"/>
    </row>
    <row r="33089" spans="1:26" ht="12.75" customHeight="1" x14ac:dyDescent="0.2">
      <c r="A33089" s="258"/>
      <c r="Z33089" s="258"/>
    </row>
    <row r="33090" spans="1:26" ht="12.75" customHeight="1" x14ac:dyDescent="0.2">
      <c r="A33090" s="258"/>
      <c r="Z33090" s="258"/>
    </row>
    <row r="33091" spans="1:26" ht="12.75" customHeight="1" x14ac:dyDescent="0.2">
      <c r="A33091" s="258"/>
      <c r="Z33091" s="258"/>
    </row>
    <row r="33092" spans="1:26" ht="12.75" customHeight="1" x14ac:dyDescent="0.2">
      <c r="A33092" s="258"/>
      <c r="Z33092" s="258"/>
    </row>
    <row r="33093" spans="1:26" ht="12.75" customHeight="1" x14ac:dyDescent="0.2">
      <c r="A33093" s="258"/>
      <c r="Z33093" s="258"/>
    </row>
    <row r="33094" spans="1:26" ht="12.75" customHeight="1" x14ac:dyDescent="0.2">
      <c r="A33094" s="258"/>
      <c r="Z33094" s="258"/>
    </row>
    <row r="33095" spans="1:26" ht="12.75" customHeight="1" x14ac:dyDescent="0.2">
      <c r="A33095" s="258"/>
      <c r="Z33095" s="258"/>
    </row>
    <row r="33096" spans="1:26" ht="12.75" customHeight="1" x14ac:dyDescent="0.2">
      <c r="A33096" s="258"/>
      <c r="Z33096" s="258"/>
    </row>
    <row r="33097" spans="1:26" ht="12.75" customHeight="1" x14ac:dyDescent="0.2">
      <c r="A33097" s="258"/>
      <c r="Z33097" s="258"/>
    </row>
    <row r="33098" spans="1:26" ht="12.75" customHeight="1" x14ac:dyDescent="0.2">
      <c r="A33098" s="258"/>
      <c r="Z33098" s="258"/>
    </row>
    <row r="33099" spans="1:26" ht="12.75" customHeight="1" x14ac:dyDescent="0.2">
      <c r="A33099" s="258"/>
      <c r="Z33099" s="258"/>
    </row>
    <row r="33100" spans="1:26" ht="12.75" customHeight="1" x14ac:dyDescent="0.2">
      <c r="A33100" s="258"/>
      <c r="Z33100" s="258"/>
    </row>
    <row r="33101" spans="1:26" ht="12.75" customHeight="1" x14ac:dyDescent="0.2">
      <c r="A33101" s="258"/>
      <c r="Z33101" s="258"/>
    </row>
    <row r="33102" spans="1:26" ht="12.75" customHeight="1" x14ac:dyDescent="0.2">
      <c r="A33102" s="258"/>
      <c r="Z33102" s="258"/>
    </row>
    <row r="33103" spans="1:26" ht="12.75" customHeight="1" x14ac:dyDescent="0.2">
      <c r="A33103" s="258"/>
      <c r="Z33103" s="258"/>
    </row>
    <row r="33104" spans="1:26" ht="12.75" customHeight="1" x14ac:dyDescent="0.2">
      <c r="A33104" s="258"/>
      <c r="Z33104" s="258"/>
    </row>
    <row r="33105" spans="1:26" ht="12.75" customHeight="1" x14ac:dyDescent="0.2">
      <c r="A33105" s="258"/>
      <c r="Z33105" s="258"/>
    </row>
    <row r="33106" spans="1:26" ht="12.75" customHeight="1" x14ac:dyDescent="0.2">
      <c r="A33106" s="258"/>
      <c r="Z33106" s="258"/>
    </row>
    <row r="33107" spans="1:26" ht="12.75" customHeight="1" x14ac:dyDescent="0.2">
      <c r="A33107" s="258"/>
      <c r="Z33107" s="258"/>
    </row>
    <row r="33108" spans="1:26" ht="12.75" customHeight="1" x14ac:dyDescent="0.2">
      <c r="A33108" s="258"/>
      <c r="Z33108" s="258"/>
    </row>
    <row r="33109" spans="1:26" ht="12.75" customHeight="1" x14ac:dyDescent="0.2">
      <c r="A33109" s="258"/>
      <c r="Z33109" s="258"/>
    </row>
    <row r="33110" spans="1:26" ht="12.75" customHeight="1" x14ac:dyDescent="0.2">
      <c r="A33110" s="258"/>
      <c r="Z33110" s="258"/>
    </row>
    <row r="33111" spans="1:26" ht="12.75" customHeight="1" x14ac:dyDescent="0.2">
      <c r="A33111" s="258"/>
      <c r="Z33111" s="258"/>
    </row>
    <row r="33112" spans="1:26" ht="12.75" customHeight="1" x14ac:dyDescent="0.2">
      <c r="A33112" s="258"/>
      <c r="Z33112" s="258"/>
    </row>
    <row r="33113" spans="1:26" ht="12.75" customHeight="1" x14ac:dyDescent="0.2">
      <c r="A33113" s="258"/>
      <c r="Z33113" s="258"/>
    </row>
    <row r="33114" spans="1:26" ht="12.75" customHeight="1" x14ac:dyDescent="0.2">
      <c r="A33114" s="258"/>
      <c r="Z33114" s="258"/>
    </row>
    <row r="33115" spans="1:26" ht="12.75" customHeight="1" x14ac:dyDescent="0.2">
      <c r="A33115" s="258"/>
      <c r="Z33115" s="258"/>
    </row>
    <row r="33116" spans="1:26" ht="12.75" customHeight="1" x14ac:dyDescent="0.2">
      <c r="A33116" s="258"/>
      <c r="Z33116" s="258"/>
    </row>
    <row r="33117" spans="1:26" ht="12.75" customHeight="1" x14ac:dyDescent="0.2">
      <c r="A33117" s="258"/>
      <c r="Z33117" s="258"/>
    </row>
    <row r="33118" spans="1:26" ht="12.75" customHeight="1" x14ac:dyDescent="0.2">
      <c r="A33118" s="258"/>
      <c r="Z33118" s="258"/>
    </row>
    <row r="33119" spans="1:26" ht="12.75" customHeight="1" x14ac:dyDescent="0.2">
      <c r="A33119" s="258"/>
      <c r="Z33119" s="258"/>
    </row>
    <row r="33120" spans="1:26" ht="12.75" customHeight="1" x14ac:dyDescent="0.2">
      <c r="A33120" s="258"/>
      <c r="Z33120" s="258"/>
    </row>
    <row r="33121" spans="1:26" ht="12.75" customHeight="1" x14ac:dyDescent="0.2">
      <c r="A33121" s="258"/>
      <c r="Z33121" s="258"/>
    </row>
    <row r="33122" spans="1:26" ht="12.75" customHeight="1" x14ac:dyDescent="0.2">
      <c r="A33122" s="258"/>
      <c r="Z33122" s="258"/>
    </row>
    <row r="33123" spans="1:26" ht="12.75" customHeight="1" x14ac:dyDescent="0.2">
      <c r="A33123" s="258"/>
      <c r="Z33123" s="258"/>
    </row>
    <row r="33124" spans="1:26" ht="12.75" customHeight="1" x14ac:dyDescent="0.2">
      <c r="A33124" s="258"/>
      <c r="Z33124" s="258"/>
    </row>
    <row r="33125" spans="1:26" ht="12.75" customHeight="1" x14ac:dyDescent="0.2">
      <c r="A33125" s="258"/>
      <c r="Z33125" s="258"/>
    </row>
    <row r="33126" spans="1:26" ht="12.75" customHeight="1" x14ac:dyDescent="0.2">
      <c r="A33126" s="258"/>
      <c r="Z33126" s="258"/>
    </row>
    <row r="33127" spans="1:26" ht="12.75" customHeight="1" x14ac:dyDescent="0.2">
      <c r="A33127" s="258"/>
      <c r="Z33127" s="258"/>
    </row>
    <row r="33128" spans="1:26" ht="12.75" customHeight="1" x14ac:dyDescent="0.2">
      <c r="A33128" s="258"/>
      <c r="Z33128" s="258"/>
    </row>
    <row r="33129" spans="1:26" ht="12.75" customHeight="1" x14ac:dyDescent="0.2">
      <c r="A33129" s="258"/>
      <c r="Z33129" s="258"/>
    </row>
    <row r="33130" spans="1:26" ht="12.75" customHeight="1" x14ac:dyDescent="0.2">
      <c r="A33130" s="258"/>
      <c r="Z33130" s="258"/>
    </row>
    <row r="33131" spans="1:26" ht="12.75" customHeight="1" x14ac:dyDescent="0.2">
      <c r="A33131" s="258"/>
      <c r="Z33131" s="258"/>
    </row>
    <row r="33132" spans="1:26" ht="12.75" customHeight="1" x14ac:dyDescent="0.2">
      <c r="A33132" s="258"/>
      <c r="Z33132" s="258"/>
    </row>
    <row r="33133" spans="1:26" ht="12.75" customHeight="1" x14ac:dyDescent="0.2">
      <c r="A33133" s="258"/>
      <c r="Z33133" s="258"/>
    </row>
    <row r="33134" spans="1:26" ht="12.75" customHeight="1" x14ac:dyDescent="0.2">
      <c r="A33134" s="258"/>
      <c r="Z33134" s="258"/>
    </row>
    <row r="33135" spans="1:26" ht="12.75" customHeight="1" x14ac:dyDescent="0.2">
      <c r="A33135" s="258"/>
      <c r="Z33135" s="258"/>
    </row>
    <row r="33136" spans="1:26" ht="12.75" customHeight="1" x14ac:dyDescent="0.2">
      <c r="A33136" s="258"/>
      <c r="Z33136" s="258"/>
    </row>
    <row r="33137" spans="1:26" ht="12.75" customHeight="1" x14ac:dyDescent="0.2">
      <c r="A33137" s="258"/>
      <c r="Z33137" s="258"/>
    </row>
    <row r="33138" spans="1:26" ht="12.75" customHeight="1" x14ac:dyDescent="0.2">
      <c r="A33138" s="258"/>
      <c r="Z33138" s="258"/>
    </row>
    <row r="33139" spans="1:26" ht="12.75" customHeight="1" x14ac:dyDescent="0.2">
      <c r="A33139" s="258"/>
      <c r="Z33139" s="258"/>
    </row>
    <row r="33140" spans="1:26" ht="12.75" customHeight="1" x14ac:dyDescent="0.2">
      <c r="A33140" s="258"/>
      <c r="Z33140" s="258"/>
    </row>
    <row r="33141" spans="1:26" ht="12.75" customHeight="1" x14ac:dyDescent="0.2">
      <c r="A33141" s="258"/>
      <c r="Z33141" s="258"/>
    </row>
    <row r="33142" spans="1:26" ht="12.75" customHeight="1" x14ac:dyDescent="0.2">
      <c r="A33142" s="258"/>
      <c r="Z33142" s="258"/>
    </row>
    <row r="33143" spans="1:26" ht="12.75" customHeight="1" x14ac:dyDescent="0.2">
      <c r="A33143" s="258"/>
      <c r="Z33143" s="258"/>
    </row>
    <row r="33144" spans="1:26" ht="12.75" customHeight="1" x14ac:dyDescent="0.2">
      <c r="A33144" s="258"/>
      <c r="Z33144" s="258"/>
    </row>
    <row r="33145" spans="1:26" ht="12.75" customHeight="1" x14ac:dyDescent="0.2">
      <c r="A33145" s="258"/>
      <c r="Z33145" s="258"/>
    </row>
    <row r="33146" spans="1:26" ht="12.75" customHeight="1" x14ac:dyDescent="0.2">
      <c r="A33146" s="258"/>
      <c r="Z33146" s="258"/>
    </row>
    <row r="33147" spans="1:26" ht="12.75" customHeight="1" x14ac:dyDescent="0.2">
      <c r="A33147" s="258"/>
      <c r="Z33147" s="258"/>
    </row>
    <row r="33148" spans="1:26" ht="12.75" customHeight="1" x14ac:dyDescent="0.2">
      <c r="A33148" s="258"/>
      <c r="Z33148" s="258"/>
    </row>
    <row r="33149" spans="1:26" ht="12.75" customHeight="1" x14ac:dyDescent="0.2">
      <c r="A33149" s="258"/>
      <c r="Z33149" s="258"/>
    </row>
    <row r="33150" spans="1:26" ht="12.75" customHeight="1" x14ac:dyDescent="0.2">
      <c r="A33150" s="258"/>
      <c r="Z33150" s="258"/>
    </row>
    <row r="33151" spans="1:26" ht="12.75" customHeight="1" x14ac:dyDescent="0.2">
      <c r="A33151" s="258"/>
      <c r="Z33151" s="258"/>
    </row>
    <row r="33152" spans="1:26" ht="12.75" customHeight="1" x14ac:dyDescent="0.2">
      <c r="A33152" s="258"/>
      <c r="Z33152" s="258"/>
    </row>
    <row r="33153" spans="1:26" ht="12.75" customHeight="1" x14ac:dyDescent="0.2">
      <c r="A33153" s="258"/>
      <c r="Z33153" s="258"/>
    </row>
    <row r="33154" spans="1:26" ht="12.75" customHeight="1" x14ac:dyDescent="0.2">
      <c r="A33154" s="258"/>
      <c r="Z33154" s="258"/>
    </row>
    <row r="33155" spans="1:26" ht="12.75" customHeight="1" x14ac:dyDescent="0.2">
      <c r="A33155" s="258"/>
      <c r="Z33155" s="258"/>
    </row>
    <row r="33156" spans="1:26" ht="12.75" customHeight="1" x14ac:dyDescent="0.2">
      <c r="A33156" s="258"/>
      <c r="Z33156" s="258"/>
    </row>
    <row r="33157" spans="1:26" ht="12.75" customHeight="1" x14ac:dyDescent="0.2">
      <c r="A33157" s="258"/>
      <c r="Z33157" s="258"/>
    </row>
    <row r="33158" spans="1:26" ht="12.75" customHeight="1" x14ac:dyDescent="0.2">
      <c r="A33158" s="258"/>
      <c r="Z33158" s="258"/>
    </row>
    <row r="33159" spans="1:26" ht="12.75" customHeight="1" x14ac:dyDescent="0.2">
      <c r="A33159" s="258"/>
      <c r="Z33159" s="258"/>
    </row>
    <row r="33160" spans="1:26" ht="12.75" customHeight="1" x14ac:dyDescent="0.2">
      <c r="A33160" s="258"/>
      <c r="Z33160" s="258"/>
    </row>
    <row r="33161" spans="1:26" ht="12.75" customHeight="1" x14ac:dyDescent="0.2">
      <c r="A33161" s="258"/>
      <c r="Z33161" s="258"/>
    </row>
    <row r="33162" spans="1:26" ht="12.75" customHeight="1" x14ac:dyDescent="0.2">
      <c r="A33162" s="258"/>
      <c r="Z33162" s="258"/>
    </row>
    <row r="33163" spans="1:26" ht="12.75" customHeight="1" x14ac:dyDescent="0.2">
      <c r="A33163" s="258"/>
      <c r="Z33163" s="258"/>
    </row>
    <row r="33164" spans="1:26" ht="12.75" customHeight="1" x14ac:dyDescent="0.2">
      <c r="A33164" s="258"/>
      <c r="Z33164" s="258"/>
    </row>
    <row r="33165" spans="1:26" ht="12.75" customHeight="1" x14ac:dyDescent="0.2">
      <c r="A33165" s="258"/>
      <c r="Z33165" s="258"/>
    </row>
    <row r="33166" spans="1:26" ht="12.75" customHeight="1" x14ac:dyDescent="0.2">
      <c r="A33166" s="258"/>
      <c r="Z33166" s="258"/>
    </row>
    <row r="33167" spans="1:26" ht="12.75" customHeight="1" x14ac:dyDescent="0.2">
      <c r="A33167" s="258"/>
      <c r="Z33167" s="258"/>
    </row>
    <row r="33168" spans="1:26" ht="12.75" customHeight="1" x14ac:dyDescent="0.2">
      <c r="A33168" s="258"/>
      <c r="Z33168" s="258"/>
    </row>
    <row r="33169" spans="1:26" ht="12.75" customHeight="1" x14ac:dyDescent="0.2">
      <c r="A33169" s="258"/>
      <c r="Z33169" s="258"/>
    </row>
    <row r="33170" spans="1:26" ht="12.75" customHeight="1" x14ac:dyDescent="0.2">
      <c r="A33170" s="258"/>
      <c r="Z33170" s="258"/>
    </row>
    <row r="33171" spans="1:26" ht="12.75" customHeight="1" x14ac:dyDescent="0.2">
      <c r="A33171" s="258"/>
      <c r="Z33171" s="258"/>
    </row>
    <row r="33172" spans="1:26" ht="12.75" customHeight="1" x14ac:dyDescent="0.2">
      <c r="A33172" s="258"/>
      <c r="Z33172" s="258"/>
    </row>
    <row r="33173" spans="1:26" ht="12.75" customHeight="1" x14ac:dyDescent="0.2">
      <c r="A33173" s="258"/>
      <c r="Z33173" s="258"/>
    </row>
    <row r="33174" spans="1:26" ht="12.75" customHeight="1" x14ac:dyDescent="0.2">
      <c r="A33174" s="258"/>
      <c r="Z33174" s="258"/>
    </row>
    <row r="33175" spans="1:26" ht="12.75" customHeight="1" x14ac:dyDescent="0.2">
      <c r="A33175" s="258"/>
      <c r="Z33175" s="258"/>
    </row>
    <row r="33176" spans="1:26" ht="12.75" customHeight="1" x14ac:dyDescent="0.2">
      <c r="A33176" s="258"/>
      <c r="Z33176" s="258"/>
    </row>
    <row r="33177" spans="1:26" ht="12.75" customHeight="1" x14ac:dyDescent="0.2">
      <c r="A33177" s="258"/>
      <c r="Z33177" s="258"/>
    </row>
    <row r="33178" spans="1:26" ht="12.75" customHeight="1" x14ac:dyDescent="0.2">
      <c r="A33178" s="258"/>
      <c r="Z33178" s="258"/>
    </row>
    <row r="33179" spans="1:26" ht="12.75" customHeight="1" x14ac:dyDescent="0.2">
      <c r="A33179" s="258"/>
      <c r="Z33179" s="258"/>
    </row>
    <row r="33180" spans="1:26" ht="12.75" customHeight="1" x14ac:dyDescent="0.2">
      <c r="A33180" s="258"/>
      <c r="Z33180" s="258"/>
    </row>
    <row r="33181" spans="1:26" ht="12.75" customHeight="1" x14ac:dyDescent="0.2">
      <c r="A33181" s="258"/>
      <c r="Z33181" s="258"/>
    </row>
    <row r="33182" spans="1:26" ht="12.75" customHeight="1" x14ac:dyDescent="0.2">
      <c r="A33182" s="258"/>
      <c r="Z33182" s="258"/>
    </row>
    <row r="33183" spans="1:26" ht="12.75" customHeight="1" x14ac:dyDescent="0.2">
      <c r="A33183" s="258"/>
      <c r="Z33183" s="258"/>
    </row>
    <row r="33184" spans="1:26" ht="12.75" customHeight="1" x14ac:dyDescent="0.2">
      <c r="A33184" s="258"/>
      <c r="Z33184" s="258"/>
    </row>
    <row r="33185" spans="1:26" ht="12.75" customHeight="1" x14ac:dyDescent="0.2">
      <c r="A33185" s="258"/>
      <c r="Z33185" s="258"/>
    </row>
    <row r="33186" spans="1:26" ht="12.75" customHeight="1" x14ac:dyDescent="0.2">
      <c r="A33186" s="258"/>
      <c r="Z33186" s="258"/>
    </row>
    <row r="33187" spans="1:26" ht="12.75" customHeight="1" x14ac:dyDescent="0.2">
      <c r="A33187" s="258"/>
      <c r="Z33187" s="258"/>
    </row>
    <row r="33188" spans="1:26" ht="12.75" customHeight="1" x14ac:dyDescent="0.2">
      <c r="A33188" s="258"/>
      <c r="Z33188" s="258"/>
    </row>
    <row r="33189" spans="1:26" ht="12.75" customHeight="1" x14ac:dyDescent="0.2">
      <c r="A33189" s="258"/>
      <c r="Z33189" s="258"/>
    </row>
    <row r="33190" spans="1:26" ht="12.75" customHeight="1" x14ac:dyDescent="0.2">
      <c r="A33190" s="258"/>
      <c r="Z33190" s="258"/>
    </row>
    <row r="33191" spans="1:26" ht="12.75" customHeight="1" x14ac:dyDescent="0.2">
      <c r="A33191" s="258"/>
      <c r="Z33191" s="258"/>
    </row>
    <row r="33192" spans="1:26" ht="12.75" customHeight="1" x14ac:dyDescent="0.2">
      <c r="A33192" s="258"/>
      <c r="Z33192" s="258"/>
    </row>
    <row r="33193" spans="1:26" ht="12.75" customHeight="1" x14ac:dyDescent="0.2">
      <c r="A33193" s="258"/>
      <c r="Z33193" s="258"/>
    </row>
    <row r="33194" spans="1:26" ht="12.75" customHeight="1" x14ac:dyDescent="0.2">
      <c r="A33194" s="258"/>
      <c r="Z33194" s="258"/>
    </row>
    <row r="33195" spans="1:26" ht="12.75" customHeight="1" x14ac:dyDescent="0.2">
      <c r="A33195" s="258"/>
      <c r="Z33195" s="258"/>
    </row>
    <row r="33196" spans="1:26" ht="12.75" customHeight="1" x14ac:dyDescent="0.2">
      <c r="A33196" s="258"/>
      <c r="Z33196" s="258"/>
    </row>
    <row r="33197" spans="1:26" ht="12.75" customHeight="1" x14ac:dyDescent="0.2">
      <c r="A33197" s="258"/>
      <c r="Z33197" s="258"/>
    </row>
    <row r="33198" spans="1:26" ht="12.75" customHeight="1" x14ac:dyDescent="0.2">
      <c r="A33198" s="258"/>
      <c r="Z33198" s="258"/>
    </row>
    <row r="33199" spans="1:26" ht="12.75" customHeight="1" x14ac:dyDescent="0.2">
      <c r="A33199" s="258"/>
      <c r="Z33199" s="258"/>
    </row>
    <row r="33200" spans="1:26" ht="12.75" customHeight="1" x14ac:dyDescent="0.2">
      <c r="A33200" s="258"/>
      <c r="Z33200" s="258"/>
    </row>
    <row r="33201" spans="1:26" ht="12.75" customHeight="1" x14ac:dyDescent="0.2">
      <c r="A33201" s="258"/>
      <c r="Z33201" s="258"/>
    </row>
    <row r="33202" spans="1:26" ht="12.75" customHeight="1" x14ac:dyDescent="0.2">
      <c r="A33202" s="258"/>
      <c r="Z33202" s="258"/>
    </row>
    <row r="33203" spans="1:26" ht="12.75" customHeight="1" x14ac:dyDescent="0.2">
      <c r="A33203" s="258"/>
      <c r="Z33203" s="258"/>
    </row>
    <row r="33204" spans="1:26" ht="12.75" customHeight="1" x14ac:dyDescent="0.2">
      <c r="A33204" s="258"/>
      <c r="Z33204" s="258"/>
    </row>
    <row r="33205" spans="1:26" ht="12.75" customHeight="1" x14ac:dyDescent="0.2">
      <c r="A33205" s="258"/>
      <c r="Z33205" s="258"/>
    </row>
    <row r="33206" spans="1:26" ht="12.75" customHeight="1" x14ac:dyDescent="0.2">
      <c r="A33206" s="258"/>
      <c r="Z33206" s="258"/>
    </row>
    <row r="33207" spans="1:26" ht="12.75" customHeight="1" x14ac:dyDescent="0.2">
      <c r="A33207" s="258"/>
      <c r="Z33207" s="258"/>
    </row>
    <row r="33208" spans="1:26" ht="12.75" customHeight="1" x14ac:dyDescent="0.2">
      <c r="A33208" s="258"/>
      <c r="Z33208" s="258"/>
    </row>
    <row r="33209" spans="1:26" ht="12.75" customHeight="1" x14ac:dyDescent="0.2">
      <c r="A33209" s="258"/>
      <c r="Z33209" s="258"/>
    </row>
    <row r="33210" spans="1:26" ht="12.75" customHeight="1" x14ac:dyDescent="0.2">
      <c r="A33210" s="258"/>
      <c r="Z33210" s="258"/>
    </row>
    <row r="33211" spans="1:26" ht="12.75" customHeight="1" x14ac:dyDescent="0.2">
      <c r="A33211" s="258"/>
      <c r="Z33211" s="258"/>
    </row>
    <row r="33212" spans="1:26" ht="12.75" customHeight="1" x14ac:dyDescent="0.2">
      <c r="A33212" s="258"/>
      <c r="Z33212" s="258"/>
    </row>
    <row r="33213" spans="1:26" ht="12.75" customHeight="1" x14ac:dyDescent="0.2">
      <c r="A33213" s="258"/>
      <c r="Z33213" s="258"/>
    </row>
    <row r="33214" spans="1:26" ht="12.75" customHeight="1" x14ac:dyDescent="0.2">
      <c r="A33214" s="258"/>
      <c r="Z33214" s="258"/>
    </row>
    <row r="33215" spans="1:26" ht="12.75" customHeight="1" x14ac:dyDescent="0.2">
      <c r="A33215" s="258"/>
      <c r="Z33215" s="258"/>
    </row>
    <row r="33216" spans="1:26" ht="12.75" customHeight="1" x14ac:dyDescent="0.2">
      <c r="A33216" s="258"/>
      <c r="Z33216" s="258"/>
    </row>
    <row r="33217" spans="1:26" ht="12.75" customHeight="1" x14ac:dyDescent="0.2">
      <c r="A33217" s="258"/>
      <c r="Z33217" s="258"/>
    </row>
    <row r="33218" spans="1:26" ht="12.75" customHeight="1" x14ac:dyDescent="0.2">
      <c r="A33218" s="258"/>
      <c r="Z33218" s="258"/>
    </row>
    <row r="33219" spans="1:26" ht="12.75" customHeight="1" x14ac:dyDescent="0.2">
      <c r="A33219" s="258"/>
      <c r="Z33219" s="258"/>
    </row>
    <row r="33220" spans="1:26" ht="12.75" customHeight="1" x14ac:dyDescent="0.2">
      <c r="A33220" s="258"/>
      <c r="Z33220" s="258"/>
    </row>
    <row r="33221" spans="1:26" ht="12.75" customHeight="1" x14ac:dyDescent="0.2">
      <c r="A33221" s="258"/>
      <c r="Z33221" s="258"/>
    </row>
    <row r="33222" spans="1:26" ht="12.75" customHeight="1" x14ac:dyDescent="0.2">
      <c r="A33222" s="258"/>
      <c r="Z33222" s="258"/>
    </row>
    <row r="33223" spans="1:26" ht="12.75" customHeight="1" x14ac:dyDescent="0.2">
      <c r="A33223" s="258"/>
      <c r="Z33223" s="258"/>
    </row>
    <row r="33224" spans="1:26" ht="12.75" customHeight="1" x14ac:dyDescent="0.2">
      <c r="A33224" s="258"/>
      <c r="Z33224" s="258"/>
    </row>
    <row r="33225" spans="1:26" ht="12.75" customHeight="1" x14ac:dyDescent="0.2">
      <c r="A33225" s="258"/>
      <c r="Z33225" s="258"/>
    </row>
    <row r="33226" spans="1:26" ht="12.75" customHeight="1" x14ac:dyDescent="0.2">
      <c r="A33226" s="258"/>
      <c r="Z33226" s="258"/>
    </row>
    <row r="33227" spans="1:26" ht="12.75" customHeight="1" x14ac:dyDescent="0.2">
      <c r="A33227" s="258"/>
      <c r="Z33227" s="258"/>
    </row>
    <row r="33228" spans="1:26" ht="12.75" customHeight="1" x14ac:dyDescent="0.2">
      <c r="A33228" s="258"/>
      <c r="Z33228" s="258"/>
    </row>
    <row r="33229" spans="1:26" ht="12.75" customHeight="1" x14ac:dyDescent="0.2">
      <c r="A33229" s="258"/>
      <c r="Z33229" s="258"/>
    </row>
    <row r="33230" spans="1:26" ht="12.75" customHeight="1" x14ac:dyDescent="0.2">
      <c r="A33230" s="258"/>
      <c r="Z33230" s="258"/>
    </row>
    <row r="33231" spans="1:26" ht="12.75" customHeight="1" x14ac:dyDescent="0.2">
      <c r="A33231" s="258"/>
      <c r="Z33231" s="258"/>
    </row>
    <row r="33232" spans="1:26" ht="12.75" customHeight="1" x14ac:dyDescent="0.2">
      <c r="A33232" s="258"/>
      <c r="Z33232" s="258"/>
    </row>
    <row r="33233" spans="1:26" ht="12.75" customHeight="1" x14ac:dyDescent="0.2">
      <c r="A33233" s="258"/>
      <c r="Z33233" s="258"/>
    </row>
    <row r="33234" spans="1:26" ht="12.75" customHeight="1" x14ac:dyDescent="0.2">
      <c r="A33234" s="258"/>
      <c r="Z33234" s="258"/>
    </row>
    <row r="33235" spans="1:26" ht="12.75" customHeight="1" x14ac:dyDescent="0.2">
      <c r="A33235" s="258"/>
      <c r="Z33235" s="258"/>
    </row>
    <row r="33236" spans="1:26" ht="12.75" customHeight="1" x14ac:dyDescent="0.2">
      <c r="A33236" s="258"/>
      <c r="Z33236" s="258"/>
    </row>
    <row r="33237" spans="1:26" ht="12.75" customHeight="1" x14ac:dyDescent="0.2">
      <c r="A33237" s="258"/>
      <c r="Z33237" s="258"/>
    </row>
    <row r="33238" spans="1:26" ht="12.75" customHeight="1" x14ac:dyDescent="0.2">
      <c r="A33238" s="258"/>
      <c r="Z33238" s="258"/>
    </row>
    <row r="33239" spans="1:26" ht="12.75" customHeight="1" x14ac:dyDescent="0.2">
      <c r="A33239" s="258"/>
      <c r="Z33239" s="258"/>
    </row>
    <row r="33240" spans="1:26" ht="12.75" customHeight="1" x14ac:dyDescent="0.2">
      <c r="A33240" s="258"/>
      <c r="Z33240" s="258"/>
    </row>
    <row r="33241" spans="1:26" ht="12.75" customHeight="1" x14ac:dyDescent="0.2">
      <c r="A33241" s="258"/>
      <c r="Z33241" s="258"/>
    </row>
    <row r="33242" spans="1:26" ht="12.75" customHeight="1" x14ac:dyDescent="0.2">
      <c r="A33242" s="258"/>
      <c r="Z33242" s="258"/>
    </row>
    <row r="33243" spans="1:26" ht="12.75" customHeight="1" x14ac:dyDescent="0.2">
      <c r="A33243" s="258"/>
      <c r="Z33243" s="258"/>
    </row>
    <row r="33244" spans="1:26" ht="12.75" customHeight="1" x14ac:dyDescent="0.2">
      <c r="A33244" s="258"/>
      <c r="Z33244" s="258"/>
    </row>
    <row r="33245" spans="1:26" ht="12.75" customHeight="1" x14ac:dyDescent="0.2">
      <c r="A33245" s="258"/>
      <c r="Z33245" s="258"/>
    </row>
    <row r="33246" spans="1:26" ht="12.75" customHeight="1" x14ac:dyDescent="0.2">
      <c r="A33246" s="258"/>
      <c r="Z33246" s="258"/>
    </row>
    <row r="33247" spans="1:26" ht="12.75" customHeight="1" x14ac:dyDescent="0.2">
      <c r="A33247" s="258"/>
      <c r="Z33247" s="258"/>
    </row>
    <row r="33248" spans="1:26" ht="12.75" customHeight="1" x14ac:dyDescent="0.2">
      <c r="A33248" s="258"/>
      <c r="Z33248" s="258"/>
    </row>
    <row r="33249" spans="1:26" ht="12.75" customHeight="1" x14ac:dyDescent="0.2">
      <c r="A33249" s="258"/>
      <c r="Z33249" s="258"/>
    </row>
    <row r="33250" spans="1:26" ht="12.75" customHeight="1" x14ac:dyDescent="0.2">
      <c r="A33250" s="258"/>
      <c r="Z33250" s="258"/>
    </row>
    <row r="33251" spans="1:26" ht="12.75" customHeight="1" x14ac:dyDescent="0.2">
      <c r="A33251" s="258"/>
      <c r="Z33251" s="258"/>
    </row>
    <row r="33252" spans="1:26" ht="12.75" customHeight="1" x14ac:dyDescent="0.2">
      <c r="A33252" s="258"/>
      <c r="Z33252" s="258"/>
    </row>
    <row r="33253" spans="1:26" ht="12.75" customHeight="1" x14ac:dyDescent="0.2">
      <c r="A33253" s="258"/>
      <c r="Z33253" s="258"/>
    </row>
    <row r="33254" spans="1:26" ht="12.75" customHeight="1" x14ac:dyDescent="0.2">
      <c r="A33254" s="258"/>
      <c r="Z33254" s="258"/>
    </row>
    <row r="33255" spans="1:26" ht="12.75" customHeight="1" x14ac:dyDescent="0.2">
      <c r="A33255" s="258"/>
      <c r="Z33255" s="258"/>
    </row>
    <row r="33256" spans="1:26" ht="12.75" customHeight="1" x14ac:dyDescent="0.2">
      <c r="A33256" s="258"/>
      <c r="Z33256" s="258"/>
    </row>
    <row r="33257" spans="1:26" ht="12.75" customHeight="1" x14ac:dyDescent="0.2">
      <c r="A33257" s="258"/>
      <c r="Z33257" s="258"/>
    </row>
    <row r="33258" spans="1:26" ht="12.75" customHeight="1" x14ac:dyDescent="0.2">
      <c r="A33258" s="258"/>
      <c r="Z33258" s="258"/>
    </row>
    <row r="33259" spans="1:26" ht="12.75" customHeight="1" x14ac:dyDescent="0.2">
      <c r="A33259" s="258"/>
      <c r="Z33259" s="258"/>
    </row>
    <row r="33260" spans="1:26" ht="12.75" customHeight="1" x14ac:dyDescent="0.2">
      <c r="A33260" s="258"/>
      <c r="Z33260" s="258"/>
    </row>
    <row r="33261" spans="1:26" ht="12.75" customHeight="1" x14ac:dyDescent="0.2">
      <c r="A33261" s="258"/>
      <c r="Z33261" s="258"/>
    </row>
    <row r="33262" spans="1:26" ht="12.75" customHeight="1" x14ac:dyDescent="0.2">
      <c r="A33262" s="258"/>
      <c r="Z33262" s="258"/>
    </row>
    <row r="33263" spans="1:26" ht="12.75" customHeight="1" x14ac:dyDescent="0.2">
      <c r="A33263" s="258"/>
      <c r="Z33263" s="258"/>
    </row>
    <row r="33264" spans="1:26" ht="12.75" customHeight="1" x14ac:dyDescent="0.2">
      <c r="A33264" s="258"/>
      <c r="Z33264" s="258"/>
    </row>
    <row r="33265" spans="1:26" ht="12.75" customHeight="1" x14ac:dyDescent="0.2">
      <c r="A33265" s="258"/>
      <c r="Z33265" s="258"/>
    </row>
    <row r="33266" spans="1:26" ht="12.75" customHeight="1" x14ac:dyDescent="0.2">
      <c r="A33266" s="258"/>
      <c r="Z33266" s="258"/>
    </row>
    <row r="33267" spans="1:26" ht="12.75" customHeight="1" x14ac:dyDescent="0.2">
      <c r="A33267" s="258"/>
      <c r="Z33267" s="258"/>
    </row>
    <row r="33268" spans="1:26" ht="12.75" customHeight="1" x14ac:dyDescent="0.2">
      <c r="A33268" s="258"/>
      <c r="Z33268" s="258"/>
    </row>
    <row r="33269" spans="1:26" ht="12.75" customHeight="1" x14ac:dyDescent="0.2">
      <c r="A33269" s="258"/>
      <c r="Z33269" s="258"/>
    </row>
    <row r="33270" spans="1:26" ht="12.75" customHeight="1" x14ac:dyDescent="0.2">
      <c r="A33270" s="258"/>
      <c r="Z33270" s="258"/>
    </row>
    <row r="33271" spans="1:26" ht="12.75" customHeight="1" x14ac:dyDescent="0.2">
      <c r="A33271" s="258"/>
      <c r="Z33271" s="258"/>
    </row>
    <row r="33272" spans="1:26" ht="12.75" customHeight="1" x14ac:dyDescent="0.2">
      <c r="A33272" s="258"/>
      <c r="Z33272" s="258"/>
    </row>
    <row r="33273" spans="1:26" ht="12.75" customHeight="1" x14ac:dyDescent="0.2">
      <c r="A33273" s="258"/>
      <c r="Z33273" s="258"/>
    </row>
    <row r="33274" spans="1:26" ht="12.75" customHeight="1" x14ac:dyDescent="0.2">
      <c r="A33274" s="258"/>
      <c r="Z33274" s="258"/>
    </row>
    <row r="33275" spans="1:26" ht="12.75" customHeight="1" x14ac:dyDescent="0.2">
      <c r="A33275" s="258"/>
      <c r="Z33275" s="258"/>
    </row>
    <row r="33276" spans="1:26" ht="12.75" customHeight="1" x14ac:dyDescent="0.2">
      <c r="A33276" s="258"/>
      <c r="Z33276" s="258"/>
    </row>
    <row r="33277" spans="1:26" ht="12.75" customHeight="1" x14ac:dyDescent="0.2">
      <c r="A33277" s="258"/>
      <c r="Z33277" s="258"/>
    </row>
    <row r="33278" spans="1:26" ht="12.75" customHeight="1" x14ac:dyDescent="0.2">
      <c r="A33278" s="258"/>
      <c r="Z33278" s="258"/>
    </row>
    <row r="33279" spans="1:26" ht="12.75" customHeight="1" x14ac:dyDescent="0.2">
      <c r="A33279" s="258"/>
      <c r="Z33279" s="258"/>
    </row>
    <row r="33280" spans="1:26" ht="12.75" customHeight="1" x14ac:dyDescent="0.2">
      <c r="A33280" s="258"/>
      <c r="Z33280" s="258"/>
    </row>
    <row r="33281" spans="1:26" ht="12.75" customHeight="1" x14ac:dyDescent="0.2">
      <c r="A33281" s="258"/>
      <c r="Z33281" s="258"/>
    </row>
    <row r="33282" spans="1:26" ht="12.75" customHeight="1" x14ac:dyDescent="0.2">
      <c r="A33282" s="258"/>
      <c r="Z33282" s="258"/>
    </row>
    <row r="33283" spans="1:26" ht="12.75" customHeight="1" x14ac:dyDescent="0.2">
      <c r="A33283" s="258"/>
      <c r="Z33283" s="258"/>
    </row>
    <row r="33284" spans="1:26" ht="12.75" customHeight="1" x14ac:dyDescent="0.2">
      <c r="A33284" s="258"/>
      <c r="Z33284" s="258"/>
    </row>
    <row r="33285" spans="1:26" ht="12.75" customHeight="1" x14ac:dyDescent="0.2">
      <c r="A33285" s="258"/>
      <c r="Z33285" s="258"/>
    </row>
    <row r="33286" spans="1:26" ht="12.75" customHeight="1" x14ac:dyDescent="0.2">
      <c r="A33286" s="258"/>
      <c r="Z33286" s="258"/>
    </row>
    <row r="33287" spans="1:26" ht="12.75" customHeight="1" x14ac:dyDescent="0.2">
      <c r="A33287" s="258"/>
      <c r="Z33287" s="258"/>
    </row>
    <row r="33288" spans="1:26" ht="12.75" customHeight="1" x14ac:dyDescent="0.2">
      <c r="A33288" s="258"/>
      <c r="Z33288" s="258"/>
    </row>
    <row r="33289" spans="1:26" ht="12.75" customHeight="1" x14ac:dyDescent="0.2">
      <c r="A33289" s="258"/>
      <c r="Z33289" s="258"/>
    </row>
    <row r="33290" spans="1:26" ht="12.75" customHeight="1" x14ac:dyDescent="0.2">
      <c r="A33290" s="258"/>
      <c r="Z33290" s="258"/>
    </row>
    <row r="33291" spans="1:26" ht="12.75" customHeight="1" x14ac:dyDescent="0.2">
      <c r="A33291" s="258"/>
      <c r="Z33291" s="258"/>
    </row>
    <row r="33292" spans="1:26" ht="12.75" customHeight="1" x14ac:dyDescent="0.2">
      <c r="A33292" s="258"/>
      <c r="Z33292" s="258"/>
    </row>
    <row r="33293" spans="1:26" ht="12.75" customHeight="1" x14ac:dyDescent="0.2">
      <c r="A33293" s="258"/>
      <c r="Z33293" s="258"/>
    </row>
    <row r="33294" spans="1:26" ht="12.75" customHeight="1" x14ac:dyDescent="0.2">
      <c r="A33294" s="258"/>
      <c r="Z33294" s="258"/>
    </row>
    <row r="33295" spans="1:26" ht="12.75" customHeight="1" x14ac:dyDescent="0.2">
      <c r="A33295" s="258"/>
      <c r="Z33295" s="258"/>
    </row>
    <row r="33296" spans="1:26" ht="12.75" customHeight="1" x14ac:dyDescent="0.2">
      <c r="A33296" s="258"/>
      <c r="Z33296" s="258"/>
    </row>
    <row r="33297" spans="1:26" ht="12.75" customHeight="1" x14ac:dyDescent="0.2">
      <c r="A33297" s="258"/>
      <c r="Z33297" s="258"/>
    </row>
    <row r="33298" spans="1:26" ht="12.75" customHeight="1" x14ac:dyDescent="0.2">
      <c r="A33298" s="258"/>
      <c r="Z33298" s="258"/>
    </row>
    <row r="33299" spans="1:26" ht="12.75" customHeight="1" x14ac:dyDescent="0.2">
      <c r="A33299" s="258"/>
      <c r="Z33299" s="258"/>
    </row>
    <row r="33300" spans="1:26" ht="12.75" customHeight="1" x14ac:dyDescent="0.2">
      <c r="A33300" s="258"/>
      <c r="Z33300" s="258"/>
    </row>
    <row r="33301" spans="1:26" ht="12.75" customHeight="1" x14ac:dyDescent="0.2">
      <c r="A33301" s="258"/>
      <c r="Z33301" s="258"/>
    </row>
    <row r="33302" spans="1:26" ht="12.75" customHeight="1" x14ac:dyDescent="0.2">
      <c r="A33302" s="258"/>
      <c r="Z33302" s="258"/>
    </row>
    <row r="33303" spans="1:26" ht="12.75" customHeight="1" x14ac:dyDescent="0.2">
      <c r="A33303" s="258"/>
      <c r="Z33303" s="258"/>
    </row>
    <row r="33304" spans="1:26" ht="12.75" customHeight="1" x14ac:dyDescent="0.2">
      <c r="A33304" s="258"/>
      <c r="Z33304" s="258"/>
    </row>
    <row r="33305" spans="1:26" ht="12.75" customHeight="1" x14ac:dyDescent="0.2">
      <c r="A33305" s="258"/>
      <c r="Z33305" s="258"/>
    </row>
    <row r="33306" spans="1:26" ht="12.75" customHeight="1" x14ac:dyDescent="0.2">
      <c r="A33306" s="258"/>
      <c r="Z33306" s="258"/>
    </row>
    <row r="33307" spans="1:26" ht="12.75" customHeight="1" x14ac:dyDescent="0.2">
      <c r="A33307" s="258"/>
      <c r="Z33307" s="258"/>
    </row>
    <row r="33308" spans="1:26" ht="12.75" customHeight="1" x14ac:dyDescent="0.2">
      <c r="A33308" s="258"/>
      <c r="Z33308" s="258"/>
    </row>
    <row r="33309" spans="1:26" ht="12.75" customHeight="1" x14ac:dyDescent="0.2">
      <c r="A33309" s="258"/>
      <c r="Z33309" s="258"/>
    </row>
    <row r="33310" spans="1:26" ht="12.75" customHeight="1" x14ac:dyDescent="0.2">
      <c r="A33310" s="258"/>
      <c r="Z33310" s="258"/>
    </row>
    <row r="33311" spans="1:26" ht="12.75" customHeight="1" x14ac:dyDescent="0.2">
      <c r="A33311" s="258"/>
      <c r="Z33311" s="258"/>
    </row>
    <row r="33312" spans="1:26" ht="12.75" customHeight="1" x14ac:dyDescent="0.2">
      <c r="A33312" s="258"/>
      <c r="Z33312" s="258"/>
    </row>
    <row r="33313" spans="1:26" ht="12.75" customHeight="1" x14ac:dyDescent="0.2">
      <c r="A33313" s="258"/>
      <c r="Z33313" s="258"/>
    </row>
    <row r="33314" spans="1:26" ht="12.75" customHeight="1" x14ac:dyDescent="0.2">
      <c r="A33314" s="258"/>
      <c r="Z33314" s="258"/>
    </row>
    <row r="33315" spans="1:26" ht="12.75" customHeight="1" x14ac:dyDescent="0.2">
      <c r="A33315" s="258"/>
      <c r="Z33315" s="258"/>
    </row>
    <row r="33316" spans="1:26" ht="12.75" customHeight="1" x14ac:dyDescent="0.2">
      <c r="A33316" s="258"/>
      <c r="Z33316" s="258"/>
    </row>
    <row r="33317" spans="1:26" ht="12.75" customHeight="1" x14ac:dyDescent="0.2">
      <c r="A33317" s="258"/>
      <c r="Z33317" s="258"/>
    </row>
    <row r="33318" spans="1:26" ht="12.75" customHeight="1" x14ac:dyDescent="0.2">
      <c r="A33318" s="258"/>
      <c r="Z33318" s="258"/>
    </row>
    <row r="33319" spans="1:26" ht="12.75" customHeight="1" x14ac:dyDescent="0.2">
      <c r="A33319" s="258"/>
      <c r="Z33319" s="258"/>
    </row>
    <row r="33320" spans="1:26" ht="12.75" customHeight="1" x14ac:dyDescent="0.2">
      <c r="A33320" s="258"/>
      <c r="Z33320" s="258"/>
    </row>
    <row r="33321" spans="1:26" ht="12.75" customHeight="1" x14ac:dyDescent="0.2">
      <c r="A33321" s="258"/>
      <c r="Z33321" s="258"/>
    </row>
    <row r="33322" spans="1:26" ht="12.75" customHeight="1" x14ac:dyDescent="0.2">
      <c r="A33322" s="258"/>
      <c r="Z33322" s="258"/>
    </row>
    <row r="33323" spans="1:26" ht="12.75" customHeight="1" x14ac:dyDescent="0.2">
      <c r="A33323" s="258"/>
      <c r="Z33323" s="258"/>
    </row>
    <row r="33324" spans="1:26" ht="12.75" customHeight="1" x14ac:dyDescent="0.2">
      <c r="A33324" s="258"/>
      <c r="Z33324" s="258"/>
    </row>
    <row r="33325" spans="1:26" ht="12.75" customHeight="1" x14ac:dyDescent="0.2">
      <c r="A33325" s="258"/>
      <c r="Z33325" s="258"/>
    </row>
    <row r="33326" spans="1:26" ht="12.75" customHeight="1" x14ac:dyDescent="0.2">
      <c r="A33326" s="258"/>
      <c r="Z33326" s="258"/>
    </row>
    <row r="33327" spans="1:26" ht="12.75" customHeight="1" x14ac:dyDescent="0.2">
      <c r="A33327" s="258"/>
      <c r="Z33327" s="258"/>
    </row>
    <row r="33328" spans="1:26" ht="12.75" customHeight="1" x14ac:dyDescent="0.2">
      <c r="A33328" s="258"/>
      <c r="Z33328" s="258"/>
    </row>
    <row r="33329" spans="1:26" ht="12.75" customHeight="1" x14ac:dyDescent="0.2">
      <c r="A33329" s="258"/>
      <c r="Z33329" s="258"/>
    </row>
    <row r="33330" spans="1:26" ht="12.75" customHeight="1" x14ac:dyDescent="0.2">
      <c r="A33330" s="258"/>
      <c r="Z33330" s="258"/>
    </row>
    <row r="33331" spans="1:26" ht="12.75" customHeight="1" x14ac:dyDescent="0.2">
      <c r="A33331" s="258"/>
      <c r="Z33331" s="258"/>
    </row>
    <row r="33332" spans="1:26" ht="12.75" customHeight="1" x14ac:dyDescent="0.2">
      <c r="A33332" s="258"/>
      <c r="Z33332" s="258"/>
    </row>
    <row r="33333" spans="1:26" ht="12.75" customHeight="1" x14ac:dyDescent="0.2">
      <c r="A33333" s="258"/>
      <c r="Z33333" s="258"/>
    </row>
    <row r="33334" spans="1:26" ht="12.75" customHeight="1" x14ac:dyDescent="0.2">
      <c r="A33334" s="258"/>
      <c r="Z33334" s="258"/>
    </row>
    <row r="33335" spans="1:26" ht="12.75" customHeight="1" x14ac:dyDescent="0.2">
      <c r="A33335" s="258"/>
      <c r="Z33335" s="258"/>
    </row>
    <row r="33336" spans="1:26" ht="12.75" customHeight="1" x14ac:dyDescent="0.2">
      <c r="A33336" s="258"/>
      <c r="Z33336" s="258"/>
    </row>
    <row r="33337" spans="1:26" ht="12.75" customHeight="1" x14ac:dyDescent="0.2">
      <c r="A33337" s="258"/>
      <c r="Z33337" s="258"/>
    </row>
    <row r="33338" spans="1:26" ht="12.75" customHeight="1" x14ac:dyDescent="0.2">
      <c r="A33338" s="258"/>
      <c r="Z33338" s="258"/>
    </row>
    <row r="33339" spans="1:26" ht="12.75" customHeight="1" x14ac:dyDescent="0.2">
      <c r="A33339" s="258"/>
      <c r="Z33339" s="258"/>
    </row>
    <row r="33340" spans="1:26" ht="12.75" customHeight="1" x14ac:dyDescent="0.2">
      <c r="A33340" s="258"/>
      <c r="Z33340" s="258"/>
    </row>
    <row r="33341" spans="1:26" ht="12.75" customHeight="1" x14ac:dyDescent="0.2">
      <c r="A33341" s="258"/>
      <c r="Z33341" s="258"/>
    </row>
    <row r="33342" spans="1:26" ht="12.75" customHeight="1" x14ac:dyDescent="0.2">
      <c r="A33342" s="258"/>
      <c r="Z33342" s="258"/>
    </row>
    <row r="33343" spans="1:26" ht="12.75" customHeight="1" x14ac:dyDescent="0.2">
      <c r="A33343" s="258"/>
      <c r="Z33343" s="258"/>
    </row>
    <row r="33344" spans="1:26" ht="12.75" customHeight="1" x14ac:dyDescent="0.2">
      <c r="A33344" s="258"/>
      <c r="Z33344" s="258"/>
    </row>
    <row r="33345" spans="1:26" ht="12.75" customHeight="1" x14ac:dyDescent="0.2">
      <c r="A33345" s="258"/>
      <c r="Z33345" s="258"/>
    </row>
    <row r="33346" spans="1:26" ht="12.75" customHeight="1" x14ac:dyDescent="0.2">
      <c r="A33346" s="258"/>
      <c r="Z33346" s="258"/>
    </row>
    <row r="33347" spans="1:26" ht="12.75" customHeight="1" x14ac:dyDescent="0.2">
      <c r="A33347" s="258"/>
      <c r="Z33347" s="258"/>
    </row>
    <row r="33348" spans="1:26" ht="12.75" customHeight="1" x14ac:dyDescent="0.2">
      <c r="A33348" s="258"/>
      <c r="Z33348" s="258"/>
    </row>
    <row r="33349" spans="1:26" ht="12.75" customHeight="1" x14ac:dyDescent="0.2">
      <c r="A33349" s="258"/>
      <c r="Z33349" s="258"/>
    </row>
    <row r="33350" spans="1:26" ht="12.75" customHeight="1" x14ac:dyDescent="0.2">
      <c r="A33350" s="258"/>
      <c r="Z33350" s="258"/>
    </row>
    <row r="33351" spans="1:26" ht="12.75" customHeight="1" x14ac:dyDescent="0.2">
      <c r="A33351" s="258"/>
      <c r="Z33351" s="258"/>
    </row>
    <row r="33352" spans="1:26" ht="12.75" customHeight="1" x14ac:dyDescent="0.2">
      <c r="A33352" s="258"/>
      <c r="Z33352" s="258"/>
    </row>
    <row r="33353" spans="1:26" ht="12.75" customHeight="1" x14ac:dyDescent="0.2">
      <c r="A33353" s="258"/>
      <c r="Z33353" s="258"/>
    </row>
    <row r="33354" spans="1:26" ht="12.75" customHeight="1" x14ac:dyDescent="0.2">
      <c r="A33354" s="258"/>
      <c r="Z33354" s="258"/>
    </row>
    <row r="33355" spans="1:26" ht="12.75" customHeight="1" x14ac:dyDescent="0.2">
      <c r="A33355" s="258"/>
      <c r="Z33355" s="258"/>
    </row>
    <row r="33356" spans="1:26" ht="12.75" customHeight="1" x14ac:dyDescent="0.2">
      <c r="A33356" s="258"/>
      <c r="Z33356" s="258"/>
    </row>
    <row r="33357" spans="1:26" ht="12.75" customHeight="1" x14ac:dyDescent="0.2">
      <c r="A33357" s="258"/>
      <c r="Z33357" s="258"/>
    </row>
    <row r="33358" spans="1:26" ht="12.75" customHeight="1" x14ac:dyDescent="0.2">
      <c r="A33358" s="258"/>
      <c r="Z33358" s="258"/>
    </row>
    <row r="33359" spans="1:26" ht="12.75" customHeight="1" x14ac:dyDescent="0.2">
      <c r="A33359" s="258"/>
      <c r="Z33359" s="258"/>
    </row>
    <row r="33360" spans="1:26" ht="12.75" customHeight="1" x14ac:dyDescent="0.2">
      <c r="A33360" s="258"/>
      <c r="Z33360" s="258"/>
    </row>
    <row r="33361" spans="1:26" ht="12.75" customHeight="1" x14ac:dyDescent="0.2">
      <c r="A33361" s="258"/>
      <c r="Z33361" s="258"/>
    </row>
    <row r="33362" spans="1:26" ht="12.75" customHeight="1" x14ac:dyDescent="0.2">
      <c r="A33362" s="258"/>
      <c r="Z33362" s="258"/>
    </row>
    <row r="33363" spans="1:26" ht="12.75" customHeight="1" x14ac:dyDescent="0.2">
      <c r="A33363" s="258"/>
      <c r="Z33363" s="258"/>
    </row>
    <row r="33364" spans="1:26" ht="12.75" customHeight="1" x14ac:dyDescent="0.2">
      <c r="A33364" s="258"/>
      <c r="Z33364" s="258"/>
    </row>
    <row r="33365" spans="1:26" ht="12.75" customHeight="1" x14ac:dyDescent="0.2">
      <c r="A33365" s="258"/>
      <c r="Z33365" s="258"/>
    </row>
    <row r="33366" spans="1:26" ht="12.75" customHeight="1" x14ac:dyDescent="0.2">
      <c r="A33366" s="258"/>
      <c r="Z33366" s="258"/>
    </row>
    <row r="33367" spans="1:26" ht="12.75" customHeight="1" x14ac:dyDescent="0.2">
      <c r="A33367" s="258"/>
      <c r="Z33367" s="258"/>
    </row>
    <row r="33368" spans="1:26" ht="12.75" customHeight="1" x14ac:dyDescent="0.2">
      <c r="A33368" s="258"/>
      <c r="Z33368" s="258"/>
    </row>
    <row r="33369" spans="1:26" ht="12.75" customHeight="1" x14ac:dyDescent="0.2">
      <c r="A33369" s="258"/>
      <c r="Z33369" s="258"/>
    </row>
    <row r="33370" spans="1:26" ht="12.75" customHeight="1" x14ac:dyDescent="0.2">
      <c r="A33370" s="258"/>
      <c r="Z33370" s="258"/>
    </row>
    <row r="33371" spans="1:26" ht="12.75" customHeight="1" x14ac:dyDescent="0.2">
      <c r="A33371" s="258"/>
      <c r="Z33371" s="258"/>
    </row>
    <row r="33372" spans="1:26" ht="12.75" customHeight="1" x14ac:dyDescent="0.2">
      <c r="A33372" s="258"/>
      <c r="Z33372" s="258"/>
    </row>
    <row r="33373" spans="1:26" ht="12.75" customHeight="1" x14ac:dyDescent="0.2">
      <c r="A33373" s="258"/>
      <c r="Z33373" s="258"/>
    </row>
    <row r="33374" spans="1:26" ht="12.75" customHeight="1" x14ac:dyDescent="0.2">
      <c r="A33374" s="258"/>
      <c r="Z33374" s="258"/>
    </row>
    <row r="33375" spans="1:26" ht="12.75" customHeight="1" x14ac:dyDescent="0.2">
      <c r="A33375" s="258"/>
      <c r="Z33375" s="258"/>
    </row>
    <row r="33376" spans="1:26" ht="12.75" customHeight="1" x14ac:dyDescent="0.2">
      <c r="A33376" s="258"/>
      <c r="Z33376" s="258"/>
    </row>
    <row r="33377" spans="1:26" ht="12.75" customHeight="1" x14ac:dyDescent="0.2">
      <c r="A33377" s="258"/>
      <c r="Z33377" s="258"/>
    </row>
    <row r="33378" spans="1:26" ht="12.75" customHeight="1" x14ac:dyDescent="0.2">
      <c r="A33378" s="258"/>
      <c r="Z33378" s="258"/>
    </row>
    <row r="33379" spans="1:26" ht="12.75" customHeight="1" x14ac:dyDescent="0.2">
      <c r="A33379" s="258"/>
      <c r="Z33379" s="258"/>
    </row>
    <row r="33380" spans="1:26" ht="12.75" customHeight="1" x14ac:dyDescent="0.2">
      <c r="A33380" s="258"/>
      <c r="Z33380" s="258"/>
    </row>
    <row r="33381" spans="1:26" ht="12.75" customHeight="1" x14ac:dyDescent="0.2">
      <c r="A33381" s="258"/>
      <c r="Z33381" s="258"/>
    </row>
    <row r="33382" spans="1:26" ht="12.75" customHeight="1" x14ac:dyDescent="0.2">
      <c r="A33382" s="258"/>
      <c r="Z33382" s="258"/>
    </row>
    <row r="33383" spans="1:26" ht="12.75" customHeight="1" x14ac:dyDescent="0.2">
      <c r="A33383" s="258"/>
      <c r="Z33383" s="258"/>
    </row>
    <row r="33384" spans="1:26" ht="12.75" customHeight="1" x14ac:dyDescent="0.2">
      <c r="A33384" s="258"/>
      <c r="Z33384" s="258"/>
    </row>
    <row r="33385" spans="1:26" ht="12.75" customHeight="1" x14ac:dyDescent="0.2">
      <c r="A33385" s="258"/>
      <c r="Z33385" s="258"/>
    </row>
    <row r="33386" spans="1:26" ht="12.75" customHeight="1" x14ac:dyDescent="0.2">
      <c r="A33386" s="258"/>
      <c r="Z33386" s="258"/>
    </row>
    <row r="33387" spans="1:26" ht="12.75" customHeight="1" x14ac:dyDescent="0.2">
      <c r="A33387" s="258"/>
      <c r="Z33387" s="258"/>
    </row>
    <row r="33388" spans="1:26" ht="12.75" customHeight="1" x14ac:dyDescent="0.2">
      <c r="A33388" s="258"/>
      <c r="Z33388" s="258"/>
    </row>
    <row r="33389" spans="1:26" ht="12.75" customHeight="1" x14ac:dyDescent="0.2">
      <c r="A33389" s="258"/>
      <c r="Z33389" s="258"/>
    </row>
    <row r="33390" spans="1:26" ht="12.75" customHeight="1" x14ac:dyDescent="0.2">
      <c r="A33390" s="258"/>
      <c r="Z33390" s="258"/>
    </row>
    <row r="33391" spans="1:26" ht="12.75" customHeight="1" x14ac:dyDescent="0.2">
      <c r="A33391" s="258"/>
      <c r="Z33391" s="258"/>
    </row>
    <row r="33392" spans="1:26" ht="12.75" customHeight="1" x14ac:dyDescent="0.2">
      <c r="A33392" s="258"/>
      <c r="Z33392" s="258"/>
    </row>
    <row r="33393" spans="1:26" ht="12.75" customHeight="1" x14ac:dyDescent="0.2">
      <c r="A33393" s="258"/>
      <c r="Z33393" s="258"/>
    </row>
    <row r="33394" spans="1:26" ht="12.75" customHeight="1" x14ac:dyDescent="0.2">
      <c r="A33394" s="258"/>
      <c r="Z33394" s="258"/>
    </row>
    <row r="33395" spans="1:26" ht="12.75" customHeight="1" x14ac:dyDescent="0.2">
      <c r="A33395" s="258"/>
      <c r="Z33395" s="258"/>
    </row>
    <row r="33396" spans="1:26" ht="12.75" customHeight="1" x14ac:dyDescent="0.2">
      <c r="A33396" s="258"/>
      <c r="Z33396" s="258"/>
    </row>
    <row r="33397" spans="1:26" ht="12.75" customHeight="1" x14ac:dyDescent="0.2">
      <c r="A33397" s="258"/>
      <c r="Z33397" s="258"/>
    </row>
    <row r="33398" spans="1:26" ht="12.75" customHeight="1" x14ac:dyDescent="0.2">
      <c r="A33398" s="258"/>
      <c r="Z33398" s="258"/>
    </row>
    <row r="33399" spans="1:26" ht="12.75" customHeight="1" x14ac:dyDescent="0.2">
      <c r="A33399" s="258"/>
      <c r="Z33399" s="258"/>
    </row>
    <row r="33400" spans="1:26" ht="12.75" customHeight="1" x14ac:dyDescent="0.2">
      <c r="A33400" s="258"/>
      <c r="Z33400" s="258"/>
    </row>
    <row r="33401" spans="1:26" ht="12.75" customHeight="1" x14ac:dyDescent="0.2">
      <c r="A33401" s="258"/>
      <c r="Z33401" s="258"/>
    </row>
    <row r="33402" spans="1:26" ht="12.75" customHeight="1" x14ac:dyDescent="0.2">
      <c r="A33402" s="258"/>
      <c r="Z33402" s="258"/>
    </row>
    <row r="33403" spans="1:26" ht="12.75" customHeight="1" x14ac:dyDescent="0.2">
      <c r="A33403" s="258"/>
      <c r="Z33403" s="258"/>
    </row>
    <row r="33404" spans="1:26" ht="12.75" customHeight="1" x14ac:dyDescent="0.2">
      <c r="A33404" s="258"/>
      <c r="Z33404" s="258"/>
    </row>
    <row r="33405" spans="1:26" ht="12.75" customHeight="1" x14ac:dyDescent="0.2">
      <c r="A33405" s="258"/>
      <c r="Z33405" s="258"/>
    </row>
    <row r="33406" spans="1:26" ht="12.75" customHeight="1" x14ac:dyDescent="0.2">
      <c r="A33406" s="258"/>
      <c r="Z33406" s="258"/>
    </row>
    <row r="33407" spans="1:26" ht="12.75" customHeight="1" x14ac:dyDescent="0.2">
      <c r="A33407" s="258"/>
      <c r="Z33407" s="258"/>
    </row>
    <row r="33408" spans="1:26" ht="12.75" customHeight="1" x14ac:dyDescent="0.2">
      <c r="A33408" s="258"/>
      <c r="Z33408" s="258"/>
    </row>
    <row r="33409" spans="1:26" ht="12.75" customHeight="1" x14ac:dyDescent="0.2">
      <c r="A33409" s="258"/>
      <c r="Z33409" s="258"/>
    </row>
    <row r="33410" spans="1:26" ht="12.75" customHeight="1" x14ac:dyDescent="0.2">
      <c r="A33410" s="258"/>
      <c r="Z33410" s="258"/>
    </row>
    <row r="33411" spans="1:26" ht="12.75" customHeight="1" x14ac:dyDescent="0.2">
      <c r="A33411" s="258"/>
      <c r="Z33411" s="258"/>
    </row>
    <row r="33412" spans="1:26" ht="12.75" customHeight="1" x14ac:dyDescent="0.2">
      <c r="A33412" s="258"/>
      <c r="Z33412" s="258"/>
    </row>
    <row r="33413" spans="1:26" ht="12.75" customHeight="1" x14ac:dyDescent="0.2">
      <c r="A33413" s="258"/>
      <c r="Z33413" s="258"/>
    </row>
    <row r="33414" spans="1:26" ht="12.75" customHeight="1" x14ac:dyDescent="0.2">
      <c r="A33414" s="258"/>
      <c r="Z33414" s="258"/>
    </row>
    <row r="33415" spans="1:26" ht="12.75" customHeight="1" x14ac:dyDescent="0.2">
      <c r="A33415" s="258"/>
      <c r="Z33415" s="258"/>
    </row>
    <row r="33416" spans="1:26" ht="12.75" customHeight="1" x14ac:dyDescent="0.2">
      <c r="A33416" s="258"/>
      <c r="Z33416" s="258"/>
    </row>
    <row r="33417" spans="1:26" ht="12.75" customHeight="1" x14ac:dyDescent="0.2">
      <c r="A33417" s="258"/>
      <c r="Z33417" s="258"/>
    </row>
    <row r="33418" spans="1:26" ht="12.75" customHeight="1" x14ac:dyDescent="0.2">
      <c r="A33418" s="258"/>
      <c r="Z33418" s="258"/>
    </row>
    <row r="33419" spans="1:26" ht="12.75" customHeight="1" x14ac:dyDescent="0.2">
      <c r="A33419" s="258"/>
      <c r="Z33419" s="258"/>
    </row>
    <row r="33420" spans="1:26" ht="12.75" customHeight="1" x14ac:dyDescent="0.2">
      <c r="A33420" s="258"/>
      <c r="Z33420" s="258"/>
    </row>
    <row r="33421" spans="1:26" ht="12.75" customHeight="1" x14ac:dyDescent="0.2">
      <c r="A33421" s="258"/>
      <c r="Z33421" s="258"/>
    </row>
    <row r="33422" spans="1:26" ht="12.75" customHeight="1" x14ac:dyDescent="0.2">
      <c r="A33422" s="258"/>
      <c r="Z33422" s="258"/>
    </row>
    <row r="33423" spans="1:26" ht="12.75" customHeight="1" x14ac:dyDescent="0.2">
      <c r="A33423" s="258"/>
      <c r="Z33423" s="258"/>
    </row>
    <row r="33424" spans="1:26" ht="12.75" customHeight="1" x14ac:dyDescent="0.2">
      <c r="A33424" s="258"/>
      <c r="Z33424" s="258"/>
    </row>
    <row r="33425" spans="1:26" ht="12.75" customHeight="1" x14ac:dyDescent="0.2">
      <c r="A33425" s="258"/>
      <c r="Z33425" s="258"/>
    </row>
    <row r="33426" spans="1:26" ht="12.75" customHeight="1" x14ac:dyDescent="0.2">
      <c r="A33426" s="258"/>
      <c r="Z33426" s="258"/>
    </row>
    <row r="33427" spans="1:26" ht="12.75" customHeight="1" x14ac:dyDescent="0.2">
      <c r="A33427" s="258"/>
      <c r="Z33427" s="258"/>
    </row>
    <row r="33428" spans="1:26" ht="12.75" customHeight="1" x14ac:dyDescent="0.2">
      <c r="A33428" s="258"/>
      <c r="Z33428" s="258"/>
    </row>
    <row r="33429" spans="1:26" ht="12.75" customHeight="1" x14ac:dyDescent="0.2">
      <c r="A33429" s="258"/>
      <c r="Z33429" s="258"/>
    </row>
    <row r="33430" spans="1:26" ht="12.75" customHeight="1" x14ac:dyDescent="0.2">
      <c r="A33430" s="258"/>
      <c r="Z33430" s="258"/>
    </row>
    <row r="33431" spans="1:26" ht="12.75" customHeight="1" x14ac:dyDescent="0.2">
      <c r="A33431" s="258"/>
      <c r="Z33431" s="258"/>
    </row>
    <row r="33432" spans="1:26" ht="12.75" customHeight="1" x14ac:dyDescent="0.2">
      <c r="A33432" s="258"/>
      <c r="Z33432" s="258"/>
    </row>
    <row r="33433" spans="1:26" ht="12.75" customHeight="1" x14ac:dyDescent="0.2">
      <c r="A33433" s="258"/>
      <c r="Z33433" s="258"/>
    </row>
    <row r="33434" spans="1:26" ht="12.75" customHeight="1" x14ac:dyDescent="0.2">
      <c r="A33434" s="258"/>
      <c r="Z33434" s="258"/>
    </row>
    <row r="33435" spans="1:26" ht="12.75" customHeight="1" x14ac:dyDescent="0.2">
      <c r="A33435" s="258"/>
      <c r="Z33435" s="258"/>
    </row>
    <row r="33436" spans="1:26" ht="12.75" customHeight="1" x14ac:dyDescent="0.2">
      <c r="A33436" s="258"/>
      <c r="Z33436" s="258"/>
    </row>
    <row r="33437" spans="1:26" ht="12.75" customHeight="1" x14ac:dyDescent="0.2">
      <c r="A33437" s="258"/>
      <c r="Z33437" s="258"/>
    </row>
    <row r="33438" spans="1:26" ht="12.75" customHeight="1" x14ac:dyDescent="0.2">
      <c r="A33438" s="258"/>
      <c r="Z33438" s="258"/>
    </row>
    <row r="33439" spans="1:26" ht="12.75" customHeight="1" x14ac:dyDescent="0.2">
      <c r="A33439" s="258"/>
      <c r="Z33439" s="258"/>
    </row>
    <row r="33440" spans="1:26" ht="12.75" customHeight="1" x14ac:dyDescent="0.2">
      <c r="A33440" s="258"/>
      <c r="Z33440" s="258"/>
    </row>
    <row r="33441" spans="1:26" ht="12.75" customHeight="1" x14ac:dyDescent="0.2">
      <c r="A33441" s="258"/>
      <c r="Z33441" s="258"/>
    </row>
    <row r="33442" spans="1:26" ht="12.75" customHeight="1" x14ac:dyDescent="0.2">
      <c r="A33442" s="258"/>
      <c r="Z33442" s="258"/>
    </row>
    <row r="33443" spans="1:26" ht="12.75" customHeight="1" x14ac:dyDescent="0.2">
      <c r="A33443" s="258"/>
      <c r="Z33443" s="258"/>
    </row>
    <row r="33444" spans="1:26" ht="12.75" customHeight="1" x14ac:dyDescent="0.2">
      <c r="A33444" s="258"/>
      <c r="Z33444" s="258"/>
    </row>
    <row r="33445" spans="1:26" ht="12.75" customHeight="1" x14ac:dyDescent="0.2">
      <c r="A33445" s="258"/>
      <c r="Z33445" s="258"/>
    </row>
    <row r="33446" spans="1:26" ht="12.75" customHeight="1" x14ac:dyDescent="0.2">
      <c r="A33446" s="258"/>
      <c r="Z33446" s="258"/>
    </row>
    <row r="33447" spans="1:26" ht="12.75" customHeight="1" x14ac:dyDescent="0.2">
      <c r="A33447" s="258"/>
      <c r="Z33447" s="258"/>
    </row>
    <row r="33448" spans="1:26" ht="12.75" customHeight="1" x14ac:dyDescent="0.2">
      <c r="A33448" s="258"/>
      <c r="Z33448" s="258"/>
    </row>
    <row r="33449" spans="1:26" ht="12.75" customHeight="1" x14ac:dyDescent="0.2">
      <c r="A33449" s="258"/>
      <c r="Z33449" s="258"/>
    </row>
    <row r="33450" spans="1:26" ht="12.75" customHeight="1" x14ac:dyDescent="0.2">
      <c r="A33450" s="258"/>
      <c r="Z33450" s="258"/>
    </row>
    <row r="33451" spans="1:26" ht="12.75" customHeight="1" x14ac:dyDescent="0.2">
      <c r="A33451" s="258"/>
      <c r="Z33451" s="258"/>
    </row>
    <row r="33452" spans="1:26" ht="12.75" customHeight="1" x14ac:dyDescent="0.2">
      <c r="A33452" s="258"/>
      <c r="Z33452" s="258"/>
    </row>
    <row r="33453" spans="1:26" ht="12.75" customHeight="1" x14ac:dyDescent="0.2">
      <c r="A33453" s="258"/>
      <c r="Z33453" s="258"/>
    </row>
    <row r="33454" spans="1:26" ht="12.75" customHeight="1" x14ac:dyDescent="0.2">
      <c r="A33454" s="258"/>
      <c r="Z33454" s="258"/>
    </row>
    <row r="33455" spans="1:26" ht="12.75" customHeight="1" x14ac:dyDescent="0.2">
      <c r="A33455" s="258"/>
      <c r="Z33455" s="258"/>
    </row>
    <row r="33456" spans="1:26" ht="12.75" customHeight="1" x14ac:dyDescent="0.2">
      <c r="A33456" s="258"/>
      <c r="Z33456" s="258"/>
    </row>
    <row r="33457" spans="1:26" ht="12.75" customHeight="1" x14ac:dyDescent="0.2">
      <c r="A33457" s="258"/>
      <c r="Z33457" s="258"/>
    </row>
    <row r="33458" spans="1:26" ht="12.75" customHeight="1" x14ac:dyDescent="0.2">
      <c r="A33458" s="258"/>
      <c r="Z33458" s="258"/>
    </row>
    <row r="33459" spans="1:26" ht="12.75" customHeight="1" x14ac:dyDescent="0.2">
      <c r="A33459" s="258"/>
      <c r="Z33459" s="258"/>
    </row>
    <row r="33460" spans="1:26" ht="12.75" customHeight="1" x14ac:dyDescent="0.2">
      <c r="A33460" s="258"/>
      <c r="Z33460" s="258"/>
    </row>
    <row r="33461" spans="1:26" ht="12.75" customHeight="1" x14ac:dyDescent="0.2">
      <c r="A33461" s="258"/>
      <c r="Z33461" s="258"/>
    </row>
    <row r="33462" spans="1:26" ht="12.75" customHeight="1" x14ac:dyDescent="0.2">
      <c r="A33462" s="258"/>
      <c r="Z33462" s="258"/>
    </row>
    <row r="33463" spans="1:26" ht="12.75" customHeight="1" x14ac:dyDescent="0.2">
      <c r="A33463" s="258"/>
      <c r="Z33463" s="258"/>
    </row>
    <row r="33464" spans="1:26" ht="12.75" customHeight="1" x14ac:dyDescent="0.2">
      <c r="A33464" s="258"/>
      <c r="Z33464" s="258"/>
    </row>
    <row r="33465" spans="1:26" ht="12.75" customHeight="1" x14ac:dyDescent="0.2">
      <c r="A33465" s="258"/>
      <c r="Z33465" s="258"/>
    </row>
    <row r="33466" spans="1:26" ht="12.75" customHeight="1" x14ac:dyDescent="0.2">
      <c r="A33466" s="258"/>
      <c r="Z33466" s="258"/>
    </row>
    <row r="33467" spans="1:26" ht="12.75" customHeight="1" x14ac:dyDescent="0.2">
      <c r="A33467" s="258"/>
      <c r="Z33467" s="258"/>
    </row>
    <row r="33468" spans="1:26" ht="12.75" customHeight="1" x14ac:dyDescent="0.2">
      <c r="A33468" s="258"/>
      <c r="Z33468" s="258"/>
    </row>
    <row r="33469" spans="1:26" ht="12.75" customHeight="1" x14ac:dyDescent="0.2">
      <c r="A33469" s="258"/>
      <c r="Z33469" s="258"/>
    </row>
    <row r="33470" spans="1:26" ht="12.75" customHeight="1" x14ac:dyDescent="0.2">
      <c r="A33470" s="258"/>
      <c r="Z33470" s="258"/>
    </row>
    <row r="33471" spans="1:26" ht="12.75" customHeight="1" x14ac:dyDescent="0.2">
      <c r="A33471" s="258"/>
      <c r="Z33471" s="258"/>
    </row>
    <row r="33472" spans="1:26" ht="12.75" customHeight="1" x14ac:dyDescent="0.2">
      <c r="A33472" s="258"/>
      <c r="Z33472" s="258"/>
    </row>
    <row r="33473" spans="1:26" ht="12.75" customHeight="1" x14ac:dyDescent="0.2">
      <c r="A33473" s="258"/>
      <c r="Z33473" s="258"/>
    </row>
    <row r="33474" spans="1:26" ht="12.75" customHeight="1" x14ac:dyDescent="0.2">
      <c r="A33474" s="258"/>
      <c r="Z33474" s="258"/>
    </row>
    <row r="33475" spans="1:26" ht="12.75" customHeight="1" x14ac:dyDescent="0.2">
      <c r="A33475" s="258"/>
      <c r="Z33475" s="258"/>
    </row>
    <row r="33476" spans="1:26" ht="12.75" customHeight="1" x14ac:dyDescent="0.2">
      <c r="A33476" s="258"/>
      <c r="Z33476" s="258"/>
    </row>
    <row r="33477" spans="1:26" ht="12.75" customHeight="1" x14ac:dyDescent="0.2">
      <c r="A33477" s="258"/>
      <c r="Z33477" s="258"/>
    </row>
    <row r="33478" spans="1:26" ht="12.75" customHeight="1" x14ac:dyDescent="0.2">
      <c r="A33478" s="258"/>
      <c r="Z33478" s="258"/>
    </row>
    <row r="33479" spans="1:26" ht="12.75" customHeight="1" x14ac:dyDescent="0.2">
      <c r="A33479" s="258"/>
      <c r="Z33479" s="258"/>
    </row>
    <row r="33480" spans="1:26" ht="12.75" customHeight="1" x14ac:dyDescent="0.2">
      <c r="A33480" s="258"/>
      <c r="Z33480" s="258"/>
    </row>
    <row r="33481" spans="1:26" ht="12.75" customHeight="1" x14ac:dyDescent="0.2">
      <c r="A33481" s="258"/>
      <c r="Z33481" s="258"/>
    </row>
    <row r="33482" spans="1:26" ht="12.75" customHeight="1" x14ac:dyDescent="0.2">
      <c r="A33482" s="258"/>
      <c r="Z33482" s="258"/>
    </row>
    <row r="33483" spans="1:26" ht="12.75" customHeight="1" x14ac:dyDescent="0.2">
      <c r="A33483" s="258"/>
      <c r="Z33483" s="258"/>
    </row>
    <row r="33484" spans="1:26" ht="12.75" customHeight="1" x14ac:dyDescent="0.2">
      <c r="A33484" s="258"/>
      <c r="Z33484" s="258"/>
    </row>
    <row r="33485" spans="1:26" ht="12.75" customHeight="1" x14ac:dyDescent="0.2">
      <c r="A33485" s="258"/>
      <c r="Z33485" s="258"/>
    </row>
    <row r="33486" spans="1:26" ht="12.75" customHeight="1" x14ac:dyDescent="0.2">
      <c r="A33486" s="258"/>
      <c r="Z33486" s="258"/>
    </row>
    <row r="33487" spans="1:26" ht="12.75" customHeight="1" x14ac:dyDescent="0.2">
      <c r="A33487" s="258"/>
      <c r="Z33487" s="258"/>
    </row>
    <row r="33488" spans="1:26" ht="12.75" customHeight="1" x14ac:dyDescent="0.2">
      <c r="A33488" s="258"/>
      <c r="Z33488" s="258"/>
    </row>
    <row r="33489" spans="1:26" ht="12.75" customHeight="1" x14ac:dyDescent="0.2">
      <c r="A33489" s="258"/>
      <c r="Z33489" s="258"/>
    </row>
    <row r="33490" spans="1:26" ht="12.75" customHeight="1" x14ac:dyDescent="0.2">
      <c r="A33490" s="258"/>
      <c r="Z33490" s="258"/>
    </row>
    <row r="33491" spans="1:26" ht="12.75" customHeight="1" x14ac:dyDescent="0.2">
      <c r="A33491" s="258"/>
      <c r="Z33491" s="258"/>
    </row>
    <row r="33492" spans="1:26" ht="12.75" customHeight="1" x14ac:dyDescent="0.2">
      <c r="A33492" s="258"/>
      <c r="Z33492" s="258"/>
    </row>
    <row r="33493" spans="1:26" ht="12.75" customHeight="1" x14ac:dyDescent="0.2">
      <c r="A33493" s="258"/>
      <c r="Z33493" s="258"/>
    </row>
    <row r="33494" spans="1:26" ht="12.75" customHeight="1" x14ac:dyDescent="0.2">
      <c r="A33494" s="258"/>
      <c r="Z33494" s="258"/>
    </row>
    <row r="33495" spans="1:26" ht="12.75" customHeight="1" x14ac:dyDescent="0.2">
      <c r="A33495" s="258"/>
      <c r="Z33495" s="258"/>
    </row>
    <row r="33496" spans="1:26" ht="12.75" customHeight="1" x14ac:dyDescent="0.2">
      <c r="A33496" s="258"/>
      <c r="Z33496" s="258"/>
    </row>
    <row r="33497" spans="1:26" ht="12.75" customHeight="1" x14ac:dyDescent="0.2">
      <c r="A33497" s="258"/>
      <c r="Z33497" s="258"/>
    </row>
    <row r="33498" spans="1:26" ht="12.75" customHeight="1" x14ac:dyDescent="0.2">
      <c r="A33498" s="258"/>
      <c r="Z33498" s="258"/>
    </row>
    <row r="33499" spans="1:26" ht="12.75" customHeight="1" x14ac:dyDescent="0.2">
      <c r="A33499" s="258"/>
      <c r="Z33499" s="258"/>
    </row>
    <row r="33500" spans="1:26" ht="12.75" customHeight="1" x14ac:dyDescent="0.2">
      <c r="A33500" s="258"/>
      <c r="Z33500" s="258"/>
    </row>
    <row r="33501" spans="1:26" ht="12.75" customHeight="1" x14ac:dyDescent="0.2">
      <c r="A33501" s="258"/>
      <c r="Z33501" s="258"/>
    </row>
    <row r="33502" spans="1:26" ht="12.75" customHeight="1" x14ac:dyDescent="0.2">
      <c r="A33502" s="258"/>
      <c r="Z33502" s="258"/>
    </row>
    <row r="33503" spans="1:26" ht="12.75" customHeight="1" x14ac:dyDescent="0.2">
      <c r="A33503" s="258"/>
      <c r="Z33503" s="258"/>
    </row>
    <row r="33504" spans="1:26" ht="12.75" customHeight="1" x14ac:dyDescent="0.2">
      <c r="A33504" s="258"/>
      <c r="Z33504" s="258"/>
    </row>
    <row r="33505" spans="1:26" ht="12.75" customHeight="1" x14ac:dyDescent="0.2">
      <c r="A33505" s="258"/>
      <c r="Z33505" s="258"/>
    </row>
    <row r="33506" spans="1:26" ht="12.75" customHeight="1" x14ac:dyDescent="0.2">
      <c r="A33506" s="258"/>
      <c r="Z33506" s="258"/>
    </row>
    <row r="33507" spans="1:26" ht="12.75" customHeight="1" x14ac:dyDescent="0.2">
      <c r="A33507" s="258"/>
      <c r="Z33507" s="258"/>
    </row>
    <row r="33508" spans="1:26" ht="12.75" customHeight="1" x14ac:dyDescent="0.2">
      <c r="A33508" s="258"/>
      <c r="Z33508" s="258"/>
    </row>
    <row r="33509" spans="1:26" ht="12.75" customHeight="1" x14ac:dyDescent="0.2">
      <c r="A33509" s="258"/>
      <c r="Z33509" s="258"/>
    </row>
    <row r="33510" spans="1:26" ht="12.75" customHeight="1" x14ac:dyDescent="0.2">
      <c r="A33510" s="258"/>
      <c r="Z33510" s="258"/>
    </row>
    <row r="33511" spans="1:26" ht="12.75" customHeight="1" x14ac:dyDescent="0.2">
      <c r="A33511" s="258"/>
      <c r="Z33511" s="258"/>
    </row>
    <row r="33512" spans="1:26" ht="12.75" customHeight="1" x14ac:dyDescent="0.2">
      <c r="A33512" s="258"/>
      <c r="Z33512" s="258"/>
    </row>
    <row r="33513" spans="1:26" ht="12.75" customHeight="1" x14ac:dyDescent="0.2">
      <c r="A33513" s="258"/>
      <c r="Z33513" s="258"/>
    </row>
    <row r="33514" spans="1:26" ht="12.75" customHeight="1" x14ac:dyDescent="0.2">
      <c r="A33514" s="258"/>
      <c r="Z33514" s="258"/>
    </row>
    <row r="33515" spans="1:26" ht="12.75" customHeight="1" x14ac:dyDescent="0.2">
      <c r="A33515" s="258"/>
      <c r="Z33515" s="258"/>
    </row>
    <row r="33516" spans="1:26" ht="12.75" customHeight="1" x14ac:dyDescent="0.2">
      <c r="A33516" s="258"/>
      <c r="Z33516" s="258"/>
    </row>
    <row r="33517" spans="1:26" ht="12.75" customHeight="1" x14ac:dyDescent="0.2">
      <c r="A33517" s="258"/>
      <c r="Z33517" s="258"/>
    </row>
    <row r="33518" spans="1:26" ht="12.75" customHeight="1" x14ac:dyDescent="0.2">
      <c r="A33518" s="258"/>
      <c r="Z33518" s="258"/>
    </row>
    <row r="33519" spans="1:26" ht="12.75" customHeight="1" x14ac:dyDescent="0.2">
      <c r="A33519" s="258"/>
      <c r="Z33519" s="258"/>
    </row>
    <row r="33520" spans="1:26" ht="12.75" customHeight="1" x14ac:dyDescent="0.2">
      <c r="A33520" s="258"/>
      <c r="Z33520" s="258"/>
    </row>
    <row r="33521" spans="1:26" ht="12.75" customHeight="1" x14ac:dyDescent="0.2">
      <c r="A33521" s="258"/>
      <c r="Z33521" s="258"/>
    </row>
    <row r="33522" spans="1:26" ht="12.75" customHeight="1" x14ac:dyDescent="0.2">
      <c r="A33522" s="258"/>
      <c r="Z33522" s="258"/>
    </row>
    <row r="33523" spans="1:26" ht="12.75" customHeight="1" x14ac:dyDescent="0.2">
      <c r="A33523" s="258"/>
      <c r="Z33523" s="258"/>
    </row>
    <row r="33524" spans="1:26" ht="12.75" customHeight="1" x14ac:dyDescent="0.2">
      <c r="A33524" s="258"/>
      <c r="Z33524" s="258"/>
    </row>
    <row r="33525" spans="1:26" ht="12.75" customHeight="1" x14ac:dyDescent="0.2">
      <c r="A33525" s="258"/>
      <c r="Z33525" s="258"/>
    </row>
    <row r="33526" spans="1:26" ht="12.75" customHeight="1" x14ac:dyDescent="0.2">
      <c r="A33526" s="258"/>
      <c r="Z33526" s="258"/>
    </row>
    <row r="33527" spans="1:26" ht="12.75" customHeight="1" x14ac:dyDescent="0.2">
      <c r="A33527" s="258"/>
      <c r="Z33527" s="258"/>
    </row>
    <row r="33528" spans="1:26" ht="12.75" customHeight="1" x14ac:dyDescent="0.2">
      <c r="A33528" s="258"/>
      <c r="Z33528" s="258"/>
    </row>
    <row r="33529" spans="1:26" ht="12.75" customHeight="1" x14ac:dyDescent="0.2">
      <c r="A33529" s="258"/>
      <c r="Z33529" s="258"/>
    </row>
    <row r="33530" spans="1:26" ht="12.75" customHeight="1" x14ac:dyDescent="0.2">
      <c r="A33530" s="258"/>
      <c r="Z33530" s="258"/>
    </row>
    <row r="33531" spans="1:26" ht="12.75" customHeight="1" x14ac:dyDescent="0.2">
      <c r="A33531" s="258"/>
      <c r="Z33531" s="258"/>
    </row>
    <row r="33532" spans="1:26" ht="12.75" customHeight="1" x14ac:dyDescent="0.2">
      <c r="A33532" s="258"/>
      <c r="Z33532" s="258"/>
    </row>
    <row r="33533" spans="1:26" ht="12.75" customHeight="1" x14ac:dyDescent="0.2">
      <c r="A33533" s="258"/>
      <c r="Z33533" s="258"/>
    </row>
    <row r="33534" spans="1:26" ht="12.75" customHeight="1" x14ac:dyDescent="0.2">
      <c r="A33534" s="258"/>
      <c r="Z33534" s="258"/>
    </row>
    <row r="33535" spans="1:26" ht="12.75" customHeight="1" x14ac:dyDescent="0.2">
      <c r="A33535" s="258"/>
      <c r="Z33535" s="258"/>
    </row>
    <row r="33536" spans="1:26" ht="12.75" customHeight="1" x14ac:dyDescent="0.2">
      <c r="A33536" s="258"/>
      <c r="Z33536" s="258"/>
    </row>
    <row r="33537" spans="1:26" ht="12.75" customHeight="1" x14ac:dyDescent="0.2">
      <c r="A33537" s="258"/>
      <c r="Z33537" s="258"/>
    </row>
    <row r="33538" spans="1:26" ht="12.75" customHeight="1" x14ac:dyDescent="0.2">
      <c r="A33538" s="258"/>
      <c r="Z33538" s="258"/>
    </row>
    <row r="33539" spans="1:26" ht="12.75" customHeight="1" x14ac:dyDescent="0.2">
      <c r="A33539" s="258"/>
      <c r="Z33539" s="258"/>
    </row>
    <row r="33540" spans="1:26" ht="12.75" customHeight="1" x14ac:dyDescent="0.2">
      <c r="A33540" s="258"/>
      <c r="Z33540" s="258"/>
    </row>
    <row r="33541" spans="1:26" ht="12.75" customHeight="1" x14ac:dyDescent="0.2">
      <c r="A33541" s="258"/>
      <c r="Z33541" s="258"/>
    </row>
    <row r="33542" spans="1:26" ht="12.75" customHeight="1" x14ac:dyDescent="0.2">
      <c r="A33542" s="258"/>
      <c r="Z33542" s="258"/>
    </row>
    <row r="33543" spans="1:26" ht="12.75" customHeight="1" x14ac:dyDescent="0.2">
      <c r="A33543" s="258"/>
      <c r="Z33543" s="258"/>
    </row>
    <row r="33544" spans="1:26" ht="12.75" customHeight="1" x14ac:dyDescent="0.2">
      <c r="A33544" s="258"/>
      <c r="Z33544" s="258"/>
    </row>
    <row r="33545" spans="1:26" ht="12.75" customHeight="1" x14ac:dyDescent="0.2">
      <c r="A33545" s="258"/>
      <c r="Z33545" s="258"/>
    </row>
    <row r="33546" spans="1:26" ht="12.75" customHeight="1" x14ac:dyDescent="0.2">
      <c r="A33546" s="258"/>
      <c r="Z33546" s="258"/>
    </row>
    <row r="33547" spans="1:26" ht="12.75" customHeight="1" x14ac:dyDescent="0.2">
      <c r="A33547" s="258"/>
      <c r="Z33547" s="258"/>
    </row>
    <row r="33548" spans="1:26" ht="12.75" customHeight="1" x14ac:dyDescent="0.2">
      <c r="A33548" s="258"/>
      <c r="Z33548" s="258"/>
    </row>
    <row r="33549" spans="1:26" ht="12.75" customHeight="1" x14ac:dyDescent="0.2">
      <c r="A33549" s="258"/>
      <c r="Z33549" s="258"/>
    </row>
    <row r="33550" spans="1:26" ht="12.75" customHeight="1" x14ac:dyDescent="0.2">
      <c r="A33550" s="258"/>
      <c r="Z33550" s="258"/>
    </row>
    <row r="33551" spans="1:26" ht="12.75" customHeight="1" x14ac:dyDescent="0.2">
      <c r="A33551" s="258"/>
      <c r="Z33551" s="258"/>
    </row>
    <row r="33552" spans="1:26" ht="12.75" customHeight="1" x14ac:dyDescent="0.2">
      <c r="A33552" s="258"/>
      <c r="Z33552" s="258"/>
    </row>
    <row r="33553" spans="1:26" ht="12.75" customHeight="1" x14ac:dyDescent="0.2">
      <c r="A33553" s="258"/>
      <c r="Z33553" s="258"/>
    </row>
    <row r="33554" spans="1:26" ht="12.75" customHeight="1" x14ac:dyDescent="0.2">
      <c r="A33554" s="258"/>
      <c r="Z33554" s="258"/>
    </row>
    <row r="33555" spans="1:26" ht="12.75" customHeight="1" x14ac:dyDescent="0.2">
      <c r="A33555" s="258"/>
      <c r="Z33555" s="258"/>
    </row>
    <row r="33556" spans="1:26" ht="12.75" customHeight="1" x14ac:dyDescent="0.2">
      <c r="A33556" s="258"/>
      <c r="Z33556" s="258"/>
    </row>
    <row r="33557" spans="1:26" ht="12.75" customHeight="1" x14ac:dyDescent="0.2">
      <c r="A33557" s="258"/>
      <c r="Z33557" s="258"/>
    </row>
    <row r="33558" spans="1:26" ht="12.75" customHeight="1" x14ac:dyDescent="0.2">
      <c r="A33558" s="258"/>
      <c r="Z33558" s="258"/>
    </row>
    <row r="33559" spans="1:26" ht="12.75" customHeight="1" x14ac:dyDescent="0.2">
      <c r="A33559" s="258"/>
      <c r="Z33559" s="258"/>
    </row>
    <row r="33560" spans="1:26" ht="12.75" customHeight="1" x14ac:dyDescent="0.2">
      <c r="A33560" s="258"/>
      <c r="Z33560" s="258"/>
    </row>
    <row r="33561" spans="1:26" ht="12.75" customHeight="1" x14ac:dyDescent="0.2">
      <c r="A33561" s="258"/>
      <c r="Z33561" s="258"/>
    </row>
    <row r="33562" spans="1:26" ht="12.75" customHeight="1" x14ac:dyDescent="0.2">
      <c r="A33562" s="258"/>
      <c r="Z33562" s="258"/>
    </row>
    <row r="33563" spans="1:26" ht="12.75" customHeight="1" x14ac:dyDescent="0.2">
      <c r="A33563" s="258"/>
      <c r="Z33563" s="258"/>
    </row>
    <row r="33564" spans="1:26" ht="12.75" customHeight="1" x14ac:dyDescent="0.2">
      <c r="A33564" s="258"/>
      <c r="Z33564" s="258"/>
    </row>
    <row r="33565" spans="1:26" ht="12.75" customHeight="1" x14ac:dyDescent="0.2">
      <c r="A33565" s="258"/>
      <c r="Z33565" s="258"/>
    </row>
    <row r="33566" spans="1:26" ht="12.75" customHeight="1" x14ac:dyDescent="0.2">
      <c r="A33566" s="258"/>
      <c r="Z33566" s="258"/>
    </row>
    <row r="33567" spans="1:26" ht="12.75" customHeight="1" x14ac:dyDescent="0.2">
      <c r="A33567" s="258"/>
      <c r="Z33567" s="258"/>
    </row>
    <row r="33568" spans="1:26" ht="12.75" customHeight="1" x14ac:dyDescent="0.2">
      <c r="A33568" s="258"/>
      <c r="Z33568" s="258"/>
    </row>
    <row r="33569" spans="1:26" ht="12.75" customHeight="1" x14ac:dyDescent="0.2">
      <c r="A33569" s="258"/>
      <c r="Z33569" s="258"/>
    </row>
    <row r="33570" spans="1:26" ht="12.75" customHeight="1" x14ac:dyDescent="0.2">
      <c r="A33570" s="258"/>
      <c r="Z33570" s="258"/>
    </row>
    <row r="33571" spans="1:26" ht="12.75" customHeight="1" x14ac:dyDescent="0.2">
      <c r="A33571" s="258"/>
      <c r="Z33571" s="258"/>
    </row>
    <row r="33572" spans="1:26" ht="12.75" customHeight="1" x14ac:dyDescent="0.2">
      <c r="A33572" s="258"/>
      <c r="Z33572" s="258"/>
    </row>
    <row r="33573" spans="1:26" ht="12.75" customHeight="1" x14ac:dyDescent="0.2">
      <c r="A33573" s="258"/>
      <c r="Z33573" s="258"/>
    </row>
    <row r="33574" spans="1:26" ht="12.75" customHeight="1" x14ac:dyDescent="0.2">
      <c r="A33574" s="258"/>
      <c r="Z33574" s="258"/>
    </row>
    <row r="33575" spans="1:26" ht="12.75" customHeight="1" x14ac:dyDescent="0.2">
      <c r="A33575" s="258"/>
      <c r="Z33575" s="258"/>
    </row>
    <row r="33576" spans="1:26" ht="12.75" customHeight="1" x14ac:dyDescent="0.2">
      <c r="A33576" s="258"/>
      <c r="Z33576" s="258"/>
    </row>
    <row r="33577" spans="1:26" ht="12.75" customHeight="1" x14ac:dyDescent="0.2">
      <c r="A33577" s="258"/>
      <c r="Z33577" s="258"/>
    </row>
    <row r="33578" spans="1:26" ht="12.75" customHeight="1" x14ac:dyDescent="0.2">
      <c r="A33578" s="258"/>
      <c r="Z33578" s="258"/>
    </row>
    <row r="33579" spans="1:26" ht="12.75" customHeight="1" x14ac:dyDescent="0.2">
      <c r="A33579" s="258"/>
      <c r="Z33579" s="258"/>
    </row>
    <row r="33580" spans="1:26" ht="12.75" customHeight="1" x14ac:dyDescent="0.2">
      <c r="A33580" s="258"/>
      <c r="Z33580" s="258"/>
    </row>
    <row r="33581" spans="1:26" ht="12.75" customHeight="1" x14ac:dyDescent="0.2">
      <c r="A33581" s="258"/>
      <c r="Z33581" s="258"/>
    </row>
    <row r="33582" spans="1:26" ht="12.75" customHeight="1" x14ac:dyDescent="0.2">
      <c r="A33582" s="258"/>
      <c r="Z33582" s="258"/>
    </row>
    <row r="33583" spans="1:26" ht="12.75" customHeight="1" x14ac:dyDescent="0.2">
      <c r="A33583" s="258"/>
      <c r="Z33583" s="258"/>
    </row>
    <row r="33584" spans="1:26" ht="12.75" customHeight="1" x14ac:dyDescent="0.2">
      <c r="A33584" s="258"/>
      <c r="Z33584" s="258"/>
    </row>
    <row r="33585" spans="1:26" ht="12.75" customHeight="1" x14ac:dyDescent="0.2">
      <c r="A33585" s="258"/>
      <c r="Z33585" s="258"/>
    </row>
    <row r="33586" spans="1:26" ht="12.75" customHeight="1" x14ac:dyDescent="0.2">
      <c r="A33586" s="258"/>
      <c r="Z33586" s="258"/>
    </row>
    <row r="33587" spans="1:26" ht="12.75" customHeight="1" x14ac:dyDescent="0.2">
      <c r="A33587" s="258"/>
      <c r="Z33587" s="258"/>
    </row>
    <row r="33588" spans="1:26" ht="12.75" customHeight="1" x14ac:dyDescent="0.2">
      <c r="A33588" s="258"/>
      <c r="Z33588" s="258"/>
    </row>
    <row r="33589" spans="1:26" ht="12.75" customHeight="1" x14ac:dyDescent="0.2">
      <c r="A33589" s="258"/>
      <c r="Z33589" s="258"/>
    </row>
    <row r="33590" spans="1:26" ht="12.75" customHeight="1" x14ac:dyDescent="0.2">
      <c r="A33590" s="258"/>
      <c r="Z33590" s="258"/>
    </row>
    <row r="33591" spans="1:26" ht="12.75" customHeight="1" x14ac:dyDescent="0.2">
      <c r="A33591" s="258"/>
      <c r="Z33591" s="258"/>
    </row>
    <row r="33592" spans="1:26" ht="12.75" customHeight="1" x14ac:dyDescent="0.2">
      <c r="A33592" s="258"/>
      <c r="Z33592" s="258"/>
    </row>
    <row r="33593" spans="1:26" ht="12.75" customHeight="1" x14ac:dyDescent="0.2">
      <c r="A33593" s="258"/>
      <c r="Z33593" s="258"/>
    </row>
    <row r="33594" spans="1:26" ht="12.75" customHeight="1" x14ac:dyDescent="0.2">
      <c r="A33594" s="258"/>
      <c r="Z33594" s="258"/>
    </row>
    <row r="33595" spans="1:26" ht="12.75" customHeight="1" x14ac:dyDescent="0.2">
      <c r="A33595" s="258"/>
      <c r="Z33595" s="258"/>
    </row>
    <row r="33596" spans="1:26" ht="12.75" customHeight="1" x14ac:dyDescent="0.2">
      <c r="A33596" s="258"/>
      <c r="Z33596" s="258"/>
    </row>
    <row r="33597" spans="1:26" ht="12.75" customHeight="1" x14ac:dyDescent="0.2">
      <c r="A33597" s="258"/>
      <c r="Z33597" s="258"/>
    </row>
    <row r="33598" spans="1:26" ht="12.75" customHeight="1" x14ac:dyDescent="0.2">
      <c r="A33598" s="258"/>
      <c r="Z33598" s="258"/>
    </row>
    <row r="33599" spans="1:26" ht="12.75" customHeight="1" x14ac:dyDescent="0.2">
      <c r="A33599" s="258"/>
      <c r="Z33599" s="258"/>
    </row>
    <row r="33600" spans="1:26" ht="12.75" customHeight="1" x14ac:dyDescent="0.2">
      <c r="A33600" s="258"/>
      <c r="Z33600" s="258"/>
    </row>
    <row r="33601" spans="1:26" ht="12.75" customHeight="1" x14ac:dyDescent="0.2">
      <c r="A33601" s="258"/>
      <c r="Z33601" s="258"/>
    </row>
    <row r="33602" spans="1:26" ht="12.75" customHeight="1" x14ac:dyDescent="0.2">
      <c r="A33602" s="258"/>
      <c r="Z33602" s="258"/>
    </row>
    <row r="33603" spans="1:26" ht="12.75" customHeight="1" x14ac:dyDescent="0.2">
      <c r="A33603" s="258"/>
      <c r="Z33603" s="258"/>
    </row>
    <row r="33604" spans="1:26" ht="12.75" customHeight="1" x14ac:dyDescent="0.2">
      <c r="A33604" s="258"/>
      <c r="Z33604" s="258"/>
    </row>
    <row r="33605" spans="1:26" ht="12.75" customHeight="1" x14ac:dyDescent="0.2">
      <c r="A33605" s="258"/>
      <c r="Z33605" s="258"/>
    </row>
    <row r="33606" spans="1:26" ht="12.75" customHeight="1" x14ac:dyDescent="0.2">
      <c r="A33606" s="258"/>
      <c r="Z33606" s="258"/>
    </row>
    <row r="33607" spans="1:26" ht="12.75" customHeight="1" x14ac:dyDescent="0.2">
      <c r="A33607" s="258"/>
      <c r="Z33607" s="258"/>
    </row>
    <row r="33608" spans="1:26" ht="12.75" customHeight="1" x14ac:dyDescent="0.2">
      <c r="A33608" s="258"/>
      <c r="Z33608" s="258"/>
    </row>
    <row r="33609" spans="1:26" ht="12.75" customHeight="1" x14ac:dyDescent="0.2">
      <c r="A33609" s="258"/>
      <c r="Z33609" s="258"/>
    </row>
    <row r="33610" spans="1:26" ht="12.75" customHeight="1" x14ac:dyDescent="0.2">
      <c r="A33610" s="258"/>
      <c r="Z33610" s="258"/>
    </row>
    <row r="33611" spans="1:26" ht="12.75" customHeight="1" x14ac:dyDescent="0.2">
      <c r="A33611" s="258"/>
      <c r="Z33611" s="258"/>
    </row>
    <row r="33612" spans="1:26" ht="12.75" customHeight="1" x14ac:dyDescent="0.2">
      <c r="A33612" s="258"/>
      <c r="Z33612" s="258"/>
    </row>
    <row r="33613" spans="1:26" ht="12.75" customHeight="1" x14ac:dyDescent="0.2">
      <c r="A33613" s="258"/>
      <c r="Z33613" s="258"/>
    </row>
    <row r="33614" spans="1:26" ht="12.75" customHeight="1" x14ac:dyDescent="0.2">
      <c r="A33614" s="258"/>
      <c r="Z33614" s="258"/>
    </row>
    <row r="33615" spans="1:26" ht="12.75" customHeight="1" x14ac:dyDescent="0.2">
      <c r="A33615" s="258"/>
      <c r="Z33615" s="258"/>
    </row>
    <row r="33616" spans="1:26" ht="12.75" customHeight="1" x14ac:dyDescent="0.2">
      <c r="A33616" s="258"/>
      <c r="Z33616" s="258"/>
    </row>
    <row r="33617" spans="1:26" ht="12.75" customHeight="1" x14ac:dyDescent="0.2">
      <c r="A33617" s="258"/>
      <c r="Z33617" s="258"/>
    </row>
    <row r="33618" spans="1:26" ht="12.75" customHeight="1" x14ac:dyDescent="0.2">
      <c r="A33618" s="258"/>
      <c r="Z33618" s="258"/>
    </row>
    <row r="33619" spans="1:26" ht="12.75" customHeight="1" x14ac:dyDescent="0.2">
      <c r="A33619" s="258"/>
      <c r="Z33619" s="258"/>
    </row>
    <row r="33620" spans="1:26" ht="12.75" customHeight="1" x14ac:dyDescent="0.2">
      <c r="A33620" s="258"/>
      <c r="Z33620" s="258"/>
    </row>
    <row r="33621" spans="1:26" ht="12.75" customHeight="1" x14ac:dyDescent="0.2">
      <c r="A33621" s="258"/>
      <c r="Z33621" s="258"/>
    </row>
    <row r="33622" spans="1:26" ht="12.75" customHeight="1" x14ac:dyDescent="0.2">
      <c r="A33622" s="258"/>
      <c r="Z33622" s="258"/>
    </row>
    <row r="33623" spans="1:26" ht="12.75" customHeight="1" x14ac:dyDescent="0.2">
      <c r="A33623" s="258"/>
      <c r="Z33623" s="258"/>
    </row>
    <row r="33624" spans="1:26" ht="12.75" customHeight="1" x14ac:dyDescent="0.2">
      <c r="A33624" s="258"/>
      <c r="Z33624" s="258"/>
    </row>
    <row r="33625" spans="1:26" ht="12.75" customHeight="1" x14ac:dyDescent="0.2">
      <c r="A33625" s="258"/>
      <c r="Z33625" s="258"/>
    </row>
    <row r="33626" spans="1:26" ht="12.75" customHeight="1" x14ac:dyDescent="0.2">
      <c r="A33626" s="258"/>
      <c r="Z33626" s="258"/>
    </row>
    <row r="33627" spans="1:26" ht="12.75" customHeight="1" x14ac:dyDescent="0.2">
      <c r="A33627" s="258"/>
      <c r="Z33627" s="258"/>
    </row>
    <row r="33628" spans="1:26" ht="12.75" customHeight="1" x14ac:dyDescent="0.2">
      <c r="A33628" s="258"/>
      <c r="Z33628" s="258"/>
    </row>
    <row r="33629" spans="1:26" ht="12.75" customHeight="1" x14ac:dyDescent="0.2">
      <c r="A33629" s="258"/>
      <c r="Z33629" s="258"/>
    </row>
    <row r="33630" spans="1:26" ht="12.75" customHeight="1" x14ac:dyDescent="0.2">
      <c r="A33630" s="258"/>
      <c r="Z33630" s="258"/>
    </row>
    <row r="33631" spans="1:26" ht="12.75" customHeight="1" x14ac:dyDescent="0.2">
      <c r="A33631" s="258"/>
      <c r="Z33631" s="258"/>
    </row>
    <row r="33632" spans="1:26" ht="12.75" customHeight="1" x14ac:dyDescent="0.2">
      <c r="A33632" s="258"/>
      <c r="Z33632" s="258"/>
    </row>
    <row r="33633" spans="1:26" ht="12.75" customHeight="1" x14ac:dyDescent="0.2">
      <c r="A33633" s="258"/>
      <c r="Z33633" s="258"/>
    </row>
    <row r="33634" spans="1:26" ht="12.75" customHeight="1" x14ac:dyDescent="0.2">
      <c r="A33634" s="258"/>
      <c r="Z33634" s="258"/>
    </row>
    <row r="33635" spans="1:26" ht="12.75" customHeight="1" x14ac:dyDescent="0.2">
      <c r="A33635" s="258"/>
      <c r="Z33635" s="258"/>
    </row>
    <row r="33636" spans="1:26" ht="12.75" customHeight="1" x14ac:dyDescent="0.2">
      <c r="A33636" s="258"/>
      <c r="Z33636" s="258"/>
    </row>
    <row r="33637" spans="1:26" ht="12.75" customHeight="1" x14ac:dyDescent="0.2">
      <c r="A33637" s="258"/>
      <c r="Z33637" s="258"/>
    </row>
    <row r="33638" spans="1:26" ht="12.75" customHeight="1" x14ac:dyDescent="0.2">
      <c r="A33638" s="258"/>
      <c r="Z33638" s="258"/>
    </row>
    <row r="33639" spans="1:26" ht="12.75" customHeight="1" x14ac:dyDescent="0.2">
      <c r="A33639" s="258"/>
      <c r="Z33639" s="258"/>
    </row>
    <row r="33640" spans="1:26" ht="12.75" customHeight="1" x14ac:dyDescent="0.2">
      <c r="A33640" s="258"/>
      <c r="Z33640" s="258"/>
    </row>
    <row r="33641" spans="1:26" ht="12.75" customHeight="1" x14ac:dyDescent="0.2">
      <c r="A33641" s="258"/>
      <c r="Z33641" s="258"/>
    </row>
    <row r="33642" spans="1:26" ht="12.75" customHeight="1" x14ac:dyDescent="0.2">
      <c r="A33642" s="258"/>
      <c r="Z33642" s="258"/>
    </row>
    <row r="33643" spans="1:26" ht="12.75" customHeight="1" x14ac:dyDescent="0.2">
      <c r="A33643" s="258"/>
      <c r="Z33643" s="258"/>
    </row>
    <row r="33644" spans="1:26" ht="12.75" customHeight="1" x14ac:dyDescent="0.2">
      <c r="A33644" s="258"/>
      <c r="Z33644" s="258"/>
    </row>
    <row r="33645" spans="1:26" ht="12.75" customHeight="1" x14ac:dyDescent="0.2">
      <c r="A33645" s="258"/>
      <c r="Z33645" s="258"/>
    </row>
    <row r="33646" spans="1:26" ht="12.75" customHeight="1" x14ac:dyDescent="0.2">
      <c r="A33646" s="258"/>
      <c r="Z33646" s="258"/>
    </row>
    <row r="33647" spans="1:26" ht="12.75" customHeight="1" x14ac:dyDescent="0.2">
      <c r="A33647" s="258"/>
      <c r="Z33647" s="258"/>
    </row>
    <row r="33648" spans="1:26" ht="12.75" customHeight="1" x14ac:dyDescent="0.2">
      <c r="A33648" s="258"/>
      <c r="Z33648" s="258"/>
    </row>
    <row r="33649" spans="1:26" ht="12.75" customHeight="1" x14ac:dyDescent="0.2">
      <c r="A33649" s="258"/>
      <c r="Z33649" s="258"/>
    </row>
    <row r="33650" spans="1:26" ht="12.75" customHeight="1" x14ac:dyDescent="0.2">
      <c r="A33650" s="258"/>
      <c r="Z33650" s="258"/>
    </row>
    <row r="33651" spans="1:26" ht="12.75" customHeight="1" x14ac:dyDescent="0.2">
      <c r="A33651" s="258"/>
      <c r="Z33651" s="258"/>
    </row>
    <row r="33652" spans="1:26" ht="12.75" customHeight="1" x14ac:dyDescent="0.2">
      <c r="A33652" s="258"/>
      <c r="Z33652" s="258"/>
    </row>
    <row r="33653" spans="1:26" ht="12.75" customHeight="1" x14ac:dyDescent="0.2">
      <c r="A33653" s="258"/>
      <c r="Z33653" s="258"/>
    </row>
    <row r="33654" spans="1:26" ht="12.75" customHeight="1" x14ac:dyDescent="0.2">
      <c r="A33654" s="258"/>
      <c r="Z33654" s="258"/>
    </row>
    <row r="33655" spans="1:26" ht="12.75" customHeight="1" x14ac:dyDescent="0.2">
      <c r="A33655" s="258"/>
      <c r="Z33655" s="258"/>
    </row>
    <row r="33656" spans="1:26" ht="12.75" customHeight="1" x14ac:dyDescent="0.2">
      <c r="A33656" s="258"/>
      <c r="Z33656" s="258"/>
    </row>
    <row r="33657" spans="1:26" ht="12.75" customHeight="1" x14ac:dyDescent="0.2">
      <c r="A33657" s="258"/>
      <c r="Z33657" s="258"/>
    </row>
    <row r="33658" spans="1:26" ht="12.75" customHeight="1" x14ac:dyDescent="0.2">
      <c r="A33658" s="258"/>
      <c r="Z33658" s="258"/>
    </row>
    <row r="33659" spans="1:26" ht="12.75" customHeight="1" x14ac:dyDescent="0.2">
      <c r="A33659" s="258"/>
      <c r="Z33659" s="258"/>
    </row>
    <row r="33660" spans="1:26" ht="12.75" customHeight="1" x14ac:dyDescent="0.2">
      <c r="A33660" s="258"/>
      <c r="Z33660" s="258"/>
    </row>
    <row r="33661" spans="1:26" ht="12.75" customHeight="1" x14ac:dyDescent="0.2">
      <c r="A33661" s="258"/>
      <c r="Z33661" s="258"/>
    </row>
    <row r="33662" spans="1:26" ht="12.75" customHeight="1" x14ac:dyDescent="0.2">
      <c r="A33662" s="258"/>
      <c r="Z33662" s="258"/>
    </row>
    <row r="33663" spans="1:26" ht="12.75" customHeight="1" x14ac:dyDescent="0.2">
      <c r="A33663" s="258"/>
      <c r="Z33663" s="258"/>
    </row>
    <row r="33664" spans="1:26" ht="12.75" customHeight="1" x14ac:dyDescent="0.2">
      <c r="A33664" s="258"/>
      <c r="Z33664" s="258"/>
    </row>
    <row r="33665" spans="1:26" ht="12.75" customHeight="1" x14ac:dyDescent="0.2">
      <c r="A33665" s="258"/>
      <c r="Z33665" s="258"/>
    </row>
    <row r="33666" spans="1:26" ht="12.75" customHeight="1" x14ac:dyDescent="0.2">
      <c r="A33666" s="258"/>
      <c r="Z33666" s="258"/>
    </row>
    <row r="33667" spans="1:26" ht="12.75" customHeight="1" x14ac:dyDescent="0.2">
      <c r="A33667" s="258"/>
      <c r="Z33667" s="258"/>
    </row>
    <row r="33668" spans="1:26" ht="12.75" customHeight="1" x14ac:dyDescent="0.2">
      <c r="A33668" s="258"/>
      <c r="Z33668" s="258"/>
    </row>
    <row r="33669" spans="1:26" ht="12.75" customHeight="1" x14ac:dyDescent="0.2">
      <c r="A33669" s="258"/>
      <c r="Z33669" s="258"/>
    </row>
    <row r="33670" spans="1:26" ht="12.75" customHeight="1" x14ac:dyDescent="0.2">
      <c r="A33670" s="258"/>
      <c r="Z33670" s="258"/>
    </row>
    <row r="33671" spans="1:26" ht="12.75" customHeight="1" x14ac:dyDescent="0.2">
      <c r="A33671" s="258"/>
      <c r="Z33671" s="258"/>
    </row>
    <row r="33672" spans="1:26" ht="12.75" customHeight="1" x14ac:dyDescent="0.2">
      <c r="A33672" s="258"/>
      <c r="Z33672" s="258"/>
    </row>
    <row r="33673" spans="1:26" ht="12.75" customHeight="1" x14ac:dyDescent="0.2">
      <c r="A33673" s="258"/>
      <c r="Z33673" s="258"/>
    </row>
    <row r="33674" spans="1:26" ht="12.75" customHeight="1" x14ac:dyDescent="0.2">
      <c r="A33674" s="258"/>
      <c r="Z33674" s="258"/>
    </row>
    <row r="33675" spans="1:26" ht="12.75" customHeight="1" x14ac:dyDescent="0.2">
      <c r="A33675" s="258"/>
      <c r="Z33675" s="258"/>
    </row>
    <row r="33676" spans="1:26" ht="12.75" customHeight="1" x14ac:dyDescent="0.2">
      <c r="A33676" s="258"/>
      <c r="Z33676" s="258"/>
    </row>
    <row r="33677" spans="1:26" ht="12.75" customHeight="1" x14ac:dyDescent="0.2">
      <c r="A33677" s="258"/>
      <c r="Z33677" s="258"/>
    </row>
    <row r="33678" spans="1:26" ht="12.75" customHeight="1" x14ac:dyDescent="0.2">
      <c r="A33678" s="258"/>
      <c r="Z33678" s="258"/>
    </row>
    <row r="33679" spans="1:26" ht="12.75" customHeight="1" x14ac:dyDescent="0.2">
      <c r="A33679" s="258"/>
      <c r="Z33679" s="258"/>
    </row>
    <row r="33680" spans="1:26" ht="12.75" customHeight="1" x14ac:dyDescent="0.2">
      <c r="A33680" s="258"/>
      <c r="Z33680" s="258"/>
    </row>
    <row r="33681" spans="1:26" ht="12.75" customHeight="1" x14ac:dyDescent="0.2">
      <c r="A33681" s="258"/>
      <c r="Z33681" s="258"/>
    </row>
    <row r="33682" spans="1:26" ht="12.75" customHeight="1" x14ac:dyDescent="0.2">
      <c r="A33682" s="258"/>
      <c r="Z33682" s="258"/>
    </row>
    <row r="33683" spans="1:26" ht="12.75" customHeight="1" x14ac:dyDescent="0.2">
      <c r="A33683" s="258"/>
      <c r="Z33683" s="258"/>
    </row>
    <row r="33684" spans="1:26" ht="12.75" customHeight="1" x14ac:dyDescent="0.2">
      <c r="A33684" s="258"/>
      <c r="Z33684" s="258"/>
    </row>
    <row r="33685" spans="1:26" ht="12.75" customHeight="1" x14ac:dyDescent="0.2">
      <c r="A33685" s="258"/>
      <c r="Z33685" s="258"/>
    </row>
    <row r="33686" spans="1:26" ht="12.75" customHeight="1" x14ac:dyDescent="0.2">
      <c r="A33686" s="258"/>
      <c r="Z33686" s="258"/>
    </row>
    <row r="33687" spans="1:26" ht="12.75" customHeight="1" x14ac:dyDescent="0.2">
      <c r="A33687" s="258"/>
      <c r="Z33687" s="258"/>
    </row>
    <row r="33688" spans="1:26" ht="12.75" customHeight="1" x14ac:dyDescent="0.2">
      <c r="A33688" s="258"/>
      <c r="Z33688" s="258"/>
    </row>
    <row r="33689" spans="1:26" ht="12.75" customHeight="1" x14ac:dyDescent="0.2">
      <c r="A33689" s="258"/>
      <c r="Z33689" s="258"/>
    </row>
    <row r="33690" spans="1:26" ht="12.75" customHeight="1" x14ac:dyDescent="0.2">
      <c r="A33690" s="258"/>
      <c r="Z33690" s="258"/>
    </row>
    <row r="33691" spans="1:26" ht="12.75" customHeight="1" x14ac:dyDescent="0.2">
      <c r="A33691" s="258"/>
      <c r="Z33691" s="258"/>
    </row>
    <row r="33692" spans="1:26" ht="12.75" customHeight="1" x14ac:dyDescent="0.2">
      <c r="A33692" s="258"/>
      <c r="Z33692" s="258"/>
    </row>
    <row r="33693" spans="1:26" ht="12.75" customHeight="1" x14ac:dyDescent="0.2">
      <c r="A33693" s="258"/>
      <c r="Z33693" s="258"/>
    </row>
    <row r="33694" spans="1:26" ht="12.75" customHeight="1" x14ac:dyDescent="0.2">
      <c r="A33694" s="258"/>
      <c r="Z33694" s="258"/>
    </row>
    <row r="33695" spans="1:26" ht="12.75" customHeight="1" x14ac:dyDescent="0.2">
      <c r="A33695" s="258"/>
      <c r="Z33695" s="258"/>
    </row>
    <row r="33696" spans="1:26" ht="12.75" customHeight="1" x14ac:dyDescent="0.2">
      <c r="A33696" s="258"/>
      <c r="Z33696" s="258"/>
    </row>
    <row r="33697" spans="1:26" ht="12.75" customHeight="1" x14ac:dyDescent="0.2">
      <c r="A33697" s="258"/>
      <c r="Z33697" s="258"/>
    </row>
    <row r="33698" spans="1:26" ht="12.75" customHeight="1" x14ac:dyDescent="0.2">
      <c r="A33698" s="258"/>
      <c r="Z33698" s="258"/>
    </row>
    <row r="33699" spans="1:26" ht="12.75" customHeight="1" x14ac:dyDescent="0.2">
      <c r="A33699" s="258"/>
      <c r="Z33699" s="258"/>
    </row>
    <row r="33700" spans="1:26" ht="12.75" customHeight="1" x14ac:dyDescent="0.2">
      <c r="A33700" s="258"/>
      <c r="Z33700" s="258"/>
    </row>
    <row r="33701" spans="1:26" ht="12.75" customHeight="1" x14ac:dyDescent="0.2">
      <c r="A33701" s="258"/>
      <c r="Z33701" s="258"/>
    </row>
    <row r="33702" spans="1:26" ht="12.75" customHeight="1" x14ac:dyDescent="0.2">
      <c r="A33702" s="258"/>
      <c r="Z33702" s="258"/>
    </row>
    <row r="33703" spans="1:26" ht="12.75" customHeight="1" x14ac:dyDescent="0.2">
      <c r="A33703" s="258"/>
      <c r="Z33703" s="258"/>
    </row>
    <row r="33704" spans="1:26" ht="12.75" customHeight="1" x14ac:dyDescent="0.2">
      <c r="A33704" s="258"/>
      <c r="Z33704" s="258"/>
    </row>
    <row r="33705" spans="1:26" ht="12.75" customHeight="1" x14ac:dyDescent="0.2">
      <c r="A33705" s="258"/>
      <c r="Z33705" s="258"/>
    </row>
    <row r="33706" spans="1:26" ht="12.75" customHeight="1" x14ac:dyDescent="0.2">
      <c r="A33706" s="258"/>
      <c r="Z33706" s="258"/>
    </row>
    <row r="33707" spans="1:26" ht="12.75" customHeight="1" x14ac:dyDescent="0.2">
      <c r="A33707" s="258"/>
      <c r="Z33707" s="258"/>
    </row>
    <row r="33708" spans="1:26" ht="12.75" customHeight="1" x14ac:dyDescent="0.2">
      <c r="A33708" s="258"/>
      <c r="Z33708" s="258"/>
    </row>
    <row r="33709" spans="1:26" ht="12.75" customHeight="1" x14ac:dyDescent="0.2">
      <c r="A33709" s="258"/>
      <c r="Z33709" s="258"/>
    </row>
    <row r="33710" spans="1:26" ht="12.75" customHeight="1" x14ac:dyDescent="0.2">
      <c r="A33710" s="258"/>
      <c r="Z33710" s="258"/>
    </row>
    <row r="33711" spans="1:26" ht="12.75" customHeight="1" x14ac:dyDescent="0.2">
      <c r="A33711" s="258"/>
      <c r="Z33711" s="258"/>
    </row>
    <row r="33712" spans="1:26" ht="12.75" customHeight="1" x14ac:dyDescent="0.2">
      <c r="A33712" s="258"/>
      <c r="Z33712" s="258"/>
    </row>
    <row r="33713" spans="1:26" ht="12.75" customHeight="1" x14ac:dyDescent="0.2">
      <c r="A33713" s="258"/>
      <c r="Z33713" s="258"/>
    </row>
    <row r="33714" spans="1:26" ht="12.75" customHeight="1" x14ac:dyDescent="0.2">
      <c r="A33714" s="258"/>
      <c r="Z33714" s="258"/>
    </row>
    <row r="33715" spans="1:26" ht="12.75" customHeight="1" x14ac:dyDescent="0.2">
      <c r="A33715" s="258"/>
      <c r="Z33715" s="258"/>
    </row>
    <row r="33716" spans="1:26" ht="12.75" customHeight="1" x14ac:dyDescent="0.2">
      <c r="A33716" s="258"/>
      <c r="Z33716" s="258"/>
    </row>
    <row r="33717" spans="1:26" ht="12.75" customHeight="1" x14ac:dyDescent="0.2">
      <c r="A33717" s="258"/>
      <c r="Z33717" s="258"/>
    </row>
    <row r="33718" spans="1:26" ht="12.75" customHeight="1" x14ac:dyDescent="0.2">
      <c r="A33718" s="258"/>
      <c r="Z33718" s="258"/>
    </row>
    <row r="33719" spans="1:26" ht="12.75" customHeight="1" x14ac:dyDescent="0.2">
      <c r="A33719" s="258"/>
      <c r="Z33719" s="258"/>
    </row>
    <row r="33720" spans="1:26" ht="12.75" customHeight="1" x14ac:dyDescent="0.2">
      <c r="A33720" s="258"/>
      <c r="Z33720" s="258"/>
    </row>
    <row r="33721" spans="1:26" ht="12.75" customHeight="1" x14ac:dyDescent="0.2">
      <c r="A33721" s="258"/>
      <c r="Z33721" s="258"/>
    </row>
    <row r="33722" spans="1:26" ht="12.75" customHeight="1" x14ac:dyDescent="0.2">
      <c r="A33722" s="258"/>
      <c r="Z33722" s="258"/>
    </row>
    <row r="33723" spans="1:26" ht="12.75" customHeight="1" x14ac:dyDescent="0.2">
      <c r="A33723" s="258"/>
      <c r="Z33723" s="258"/>
    </row>
    <row r="33724" spans="1:26" ht="12.75" customHeight="1" x14ac:dyDescent="0.2">
      <c r="A33724" s="258"/>
      <c r="Z33724" s="258"/>
    </row>
    <row r="33725" spans="1:26" ht="12.75" customHeight="1" x14ac:dyDescent="0.2">
      <c r="A33725" s="258"/>
      <c r="Z33725" s="258"/>
    </row>
    <row r="33726" spans="1:26" ht="12.75" customHeight="1" x14ac:dyDescent="0.2">
      <c r="A33726" s="258"/>
      <c r="Z33726" s="258"/>
    </row>
    <row r="33727" spans="1:26" ht="12.75" customHeight="1" x14ac:dyDescent="0.2">
      <c r="A33727" s="258"/>
      <c r="Z33727" s="258"/>
    </row>
    <row r="33728" spans="1:26" ht="12.75" customHeight="1" x14ac:dyDescent="0.2">
      <c r="A33728" s="258"/>
      <c r="Z33728" s="258"/>
    </row>
    <row r="33729" spans="1:26" ht="12.75" customHeight="1" x14ac:dyDescent="0.2">
      <c r="A33729" s="258"/>
      <c r="Z33729" s="258"/>
    </row>
    <row r="33730" spans="1:26" ht="12.75" customHeight="1" x14ac:dyDescent="0.2">
      <c r="A33730" s="258"/>
      <c r="Z33730" s="258"/>
    </row>
    <row r="33731" spans="1:26" ht="12.75" customHeight="1" x14ac:dyDescent="0.2">
      <c r="A33731" s="258"/>
      <c r="Z33731" s="258"/>
    </row>
    <row r="33732" spans="1:26" ht="12.75" customHeight="1" x14ac:dyDescent="0.2">
      <c r="A33732" s="258"/>
      <c r="Z33732" s="258"/>
    </row>
    <row r="33733" spans="1:26" ht="12.75" customHeight="1" x14ac:dyDescent="0.2">
      <c r="A33733" s="258"/>
      <c r="Z33733" s="258"/>
    </row>
    <row r="33734" spans="1:26" ht="12.75" customHeight="1" x14ac:dyDescent="0.2">
      <c r="A33734" s="258"/>
      <c r="Z33734" s="258"/>
    </row>
    <row r="33735" spans="1:26" ht="12.75" customHeight="1" x14ac:dyDescent="0.2">
      <c r="A33735" s="258"/>
      <c r="Z33735" s="258"/>
    </row>
    <row r="33736" spans="1:26" ht="12.75" customHeight="1" x14ac:dyDescent="0.2">
      <c r="A33736" s="258"/>
      <c r="Z33736" s="258"/>
    </row>
    <row r="33737" spans="1:26" ht="12.75" customHeight="1" x14ac:dyDescent="0.2">
      <c r="A33737" s="258"/>
      <c r="Z33737" s="258"/>
    </row>
    <row r="33738" spans="1:26" ht="12.75" customHeight="1" x14ac:dyDescent="0.2">
      <c r="A33738" s="258"/>
      <c r="Z33738" s="258"/>
    </row>
    <row r="33739" spans="1:26" ht="12.75" customHeight="1" x14ac:dyDescent="0.2">
      <c r="A33739" s="258"/>
      <c r="Z33739" s="258"/>
    </row>
    <row r="33740" spans="1:26" ht="12.75" customHeight="1" x14ac:dyDescent="0.2">
      <c r="A33740" s="258"/>
      <c r="Z33740" s="258"/>
    </row>
    <row r="33741" spans="1:26" ht="12.75" customHeight="1" x14ac:dyDescent="0.2">
      <c r="A33741" s="258"/>
      <c r="Z33741" s="258"/>
    </row>
    <row r="33742" spans="1:26" ht="12.75" customHeight="1" x14ac:dyDescent="0.2">
      <c r="A33742" s="258"/>
      <c r="Z33742" s="258"/>
    </row>
    <row r="33743" spans="1:26" ht="12.75" customHeight="1" x14ac:dyDescent="0.2">
      <c r="A33743" s="258"/>
      <c r="Z33743" s="258"/>
    </row>
    <row r="33744" spans="1:26" ht="12.75" customHeight="1" x14ac:dyDescent="0.2">
      <c r="A33744" s="258"/>
      <c r="Z33744" s="258"/>
    </row>
    <row r="33745" spans="1:26" ht="12.75" customHeight="1" x14ac:dyDescent="0.2">
      <c r="A33745" s="258"/>
      <c r="Z33745" s="258"/>
    </row>
    <row r="33746" spans="1:26" ht="12.75" customHeight="1" x14ac:dyDescent="0.2">
      <c r="A33746" s="258"/>
      <c r="Z33746" s="258"/>
    </row>
    <row r="33747" spans="1:26" ht="12.75" customHeight="1" x14ac:dyDescent="0.2">
      <c r="A33747" s="258"/>
      <c r="Z33747" s="258"/>
    </row>
    <row r="33748" spans="1:26" ht="12.75" customHeight="1" x14ac:dyDescent="0.2">
      <c r="A33748" s="258"/>
      <c r="Z33748" s="258"/>
    </row>
    <row r="33749" spans="1:26" ht="12.75" customHeight="1" x14ac:dyDescent="0.2">
      <c r="A33749" s="258"/>
      <c r="Z33749" s="258"/>
    </row>
    <row r="33750" spans="1:26" ht="12.75" customHeight="1" x14ac:dyDescent="0.2">
      <c r="A33750" s="258"/>
      <c r="Z33750" s="258"/>
    </row>
    <row r="33751" spans="1:26" ht="12.75" customHeight="1" x14ac:dyDescent="0.2">
      <c r="A33751" s="258"/>
      <c r="Z33751" s="258"/>
    </row>
    <row r="33752" spans="1:26" ht="12.75" customHeight="1" x14ac:dyDescent="0.2">
      <c r="A33752" s="258"/>
      <c r="Z33752" s="258"/>
    </row>
    <row r="33753" spans="1:26" ht="12.75" customHeight="1" x14ac:dyDescent="0.2">
      <c r="A33753" s="258"/>
      <c r="Z33753" s="258"/>
    </row>
    <row r="33754" spans="1:26" ht="12.75" customHeight="1" x14ac:dyDescent="0.2">
      <c r="A33754" s="258"/>
      <c r="Z33754" s="258"/>
    </row>
    <row r="33755" spans="1:26" ht="12.75" customHeight="1" x14ac:dyDescent="0.2">
      <c r="A33755" s="258"/>
      <c r="Z33755" s="258"/>
    </row>
    <row r="33756" spans="1:26" ht="12.75" customHeight="1" x14ac:dyDescent="0.2">
      <c r="A33756" s="258"/>
      <c r="Z33756" s="258"/>
    </row>
    <row r="33757" spans="1:26" ht="12.75" customHeight="1" x14ac:dyDescent="0.2">
      <c r="A33757" s="258"/>
      <c r="Z33757" s="258"/>
    </row>
    <row r="33758" spans="1:26" ht="12.75" customHeight="1" x14ac:dyDescent="0.2">
      <c r="A33758" s="258"/>
      <c r="Z33758" s="258"/>
    </row>
    <row r="33759" spans="1:26" ht="12.75" customHeight="1" x14ac:dyDescent="0.2">
      <c r="A33759" s="258"/>
      <c r="Z33759" s="258"/>
    </row>
    <row r="33760" spans="1:26" ht="12.75" customHeight="1" x14ac:dyDescent="0.2">
      <c r="A33760" s="258"/>
      <c r="Z33760" s="258"/>
    </row>
    <row r="33761" spans="1:26" ht="12.75" customHeight="1" x14ac:dyDescent="0.2">
      <c r="A33761" s="258"/>
      <c r="Z33761" s="258"/>
    </row>
    <row r="33762" spans="1:26" ht="12.75" customHeight="1" x14ac:dyDescent="0.2">
      <c r="A33762" s="258"/>
      <c r="Z33762" s="258"/>
    </row>
    <row r="33763" spans="1:26" ht="12.75" customHeight="1" x14ac:dyDescent="0.2">
      <c r="A33763" s="258"/>
      <c r="Z33763" s="258"/>
    </row>
    <row r="33764" spans="1:26" ht="12.75" customHeight="1" x14ac:dyDescent="0.2">
      <c r="A33764" s="258"/>
      <c r="Z33764" s="258"/>
    </row>
    <row r="33765" spans="1:26" ht="12.75" customHeight="1" x14ac:dyDescent="0.2">
      <c r="A33765" s="258"/>
      <c r="Z33765" s="258"/>
    </row>
    <row r="33766" spans="1:26" ht="12.75" customHeight="1" x14ac:dyDescent="0.2">
      <c r="A33766" s="258"/>
      <c r="Z33766" s="258"/>
    </row>
    <row r="33767" spans="1:26" ht="12.75" customHeight="1" x14ac:dyDescent="0.2">
      <c r="A33767" s="258"/>
      <c r="Z33767" s="258"/>
    </row>
    <row r="33768" spans="1:26" ht="12.75" customHeight="1" x14ac:dyDescent="0.2">
      <c r="A33768" s="258"/>
      <c r="Z33768" s="258"/>
    </row>
    <row r="33769" spans="1:26" ht="12.75" customHeight="1" x14ac:dyDescent="0.2">
      <c r="A33769" s="258"/>
      <c r="Z33769" s="258"/>
    </row>
    <row r="33770" spans="1:26" ht="12.75" customHeight="1" x14ac:dyDescent="0.2">
      <c r="A33770" s="258"/>
      <c r="Z33770" s="258"/>
    </row>
    <row r="33771" spans="1:26" ht="12.75" customHeight="1" x14ac:dyDescent="0.2">
      <c r="A33771" s="258"/>
      <c r="Z33771" s="258"/>
    </row>
    <row r="33772" spans="1:26" ht="12.75" customHeight="1" x14ac:dyDescent="0.2">
      <c r="A33772" s="258"/>
      <c r="Z33772" s="258"/>
    </row>
    <row r="33773" spans="1:26" ht="12.75" customHeight="1" x14ac:dyDescent="0.2">
      <c r="A33773" s="258"/>
      <c r="Z33773" s="258"/>
    </row>
    <row r="33774" spans="1:26" ht="12.75" customHeight="1" x14ac:dyDescent="0.2">
      <c r="A33774" s="258"/>
      <c r="Z33774" s="258"/>
    </row>
    <row r="33775" spans="1:26" ht="12.75" customHeight="1" x14ac:dyDescent="0.2">
      <c r="A33775" s="258"/>
      <c r="Z33775" s="258"/>
    </row>
    <row r="33776" spans="1:26" ht="12.75" customHeight="1" x14ac:dyDescent="0.2">
      <c r="A33776" s="258"/>
      <c r="Z33776" s="258"/>
    </row>
    <row r="33777" spans="1:26" ht="12.75" customHeight="1" x14ac:dyDescent="0.2">
      <c r="A33777" s="258"/>
      <c r="Z33777" s="258"/>
    </row>
    <row r="33778" spans="1:26" ht="12.75" customHeight="1" x14ac:dyDescent="0.2">
      <c r="A33778" s="258"/>
      <c r="Z33778" s="258"/>
    </row>
    <row r="33779" spans="1:26" ht="12.75" customHeight="1" x14ac:dyDescent="0.2">
      <c r="A33779" s="258"/>
      <c r="Z33779" s="258"/>
    </row>
    <row r="33780" spans="1:26" ht="12.75" customHeight="1" x14ac:dyDescent="0.2">
      <c r="A33780" s="258"/>
      <c r="Z33780" s="258"/>
    </row>
    <row r="33781" spans="1:26" ht="12.75" customHeight="1" x14ac:dyDescent="0.2">
      <c r="A33781" s="258"/>
      <c r="Z33781" s="258"/>
    </row>
    <row r="33782" spans="1:26" ht="12.75" customHeight="1" x14ac:dyDescent="0.2">
      <c r="A33782" s="258"/>
      <c r="Z33782" s="258"/>
    </row>
    <row r="33783" spans="1:26" ht="12.75" customHeight="1" x14ac:dyDescent="0.2">
      <c r="A33783" s="258"/>
      <c r="Z33783" s="258"/>
    </row>
    <row r="33784" spans="1:26" ht="12.75" customHeight="1" x14ac:dyDescent="0.2">
      <c r="A33784" s="258"/>
      <c r="Z33784" s="258"/>
    </row>
    <row r="33785" spans="1:26" ht="12.75" customHeight="1" x14ac:dyDescent="0.2">
      <c r="A33785" s="258"/>
      <c r="Z33785" s="258"/>
    </row>
    <row r="33786" spans="1:26" ht="12.75" customHeight="1" x14ac:dyDescent="0.2">
      <c r="A33786" s="258"/>
      <c r="Z33786" s="258"/>
    </row>
    <row r="33787" spans="1:26" ht="12.75" customHeight="1" x14ac:dyDescent="0.2">
      <c r="A33787" s="258"/>
      <c r="Z33787" s="258"/>
    </row>
    <row r="33788" spans="1:26" ht="12.75" customHeight="1" x14ac:dyDescent="0.2">
      <c r="A33788" s="258"/>
      <c r="Z33788" s="258"/>
    </row>
    <row r="33789" spans="1:26" ht="12.75" customHeight="1" x14ac:dyDescent="0.2">
      <c r="A33789" s="258"/>
      <c r="Z33789" s="258"/>
    </row>
    <row r="33790" spans="1:26" ht="12.75" customHeight="1" x14ac:dyDescent="0.2">
      <c r="A33790" s="258"/>
      <c r="Z33790" s="258"/>
    </row>
    <row r="33791" spans="1:26" ht="12.75" customHeight="1" x14ac:dyDescent="0.2">
      <c r="A33791" s="258"/>
      <c r="Z33791" s="258"/>
    </row>
    <row r="33792" spans="1:26" ht="12.75" customHeight="1" x14ac:dyDescent="0.2">
      <c r="A33792" s="258"/>
      <c r="Z33792" s="258"/>
    </row>
    <row r="33793" spans="1:26" ht="12.75" customHeight="1" x14ac:dyDescent="0.2">
      <c r="A33793" s="258"/>
      <c r="Z33793" s="258"/>
    </row>
    <row r="33794" spans="1:26" ht="12.75" customHeight="1" x14ac:dyDescent="0.2">
      <c r="A33794" s="258"/>
      <c r="Z33794" s="258"/>
    </row>
    <row r="33795" spans="1:26" ht="12.75" customHeight="1" x14ac:dyDescent="0.2">
      <c r="A33795" s="258"/>
      <c r="Z33795" s="258"/>
    </row>
    <row r="33796" spans="1:26" ht="12.75" customHeight="1" x14ac:dyDescent="0.2">
      <c r="A33796" s="258"/>
      <c r="Z33796" s="258"/>
    </row>
    <row r="33797" spans="1:26" ht="12.75" customHeight="1" x14ac:dyDescent="0.2">
      <c r="A33797" s="258"/>
      <c r="Z33797" s="258"/>
    </row>
    <row r="33798" spans="1:26" ht="12.75" customHeight="1" x14ac:dyDescent="0.2">
      <c r="A33798" s="258"/>
      <c r="Z33798" s="258"/>
    </row>
    <row r="33799" spans="1:26" ht="12.75" customHeight="1" x14ac:dyDescent="0.2">
      <c r="A33799" s="258"/>
      <c r="Z33799" s="258"/>
    </row>
    <row r="33800" spans="1:26" ht="12.75" customHeight="1" x14ac:dyDescent="0.2">
      <c r="A33800" s="258"/>
      <c r="Z33800" s="258"/>
    </row>
    <row r="33801" spans="1:26" ht="12.75" customHeight="1" x14ac:dyDescent="0.2">
      <c r="A33801" s="258"/>
      <c r="Z33801" s="258"/>
    </row>
    <row r="33802" spans="1:26" ht="12.75" customHeight="1" x14ac:dyDescent="0.2">
      <c r="A33802" s="258"/>
      <c r="Z33802" s="258"/>
    </row>
    <row r="33803" spans="1:26" ht="12.75" customHeight="1" x14ac:dyDescent="0.2">
      <c r="A33803" s="258"/>
      <c r="Z33803" s="258"/>
    </row>
    <row r="33804" spans="1:26" ht="12.75" customHeight="1" x14ac:dyDescent="0.2">
      <c r="A33804" s="258"/>
      <c r="Z33804" s="258"/>
    </row>
    <row r="33805" spans="1:26" ht="12.75" customHeight="1" x14ac:dyDescent="0.2">
      <c r="A33805" s="258"/>
      <c r="Z33805" s="258"/>
    </row>
    <row r="33806" spans="1:26" ht="12.75" customHeight="1" x14ac:dyDescent="0.2">
      <c r="A33806" s="258"/>
      <c r="Z33806" s="258"/>
    </row>
    <row r="33807" spans="1:26" ht="12.75" customHeight="1" x14ac:dyDescent="0.2">
      <c r="A33807" s="258"/>
      <c r="Z33807" s="258"/>
    </row>
    <row r="33808" spans="1:26" ht="12.75" customHeight="1" x14ac:dyDescent="0.2">
      <c r="A33808" s="258"/>
      <c r="Z33808" s="258"/>
    </row>
    <row r="33809" spans="1:26" ht="12.75" customHeight="1" x14ac:dyDescent="0.2">
      <c r="A33809" s="258"/>
      <c r="Z33809" s="258"/>
    </row>
    <row r="33810" spans="1:26" ht="12.75" customHeight="1" x14ac:dyDescent="0.2">
      <c r="A33810" s="258"/>
      <c r="Z33810" s="258"/>
    </row>
    <row r="33811" spans="1:26" ht="12.75" customHeight="1" x14ac:dyDescent="0.2">
      <c r="A33811" s="258"/>
      <c r="Z33811" s="258"/>
    </row>
    <row r="33812" spans="1:26" ht="12.75" customHeight="1" x14ac:dyDescent="0.2">
      <c r="A33812" s="258"/>
      <c r="Z33812" s="258"/>
    </row>
    <row r="33813" spans="1:26" ht="12.75" customHeight="1" x14ac:dyDescent="0.2">
      <c r="A33813" s="258"/>
      <c r="Z33813" s="258"/>
    </row>
    <row r="33814" spans="1:26" ht="12.75" customHeight="1" x14ac:dyDescent="0.2">
      <c r="A33814" s="258"/>
      <c r="Z33814" s="258"/>
    </row>
    <row r="33815" spans="1:26" ht="12.75" customHeight="1" x14ac:dyDescent="0.2">
      <c r="A33815" s="258"/>
      <c r="Z33815" s="258"/>
    </row>
    <row r="33816" spans="1:26" ht="12.75" customHeight="1" x14ac:dyDescent="0.2">
      <c r="A33816" s="258"/>
      <c r="Z33816" s="258"/>
    </row>
    <row r="33817" spans="1:26" ht="12.75" customHeight="1" x14ac:dyDescent="0.2">
      <c r="A33817" s="258"/>
      <c r="Z33817" s="258"/>
    </row>
    <row r="33818" spans="1:26" ht="12.75" customHeight="1" x14ac:dyDescent="0.2">
      <c r="A33818" s="258"/>
      <c r="Z33818" s="258"/>
    </row>
    <row r="33819" spans="1:26" ht="12.75" customHeight="1" x14ac:dyDescent="0.2">
      <c r="A33819" s="258"/>
      <c r="Z33819" s="258"/>
    </row>
    <row r="33820" spans="1:26" ht="12.75" customHeight="1" x14ac:dyDescent="0.2">
      <c r="A33820" s="258"/>
      <c r="Z33820" s="258"/>
    </row>
    <row r="33821" spans="1:26" ht="12.75" customHeight="1" x14ac:dyDescent="0.2">
      <c r="A33821" s="258"/>
      <c r="Z33821" s="258"/>
    </row>
    <row r="33822" spans="1:26" ht="12.75" customHeight="1" x14ac:dyDescent="0.2">
      <c r="A33822" s="258"/>
      <c r="Z33822" s="258"/>
    </row>
    <row r="33823" spans="1:26" ht="12.75" customHeight="1" x14ac:dyDescent="0.2">
      <c r="A33823" s="258"/>
      <c r="Z33823" s="258"/>
    </row>
    <row r="33824" spans="1:26" ht="12.75" customHeight="1" x14ac:dyDescent="0.2">
      <c r="A33824" s="258"/>
      <c r="Z33824" s="258"/>
    </row>
    <row r="33825" spans="1:26" ht="12.75" customHeight="1" x14ac:dyDescent="0.2">
      <c r="A33825" s="258"/>
      <c r="Z33825" s="258"/>
    </row>
    <row r="33826" spans="1:26" ht="12.75" customHeight="1" x14ac:dyDescent="0.2">
      <c r="A33826" s="258"/>
      <c r="Z33826" s="258"/>
    </row>
    <row r="33827" spans="1:26" ht="12.75" customHeight="1" x14ac:dyDescent="0.2">
      <c r="A33827" s="258"/>
      <c r="Z33827" s="258"/>
    </row>
    <row r="33828" spans="1:26" ht="12.75" customHeight="1" x14ac:dyDescent="0.2">
      <c r="A33828" s="258"/>
      <c r="Z33828" s="258"/>
    </row>
    <row r="33829" spans="1:26" ht="12.75" customHeight="1" x14ac:dyDescent="0.2">
      <c r="A33829" s="258"/>
      <c r="Z33829" s="258"/>
    </row>
    <row r="33830" spans="1:26" ht="12.75" customHeight="1" x14ac:dyDescent="0.2">
      <c r="A33830" s="258"/>
      <c r="Z33830" s="258"/>
    </row>
    <row r="33831" spans="1:26" ht="12.75" customHeight="1" x14ac:dyDescent="0.2">
      <c r="A33831" s="258"/>
      <c r="Z33831" s="258"/>
    </row>
    <row r="33832" spans="1:26" ht="12.75" customHeight="1" x14ac:dyDescent="0.2">
      <c r="A33832" s="258"/>
      <c r="Z33832" s="258"/>
    </row>
    <row r="33833" spans="1:26" ht="12.75" customHeight="1" x14ac:dyDescent="0.2">
      <c r="A33833" s="258"/>
      <c r="Z33833" s="258"/>
    </row>
    <row r="33834" spans="1:26" ht="12.75" customHeight="1" x14ac:dyDescent="0.2">
      <c r="A33834" s="258"/>
      <c r="Z33834" s="258"/>
    </row>
    <row r="33835" spans="1:26" ht="12.75" customHeight="1" x14ac:dyDescent="0.2">
      <c r="A33835" s="258"/>
      <c r="Z33835" s="258"/>
    </row>
    <row r="33836" spans="1:26" ht="12.75" customHeight="1" x14ac:dyDescent="0.2">
      <c r="A33836" s="258"/>
      <c r="Z33836" s="258"/>
    </row>
    <row r="33837" spans="1:26" ht="12.75" customHeight="1" x14ac:dyDescent="0.2">
      <c r="A33837" s="258"/>
      <c r="Z33837" s="258"/>
    </row>
    <row r="33838" spans="1:26" ht="12.75" customHeight="1" x14ac:dyDescent="0.2">
      <c r="A33838" s="258"/>
      <c r="Z33838" s="258"/>
    </row>
    <row r="33839" spans="1:26" ht="12.75" customHeight="1" x14ac:dyDescent="0.2">
      <c r="A33839" s="258"/>
      <c r="Z33839" s="258"/>
    </row>
    <row r="33840" spans="1:26" ht="12.75" customHeight="1" x14ac:dyDescent="0.2">
      <c r="A33840" s="258"/>
      <c r="Z33840" s="258"/>
    </row>
    <row r="33841" spans="1:26" ht="12.75" customHeight="1" x14ac:dyDescent="0.2">
      <c r="A33841" s="258"/>
      <c r="Z33841" s="258"/>
    </row>
    <row r="33842" spans="1:26" ht="12.75" customHeight="1" x14ac:dyDescent="0.2">
      <c r="A33842" s="258"/>
      <c r="Z33842" s="258"/>
    </row>
    <row r="33843" spans="1:26" ht="12.75" customHeight="1" x14ac:dyDescent="0.2">
      <c r="A33843" s="258"/>
      <c r="Z33843" s="258"/>
    </row>
    <row r="33844" spans="1:26" ht="12.75" customHeight="1" x14ac:dyDescent="0.2">
      <c r="A33844" s="258"/>
      <c r="Z33844" s="258"/>
    </row>
    <row r="33845" spans="1:26" ht="12.75" customHeight="1" x14ac:dyDescent="0.2">
      <c r="A33845" s="258"/>
      <c r="Z33845" s="258"/>
    </row>
    <row r="33846" spans="1:26" ht="12.75" customHeight="1" x14ac:dyDescent="0.2">
      <c r="A33846" s="258"/>
      <c r="Z33846" s="258"/>
    </row>
    <row r="33847" spans="1:26" ht="12.75" customHeight="1" x14ac:dyDescent="0.2">
      <c r="A33847" s="258"/>
      <c r="Z33847" s="258"/>
    </row>
    <row r="33848" spans="1:26" ht="12.75" customHeight="1" x14ac:dyDescent="0.2">
      <c r="A33848" s="258"/>
      <c r="Z33848" s="258"/>
    </row>
    <row r="33849" spans="1:26" ht="12.75" customHeight="1" x14ac:dyDescent="0.2">
      <c r="A33849" s="258"/>
      <c r="Z33849" s="258"/>
    </row>
    <row r="33850" spans="1:26" ht="12.75" customHeight="1" x14ac:dyDescent="0.2">
      <c r="A33850" s="258"/>
      <c r="Z33850" s="258"/>
    </row>
    <row r="33851" spans="1:26" ht="12.75" customHeight="1" x14ac:dyDescent="0.2">
      <c r="A33851" s="258"/>
      <c r="Z33851" s="258"/>
    </row>
    <row r="33852" spans="1:26" ht="12.75" customHeight="1" x14ac:dyDescent="0.2">
      <c r="A33852" s="258"/>
      <c r="Z33852" s="258"/>
    </row>
    <row r="33853" spans="1:26" ht="12.75" customHeight="1" x14ac:dyDescent="0.2">
      <c r="A33853" s="258"/>
      <c r="Z33853" s="258"/>
    </row>
    <row r="33854" spans="1:26" ht="12.75" customHeight="1" x14ac:dyDescent="0.2">
      <c r="A33854" s="258"/>
      <c r="Z33854" s="258"/>
    </row>
    <row r="33855" spans="1:26" ht="12.75" customHeight="1" x14ac:dyDescent="0.2">
      <c r="A33855" s="258"/>
      <c r="Z33855" s="258"/>
    </row>
    <row r="33856" spans="1:26" ht="12.75" customHeight="1" x14ac:dyDescent="0.2">
      <c r="A33856" s="258"/>
      <c r="Z33856" s="258"/>
    </row>
    <row r="33857" spans="1:26" ht="12.75" customHeight="1" x14ac:dyDescent="0.2">
      <c r="A33857" s="258"/>
      <c r="Z33857" s="258"/>
    </row>
    <row r="33858" spans="1:26" ht="12.75" customHeight="1" x14ac:dyDescent="0.2">
      <c r="A33858" s="258"/>
      <c r="Z33858" s="258"/>
    </row>
    <row r="33859" spans="1:26" ht="12.75" customHeight="1" x14ac:dyDescent="0.2">
      <c r="A33859" s="258"/>
      <c r="Z33859" s="258"/>
    </row>
    <row r="33860" spans="1:26" ht="12.75" customHeight="1" x14ac:dyDescent="0.2">
      <c r="A33860" s="258"/>
      <c r="Z33860" s="258"/>
    </row>
    <row r="33861" spans="1:26" ht="12.75" customHeight="1" x14ac:dyDescent="0.2">
      <c r="A33861" s="258"/>
      <c r="Z33861" s="258"/>
    </row>
    <row r="33862" spans="1:26" ht="12.75" customHeight="1" x14ac:dyDescent="0.2">
      <c r="A33862" s="258"/>
      <c r="Z33862" s="258"/>
    </row>
    <row r="33863" spans="1:26" ht="12.75" customHeight="1" x14ac:dyDescent="0.2">
      <c r="A33863" s="258"/>
      <c r="Z33863" s="258"/>
    </row>
    <row r="33864" spans="1:26" ht="12.75" customHeight="1" x14ac:dyDescent="0.2">
      <c r="A33864" s="258"/>
      <c r="Z33864" s="258"/>
    </row>
    <row r="33865" spans="1:26" ht="12.75" customHeight="1" x14ac:dyDescent="0.2">
      <c r="A33865" s="258"/>
      <c r="Z33865" s="258"/>
    </row>
    <row r="33866" spans="1:26" ht="12.75" customHeight="1" x14ac:dyDescent="0.2">
      <c r="A33866" s="258"/>
      <c r="Z33866" s="258"/>
    </row>
    <row r="33867" spans="1:26" ht="12.75" customHeight="1" x14ac:dyDescent="0.2">
      <c r="A33867" s="258"/>
      <c r="Z33867" s="258"/>
    </row>
    <row r="33868" spans="1:26" ht="12.75" customHeight="1" x14ac:dyDescent="0.2">
      <c r="A33868" s="258"/>
      <c r="Z33868" s="258"/>
    </row>
    <row r="33869" spans="1:26" ht="12.75" customHeight="1" x14ac:dyDescent="0.2">
      <c r="A33869" s="258"/>
      <c r="Z33869" s="258"/>
    </row>
    <row r="33870" spans="1:26" ht="12.75" customHeight="1" x14ac:dyDescent="0.2">
      <c r="A33870" s="258"/>
      <c r="Z33870" s="258"/>
    </row>
    <row r="33871" spans="1:26" ht="12.75" customHeight="1" x14ac:dyDescent="0.2">
      <c r="A33871" s="258"/>
      <c r="Z33871" s="258"/>
    </row>
    <row r="33872" spans="1:26" ht="12.75" customHeight="1" x14ac:dyDescent="0.2">
      <c r="A33872" s="258"/>
      <c r="Z33872" s="258"/>
    </row>
    <row r="33873" spans="1:26" ht="12.75" customHeight="1" x14ac:dyDescent="0.2">
      <c r="A33873" s="258"/>
      <c r="Z33873" s="258"/>
    </row>
    <row r="33874" spans="1:26" ht="12.75" customHeight="1" x14ac:dyDescent="0.2">
      <c r="A33874" s="258"/>
      <c r="Z33874" s="258"/>
    </row>
    <row r="33875" spans="1:26" ht="12.75" customHeight="1" x14ac:dyDescent="0.2">
      <c r="A33875" s="258"/>
      <c r="Z33875" s="258"/>
    </row>
    <row r="33876" spans="1:26" ht="12.75" customHeight="1" x14ac:dyDescent="0.2">
      <c r="A33876" s="258"/>
      <c r="Z33876" s="258"/>
    </row>
    <row r="33877" spans="1:26" ht="12.75" customHeight="1" x14ac:dyDescent="0.2">
      <c r="A33877" s="258"/>
      <c r="Z33877" s="258"/>
    </row>
    <row r="33878" spans="1:26" ht="12.75" customHeight="1" x14ac:dyDescent="0.2">
      <c r="A33878" s="258"/>
      <c r="Z33878" s="258"/>
    </row>
    <row r="33879" spans="1:26" ht="12.75" customHeight="1" x14ac:dyDescent="0.2">
      <c r="A33879" s="258"/>
      <c r="Z33879" s="258"/>
    </row>
    <row r="33880" spans="1:26" ht="12.75" customHeight="1" x14ac:dyDescent="0.2">
      <c r="A33880" s="258"/>
      <c r="Z33880" s="258"/>
    </row>
    <row r="33881" spans="1:26" ht="12.75" customHeight="1" x14ac:dyDescent="0.2">
      <c r="A33881" s="258"/>
      <c r="Z33881" s="258"/>
    </row>
    <row r="33882" spans="1:26" ht="12.75" customHeight="1" x14ac:dyDescent="0.2">
      <c r="A33882" s="258"/>
      <c r="Z33882" s="258"/>
    </row>
    <row r="33883" spans="1:26" ht="12.75" customHeight="1" x14ac:dyDescent="0.2">
      <c r="A33883" s="258"/>
      <c r="Z33883" s="258"/>
    </row>
    <row r="33884" spans="1:26" ht="12.75" customHeight="1" x14ac:dyDescent="0.2">
      <c r="A33884" s="258"/>
      <c r="Z33884" s="258"/>
    </row>
    <row r="33885" spans="1:26" ht="12.75" customHeight="1" x14ac:dyDescent="0.2">
      <c r="A33885" s="258"/>
      <c r="Z33885" s="258"/>
    </row>
    <row r="33886" spans="1:26" ht="12.75" customHeight="1" x14ac:dyDescent="0.2">
      <c r="A33886" s="258"/>
      <c r="Z33886" s="258"/>
    </row>
    <row r="33887" spans="1:26" ht="12.75" customHeight="1" x14ac:dyDescent="0.2">
      <c r="A33887" s="258"/>
      <c r="Z33887" s="258"/>
    </row>
    <row r="33888" spans="1:26" ht="12.75" customHeight="1" x14ac:dyDescent="0.2">
      <c r="A33888" s="258"/>
      <c r="Z33888" s="258"/>
    </row>
    <row r="33889" spans="1:26" ht="12.75" customHeight="1" x14ac:dyDescent="0.2">
      <c r="A33889" s="258"/>
      <c r="Z33889" s="258"/>
    </row>
    <row r="33890" spans="1:26" ht="12.75" customHeight="1" x14ac:dyDescent="0.2">
      <c r="A33890" s="258"/>
      <c r="Z33890" s="258"/>
    </row>
    <row r="33891" spans="1:26" ht="12.75" customHeight="1" x14ac:dyDescent="0.2">
      <c r="A33891" s="258"/>
      <c r="Z33891" s="258"/>
    </row>
    <row r="33892" spans="1:26" ht="12.75" customHeight="1" x14ac:dyDescent="0.2">
      <c r="A33892" s="258"/>
      <c r="Z33892" s="258"/>
    </row>
    <row r="33893" spans="1:26" ht="12.75" customHeight="1" x14ac:dyDescent="0.2">
      <c r="A33893" s="258"/>
      <c r="Z33893" s="258"/>
    </row>
    <row r="33894" spans="1:26" ht="12.75" customHeight="1" x14ac:dyDescent="0.2">
      <c r="A33894" s="258"/>
      <c r="Z33894" s="258"/>
    </row>
    <row r="33895" spans="1:26" ht="12.75" customHeight="1" x14ac:dyDescent="0.2">
      <c r="A33895" s="258"/>
      <c r="Z33895" s="258"/>
    </row>
    <row r="33896" spans="1:26" ht="12.75" customHeight="1" x14ac:dyDescent="0.2">
      <c r="A33896" s="258"/>
      <c r="Z33896" s="258"/>
    </row>
    <row r="33897" spans="1:26" ht="12.75" customHeight="1" x14ac:dyDescent="0.2">
      <c r="A33897" s="258"/>
      <c r="Z33897" s="258"/>
    </row>
    <row r="33898" spans="1:26" ht="12.75" customHeight="1" x14ac:dyDescent="0.2">
      <c r="A33898" s="258"/>
      <c r="Z33898" s="258"/>
    </row>
    <row r="33899" spans="1:26" ht="12.75" customHeight="1" x14ac:dyDescent="0.2">
      <c r="A33899" s="258"/>
      <c r="Z33899" s="258"/>
    </row>
    <row r="33900" spans="1:26" ht="12.75" customHeight="1" x14ac:dyDescent="0.2">
      <c r="A33900" s="258"/>
      <c r="Z33900" s="258"/>
    </row>
    <row r="33901" spans="1:26" ht="12.75" customHeight="1" x14ac:dyDescent="0.2">
      <c r="A33901" s="258"/>
      <c r="Z33901" s="258"/>
    </row>
    <row r="33902" spans="1:26" ht="12.75" customHeight="1" x14ac:dyDescent="0.2">
      <c r="A33902" s="258"/>
      <c r="Z33902" s="258"/>
    </row>
    <row r="33903" spans="1:26" ht="12.75" customHeight="1" x14ac:dyDescent="0.2">
      <c r="A33903" s="258"/>
      <c r="Z33903" s="258"/>
    </row>
    <row r="33904" spans="1:26" ht="12.75" customHeight="1" x14ac:dyDescent="0.2">
      <c r="A33904" s="258"/>
      <c r="Z33904" s="258"/>
    </row>
    <row r="33905" spans="1:26" ht="12.75" customHeight="1" x14ac:dyDescent="0.2">
      <c r="A33905" s="258"/>
      <c r="Z33905" s="258"/>
    </row>
    <row r="33906" spans="1:26" ht="12.75" customHeight="1" x14ac:dyDescent="0.2">
      <c r="A33906" s="258"/>
      <c r="Z33906" s="258"/>
    </row>
    <row r="33907" spans="1:26" ht="12.75" customHeight="1" x14ac:dyDescent="0.2">
      <c r="A33907" s="258"/>
      <c r="Z33907" s="258"/>
    </row>
    <row r="33908" spans="1:26" ht="12.75" customHeight="1" x14ac:dyDescent="0.2">
      <c r="A33908" s="258"/>
      <c r="Z33908" s="258"/>
    </row>
    <row r="33909" spans="1:26" ht="12.75" customHeight="1" x14ac:dyDescent="0.2">
      <c r="A33909" s="258"/>
      <c r="Z33909" s="258"/>
    </row>
    <row r="33910" spans="1:26" ht="12.75" customHeight="1" x14ac:dyDescent="0.2">
      <c r="A33910" s="258"/>
      <c r="Z33910" s="258"/>
    </row>
    <row r="33911" spans="1:26" ht="12.75" customHeight="1" x14ac:dyDescent="0.2">
      <c r="A33911" s="258"/>
      <c r="Z33911" s="258"/>
    </row>
    <row r="33912" spans="1:26" ht="12.75" customHeight="1" x14ac:dyDescent="0.2">
      <c r="A33912" s="258"/>
      <c r="Z33912" s="258"/>
    </row>
    <row r="33913" spans="1:26" ht="12.75" customHeight="1" x14ac:dyDescent="0.2">
      <c r="A33913" s="258"/>
      <c r="Z33913" s="258"/>
    </row>
    <row r="33914" spans="1:26" ht="12.75" customHeight="1" x14ac:dyDescent="0.2">
      <c r="A33914" s="258"/>
      <c r="Z33914" s="258"/>
    </row>
    <row r="33915" spans="1:26" ht="12.75" customHeight="1" x14ac:dyDescent="0.2">
      <c r="A33915" s="258"/>
      <c r="Z33915" s="258"/>
    </row>
    <row r="33916" spans="1:26" ht="12.75" customHeight="1" x14ac:dyDescent="0.2">
      <c r="A33916" s="258"/>
      <c r="Z33916" s="258"/>
    </row>
    <row r="33917" spans="1:26" ht="12.75" customHeight="1" x14ac:dyDescent="0.2">
      <c r="A33917" s="258"/>
      <c r="Z33917" s="258"/>
    </row>
    <row r="33918" spans="1:26" ht="12.75" customHeight="1" x14ac:dyDescent="0.2">
      <c r="A33918" s="258"/>
      <c r="Z33918" s="258"/>
    </row>
    <row r="33919" spans="1:26" ht="12.75" customHeight="1" x14ac:dyDescent="0.2">
      <c r="A33919" s="258"/>
      <c r="Z33919" s="258"/>
    </row>
    <row r="33920" spans="1:26" ht="12.75" customHeight="1" x14ac:dyDescent="0.2">
      <c r="A33920" s="258"/>
      <c r="Z33920" s="258"/>
    </row>
    <row r="33921" spans="1:26" ht="12.75" customHeight="1" x14ac:dyDescent="0.2">
      <c r="A33921" s="258"/>
      <c r="Z33921" s="258"/>
    </row>
    <row r="33922" spans="1:26" ht="12.75" customHeight="1" x14ac:dyDescent="0.2">
      <c r="A33922" s="258"/>
      <c r="Z33922" s="258"/>
    </row>
    <row r="33923" spans="1:26" ht="12.75" customHeight="1" x14ac:dyDescent="0.2">
      <c r="A33923" s="258"/>
      <c r="Z33923" s="258"/>
    </row>
    <row r="33924" spans="1:26" ht="12.75" customHeight="1" x14ac:dyDescent="0.2">
      <c r="A33924" s="258"/>
      <c r="Z33924" s="258"/>
    </row>
    <row r="33925" spans="1:26" ht="12.75" customHeight="1" x14ac:dyDescent="0.2">
      <c r="A33925" s="258"/>
      <c r="Z33925" s="258"/>
    </row>
    <row r="33926" spans="1:26" ht="12.75" customHeight="1" x14ac:dyDescent="0.2">
      <c r="A33926" s="258"/>
      <c r="Z33926" s="258"/>
    </row>
    <row r="33927" spans="1:26" ht="12.75" customHeight="1" x14ac:dyDescent="0.2">
      <c r="A33927" s="258"/>
      <c r="Z33927" s="258"/>
    </row>
    <row r="33928" spans="1:26" ht="12.75" customHeight="1" x14ac:dyDescent="0.2">
      <c r="A33928" s="258"/>
      <c r="Z33928" s="258"/>
    </row>
    <row r="33929" spans="1:26" ht="12.75" customHeight="1" x14ac:dyDescent="0.2">
      <c r="A33929" s="258"/>
      <c r="Z33929" s="258"/>
    </row>
    <row r="33930" spans="1:26" ht="12.75" customHeight="1" x14ac:dyDescent="0.2">
      <c r="A33930" s="258"/>
      <c r="Z33930" s="258"/>
    </row>
    <row r="33931" spans="1:26" ht="12.75" customHeight="1" x14ac:dyDescent="0.2">
      <c r="A33931" s="258"/>
      <c r="Z33931" s="258"/>
    </row>
    <row r="33932" spans="1:26" ht="12.75" customHeight="1" x14ac:dyDescent="0.2">
      <c r="A33932" s="258"/>
      <c r="Z33932" s="258"/>
    </row>
    <row r="33933" spans="1:26" ht="12.75" customHeight="1" x14ac:dyDescent="0.2">
      <c r="A33933" s="258"/>
      <c r="Z33933" s="258"/>
    </row>
    <row r="33934" spans="1:26" ht="12.75" customHeight="1" x14ac:dyDescent="0.2">
      <c r="A33934" s="258"/>
      <c r="Z33934" s="258"/>
    </row>
    <row r="33935" spans="1:26" ht="12.75" customHeight="1" x14ac:dyDescent="0.2">
      <c r="A33935" s="258"/>
      <c r="Z33935" s="258"/>
    </row>
    <row r="33936" spans="1:26" ht="12.75" customHeight="1" x14ac:dyDescent="0.2">
      <c r="A33936" s="258"/>
      <c r="Z33936" s="258"/>
    </row>
    <row r="33937" spans="1:26" ht="12.75" customHeight="1" x14ac:dyDescent="0.2">
      <c r="A33937" s="258"/>
      <c r="Z33937" s="258"/>
    </row>
    <row r="33938" spans="1:26" ht="12.75" customHeight="1" x14ac:dyDescent="0.2">
      <c r="A33938" s="258"/>
      <c r="Z33938" s="258"/>
    </row>
    <row r="33939" spans="1:26" ht="12.75" customHeight="1" x14ac:dyDescent="0.2">
      <c r="A33939" s="258"/>
      <c r="Z33939" s="258"/>
    </row>
    <row r="33940" spans="1:26" ht="12.75" customHeight="1" x14ac:dyDescent="0.2">
      <c r="A33940" s="258"/>
      <c r="Z33940" s="258"/>
    </row>
    <row r="33941" spans="1:26" ht="12.75" customHeight="1" x14ac:dyDescent="0.2">
      <c r="A33941" s="258"/>
      <c r="Z33941" s="258"/>
    </row>
    <row r="33942" spans="1:26" ht="12.75" customHeight="1" x14ac:dyDescent="0.2">
      <c r="A33942" s="258"/>
      <c r="Z33942" s="258"/>
    </row>
    <row r="33943" spans="1:26" ht="12.75" customHeight="1" x14ac:dyDescent="0.2">
      <c r="A33943" s="258"/>
      <c r="Z33943" s="258"/>
    </row>
    <row r="33944" spans="1:26" ht="12.75" customHeight="1" x14ac:dyDescent="0.2">
      <c r="A33944" s="258"/>
      <c r="Z33944" s="258"/>
    </row>
    <row r="33945" spans="1:26" ht="12.75" customHeight="1" x14ac:dyDescent="0.2">
      <c r="A33945" s="258"/>
      <c r="Z33945" s="258"/>
    </row>
    <row r="33946" spans="1:26" ht="12.75" customHeight="1" x14ac:dyDescent="0.2">
      <c r="A33946" s="258"/>
      <c r="Z33946" s="258"/>
    </row>
    <row r="33947" spans="1:26" ht="12.75" customHeight="1" x14ac:dyDescent="0.2">
      <c r="A33947" s="258"/>
      <c r="Z33947" s="258"/>
    </row>
    <row r="33948" spans="1:26" ht="12.75" customHeight="1" x14ac:dyDescent="0.2">
      <c r="A33948" s="258"/>
      <c r="Z33948" s="258"/>
    </row>
    <row r="33949" spans="1:26" ht="12.75" customHeight="1" x14ac:dyDescent="0.2">
      <c r="A33949" s="258"/>
      <c r="Z33949" s="258"/>
    </row>
    <row r="33950" spans="1:26" ht="12.75" customHeight="1" x14ac:dyDescent="0.2">
      <c r="A33950" s="258"/>
      <c r="Z33950" s="258"/>
    </row>
    <row r="33951" spans="1:26" ht="12.75" customHeight="1" x14ac:dyDescent="0.2">
      <c r="A33951" s="258"/>
      <c r="Z33951" s="258"/>
    </row>
    <row r="33952" spans="1:26" ht="12.75" customHeight="1" x14ac:dyDescent="0.2">
      <c r="A33952" s="258"/>
      <c r="Z33952" s="258"/>
    </row>
    <row r="33953" spans="1:26" ht="12.75" customHeight="1" x14ac:dyDescent="0.2">
      <c r="A33953" s="258"/>
      <c r="Z33953" s="258"/>
    </row>
    <row r="33954" spans="1:26" ht="12.75" customHeight="1" x14ac:dyDescent="0.2">
      <c r="A33954" s="258"/>
      <c r="Z33954" s="258"/>
    </row>
    <row r="33955" spans="1:26" ht="12.75" customHeight="1" x14ac:dyDescent="0.2">
      <c r="A33955" s="258"/>
      <c r="Z33955" s="258"/>
    </row>
    <row r="33956" spans="1:26" ht="12.75" customHeight="1" x14ac:dyDescent="0.2">
      <c r="A33956" s="258"/>
      <c r="Z33956" s="258"/>
    </row>
    <row r="33957" spans="1:26" ht="12.75" customHeight="1" x14ac:dyDescent="0.2">
      <c r="A33957" s="258"/>
      <c r="Z33957" s="258"/>
    </row>
    <row r="33958" spans="1:26" ht="12.75" customHeight="1" x14ac:dyDescent="0.2">
      <c r="A33958" s="258"/>
      <c r="Z33958" s="258"/>
    </row>
    <row r="33959" spans="1:26" ht="12.75" customHeight="1" x14ac:dyDescent="0.2">
      <c r="A33959" s="258"/>
      <c r="Z33959" s="258"/>
    </row>
    <row r="33960" spans="1:26" ht="12.75" customHeight="1" x14ac:dyDescent="0.2">
      <c r="A33960" s="258"/>
      <c r="Z33960" s="258"/>
    </row>
    <row r="33961" spans="1:26" ht="12.75" customHeight="1" x14ac:dyDescent="0.2">
      <c r="A33961" s="258"/>
      <c r="Z33961" s="258"/>
    </row>
    <row r="33962" spans="1:26" ht="12.75" customHeight="1" x14ac:dyDescent="0.2">
      <c r="A33962" s="258"/>
      <c r="Z33962" s="258"/>
    </row>
    <row r="33963" spans="1:26" ht="12.75" customHeight="1" x14ac:dyDescent="0.2">
      <c r="A33963" s="258"/>
      <c r="Z33963" s="258"/>
    </row>
    <row r="33964" spans="1:26" ht="12.75" customHeight="1" x14ac:dyDescent="0.2">
      <c r="A33964" s="258"/>
      <c r="Z33964" s="258"/>
    </row>
    <row r="33965" spans="1:26" ht="12.75" customHeight="1" x14ac:dyDescent="0.2">
      <c r="A33965" s="258"/>
      <c r="Z33965" s="258"/>
    </row>
    <row r="33966" spans="1:26" ht="12.75" customHeight="1" x14ac:dyDescent="0.2">
      <c r="A33966" s="258"/>
      <c r="Z33966" s="258"/>
    </row>
    <row r="33967" spans="1:26" ht="12.75" customHeight="1" x14ac:dyDescent="0.2">
      <c r="A33967" s="258"/>
      <c r="Z33967" s="258"/>
    </row>
    <row r="33968" spans="1:26" ht="12.75" customHeight="1" x14ac:dyDescent="0.2">
      <c r="A33968" s="258"/>
      <c r="Z33968" s="258"/>
    </row>
    <row r="33969" spans="1:26" ht="12.75" customHeight="1" x14ac:dyDescent="0.2">
      <c r="A33969" s="258"/>
      <c r="Z33969" s="258"/>
    </row>
    <row r="33970" spans="1:26" ht="12.75" customHeight="1" x14ac:dyDescent="0.2">
      <c r="A33970" s="258"/>
      <c r="Z33970" s="258"/>
    </row>
    <row r="33971" spans="1:26" ht="12.75" customHeight="1" x14ac:dyDescent="0.2">
      <c r="A33971" s="258"/>
      <c r="Z33971" s="258"/>
    </row>
    <row r="33972" spans="1:26" ht="12.75" customHeight="1" x14ac:dyDescent="0.2">
      <c r="A33972" s="258"/>
      <c r="Z33972" s="258"/>
    </row>
    <row r="33973" spans="1:26" ht="12.75" customHeight="1" x14ac:dyDescent="0.2">
      <c r="A33973" s="258"/>
      <c r="Z33973" s="258"/>
    </row>
    <row r="33974" spans="1:26" ht="12.75" customHeight="1" x14ac:dyDescent="0.2">
      <c r="A33974" s="258"/>
      <c r="Z33974" s="258"/>
    </row>
    <row r="33975" spans="1:26" ht="12.75" customHeight="1" x14ac:dyDescent="0.2">
      <c r="A33975" s="258"/>
      <c r="Z33975" s="258"/>
    </row>
    <row r="33976" spans="1:26" ht="12.75" customHeight="1" x14ac:dyDescent="0.2">
      <c r="A33976" s="258"/>
      <c r="Z33976" s="258"/>
    </row>
    <row r="33977" spans="1:26" ht="12.75" customHeight="1" x14ac:dyDescent="0.2">
      <c r="A33977" s="258"/>
      <c r="Z33977" s="258"/>
    </row>
    <row r="33978" spans="1:26" ht="12.75" customHeight="1" x14ac:dyDescent="0.2">
      <c r="A33978" s="258"/>
      <c r="Z33978" s="258"/>
    </row>
    <row r="33979" spans="1:26" ht="12.75" customHeight="1" x14ac:dyDescent="0.2">
      <c r="A33979" s="258"/>
      <c r="Z33979" s="258"/>
    </row>
    <row r="33980" spans="1:26" ht="12.75" customHeight="1" x14ac:dyDescent="0.2">
      <c r="A33980" s="258"/>
      <c r="Z33980" s="258"/>
    </row>
    <row r="33981" spans="1:26" ht="12.75" customHeight="1" x14ac:dyDescent="0.2">
      <c r="A33981" s="258"/>
      <c r="Z33981" s="258"/>
    </row>
    <row r="33982" spans="1:26" ht="12.75" customHeight="1" x14ac:dyDescent="0.2">
      <c r="A33982" s="258"/>
      <c r="Z33982" s="258"/>
    </row>
    <row r="33983" spans="1:26" ht="12.75" customHeight="1" x14ac:dyDescent="0.2">
      <c r="A33983" s="258"/>
      <c r="Z33983" s="258"/>
    </row>
    <row r="33984" spans="1:26" ht="12.75" customHeight="1" x14ac:dyDescent="0.2">
      <c r="A33984" s="258"/>
      <c r="Z33984" s="258"/>
    </row>
    <row r="33985" spans="1:26" ht="12.75" customHeight="1" x14ac:dyDescent="0.2">
      <c r="A33985" s="258"/>
      <c r="Z33985" s="258"/>
    </row>
    <row r="33986" spans="1:26" ht="12.75" customHeight="1" x14ac:dyDescent="0.2">
      <c r="A33986" s="258"/>
      <c r="Z33986" s="258"/>
    </row>
    <row r="33987" spans="1:26" ht="12.75" customHeight="1" x14ac:dyDescent="0.2">
      <c r="A33987" s="258"/>
      <c r="Z33987" s="258"/>
    </row>
    <row r="33988" spans="1:26" ht="12.75" customHeight="1" x14ac:dyDescent="0.2">
      <c r="A33988" s="258"/>
      <c r="Z33988" s="258"/>
    </row>
    <row r="33989" spans="1:26" ht="12.75" customHeight="1" x14ac:dyDescent="0.2">
      <c r="A33989" s="258"/>
      <c r="Z33989" s="258"/>
    </row>
    <row r="33990" spans="1:26" ht="12.75" customHeight="1" x14ac:dyDescent="0.2">
      <c r="A33990" s="258"/>
      <c r="Z33990" s="258"/>
    </row>
    <row r="33991" spans="1:26" ht="12.75" customHeight="1" x14ac:dyDescent="0.2">
      <c r="A33991" s="258"/>
      <c r="Z33991" s="258"/>
    </row>
    <row r="33992" spans="1:26" ht="12.75" customHeight="1" x14ac:dyDescent="0.2">
      <c r="A33992" s="258"/>
      <c r="Z33992" s="258"/>
    </row>
    <row r="33993" spans="1:26" ht="12.75" customHeight="1" x14ac:dyDescent="0.2">
      <c r="A33993" s="258"/>
      <c r="Z33993" s="258"/>
    </row>
    <row r="33994" spans="1:26" ht="12.75" customHeight="1" x14ac:dyDescent="0.2">
      <c r="A33994" s="258"/>
      <c r="Z33994" s="258"/>
    </row>
    <row r="33995" spans="1:26" ht="12.75" customHeight="1" x14ac:dyDescent="0.2">
      <c r="A33995" s="258"/>
      <c r="Z33995" s="258"/>
    </row>
    <row r="33996" spans="1:26" ht="12.75" customHeight="1" x14ac:dyDescent="0.2">
      <c r="A33996" s="258"/>
      <c r="Z33996" s="258"/>
    </row>
    <row r="33997" spans="1:26" ht="12.75" customHeight="1" x14ac:dyDescent="0.2">
      <c r="A33997" s="258"/>
      <c r="Z33997" s="258"/>
    </row>
    <row r="33998" spans="1:26" ht="12.75" customHeight="1" x14ac:dyDescent="0.2">
      <c r="A33998" s="258"/>
      <c r="Z33998" s="258"/>
    </row>
    <row r="33999" spans="1:26" ht="12.75" customHeight="1" x14ac:dyDescent="0.2">
      <c r="A33999" s="258"/>
      <c r="Z33999" s="258"/>
    </row>
    <row r="34000" spans="1:26" ht="12.75" customHeight="1" x14ac:dyDescent="0.2">
      <c r="A34000" s="258"/>
      <c r="Z34000" s="258"/>
    </row>
    <row r="34001" spans="1:26" ht="12.75" customHeight="1" x14ac:dyDescent="0.2">
      <c r="A34001" s="258"/>
      <c r="Z34001" s="258"/>
    </row>
    <row r="34002" spans="1:26" ht="12.75" customHeight="1" x14ac:dyDescent="0.2">
      <c r="A34002" s="258"/>
      <c r="Z34002" s="258"/>
    </row>
    <row r="34003" spans="1:26" ht="12.75" customHeight="1" x14ac:dyDescent="0.2">
      <c r="A34003" s="258"/>
      <c r="Z34003" s="258"/>
    </row>
    <row r="34004" spans="1:26" ht="12.75" customHeight="1" x14ac:dyDescent="0.2">
      <c r="A34004" s="258"/>
      <c r="Z34004" s="258"/>
    </row>
    <row r="34005" spans="1:26" ht="12.75" customHeight="1" x14ac:dyDescent="0.2">
      <c r="A34005" s="258"/>
      <c r="Z34005" s="258"/>
    </row>
    <row r="34006" spans="1:26" ht="12.75" customHeight="1" x14ac:dyDescent="0.2">
      <c r="A34006" s="258"/>
      <c r="Z34006" s="258"/>
    </row>
    <row r="34007" spans="1:26" ht="12.75" customHeight="1" x14ac:dyDescent="0.2">
      <c r="A34007" s="258"/>
      <c r="Z34007" s="258"/>
    </row>
    <row r="34008" spans="1:26" ht="12.75" customHeight="1" x14ac:dyDescent="0.2">
      <c r="A34008" s="258"/>
      <c r="Z34008" s="258"/>
    </row>
    <row r="34009" spans="1:26" ht="12.75" customHeight="1" x14ac:dyDescent="0.2">
      <c r="A34009" s="258"/>
      <c r="Z34009" s="258"/>
    </row>
    <row r="34010" spans="1:26" ht="12.75" customHeight="1" x14ac:dyDescent="0.2">
      <c r="A34010" s="258"/>
      <c r="Z34010" s="258"/>
    </row>
    <row r="34011" spans="1:26" ht="12.75" customHeight="1" x14ac:dyDescent="0.2">
      <c r="A34011" s="258"/>
      <c r="Z34011" s="258"/>
    </row>
    <row r="34012" spans="1:26" ht="12.75" customHeight="1" x14ac:dyDescent="0.2">
      <c r="A34012" s="258"/>
      <c r="Z34012" s="258"/>
    </row>
    <row r="34013" spans="1:26" ht="12.75" customHeight="1" x14ac:dyDescent="0.2">
      <c r="A34013" s="258"/>
      <c r="Z34013" s="258"/>
    </row>
    <row r="34014" spans="1:26" ht="12.75" customHeight="1" x14ac:dyDescent="0.2">
      <c r="A34014" s="258"/>
      <c r="Z34014" s="258"/>
    </row>
    <row r="34015" spans="1:26" ht="12.75" customHeight="1" x14ac:dyDescent="0.2">
      <c r="A34015" s="258"/>
      <c r="Z34015" s="258"/>
    </row>
    <row r="34016" spans="1:26" ht="12.75" customHeight="1" x14ac:dyDescent="0.2">
      <c r="A34016" s="258"/>
      <c r="Z34016" s="258"/>
    </row>
    <row r="34017" spans="1:26" ht="12.75" customHeight="1" x14ac:dyDescent="0.2">
      <c r="A34017" s="258"/>
      <c r="Z34017" s="258"/>
    </row>
    <row r="34018" spans="1:26" ht="12.75" customHeight="1" x14ac:dyDescent="0.2">
      <c r="A34018" s="258"/>
      <c r="Z34018" s="258"/>
    </row>
    <row r="34019" spans="1:26" ht="12.75" customHeight="1" x14ac:dyDescent="0.2">
      <c r="A34019" s="258"/>
      <c r="Z34019" s="258"/>
    </row>
    <row r="34020" spans="1:26" ht="12.75" customHeight="1" x14ac:dyDescent="0.2">
      <c r="A34020" s="258"/>
      <c r="Z34020" s="258"/>
    </row>
    <row r="34021" spans="1:26" ht="12.75" customHeight="1" x14ac:dyDescent="0.2">
      <c r="A34021" s="258"/>
      <c r="Z34021" s="258"/>
    </row>
    <row r="34022" spans="1:26" ht="12.75" customHeight="1" x14ac:dyDescent="0.2">
      <c r="A34022" s="258"/>
      <c r="Z34022" s="258"/>
    </row>
    <row r="34023" spans="1:26" ht="12.75" customHeight="1" x14ac:dyDescent="0.2">
      <c r="A34023" s="258"/>
      <c r="Z34023" s="258"/>
    </row>
    <row r="34024" spans="1:26" ht="12.75" customHeight="1" x14ac:dyDescent="0.2">
      <c r="A34024" s="258"/>
      <c r="Z34024" s="258"/>
    </row>
    <row r="34025" spans="1:26" ht="12.75" customHeight="1" x14ac:dyDescent="0.2">
      <c r="A34025" s="258"/>
      <c r="Z34025" s="258"/>
    </row>
    <row r="34026" spans="1:26" ht="12.75" customHeight="1" x14ac:dyDescent="0.2">
      <c r="A34026" s="258"/>
      <c r="Z34026" s="258"/>
    </row>
    <row r="34027" spans="1:26" ht="12.75" customHeight="1" x14ac:dyDescent="0.2">
      <c r="A34027" s="258"/>
      <c r="Z34027" s="258"/>
    </row>
    <row r="34028" spans="1:26" ht="12.75" customHeight="1" x14ac:dyDescent="0.2">
      <c r="A34028" s="258"/>
      <c r="Z34028" s="258"/>
    </row>
    <row r="34029" spans="1:26" ht="12.75" customHeight="1" x14ac:dyDescent="0.2">
      <c r="A34029" s="258"/>
      <c r="Z34029" s="258"/>
    </row>
    <row r="34030" spans="1:26" ht="12.75" customHeight="1" x14ac:dyDescent="0.2">
      <c r="A34030" s="258"/>
      <c r="Z34030" s="258"/>
    </row>
    <row r="34031" spans="1:26" ht="12.75" customHeight="1" x14ac:dyDescent="0.2">
      <c r="A34031" s="258"/>
      <c r="Z34031" s="258"/>
    </row>
    <row r="34032" spans="1:26" ht="12.75" customHeight="1" x14ac:dyDescent="0.2">
      <c r="A34032" s="258"/>
      <c r="Z34032" s="258"/>
    </row>
    <row r="34033" spans="1:26" ht="12.75" customHeight="1" x14ac:dyDescent="0.2">
      <c r="A34033" s="258"/>
      <c r="Z34033" s="258"/>
    </row>
    <row r="34034" spans="1:26" ht="12.75" customHeight="1" x14ac:dyDescent="0.2">
      <c r="A34034" s="258"/>
      <c r="Z34034" s="258"/>
    </row>
    <row r="34035" spans="1:26" ht="12.75" customHeight="1" x14ac:dyDescent="0.2">
      <c r="A34035" s="258"/>
      <c r="Z34035" s="258"/>
    </row>
    <row r="34036" spans="1:26" ht="12.75" customHeight="1" x14ac:dyDescent="0.2">
      <c r="A34036" s="258"/>
      <c r="Z34036" s="258"/>
    </row>
    <row r="34037" spans="1:26" ht="12.75" customHeight="1" x14ac:dyDescent="0.2">
      <c r="A34037" s="258"/>
      <c r="Z34037" s="258"/>
    </row>
    <row r="34038" spans="1:26" ht="12.75" customHeight="1" x14ac:dyDescent="0.2">
      <c r="A34038" s="258"/>
      <c r="Z34038" s="258"/>
    </row>
    <row r="34039" spans="1:26" ht="12.75" customHeight="1" x14ac:dyDescent="0.2">
      <c r="A34039" s="258"/>
      <c r="Z34039" s="258"/>
    </row>
    <row r="34040" spans="1:26" ht="12.75" customHeight="1" x14ac:dyDescent="0.2">
      <c r="A34040" s="258"/>
      <c r="Z34040" s="258"/>
    </row>
    <row r="34041" spans="1:26" ht="12.75" customHeight="1" x14ac:dyDescent="0.2">
      <c r="A34041" s="258"/>
      <c r="Z34041" s="258"/>
    </row>
    <row r="34042" spans="1:26" ht="12.75" customHeight="1" x14ac:dyDescent="0.2">
      <c r="A34042" s="258"/>
      <c r="Z34042" s="258"/>
    </row>
    <row r="34043" spans="1:26" ht="12.75" customHeight="1" x14ac:dyDescent="0.2">
      <c r="A34043" s="258"/>
      <c r="Z34043" s="258"/>
    </row>
    <row r="34044" spans="1:26" ht="12.75" customHeight="1" x14ac:dyDescent="0.2">
      <c r="A34044" s="258"/>
      <c r="Z34044" s="258"/>
    </row>
    <row r="34045" spans="1:26" ht="12.75" customHeight="1" x14ac:dyDescent="0.2">
      <c r="A34045" s="258"/>
      <c r="Z34045" s="258"/>
    </row>
    <row r="34046" spans="1:26" ht="12.75" customHeight="1" x14ac:dyDescent="0.2">
      <c r="A34046" s="258"/>
      <c r="Z34046" s="258"/>
    </row>
    <row r="34047" spans="1:26" ht="12.75" customHeight="1" x14ac:dyDescent="0.2">
      <c r="A34047" s="258"/>
      <c r="Z34047" s="258"/>
    </row>
    <row r="34048" spans="1:26" ht="12.75" customHeight="1" x14ac:dyDescent="0.2">
      <c r="A34048" s="258"/>
      <c r="Z34048" s="258"/>
    </row>
    <row r="34049" spans="1:26" ht="12.75" customHeight="1" x14ac:dyDescent="0.2">
      <c r="A34049" s="258"/>
      <c r="Z34049" s="258"/>
    </row>
    <row r="34050" spans="1:26" ht="12.75" customHeight="1" x14ac:dyDescent="0.2">
      <c r="A34050" s="258"/>
      <c r="Z34050" s="258"/>
    </row>
    <row r="34051" spans="1:26" ht="12.75" customHeight="1" x14ac:dyDescent="0.2">
      <c r="A34051" s="258"/>
      <c r="Z34051" s="258"/>
    </row>
    <row r="34052" spans="1:26" ht="12.75" customHeight="1" x14ac:dyDescent="0.2">
      <c r="A34052" s="258"/>
      <c r="Z34052" s="258"/>
    </row>
    <row r="34053" spans="1:26" ht="12.75" customHeight="1" x14ac:dyDescent="0.2">
      <c r="A34053" s="258"/>
      <c r="Z34053" s="258"/>
    </row>
    <row r="34054" spans="1:26" ht="12.75" customHeight="1" x14ac:dyDescent="0.2">
      <c r="A34054" s="258"/>
      <c r="Z34054" s="258"/>
    </row>
    <row r="34055" spans="1:26" ht="12.75" customHeight="1" x14ac:dyDescent="0.2">
      <c r="A34055" s="258"/>
      <c r="Z34055" s="258"/>
    </row>
    <row r="34056" spans="1:26" ht="12.75" customHeight="1" x14ac:dyDescent="0.2">
      <c r="A34056" s="258"/>
      <c r="Z34056" s="258"/>
    </row>
    <row r="34057" spans="1:26" ht="12.75" customHeight="1" x14ac:dyDescent="0.2">
      <c r="A34057" s="258"/>
      <c r="Z34057" s="258"/>
    </row>
    <row r="34058" spans="1:26" ht="12.75" customHeight="1" x14ac:dyDescent="0.2">
      <c r="A34058" s="258"/>
      <c r="Z34058" s="258"/>
    </row>
    <row r="34059" spans="1:26" ht="12.75" customHeight="1" x14ac:dyDescent="0.2">
      <c r="A34059" s="258"/>
      <c r="Z34059" s="258"/>
    </row>
    <row r="34060" spans="1:26" ht="12.75" customHeight="1" x14ac:dyDescent="0.2">
      <c r="A34060" s="258"/>
      <c r="Z34060" s="258"/>
    </row>
    <row r="34061" spans="1:26" ht="12.75" customHeight="1" x14ac:dyDescent="0.2">
      <c r="A34061" s="258"/>
      <c r="Z34061" s="258"/>
    </row>
    <row r="34062" spans="1:26" ht="12.75" customHeight="1" x14ac:dyDescent="0.2">
      <c r="A34062" s="258"/>
      <c r="Z34062" s="258"/>
    </row>
    <row r="34063" spans="1:26" ht="12.75" customHeight="1" x14ac:dyDescent="0.2">
      <c r="A34063" s="258"/>
      <c r="Z34063" s="258"/>
    </row>
    <row r="34064" spans="1:26" ht="12.75" customHeight="1" x14ac:dyDescent="0.2">
      <c r="A34064" s="258"/>
      <c r="Z34064" s="258"/>
    </row>
    <row r="34065" spans="1:26" ht="12.75" customHeight="1" x14ac:dyDescent="0.2">
      <c r="A34065" s="258"/>
      <c r="Z34065" s="258"/>
    </row>
    <row r="34066" spans="1:26" ht="12.75" customHeight="1" x14ac:dyDescent="0.2">
      <c r="A34066" s="258"/>
      <c r="Z34066" s="258"/>
    </row>
    <row r="34067" spans="1:26" ht="12.75" customHeight="1" x14ac:dyDescent="0.2">
      <c r="A34067" s="258"/>
      <c r="Z34067" s="258"/>
    </row>
    <row r="34068" spans="1:26" ht="12.75" customHeight="1" x14ac:dyDescent="0.2">
      <c r="A34068" s="258"/>
      <c r="Z34068" s="258"/>
    </row>
    <row r="34069" spans="1:26" ht="12.75" customHeight="1" x14ac:dyDescent="0.2">
      <c r="A34069" s="258"/>
      <c r="Z34069" s="258"/>
    </row>
    <row r="34070" spans="1:26" ht="12.75" customHeight="1" x14ac:dyDescent="0.2">
      <c r="A34070" s="258"/>
      <c r="Z34070" s="258"/>
    </row>
    <row r="34071" spans="1:26" ht="12.75" customHeight="1" x14ac:dyDescent="0.2">
      <c r="A34071" s="258"/>
      <c r="Z34071" s="258"/>
    </row>
    <row r="34072" spans="1:26" ht="12.75" customHeight="1" x14ac:dyDescent="0.2">
      <c r="A34072" s="258"/>
      <c r="Z34072" s="258"/>
    </row>
    <row r="34073" spans="1:26" ht="12.75" customHeight="1" x14ac:dyDescent="0.2">
      <c r="A34073" s="258"/>
      <c r="Z34073" s="258"/>
    </row>
    <row r="34074" spans="1:26" ht="12.75" customHeight="1" x14ac:dyDescent="0.2">
      <c r="A34074" s="258"/>
      <c r="Z34074" s="258"/>
    </row>
    <row r="34075" spans="1:26" ht="12.75" customHeight="1" x14ac:dyDescent="0.2">
      <c r="A34075" s="258"/>
      <c r="Z34075" s="258"/>
    </row>
    <row r="34076" spans="1:26" ht="12.75" customHeight="1" x14ac:dyDescent="0.2">
      <c r="A34076" s="258"/>
      <c r="Z34076" s="258"/>
    </row>
    <row r="34077" spans="1:26" ht="12.75" customHeight="1" x14ac:dyDescent="0.2">
      <c r="A34077" s="258"/>
      <c r="Z34077" s="258"/>
    </row>
    <row r="34078" spans="1:26" ht="12.75" customHeight="1" x14ac:dyDescent="0.2">
      <c r="A34078" s="258"/>
      <c r="Z34078" s="258"/>
    </row>
    <row r="34079" spans="1:26" ht="12.75" customHeight="1" x14ac:dyDescent="0.2">
      <c r="A34079" s="258"/>
      <c r="Z34079" s="258"/>
    </row>
    <row r="34080" spans="1:26" ht="12.75" customHeight="1" x14ac:dyDescent="0.2">
      <c r="A34080" s="258"/>
      <c r="Z34080" s="258"/>
    </row>
    <row r="34081" spans="1:26" ht="12.75" customHeight="1" x14ac:dyDescent="0.2">
      <c r="A34081" s="258"/>
      <c r="Z34081" s="258"/>
    </row>
    <row r="34082" spans="1:26" ht="12.75" customHeight="1" x14ac:dyDescent="0.2">
      <c r="A34082" s="258"/>
      <c r="Z34082" s="258"/>
    </row>
    <row r="34083" spans="1:26" ht="12.75" customHeight="1" x14ac:dyDescent="0.2">
      <c r="A34083" s="258"/>
      <c r="Z34083" s="258"/>
    </row>
    <row r="34084" spans="1:26" ht="12.75" customHeight="1" x14ac:dyDescent="0.2">
      <c r="A34084" s="258"/>
      <c r="Z34084" s="258"/>
    </row>
    <row r="34085" spans="1:26" ht="12.75" customHeight="1" x14ac:dyDescent="0.2">
      <c r="A34085" s="258"/>
      <c r="Z34085" s="258"/>
    </row>
    <row r="34086" spans="1:26" ht="12.75" customHeight="1" x14ac:dyDescent="0.2">
      <c r="A34086" s="258"/>
      <c r="Z34086" s="258"/>
    </row>
    <row r="34087" spans="1:26" ht="12.75" customHeight="1" x14ac:dyDescent="0.2">
      <c r="A34087" s="258"/>
      <c r="Z34087" s="258"/>
    </row>
    <row r="34088" spans="1:26" ht="12.75" customHeight="1" x14ac:dyDescent="0.2">
      <c r="A34088" s="258"/>
      <c r="Z34088" s="258"/>
    </row>
    <row r="34089" spans="1:26" ht="12.75" customHeight="1" x14ac:dyDescent="0.2">
      <c r="A34089" s="258"/>
      <c r="Z34089" s="258"/>
    </row>
    <row r="34090" spans="1:26" ht="12.75" customHeight="1" x14ac:dyDescent="0.2">
      <c r="A34090" s="258"/>
      <c r="Z34090" s="258"/>
    </row>
    <row r="34091" spans="1:26" ht="12.75" customHeight="1" x14ac:dyDescent="0.2">
      <c r="A34091" s="258"/>
      <c r="Z34091" s="258"/>
    </row>
    <row r="34092" spans="1:26" ht="12.75" customHeight="1" x14ac:dyDescent="0.2">
      <c r="A34092" s="258"/>
      <c r="Z34092" s="258"/>
    </row>
    <row r="34093" spans="1:26" ht="12.75" customHeight="1" x14ac:dyDescent="0.2">
      <c r="A34093" s="258"/>
      <c r="Z34093" s="258"/>
    </row>
    <row r="34094" spans="1:26" ht="12.75" customHeight="1" x14ac:dyDescent="0.2">
      <c r="A34094" s="258"/>
      <c r="Z34094" s="258"/>
    </row>
    <row r="34095" spans="1:26" ht="12.75" customHeight="1" x14ac:dyDescent="0.2">
      <c r="A34095" s="258"/>
      <c r="Z34095" s="258"/>
    </row>
    <row r="34096" spans="1:26" ht="12.75" customHeight="1" x14ac:dyDescent="0.2">
      <c r="A34096" s="258"/>
      <c r="Z34096" s="258"/>
    </row>
    <row r="34097" spans="1:26" ht="12.75" customHeight="1" x14ac:dyDescent="0.2">
      <c r="A34097" s="258"/>
      <c r="Z34097" s="258"/>
    </row>
    <row r="34098" spans="1:26" ht="12.75" customHeight="1" x14ac:dyDescent="0.2">
      <c r="A34098" s="258"/>
      <c r="Z34098" s="258"/>
    </row>
    <row r="34099" spans="1:26" ht="12.75" customHeight="1" x14ac:dyDescent="0.2">
      <c r="A34099" s="258"/>
      <c r="Z34099" s="258"/>
    </row>
    <row r="34100" spans="1:26" ht="12.75" customHeight="1" x14ac:dyDescent="0.2">
      <c r="A34100" s="258"/>
      <c r="Z34100" s="258"/>
    </row>
    <row r="34101" spans="1:26" ht="12.75" customHeight="1" x14ac:dyDescent="0.2">
      <c r="A34101" s="258"/>
      <c r="Z34101" s="258"/>
    </row>
    <row r="34102" spans="1:26" ht="12.75" customHeight="1" x14ac:dyDescent="0.2">
      <c r="A34102" s="258"/>
      <c r="Z34102" s="258"/>
    </row>
    <row r="34103" spans="1:26" ht="12.75" customHeight="1" x14ac:dyDescent="0.2">
      <c r="A34103" s="258"/>
      <c r="Z34103" s="258"/>
    </row>
    <row r="34104" spans="1:26" ht="12.75" customHeight="1" x14ac:dyDescent="0.2">
      <c r="A34104" s="258"/>
      <c r="Z34104" s="258"/>
    </row>
    <row r="34105" spans="1:26" ht="12.75" customHeight="1" x14ac:dyDescent="0.2">
      <c r="A34105" s="258"/>
      <c r="Z34105" s="258"/>
    </row>
    <row r="34106" spans="1:26" ht="12.75" customHeight="1" x14ac:dyDescent="0.2">
      <c r="A34106" s="258"/>
      <c r="Z34106" s="258"/>
    </row>
    <row r="34107" spans="1:26" ht="12.75" customHeight="1" x14ac:dyDescent="0.2">
      <c r="A34107" s="258"/>
      <c r="Z34107" s="258"/>
    </row>
    <row r="34108" spans="1:26" ht="12.75" customHeight="1" x14ac:dyDescent="0.2">
      <c r="A34108" s="258"/>
      <c r="Z34108" s="258"/>
    </row>
    <row r="34109" spans="1:26" ht="12.75" customHeight="1" x14ac:dyDescent="0.2">
      <c r="A34109" s="258"/>
      <c r="Z34109" s="258"/>
    </row>
    <row r="34110" spans="1:26" ht="12.75" customHeight="1" x14ac:dyDescent="0.2">
      <c r="A34110" s="258"/>
      <c r="Z34110" s="258"/>
    </row>
    <row r="34111" spans="1:26" ht="12.75" customHeight="1" x14ac:dyDescent="0.2">
      <c r="A34111" s="258"/>
      <c r="Z34111" s="258"/>
    </row>
    <row r="34112" spans="1:26" ht="12.75" customHeight="1" x14ac:dyDescent="0.2">
      <c r="A34112" s="258"/>
      <c r="Z34112" s="258"/>
    </row>
    <row r="34113" spans="1:26" ht="12.75" customHeight="1" x14ac:dyDescent="0.2">
      <c r="A34113" s="258"/>
      <c r="Z34113" s="258"/>
    </row>
    <row r="34114" spans="1:26" ht="12.75" customHeight="1" x14ac:dyDescent="0.2">
      <c r="A34114" s="258"/>
      <c r="Z34114" s="258"/>
    </row>
    <row r="34115" spans="1:26" ht="12.75" customHeight="1" x14ac:dyDescent="0.2">
      <c r="A34115" s="258"/>
      <c r="Z34115" s="258"/>
    </row>
    <row r="34116" spans="1:26" ht="12.75" customHeight="1" x14ac:dyDescent="0.2">
      <c r="A34116" s="258"/>
      <c r="Z34116" s="258"/>
    </row>
    <row r="34117" spans="1:26" ht="12.75" customHeight="1" x14ac:dyDescent="0.2">
      <c r="A34117" s="258"/>
      <c r="Z34117" s="258"/>
    </row>
    <row r="34118" spans="1:26" ht="12.75" customHeight="1" x14ac:dyDescent="0.2">
      <c r="A34118" s="258"/>
      <c r="Z34118" s="258"/>
    </row>
    <row r="34119" spans="1:26" ht="12.75" customHeight="1" x14ac:dyDescent="0.2">
      <c r="A34119" s="258"/>
      <c r="Z34119" s="258"/>
    </row>
    <row r="34120" spans="1:26" ht="12.75" customHeight="1" x14ac:dyDescent="0.2">
      <c r="A34120" s="258"/>
      <c r="Z34120" s="258"/>
    </row>
    <row r="34121" spans="1:26" ht="12.75" customHeight="1" x14ac:dyDescent="0.2">
      <c r="A34121" s="258"/>
      <c r="Z34121" s="258"/>
    </row>
    <row r="34122" spans="1:26" ht="12.75" customHeight="1" x14ac:dyDescent="0.2">
      <c r="A34122" s="258"/>
      <c r="Z34122" s="258"/>
    </row>
    <row r="34123" spans="1:26" ht="12.75" customHeight="1" x14ac:dyDescent="0.2">
      <c r="A34123" s="258"/>
      <c r="Z34123" s="258"/>
    </row>
    <row r="34124" spans="1:26" ht="12.75" customHeight="1" x14ac:dyDescent="0.2">
      <c r="A34124" s="258"/>
      <c r="Z34124" s="258"/>
    </row>
    <row r="34125" spans="1:26" ht="12.75" customHeight="1" x14ac:dyDescent="0.2">
      <c r="A34125" s="258"/>
      <c r="Z34125" s="258"/>
    </row>
    <row r="34126" spans="1:26" ht="12.75" customHeight="1" x14ac:dyDescent="0.2">
      <c r="A34126" s="258"/>
      <c r="Z34126" s="258"/>
    </row>
    <row r="34127" spans="1:26" ht="12.75" customHeight="1" x14ac:dyDescent="0.2">
      <c r="A34127" s="258"/>
      <c r="Z34127" s="258"/>
    </row>
    <row r="34128" spans="1:26" ht="12.75" customHeight="1" x14ac:dyDescent="0.2">
      <c r="A34128" s="258"/>
      <c r="Z34128" s="258"/>
    </row>
    <row r="34129" spans="1:26" ht="12.75" customHeight="1" x14ac:dyDescent="0.2">
      <c r="A34129" s="258"/>
      <c r="Z34129" s="258"/>
    </row>
    <row r="34130" spans="1:26" ht="12.75" customHeight="1" x14ac:dyDescent="0.2">
      <c r="A34130" s="258"/>
      <c r="Z34130" s="258"/>
    </row>
    <row r="34131" spans="1:26" ht="12.75" customHeight="1" x14ac:dyDescent="0.2">
      <c r="A34131" s="258"/>
      <c r="Z34131" s="258"/>
    </row>
    <row r="34132" spans="1:26" ht="12.75" customHeight="1" x14ac:dyDescent="0.2">
      <c r="A34132" s="258"/>
      <c r="Z34132" s="258"/>
    </row>
    <row r="34133" spans="1:26" ht="12.75" customHeight="1" x14ac:dyDescent="0.2">
      <c r="A34133" s="258"/>
      <c r="Z34133" s="258"/>
    </row>
    <row r="34134" spans="1:26" ht="12.75" customHeight="1" x14ac:dyDescent="0.2">
      <c r="A34134" s="258"/>
      <c r="Z34134" s="258"/>
    </row>
    <row r="34135" spans="1:26" ht="12.75" customHeight="1" x14ac:dyDescent="0.2">
      <c r="A34135" s="258"/>
      <c r="Z34135" s="258"/>
    </row>
    <row r="34136" spans="1:26" ht="12.75" customHeight="1" x14ac:dyDescent="0.2">
      <c r="A34136" s="258"/>
      <c r="Z34136" s="258"/>
    </row>
    <row r="34137" spans="1:26" ht="12.75" customHeight="1" x14ac:dyDescent="0.2">
      <c r="A34137" s="258"/>
      <c r="Z34137" s="258"/>
    </row>
    <row r="34138" spans="1:26" ht="12.75" customHeight="1" x14ac:dyDescent="0.2">
      <c r="A34138" s="258"/>
      <c r="Z34138" s="258"/>
    </row>
    <row r="34139" spans="1:26" ht="12.75" customHeight="1" x14ac:dyDescent="0.2">
      <c r="A34139" s="258"/>
      <c r="Z34139" s="258"/>
    </row>
    <row r="34140" spans="1:26" ht="12.75" customHeight="1" x14ac:dyDescent="0.2">
      <c r="A34140" s="258"/>
      <c r="Z34140" s="258"/>
    </row>
    <row r="34141" spans="1:26" ht="12.75" customHeight="1" x14ac:dyDescent="0.2">
      <c r="A34141" s="258"/>
      <c r="Z34141" s="258"/>
    </row>
    <row r="34142" spans="1:26" ht="12.75" customHeight="1" x14ac:dyDescent="0.2">
      <c r="A34142" s="258"/>
      <c r="Z34142" s="258"/>
    </row>
    <row r="34143" spans="1:26" ht="12.75" customHeight="1" x14ac:dyDescent="0.2">
      <c r="A34143" s="258"/>
      <c r="Z34143" s="258"/>
    </row>
    <row r="34144" spans="1:26" ht="12.75" customHeight="1" x14ac:dyDescent="0.2">
      <c r="A34144" s="258"/>
      <c r="Z34144" s="258"/>
    </row>
    <row r="34145" spans="1:26" ht="12.75" customHeight="1" x14ac:dyDescent="0.2">
      <c r="A34145" s="258"/>
      <c r="Z34145" s="258"/>
    </row>
    <row r="34146" spans="1:26" ht="12.75" customHeight="1" x14ac:dyDescent="0.2">
      <c r="A34146" s="258"/>
      <c r="Z34146" s="258"/>
    </row>
    <row r="34147" spans="1:26" ht="12.75" customHeight="1" x14ac:dyDescent="0.2">
      <c r="A34147" s="258"/>
      <c r="Z34147" s="258"/>
    </row>
    <row r="34148" spans="1:26" ht="12.75" customHeight="1" x14ac:dyDescent="0.2">
      <c r="A34148" s="258"/>
      <c r="Z34148" s="258"/>
    </row>
    <row r="34149" spans="1:26" ht="12.75" customHeight="1" x14ac:dyDescent="0.2">
      <c r="A34149" s="258"/>
      <c r="Z34149" s="258"/>
    </row>
    <row r="34150" spans="1:26" ht="12.75" customHeight="1" x14ac:dyDescent="0.2">
      <c r="A34150" s="258"/>
      <c r="Z34150" s="258"/>
    </row>
    <row r="34151" spans="1:26" ht="12.75" customHeight="1" x14ac:dyDescent="0.2">
      <c r="A34151" s="258"/>
      <c r="Z34151" s="258"/>
    </row>
    <row r="34152" spans="1:26" ht="12.75" customHeight="1" x14ac:dyDescent="0.2">
      <c r="A34152" s="258"/>
      <c r="Z34152" s="258"/>
    </row>
    <row r="34153" spans="1:26" ht="12.75" customHeight="1" x14ac:dyDescent="0.2">
      <c r="A34153" s="258"/>
      <c r="Z34153" s="258"/>
    </row>
    <row r="34154" spans="1:26" ht="12.75" customHeight="1" x14ac:dyDescent="0.2">
      <c r="A34154" s="258"/>
      <c r="Z34154" s="258"/>
    </row>
    <row r="34155" spans="1:26" ht="12.75" customHeight="1" x14ac:dyDescent="0.2">
      <c r="A34155" s="258"/>
      <c r="Z34155" s="258"/>
    </row>
    <row r="34156" spans="1:26" ht="12.75" customHeight="1" x14ac:dyDescent="0.2">
      <c r="A34156" s="258"/>
      <c r="Z34156" s="258"/>
    </row>
    <row r="34157" spans="1:26" ht="12.75" customHeight="1" x14ac:dyDescent="0.2">
      <c r="A34157" s="258"/>
      <c r="Z34157" s="258"/>
    </row>
    <row r="34158" spans="1:26" ht="12.75" customHeight="1" x14ac:dyDescent="0.2">
      <c r="A34158" s="258"/>
      <c r="Z34158" s="258"/>
    </row>
    <row r="34159" spans="1:26" ht="12.75" customHeight="1" x14ac:dyDescent="0.2">
      <c r="A34159" s="258"/>
      <c r="Z34159" s="258"/>
    </row>
    <row r="34160" spans="1:26" ht="12.75" customHeight="1" x14ac:dyDescent="0.2">
      <c r="A34160" s="258"/>
      <c r="Z34160" s="258"/>
    </row>
    <row r="34161" spans="1:26" ht="12.75" customHeight="1" x14ac:dyDescent="0.2">
      <c r="A34161" s="258"/>
      <c r="Z34161" s="258"/>
    </row>
    <row r="34162" spans="1:26" ht="12.75" customHeight="1" x14ac:dyDescent="0.2">
      <c r="A34162" s="258"/>
      <c r="Z34162" s="258"/>
    </row>
    <row r="34163" spans="1:26" ht="12.75" customHeight="1" x14ac:dyDescent="0.2">
      <c r="A34163" s="258"/>
      <c r="Z34163" s="258"/>
    </row>
    <row r="34164" spans="1:26" ht="12.75" customHeight="1" x14ac:dyDescent="0.2">
      <c r="A34164" s="258"/>
      <c r="Z34164" s="258"/>
    </row>
    <row r="34165" spans="1:26" ht="12.75" customHeight="1" x14ac:dyDescent="0.2">
      <c r="A34165" s="258"/>
      <c r="Z34165" s="258"/>
    </row>
    <row r="34166" spans="1:26" ht="12.75" customHeight="1" x14ac:dyDescent="0.2">
      <c r="A34166" s="258"/>
      <c r="Z34166" s="258"/>
    </row>
    <row r="34167" spans="1:26" ht="12.75" customHeight="1" x14ac:dyDescent="0.2">
      <c r="A34167" s="258"/>
      <c r="Z34167" s="258"/>
    </row>
    <row r="34168" spans="1:26" ht="12.75" customHeight="1" x14ac:dyDescent="0.2">
      <c r="A34168" s="258"/>
      <c r="Z34168" s="258"/>
    </row>
    <row r="34169" spans="1:26" ht="12.75" customHeight="1" x14ac:dyDescent="0.2">
      <c r="A34169" s="258"/>
      <c r="Z34169" s="258"/>
    </row>
    <row r="34170" spans="1:26" ht="12.75" customHeight="1" x14ac:dyDescent="0.2">
      <c r="A34170" s="258"/>
      <c r="Z34170" s="258"/>
    </row>
    <row r="34171" spans="1:26" ht="12.75" customHeight="1" x14ac:dyDescent="0.2">
      <c r="A34171" s="258"/>
      <c r="Z34171" s="258"/>
    </row>
    <row r="34172" spans="1:26" ht="12.75" customHeight="1" x14ac:dyDescent="0.2">
      <c r="A34172" s="258"/>
      <c r="Z34172" s="258"/>
    </row>
    <row r="34173" spans="1:26" ht="12.75" customHeight="1" x14ac:dyDescent="0.2">
      <c r="A34173" s="258"/>
      <c r="Z34173" s="258"/>
    </row>
    <row r="34174" spans="1:26" ht="12.75" customHeight="1" x14ac:dyDescent="0.2">
      <c r="A34174" s="258"/>
      <c r="Z34174" s="258"/>
    </row>
    <row r="34175" spans="1:26" ht="12.75" customHeight="1" x14ac:dyDescent="0.2">
      <c r="A34175" s="258"/>
      <c r="Z34175" s="258"/>
    </row>
    <row r="34176" spans="1:26" ht="12.75" customHeight="1" x14ac:dyDescent="0.2">
      <c r="A34176" s="258"/>
      <c r="Z34176" s="258"/>
    </row>
    <row r="34177" spans="1:26" ht="12.75" customHeight="1" x14ac:dyDescent="0.2">
      <c r="A34177" s="258"/>
      <c r="Z34177" s="258"/>
    </row>
    <row r="34178" spans="1:26" ht="12.75" customHeight="1" x14ac:dyDescent="0.2">
      <c r="A34178" s="258"/>
      <c r="Z34178" s="258"/>
    </row>
    <row r="34179" spans="1:26" ht="12.75" customHeight="1" x14ac:dyDescent="0.2">
      <c r="A34179" s="258"/>
      <c r="Z34179" s="258"/>
    </row>
    <row r="34180" spans="1:26" ht="12.75" customHeight="1" x14ac:dyDescent="0.2">
      <c r="A34180" s="258"/>
      <c r="Z34180" s="258"/>
    </row>
    <row r="34181" spans="1:26" ht="12.75" customHeight="1" x14ac:dyDescent="0.2">
      <c r="A34181" s="258"/>
      <c r="Z34181" s="258"/>
    </row>
    <row r="34182" spans="1:26" ht="12.75" customHeight="1" x14ac:dyDescent="0.2">
      <c r="A34182" s="258"/>
      <c r="Z34182" s="258"/>
    </row>
    <row r="34183" spans="1:26" ht="12.75" customHeight="1" x14ac:dyDescent="0.2">
      <c r="A34183" s="258"/>
      <c r="Z34183" s="258"/>
    </row>
    <row r="34184" spans="1:26" ht="12.75" customHeight="1" x14ac:dyDescent="0.2">
      <c r="A34184" s="258"/>
      <c r="Z34184" s="258"/>
    </row>
    <row r="34185" spans="1:26" ht="12.75" customHeight="1" x14ac:dyDescent="0.2">
      <c r="A34185" s="258"/>
      <c r="Z34185" s="258"/>
    </row>
    <row r="34186" spans="1:26" ht="12.75" customHeight="1" x14ac:dyDescent="0.2">
      <c r="A34186" s="258"/>
      <c r="Z34186" s="258"/>
    </row>
    <row r="34187" spans="1:26" ht="12.75" customHeight="1" x14ac:dyDescent="0.2">
      <c r="A34187" s="258"/>
      <c r="Z34187" s="258"/>
    </row>
    <row r="34188" spans="1:26" ht="12.75" customHeight="1" x14ac:dyDescent="0.2">
      <c r="A34188" s="258"/>
      <c r="Z34188" s="258"/>
    </row>
    <row r="34189" spans="1:26" ht="12.75" customHeight="1" x14ac:dyDescent="0.2">
      <c r="A34189" s="258"/>
      <c r="Z34189" s="258"/>
    </row>
    <row r="34190" spans="1:26" ht="12.75" customHeight="1" x14ac:dyDescent="0.2">
      <c r="A34190" s="258"/>
      <c r="Z34190" s="258"/>
    </row>
    <row r="34191" spans="1:26" ht="12.75" customHeight="1" x14ac:dyDescent="0.2">
      <c r="A34191" s="258"/>
      <c r="Z34191" s="258"/>
    </row>
    <row r="34192" spans="1:26" ht="12.75" customHeight="1" x14ac:dyDescent="0.2">
      <c r="A34192" s="258"/>
      <c r="Z34192" s="258"/>
    </row>
    <row r="34193" spans="1:26" ht="12.75" customHeight="1" x14ac:dyDescent="0.2">
      <c r="A34193" s="258"/>
      <c r="Z34193" s="258"/>
    </row>
    <row r="34194" spans="1:26" ht="12.75" customHeight="1" x14ac:dyDescent="0.2">
      <c r="A34194" s="258"/>
      <c r="Z34194" s="258"/>
    </row>
    <row r="34195" spans="1:26" ht="12.75" customHeight="1" x14ac:dyDescent="0.2">
      <c r="A34195" s="258"/>
      <c r="Z34195" s="258"/>
    </row>
    <row r="34196" spans="1:26" ht="12.75" customHeight="1" x14ac:dyDescent="0.2">
      <c r="A34196" s="258"/>
      <c r="Z34196" s="258"/>
    </row>
    <row r="34197" spans="1:26" ht="12.75" customHeight="1" x14ac:dyDescent="0.2">
      <c r="A34197" s="258"/>
      <c r="Z34197" s="258"/>
    </row>
    <row r="34198" spans="1:26" ht="12.75" customHeight="1" x14ac:dyDescent="0.2">
      <c r="A34198" s="258"/>
      <c r="Z34198" s="258"/>
    </row>
    <row r="34199" spans="1:26" ht="12.75" customHeight="1" x14ac:dyDescent="0.2">
      <c r="A34199" s="258"/>
      <c r="Z34199" s="258"/>
    </row>
    <row r="34200" spans="1:26" ht="12.75" customHeight="1" x14ac:dyDescent="0.2">
      <c r="A34200" s="258"/>
      <c r="Z34200" s="258"/>
    </row>
    <row r="34201" spans="1:26" ht="12.75" customHeight="1" x14ac:dyDescent="0.2">
      <c r="A34201" s="258"/>
      <c r="Z34201" s="258"/>
    </row>
    <row r="34202" spans="1:26" ht="12.75" customHeight="1" x14ac:dyDescent="0.2">
      <c r="A34202" s="258"/>
      <c r="Z34202" s="258"/>
    </row>
    <row r="34203" spans="1:26" ht="12.75" customHeight="1" x14ac:dyDescent="0.2">
      <c r="A34203" s="258"/>
      <c r="Z34203" s="258"/>
    </row>
    <row r="34204" spans="1:26" ht="12.75" customHeight="1" x14ac:dyDescent="0.2">
      <c r="A34204" s="258"/>
      <c r="Z34204" s="258"/>
    </row>
    <row r="34205" spans="1:26" ht="12.75" customHeight="1" x14ac:dyDescent="0.2">
      <c r="A34205" s="258"/>
      <c r="Z34205" s="258"/>
    </row>
    <row r="34206" spans="1:26" ht="12.75" customHeight="1" x14ac:dyDescent="0.2">
      <c r="A34206" s="258"/>
      <c r="Z34206" s="258"/>
    </row>
    <row r="34207" spans="1:26" ht="12.75" customHeight="1" x14ac:dyDescent="0.2">
      <c r="A34207" s="258"/>
      <c r="Z34207" s="258"/>
    </row>
    <row r="34208" spans="1:26" ht="12.75" customHeight="1" x14ac:dyDescent="0.2">
      <c r="A34208" s="258"/>
      <c r="Z34208" s="258"/>
    </row>
    <row r="34209" spans="1:26" ht="12.75" customHeight="1" x14ac:dyDescent="0.2">
      <c r="A34209" s="258"/>
      <c r="Z34209" s="258"/>
    </row>
    <row r="34210" spans="1:26" ht="12.75" customHeight="1" x14ac:dyDescent="0.2">
      <c r="A34210" s="258"/>
      <c r="Z34210" s="258"/>
    </row>
    <row r="34211" spans="1:26" ht="12.75" customHeight="1" x14ac:dyDescent="0.2">
      <c r="A34211" s="258"/>
      <c r="Z34211" s="258"/>
    </row>
    <row r="34212" spans="1:26" ht="12.75" customHeight="1" x14ac:dyDescent="0.2">
      <c r="A34212" s="258"/>
      <c r="Z34212" s="258"/>
    </row>
    <row r="34213" spans="1:26" ht="12.75" customHeight="1" x14ac:dyDescent="0.2">
      <c r="A34213" s="258"/>
      <c r="Z34213" s="258"/>
    </row>
    <row r="34214" spans="1:26" ht="12.75" customHeight="1" x14ac:dyDescent="0.2">
      <c r="A34214" s="258"/>
      <c r="Z34214" s="258"/>
    </row>
    <row r="34215" spans="1:26" ht="12.75" customHeight="1" x14ac:dyDescent="0.2">
      <c r="A34215" s="258"/>
      <c r="Z34215" s="258"/>
    </row>
    <row r="34216" spans="1:26" ht="12.75" customHeight="1" x14ac:dyDescent="0.2">
      <c r="A34216" s="258"/>
      <c r="Z34216" s="258"/>
    </row>
    <row r="34217" spans="1:26" ht="12.75" customHeight="1" x14ac:dyDescent="0.2">
      <c r="A34217" s="258"/>
      <c r="Z34217" s="258"/>
    </row>
    <row r="34218" spans="1:26" ht="12.75" customHeight="1" x14ac:dyDescent="0.2">
      <c r="A34218" s="258"/>
      <c r="Z34218" s="258"/>
    </row>
    <row r="34219" spans="1:26" ht="12.75" customHeight="1" x14ac:dyDescent="0.2">
      <c r="A34219" s="258"/>
      <c r="Z34219" s="258"/>
    </row>
    <row r="34220" spans="1:26" ht="12.75" customHeight="1" x14ac:dyDescent="0.2">
      <c r="A34220" s="258"/>
      <c r="Z34220" s="258"/>
    </row>
    <row r="34221" spans="1:26" ht="12.75" customHeight="1" x14ac:dyDescent="0.2">
      <c r="A34221" s="258"/>
      <c r="Z34221" s="258"/>
    </row>
    <row r="34222" spans="1:26" ht="12.75" customHeight="1" x14ac:dyDescent="0.2">
      <c r="A34222" s="258"/>
      <c r="Z34222" s="258"/>
    </row>
    <row r="34223" spans="1:26" ht="12.75" customHeight="1" x14ac:dyDescent="0.2">
      <c r="A34223" s="258"/>
      <c r="Z34223" s="258"/>
    </row>
    <row r="34224" spans="1:26" ht="12.75" customHeight="1" x14ac:dyDescent="0.2">
      <c r="A34224" s="258"/>
      <c r="Z34224" s="258"/>
    </row>
    <row r="34225" spans="1:26" ht="12.75" customHeight="1" x14ac:dyDescent="0.2">
      <c r="A34225" s="258"/>
      <c r="Z34225" s="258"/>
    </row>
    <row r="34226" spans="1:26" ht="12.75" customHeight="1" x14ac:dyDescent="0.2">
      <c r="A34226" s="258"/>
      <c r="Z34226" s="258"/>
    </row>
    <row r="34227" spans="1:26" ht="12.75" customHeight="1" x14ac:dyDescent="0.2">
      <c r="A34227" s="258"/>
      <c r="Z34227" s="258"/>
    </row>
    <row r="34228" spans="1:26" ht="12.75" customHeight="1" x14ac:dyDescent="0.2">
      <c r="A34228" s="258"/>
      <c r="Z34228" s="258"/>
    </row>
    <row r="34229" spans="1:26" ht="12.75" customHeight="1" x14ac:dyDescent="0.2">
      <c r="A34229" s="258"/>
      <c r="Z34229" s="258"/>
    </row>
    <row r="34230" spans="1:26" ht="12.75" customHeight="1" x14ac:dyDescent="0.2">
      <c r="A34230" s="258"/>
      <c r="Z34230" s="258"/>
    </row>
    <row r="34231" spans="1:26" ht="12.75" customHeight="1" x14ac:dyDescent="0.2">
      <c r="A34231" s="258"/>
      <c r="Z34231" s="258"/>
    </row>
    <row r="34232" spans="1:26" ht="12.75" customHeight="1" x14ac:dyDescent="0.2">
      <c r="A34232" s="258"/>
      <c r="Z34232" s="258"/>
    </row>
    <row r="34233" spans="1:26" ht="12.75" customHeight="1" x14ac:dyDescent="0.2">
      <c r="A34233" s="258"/>
      <c r="Z34233" s="258"/>
    </row>
    <row r="34234" spans="1:26" ht="12.75" customHeight="1" x14ac:dyDescent="0.2">
      <c r="A34234" s="258"/>
      <c r="Z34234" s="258"/>
    </row>
    <row r="34235" spans="1:26" ht="12.75" customHeight="1" x14ac:dyDescent="0.2">
      <c r="A34235" s="258"/>
      <c r="Z34235" s="258"/>
    </row>
    <row r="34236" spans="1:26" ht="12.75" customHeight="1" x14ac:dyDescent="0.2">
      <c r="A34236" s="258"/>
      <c r="Z34236" s="258"/>
    </row>
    <row r="34237" spans="1:26" ht="12.75" customHeight="1" x14ac:dyDescent="0.2">
      <c r="A34237" s="258"/>
      <c r="Z34237" s="258"/>
    </row>
    <row r="34238" spans="1:26" ht="12.75" customHeight="1" x14ac:dyDescent="0.2">
      <c r="A34238" s="258"/>
      <c r="Z34238" s="258"/>
    </row>
    <row r="34239" spans="1:26" ht="12.75" customHeight="1" x14ac:dyDescent="0.2">
      <c r="A34239" s="258"/>
      <c r="Z34239" s="258"/>
    </row>
    <row r="34240" spans="1:26" ht="12.75" customHeight="1" x14ac:dyDescent="0.2">
      <c r="A34240" s="258"/>
      <c r="Z34240" s="258"/>
    </row>
    <row r="34241" spans="1:26" ht="12.75" customHeight="1" x14ac:dyDescent="0.2">
      <c r="A34241" s="258"/>
      <c r="Z34241" s="258"/>
    </row>
    <row r="34242" spans="1:26" ht="12.75" customHeight="1" x14ac:dyDescent="0.2">
      <c r="A34242" s="258"/>
      <c r="Z34242" s="258"/>
    </row>
    <row r="34243" spans="1:26" ht="12.75" customHeight="1" x14ac:dyDescent="0.2">
      <c r="A34243" s="258"/>
      <c r="Z34243" s="258"/>
    </row>
    <row r="34244" spans="1:26" ht="12.75" customHeight="1" x14ac:dyDescent="0.2">
      <c r="A34244" s="258"/>
      <c r="Z34244" s="258"/>
    </row>
    <row r="34245" spans="1:26" ht="12.75" customHeight="1" x14ac:dyDescent="0.2">
      <c r="A34245" s="258"/>
      <c r="Z34245" s="258"/>
    </row>
    <row r="34246" spans="1:26" ht="12.75" customHeight="1" x14ac:dyDescent="0.2">
      <c r="A34246" s="258"/>
      <c r="Z34246" s="258"/>
    </row>
    <row r="34247" spans="1:26" ht="12.75" customHeight="1" x14ac:dyDescent="0.2">
      <c r="A34247" s="258"/>
      <c r="Z34247" s="258"/>
    </row>
    <row r="34248" spans="1:26" ht="12.75" customHeight="1" x14ac:dyDescent="0.2">
      <c r="A34248" s="258"/>
      <c r="Z34248" s="258"/>
    </row>
    <row r="34249" spans="1:26" ht="12.75" customHeight="1" x14ac:dyDescent="0.2">
      <c r="A34249" s="258"/>
      <c r="Z34249" s="258"/>
    </row>
    <row r="34250" spans="1:26" ht="12.75" customHeight="1" x14ac:dyDescent="0.2">
      <c r="A34250" s="258"/>
      <c r="Z34250" s="258"/>
    </row>
    <row r="34251" spans="1:26" ht="12.75" customHeight="1" x14ac:dyDescent="0.2">
      <c r="A34251" s="258"/>
      <c r="Z34251" s="258"/>
    </row>
    <row r="34252" spans="1:26" ht="12.75" customHeight="1" x14ac:dyDescent="0.2">
      <c r="A34252" s="258"/>
      <c r="Z34252" s="258"/>
    </row>
    <row r="34253" spans="1:26" ht="12.75" customHeight="1" x14ac:dyDescent="0.2">
      <c r="A34253" s="258"/>
      <c r="Z34253" s="258"/>
    </row>
    <row r="34254" spans="1:26" ht="12.75" customHeight="1" x14ac:dyDescent="0.2">
      <c r="A34254" s="258"/>
      <c r="Z34254" s="258"/>
    </row>
    <row r="34255" spans="1:26" ht="12.75" customHeight="1" x14ac:dyDescent="0.2">
      <c r="A34255" s="258"/>
      <c r="Z34255" s="258"/>
    </row>
    <row r="34256" spans="1:26" ht="12.75" customHeight="1" x14ac:dyDescent="0.2">
      <c r="A34256" s="258"/>
      <c r="Z34256" s="258"/>
    </row>
    <row r="34257" spans="1:26" ht="12.75" customHeight="1" x14ac:dyDescent="0.2">
      <c r="A34257" s="258"/>
      <c r="Z34257" s="258"/>
    </row>
    <row r="34258" spans="1:26" ht="12.75" customHeight="1" x14ac:dyDescent="0.2">
      <c r="A34258" s="258"/>
      <c r="Z34258" s="258"/>
    </row>
    <row r="34259" spans="1:26" ht="12.75" customHeight="1" x14ac:dyDescent="0.2">
      <c r="A34259" s="258"/>
      <c r="Z34259" s="258"/>
    </row>
    <row r="34260" spans="1:26" ht="12.75" customHeight="1" x14ac:dyDescent="0.2">
      <c r="A34260" s="258"/>
      <c r="Z34260" s="258"/>
    </row>
    <row r="34261" spans="1:26" ht="12.75" customHeight="1" x14ac:dyDescent="0.2">
      <c r="A34261" s="258"/>
      <c r="Z34261" s="258"/>
    </row>
    <row r="34262" spans="1:26" ht="12.75" customHeight="1" x14ac:dyDescent="0.2">
      <c r="A34262" s="258"/>
      <c r="Z34262" s="258"/>
    </row>
    <row r="34263" spans="1:26" ht="12.75" customHeight="1" x14ac:dyDescent="0.2">
      <c r="A34263" s="258"/>
      <c r="Z34263" s="258"/>
    </row>
    <row r="34264" spans="1:26" ht="12.75" customHeight="1" x14ac:dyDescent="0.2">
      <c r="A34264" s="258"/>
      <c r="Z34264" s="258"/>
    </row>
    <row r="34265" spans="1:26" ht="12.75" customHeight="1" x14ac:dyDescent="0.2">
      <c r="A34265" s="258"/>
      <c r="Z34265" s="258"/>
    </row>
    <row r="34266" spans="1:26" ht="12.75" customHeight="1" x14ac:dyDescent="0.2">
      <c r="A34266" s="258"/>
      <c r="Z34266" s="258"/>
    </row>
    <row r="34267" spans="1:26" ht="12.75" customHeight="1" x14ac:dyDescent="0.2">
      <c r="A34267" s="258"/>
      <c r="Z34267" s="258"/>
    </row>
    <row r="34268" spans="1:26" ht="12.75" customHeight="1" x14ac:dyDescent="0.2">
      <c r="A34268" s="258"/>
      <c r="Z34268" s="258"/>
    </row>
    <row r="34269" spans="1:26" ht="12.75" customHeight="1" x14ac:dyDescent="0.2">
      <c r="A34269" s="258"/>
      <c r="Z34269" s="258"/>
    </row>
    <row r="34270" spans="1:26" ht="12.75" customHeight="1" x14ac:dyDescent="0.2">
      <c r="A34270" s="258"/>
      <c r="Z34270" s="258"/>
    </row>
    <row r="34271" spans="1:26" ht="12.75" customHeight="1" x14ac:dyDescent="0.2">
      <c r="A34271" s="258"/>
      <c r="Z34271" s="258"/>
    </row>
    <row r="34272" spans="1:26" ht="12.75" customHeight="1" x14ac:dyDescent="0.2">
      <c r="A34272" s="258"/>
      <c r="Z34272" s="258"/>
    </row>
    <row r="34273" spans="1:26" ht="12.75" customHeight="1" x14ac:dyDescent="0.2">
      <c r="A34273" s="258"/>
      <c r="Z34273" s="258"/>
    </row>
    <row r="34274" spans="1:26" ht="12.75" customHeight="1" x14ac:dyDescent="0.2">
      <c r="A34274" s="258"/>
      <c r="Z34274" s="258"/>
    </row>
    <row r="34275" spans="1:26" ht="12.75" customHeight="1" x14ac:dyDescent="0.2">
      <c r="A34275" s="258"/>
      <c r="Z34275" s="258"/>
    </row>
    <row r="34276" spans="1:26" ht="12.75" customHeight="1" x14ac:dyDescent="0.2">
      <c r="A34276" s="258"/>
      <c r="Z34276" s="258"/>
    </row>
    <row r="34277" spans="1:26" ht="12.75" customHeight="1" x14ac:dyDescent="0.2">
      <c r="A34277" s="258"/>
      <c r="Z34277" s="258"/>
    </row>
    <row r="34278" spans="1:26" ht="12.75" customHeight="1" x14ac:dyDescent="0.2">
      <c r="A34278" s="258"/>
      <c r="Z34278" s="258"/>
    </row>
    <row r="34279" spans="1:26" ht="12.75" customHeight="1" x14ac:dyDescent="0.2">
      <c r="A34279" s="258"/>
      <c r="Z34279" s="258"/>
    </row>
    <row r="34280" spans="1:26" ht="12.75" customHeight="1" x14ac:dyDescent="0.2">
      <c r="A34280" s="258"/>
      <c r="Z34280" s="258"/>
    </row>
    <row r="34281" spans="1:26" ht="12.75" customHeight="1" x14ac:dyDescent="0.2">
      <c r="A34281" s="258"/>
      <c r="Z34281" s="258"/>
    </row>
    <row r="34282" spans="1:26" ht="12.75" customHeight="1" x14ac:dyDescent="0.2">
      <c r="A34282" s="258"/>
      <c r="Z34282" s="258"/>
    </row>
    <row r="34283" spans="1:26" ht="12.75" customHeight="1" x14ac:dyDescent="0.2">
      <c r="A34283" s="258"/>
      <c r="Z34283" s="258"/>
    </row>
    <row r="34284" spans="1:26" ht="12.75" customHeight="1" x14ac:dyDescent="0.2">
      <c r="A34284" s="258"/>
      <c r="Z34284" s="258"/>
    </row>
    <row r="34285" spans="1:26" ht="12.75" customHeight="1" x14ac:dyDescent="0.2">
      <c r="A34285" s="258"/>
      <c r="Z34285" s="258"/>
    </row>
    <row r="34286" spans="1:26" ht="12.75" customHeight="1" x14ac:dyDescent="0.2">
      <c r="A34286" s="258"/>
      <c r="Z34286" s="258"/>
    </row>
    <row r="34287" spans="1:26" ht="12.75" customHeight="1" x14ac:dyDescent="0.2">
      <c r="A34287" s="258"/>
      <c r="Z34287" s="258"/>
    </row>
    <row r="34288" spans="1:26" ht="12.75" customHeight="1" x14ac:dyDescent="0.2">
      <c r="A34288" s="258"/>
      <c r="Z34288" s="258"/>
    </row>
    <row r="34289" spans="1:26" ht="12.75" customHeight="1" x14ac:dyDescent="0.2">
      <c r="A34289" s="258"/>
      <c r="Z34289" s="258"/>
    </row>
    <row r="34290" spans="1:26" ht="12.75" customHeight="1" x14ac:dyDescent="0.2">
      <c r="A34290" s="258"/>
      <c r="Z34290" s="258"/>
    </row>
    <row r="34291" spans="1:26" ht="12.75" customHeight="1" x14ac:dyDescent="0.2">
      <c r="A34291" s="258"/>
      <c r="Z34291" s="258"/>
    </row>
    <row r="34292" spans="1:26" ht="12.75" customHeight="1" x14ac:dyDescent="0.2">
      <c r="A34292" s="258"/>
      <c r="Z34292" s="258"/>
    </row>
    <row r="34293" spans="1:26" ht="12.75" customHeight="1" x14ac:dyDescent="0.2">
      <c r="A34293" s="258"/>
      <c r="Z34293" s="258"/>
    </row>
    <row r="34294" spans="1:26" ht="12.75" customHeight="1" x14ac:dyDescent="0.2">
      <c r="A34294" s="258"/>
      <c r="Z34294" s="258"/>
    </row>
    <row r="34295" spans="1:26" ht="12.75" customHeight="1" x14ac:dyDescent="0.2">
      <c r="A34295" s="258"/>
      <c r="Z34295" s="258"/>
    </row>
    <row r="34296" spans="1:26" ht="12.75" customHeight="1" x14ac:dyDescent="0.2">
      <c r="A34296" s="258"/>
      <c r="Z34296" s="258"/>
    </row>
    <row r="34297" spans="1:26" ht="12.75" customHeight="1" x14ac:dyDescent="0.2">
      <c r="A34297" s="258"/>
      <c r="Z34297" s="258"/>
    </row>
    <row r="34298" spans="1:26" ht="12.75" customHeight="1" x14ac:dyDescent="0.2">
      <c r="A34298" s="258"/>
      <c r="Z34298" s="258"/>
    </row>
    <row r="34299" spans="1:26" ht="12.75" customHeight="1" x14ac:dyDescent="0.2">
      <c r="A34299" s="258"/>
      <c r="Z34299" s="258"/>
    </row>
    <row r="34300" spans="1:26" ht="12.75" customHeight="1" x14ac:dyDescent="0.2">
      <c r="A34300" s="258"/>
      <c r="Z34300" s="258"/>
    </row>
    <row r="34301" spans="1:26" ht="12.75" customHeight="1" x14ac:dyDescent="0.2">
      <c r="A34301" s="258"/>
      <c r="Z34301" s="258"/>
    </row>
    <row r="34302" spans="1:26" ht="12.75" customHeight="1" x14ac:dyDescent="0.2">
      <c r="A34302" s="258"/>
      <c r="Z34302" s="258"/>
    </row>
    <row r="34303" spans="1:26" ht="12.75" customHeight="1" x14ac:dyDescent="0.2">
      <c r="A34303" s="258"/>
      <c r="Z34303" s="258"/>
    </row>
    <row r="34304" spans="1:26" ht="12.75" customHeight="1" x14ac:dyDescent="0.2">
      <c r="A34304" s="258"/>
      <c r="Z34304" s="258"/>
    </row>
    <row r="34305" spans="1:26" ht="12.75" customHeight="1" x14ac:dyDescent="0.2">
      <c r="A34305" s="258"/>
      <c r="Z34305" s="258"/>
    </row>
    <row r="34306" spans="1:26" ht="12.75" customHeight="1" x14ac:dyDescent="0.2">
      <c r="A34306" s="258"/>
      <c r="Z34306" s="258"/>
    </row>
    <row r="34307" spans="1:26" ht="12.75" customHeight="1" x14ac:dyDescent="0.2">
      <c r="A34307" s="258"/>
      <c r="Z34307" s="258"/>
    </row>
    <row r="34308" spans="1:26" ht="12.75" customHeight="1" x14ac:dyDescent="0.2">
      <c r="A34308" s="258"/>
      <c r="Z34308" s="258"/>
    </row>
    <row r="34309" spans="1:26" ht="12.75" customHeight="1" x14ac:dyDescent="0.2">
      <c r="A34309" s="258"/>
      <c r="Z34309" s="258"/>
    </row>
    <row r="34310" spans="1:26" ht="12.75" customHeight="1" x14ac:dyDescent="0.2">
      <c r="A34310" s="258"/>
      <c r="Z34310" s="258"/>
    </row>
    <row r="34311" spans="1:26" ht="12.75" customHeight="1" x14ac:dyDescent="0.2">
      <c r="A34311" s="258"/>
      <c r="Z34311" s="258"/>
    </row>
    <row r="34312" spans="1:26" ht="12.75" customHeight="1" x14ac:dyDescent="0.2">
      <c r="A34312" s="258"/>
      <c r="Z34312" s="258"/>
    </row>
    <row r="34313" spans="1:26" ht="12.75" customHeight="1" x14ac:dyDescent="0.2">
      <c r="A34313" s="258"/>
      <c r="Z34313" s="258"/>
    </row>
    <row r="34314" spans="1:26" ht="12.75" customHeight="1" x14ac:dyDescent="0.2">
      <c r="A34314" s="258"/>
      <c r="Z34314" s="258"/>
    </row>
    <row r="34315" spans="1:26" ht="12.75" customHeight="1" x14ac:dyDescent="0.2">
      <c r="A34315" s="258"/>
      <c r="Z34315" s="258"/>
    </row>
    <row r="34316" spans="1:26" ht="12.75" customHeight="1" x14ac:dyDescent="0.2">
      <c r="A34316" s="258"/>
      <c r="Z34316" s="258"/>
    </row>
    <row r="34317" spans="1:26" ht="12.75" customHeight="1" x14ac:dyDescent="0.2">
      <c r="A34317" s="258"/>
      <c r="Z34317" s="258"/>
    </row>
    <row r="34318" spans="1:26" ht="12.75" customHeight="1" x14ac:dyDescent="0.2">
      <c r="A34318" s="258"/>
      <c r="Z34318" s="258"/>
    </row>
    <row r="34319" spans="1:26" ht="12.75" customHeight="1" x14ac:dyDescent="0.2">
      <c r="A34319" s="258"/>
      <c r="Z34319" s="258"/>
    </row>
    <row r="34320" spans="1:26" ht="12.75" customHeight="1" x14ac:dyDescent="0.2">
      <c r="A34320" s="258"/>
      <c r="Z34320" s="258"/>
    </row>
    <row r="34321" spans="1:26" ht="12.75" customHeight="1" x14ac:dyDescent="0.2">
      <c r="A34321" s="258"/>
      <c r="Z34321" s="258"/>
    </row>
    <row r="34322" spans="1:26" ht="12.75" customHeight="1" x14ac:dyDescent="0.2">
      <c r="A34322" s="258"/>
      <c r="Z34322" s="258"/>
    </row>
    <row r="34323" spans="1:26" ht="12.75" customHeight="1" x14ac:dyDescent="0.2">
      <c r="A34323" s="258"/>
      <c r="Z34323" s="258"/>
    </row>
    <row r="34324" spans="1:26" ht="12.75" customHeight="1" x14ac:dyDescent="0.2">
      <c r="A34324" s="258"/>
      <c r="Z34324" s="258"/>
    </row>
    <row r="34325" spans="1:26" ht="12.75" customHeight="1" x14ac:dyDescent="0.2">
      <c r="A34325" s="258"/>
      <c r="Z34325" s="258"/>
    </row>
    <row r="34326" spans="1:26" ht="12.75" customHeight="1" x14ac:dyDescent="0.2">
      <c r="A34326" s="258"/>
      <c r="Z34326" s="258"/>
    </row>
    <row r="34327" spans="1:26" ht="12.75" customHeight="1" x14ac:dyDescent="0.2">
      <c r="A34327" s="258"/>
      <c r="Z34327" s="258"/>
    </row>
    <row r="34328" spans="1:26" ht="12.75" customHeight="1" x14ac:dyDescent="0.2">
      <c r="A34328" s="258"/>
      <c r="Z34328" s="258"/>
    </row>
    <row r="34329" spans="1:26" ht="12.75" customHeight="1" x14ac:dyDescent="0.2">
      <c r="A34329" s="258"/>
      <c r="Z34329" s="258"/>
    </row>
    <row r="34330" spans="1:26" ht="12.75" customHeight="1" x14ac:dyDescent="0.2">
      <c r="A34330" s="258"/>
      <c r="Z34330" s="258"/>
    </row>
    <row r="34331" spans="1:26" ht="12.75" customHeight="1" x14ac:dyDescent="0.2">
      <c r="A34331" s="258"/>
      <c r="Z34331" s="258"/>
    </row>
    <row r="34332" spans="1:26" ht="12.75" customHeight="1" x14ac:dyDescent="0.2">
      <c r="A34332" s="258"/>
      <c r="Z34332" s="258"/>
    </row>
    <row r="34333" spans="1:26" ht="12.75" customHeight="1" x14ac:dyDescent="0.2">
      <c r="A34333" s="258"/>
      <c r="Z34333" s="258"/>
    </row>
    <row r="34334" spans="1:26" ht="12.75" customHeight="1" x14ac:dyDescent="0.2">
      <c r="A34334" s="258"/>
      <c r="Z34334" s="258"/>
    </row>
    <row r="34335" spans="1:26" ht="12.75" customHeight="1" x14ac:dyDescent="0.2">
      <c r="A34335" s="258"/>
      <c r="Z34335" s="258"/>
    </row>
    <row r="34336" spans="1:26" ht="12.75" customHeight="1" x14ac:dyDescent="0.2">
      <c r="A34336" s="258"/>
      <c r="Z34336" s="258"/>
    </row>
    <row r="34337" spans="1:26" ht="12.75" customHeight="1" x14ac:dyDescent="0.2">
      <c r="A34337" s="258"/>
      <c r="Z34337" s="258"/>
    </row>
    <row r="34338" spans="1:26" ht="12.75" customHeight="1" x14ac:dyDescent="0.2">
      <c r="A34338" s="258"/>
      <c r="Z34338" s="258"/>
    </row>
    <row r="34339" spans="1:26" ht="12.75" customHeight="1" x14ac:dyDescent="0.2">
      <c r="A34339" s="258"/>
      <c r="Z34339" s="258"/>
    </row>
    <row r="34340" spans="1:26" ht="12.75" customHeight="1" x14ac:dyDescent="0.2">
      <c r="A34340" s="258"/>
      <c r="Z34340" s="258"/>
    </row>
    <row r="34341" spans="1:26" ht="12.75" customHeight="1" x14ac:dyDescent="0.2">
      <c r="A34341" s="258"/>
      <c r="Z34341" s="258"/>
    </row>
    <row r="34342" spans="1:26" ht="12.75" customHeight="1" x14ac:dyDescent="0.2">
      <c r="A34342" s="258"/>
      <c r="Z34342" s="258"/>
    </row>
    <row r="34343" spans="1:26" ht="12.75" customHeight="1" x14ac:dyDescent="0.2">
      <c r="A34343" s="258"/>
      <c r="Z34343" s="258"/>
    </row>
    <row r="34344" spans="1:26" ht="12.75" customHeight="1" x14ac:dyDescent="0.2">
      <c r="A34344" s="258"/>
      <c r="Z34344" s="258"/>
    </row>
    <row r="34345" spans="1:26" ht="12.75" customHeight="1" x14ac:dyDescent="0.2">
      <c r="A34345" s="258"/>
      <c r="Z34345" s="258"/>
    </row>
    <row r="34346" spans="1:26" ht="12.75" customHeight="1" x14ac:dyDescent="0.2">
      <c r="A34346" s="258"/>
      <c r="Z34346" s="258"/>
    </row>
    <row r="34347" spans="1:26" ht="12.75" customHeight="1" x14ac:dyDescent="0.2">
      <c r="A34347" s="258"/>
      <c r="Z34347" s="258"/>
    </row>
    <row r="34348" spans="1:26" ht="12.75" customHeight="1" x14ac:dyDescent="0.2">
      <c r="A34348" s="258"/>
      <c r="Z34348" s="258"/>
    </row>
    <row r="34349" spans="1:26" ht="12.75" customHeight="1" x14ac:dyDescent="0.2">
      <c r="A34349" s="258"/>
      <c r="Z34349" s="258"/>
    </row>
    <row r="34350" spans="1:26" ht="12.75" customHeight="1" x14ac:dyDescent="0.2">
      <c r="A34350" s="258"/>
      <c r="Z34350" s="258"/>
    </row>
    <row r="34351" spans="1:26" ht="12.75" customHeight="1" x14ac:dyDescent="0.2">
      <c r="A34351" s="258"/>
      <c r="Z34351" s="258"/>
    </row>
    <row r="34352" spans="1:26" ht="12.75" customHeight="1" x14ac:dyDescent="0.2">
      <c r="A34352" s="258"/>
      <c r="Z34352" s="258"/>
    </row>
    <row r="34353" spans="1:26" ht="12.75" customHeight="1" x14ac:dyDescent="0.2">
      <c r="A34353" s="258"/>
      <c r="Z34353" s="258"/>
    </row>
    <row r="34354" spans="1:26" ht="12.75" customHeight="1" x14ac:dyDescent="0.2">
      <c r="A34354" s="258"/>
      <c r="Z34354" s="258"/>
    </row>
    <row r="34355" spans="1:26" ht="12.75" customHeight="1" x14ac:dyDescent="0.2">
      <c r="A34355" s="258"/>
      <c r="Z34355" s="258"/>
    </row>
    <row r="34356" spans="1:26" ht="12.75" customHeight="1" x14ac:dyDescent="0.2">
      <c r="A34356" s="258"/>
      <c r="Z34356" s="258"/>
    </row>
    <row r="34357" spans="1:26" ht="12.75" customHeight="1" x14ac:dyDescent="0.2">
      <c r="A34357" s="258"/>
      <c r="Z34357" s="258"/>
    </row>
    <row r="34358" spans="1:26" ht="12.75" customHeight="1" x14ac:dyDescent="0.2">
      <c r="A34358" s="258"/>
      <c r="Z34358" s="258"/>
    </row>
    <row r="34359" spans="1:26" ht="12.75" customHeight="1" x14ac:dyDescent="0.2">
      <c r="A34359" s="258"/>
      <c r="Z34359" s="258"/>
    </row>
    <row r="34360" spans="1:26" ht="12.75" customHeight="1" x14ac:dyDescent="0.2">
      <c r="A34360" s="258"/>
      <c r="Z34360" s="258"/>
    </row>
    <row r="34361" spans="1:26" ht="12.75" customHeight="1" x14ac:dyDescent="0.2">
      <c r="A34361" s="258"/>
      <c r="Z34361" s="258"/>
    </row>
    <row r="34362" spans="1:26" ht="12.75" customHeight="1" x14ac:dyDescent="0.2">
      <c r="A34362" s="258"/>
      <c r="Z34362" s="258"/>
    </row>
    <row r="34363" spans="1:26" ht="12.75" customHeight="1" x14ac:dyDescent="0.2">
      <c r="A34363" s="258"/>
      <c r="Z34363" s="258"/>
    </row>
    <row r="34364" spans="1:26" ht="12.75" customHeight="1" x14ac:dyDescent="0.2">
      <c r="A34364" s="258"/>
      <c r="Z34364" s="258"/>
    </row>
    <row r="34365" spans="1:26" ht="12.75" customHeight="1" x14ac:dyDescent="0.2">
      <c r="A34365" s="258"/>
      <c r="Z34365" s="258"/>
    </row>
    <row r="34366" spans="1:26" ht="12.75" customHeight="1" x14ac:dyDescent="0.2">
      <c r="A34366" s="258"/>
      <c r="Z34366" s="258"/>
    </row>
    <row r="34367" spans="1:26" ht="12.75" customHeight="1" x14ac:dyDescent="0.2">
      <c r="A34367" s="258"/>
      <c r="Z34367" s="258"/>
    </row>
    <row r="34368" spans="1:26" ht="12.75" customHeight="1" x14ac:dyDescent="0.2">
      <c r="A34368" s="258"/>
      <c r="Z34368" s="258"/>
    </row>
    <row r="34369" spans="1:26" ht="12.75" customHeight="1" x14ac:dyDescent="0.2">
      <c r="A34369" s="258"/>
      <c r="Z34369" s="258"/>
    </row>
    <row r="34370" spans="1:26" ht="12.75" customHeight="1" x14ac:dyDescent="0.2">
      <c r="A34370" s="258"/>
      <c r="Z34370" s="258"/>
    </row>
    <row r="34371" spans="1:26" ht="12.75" customHeight="1" x14ac:dyDescent="0.2">
      <c r="A34371" s="258"/>
      <c r="Z34371" s="258"/>
    </row>
    <row r="34372" spans="1:26" ht="12.75" customHeight="1" x14ac:dyDescent="0.2">
      <c r="A34372" s="258"/>
      <c r="Z34372" s="258"/>
    </row>
    <row r="34373" spans="1:26" ht="12.75" customHeight="1" x14ac:dyDescent="0.2">
      <c r="A34373" s="258"/>
      <c r="Z34373" s="258"/>
    </row>
    <row r="34374" spans="1:26" ht="12.75" customHeight="1" x14ac:dyDescent="0.2">
      <c r="A34374" s="258"/>
      <c r="Z34374" s="258"/>
    </row>
    <row r="34375" spans="1:26" ht="12.75" customHeight="1" x14ac:dyDescent="0.2">
      <c r="A34375" s="258"/>
      <c r="Z34375" s="258"/>
    </row>
    <row r="34376" spans="1:26" ht="12.75" customHeight="1" x14ac:dyDescent="0.2">
      <c r="A34376" s="258"/>
      <c r="Z34376" s="258"/>
    </row>
    <row r="34377" spans="1:26" ht="12.75" customHeight="1" x14ac:dyDescent="0.2">
      <c r="A34377" s="258"/>
      <c r="Z34377" s="258"/>
    </row>
    <row r="34378" spans="1:26" ht="12.75" customHeight="1" x14ac:dyDescent="0.2">
      <c r="A34378" s="258"/>
      <c r="Z34378" s="258"/>
    </row>
    <row r="34379" spans="1:26" ht="12.75" customHeight="1" x14ac:dyDescent="0.2">
      <c r="A34379" s="258"/>
      <c r="Z34379" s="258"/>
    </row>
    <row r="34380" spans="1:26" ht="12.75" customHeight="1" x14ac:dyDescent="0.2">
      <c r="A34380" s="258"/>
      <c r="Z34380" s="258"/>
    </row>
    <row r="34381" spans="1:26" ht="12.75" customHeight="1" x14ac:dyDescent="0.2">
      <c r="A34381" s="258"/>
      <c r="Z34381" s="258"/>
    </row>
    <row r="34382" spans="1:26" ht="12.75" customHeight="1" x14ac:dyDescent="0.2">
      <c r="A34382" s="258"/>
      <c r="Z34382" s="258"/>
    </row>
    <row r="34383" spans="1:26" ht="12.75" customHeight="1" x14ac:dyDescent="0.2">
      <c r="A34383" s="258"/>
      <c r="Z34383" s="258"/>
    </row>
    <row r="34384" spans="1:26" ht="12.75" customHeight="1" x14ac:dyDescent="0.2">
      <c r="A34384" s="258"/>
      <c r="Z34384" s="258"/>
    </row>
    <row r="34385" spans="1:26" ht="12.75" customHeight="1" x14ac:dyDescent="0.2">
      <c r="A34385" s="258"/>
      <c r="Z34385" s="258"/>
    </row>
    <row r="34386" spans="1:26" ht="12.75" customHeight="1" x14ac:dyDescent="0.2">
      <c r="A34386" s="258"/>
      <c r="Z34386" s="258"/>
    </row>
    <row r="34387" spans="1:26" ht="12.75" customHeight="1" x14ac:dyDescent="0.2">
      <c r="A34387" s="258"/>
      <c r="Z34387" s="258"/>
    </row>
    <row r="34388" spans="1:26" ht="12.75" customHeight="1" x14ac:dyDescent="0.2">
      <c r="A34388" s="258"/>
      <c r="Z34388" s="258"/>
    </row>
    <row r="34389" spans="1:26" ht="12.75" customHeight="1" x14ac:dyDescent="0.2">
      <c r="A34389" s="258"/>
      <c r="Z34389" s="258"/>
    </row>
    <row r="34390" spans="1:26" ht="12.75" customHeight="1" x14ac:dyDescent="0.2">
      <c r="A34390" s="258"/>
      <c r="Z34390" s="258"/>
    </row>
    <row r="34391" spans="1:26" ht="12.75" customHeight="1" x14ac:dyDescent="0.2">
      <c r="A34391" s="258"/>
      <c r="Z34391" s="258"/>
    </row>
    <row r="34392" spans="1:26" ht="12.75" customHeight="1" x14ac:dyDescent="0.2">
      <c r="A34392" s="258"/>
      <c r="Z34392" s="258"/>
    </row>
    <row r="34393" spans="1:26" ht="12.75" customHeight="1" x14ac:dyDescent="0.2">
      <c r="A34393" s="258"/>
      <c r="Z34393" s="258"/>
    </row>
    <row r="34394" spans="1:26" ht="12.75" customHeight="1" x14ac:dyDescent="0.2">
      <c r="A34394" s="258"/>
      <c r="Z34394" s="258"/>
    </row>
    <row r="34395" spans="1:26" ht="12.75" customHeight="1" x14ac:dyDescent="0.2">
      <c r="A34395" s="258"/>
      <c r="Z34395" s="258"/>
    </row>
    <row r="34396" spans="1:26" ht="12.75" customHeight="1" x14ac:dyDescent="0.2">
      <c r="A34396" s="258"/>
      <c r="Z34396" s="258"/>
    </row>
    <row r="34397" spans="1:26" ht="12.75" customHeight="1" x14ac:dyDescent="0.2">
      <c r="A34397" s="258"/>
      <c r="Z34397" s="258"/>
    </row>
    <row r="34398" spans="1:26" ht="12.75" customHeight="1" x14ac:dyDescent="0.2">
      <c r="A34398" s="258"/>
      <c r="Z34398" s="258"/>
    </row>
    <row r="34399" spans="1:26" ht="12.75" customHeight="1" x14ac:dyDescent="0.2">
      <c r="A34399" s="258"/>
      <c r="Z34399" s="258"/>
    </row>
    <row r="34400" spans="1:26" ht="12.75" customHeight="1" x14ac:dyDescent="0.2">
      <c r="A34400" s="258"/>
      <c r="Z34400" s="258"/>
    </row>
    <row r="34401" spans="1:26" ht="12.75" customHeight="1" x14ac:dyDescent="0.2">
      <c r="A34401" s="258"/>
      <c r="Z34401" s="258"/>
    </row>
    <row r="34402" spans="1:26" ht="12.75" customHeight="1" x14ac:dyDescent="0.2">
      <c r="A34402" s="258"/>
      <c r="Z34402" s="258"/>
    </row>
    <row r="34403" spans="1:26" ht="12.75" customHeight="1" x14ac:dyDescent="0.2">
      <c r="A34403" s="258"/>
      <c r="Z34403" s="258"/>
    </row>
    <row r="34404" spans="1:26" ht="12.75" customHeight="1" x14ac:dyDescent="0.2">
      <c r="A34404" s="258"/>
      <c r="Z34404" s="258"/>
    </row>
    <row r="34405" spans="1:26" ht="12.75" customHeight="1" x14ac:dyDescent="0.2">
      <c r="A34405" s="258"/>
      <c r="Z34405" s="258"/>
    </row>
    <row r="34406" spans="1:26" ht="12.75" customHeight="1" x14ac:dyDescent="0.2">
      <c r="A34406" s="258"/>
      <c r="Z34406" s="258"/>
    </row>
    <row r="34407" spans="1:26" ht="12.75" customHeight="1" x14ac:dyDescent="0.2">
      <c r="A34407" s="258"/>
      <c r="Z34407" s="258"/>
    </row>
    <row r="34408" spans="1:26" ht="12.75" customHeight="1" x14ac:dyDescent="0.2">
      <c r="A34408" s="258"/>
      <c r="Z34408" s="258"/>
    </row>
    <row r="34409" spans="1:26" ht="12.75" customHeight="1" x14ac:dyDescent="0.2">
      <c r="A34409" s="258"/>
      <c r="Z34409" s="258"/>
    </row>
    <row r="34410" spans="1:26" ht="12.75" customHeight="1" x14ac:dyDescent="0.2">
      <c r="A34410" s="258"/>
      <c r="Z34410" s="258"/>
    </row>
    <row r="34411" spans="1:26" ht="12.75" customHeight="1" x14ac:dyDescent="0.2">
      <c r="A34411" s="258"/>
      <c r="Z34411" s="258"/>
    </row>
    <row r="34412" spans="1:26" ht="12.75" customHeight="1" x14ac:dyDescent="0.2">
      <c r="A34412" s="258"/>
      <c r="Z34412" s="258"/>
    </row>
    <row r="34413" spans="1:26" ht="12.75" customHeight="1" x14ac:dyDescent="0.2">
      <c r="A34413" s="258"/>
      <c r="Z34413" s="258"/>
    </row>
    <row r="34414" spans="1:26" ht="12.75" customHeight="1" x14ac:dyDescent="0.2">
      <c r="A34414" s="258"/>
      <c r="Z34414" s="258"/>
    </row>
    <row r="34415" spans="1:26" ht="12.75" customHeight="1" x14ac:dyDescent="0.2">
      <c r="A34415" s="258"/>
      <c r="Z34415" s="258"/>
    </row>
    <row r="34416" spans="1:26" ht="12.75" customHeight="1" x14ac:dyDescent="0.2">
      <c r="A34416" s="258"/>
      <c r="Z34416" s="258"/>
    </row>
    <row r="34417" spans="1:26" ht="12.75" customHeight="1" x14ac:dyDescent="0.2">
      <c r="A34417" s="258"/>
      <c r="Z34417" s="258"/>
    </row>
    <row r="34418" spans="1:26" ht="12.75" customHeight="1" x14ac:dyDescent="0.2">
      <c r="A34418" s="258"/>
      <c r="Z34418" s="258"/>
    </row>
    <row r="34419" spans="1:26" ht="12.75" customHeight="1" x14ac:dyDescent="0.2">
      <c r="A34419" s="258"/>
      <c r="Z34419" s="258"/>
    </row>
    <row r="34420" spans="1:26" ht="12.75" customHeight="1" x14ac:dyDescent="0.2">
      <c r="A34420" s="258"/>
      <c r="Z34420" s="258"/>
    </row>
    <row r="34421" spans="1:26" ht="12.75" customHeight="1" x14ac:dyDescent="0.2">
      <c r="A34421" s="258"/>
      <c r="Z34421" s="258"/>
    </row>
    <row r="34422" spans="1:26" ht="12.75" customHeight="1" x14ac:dyDescent="0.2">
      <c r="A34422" s="258"/>
      <c r="Z34422" s="258"/>
    </row>
    <row r="34423" spans="1:26" ht="12.75" customHeight="1" x14ac:dyDescent="0.2">
      <c r="A34423" s="258"/>
      <c r="Z34423" s="258"/>
    </row>
    <row r="34424" spans="1:26" ht="12.75" customHeight="1" x14ac:dyDescent="0.2">
      <c r="A34424" s="258"/>
      <c r="Z34424" s="258"/>
    </row>
    <row r="34425" spans="1:26" ht="12.75" customHeight="1" x14ac:dyDescent="0.2">
      <c r="A34425" s="258"/>
      <c r="Z34425" s="258"/>
    </row>
    <row r="34426" spans="1:26" ht="12.75" customHeight="1" x14ac:dyDescent="0.2">
      <c r="A34426" s="258"/>
      <c r="Z34426" s="258"/>
    </row>
    <row r="34427" spans="1:26" ht="12.75" customHeight="1" x14ac:dyDescent="0.2">
      <c r="A34427" s="258"/>
      <c r="Z34427" s="258"/>
    </row>
    <row r="34428" spans="1:26" ht="12.75" customHeight="1" x14ac:dyDescent="0.2">
      <c r="A34428" s="258"/>
      <c r="Z34428" s="258"/>
    </row>
    <row r="34429" spans="1:26" ht="12.75" customHeight="1" x14ac:dyDescent="0.2">
      <c r="A34429" s="258"/>
      <c r="Z34429" s="258"/>
    </row>
    <row r="34430" spans="1:26" ht="12.75" customHeight="1" x14ac:dyDescent="0.2">
      <c r="A34430" s="258"/>
      <c r="Z34430" s="258"/>
    </row>
    <row r="34431" spans="1:26" ht="12.75" customHeight="1" x14ac:dyDescent="0.2">
      <c r="A34431" s="258"/>
      <c r="Z34431" s="258"/>
    </row>
    <row r="34432" spans="1:26" ht="12.75" customHeight="1" x14ac:dyDescent="0.2">
      <c r="A34432" s="258"/>
      <c r="Z34432" s="258"/>
    </row>
    <row r="34433" spans="1:26" ht="12.75" customHeight="1" x14ac:dyDescent="0.2">
      <c r="A34433" s="258"/>
      <c r="Z34433" s="258"/>
    </row>
    <row r="34434" spans="1:26" ht="12.75" customHeight="1" x14ac:dyDescent="0.2">
      <c r="A34434" s="258"/>
      <c r="Z34434" s="258"/>
    </row>
    <row r="34435" spans="1:26" ht="12.75" customHeight="1" x14ac:dyDescent="0.2">
      <c r="A34435" s="258"/>
      <c r="Z34435" s="258"/>
    </row>
    <row r="34436" spans="1:26" ht="12.75" customHeight="1" x14ac:dyDescent="0.2">
      <c r="A34436" s="258"/>
      <c r="Z34436" s="258"/>
    </row>
    <row r="34437" spans="1:26" ht="12.75" customHeight="1" x14ac:dyDescent="0.2">
      <c r="A34437" s="258"/>
      <c r="Z34437" s="258"/>
    </row>
    <row r="34438" spans="1:26" ht="12.75" customHeight="1" x14ac:dyDescent="0.2">
      <c r="A34438" s="258"/>
      <c r="Z34438" s="258"/>
    </row>
    <row r="34439" spans="1:26" ht="12.75" customHeight="1" x14ac:dyDescent="0.2">
      <c r="A34439" s="258"/>
      <c r="Z34439" s="258"/>
    </row>
    <row r="34440" spans="1:26" ht="12.75" customHeight="1" x14ac:dyDescent="0.2">
      <c r="A34440" s="258"/>
      <c r="Z34440" s="258"/>
    </row>
    <row r="34441" spans="1:26" ht="12.75" customHeight="1" x14ac:dyDescent="0.2">
      <c r="A34441" s="258"/>
      <c r="Z34441" s="258"/>
    </row>
    <row r="34442" spans="1:26" ht="12.75" customHeight="1" x14ac:dyDescent="0.2">
      <c r="A34442" s="258"/>
      <c r="Z34442" s="258"/>
    </row>
    <row r="34443" spans="1:26" ht="12.75" customHeight="1" x14ac:dyDescent="0.2">
      <c r="A34443" s="258"/>
      <c r="Z34443" s="258"/>
    </row>
    <row r="34444" spans="1:26" ht="12.75" customHeight="1" x14ac:dyDescent="0.2">
      <c r="A34444" s="258"/>
      <c r="Z34444" s="258"/>
    </row>
    <row r="34445" spans="1:26" ht="12.75" customHeight="1" x14ac:dyDescent="0.2">
      <c r="A34445" s="258"/>
      <c r="Z34445" s="258"/>
    </row>
    <row r="34446" spans="1:26" ht="12.75" customHeight="1" x14ac:dyDescent="0.2">
      <c r="A34446" s="258"/>
      <c r="Z34446" s="258"/>
    </row>
    <row r="34447" spans="1:26" ht="12.75" customHeight="1" x14ac:dyDescent="0.2">
      <c r="A34447" s="258"/>
      <c r="Z34447" s="258"/>
    </row>
    <row r="34448" spans="1:26" ht="12.75" customHeight="1" x14ac:dyDescent="0.2">
      <c r="A34448" s="258"/>
      <c r="Z34448" s="258"/>
    </row>
    <row r="34449" spans="1:26" ht="12.75" customHeight="1" x14ac:dyDescent="0.2">
      <c r="A34449" s="258"/>
      <c r="Z34449" s="258"/>
    </row>
    <row r="34450" spans="1:26" ht="12.75" customHeight="1" x14ac:dyDescent="0.2">
      <c r="A34450" s="258"/>
      <c r="Z34450" s="258"/>
    </row>
    <row r="34451" spans="1:26" ht="12.75" customHeight="1" x14ac:dyDescent="0.2">
      <c r="A34451" s="258"/>
      <c r="Z34451" s="258"/>
    </row>
    <row r="34452" spans="1:26" ht="12.75" customHeight="1" x14ac:dyDescent="0.2">
      <c r="A34452" s="258"/>
      <c r="Z34452" s="258"/>
    </row>
    <row r="34453" spans="1:26" ht="12.75" customHeight="1" x14ac:dyDescent="0.2">
      <c r="A34453" s="258"/>
      <c r="Z34453" s="258"/>
    </row>
    <row r="34454" spans="1:26" ht="12.75" customHeight="1" x14ac:dyDescent="0.2">
      <c r="A34454" s="258"/>
      <c r="Z34454" s="258"/>
    </row>
    <row r="34455" spans="1:26" ht="12.75" customHeight="1" x14ac:dyDescent="0.2">
      <c r="A34455" s="258"/>
      <c r="Z34455" s="258"/>
    </row>
    <row r="34456" spans="1:26" ht="12.75" customHeight="1" x14ac:dyDescent="0.2">
      <c r="A34456" s="258"/>
      <c r="Z34456" s="258"/>
    </row>
    <row r="34457" spans="1:26" ht="12.75" customHeight="1" x14ac:dyDescent="0.2">
      <c r="A34457" s="258"/>
      <c r="Z34457" s="258"/>
    </row>
    <row r="34458" spans="1:26" ht="12.75" customHeight="1" x14ac:dyDescent="0.2">
      <c r="A34458" s="258"/>
      <c r="Z34458" s="258"/>
    </row>
    <row r="34459" spans="1:26" ht="12.75" customHeight="1" x14ac:dyDescent="0.2">
      <c r="A34459" s="258"/>
      <c r="Z34459" s="258"/>
    </row>
    <row r="34460" spans="1:26" ht="12.75" customHeight="1" x14ac:dyDescent="0.2">
      <c r="A34460" s="258"/>
      <c r="Z34460" s="258"/>
    </row>
    <row r="34461" spans="1:26" ht="12.75" customHeight="1" x14ac:dyDescent="0.2">
      <c r="A34461" s="258"/>
      <c r="Z34461" s="258"/>
    </row>
    <row r="34462" spans="1:26" ht="12.75" customHeight="1" x14ac:dyDescent="0.2">
      <c r="A34462" s="258"/>
      <c r="Z34462" s="258"/>
    </row>
    <row r="34463" spans="1:26" ht="12.75" customHeight="1" x14ac:dyDescent="0.2">
      <c r="A34463" s="258"/>
      <c r="Z34463" s="258"/>
    </row>
    <row r="34464" spans="1:26" ht="12.75" customHeight="1" x14ac:dyDescent="0.2">
      <c r="A34464" s="258"/>
      <c r="Z34464" s="258"/>
    </row>
    <row r="34465" spans="1:26" ht="12.75" customHeight="1" x14ac:dyDescent="0.2">
      <c r="A34465" s="258"/>
      <c r="Z34465" s="258"/>
    </row>
    <row r="34466" spans="1:26" ht="12.75" customHeight="1" x14ac:dyDescent="0.2">
      <c r="A34466" s="258"/>
      <c r="Z34466" s="258"/>
    </row>
    <row r="34467" spans="1:26" ht="12.75" customHeight="1" x14ac:dyDescent="0.2">
      <c r="A34467" s="258"/>
      <c r="Z34467" s="258"/>
    </row>
    <row r="34468" spans="1:26" ht="12.75" customHeight="1" x14ac:dyDescent="0.2">
      <c r="A34468" s="258"/>
      <c r="Z34468" s="258"/>
    </row>
    <row r="34469" spans="1:26" ht="12.75" customHeight="1" x14ac:dyDescent="0.2">
      <c r="A34469" s="258"/>
      <c r="Z34469" s="258"/>
    </row>
    <row r="34470" spans="1:26" ht="12.75" customHeight="1" x14ac:dyDescent="0.2">
      <c r="A34470" s="258"/>
      <c r="Z34470" s="258"/>
    </row>
    <row r="34471" spans="1:26" ht="12.75" customHeight="1" x14ac:dyDescent="0.2">
      <c r="A34471" s="258"/>
      <c r="Z34471" s="258"/>
    </row>
    <row r="34472" spans="1:26" ht="12.75" customHeight="1" x14ac:dyDescent="0.2">
      <c r="A34472" s="258"/>
      <c r="Z34472" s="258"/>
    </row>
    <row r="34473" spans="1:26" ht="12.75" customHeight="1" x14ac:dyDescent="0.2">
      <c r="A34473" s="258"/>
      <c r="Z34473" s="258"/>
    </row>
    <row r="34474" spans="1:26" ht="12.75" customHeight="1" x14ac:dyDescent="0.2">
      <c r="A34474" s="258"/>
      <c r="Z34474" s="258"/>
    </row>
    <row r="34475" spans="1:26" ht="12.75" customHeight="1" x14ac:dyDescent="0.2">
      <c r="A34475" s="258"/>
      <c r="Z34475" s="258"/>
    </row>
    <row r="34476" spans="1:26" ht="12.75" customHeight="1" x14ac:dyDescent="0.2">
      <c r="A34476" s="258"/>
      <c r="Z34476" s="258"/>
    </row>
    <row r="34477" spans="1:26" ht="12.75" customHeight="1" x14ac:dyDescent="0.2">
      <c r="A34477" s="258"/>
      <c r="Z34477" s="258"/>
    </row>
    <row r="34478" spans="1:26" ht="12.75" customHeight="1" x14ac:dyDescent="0.2">
      <c r="A34478" s="258"/>
      <c r="Z34478" s="258"/>
    </row>
    <row r="34479" spans="1:26" ht="12.75" customHeight="1" x14ac:dyDescent="0.2">
      <c r="A34479" s="258"/>
      <c r="Z34479" s="258"/>
    </row>
    <row r="34480" spans="1:26" ht="12.75" customHeight="1" x14ac:dyDescent="0.2">
      <c r="A34480" s="258"/>
      <c r="Z34480" s="258"/>
    </row>
    <row r="34481" spans="1:26" ht="12.75" customHeight="1" x14ac:dyDescent="0.2">
      <c r="A34481" s="258"/>
      <c r="Z34481" s="258"/>
    </row>
    <row r="34482" spans="1:26" ht="12.75" customHeight="1" x14ac:dyDescent="0.2">
      <c r="A34482" s="258"/>
      <c r="Z34482" s="258"/>
    </row>
    <row r="34483" spans="1:26" ht="12.75" customHeight="1" x14ac:dyDescent="0.2">
      <c r="A34483" s="258"/>
      <c r="Z34483" s="258"/>
    </row>
    <row r="34484" spans="1:26" ht="12.75" customHeight="1" x14ac:dyDescent="0.2">
      <c r="A34484" s="258"/>
      <c r="Z34484" s="258"/>
    </row>
    <row r="34485" spans="1:26" ht="12.75" customHeight="1" x14ac:dyDescent="0.2">
      <c r="A34485" s="258"/>
      <c r="Z34485" s="258"/>
    </row>
    <row r="34486" spans="1:26" ht="12.75" customHeight="1" x14ac:dyDescent="0.2">
      <c r="A34486" s="258"/>
      <c r="Z34486" s="258"/>
    </row>
    <row r="34487" spans="1:26" ht="12.75" customHeight="1" x14ac:dyDescent="0.2">
      <c r="A34487" s="258"/>
      <c r="Z34487" s="258"/>
    </row>
    <row r="34488" spans="1:26" ht="12.75" customHeight="1" x14ac:dyDescent="0.2">
      <c r="A34488" s="258"/>
      <c r="Z34488" s="258"/>
    </row>
    <row r="34489" spans="1:26" ht="12.75" customHeight="1" x14ac:dyDescent="0.2">
      <c r="A34489" s="258"/>
      <c r="Z34489" s="258"/>
    </row>
    <row r="34490" spans="1:26" ht="12.75" customHeight="1" x14ac:dyDescent="0.2">
      <c r="A34490" s="258"/>
      <c r="Z34490" s="258"/>
    </row>
    <row r="34491" spans="1:26" ht="12.75" customHeight="1" x14ac:dyDescent="0.2">
      <c r="A34491" s="258"/>
      <c r="Z34491" s="258"/>
    </row>
    <row r="34492" spans="1:26" ht="12.75" customHeight="1" x14ac:dyDescent="0.2">
      <c r="A34492" s="258"/>
      <c r="Z34492" s="258"/>
    </row>
    <row r="34493" spans="1:26" ht="12.75" customHeight="1" x14ac:dyDescent="0.2">
      <c r="A34493" s="258"/>
      <c r="Z34493" s="258"/>
    </row>
    <row r="34494" spans="1:26" ht="12.75" customHeight="1" x14ac:dyDescent="0.2">
      <c r="A34494" s="258"/>
      <c r="Z34494" s="258"/>
    </row>
    <row r="34495" spans="1:26" ht="12.75" customHeight="1" x14ac:dyDescent="0.2">
      <c r="A34495" s="258"/>
      <c r="Z34495" s="258"/>
    </row>
    <row r="34496" spans="1:26" ht="12.75" customHeight="1" x14ac:dyDescent="0.2">
      <c r="A34496" s="258"/>
      <c r="Z34496" s="258"/>
    </row>
    <row r="34497" spans="1:26" ht="12.75" customHeight="1" x14ac:dyDescent="0.2">
      <c r="A34497" s="258"/>
      <c r="Z34497" s="258"/>
    </row>
    <row r="34498" spans="1:26" ht="12.75" customHeight="1" x14ac:dyDescent="0.2">
      <c r="A34498" s="258"/>
      <c r="Z34498" s="258"/>
    </row>
    <row r="34499" spans="1:26" ht="12.75" customHeight="1" x14ac:dyDescent="0.2">
      <c r="A34499" s="258"/>
      <c r="Z34499" s="258"/>
    </row>
    <row r="34500" spans="1:26" ht="12.75" customHeight="1" x14ac:dyDescent="0.2">
      <c r="A34500" s="258"/>
      <c r="Z34500" s="258"/>
    </row>
    <row r="34501" spans="1:26" ht="12.75" customHeight="1" x14ac:dyDescent="0.2">
      <c r="A34501" s="258"/>
      <c r="Z34501" s="258"/>
    </row>
    <row r="34502" spans="1:26" ht="12.75" customHeight="1" x14ac:dyDescent="0.2">
      <c r="A34502" s="258"/>
      <c r="Z34502" s="258"/>
    </row>
    <row r="34503" spans="1:26" ht="12.75" customHeight="1" x14ac:dyDescent="0.2">
      <c r="A34503" s="258"/>
      <c r="Z34503" s="258"/>
    </row>
    <row r="34504" spans="1:26" ht="12.75" customHeight="1" x14ac:dyDescent="0.2">
      <c r="A34504" s="258"/>
      <c r="Z34504" s="258"/>
    </row>
    <row r="34505" spans="1:26" ht="12.75" customHeight="1" x14ac:dyDescent="0.2">
      <c r="A34505" s="258"/>
      <c r="Z34505" s="258"/>
    </row>
    <row r="34506" spans="1:26" ht="12.75" customHeight="1" x14ac:dyDescent="0.2">
      <c r="A34506" s="258"/>
      <c r="Z34506" s="258"/>
    </row>
    <row r="34507" spans="1:26" ht="12.75" customHeight="1" x14ac:dyDescent="0.2">
      <c r="A34507" s="258"/>
      <c r="Z34507" s="258"/>
    </row>
    <row r="34508" spans="1:26" ht="12.75" customHeight="1" x14ac:dyDescent="0.2">
      <c r="A34508" s="258"/>
      <c r="Z34508" s="258"/>
    </row>
    <row r="34509" spans="1:26" ht="12.75" customHeight="1" x14ac:dyDescent="0.2">
      <c r="A34509" s="258"/>
      <c r="Z34509" s="258"/>
    </row>
    <row r="34510" spans="1:26" ht="12.75" customHeight="1" x14ac:dyDescent="0.2">
      <c r="A34510" s="258"/>
      <c r="Z34510" s="258"/>
    </row>
    <row r="34511" spans="1:26" ht="12.75" customHeight="1" x14ac:dyDescent="0.2">
      <c r="A34511" s="258"/>
      <c r="Z34511" s="258"/>
    </row>
    <row r="34512" spans="1:26" ht="12.75" customHeight="1" x14ac:dyDescent="0.2">
      <c r="A34512" s="258"/>
      <c r="Z34512" s="258"/>
    </row>
    <row r="34513" spans="1:26" ht="12.75" customHeight="1" x14ac:dyDescent="0.2">
      <c r="A34513" s="258"/>
      <c r="Z34513" s="258"/>
    </row>
    <row r="34514" spans="1:26" ht="12.75" customHeight="1" x14ac:dyDescent="0.2">
      <c r="A34514" s="258"/>
      <c r="Z34514" s="258"/>
    </row>
    <row r="34515" spans="1:26" ht="12.75" customHeight="1" x14ac:dyDescent="0.2">
      <c r="A34515" s="258"/>
      <c r="Z34515" s="258"/>
    </row>
    <row r="34516" spans="1:26" ht="12.75" customHeight="1" x14ac:dyDescent="0.2">
      <c r="A34516" s="258"/>
      <c r="Z34516" s="258"/>
    </row>
    <row r="34517" spans="1:26" ht="12.75" customHeight="1" x14ac:dyDescent="0.2">
      <c r="A34517" s="258"/>
      <c r="Z34517" s="258"/>
    </row>
    <row r="34518" spans="1:26" ht="12.75" customHeight="1" x14ac:dyDescent="0.2">
      <c r="A34518" s="258"/>
      <c r="Z34518" s="258"/>
    </row>
    <row r="34519" spans="1:26" ht="12.75" customHeight="1" x14ac:dyDescent="0.2">
      <c r="A34519" s="258"/>
      <c r="Z34519" s="258"/>
    </row>
    <row r="34520" spans="1:26" ht="12.75" customHeight="1" x14ac:dyDescent="0.2">
      <c r="A34520" s="258"/>
      <c r="Z34520" s="258"/>
    </row>
    <row r="34521" spans="1:26" ht="12.75" customHeight="1" x14ac:dyDescent="0.2">
      <c r="A34521" s="258"/>
      <c r="Z34521" s="258"/>
    </row>
    <row r="34522" spans="1:26" ht="12.75" customHeight="1" x14ac:dyDescent="0.2">
      <c r="A34522" s="258"/>
      <c r="Z34522" s="258"/>
    </row>
    <row r="34523" spans="1:26" ht="12.75" customHeight="1" x14ac:dyDescent="0.2">
      <c r="A34523" s="258"/>
      <c r="Z34523" s="258"/>
    </row>
    <row r="34524" spans="1:26" ht="12.75" customHeight="1" x14ac:dyDescent="0.2">
      <c r="A34524" s="258"/>
      <c r="Z34524" s="258"/>
    </row>
    <row r="34525" spans="1:26" ht="12.75" customHeight="1" x14ac:dyDescent="0.2">
      <c r="A34525" s="258"/>
      <c r="Z34525" s="258"/>
    </row>
    <row r="34526" spans="1:26" ht="12.75" customHeight="1" x14ac:dyDescent="0.2">
      <c r="A34526" s="258"/>
      <c r="Z34526" s="258"/>
    </row>
    <row r="34527" spans="1:26" ht="12.75" customHeight="1" x14ac:dyDescent="0.2">
      <c r="A34527" s="258"/>
      <c r="Z34527" s="258"/>
    </row>
    <row r="34528" spans="1:26" ht="12.75" customHeight="1" x14ac:dyDescent="0.2">
      <c r="A34528" s="258"/>
      <c r="Z34528" s="258"/>
    </row>
    <row r="34529" spans="1:26" ht="12.75" customHeight="1" x14ac:dyDescent="0.2">
      <c r="A34529" s="258"/>
      <c r="Z34529" s="258"/>
    </row>
    <row r="34530" spans="1:26" ht="12.75" customHeight="1" x14ac:dyDescent="0.2">
      <c r="A34530" s="258"/>
      <c r="Z34530" s="258"/>
    </row>
    <row r="34531" spans="1:26" ht="12.75" customHeight="1" x14ac:dyDescent="0.2">
      <c r="A34531" s="258"/>
      <c r="Z34531" s="258"/>
    </row>
    <row r="34532" spans="1:26" ht="12.75" customHeight="1" x14ac:dyDescent="0.2">
      <c r="A34532" s="258"/>
      <c r="Z34532" s="258"/>
    </row>
    <row r="34533" spans="1:26" ht="12.75" customHeight="1" x14ac:dyDescent="0.2">
      <c r="A34533" s="258"/>
      <c r="Z34533" s="258"/>
    </row>
    <row r="34534" spans="1:26" ht="12.75" customHeight="1" x14ac:dyDescent="0.2">
      <c r="A34534" s="258"/>
      <c r="Z34534" s="258"/>
    </row>
    <row r="34535" spans="1:26" ht="12.75" customHeight="1" x14ac:dyDescent="0.2">
      <c r="A34535" s="258"/>
      <c r="Z34535" s="258"/>
    </row>
    <row r="34536" spans="1:26" ht="12.75" customHeight="1" x14ac:dyDescent="0.2">
      <c r="A34536" s="258"/>
      <c r="Z34536" s="258"/>
    </row>
    <row r="34537" spans="1:26" ht="12.75" customHeight="1" x14ac:dyDescent="0.2">
      <c r="A34537" s="258"/>
      <c r="Z34537" s="258"/>
    </row>
    <row r="34538" spans="1:26" ht="12.75" customHeight="1" x14ac:dyDescent="0.2">
      <c r="A34538" s="258"/>
      <c r="Z34538" s="258"/>
    </row>
    <row r="34539" spans="1:26" ht="12.75" customHeight="1" x14ac:dyDescent="0.2">
      <c r="A34539" s="258"/>
      <c r="Z34539" s="258"/>
    </row>
    <row r="34540" spans="1:26" ht="12.75" customHeight="1" x14ac:dyDescent="0.2">
      <c r="A34540" s="258"/>
      <c r="Z34540" s="258"/>
    </row>
    <row r="34541" spans="1:26" ht="12.75" customHeight="1" x14ac:dyDescent="0.2">
      <c r="A34541" s="258"/>
      <c r="Z34541" s="258"/>
    </row>
    <row r="34542" spans="1:26" ht="12.75" customHeight="1" x14ac:dyDescent="0.2">
      <c r="A34542" s="258"/>
      <c r="Z34542" s="258"/>
    </row>
    <row r="34543" spans="1:26" ht="12.75" customHeight="1" x14ac:dyDescent="0.2">
      <c r="A34543" s="258"/>
      <c r="Z34543" s="258"/>
    </row>
    <row r="34544" spans="1:26" ht="12.75" customHeight="1" x14ac:dyDescent="0.2">
      <c r="A34544" s="258"/>
      <c r="Z34544" s="258"/>
    </row>
    <row r="34545" spans="1:26" ht="12.75" customHeight="1" x14ac:dyDescent="0.2">
      <c r="A34545" s="258"/>
      <c r="Z34545" s="258"/>
    </row>
    <row r="34546" spans="1:26" ht="12.75" customHeight="1" x14ac:dyDescent="0.2">
      <c r="A34546" s="258"/>
      <c r="Z34546" s="258"/>
    </row>
    <row r="34547" spans="1:26" ht="12.75" customHeight="1" x14ac:dyDescent="0.2">
      <c r="A34547" s="258"/>
      <c r="Z34547" s="258"/>
    </row>
    <row r="34548" spans="1:26" ht="12.75" customHeight="1" x14ac:dyDescent="0.2">
      <c r="A34548" s="258"/>
      <c r="Z34548" s="258"/>
    </row>
    <row r="34549" spans="1:26" ht="12.75" customHeight="1" x14ac:dyDescent="0.2">
      <c r="A34549" s="258"/>
      <c r="Z34549" s="258"/>
    </row>
    <row r="34550" spans="1:26" ht="12.75" customHeight="1" x14ac:dyDescent="0.2">
      <c r="A34550" s="258"/>
      <c r="Z34550" s="258"/>
    </row>
    <row r="34551" spans="1:26" ht="12.75" customHeight="1" x14ac:dyDescent="0.2">
      <c r="A34551" s="258"/>
      <c r="Z34551" s="258"/>
    </row>
    <row r="34552" spans="1:26" ht="12.75" customHeight="1" x14ac:dyDescent="0.2">
      <c r="A34552" s="258"/>
      <c r="Z34552" s="258"/>
    </row>
    <row r="34553" spans="1:26" ht="12.75" customHeight="1" x14ac:dyDescent="0.2">
      <c r="A34553" s="258"/>
      <c r="Z34553" s="258"/>
    </row>
    <row r="34554" spans="1:26" ht="12.75" customHeight="1" x14ac:dyDescent="0.2">
      <c r="A34554" s="258"/>
      <c r="Z34554" s="258"/>
    </row>
    <row r="34555" spans="1:26" ht="12.75" customHeight="1" x14ac:dyDescent="0.2">
      <c r="A34555" s="258"/>
      <c r="Z34555" s="258"/>
    </row>
    <row r="34556" spans="1:26" ht="12.75" customHeight="1" x14ac:dyDescent="0.2">
      <c r="A34556" s="258"/>
      <c r="Z34556" s="258"/>
    </row>
    <row r="34557" spans="1:26" ht="12.75" customHeight="1" x14ac:dyDescent="0.2">
      <c r="A34557" s="258"/>
      <c r="Z34557" s="258"/>
    </row>
    <row r="34558" spans="1:26" ht="12.75" customHeight="1" x14ac:dyDescent="0.2">
      <c r="A34558" s="258"/>
      <c r="Z34558" s="258"/>
    </row>
    <row r="34559" spans="1:26" ht="12.75" customHeight="1" x14ac:dyDescent="0.2">
      <c r="A34559" s="258"/>
      <c r="Z34559" s="258"/>
    </row>
    <row r="34560" spans="1:26" ht="12.75" customHeight="1" x14ac:dyDescent="0.2">
      <c r="A34560" s="258"/>
      <c r="Z34560" s="258"/>
    </row>
    <row r="34561" spans="1:26" ht="12.75" customHeight="1" x14ac:dyDescent="0.2">
      <c r="A34561" s="258"/>
      <c r="Z34561" s="258"/>
    </row>
    <row r="34562" spans="1:26" ht="12.75" customHeight="1" x14ac:dyDescent="0.2">
      <c r="A34562" s="258"/>
      <c r="Z34562" s="258"/>
    </row>
    <row r="34563" spans="1:26" ht="12.75" customHeight="1" x14ac:dyDescent="0.2">
      <c r="A34563" s="258"/>
      <c r="Z34563" s="258"/>
    </row>
    <row r="34564" spans="1:26" ht="12.75" customHeight="1" x14ac:dyDescent="0.2">
      <c r="A34564" s="258"/>
      <c r="Z34564" s="258"/>
    </row>
    <row r="34565" spans="1:26" ht="12.75" customHeight="1" x14ac:dyDescent="0.2">
      <c r="A34565" s="258"/>
      <c r="Z34565" s="258"/>
    </row>
    <row r="34566" spans="1:26" ht="12.75" customHeight="1" x14ac:dyDescent="0.2">
      <c r="A34566" s="258"/>
      <c r="Z34566" s="258"/>
    </row>
    <row r="34567" spans="1:26" ht="12.75" customHeight="1" x14ac:dyDescent="0.2">
      <c r="A34567" s="258"/>
      <c r="Z34567" s="258"/>
    </row>
    <row r="34568" spans="1:26" ht="12.75" customHeight="1" x14ac:dyDescent="0.2">
      <c r="A34568" s="258"/>
      <c r="Z34568" s="258"/>
    </row>
    <row r="34569" spans="1:26" ht="12.75" customHeight="1" x14ac:dyDescent="0.2">
      <c r="A34569" s="258"/>
      <c r="Z34569" s="258"/>
    </row>
    <row r="34570" spans="1:26" ht="12.75" customHeight="1" x14ac:dyDescent="0.2">
      <c r="A34570" s="258"/>
      <c r="Z34570" s="258"/>
    </row>
    <row r="34571" spans="1:26" ht="12.75" customHeight="1" x14ac:dyDescent="0.2">
      <c r="A34571" s="258"/>
      <c r="Z34571" s="258"/>
    </row>
    <row r="34572" spans="1:26" ht="12.75" customHeight="1" x14ac:dyDescent="0.2">
      <c r="A34572" s="258"/>
      <c r="Z34572" s="258"/>
    </row>
    <row r="34573" spans="1:26" ht="12.75" customHeight="1" x14ac:dyDescent="0.2">
      <c r="A34573" s="258"/>
      <c r="Z34573" s="258"/>
    </row>
    <row r="34574" spans="1:26" ht="12.75" customHeight="1" x14ac:dyDescent="0.2">
      <c r="A34574" s="258"/>
      <c r="Z34574" s="258"/>
    </row>
    <row r="34575" spans="1:26" ht="12.75" customHeight="1" x14ac:dyDescent="0.2">
      <c r="A34575" s="258"/>
      <c r="Z34575" s="258"/>
    </row>
    <row r="34576" spans="1:26" ht="12.75" customHeight="1" x14ac:dyDescent="0.2">
      <c r="A34576" s="258"/>
      <c r="Z34576" s="258"/>
    </row>
    <row r="34577" spans="1:26" ht="12.75" customHeight="1" x14ac:dyDescent="0.2">
      <c r="A34577" s="258"/>
      <c r="Z34577" s="258"/>
    </row>
    <row r="34578" spans="1:26" ht="12.75" customHeight="1" x14ac:dyDescent="0.2">
      <c r="A34578" s="258"/>
      <c r="Z34578" s="258"/>
    </row>
    <row r="34579" spans="1:26" ht="12.75" customHeight="1" x14ac:dyDescent="0.2">
      <c r="A34579" s="258"/>
      <c r="Z34579" s="258"/>
    </row>
    <row r="34580" spans="1:26" ht="12.75" customHeight="1" x14ac:dyDescent="0.2">
      <c r="A34580" s="258"/>
      <c r="Z34580" s="258"/>
    </row>
    <row r="34581" spans="1:26" ht="12.75" customHeight="1" x14ac:dyDescent="0.2">
      <c r="A34581" s="258"/>
      <c r="Z34581" s="258"/>
    </row>
    <row r="34582" spans="1:26" ht="12.75" customHeight="1" x14ac:dyDescent="0.2">
      <c r="A34582" s="258"/>
      <c r="Z34582" s="258"/>
    </row>
    <row r="34583" spans="1:26" ht="12.75" customHeight="1" x14ac:dyDescent="0.2">
      <c r="A34583" s="258"/>
      <c r="Z34583" s="258"/>
    </row>
    <row r="34584" spans="1:26" ht="12.75" customHeight="1" x14ac:dyDescent="0.2">
      <c r="A34584" s="258"/>
      <c r="Z34584" s="258"/>
    </row>
    <row r="34585" spans="1:26" ht="12.75" customHeight="1" x14ac:dyDescent="0.2">
      <c r="A34585" s="258"/>
      <c r="Z34585" s="258"/>
    </row>
    <row r="34586" spans="1:26" ht="12.75" customHeight="1" x14ac:dyDescent="0.2">
      <c r="A34586" s="258"/>
      <c r="Z34586" s="258"/>
    </row>
    <row r="34587" spans="1:26" ht="12.75" customHeight="1" x14ac:dyDescent="0.2">
      <c r="A34587" s="258"/>
      <c r="Z34587" s="258"/>
    </row>
    <row r="34588" spans="1:26" ht="12.75" customHeight="1" x14ac:dyDescent="0.2">
      <c r="A34588" s="258"/>
      <c r="Z34588" s="258"/>
    </row>
    <row r="34589" spans="1:26" ht="12.75" customHeight="1" x14ac:dyDescent="0.2">
      <c r="A34589" s="258"/>
      <c r="Z34589" s="258"/>
    </row>
    <row r="34590" spans="1:26" ht="12.75" customHeight="1" x14ac:dyDescent="0.2">
      <c r="A34590" s="258"/>
      <c r="Z34590" s="258"/>
    </row>
    <row r="34591" spans="1:26" ht="12.75" customHeight="1" x14ac:dyDescent="0.2">
      <c r="A34591" s="258"/>
      <c r="Z34591" s="258"/>
    </row>
    <row r="34592" spans="1:26" ht="12.75" customHeight="1" x14ac:dyDescent="0.2">
      <c r="A34592" s="258"/>
      <c r="Z34592" s="258"/>
    </row>
    <row r="34593" spans="1:26" ht="12.75" customHeight="1" x14ac:dyDescent="0.2">
      <c r="A34593" s="258"/>
      <c r="Z34593" s="258"/>
    </row>
    <row r="34594" spans="1:26" ht="12.75" customHeight="1" x14ac:dyDescent="0.2">
      <c r="A34594" s="258"/>
      <c r="Z34594" s="258"/>
    </row>
    <row r="34595" spans="1:26" ht="12.75" customHeight="1" x14ac:dyDescent="0.2">
      <c r="A34595" s="258"/>
      <c r="Z34595" s="258"/>
    </row>
    <row r="34596" spans="1:26" ht="12.75" customHeight="1" x14ac:dyDescent="0.2">
      <c r="A34596" s="258"/>
      <c r="Z34596" s="258"/>
    </row>
    <row r="34597" spans="1:26" ht="12.75" customHeight="1" x14ac:dyDescent="0.2">
      <c r="A34597" s="258"/>
      <c r="Z34597" s="258"/>
    </row>
    <row r="34598" spans="1:26" ht="12.75" customHeight="1" x14ac:dyDescent="0.2">
      <c r="A34598" s="258"/>
      <c r="Z34598" s="258"/>
    </row>
    <row r="34599" spans="1:26" ht="12.75" customHeight="1" x14ac:dyDescent="0.2">
      <c r="A34599" s="258"/>
      <c r="Z34599" s="258"/>
    </row>
    <row r="34600" spans="1:26" ht="12.75" customHeight="1" x14ac:dyDescent="0.2">
      <c r="A34600" s="258"/>
      <c r="Z34600" s="258"/>
    </row>
    <row r="34601" spans="1:26" ht="12.75" customHeight="1" x14ac:dyDescent="0.2">
      <c r="A34601" s="258"/>
      <c r="Z34601" s="258"/>
    </row>
    <row r="34602" spans="1:26" ht="12.75" customHeight="1" x14ac:dyDescent="0.2">
      <c r="A34602" s="258"/>
      <c r="Z34602" s="258"/>
    </row>
    <row r="34603" spans="1:26" ht="12.75" customHeight="1" x14ac:dyDescent="0.2">
      <c r="A34603" s="258"/>
      <c r="Z34603" s="258"/>
    </row>
    <row r="34604" spans="1:26" ht="12.75" customHeight="1" x14ac:dyDescent="0.2">
      <c r="A34604" s="258"/>
      <c r="Z34604" s="258"/>
    </row>
    <row r="34605" spans="1:26" ht="12.75" customHeight="1" x14ac:dyDescent="0.2">
      <c r="A34605" s="258"/>
      <c r="Z34605" s="258"/>
    </row>
    <row r="34606" spans="1:26" ht="12.75" customHeight="1" x14ac:dyDescent="0.2">
      <c r="A34606" s="258"/>
      <c r="Z34606" s="258"/>
    </row>
    <row r="34607" spans="1:26" ht="12.75" customHeight="1" x14ac:dyDescent="0.2">
      <c r="A34607" s="258"/>
      <c r="Z34607" s="258"/>
    </row>
    <row r="34608" spans="1:26" ht="12.75" customHeight="1" x14ac:dyDescent="0.2">
      <c r="A34608" s="258"/>
      <c r="Z34608" s="258"/>
    </row>
    <row r="34609" spans="1:26" ht="12.75" customHeight="1" x14ac:dyDescent="0.2">
      <c r="A34609" s="258"/>
      <c r="Z34609" s="258"/>
    </row>
    <row r="34610" spans="1:26" ht="12.75" customHeight="1" x14ac:dyDescent="0.2">
      <c r="A34610" s="258"/>
      <c r="Z34610" s="258"/>
    </row>
    <row r="34611" spans="1:26" ht="12.75" customHeight="1" x14ac:dyDescent="0.2">
      <c r="A34611" s="258"/>
      <c r="Z34611" s="258"/>
    </row>
    <row r="34612" spans="1:26" ht="12.75" customHeight="1" x14ac:dyDescent="0.2">
      <c r="A34612" s="258"/>
      <c r="Z34612" s="258"/>
    </row>
    <row r="34613" spans="1:26" ht="12.75" customHeight="1" x14ac:dyDescent="0.2">
      <c r="A34613" s="258"/>
      <c r="Z34613" s="258"/>
    </row>
    <row r="34614" spans="1:26" ht="12.75" customHeight="1" x14ac:dyDescent="0.2">
      <c r="A34614" s="258"/>
      <c r="Z34614" s="258"/>
    </row>
    <row r="34615" spans="1:26" ht="12.75" customHeight="1" x14ac:dyDescent="0.2">
      <c r="A34615" s="258"/>
      <c r="Z34615" s="258"/>
    </row>
    <row r="34616" spans="1:26" ht="12.75" customHeight="1" x14ac:dyDescent="0.2">
      <c r="A34616" s="258"/>
      <c r="Z34616" s="258"/>
    </row>
    <row r="34617" spans="1:26" ht="12.75" customHeight="1" x14ac:dyDescent="0.2">
      <c r="A34617" s="258"/>
      <c r="Z34617" s="258"/>
    </row>
    <row r="34618" spans="1:26" ht="12.75" customHeight="1" x14ac:dyDescent="0.2">
      <c r="A34618" s="258"/>
      <c r="Z34618" s="258"/>
    </row>
    <row r="34619" spans="1:26" ht="12.75" customHeight="1" x14ac:dyDescent="0.2">
      <c r="A34619" s="258"/>
      <c r="Z34619" s="258"/>
    </row>
    <row r="34620" spans="1:26" ht="12.75" customHeight="1" x14ac:dyDescent="0.2">
      <c r="A34620" s="258"/>
      <c r="Z34620" s="258"/>
    </row>
    <row r="34621" spans="1:26" ht="12.75" customHeight="1" x14ac:dyDescent="0.2">
      <c r="A34621" s="258"/>
      <c r="Z34621" s="258"/>
    </row>
    <row r="34622" spans="1:26" ht="12.75" customHeight="1" x14ac:dyDescent="0.2">
      <c r="A34622" s="258"/>
      <c r="Z34622" s="258"/>
    </row>
    <row r="34623" spans="1:26" ht="12.75" customHeight="1" x14ac:dyDescent="0.2">
      <c r="A34623" s="258"/>
      <c r="Z34623" s="258"/>
    </row>
    <row r="34624" spans="1:26" ht="12.75" customHeight="1" x14ac:dyDescent="0.2">
      <c r="A34624" s="258"/>
      <c r="Z34624" s="258"/>
    </row>
    <row r="34625" spans="1:26" ht="12.75" customHeight="1" x14ac:dyDescent="0.2">
      <c r="A34625" s="258"/>
      <c r="Z34625" s="258"/>
    </row>
    <row r="34626" spans="1:26" ht="12.75" customHeight="1" x14ac:dyDescent="0.2">
      <c r="A34626" s="258"/>
      <c r="Z34626" s="258"/>
    </row>
    <row r="34627" spans="1:26" ht="12.75" customHeight="1" x14ac:dyDescent="0.2">
      <c r="A34627" s="258"/>
      <c r="Z34627" s="258"/>
    </row>
    <row r="34628" spans="1:26" ht="12.75" customHeight="1" x14ac:dyDescent="0.2">
      <c r="A34628" s="258"/>
      <c r="Z34628" s="258"/>
    </row>
    <row r="34629" spans="1:26" ht="12.75" customHeight="1" x14ac:dyDescent="0.2">
      <c r="A34629" s="258"/>
      <c r="Z34629" s="258"/>
    </row>
    <row r="34630" spans="1:26" ht="12.75" customHeight="1" x14ac:dyDescent="0.2">
      <c r="A34630" s="258"/>
      <c r="Z34630" s="258"/>
    </row>
    <row r="34631" spans="1:26" ht="12.75" customHeight="1" x14ac:dyDescent="0.2">
      <c r="A34631" s="258"/>
      <c r="Z34631" s="258"/>
    </row>
    <row r="34632" spans="1:26" ht="12.75" customHeight="1" x14ac:dyDescent="0.2">
      <c r="A34632" s="258"/>
      <c r="Z34632" s="258"/>
    </row>
    <row r="34633" spans="1:26" ht="12.75" customHeight="1" x14ac:dyDescent="0.2">
      <c r="A34633" s="258"/>
      <c r="Z34633" s="258"/>
    </row>
    <row r="34634" spans="1:26" ht="12.75" customHeight="1" x14ac:dyDescent="0.2">
      <c r="A34634" s="258"/>
      <c r="Z34634" s="258"/>
    </row>
    <row r="34635" spans="1:26" ht="12.75" customHeight="1" x14ac:dyDescent="0.2">
      <c r="A34635" s="258"/>
      <c r="Z34635" s="258"/>
    </row>
    <row r="34636" spans="1:26" ht="12.75" customHeight="1" x14ac:dyDescent="0.2">
      <c r="A34636" s="258"/>
      <c r="Z34636" s="258"/>
    </row>
    <row r="34637" spans="1:26" ht="12.75" customHeight="1" x14ac:dyDescent="0.2">
      <c r="A34637" s="258"/>
      <c r="Z34637" s="258"/>
    </row>
    <row r="34638" spans="1:26" ht="12.75" customHeight="1" x14ac:dyDescent="0.2">
      <c r="A34638" s="258"/>
      <c r="Z34638" s="258"/>
    </row>
    <row r="34639" spans="1:26" ht="12.75" customHeight="1" x14ac:dyDescent="0.2">
      <c r="A34639" s="258"/>
      <c r="Z34639" s="258"/>
    </row>
    <row r="34640" spans="1:26" ht="12.75" customHeight="1" x14ac:dyDescent="0.2">
      <c r="A34640" s="258"/>
      <c r="Z34640" s="258"/>
    </row>
    <row r="34641" spans="1:26" ht="12.75" customHeight="1" x14ac:dyDescent="0.2">
      <c r="A34641" s="258"/>
      <c r="Z34641" s="258"/>
    </row>
    <row r="34642" spans="1:26" ht="12.75" customHeight="1" x14ac:dyDescent="0.2">
      <c r="A34642" s="258"/>
      <c r="Z34642" s="258"/>
    </row>
    <row r="34643" spans="1:26" ht="12.75" customHeight="1" x14ac:dyDescent="0.2">
      <c r="A34643" s="258"/>
      <c r="Z34643" s="258"/>
    </row>
    <row r="34644" spans="1:26" ht="12.75" customHeight="1" x14ac:dyDescent="0.2">
      <c r="A34644" s="258"/>
      <c r="Z34644" s="258"/>
    </row>
    <row r="34645" spans="1:26" ht="12.75" customHeight="1" x14ac:dyDescent="0.2">
      <c r="A34645" s="258"/>
      <c r="Z34645" s="258"/>
    </row>
    <row r="34646" spans="1:26" ht="12.75" customHeight="1" x14ac:dyDescent="0.2">
      <c r="A34646" s="258"/>
      <c r="Z34646" s="258"/>
    </row>
    <row r="34647" spans="1:26" ht="12.75" customHeight="1" x14ac:dyDescent="0.2">
      <c r="A34647" s="258"/>
      <c r="Z34647" s="258"/>
    </row>
    <row r="34648" spans="1:26" ht="12.75" customHeight="1" x14ac:dyDescent="0.2">
      <c r="A34648" s="258"/>
      <c r="Z34648" s="258"/>
    </row>
    <row r="34649" spans="1:26" ht="12.75" customHeight="1" x14ac:dyDescent="0.2">
      <c r="A34649" s="258"/>
      <c r="Z34649" s="258"/>
    </row>
    <row r="34650" spans="1:26" ht="12.75" customHeight="1" x14ac:dyDescent="0.2">
      <c r="A34650" s="258"/>
      <c r="Z34650" s="258"/>
    </row>
    <row r="34651" spans="1:26" ht="12.75" customHeight="1" x14ac:dyDescent="0.2">
      <c r="A34651" s="258"/>
      <c r="Z34651" s="258"/>
    </row>
    <row r="34652" spans="1:26" ht="12.75" customHeight="1" x14ac:dyDescent="0.2">
      <c r="A34652" s="258"/>
      <c r="Z34652" s="258"/>
    </row>
    <row r="34653" spans="1:26" ht="12.75" customHeight="1" x14ac:dyDescent="0.2">
      <c r="A34653" s="258"/>
      <c r="Z34653" s="258"/>
    </row>
    <row r="34654" spans="1:26" ht="12.75" customHeight="1" x14ac:dyDescent="0.2">
      <c r="A34654" s="258"/>
      <c r="Z34654" s="258"/>
    </row>
    <row r="34655" spans="1:26" ht="12.75" customHeight="1" x14ac:dyDescent="0.2">
      <c r="A34655" s="258"/>
      <c r="Z34655" s="258"/>
    </row>
    <row r="34656" spans="1:26" ht="12.75" customHeight="1" x14ac:dyDescent="0.2">
      <c r="A34656" s="258"/>
      <c r="Z34656" s="258"/>
    </row>
    <row r="34657" spans="1:26" ht="12.75" customHeight="1" x14ac:dyDescent="0.2">
      <c r="A34657" s="258"/>
      <c r="Z34657" s="258"/>
    </row>
    <row r="34658" spans="1:26" ht="12.75" customHeight="1" x14ac:dyDescent="0.2">
      <c r="A34658" s="258"/>
      <c r="Z34658" s="258"/>
    </row>
    <row r="34659" spans="1:26" ht="12.75" customHeight="1" x14ac:dyDescent="0.2">
      <c r="A34659" s="258"/>
      <c r="Z34659" s="258"/>
    </row>
    <row r="34660" spans="1:26" ht="12.75" customHeight="1" x14ac:dyDescent="0.2">
      <c r="A34660" s="258"/>
      <c r="Z34660" s="258"/>
    </row>
    <row r="34661" spans="1:26" ht="12.75" customHeight="1" x14ac:dyDescent="0.2">
      <c r="A34661" s="258"/>
      <c r="Z34661" s="258"/>
    </row>
    <row r="34662" spans="1:26" ht="12.75" customHeight="1" x14ac:dyDescent="0.2">
      <c r="A34662" s="258"/>
      <c r="Z34662" s="258"/>
    </row>
    <row r="34663" spans="1:26" ht="12.75" customHeight="1" x14ac:dyDescent="0.2">
      <c r="A34663" s="258"/>
      <c r="Z34663" s="258"/>
    </row>
    <row r="34664" spans="1:26" ht="12.75" customHeight="1" x14ac:dyDescent="0.2">
      <c r="A34664" s="258"/>
      <c r="Z34664" s="258"/>
    </row>
    <row r="34665" spans="1:26" ht="12.75" customHeight="1" x14ac:dyDescent="0.2">
      <c r="A34665" s="258"/>
      <c r="Z34665" s="258"/>
    </row>
    <row r="34666" spans="1:26" ht="12.75" customHeight="1" x14ac:dyDescent="0.2">
      <c r="A34666" s="258"/>
      <c r="Z34666" s="258"/>
    </row>
    <row r="34667" spans="1:26" ht="12.75" customHeight="1" x14ac:dyDescent="0.2">
      <c r="A34667" s="258"/>
      <c r="Z34667" s="258"/>
    </row>
    <row r="34668" spans="1:26" ht="12.75" customHeight="1" x14ac:dyDescent="0.2">
      <c r="A34668" s="258"/>
      <c r="Z34668" s="258"/>
    </row>
    <row r="34669" spans="1:26" ht="12.75" customHeight="1" x14ac:dyDescent="0.2">
      <c r="A34669" s="258"/>
      <c r="Z34669" s="258"/>
    </row>
    <row r="34670" spans="1:26" ht="12.75" customHeight="1" x14ac:dyDescent="0.2">
      <c r="A34670" s="258"/>
      <c r="Z34670" s="258"/>
    </row>
    <row r="34671" spans="1:26" ht="12.75" customHeight="1" x14ac:dyDescent="0.2">
      <c r="A34671" s="258"/>
      <c r="Z34671" s="258"/>
    </row>
    <row r="34672" spans="1:26" ht="12.75" customHeight="1" x14ac:dyDescent="0.2">
      <c r="A34672" s="258"/>
      <c r="Z34672" s="258"/>
    </row>
    <row r="34673" spans="1:26" ht="12.75" customHeight="1" x14ac:dyDescent="0.2">
      <c r="A34673" s="258"/>
      <c r="Z34673" s="258"/>
    </row>
    <row r="34674" spans="1:26" ht="12.75" customHeight="1" x14ac:dyDescent="0.2">
      <c r="A34674" s="258"/>
      <c r="Z34674" s="258"/>
    </row>
    <row r="34675" spans="1:26" ht="12.75" customHeight="1" x14ac:dyDescent="0.2">
      <c r="A34675" s="258"/>
      <c r="Z34675" s="258"/>
    </row>
    <row r="34676" spans="1:26" ht="12.75" customHeight="1" x14ac:dyDescent="0.2">
      <c r="A34676" s="258"/>
      <c r="Z34676" s="258"/>
    </row>
    <row r="34677" spans="1:26" ht="12.75" customHeight="1" x14ac:dyDescent="0.2">
      <c r="A34677" s="258"/>
      <c r="Z34677" s="258"/>
    </row>
    <row r="34678" spans="1:26" ht="12.75" customHeight="1" x14ac:dyDescent="0.2">
      <c r="A34678" s="258"/>
      <c r="Z34678" s="258"/>
    </row>
    <row r="34679" spans="1:26" ht="12.75" customHeight="1" x14ac:dyDescent="0.2">
      <c r="A34679" s="258"/>
      <c r="Z34679" s="258"/>
    </row>
    <row r="34680" spans="1:26" ht="12.75" customHeight="1" x14ac:dyDescent="0.2">
      <c r="A34680" s="258"/>
      <c r="Z34680" s="258"/>
    </row>
    <row r="34681" spans="1:26" ht="12.75" customHeight="1" x14ac:dyDescent="0.2">
      <c r="A34681" s="258"/>
      <c r="Z34681" s="258"/>
    </row>
    <row r="34682" spans="1:26" ht="12.75" customHeight="1" x14ac:dyDescent="0.2">
      <c r="A34682" s="258"/>
      <c r="Z34682" s="258"/>
    </row>
    <row r="34683" spans="1:26" ht="12.75" customHeight="1" x14ac:dyDescent="0.2">
      <c r="A34683" s="258"/>
      <c r="Z34683" s="258"/>
    </row>
    <row r="34684" spans="1:26" ht="12.75" customHeight="1" x14ac:dyDescent="0.2">
      <c r="A34684" s="258"/>
      <c r="Z34684" s="258"/>
    </row>
    <row r="34685" spans="1:26" ht="12.75" customHeight="1" x14ac:dyDescent="0.2">
      <c r="A34685" s="258"/>
      <c r="Z34685" s="258"/>
    </row>
    <row r="34686" spans="1:26" ht="12.75" customHeight="1" x14ac:dyDescent="0.2">
      <c r="A34686" s="258"/>
      <c r="Z34686" s="258"/>
    </row>
    <row r="34687" spans="1:26" ht="12.75" customHeight="1" x14ac:dyDescent="0.2">
      <c r="A34687" s="258"/>
      <c r="Z34687" s="258"/>
    </row>
    <row r="34688" spans="1:26" ht="12.75" customHeight="1" x14ac:dyDescent="0.2">
      <c r="A34688" s="258"/>
      <c r="Z34688" s="258"/>
    </row>
    <row r="34689" spans="1:26" ht="12.75" customHeight="1" x14ac:dyDescent="0.2">
      <c r="A34689" s="258"/>
      <c r="Z34689" s="258"/>
    </row>
    <row r="34690" spans="1:26" ht="12.75" customHeight="1" x14ac:dyDescent="0.2">
      <c r="A34690" s="258"/>
      <c r="Z34690" s="258"/>
    </row>
    <row r="34691" spans="1:26" ht="12.75" customHeight="1" x14ac:dyDescent="0.2">
      <c r="A34691" s="258"/>
      <c r="Z34691" s="258"/>
    </row>
    <row r="34692" spans="1:26" ht="12.75" customHeight="1" x14ac:dyDescent="0.2">
      <c r="A34692" s="258"/>
      <c r="Z34692" s="258"/>
    </row>
    <row r="34693" spans="1:26" ht="12.75" customHeight="1" x14ac:dyDescent="0.2">
      <c r="A34693" s="258"/>
      <c r="Z34693" s="258"/>
    </row>
    <row r="34694" spans="1:26" ht="12.75" customHeight="1" x14ac:dyDescent="0.2">
      <c r="A34694" s="258"/>
      <c r="Z34694" s="258"/>
    </row>
    <row r="34695" spans="1:26" ht="12.75" customHeight="1" x14ac:dyDescent="0.2">
      <c r="A34695" s="258"/>
      <c r="Z34695" s="258"/>
    </row>
    <row r="34696" spans="1:26" ht="12.75" customHeight="1" x14ac:dyDescent="0.2">
      <c r="A34696" s="258"/>
      <c r="Z34696" s="258"/>
    </row>
    <row r="34697" spans="1:26" ht="12.75" customHeight="1" x14ac:dyDescent="0.2">
      <c r="A34697" s="258"/>
      <c r="Z34697" s="258"/>
    </row>
    <row r="34698" spans="1:26" ht="12.75" customHeight="1" x14ac:dyDescent="0.2">
      <c r="A34698" s="258"/>
      <c r="Z34698" s="258"/>
    </row>
    <row r="34699" spans="1:26" ht="12.75" customHeight="1" x14ac:dyDescent="0.2">
      <c r="A34699" s="258"/>
      <c r="Z34699" s="258"/>
    </row>
    <row r="34700" spans="1:26" ht="12.75" customHeight="1" x14ac:dyDescent="0.2">
      <c r="A34700" s="258"/>
      <c r="Z34700" s="258"/>
    </row>
    <row r="34701" spans="1:26" ht="12.75" customHeight="1" x14ac:dyDescent="0.2">
      <c r="A34701" s="258"/>
      <c r="Z34701" s="258"/>
    </row>
    <row r="34702" spans="1:26" ht="12.75" customHeight="1" x14ac:dyDescent="0.2">
      <c r="A34702" s="258"/>
      <c r="Z34702" s="258"/>
    </row>
    <row r="34703" spans="1:26" ht="12.75" customHeight="1" x14ac:dyDescent="0.2">
      <c r="A34703" s="258"/>
      <c r="Z34703" s="258"/>
    </row>
    <row r="34704" spans="1:26" ht="12.75" customHeight="1" x14ac:dyDescent="0.2">
      <c r="A34704" s="258"/>
      <c r="Z34704" s="258"/>
    </row>
    <row r="34705" spans="1:26" ht="12.75" customHeight="1" x14ac:dyDescent="0.2">
      <c r="A34705" s="258"/>
      <c r="Z34705" s="258"/>
    </row>
    <row r="34706" spans="1:26" ht="12.75" customHeight="1" x14ac:dyDescent="0.2">
      <c r="A34706" s="258"/>
      <c r="Z34706" s="258"/>
    </row>
    <row r="34707" spans="1:26" ht="12.75" customHeight="1" x14ac:dyDescent="0.2">
      <c r="A34707" s="258"/>
      <c r="Z34707" s="258"/>
    </row>
    <row r="34708" spans="1:26" ht="12.75" customHeight="1" x14ac:dyDescent="0.2">
      <c r="A34708" s="258"/>
      <c r="Z34708" s="258"/>
    </row>
    <row r="34709" spans="1:26" ht="12.75" customHeight="1" x14ac:dyDescent="0.2">
      <c r="A34709" s="258"/>
      <c r="Z34709" s="258"/>
    </row>
    <row r="34710" spans="1:26" ht="12.75" customHeight="1" x14ac:dyDescent="0.2">
      <c r="A34710" s="258"/>
      <c r="Z34710" s="258"/>
    </row>
    <row r="34711" spans="1:26" ht="12.75" customHeight="1" x14ac:dyDescent="0.2">
      <c r="A34711" s="258"/>
      <c r="Z34711" s="258"/>
    </row>
    <row r="34712" spans="1:26" ht="12.75" customHeight="1" x14ac:dyDescent="0.2">
      <c r="A34712" s="258"/>
      <c r="Z34712" s="258"/>
    </row>
    <row r="34713" spans="1:26" ht="12.75" customHeight="1" x14ac:dyDescent="0.2">
      <c r="A34713" s="258"/>
      <c r="Z34713" s="258"/>
    </row>
    <row r="34714" spans="1:26" ht="12.75" customHeight="1" x14ac:dyDescent="0.2">
      <c r="A34714" s="258"/>
      <c r="Z34714" s="258"/>
    </row>
    <row r="34715" spans="1:26" ht="12.75" customHeight="1" x14ac:dyDescent="0.2">
      <c r="A34715" s="258"/>
      <c r="Z34715" s="258"/>
    </row>
    <row r="34716" spans="1:26" ht="12.75" customHeight="1" x14ac:dyDescent="0.2">
      <c r="A34716" s="258"/>
      <c r="Z34716" s="258"/>
    </row>
    <row r="34717" spans="1:26" ht="12.75" customHeight="1" x14ac:dyDescent="0.2">
      <c r="A34717" s="258"/>
      <c r="Z34717" s="258"/>
    </row>
    <row r="34718" spans="1:26" ht="12.75" customHeight="1" x14ac:dyDescent="0.2">
      <c r="A34718" s="258"/>
      <c r="Z34718" s="258"/>
    </row>
    <row r="34719" spans="1:26" ht="12.75" customHeight="1" x14ac:dyDescent="0.2">
      <c r="A34719" s="258"/>
      <c r="Z34719" s="258"/>
    </row>
    <row r="34720" spans="1:26" ht="12.75" customHeight="1" x14ac:dyDescent="0.2">
      <c r="A34720" s="258"/>
      <c r="Z34720" s="258"/>
    </row>
    <row r="34721" spans="1:26" ht="12.75" customHeight="1" x14ac:dyDescent="0.2">
      <c r="A34721" s="258"/>
      <c r="Z34721" s="258"/>
    </row>
    <row r="34722" spans="1:26" ht="12.75" customHeight="1" x14ac:dyDescent="0.2">
      <c r="A34722" s="258"/>
      <c r="Z34722" s="258"/>
    </row>
    <row r="34723" spans="1:26" ht="12.75" customHeight="1" x14ac:dyDescent="0.2">
      <c r="A34723" s="258"/>
      <c r="Z34723" s="258"/>
    </row>
    <row r="34724" spans="1:26" ht="12.75" customHeight="1" x14ac:dyDescent="0.2">
      <c r="A34724" s="258"/>
      <c r="Z34724" s="258"/>
    </row>
    <row r="34725" spans="1:26" ht="12.75" customHeight="1" x14ac:dyDescent="0.2">
      <c r="A34725" s="258"/>
      <c r="Z34725" s="258"/>
    </row>
    <row r="34726" spans="1:26" ht="12.75" customHeight="1" x14ac:dyDescent="0.2">
      <c r="A34726" s="258"/>
      <c r="Z34726" s="258"/>
    </row>
    <row r="34727" spans="1:26" ht="12.75" customHeight="1" x14ac:dyDescent="0.2">
      <c r="A34727" s="258"/>
      <c r="Z34727" s="258"/>
    </row>
    <row r="34728" spans="1:26" ht="12.75" customHeight="1" x14ac:dyDescent="0.2">
      <c r="A34728" s="258"/>
      <c r="Z34728" s="258"/>
    </row>
    <row r="34729" spans="1:26" ht="12.75" customHeight="1" x14ac:dyDescent="0.2">
      <c r="A34729" s="258"/>
      <c r="Z34729" s="258"/>
    </row>
    <row r="34730" spans="1:26" ht="12.75" customHeight="1" x14ac:dyDescent="0.2">
      <c r="A34730" s="258"/>
      <c r="Z34730" s="258"/>
    </row>
    <row r="34731" spans="1:26" ht="12.75" customHeight="1" x14ac:dyDescent="0.2">
      <c r="A34731" s="258"/>
      <c r="Z34731" s="258"/>
    </row>
    <row r="34732" spans="1:26" ht="12.75" customHeight="1" x14ac:dyDescent="0.2">
      <c r="A34732" s="258"/>
      <c r="Z34732" s="258"/>
    </row>
    <row r="34733" spans="1:26" ht="12.75" customHeight="1" x14ac:dyDescent="0.2">
      <c r="A34733" s="258"/>
      <c r="Z34733" s="258"/>
    </row>
    <row r="34734" spans="1:26" ht="12.75" customHeight="1" x14ac:dyDescent="0.2">
      <c r="A34734" s="258"/>
      <c r="Z34734" s="258"/>
    </row>
    <row r="34735" spans="1:26" ht="12.75" customHeight="1" x14ac:dyDescent="0.2">
      <c r="A34735" s="258"/>
      <c r="Z34735" s="258"/>
    </row>
    <row r="34736" spans="1:26" ht="12.75" customHeight="1" x14ac:dyDescent="0.2">
      <c r="A34736" s="258"/>
      <c r="Z34736" s="258"/>
    </row>
    <row r="34737" spans="1:26" ht="12.75" customHeight="1" x14ac:dyDescent="0.2">
      <c r="A34737" s="258"/>
      <c r="Z34737" s="258"/>
    </row>
    <row r="34738" spans="1:26" ht="12.75" customHeight="1" x14ac:dyDescent="0.2">
      <c r="A34738" s="258"/>
      <c r="Z34738" s="258"/>
    </row>
    <row r="34739" spans="1:26" ht="12.75" customHeight="1" x14ac:dyDescent="0.2">
      <c r="A34739" s="258"/>
      <c r="Z34739" s="258"/>
    </row>
    <row r="34740" spans="1:26" ht="12.75" customHeight="1" x14ac:dyDescent="0.2">
      <c r="A34740" s="258"/>
      <c r="Z34740" s="258"/>
    </row>
    <row r="34741" spans="1:26" ht="12.75" customHeight="1" x14ac:dyDescent="0.2">
      <c r="A34741" s="258"/>
      <c r="Z34741" s="258"/>
    </row>
    <row r="34742" spans="1:26" ht="12.75" customHeight="1" x14ac:dyDescent="0.2">
      <c r="A34742" s="258"/>
      <c r="Z34742" s="258"/>
    </row>
    <row r="34743" spans="1:26" ht="12.75" customHeight="1" x14ac:dyDescent="0.2">
      <c r="A34743" s="258"/>
      <c r="Z34743" s="258"/>
    </row>
    <row r="34744" spans="1:26" ht="12.75" customHeight="1" x14ac:dyDescent="0.2">
      <c r="A34744" s="258"/>
      <c r="Z34744" s="258"/>
    </row>
    <row r="34745" spans="1:26" ht="12.75" customHeight="1" x14ac:dyDescent="0.2">
      <c r="A34745" s="258"/>
      <c r="Z34745" s="258"/>
    </row>
    <row r="34746" spans="1:26" ht="12.75" customHeight="1" x14ac:dyDescent="0.2">
      <c r="A34746" s="258"/>
      <c r="Z34746" s="258"/>
    </row>
    <row r="34747" spans="1:26" ht="12.75" customHeight="1" x14ac:dyDescent="0.2">
      <c r="A34747" s="258"/>
      <c r="Z34747" s="258"/>
    </row>
    <row r="34748" spans="1:26" ht="12.75" customHeight="1" x14ac:dyDescent="0.2">
      <c r="A34748" s="258"/>
      <c r="Z34748" s="258"/>
    </row>
    <row r="34749" spans="1:26" ht="12.75" customHeight="1" x14ac:dyDescent="0.2">
      <c r="A34749" s="258"/>
      <c r="Z34749" s="258"/>
    </row>
    <row r="34750" spans="1:26" ht="12.75" customHeight="1" x14ac:dyDescent="0.2">
      <c r="A34750" s="258"/>
      <c r="Z34750" s="258"/>
    </row>
    <row r="34751" spans="1:26" ht="12.75" customHeight="1" x14ac:dyDescent="0.2">
      <c r="A34751" s="258"/>
      <c r="Z34751" s="258"/>
    </row>
    <row r="34752" spans="1:26" ht="12.75" customHeight="1" x14ac:dyDescent="0.2">
      <c r="A34752" s="258"/>
      <c r="Z34752" s="258"/>
    </row>
    <row r="34753" spans="1:26" ht="12.75" customHeight="1" x14ac:dyDescent="0.2">
      <c r="A34753" s="258"/>
      <c r="Z34753" s="258"/>
    </row>
    <row r="34754" spans="1:26" ht="12.75" customHeight="1" x14ac:dyDescent="0.2">
      <c r="A34754" s="258"/>
      <c r="Z34754" s="258"/>
    </row>
    <row r="34755" spans="1:26" ht="12.75" customHeight="1" x14ac:dyDescent="0.2">
      <c r="A34755" s="258"/>
      <c r="Z34755" s="258"/>
    </row>
    <row r="34756" spans="1:26" ht="12.75" customHeight="1" x14ac:dyDescent="0.2">
      <c r="A34756" s="258"/>
      <c r="Z34756" s="258"/>
    </row>
    <row r="34757" spans="1:26" ht="12.75" customHeight="1" x14ac:dyDescent="0.2">
      <c r="A34757" s="258"/>
      <c r="Z34757" s="258"/>
    </row>
    <row r="34758" spans="1:26" ht="12.75" customHeight="1" x14ac:dyDescent="0.2">
      <c r="A34758" s="258"/>
      <c r="Z34758" s="258"/>
    </row>
    <row r="34759" spans="1:26" ht="12.75" customHeight="1" x14ac:dyDescent="0.2">
      <c r="A34759" s="258"/>
      <c r="Z34759" s="258"/>
    </row>
    <row r="34760" spans="1:26" ht="12.75" customHeight="1" x14ac:dyDescent="0.2">
      <c r="A34760" s="258"/>
      <c r="Z34760" s="258"/>
    </row>
    <row r="34761" spans="1:26" ht="12.75" customHeight="1" x14ac:dyDescent="0.2">
      <c r="A34761" s="258"/>
      <c r="Z34761" s="258"/>
    </row>
    <row r="34762" spans="1:26" ht="12.75" customHeight="1" x14ac:dyDescent="0.2">
      <c r="A34762" s="258"/>
      <c r="Z34762" s="258"/>
    </row>
    <row r="34763" spans="1:26" ht="12.75" customHeight="1" x14ac:dyDescent="0.2">
      <c r="A34763" s="258"/>
      <c r="Z34763" s="258"/>
    </row>
    <row r="34764" spans="1:26" ht="12.75" customHeight="1" x14ac:dyDescent="0.2">
      <c r="A34764" s="258"/>
      <c r="Z34764" s="258"/>
    </row>
    <row r="34765" spans="1:26" ht="12.75" customHeight="1" x14ac:dyDescent="0.2">
      <c r="A34765" s="258"/>
      <c r="Z34765" s="258"/>
    </row>
    <row r="34766" spans="1:26" ht="12.75" customHeight="1" x14ac:dyDescent="0.2">
      <c r="A34766" s="258"/>
      <c r="Z34766" s="258"/>
    </row>
    <row r="34767" spans="1:26" ht="12.75" customHeight="1" x14ac:dyDescent="0.2">
      <c r="A34767" s="258"/>
      <c r="Z34767" s="258"/>
    </row>
    <row r="34768" spans="1:26" ht="12.75" customHeight="1" x14ac:dyDescent="0.2">
      <c r="A34768" s="258"/>
      <c r="Z34768" s="258"/>
    </row>
    <row r="34769" spans="1:26" ht="12.75" customHeight="1" x14ac:dyDescent="0.2">
      <c r="A34769" s="258"/>
      <c r="Z34769" s="258"/>
    </row>
    <row r="34770" spans="1:26" ht="12.75" customHeight="1" x14ac:dyDescent="0.2">
      <c r="A34770" s="258"/>
      <c r="Z34770" s="258"/>
    </row>
    <row r="34771" spans="1:26" ht="12.75" customHeight="1" x14ac:dyDescent="0.2">
      <c r="A34771" s="258"/>
      <c r="Z34771" s="258"/>
    </row>
    <row r="34772" spans="1:26" ht="12.75" customHeight="1" x14ac:dyDescent="0.2">
      <c r="A34772" s="258"/>
      <c r="Z34772" s="258"/>
    </row>
    <row r="34773" spans="1:26" ht="12.75" customHeight="1" x14ac:dyDescent="0.2">
      <c r="A34773" s="258"/>
      <c r="Z34773" s="258"/>
    </row>
    <row r="34774" spans="1:26" ht="12.75" customHeight="1" x14ac:dyDescent="0.2">
      <c r="A34774" s="258"/>
      <c r="Z34774" s="258"/>
    </row>
    <row r="34775" spans="1:26" ht="12.75" customHeight="1" x14ac:dyDescent="0.2">
      <c r="A34775" s="258"/>
      <c r="Z34775" s="258"/>
    </row>
    <row r="34776" spans="1:26" ht="12.75" customHeight="1" x14ac:dyDescent="0.2">
      <c r="A34776" s="258"/>
      <c r="Z34776" s="258"/>
    </row>
    <row r="34777" spans="1:26" ht="12.75" customHeight="1" x14ac:dyDescent="0.2">
      <c r="A34777" s="258"/>
      <c r="Z34777" s="258"/>
    </row>
    <row r="34778" spans="1:26" ht="12.75" customHeight="1" x14ac:dyDescent="0.2">
      <c r="A34778" s="258"/>
      <c r="Z34778" s="258"/>
    </row>
    <row r="34779" spans="1:26" ht="12.75" customHeight="1" x14ac:dyDescent="0.2">
      <c r="A34779" s="258"/>
      <c r="Z34779" s="258"/>
    </row>
    <row r="34780" spans="1:26" ht="12.75" customHeight="1" x14ac:dyDescent="0.2">
      <c r="A34780" s="258"/>
      <c r="Z34780" s="258"/>
    </row>
    <row r="34781" spans="1:26" ht="12.75" customHeight="1" x14ac:dyDescent="0.2">
      <c r="A34781" s="258"/>
      <c r="Z34781" s="258"/>
    </row>
    <row r="34782" spans="1:26" ht="12.75" customHeight="1" x14ac:dyDescent="0.2">
      <c r="A34782" s="258"/>
      <c r="Z34782" s="258"/>
    </row>
    <row r="34783" spans="1:26" ht="12.75" customHeight="1" x14ac:dyDescent="0.2">
      <c r="A34783" s="258"/>
      <c r="Z34783" s="258"/>
    </row>
    <row r="34784" spans="1:26" ht="12.75" customHeight="1" x14ac:dyDescent="0.2">
      <c r="A34784" s="258"/>
      <c r="Z34784" s="258"/>
    </row>
    <row r="34785" spans="1:26" ht="12.75" customHeight="1" x14ac:dyDescent="0.2">
      <c r="A34785" s="258"/>
      <c r="Z34785" s="258"/>
    </row>
    <row r="34786" spans="1:26" ht="12.75" customHeight="1" x14ac:dyDescent="0.2">
      <c r="A34786" s="258"/>
      <c r="Z34786" s="258"/>
    </row>
    <row r="34787" spans="1:26" ht="12.75" customHeight="1" x14ac:dyDescent="0.2">
      <c r="A34787" s="258"/>
      <c r="Z34787" s="258"/>
    </row>
    <row r="34788" spans="1:26" ht="12.75" customHeight="1" x14ac:dyDescent="0.2">
      <c r="A34788" s="258"/>
      <c r="Z34788" s="258"/>
    </row>
    <row r="34789" spans="1:26" ht="12.75" customHeight="1" x14ac:dyDescent="0.2">
      <c r="A34789" s="258"/>
      <c r="Z34789" s="258"/>
    </row>
    <row r="34790" spans="1:26" ht="12.75" customHeight="1" x14ac:dyDescent="0.2">
      <c r="A34790" s="258"/>
      <c r="Z34790" s="258"/>
    </row>
    <row r="34791" spans="1:26" ht="12.75" customHeight="1" x14ac:dyDescent="0.2">
      <c r="A34791" s="258"/>
      <c r="Z34791" s="258"/>
    </row>
    <row r="34792" spans="1:26" ht="12.75" customHeight="1" x14ac:dyDescent="0.2">
      <c r="A34792" s="258"/>
      <c r="Z34792" s="258"/>
    </row>
    <row r="34793" spans="1:26" ht="12.75" customHeight="1" x14ac:dyDescent="0.2">
      <c r="A34793" s="258"/>
      <c r="Z34793" s="258"/>
    </row>
    <row r="34794" spans="1:26" ht="12.75" customHeight="1" x14ac:dyDescent="0.2">
      <c r="A34794" s="258"/>
      <c r="Z34794" s="258"/>
    </row>
    <row r="34795" spans="1:26" ht="12.75" customHeight="1" x14ac:dyDescent="0.2">
      <c r="A34795" s="258"/>
      <c r="Z34795" s="258"/>
    </row>
    <row r="34796" spans="1:26" ht="12.75" customHeight="1" x14ac:dyDescent="0.2">
      <c r="A34796" s="258"/>
      <c r="Z34796" s="258"/>
    </row>
    <row r="34797" spans="1:26" ht="12.75" customHeight="1" x14ac:dyDescent="0.2">
      <c r="A34797" s="258"/>
      <c r="Z34797" s="258"/>
    </row>
    <row r="34798" spans="1:26" ht="12.75" customHeight="1" x14ac:dyDescent="0.2">
      <c r="A34798" s="258"/>
      <c r="Z34798" s="258"/>
    </row>
    <row r="34799" spans="1:26" ht="12.75" customHeight="1" x14ac:dyDescent="0.2">
      <c r="A34799" s="258"/>
      <c r="Z34799" s="258"/>
    </row>
    <row r="34800" spans="1:26" ht="12.75" customHeight="1" x14ac:dyDescent="0.2">
      <c r="A34800" s="258"/>
      <c r="Z34800" s="258"/>
    </row>
    <row r="34801" spans="1:26" ht="12.75" customHeight="1" x14ac:dyDescent="0.2">
      <c r="A34801" s="258"/>
      <c r="Z34801" s="258"/>
    </row>
    <row r="34802" spans="1:26" ht="12.75" customHeight="1" x14ac:dyDescent="0.2">
      <c r="A34802" s="258"/>
      <c r="Z34802" s="258"/>
    </row>
    <row r="34803" spans="1:26" ht="12.75" customHeight="1" x14ac:dyDescent="0.2">
      <c r="A34803" s="258"/>
      <c r="Z34803" s="258"/>
    </row>
    <row r="34804" spans="1:26" ht="12.75" customHeight="1" x14ac:dyDescent="0.2">
      <c r="A34804" s="258"/>
      <c r="Z34804" s="258"/>
    </row>
    <row r="34805" spans="1:26" ht="12.75" customHeight="1" x14ac:dyDescent="0.2">
      <c r="A34805" s="258"/>
      <c r="Z34805" s="258"/>
    </row>
    <row r="34806" spans="1:26" ht="12.75" customHeight="1" x14ac:dyDescent="0.2">
      <c r="A34806" s="258"/>
      <c r="Z34806" s="258"/>
    </row>
    <row r="34807" spans="1:26" ht="12.75" customHeight="1" x14ac:dyDescent="0.2">
      <c r="A34807" s="258"/>
      <c r="Z34807" s="258"/>
    </row>
    <row r="34808" spans="1:26" ht="12.75" customHeight="1" x14ac:dyDescent="0.2">
      <c r="A34808" s="258"/>
      <c r="Z34808" s="258"/>
    </row>
    <row r="34809" spans="1:26" ht="12.75" customHeight="1" x14ac:dyDescent="0.2">
      <c r="A34809" s="258"/>
      <c r="Z34809" s="258"/>
    </row>
    <row r="34810" spans="1:26" ht="12.75" customHeight="1" x14ac:dyDescent="0.2">
      <c r="A34810" s="258"/>
      <c r="Z34810" s="258"/>
    </row>
    <row r="34811" spans="1:26" ht="12.75" customHeight="1" x14ac:dyDescent="0.2">
      <c r="A34811" s="258"/>
      <c r="Z34811" s="258"/>
    </row>
    <row r="34812" spans="1:26" ht="12.75" customHeight="1" x14ac:dyDescent="0.2">
      <c r="A34812" s="258"/>
      <c r="Z34812" s="258"/>
    </row>
    <row r="34813" spans="1:26" ht="12.75" customHeight="1" x14ac:dyDescent="0.2">
      <c r="A34813" s="258"/>
      <c r="Z34813" s="258"/>
    </row>
    <row r="34814" spans="1:26" ht="12.75" customHeight="1" x14ac:dyDescent="0.2">
      <c r="A34814" s="258"/>
      <c r="Z34814" s="258"/>
    </row>
    <row r="34815" spans="1:26" ht="12.75" customHeight="1" x14ac:dyDescent="0.2">
      <c r="A34815" s="258"/>
      <c r="Z34815" s="258"/>
    </row>
    <row r="34816" spans="1:26" ht="12.75" customHeight="1" x14ac:dyDescent="0.2">
      <c r="A34816" s="258"/>
      <c r="Z34816" s="258"/>
    </row>
    <row r="34817" spans="1:26" ht="12.75" customHeight="1" x14ac:dyDescent="0.2">
      <c r="A34817" s="258"/>
      <c r="Z34817" s="258"/>
    </row>
    <row r="34818" spans="1:26" ht="12.75" customHeight="1" x14ac:dyDescent="0.2">
      <c r="A34818" s="258"/>
      <c r="Z34818" s="258"/>
    </row>
    <row r="34819" spans="1:26" ht="12.75" customHeight="1" x14ac:dyDescent="0.2">
      <c r="A34819" s="258"/>
      <c r="Z34819" s="258"/>
    </row>
    <row r="34820" spans="1:26" ht="12.75" customHeight="1" x14ac:dyDescent="0.2">
      <c r="A34820" s="258"/>
      <c r="Z34820" s="258"/>
    </row>
    <row r="34821" spans="1:26" ht="12.75" customHeight="1" x14ac:dyDescent="0.2">
      <c r="A34821" s="258"/>
      <c r="Z34821" s="258"/>
    </row>
    <row r="34822" spans="1:26" ht="12.75" customHeight="1" x14ac:dyDescent="0.2">
      <c r="A34822" s="258"/>
      <c r="Z34822" s="258"/>
    </row>
    <row r="34823" spans="1:26" ht="12.75" customHeight="1" x14ac:dyDescent="0.2">
      <c r="A34823" s="258"/>
      <c r="Z34823" s="258"/>
    </row>
    <row r="34824" spans="1:26" ht="12.75" customHeight="1" x14ac:dyDescent="0.2">
      <c r="A34824" s="258"/>
      <c r="Z34824" s="258"/>
    </row>
    <row r="34825" spans="1:26" ht="12.75" customHeight="1" x14ac:dyDescent="0.2">
      <c r="A34825" s="258"/>
      <c r="Z34825" s="258"/>
    </row>
    <row r="34826" spans="1:26" ht="12.75" customHeight="1" x14ac:dyDescent="0.2">
      <c r="A34826" s="258"/>
      <c r="Z34826" s="258"/>
    </row>
    <row r="34827" spans="1:26" ht="12.75" customHeight="1" x14ac:dyDescent="0.2">
      <c r="A34827" s="258"/>
      <c r="Z34827" s="258"/>
    </row>
    <row r="34828" spans="1:26" ht="12.75" customHeight="1" x14ac:dyDescent="0.2">
      <c r="A34828" s="258"/>
      <c r="Z34828" s="258"/>
    </row>
    <row r="34829" spans="1:26" ht="12.75" customHeight="1" x14ac:dyDescent="0.2">
      <c r="A34829" s="258"/>
      <c r="Z34829" s="258"/>
    </row>
    <row r="34830" spans="1:26" ht="12.75" customHeight="1" x14ac:dyDescent="0.2">
      <c r="A34830" s="258"/>
      <c r="Z34830" s="258"/>
    </row>
    <row r="34831" spans="1:26" ht="12.75" customHeight="1" x14ac:dyDescent="0.2">
      <c r="A34831" s="258"/>
      <c r="Z34831" s="258"/>
    </row>
    <row r="34832" spans="1:26" ht="12.75" customHeight="1" x14ac:dyDescent="0.2">
      <c r="A34832" s="258"/>
      <c r="Z34832" s="258"/>
    </row>
    <row r="34833" spans="1:26" ht="12.75" customHeight="1" x14ac:dyDescent="0.2">
      <c r="A34833" s="258"/>
      <c r="Z34833" s="258"/>
    </row>
    <row r="34834" spans="1:26" ht="12.75" customHeight="1" x14ac:dyDescent="0.2">
      <c r="A34834" s="258"/>
      <c r="Z34834" s="258"/>
    </row>
    <row r="34835" spans="1:26" ht="12.75" customHeight="1" x14ac:dyDescent="0.2">
      <c r="A34835" s="258"/>
      <c r="Z34835" s="258"/>
    </row>
    <row r="34836" spans="1:26" ht="12.75" customHeight="1" x14ac:dyDescent="0.2">
      <c r="A34836" s="258"/>
      <c r="Z34836" s="258"/>
    </row>
    <row r="34837" spans="1:26" ht="12.75" customHeight="1" x14ac:dyDescent="0.2">
      <c r="A34837" s="258"/>
      <c r="Z34837" s="258"/>
    </row>
    <row r="34838" spans="1:26" ht="12.75" customHeight="1" x14ac:dyDescent="0.2">
      <c r="A34838" s="258"/>
      <c r="Z34838" s="258"/>
    </row>
    <row r="34839" spans="1:26" ht="12.75" customHeight="1" x14ac:dyDescent="0.2">
      <c r="A34839" s="258"/>
      <c r="Z34839" s="258"/>
    </row>
    <row r="34840" spans="1:26" ht="12.75" customHeight="1" x14ac:dyDescent="0.2">
      <c r="A34840" s="258"/>
      <c r="Z34840" s="258"/>
    </row>
    <row r="34841" spans="1:26" ht="12.75" customHeight="1" x14ac:dyDescent="0.2">
      <c r="A34841" s="258"/>
      <c r="Z34841" s="258"/>
    </row>
    <row r="34842" spans="1:26" ht="12.75" customHeight="1" x14ac:dyDescent="0.2">
      <c r="A34842" s="258"/>
      <c r="Z34842" s="258"/>
    </row>
    <row r="34843" spans="1:26" ht="12.75" customHeight="1" x14ac:dyDescent="0.2">
      <c r="A34843" s="258"/>
      <c r="Z34843" s="258"/>
    </row>
    <row r="34844" spans="1:26" ht="12.75" customHeight="1" x14ac:dyDescent="0.2">
      <c r="A34844" s="258"/>
      <c r="Z34844" s="258"/>
    </row>
    <row r="34845" spans="1:26" ht="12.75" customHeight="1" x14ac:dyDescent="0.2">
      <c r="A34845" s="258"/>
      <c r="Z34845" s="258"/>
    </row>
    <row r="34846" spans="1:26" ht="12.75" customHeight="1" x14ac:dyDescent="0.2">
      <c r="A34846" s="258"/>
      <c r="Z34846" s="258"/>
    </row>
    <row r="34847" spans="1:26" ht="12.75" customHeight="1" x14ac:dyDescent="0.2">
      <c r="A34847" s="258"/>
      <c r="Z34847" s="258"/>
    </row>
    <row r="34848" spans="1:26" ht="12.75" customHeight="1" x14ac:dyDescent="0.2">
      <c r="A34848" s="258"/>
      <c r="Z34848" s="258"/>
    </row>
    <row r="34849" spans="1:26" ht="12.75" customHeight="1" x14ac:dyDescent="0.2">
      <c r="A34849" s="258"/>
      <c r="Z34849" s="258"/>
    </row>
    <row r="34850" spans="1:26" ht="12.75" customHeight="1" x14ac:dyDescent="0.2">
      <c r="A34850" s="258"/>
      <c r="Z34850" s="258"/>
    </row>
    <row r="34851" spans="1:26" ht="12.75" customHeight="1" x14ac:dyDescent="0.2">
      <c r="A34851" s="258"/>
      <c r="Z34851" s="258"/>
    </row>
    <row r="34852" spans="1:26" ht="12.75" customHeight="1" x14ac:dyDescent="0.2">
      <c r="A34852" s="258"/>
      <c r="Z34852" s="258"/>
    </row>
    <row r="34853" spans="1:26" ht="12.75" customHeight="1" x14ac:dyDescent="0.2">
      <c r="A34853" s="258"/>
      <c r="Z34853" s="258"/>
    </row>
    <row r="34854" spans="1:26" ht="12.75" customHeight="1" x14ac:dyDescent="0.2">
      <c r="A34854" s="258"/>
      <c r="Z34854" s="258"/>
    </row>
    <row r="34855" spans="1:26" ht="12.75" customHeight="1" x14ac:dyDescent="0.2">
      <c r="A34855" s="258"/>
      <c r="Z34855" s="258"/>
    </row>
    <row r="34856" spans="1:26" ht="12.75" customHeight="1" x14ac:dyDescent="0.2">
      <c r="A34856" s="258"/>
      <c r="Z34856" s="258"/>
    </row>
    <row r="34857" spans="1:26" ht="12.75" customHeight="1" x14ac:dyDescent="0.2">
      <c r="A34857" s="258"/>
      <c r="Z34857" s="258"/>
    </row>
    <row r="34858" spans="1:26" ht="12.75" customHeight="1" x14ac:dyDescent="0.2">
      <c r="A34858" s="258"/>
      <c r="Z34858" s="258"/>
    </row>
    <row r="34859" spans="1:26" ht="12.75" customHeight="1" x14ac:dyDescent="0.2">
      <c r="A34859" s="258"/>
      <c r="Z34859" s="258"/>
    </row>
    <row r="34860" spans="1:26" ht="12.75" customHeight="1" x14ac:dyDescent="0.2">
      <c r="A34860" s="258"/>
      <c r="Z34860" s="258"/>
    </row>
    <row r="34861" spans="1:26" ht="12.75" customHeight="1" x14ac:dyDescent="0.2">
      <c r="A34861" s="258"/>
      <c r="Z34861" s="258"/>
    </row>
    <row r="34862" spans="1:26" ht="12.75" customHeight="1" x14ac:dyDescent="0.2">
      <c r="A34862" s="258"/>
      <c r="Z34862" s="258"/>
    </row>
    <row r="34863" spans="1:26" ht="12.75" customHeight="1" x14ac:dyDescent="0.2">
      <c r="A34863" s="258"/>
      <c r="Z34863" s="258"/>
    </row>
    <row r="34864" spans="1:26" ht="12.75" customHeight="1" x14ac:dyDescent="0.2">
      <c r="A34864" s="258"/>
      <c r="Z34864" s="258"/>
    </row>
    <row r="34865" spans="1:26" ht="12.75" customHeight="1" x14ac:dyDescent="0.2">
      <c r="A34865" s="258"/>
      <c r="Z34865" s="258"/>
    </row>
    <row r="34866" spans="1:26" ht="12.75" customHeight="1" x14ac:dyDescent="0.2">
      <c r="A34866" s="258"/>
      <c r="Z34866" s="258"/>
    </row>
    <row r="34867" spans="1:26" ht="12.75" customHeight="1" x14ac:dyDescent="0.2">
      <c r="A34867" s="258"/>
      <c r="Z34867" s="258"/>
    </row>
    <row r="34868" spans="1:26" ht="12.75" customHeight="1" x14ac:dyDescent="0.2">
      <c r="A34868" s="258"/>
      <c r="Z34868" s="258"/>
    </row>
    <row r="34869" spans="1:26" ht="12.75" customHeight="1" x14ac:dyDescent="0.2">
      <c r="A34869" s="258"/>
      <c r="Z34869" s="258"/>
    </row>
    <row r="34870" spans="1:26" ht="12.75" customHeight="1" x14ac:dyDescent="0.2">
      <c r="A34870" s="258"/>
      <c r="Z34870" s="258"/>
    </row>
    <row r="34871" spans="1:26" ht="12.75" customHeight="1" x14ac:dyDescent="0.2">
      <c r="A34871" s="258"/>
      <c r="Z34871" s="258"/>
    </row>
    <row r="34872" spans="1:26" ht="12.75" customHeight="1" x14ac:dyDescent="0.2">
      <c r="A34872" s="258"/>
      <c r="Z34872" s="258"/>
    </row>
    <row r="34873" spans="1:26" ht="12.75" customHeight="1" x14ac:dyDescent="0.2">
      <c r="A34873" s="258"/>
      <c r="Z34873" s="258"/>
    </row>
    <row r="34874" spans="1:26" ht="12.75" customHeight="1" x14ac:dyDescent="0.2">
      <c r="A34874" s="258"/>
      <c r="Z34874" s="258"/>
    </row>
    <row r="34875" spans="1:26" ht="12.75" customHeight="1" x14ac:dyDescent="0.2">
      <c r="A34875" s="258"/>
      <c r="Z34875" s="258"/>
    </row>
    <row r="34876" spans="1:26" ht="12.75" customHeight="1" x14ac:dyDescent="0.2">
      <c r="A34876" s="258"/>
      <c r="Z34876" s="258"/>
    </row>
    <row r="34877" spans="1:26" ht="12.75" customHeight="1" x14ac:dyDescent="0.2">
      <c r="A34877" s="258"/>
      <c r="Z34877" s="258"/>
    </row>
    <row r="34878" spans="1:26" ht="12.75" customHeight="1" x14ac:dyDescent="0.2">
      <c r="A34878" s="258"/>
      <c r="Z34878" s="258"/>
    </row>
    <row r="34879" spans="1:26" ht="12.75" customHeight="1" x14ac:dyDescent="0.2">
      <c r="A34879" s="258"/>
      <c r="Z34879" s="258"/>
    </row>
    <row r="34880" spans="1:26" ht="12.75" customHeight="1" x14ac:dyDescent="0.2">
      <c r="A34880" s="258"/>
      <c r="Z34880" s="258"/>
    </row>
    <row r="34881" spans="1:26" ht="12.75" customHeight="1" x14ac:dyDescent="0.2">
      <c r="A34881" s="258"/>
      <c r="Z34881" s="258"/>
    </row>
    <row r="34882" spans="1:26" ht="12.75" customHeight="1" x14ac:dyDescent="0.2">
      <c r="A34882" s="258"/>
      <c r="Z34882" s="258"/>
    </row>
    <row r="34883" spans="1:26" ht="12.75" customHeight="1" x14ac:dyDescent="0.2">
      <c r="A34883" s="258"/>
      <c r="Z34883" s="258"/>
    </row>
    <row r="34884" spans="1:26" ht="12.75" customHeight="1" x14ac:dyDescent="0.2">
      <c r="A34884" s="258"/>
      <c r="Z34884" s="258"/>
    </row>
    <row r="34885" spans="1:26" ht="12.75" customHeight="1" x14ac:dyDescent="0.2">
      <c r="A34885" s="258"/>
      <c r="Z34885" s="258"/>
    </row>
    <row r="34886" spans="1:26" ht="12.75" customHeight="1" x14ac:dyDescent="0.2">
      <c r="A34886" s="258"/>
      <c r="Z34886" s="258"/>
    </row>
    <row r="34887" spans="1:26" ht="12.75" customHeight="1" x14ac:dyDescent="0.2">
      <c r="A34887" s="258"/>
      <c r="Z34887" s="258"/>
    </row>
    <row r="34888" spans="1:26" ht="12.75" customHeight="1" x14ac:dyDescent="0.2">
      <c r="A34888" s="258"/>
      <c r="Z34888" s="258"/>
    </row>
    <row r="34889" spans="1:26" ht="12.75" customHeight="1" x14ac:dyDescent="0.2">
      <c r="A34889" s="258"/>
      <c r="Z34889" s="258"/>
    </row>
    <row r="34890" spans="1:26" ht="12.75" customHeight="1" x14ac:dyDescent="0.2">
      <c r="A34890" s="258"/>
      <c r="Z34890" s="258"/>
    </row>
    <row r="34891" spans="1:26" ht="12.75" customHeight="1" x14ac:dyDescent="0.2">
      <c r="A34891" s="258"/>
      <c r="Z34891" s="258"/>
    </row>
    <row r="34892" spans="1:26" ht="12.75" customHeight="1" x14ac:dyDescent="0.2">
      <c r="A34892" s="258"/>
      <c r="Z34892" s="258"/>
    </row>
    <row r="34893" spans="1:26" ht="12.75" customHeight="1" x14ac:dyDescent="0.2">
      <c r="A34893" s="258"/>
      <c r="Z34893" s="258"/>
    </row>
    <row r="34894" spans="1:26" ht="12.75" customHeight="1" x14ac:dyDescent="0.2">
      <c r="A34894" s="258"/>
      <c r="Z34894" s="258"/>
    </row>
    <row r="34895" spans="1:26" ht="12.75" customHeight="1" x14ac:dyDescent="0.2">
      <c r="A34895" s="258"/>
      <c r="Z34895" s="258"/>
    </row>
    <row r="34896" spans="1:26" ht="12.75" customHeight="1" x14ac:dyDescent="0.2">
      <c r="A34896" s="258"/>
      <c r="Z34896" s="258"/>
    </row>
    <row r="34897" spans="1:26" ht="12.75" customHeight="1" x14ac:dyDescent="0.2">
      <c r="A34897" s="258"/>
      <c r="Z34897" s="258"/>
    </row>
    <row r="34898" spans="1:26" ht="12.75" customHeight="1" x14ac:dyDescent="0.2">
      <c r="A34898" s="258"/>
      <c r="Z34898" s="258"/>
    </row>
    <row r="34899" spans="1:26" ht="12.75" customHeight="1" x14ac:dyDescent="0.2">
      <c r="A34899" s="258"/>
      <c r="Z34899" s="258"/>
    </row>
    <row r="34900" spans="1:26" ht="12.75" customHeight="1" x14ac:dyDescent="0.2">
      <c r="A34900" s="258"/>
      <c r="Z34900" s="258"/>
    </row>
    <row r="34901" spans="1:26" ht="12.75" customHeight="1" x14ac:dyDescent="0.2">
      <c r="A34901" s="258"/>
      <c r="Z34901" s="258"/>
    </row>
    <row r="34902" spans="1:26" ht="12.75" customHeight="1" x14ac:dyDescent="0.2">
      <c r="A34902" s="258"/>
      <c r="Z34902" s="258"/>
    </row>
    <row r="34903" spans="1:26" ht="12.75" customHeight="1" x14ac:dyDescent="0.2">
      <c r="A34903" s="258"/>
      <c r="Z34903" s="258"/>
    </row>
    <row r="34904" spans="1:26" ht="12.75" customHeight="1" x14ac:dyDescent="0.2">
      <c r="A34904" s="258"/>
      <c r="Z34904" s="258"/>
    </row>
    <row r="34905" spans="1:26" ht="12.75" customHeight="1" x14ac:dyDescent="0.2">
      <c r="A34905" s="258"/>
      <c r="Z34905" s="258"/>
    </row>
    <row r="34906" spans="1:26" ht="12.75" customHeight="1" x14ac:dyDescent="0.2">
      <c r="A34906" s="258"/>
      <c r="Z34906" s="258"/>
    </row>
    <row r="34907" spans="1:26" ht="12.75" customHeight="1" x14ac:dyDescent="0.2">
      <c r="A34907" s="258"/>
      <c r="Z34907" s="258"/>
    </row>
    <row r="34908" spans="1:26" ht="12.75" customHeight="1" x14ac:dyDescent="0.2">
      <c r="A34908" s="258"/>
      <c r="Z34908" s="258"/>
    </row>
    <row r="34909" spans="1:26" ht="12.75" customHeight="1" x14ac:dyDescent="0.2">
      <c r="A34909" s="258"/>
      <c r="Z34909" s="258"/>
    </row>
    <row r="34910" spans="1:26" ht="12.75" customHeight="1" x14ac:dyDescent="0.2">
      <c r="A34910" s="258"/>
      <c r="Z34910" s="258"/>
    </row>
    <row r="34911" spans="1:26" ht="12.75" customHeight="1" x14ac:dyDescent="0.2">
      <c r="A34911" s="258"/>
      <c r="Z34911" s="258"/>
    </row>
    <row r="34912" spans="1:26" ht="12.75" customHeight="1" x14ac:dyDescent="0.2">
      <c r="A34912" s="258"/>
      <c r="Z34912" s="258"/>
    </row>
    <row r="34913" spans="1:26" ht="12.75" customHeight="1" x14ac:dyDescent="0.2">
      <c r="A34913" s="258"/>
      <c r="Z34913" s="258"/>
    </row>
    <row r="34914" spans="1:26" ht="12.75" customHeight="1" x14ac:dyDescent="0.2">
      <c r="A34914" s="258"/>
      <c r="Z34914" s="258"/>
    </row>
    <row r="34915" spans="1:26" ht="12.75" customHeight="1" x14ac:dyDescent="0.2">
      <c r="A34915" s="258"/>
      <c r="Z34915" s="258"/>
    </row>
    <row r="34916" spans="1:26" ht="12.75" customHeight="1" x14ac:dyDescent="0.2">
      <c r="A34916" s="258"/>
      <c r="Z34916" s="258"/>
    </row>
    <row r="34917" spans="1:26" ht="12.75" customHeight="1" x14ac:dyDescent="0.2">
      <c r="A34917" s="258"/>
      <c r="Z34917" s="258"/>
    </row>
    <row r="34918" spans="1:26" ht="12.75" customHeight="1" x14ac:dyDescent="0.2">
      <c r="A34918" s="258"/>
      <c r="Z34918" s="258"/>
    </row>
    <row r="34919" spans="1:26" ht="12.75" customHeight="1" x14ac:dyDescent="0.2">
      <c r="A34919" s="258"/>
      <c r="Z34919" s="258"/>
    </row>
    <row r="34920" spans="1:26" ht="12.75" customHeight="1" x14ac:dyDescent="0.2">
      <c r="A34920" s="258"/>
      <c r="Z34920" s="258"/>
    </row>
    <row r="34921" spans="1:26" ht="12.75" customHeight="1" x14ac:dyDescent="0.2">
      <c r="A34921" s="258"/>
      <c r="Z34921" s="258"/>
    </row>
    <row r="34922" spans="1:26" ht="12.75" customHeight="1" x14ac:dyDescent="0.2">
      <c r="A34922" s="258"/>
      <c r="Z34922" s="258"/>
    </row>
    <row r="34923" spans="1:26" ht="12.75" customHeight="1" x14ac:dyDescent="0.2">
      <c r="A34923" s="258"/>
      <c r="Z34923" s="258"/>
    </row>
    <row r="34924" spans="1:26" ht="12.75" customHeight="1" x14ac:dyDescent="0.2">
      <c r="A34924" s="258"/>
      <c r="Z34924" s="258"/>
    </row>
    <row r="34925" spans="1:26" ht="12.75" customHeight="1" x14ac:dyDescent="0.2">
      <c r="A34925" s="258"/>
      <c r="Z34925" s="258"/>
    </row>
    <row r="34926" spans="1:26" ht="12.75" customHeight="1" x14ac:dyDescent="0.2">
      <c r="A34926" s="258"/>
      <c r="Z34926" s="258"/>
    </row>
    <row r="34927" spans="1:26" ht="12.75" customHeight="1" x14ac:dyDescent="0.2">
      <c r="A34927" s="258"/>
      <c r="Z34927" s="258"/>
    </row>
    <row r="34928" spans="1:26" ht="12.75" customHeight="1" x14ac:dyDescent="0.2">
      <c r="A34928" s="258"/>
      <c r="Z34928" s="258"/>
    </row>
    <row r="34929" spans="1:26" ht="12.75" customHeight="1" x14ac:dyDescent="0.2">
      <c r="A34929" s="258"/>
      <c r="Z34929" s="258"/>
    </row>
    <row r="34930" spans="1:26" ht="12.75" customHeight="1" x14ac:dyDescent="0.2">
      <c r="A34930" s="258"/>
      <c r="Z34930" s="258"/>
    </row>
    <row r="34931" spans="1:26" ht="12.75" customHeight="1" x14ac:dyDescent="0.2">
      <c r="A34931" s="258"/>
      <c r="Z34931" s="258"/>
    </row>
    <row r="34932" spans="1:26" ht="12.75" customHeight="1" x14ac:dyDescent="0.2">
      <c r="A34932" s="258"/>
      <c r="Z34932" s="258"/>
    </row>
    <row r="34933" spans="1:26" ht="12.75" customHeight="1" x14ac:dyDescent="0.2">
      <c r="A34933" s="258"/>
      <c r="Z34933" s="258"/>
    </row>
    <row r="34934" spans="1:26" ht="12.75" customHeight="1" x14ac:dyDescent="0.2">
      <c r="A34934" s="258"/>
      <c r="Z34934" s="258"/>
    </row>
    <row r="34935" spans="1:26" ht="12.75" customHeight="1" x14ac:dyDescent="0.2">
      <c r="A34935" s="258"/>
      <c r="Z34935" s="258"/>
    </row>
    <row r="34936" spans="1:26" ht="12.75" customHeight="1" x14ac:dyDescent="0.2">
      <c r="A34936" s="258"/>
      <c r="Z34936" s="258"/>
    </row>
    <row r="34937" spans="1:26" ht="12.75" customHeight="1" x14ac:dyDescent="0.2">
      <c r="A34937" s="258"/>
      <c r="Z34937" s="258"/>
    </row>
    <row r="34938" spans="1:26" ht="12.75" customHeight="1" x14ac:dyDescent="0.2">
      <c r="A34938" s="258"/>
      <c r="Z34938" s="258"/>
    </row>
    <row r="34939" spans="1:26" ht="12.75" customHeight="1" x14ac:dyDescent="0.2">
      <c r="A34939" s="258"/>
      <c r="Z34939" s="258"/>
    </row>
    <row r="34940" spans="1:26" ht="12.75" customHeight="1" x14ac:dyDescent="0.2">
      <c r="A34940" s="258"/>
      <c r="Z34940" s="258"/>
    </row>
    <row r="34941" spans="1:26" ht="12.75" customHeight="1" x14ac:dyDescent="0.2">
      <c r="A34941" s="258"/>
      <c r="Z34941" s="258"/>
    </row>
    <row r="34942" spans="1:26" ht="12.75" customHeight="1" x14ac:dyDescent="0.2">
      <c r="A34942" s="258"/>
      <c r="Z34942" s="258"/>
    </row>
    <row r="34943" spans="1:26" ht="12.75" customHeight="1" x14ac:dyDescent="0.2">
      <c r="A34943" s="258"/>
      <c r="Z34943" s="258"/>
    </row>
    <row r="34944" spans="1:26" ht="12.75" customHeight="1" x14ac:dyDescent="0.2">
      <c r="A34944" s="258"/>
      <c r="Z34944" s="258"/>
    </row>
    <row r="34945" spans="1:26" ht="12.75" customHeight="1" x14ac:dyDescent="0.2">
      <c r="A34945" s="258"/>
      <c r="Z34945" s="258"/>
    </row>
    <row r="34946" spans="1:26" ht="12.75" customHeight="1" x14ac:dyDescent="0.2">
      <c r="A34946" s="258"/>
      <c r="Z34946" s="258"/>
    </row>
    <row r="34947" spans="1:26" ht="12.75" customHeight="1" x14ac:dyDescent="0.2">
      <c r="A34947" s="258"/>
      <c r="Z34947" s="258"/>
    </row>
    <row r="34948" spans="1:26" ht="12.75" customHeight="1" x14ac:dyDescent="0.2">
      <c r="A34948" s="258"/>
      <c r="Z34948" s="258"/>
    </row>
    <row r="34949" spans="1:26" ht="12.75" customHeight="1" x14ac:dyDescent="0.2">
      <c r="A34949" s="258"/>
      <c r="Z34949" s="258"/>
    </row>
    <row r="34950" spans="1:26" ht="12.75" customHeight="1" x14ac:dyDescent="0.2">
      <c r="A34950" s="258"/>
      <c r="Z34950" s="258"/>
    </row>
    <row r="34951" spans="1:26" ht="12.75" customHeight="1" x14ac:dyDescent="0.2">
      <c r="A34951" s="258"/>
      <c r="Z34951" s="258"/>
    </row>
    <row r="34952" spans="1:26" ht="12.75" customHeight="1" x14ac:dyDescent="0.2">
      <c r="A34952" s="258"/>
      <c r="Z34952" s="258"/>
    </row>
    <row r="34953" spans="1:26" ht="12.75" customHeight="1" x14ac:dyDescent="0.2">
      <c r="A34953" s="258"/>
      <c r="Z34953" s="258"/>
    </row>
    <row r="34954" spans="1:26" ht="12.75" customHeight="1" x14ac:dyDescent="0.2">
      <c r="A34954" s="258"/>
      <c r="Z34954" s="258"/>
    </row>
    <row r="34955" spans="1:26" ht="12.75" customHeight="1" x14ac:dyDescent="0.2">
      <c r="A34955" s="258"/>
      <c r="Z34955" s="258"/>
    </row>
    <row r="34956" spans="1:26" ht="12.75" customHeight="1" x14ac:dyDescent="0.2">
      <c r="A34956" s="258"/>
      <c r="Z34956" s="258"/>
    </row>
    <row r="34957" spans="1:26" ht="12.75" customHeight="1" x14ac:dyDescent="0.2">
      <c r="A34957" s="258"/>
      <c r="Z34957" s="258"/>
    </row>
    <row r="34958" spans="1:26" ht="12.75" customHeight="1" x14ac:dyDescent="0.2">
      <c r="A34958" s="258"/>
      <c r="Z34958" s="258"/>
    </row>
    <row r="34959" spans="1:26" ht="12.75" customHeight="1" x14ac:dyDescent="0.2">
      <c r="A34959" s="258"/>
      <c r="Z34959" s="258"/>
    </row>
    <row r="34960" spans="1:26" ht="12.75" customHeight="1" x14ac:dyDescent="0.2">
      <c r="A34960" s="258"/>
      <c r="Z34960" s="258"/>
    </row>
    <row r="34961" spans="1:26" ht="12.75" customHeight="1" x14ac:dyDescent="0.2">
      <c r="A34961" s="258"/>
      <c r="Z34961" s="258"/>
    </row>
    <row r="34962" spans="1:26" ht="12.75" customHeight="1" x14ac:dyDescent="0.2">
      <c r="A34962" s="258"/>
      <c r="Z34962" s="258"/>
    </row>
    <row r="34963" spans="1:26" ht="12.75" customHeight="1" x14ac:dyDescent="0.2">
      <c r="A34963" s="258"/>
      <c r="Z34963" s="258"/>
    </row>
    <row r="34964" spans="1:26" ht="12.75" customHeight="1" x14ac:dyDescent="0.2">
      <c r="A34964" s="258"/>
      <c r="Z34964" s="258"/>
    </row>
    <row r="34965" spans="1:26" ht="12.75" customHeight="1" x14ac:dyDescent="0.2">
      <c r="A34965" s="258"/>
      <c r="Z34965" s="258"/>
    </row>
    <row r="34966" spans="1:26" ht="12.75" customHeight="1" x14ac:dyDescent="0.2">
      <c r="A34966" s="258"/>
      <c r="Z34966" s="258"/>
    </row>
    <row r="34967" spans="1:26" ht="12.75" customHeight="1" x14ac:dyDescent="0.2">
      <c r="A34967" s="258"/>
      <c r="Z34967" s="258"/>
    </row>
    <row r="34968" spans="1:26" ht="12.75" customHeight="1" x14ac:dyDescent="0.2">
      <c r="A34968" s="258"/>
      <c r="Z34968" s="258"/>
    </row>
    <row r="34969" spans="1:26" ht="12.75" customHeight="1" x14ac:dyDescent="0.2">
      <c r="A34969" s="258"/>
      <c r="Z34969" s="258"/>
    </row>
    <row r="34970" spans="1:26" ht="12.75" customHeight="1" x14ac:dyDescent="0.2">
      <c r="A34970" s="258"/>
      <c r="Z34970" s="258"/>
    </row>
    <row r="34971" spans="1:26" ht="12.75" customHeight="1" x14ac:dyDescent="0.2">
      <c r="A34971" s="258"/>
      <c r="Z34971" s="258"/>
    </row>
    <row r="34972" spans="1:26" ht="12.75" customHeight="1" x14ac:dyDescent="0.2">
      <c r="A34972" s="258"/>
      <c r="Z34972" s="258"/>
    </row>
    <row r="34973" spans="1:26" ht="12.75" customHeight="1" x14ac:dyDescent="0.2">
      <c r="A34973" s="258"/>
      <c r="Z34973" s="258"/>
    </row>
    <row r="34974" spans="1:26" ht="12.75" customHeight="1" x14ac:dyDescent="0.2">
      <c r="A34974" s="258"/>
      <c r="Z34974" s="258"/>
    </row>
    <row r="34975" spans="1:26" ht="12.75" customHeight="1" x14ac:dyDescent="0.2">
      <c r="A34975" s="258"/>
      <c r="Z34975" s="258"/>
    </row>
    <row r="34976" spans="1:26" ht="12.75" customHeight="1" x14ac:dyDescent="0.2">
      <c r="A34976" s="258"/>
      <c r="Z34976" s="258"/>
    </row>
    <row r="34977" spans="1:26" ht="12.75" customHeight="1" x14ac:dyDescent="0.2">
      <c r="A34977" s="258"/>
      <c r="Z34977" s="258"/>
    </row>
    <row r="34978" spans="1:26" ht="12.75" customHeight="1" x14ac:dyDescent="0.2">
      <c r="A34978" s="258"/>
      <c r="Z34978" s="258"/>
    </row>
    <row r="34979" spans="1:26" ht="12.75" customHeight="1" x14ac:dyDescent="0.2">
      <c r="A34979" s="258"/>
      <c r="Z34979" s="258"/>
    </row>
    <row r="34980" spans="1:26" ht="12.75" customHeight="1" x14ac:dyDescent="0.2">
      <c r="A34980" s="258"/>
      <c r="Z34980" s="258"/>
    </row>
    <row r="34981" spans="1:26" ht="12.75" customHeight="1" x14ac:dyDescent="0.2">
      <c r="A34981" s="258"/>
      <c r="Z34981" s="258"/>
    </row>
    <row r="34982" spans="1:26" ht="12.75" customHeight="1" x14ac:dyDescent="0.2">
      <c r="A34982" s="258"/>
      <c r="Z34982" s="258"/>
    </row>
    <row r="34983" spans="1:26" ht="12.75" customHeight="1" x14ac:dyDescent="0.2">
      <c r="A34983" s="258"/>
      <c r="Z34983" s="258"/>
    </row>
    <row r="34984" spans="1:26" ht="12.75" customHeight="1" x14ac:dyDescent="0.2">
      <c r="A34984" s="258"/>
      <c r="Z34984" s="258"/>
    </row>
    <row r="34985" spans="1:26" ht="12.75" customHeight="1" x14ac:dyDescent="0.2">
      <c r="A34985" s="258"/>
      <c r="Z34985" s="258"/>
    </row>
    <row r="34986" spans="1:26" ht="12.75" customHeight="1" x14ac:dyDescent="0.2">
      <c r="A34986" s="258"/>
      <c r="Z34986" s="258"/>
    </row>
    <row r="34987" spans="1:26" ht="12.75" customHeight="1" x14ac:dyDescent="0.2">
      <c r="A34987" s="258"/>
      <c r="Z34987" s="258"/>
    </row>
    <row r="34988" spans="1:26" ht="12.75" customHeight="1" x14ac:dyDescent="0.2">
      <c r="A34988" s="258"/>
      <c r="Z34988" s="258"/>
    </row>
    <row r="34989" spans="1:26" ht="12.75" customHeight="1" x14ac:dyDescent="0.2">
      <c r="A34989" s="258"/>
      <c r="Z34989" s="258"/>
    </row>
    <row r="34990" spans="1:26" ht="12.75" customHeight="1" x14ac:dyDescent="0.2">
      <c r="A34990" s="258"/>
      <c r="Z34990" s="258"/>
    </row>
    <row r="34991" spans="1:26" ht="12.75" customHeight="1" x14ac:dyDescent="0.2">
      <c r="A34991" s="258"/>
      <c r="Z34991" s="258"/>
    </row>
    <row r="34992" spans="1:26" ht="12.75" customHeight="1" x14ac:dyDescent="0.2">
      <c r="A34992" s="258"/>
      <c r="Z34992" s="258"/>
    </row>
    <row r="34993" spans="1:26" ht="12.75" customHeight="1" x14ac:dyDescent="0.2">
      <c r="A34993" s="258"/>
      <c r="Z34993" s="258"/>
    </row>
    <row r="34994" spans="1:26" ht="12.75" customHeight="1" x14ac:dyDescent="0.2">
      <c r="A34994" s="258"/>
      <c r="Z34994" s="258"/>
    </row>
    <row r="34995" spans="1:26" ht="12.75" customHeight="1" x14ac:dyDescent="0.2">
      <c r="A34995" s="258"/>
      <c r="Z34995" s="258"/>
    </row>
    <row r="34996" spans="1:26" ht="12.75" customHeight="1" x14ac:dyDescent="0.2">
      <c r="A34996" s="258"/>
      <c r="Z34996" s="258"/>
    </row>
    <row r="34997" spans="1:26" ht="12.75" customHeight="1" x14ac:dyDescent="0.2">
      <c r="A34997" s="258"/>
      <c r="Z34997" s="258"/>
    </row>
    <row r="34998" spans="1:26" ht="12.75" customHeight="1" x14ac:dyDescent="0.2">
      <c r="A34998" s="258"/>
      <c r="Z34998" s="258"/>
    </row>
    <row r="34999" spans="1:26" ht="12.75" customHeight="1" x14ac:dyDescent="0.2">
      <c r="A34999" s="258"/>
      <c r="Z34999" s="258"/>
    </row>
    <row r="35000" spans="1:26" ht="12.75" customHeight="1" x14ac:dyDescent="0.2">
      <c r="A35000" s="258"/>
      <c r="Z35000" s="258"/>
    </row>
    <row r="35001" spans="1:26" ht="12.75" customHeight="1" x14ac:dyDescent="0.2">
      <c r="A35001" s="258"/>
      <c r="Z35001" s="258"/>
    </row>
    <row r="35002" spans="1:26" ht="12.75" customHeight="1" x14ac:dyDescent="0.2">
      <c r="A35002" s="258"/>
      <c r="Z35002" s="258"/>
    </row>
    <row r="35003" spans="1:26" ht="12.75" customHeight="1" x14ac:dyDescent="0.2">
      <c r="A35003" s="258"/>
      <c r="Z35003" s="258"/>
    </row>
    <row r="35004" spans="1:26" ht="12.75" customHeight="1" x14ac:dyDescent="0.2">
      <c r="A35004" s="258"/>
      <c r="Z35004" s="258"/>
    </row>
    <row r="35005" spans="1:26" ht="12.75" customHeight="1" x14ac:dyDescent="0.2">
      <c r="A35005" s="258"/>
      <c r="Z35005" s="258"/>
    </row>
    <row r="35006" spans="1:26" ht="12.75" customHeight="1" x14ac:dyDescent="0.2">
      <c r="A35006" s="258"/>
      <c r="Z35006" s="258"/>
    </row>
    <row r="35007" spans="1:26" ht="12.75" customHeight="1" x14ac:dyDescent="0.2">
      <c r="A35007" s="258"/>
      <c r="Z35007" s="258"/>
    </row>
    <row r="35008" spans="1:26" ht="12.75" customHeight="1" x14ac:dyDescent="0.2">
      <c r="A35008" s="258"/>
      <c r="Z35008" s="258"/>
    </row>
    <row r="35009" spans="1:26" ht="12.75" customHeight="1" x14ac:dyDescent="0.2">
      <c r="A35009" s="258"/>
      <c r="Z35009" s="258"/>
    </row>
    <row r="35010" spans="1:26" ht="12.75" customHeight="1" x14ac:dyDescent="0.2">
      <c r="A35010" s="258"/>
      <c r="Z35010" s="258"/>
    </row>
    <row r="35011" spans="1:26" ht="12.75" customHeight="1" x14ac:dyDescent="0.2">
      <c r="A35011" s="258"/>
      <c r="Z35011" s="258"/>
    </row>
    <row r="35012" spans="1:26" ht="12.75" customHeight="1" x14ac:dyDescent="0.2">
      <c r="A35012" s="258"/>
      <c r="Z35012" s="258"/>
    </row>
    <row r="35013" spans="1:26" ht="12.75" customHeight="1" x14ac:dyDescent="0.2">
      <c r="A35013" s="258"/>
      <c r="Z35013" s="258"/>
    </row>
    <row r="35014" spans="1:26" ht="12.75" customHeight="1" x14ac:dyDescent="0.2">
      <c r="A35014" s="258"/>
      <c r="Z35014" s="258"/>
    </row>
    <row r="35015" spans="1:26" ht="12.75" customHeight="1" x14ac:dyDescent="0.2">
      <c r="A35015" s="258"/>
      <c r="Z35015" s="258"/>
    </row>
    <row r="35016" spans="1:26" ht="12.75" customHeight="1" x14ac:dyDescent="0.2">
      <c r="A35016" s="258"/>
      <c r="Z35016" s="258"/>
    </row>
    <row r="35017" spans="1:26" ht="12.75" customHeight="1" x14ac:dyDescent="0.2">
      <c r="A35017" s="258"/>
      <c r="Z35017" s="258"/>
    </row>
    <row r="35018" spans="1:26" ht="12.75" customHeight="1" x14ac:dyDescent="0.2">
      <c r="A35018" s="258"/>
      <c r="Z35018" s="258"/>
    </row>
    <row r="35019" spans="1:26" ht="12.75" customHeight="1" x14ac:dyDescent="0.2">
      <c r="A35019" s="258"/>
      <c r="Z35019" s="258"/>
    </row>
    <row r="35020" spans="1:26" ht="12.75" customHeight="1" x14ac:dyDescent="0.2">
      <c r="A35020" s="258"/>
      <c r="Z35020" s="258"/>
    </row>
    <row r="35021" spans="1:26" ht="12.75" customHeight="1" x14ac:dyDescent="0.2">
      <c r="A35021" s="258"/>
      <c r="Z35021" s="258"/>
    </row>
    <row r="35022" spans="1:26" ht="12.75" customHeight="1" x14ac:dyDescent="0.2">
      <c r="A35022" s="258"/>
      <c r="Z35022" s="258"/>
    </row>
    <row r="35023" spans="1:26" ht="12.75" customHeight="1" x14ac:dyDescent="0.2">
      <c r="A35023" s="258"/>
      <c r="Z35023" s="258"/>
    </row>
    <row r="35024" spans="1:26" ht="12.75" customHeight="1" x14ac:dyDescent="0.2">
      <c r="A35024" s="258"/>
      <c r="Z35024" s="258"/>
    </row>
    <row r="35025" spans="1:26" ht="12.75" customHeight="1" x14ac:dyDescent="0.2">
      <c r="A35025" s="258"/>
      <c r="Z35025" s="258"/>
    </row>
    <row r="35026" spans="1:26" ht="12.75" customHeight="1" x14ac:dyDescent="0.2">
      <c r="A35026" s="258"/>
      <c r="Z35026" s="258"/>
    </row>
    <row r="35027" spans="1:26" ht="12.75" customHeight="1" x14ac:dyDescent="0.2">
      <c r="A35027" s="258"/>
      <c r="Z35027" s="258"/>
    </row>
    <row r="35028" spans="1:26" ht="12.75" customHeight="1" x14ac:dyDescent="0.2">
      <c r="A35028" s="258"/>
      <c r="Z35028" s="258"/>
    </row>
    <row r="35029" spans="1:26" ht="12.75" customHeight="1" x14ac:dyDescent="0.2">
      <c r="A35029" s="258"/>
      <c r="Z35029" s="258"/>
    </row>
    <row r="35030" spans="1:26" ht="12.75" customHeight="1" x14ac:dyDescent="0.2">
      <c r="A35030" s="258"/>
      <c r="Z35030" s="258"/>
    </row>
    <row r="35031" spans="1:26" ht="12.75" customHeight="1" x14ac:dyDescent="0.2">
      <c r="A35031" s="258"/>
      <c r="Z35031" s="258"/>
    </row>
    <row r="35032" spans="1:26" ht="12.75" customHeight="1" x14ac:dyDescent="0.2">
      <c r="A35032" s="258"/>
      <c r="Z35032" s="258"/>
    </row>
    <row r="35033" spans="1:26" ht="12.75" customHeight="1" x14ac:dyDescent="0.2">
      <c r="A35033" s="258"/>
      <c r="Z35033" s="258"/>
    </row>
    <row r="35034" spans="1:26" ht="12.75" customHeight="1" x14ac:dyDescent="0.2">
      <c r="A35034" s="258"/>
      <c r="Z35034" s="258"/>
    </row>
    <row r="35035" spans="1:26" ht="12.75" customHeight="1" x14ac:dyDescent="0.2">
      <c r="A35035" s="258"/>
      <c r="Z35035" s="258"/>
    </row>
    <row r="35036" spans="1:26" ht="12.75" customHeight="1" x14ac:dyDescent="0.2">
      <c r="A35036" s="258"/>
      <c r="Z35036" s="258"/>
    </row>
    <row r="35037" spans="1:26" ht="12.75" customHeight="1" x14ac:dyDescent="0.2">
      <c r="A35037" s="258"/>
      <c r="Z35037" s="258"/>
    </row>
    <row r="35038" spans="1:26" ht="12.75" customHeight="1" x14ac:dyDescent="0.2">
      <c r="A35038" s="258"/>
      <c r="Z35038" s="258"/>
    </row>
    <row r="35039" spans="1:26" ht="12.75" customHeight="1" x14ac:dyDescent="0.2">
      <c r="A35039" s="258"/>
      <c r="Z35039" s="258"/>
    </row>
    <row r="35040" spans="1:26" ht="12.75" customHeight="1" x14ac:dyDescent="0.2">
      <c r="A35040" s="258"/>
      <c r="Z35040" s="258"/>
    </row>
    <row r="35041" spans="1:26" ht="12.75" customHeight="1" x14ac:dyDescent="0.2">
      <c r="A35041" s="258"/>
      <c r="Z35041" s="258"/>
    </row>
    <row r="35042" spans="1:26" ht="12.75" customHeight="1" x14ac:dyDescent="0.2">
      <c r="A35042" s="258"/>
      <c r="Z35042" s="258"/>
    </row>
    <row r="35043" spans="1:26" ht="12.75" customHeight="1" x14ac:dyDescent="0.2">
      <c r="A35043" s="258"/>
      <c r="Z35043" s="258"/>
    </row>
    <row r="35044" spans="1:26" ht="12.75" customHeight="1" x14ac:dyDescent="0.2">
      <c r="A35044" s="258"/>
      <c r="Z35044" s="258"/>
    </row>
    <row r="35045" spans="1:26" ht="12.75" customHeight="1" x14ac:dyDescent="0.2">
      <c r="A35045" s="258"/>
      <c r="Z35045" s="258"/>
    </row>
    <row r="35046" spans="1:26" ht="12.75" customHeight="1" x14ac:dyDescent="0.2">
      <c r="A35046" s="258"/>
      <c r="Z35046" s="258"/>
    </row>
    <row r="35047" spans="1:26" ht="12.75" customHeight="1" x14ac:dyDescent="0.2">
      <c r="A35047" s="258"/>
      <c r="Z35047" s="258"/>
    </row>
    <row r="35048" spans="1:26" ht="12.75" customHeight="1" x14ac:dyDescent="0.2">
      <c r="A35048" s="258"/>
      <c r="Z35048" s="258"/>
    </row>
    <row r="35049" spans="1:26" ht="12.75" customHeight="1" x14ac:dyDescent="0.2">
      <c r="A35049" s="258"/>
      <c r="Z35049" s="258"/>
    </row>
    <row r="35050" spans="1:26" ht="12.75" customHeight="1" x14ac:dyDescent="0.2">
      <c r="A35050" s="258"/>
      <c r="Z35050" s="258"/>
    </row>
    <row r="35051" spans="1:26" ht="12.75" customHeight="1" x14ac:dyDescent="0.2">
      <c r="A35051" s="258"/>
      <c r="Z35051" s="258"/>
    </row>
    <row r="35052" spans="1:26" ht="12.75" customHeight="1" x14ac:dyDescent="0.2">
      <c r="A35052" s="258"/>
      <c r="Z35052" s="258"/>
    </row>
    <row r="35053" spans="1:26" ht="12.75" customHeight="1" x14ac:dyDescent="0.2">
      <c r="A35053" s="258"/>
      <c r="Z35053" s="258"/>
    </row>
    <row r="35054" spans="1:26" ht="12.75" customHeight="1" x14ac:dyDescent="0.2">
      <c r="A35054" s="258"/>
      <c r="Z35054" s="258"/>
    </row>
    <row r="35055" spans="1:26" ht="12.75" customHeight="1" x14ac:dyDescent="0.2">
      <c r="A35055" s="258"/>
      <c r="Z35055" s="258"/>
    </row>
    <row r="35056" spans="1:26" ht="12.75" customHeight="1" x14ac:dyDescent="0.2">
      <c r="A35056" s="258"/>
      <c r="Z35056" s="258"/>
    </row>
    <row r="35057" spans="1:26" ht="12.75" customHeight="1" x14ac:dyDescent="0.2">
      <c r="A35057" s="258"/>
      <c r="Z35057" s="258"/>
    </row>
    <row r="35058" spans="1:26" ht="12.75" customHeight="1" x14ac:dyDescent="0.2">
      <c r="A35058" s="258"/>
      <c r="Z35058" s="258"/>
    </row>
    <row r="35059" spans="1:26" ht="12.75" customHeight="1" x14ac:dyDescent="0.2">
      <c r="A35059" s="258"/>
      <c r="Z35059" s="258"/>
    </row>
    <row r="35060" spans="1:26" ht="12.75" customHeight="1" x14ac:dyDescent="0.2">
      <c r="A35060" s="258"/>
      <c r="Z35060" s="258"/>
    </row>
    <row r="35061" spans="1:26" ht="12.75" customHeight="1" x14ac:dyDescent="0.2">
      <c r="A35061" s="258"/>
      <c r="Z35061" s="258"/>
    </row>
    <row r="35062" spans="1:26" ht="12.75" customHeight="1" x14ac:dyDescent="0.2">
      <c r="A35062" s="258"/>
      <c r="Z35062" s="258"/>
    </row>
    <row r="35063" spans="1:26" ht="12.75" customHeight="1" x14ac:dyDescent="0.2">
      <c r="A35063" s="258"/>
      <c r="Z35063" s="258"/>
    </row>
    <row r="35064" spans="1:26" ht="12.75" customHeight="1" x14ac:dyDescent="0.2">
      <c r="A35064" s="258"/>
      <c r="Z35064" s="258"/>
    </row>
    <row r="35065" spans="1:26" ht="12.75" customHeight="1" x14ac:dyDescent="0.2">
      <c r="A35065" s="258"/>
      <c r="Z35065" s="258"/>
    </row>
    <row r="35066" spans="1:26" ht="12.75" customHeight="1" x14ac:dyDescent="0.2">
      <c r="A35066" s="258"/>
      <c r="Z35066" s="258"/>
    </row>
    <row r="35067" spans="1:26" ht="12.75" customHeight="1" x14ac:dyDescent="0.2">
      <c r="A35067" s="258"/>
      <c r="Z35067" s="258"/>
    </row>
    <row r="35068" spans="1:26" ht="12.75" customHeight="1" x14ac:dyDescent="0.2">
      <c r="A35068" s="258"/>
      <c r="Z35068" s="258"/>
    </row>
    <row r="35069" spans="1:26" ht="12.75" customHeight="1" x14ac:dyDescent="0.2">
      <c r="A35069" s="258"/>
      <c r="Z35069" s="258"/>
    </row>
    <row r="35070" spans="1:26" ht="12.75" customHeight="1" x14ac:dyDescent="0.2">
      <c r="A35070" s="258"/>
      <c r="Z35070" s="258"/>
    </row>
    <row r="35071" spans="1:26" ht="12.75" customHeight="1" x14ac:dyDescent="0.2">
      <c r="A35071" s="258"/>
      <c r="Z35071" s="258"/>
    </row>
    <row r="35072" spans="1:26" ht="12.75" customHeight="1" x14ac:dyDescent="0.2">
      <c r="A35072" s="258"/>
      <c r="Z35072" s="258"/>
    </row>
    <row r="35073" spans="1:26" ht="12.75" customHeight="1" x14ac:dyDescent="0.2">
      <c r="A35073" s="258"/>
      <c r="Z35073" s="258"/>
    </row>
    <row r="35074" spans="1:26" ht="12.75" customHeight="1" x14ac:dyDescent="0.2">
      <c r="A35074" s="258"/>
      <c r="Z35074" s="258"/>
    </row>
    <row r="35075" spans="1:26" ht="12.75" customHeight="1" x14ac:dyDescent="0.2">
      <c r="A35075" s="258"/>
      <c r="Z35075" s="258"/>
    </row>
    <row r="35076" spans="1:26" ht="12.75" customHeight="1" x14ac:dyDescent="0.2">
      <c r="A35076" s="258"/>
      <c r="Z35076" s="258"/>
    </row>
    <row r="35077" spans="1:26" ht="12.75" customHeight="1" x14ac:dyDescent="0.2">
      <c r="A35077" s="258"/>
      <c r="Z35077" s="258"/>
    </row>
    <row r="35078" spans="1:26" ht="12.75" customHeight="1" x14ac:dyDescent="0.2">
      <c r="A35078" s="258"/>
      <c r="Z35078" s="258"/>
    </row>
    <row r="35079" spans="1:26" ht="12.75" customHeight="1" x14ac:dyDescent="0.2">
      <c r="A35079" s="258"/>
      <c r="Z35079" s="258"/>
    </row>
    <row r="35080" spans="1:26" ht="12.75" customHeight="1" x14ac:dyDescent="0.2">
      <c r="A35080" s="258"/>
      <c r="Z35080" s="258"/>
    </row>
    <row r="35081" spans="1:26" ht="12.75" customHeight="1" x14ac:dyDescent="0.2">
      <c r="A35081" s="258"/>
      <c r="Z35081" s="258"/>
    </row>
    <row r="35082" spans="1:26" ht="12.75" customHeight="1" x14ac:dyDescent="0.2">
      <c r="A35082" s="258"/>
      <c r="Z35082" s="258"/>
    </row>
    <row r="35083" spans="1:26" ht="12.75" customHeight="1" x14ac:dyDescent="0.2">
      <c r="A35083" s="258"/>
      <c r="Z35083" s="258"/>
    </row>
    <row r="35084" spans="1:26" ht="12.75" customHeight="1" x14ac:dyDescent="0.2">
      <c r="A35084" s="258"/>
      <c r="Z35084" s="258"/>
    </row>
    <row r="35085" spans="1:26" ht="12.75" customHeight="1" x14ac:dyDescent="0.2">
      <c r="A35085" s="258"/>
      <c r="Z35085" s="258"/>
    </row>
    <row r="35086" spans="1:26" ht="12.75" customHeight="1" x14ac:dyDescent="0.2">
      <c r="A35086" s="258"/>
      <c r="Z35086" s="258"/>
    </row>
    <row r="35087" spans="1:26" ht="12.75" customHeight="1" x14ac:dyDescent="0.2">
      <c r="A35087" s="258"/>
      <c r="Z35087" s="258"/>
    </row>
    <row r="35088" spans="1:26" ht="12.75" customHeight="1" x14ac:dyDescent="0.2">
      <c r="A35088" s="258"/>
      <c r="Z35088" s="258"/>
    </row>
    <row r="35089" spans="1:26" ht="12.75" customHeight="1" x14ac:dyDescent="0.2">
      <c r="A35089" s="258"/>
      <c r="Z35089" s="258"/>
    </row>
    <row r="35090" spans="1:26" ht="12.75" customHeight="1" x14ac:dyDescent="0.2">
      <c r="A35090" s="258"/>
      <c r="Z35090" s="258"/>
    </row>
    <row r="35091" spans="1:26" ht="12.75" customHeight="1" x14ac:dyDescent="0.2">
      <c r="A35091" s="258"/>
      <c r="Z35091" s="258"/>
    </row>
    <row r="35092" spans="1:26" ht="12.75" customHeight="1" x14ac:dyDescent="0.2">
      <c r="A35092" s="258"/>
      <c r="Z35092" s="258"/>
    </row>
    <row r="35093" spans="1:26" ht="12.75" customHeight="1" x14ac:dyDescent="0.2">
      <c r="A35093" s="258"/>
      <c r="Z35093" s="258"/>
    </row>
    <row r="35094" spans="1:26" ht="12.75" customHeight="1" x14ac:dyDescent="0.2">
      <c r="A35094" s="258"/>
      <c r="Z35094" s="258"/>
    </row>
    <row r="35095" spans="1:26" ht="12.75" customHeight="1" x14ac:dyDescent="0.2">
      <c r="A35095" s="258"/>
      <c r="Z35095" s="258"/>
    </row>
    <row r="35096" spans="1:26" ht="12.75" customHeight="1" x14ac:dyDescent="0.2">
      <c r="A35096" s="258"/>
      <c r="Z35096" s="258"/>
    </row>
    <row r="35097" spans="1:26" ht="12.75" customHeight="1" x14ac:dyDescent="0.2">
      <c r="A35097" s="258"/>
      <c r="Z35097" s="258"/>
    </row>
    <row r="35098" spans="1:26" ht="12.75" customHeight="1" x14ac:dyDescent="0.2">
      <c r="A35098" s="258"/>
      <c r="Z35098" s="258"/>
    </row>
    <row r="35099" spans="1:26" ht="12.75" customHeight="1" x14ac:dyDescent="0.2">
      <c r="A35099" s="258"/>
      <c r="Z35099" s="258"/>
    </row>
    <row r="35100" spans="1:26" ht="12.75" customHeight="1" x14ac:dyDescent="0.2">
      <c r="A35100" s="258"/>
      <c r="Z35100" s="258"/>
    </row>
    <row r="35101" spans="1:26" ht="12.75" customHeight="1" x14ac:dyDescent="0.2">
      <c r="A35101" s="258"/>
      <c r="Z35101" s="258"/>
    </row>
    <row r="35102" spans="1:26" ht="12.75" customHeight="1" x14ac:dyDescent="0.2">
      <c r="A35102" s="258"/>
      <c r="Z35102" s="258"/>
    </row>
    <row r="35103" spans="1:26" ht="12.75" customHeight="1" x14ac:dyDescent="0.2">
      <c r="A35103" s="258"/>
      <c r="Z35103" s="258"/>
    </row>
    <row r="35104" spans="1:26" ht="12.75" customHeight="1" x14ac:dyDescent="0.2">
      <c r="A35104" s="258"/>
      <c r="Z35104" s="258"/>
    </row>
    <row r="35105" spans="1:26" ht="12.75" customHeight="1" x14ac:dyDescent="0.2">
      <c r="A35105" s="258"/>
      <c r="Z35105" s="258"/>
    </row>
    <row r="35106" spans="1:26" ht="12.75" customHeight="1" x14ac:dyDescent="0.2">
      <c r="A35106" s="258"/>
      <c r="Z35106" s="258"/>
    </row>
    <row r="35107" spans="1:26" ht="12.75" customHeight="1" x14ac:dyDescent="0.2">
      <c r="A35107" s="258"/>
      <c r="Z35107" s="258"/>
    </row>
    <row r="35108" spans="1:26" ht="12.75" customHeight="1" x14ac:dyDescent="0.2">
      <c r="A35108" s="258"/>
      <c r="Z35108" s="258"/>
    </row>
    <row r="35109" spans="1:26" ht="12.75" customHeight="1" x14ac:dyDescent="0.2">
      <c r="A35109" s="258"/>
      <c r="Z35109" s="258"/>
    </row>
    <row r="35110" spans="1:26" ht="12.75" customHeight="1" x14ac:dyDescent="0.2">
      <c r="A35110" s="258"/>
      <c r="Z35110" s="258"/>
    </row>
    <row r="35111" spans="1:26" ht="12.75" customHeight="1" x14ac:dyDescent="0.2">
      <c r="A35111" s="258"/>
      <c r="Z35111" s="258"/>
    </row>
    <row r="35112" spans="1:26" ht="12.75" customHeight="1" x14ac:dyDescent="0.2">
      <c r="A35112" s="258"/>
      <c r="Z35112" s="258"/>
    </row>
    <row r="35113" spans="1:26" ht="12.75" customHeight="1" x14ac:dyDescent="0.2">
      <c r="A35113" s="258"/>
      <c r="Z35113" s="258"/>
    </row>
    <row r="35114" spans="1:26" ht="12.75" customHeight="1" x14ac:dyDescent="0.2">
      <c r="A35114" s="258"/>
      <c r="Z35114" s="258"/>
    </row>
    <row r="35115" spans="1:26" ht="12.75" customHeight="1" x14ac:dyDescent="0.2">
      <c r="A35115" s="258"/>
      <c r="Z35115" s="258"/>
    </row>
    <row r="35116" spans="1:26" ht="12.75" customHeight="1" x14ac:dyDescent="0.2">
      <c r="A35116" s="258"/>
      <c r="Z35116" s="258"/>
    </row>
    <row r="35117" spans="1:26" ht="12.75" customHeight="1" x14ac:dyDescent="0.2">
      <c r="A35117" s="258"/>
      <c r="Z35117" s="258"/>
    </row>
    <row r="35118" spans="1:26" ht="12.75" customHeight="1" x14ac:dyDescent="0.2">
      <c r="A35118" s="258"/>
      <c r="Z35118" s="258"/>
    </row>
    <row r="35119" spans="1:26" ht="12.75" customHeight="1" x14ac:dyDescent="0.2">
      <c r="A35119" s="258"/>
      <c r="Z35119" s="258"/>
    </row>
    <row r="35120" spans="1:26" ht="12.75" customHeight="1" x14ac:dyDescent="0.2">
      <c r="A35120" s="258"/>
      <c r="Z35120" s="258"/>
    </row>
    <row r="35121" spans="1:26" ht="12.75" customHeight="1" x14ac:dyDescent="0.2">
      <c r="A35121" s="258"/>
      <c r="Z35121" s="258"/>
    </row>
    <row r="35122" spans="1:26" ht="12.75" customHeight="1" x14ac:dyDescent="0.2">
      <c r="A35122" s="258"/>
      <c r="Z35122" s="258"/>
    </row>
    <row r="35123" spans="1:26" ht="12.75" customHeight="1" x14ac:dyDescent="0.2">
      <c r="A35123" s="258"/>
      <c r="Z35123" s="258"/>
    </row>
    <row r="35124" spans="1:26" ht="12.75" customHeight="1" x14ac:dyDescent="0.2">
      <c r="A35124" s="258"/>
      <c r="Z35124" s="258"/>
    </row>
    <row r="35125" spans="1:26" ht="12.75" customHeight="1" x14ac:dyDescent="0.2">
      <c r="A35125" s="258"/>
      <c r="Z35125" s="258"/>
    </row>
    <row r="35126" spans="1:26" ht="12.75" customHeight="1" x14ac:dyDescent="0.2">
      <c r="A35126" s="258"/>
      <c r="Z35126" s="258"/>
    </row>
    <row r="35127" spans="1:26" ht="12.75" customHeight="1" x14ac:dyDescent="0.2">
      <c r="A35127" s="258"/>
      <c r="Z35127" s="258"/>
    </row>
    <row r="35128" spans="1:26" ht="12.75" customHeight="1" x14ac:dyDescent="0.2">
      <c r="A35128" s="258"/>
      <c r="Z35128" s="258"/>
    </row>
    <row r="35129" spans="1:26" ht="12.75" customHeight="1" x14ac:dyDescent="0.2">
      <c r="A35129" s="258"/>
      <c r="Z35129" s="258"/>
    </row>
    <row r="35130" spans="1:26" ht="12.75" customHeight="1" x14ac:dyDescent="0.2">
      <c r="A35130" s="258"/>
      <c r="Z35130" s="258"/>
    </row>
    <row r="35131" spans="1:26" ht="12.75" customHeight="1" x14ac:dyDescent="0.2">
      <c r="A35131" s="258"/>
      <c r="Z35131" s="258"/>
    </row>
    <row r="35132" spans="1:26" ht="12.75" customHeight="1" x14ac:dyDescent="0.2">
      <c r="A35132" s="258"/>
      <c r="Z35132" s="258"/>
    </row>
    <row r="35133" spans="1:26" ht="12.75" customHeight="1" x14ac:dyDescent="0.2">
      <c r="A35133" s="258"/>
      <c r="Z35133" s="258"/>
    </row>
    <row r="35134" spans="1:26" ht="12.75" customHeight="1" x14ac:dyDescent="0.2">
      <c r="A35134" s="258"/>
      <c r="Z35134" s="258"/>
    </row>
    <row r="35135" spans="1:26" ht="12.75" customHeight="1" x14ac:dyDescent="0.2">
      <c r="A35135" s="258"/>
      <c r="Z35135" s="258"/>
    </row>
    <row r="35136" spans="1:26" ht="12.75" customHeight="1" x14ac:dyDescent="0.2">
      <c r="A35136" s="258"/>
      <c r="Z35136" s="258"/>
    </row>
    <row r="35137" spans="1:26" ht="12.75" customHeight="1" x14ac:dyDescent="0.2">
      <c r="A35137" s="258"/>
      <c r="Z35137" s="258"/>
    </row>
    <row r="35138" spans="1:26" ht="12.75" customHeight="1" x14ac:dyDescent="0.2">
      <c r="A35138" s="258"/>
      <c r="Z35138" s="258"/>
    </row>
    <row r="35139" spans="1:26" ht="12.75" customHeight="1" x14ac:dyDescent="0.2">
      <c r="A35139" s="258"/>
      <c r="Z35139" s="258"/>
    </row>
    <row r="35140" spans="1:26" ht="12.75" customHeight="1" x14ac:dyDescent="0.2">
      <c r="A35140" s="258"/>
      <c r="Z35140" s="258"/>
    </row>
    <row r="35141" spans="1:26" ht="12.75" customHeight="1" x14ac:dyDescent="0.2">
      <c r="A35141" s="258"/>
      <c r="Z35141" s="258"/>
    </row>
    <row r="35142" spans="1:26" ht="12.75" customHeight="1" x14ac:dyDescent="0.2">
      <c r="A35142" s="258"/>
      <c r="Z35142" s="258"/>
    </row>
    <row r="35143" spans="1:26" ht="12.75" customHeight="1" x14ac:dyDescent="0.2">
      <c r="A35143" s="258"/>
      <c r="Z35143" s="258"/>
    </row>
    <row r="35144" spans="1:26" ht="12.75" customHeight="1" x14ac:dyDescent="0.2">
      <c r="A35144" s="258"/>
      <c r="Z35144" s="258"/>
    </row>
    <row r="35145" spans="1:26" ht="12.75" customHeight="1" x14ac:dyDescent="0.2">
      <c r="A35145" s="258"/>
      <c r="Z35145" s="258"/>
    </row>
    <row r="35146" spans="1:26" ht="12.75" customHeight="1" x14ac:dyDescent="0.2">
      <c r="A35146" s="258"/>
      <c r="Z35146" s="258"/>
    </row>
    <row r="35147" spans="1:26" ht="12.75" customHeight="1" x14ac:dyDescent="0.2">
      <c r="A35147" s="258"/>
      <c r="Z35147" s="258"/>
    </row>
    <row r="35148" spans="1:26" ht="12.75" customHeight="1" x14ac:dyDescent="0.2">
      <c r="A35148" s="258"/>
      <c r="Z35148" s="258"/>
    </row>
    <row r="35149" spans="1:26" ht="12.75" customHeight="1" x14ac:dyDescent="0.2">
      <c r="A35149" s="258"/>
      <c r="Z35149" s="258"/>
    </row>
    <row r="35150" spans="1:26" ht="12.75" customHeight="1" x14ac:dyDescent="0.2">
      <c r="A35150" s="258"/>
      <c r="Z35150" s="258"/>
    </row>
    <row r="35151" spans="1:26" ht="12.75" customHeight="1" x14ac:dyDescent="0.2">
      <c r="A35151" s="258"/>
      <c r="Z35151" s="258"/>
    </row>
    <row r="35152" spans="1:26" ht="12.75" customHeight="1" x14ac:dyDescent="0.2">
      <c r="A35152" s="258"/>
      <c r="Z35152" s="258"/>
    </row>
    <row r="35153" spans="1:26" ht="12.75" customHeight="1" x14ac:dyDescent="0.2">
      <c r="A35153" s="258"/>
      <c r="Z35153" s="258"/>
    </row>
    <row r="35154" spans="1:26" ht="12.75" customHeight="1" x14ac:dyDescent="0.2">
      <c r="A35154" s="258"/>
      <c r="Z35154" s="258"/>
    </row>
    <row r="35155" spans="1:26" ht="12.75" customHeight="1" x14ac:dyDescent="0.2">
      <c r="A35155" s="258"/>
      <c r="Z35155" s="258"/>
    </row>
    <row r="35156" spans="1:26" ht="12.75" customHeight="1" x14ac:dyDescent="0.2">
      <c r="A35156" s="258"/>
      <c r="Z35156" s="258"/>
    </row>
    <row r="35157" spans="1:26" ht="12.75" customHeight="1" x14ac:dyDescent="0.2">
      <c r="A35157" s="258"/>
      <c r="Z35157" s="258"/>
    </row>
    <row r="35158" spans="1:26" ht="12.75" customHeight="1" x14ac:dyDescent="0.2">
      <c r="A35158" s="258"/>
      <c r="Z35158" s="258"/>
    </row>
    <row r="35159" spans="1:26" ht="12.75" customHeight="1" x14ac:dyDescent="0.2">
      <c r="A35159" s="258"/>
      <c r="Z35159" s="258"/>
    </row>
    <row r="35160" spans="1:26" ht="12.75" customHeight="1" x14ac:dyDescent="0.2">
      <c r="A35160" s="258"/>
      <c r="Z35160" s="258"/>
    </row>
    <row r="35161" spans="1:26" ht="12.75" customHeight="1" x14ac:dyDescent="0.2">
      <c r="A35161" s="258"/>
      <c r="Z35161" s="258"/>
    </row>
    <row r="35162" spans="1:26" ht="12.75" customHeight="1" x14ac:dyDescent="0.2">
      <c r="A35162" s="258"/>
      <c r="Z35162" s="258"/>
    </row>
    <row r="35163" spans="1:26" ht="12.75" customHeight="1" x14ac:dyDescent="0.2">
      <c r="A35163" s="258"/>
      <c r="Z35163" s="258"/>
    </row>
    <row r="35164" spans="1:26" ht="12.75" customHeight="1" x14ac:dyDescent="0.2">
      <c r="A35164" s="258"/>
      <c r="Z35164" s="258"/>
    </row>
    <row r="35165" spans="1:26" ht="12.75" customHeight="1" x14ac:dyDescent="0.2">
      <c r="A35165" s="258"/>
      <c r="Z35165" s="258"/>
    </row>
    <row r="35166" spans="1:26" ht="12.75" customHeight="1" x14ac:dyDescent="0.2">
      <c r="A35166" s="258"/>
      <c r="Z35166" s="258"/>
    </row>
    <row r="35167" spans="1:26" ht="12.75" customHeight="1" x14ac:dyDescent="0.2">
      <c r="A35167" s="258"/>
      <c r="Z35167" s="258"/>
    </row>
    <row r="35168" spans="1:26" ht="12.75" customHeight="1" x14ac:dyDescent="0.2">
      <c r="A35168" s="258"/>
      <c r="Z35168" s="258"/>
    </row>
    <row r="35169" spans="1:26" ht="12.75" customHeight="1" x14ac:dyDescent="0.2">
      <c r="A35169" s="258"/>
      <c r="Z35169" s="258"/>
    </row>
    <row r="35170" spans="1:26" ht="12.75" customHeight="1" x14ac:dyDescent="0.2">
      <c r="A35170" s="258"/>
      <c r="Z35170" s="258"/>
    </row>
    <row r="35171" spans="1:26" ht="12.75" customHeight="1" x14ac:dyDescent="0.2">
      <c r="A35171" s="258"/>
      <c r="Z35171" s="258"/>
    </row>
    <row r="35172" spans="1:26" ht="12.75" customHeight="1" x14ac:dyDescent="0.2">
      <c r="A35172" s="258"/>
      <c r="Z35172" s="258"/>
    </row>
    <row r="35173" spans="1:26" ht="12.75" customHeight="1" x14ac:dyDescent="0.2">
      <c r="A35173" s="258"/>
      <c r="Z35173" s="258"/>
    </row>
    <row r="35174" spans="1:26" ht="12.75" customHeight="1" x14ac:dyDescent="0.2">
      <c r="A35174" s="258"/>
      <c r="Z35174" s="258"/>
    </row>
    <row r="35175" spans="1:26" ht="12.75" customHeight="1" x14ac:dyDescent="0.2">
      <c r="A35175" s="258"/>
      <c r="Z35175" s="258"/>
    </row>
    <row r="35176" spans="1:26" ht="12.75" customHeight="1" x14ac:dyDescent="0.2">
      <c r="A35176" s="258"/>
      <c r="Z35176" s="258"/>
    </row>
    <row r="35177" spans="1:26" ht="12.75" customHeight="1" x14ac:dyDescent="0.2">
      <c r="A35177" s="258"/>
      <c r="Z35177" s="258"/>
    </row>
    <row r="35178" spans="1:26" ht="12.75" customHeight="1" x14ac:dyDescent="0.2">
      <c r="A35178" s="258"/>
      <c r="Z35178" s="258"/>
    </row>
    <row r="35179" spans="1:26" ht="12.75" customHeight="1" x14ac:dyDescent="0.2">
      <c r="A35179" s="258"/>
      <c r="Z35179" s="258"/>
    </row>
    <row r="35180" spans="1:26" ht="12.75" customHeight="1" x14ac:dyDescent="0.2">
      <c r="A35180" s="258"/>
      <c r="Z35180" s="258"/>
    </row>
    <row r="35181" spans="1:26" ht="12.75" customHeight="1" x14ac:dyDescent="0.2">
      <c r="A35181" s="258"/>
      <c r="Z35181" s="258"/>
    </row>
    <row r="35182" spans="1:26" ht="12.75" customHeight="1" x14ac:dyDescent="0.2">
      <c r="A35182" s="258"/>
      <c r="Z35182" s="258"/>
    </row>
    <row r="35183" spans="1:26" ht="12.75" customHeight="1" x14ac:dyDescent="0.2">
      <c r="A35183" s="258"/>
      <c r="Z35183" s="258"/>
    </row>
    <row r="35184" spans="1:26" ht="12.75" customHeight="1" x14ac:dyDescent="0.2">
      <c r="A35184" s="258"/>
      <c r="Z35184" s="258"/>
    </row>
    <row r="35185" spans="1:26" ht="12.75" customHeight="1" x14ac:dyDescent="0.2">
      <c r="A35185" s="258"/>
      <c r="Z35185" s="258"/>
    </row>
    <row r="35186" spans="1:26" ht="12.75" customHeight="1" x14ac:dyDescent="0.2">
      <c r="A35186" s="258"/>
      <c r="Z35186" s="258"/>
    </row>
    <row r="35187" spans="1:26" ht="12.75" customHeight="1" x14ac:dyDescent="0.2">
      <c r="A35187" s="258"/>
      <c r="Z35187" s="258"/>
    </row>
    <row r="35188" spans="1:26" ht="12.75" customHeight="1" x14ac:dyDescent="0.2">
      <c r="A35188" s="258"/>
      <c r="Z35188" s="258"/>
    </row>
    <row r="35189" spans="1:26" ht="12.75" customHeight="1" x14ac:dyDescent="0.2">
      <c r="A35189" s="258"/>
      <c r="Z35189" s="258"/>
    </row>
    <row r="35190" spans="1:26" ht="12.75" customHeight="1" x14ac:dyDescent="0.2">
      <c r="A35190" s="258"/>
      <c r="Z35190" s="258"/>
    </row>
    <row r="35191" spans="1:26" ht="12.75" customHeight="1" x14ac:dyDescent="0.2">
      <c r="A35191" s="258"/>
      <c r="Z35191" s="258"/>
    </row>
    <row r="35192" spans="1:26" ht="12.75" customHeight="1" x14ac:dyDescent="0.2">
      <c r="A35192" s="258"/>
      <c r="Z35192" s="258"/>
    </row>
    <row r="35193" spans="1:26" ht="12.75" customHeight="1" x14ac:dyDescent="0.2">
      <c r="A35193" s="258"/>
      <c r="Z35193" s="258"/>
    </row>
    <row r="35194" spans="1:26" ht="12.75" customHeight="1" x14ac:dyDescent="0.2">
      <c r="A35194" s="258"/>
      <c r="Z35194" s="258"/>
    </row>
    <row r="35195" spans="1:26" ht="12.75" customHeight="1" x14ac:dyDescent="0.2">
      <c r="A35195" s="258"/>
      <c r="Z35195" s="258"/>
    </row>
    <row r="35196" spans="1:26" ht="12.75" customHeight="1" x14ac:dyDescent="0.2">
      <c r="A35196" s="258"/>
      <c r="Z35196" s="258"/>
    </row>
    <row r="35197" spans="1:26" ht="12.75" customHeight="1" x14ac:dyDescent="0.2">
      <c r="A35197" s="258"/>
      <c r="Z35197" s="258"/>
    </row>
    <row r="35198" spans="1:26" ht="12.75" customHeight="1" x14ac:dyDescent="0.2">
      <c r="A35198" s="258"/>
      <c r="Z35198" s="258"/>
    </row>
    <row r="35199" spans="1:26" ht="12.75" customHeight="1" x14ac:dyDescent="0.2">
      <c r="A35199" s="258"/>
      <c r="Z35199" s="258"/>
    </row>
    <row r="35200" spans="1:26" ht="12.75" customHeight="1" x14ac:dyDescent="0.2">
      <c r="A35200" s="258"/>
      <c r="Z35200" s="258"/>
    </row>
    <row r="35201" spans="1:26" ht="12.75" customHeight="1" x14ac:dyDescent="0.2">
      <c r="A35201" s="258"/>
      <c r="Z35201" s="258"/>
    </row>
    <row r="35202" spans="1:26" ht="12.75" customHeight="1" x14ac:dyDescent="0.2">
      <c r="A35202" s="258"/>
      <c r="Z35202" s="258"/>
    </row>
    <row r="35203" spans="1:26" ht="12.75" customHeight="1" x14ac:dyDescent="0.2">
      <c r="A35203" s="258"/>
      <c r="Z35203" s="258"/>
    </row>
    <row r="35204" spans="1:26" ht="12.75" customHeight="1" x14ac:dyDescent="0.2">
      <c r="A35204" s="258"/>
      <c r="Z35204" s="258"/>
    </row>
    <row r="35205" spans="1:26" ht="12.75" customHeight="1" x14ac:dyDescent="0.2">
      <c r="A35205" s="258"/>
      <c r="Z35205" s="258"/>
    </row>
    <row r="35206" spans="1:26" ht="12.75" customHeight="1" x14ac:dyDescent="0.2">
      <c r="A35206" s="258"/>
      <c r="Z35206" s="258"/>
    </row>
    <row r="35207" spans="1:26" ht="12.75" customHeight="1" x14ac:dyDescent="0.2">
      <c r="A35207" s="258"/>
      <c r="Z35207" s="258"/>
    </row>
    <row r="35208" spans="1:26" ht="12.75" customHeight="1" x14ac:dyDescent="0.2">
      <c r="A35208" s="258"/>
      <c r="Z35208" s="258"/>
    </row>
    <row r="35209" spans="1:26" ht="12.75" customHeight="1" x14ac:dyDescent="0.2">
      <c r="A35209" s="258"/>
      <c r="Z35209" s="258"/>
    </row>
    <row r="35210" spans="1:26" ht="12.75" customHeight="1" x14ac:dyDescent="0.2">
      <c r="A35210" s="258"/>
      <c r="Z35210" s="258"/>
    </row>
    <row r="35211" spans="1:26" ht="12.75" customHeight="1" x14ac:dyDescent="0.2">
      <c r="A35211" s="258"/>
      <c r="Z35211" s="258"/>
    </row>
    <row r="35212" spans="1:26" ht="12.75" customHeight="1" x14ac:dyDescent="0.2">
      <c r="A35212" s="258"/>
      <c r="Z35212" s="258"/>
    </row>
    <row r="35213" spans="1:26" ht="12.75" customHeight="1" x14ac:dyDescent="0.2">
      <c r="A35213" s="258"/>
      <c r="Z35213" s="258"/>
    </row>
    <row r="35214" spans="1:26" ht="12.75" customHeight="1" x14ac:dyDescent="0.2">
      <c r="A35214" s="258"/>
      <c r="Z35214" s="258"/>
    </row>
    <row r="35215" spans="1:26" ht="12.75" customHeight="1" x14ac:dyDescent="0.2">
      <c r="A35215" s="258"/>
      <c r="Z35215" s="258"/>
    </row>
    <row r="35216" spans="1:26" ht="12.75" customHeight="1" x14ac:dyDescent="0.2">
      <c r="A35216" s="258"/>
      <c r="Z35216" s="258"/>
    </row>
    <row r="35217" spans="1:26" ht="12.75" customHeight="1" x14ac:dyDescent="0.2">
      <c r="A35217" s="258"/>
      <c r="Z35217" s="258"/>
    </row>
    <row r="35218" spans="1:26" ht="12.75" customHeight="1" x14ac:dyDescent="0.2">
      <c r="A35218" s="258"/>
      <c r="Z35218" s="258"/>
    </row>
    <row r="35219" spans="1:26" ht="12.75" customHeight="1" x14ac:dyDescent="0.2">
      <c r="A35219" s="258"/>
      <c r="Z35219" s="258"/>
    </row>
    <row r="35220" spans="1:26" ht="12.75" customHeight="1" x14ac:dyDescent="0.2">
      <c r="A35220" s="258"/>
      <c r="Z35220" s="258"/>
    </row>
    <row r="35221" spans="1:26" ht="12.75" customHeight="1" x14ac:dyDescent="0.2">
      <c r="A35221" s="258"/>
      <c r="Z35221" s="258"/>
    </row>
    <row r="35222" spans="1:26" ht="12.75" customHeight="1" x14ac:dyDescent="0.2">
      <c r="A35222" s="258"/>
      <c r="Z35222" s="258"/>
    </row>
    <row r="35223" spans="1:26" ht="12.75" customHeight="1" x14ac:dyDescent="0.2">
      <c r="A35223" s="258"/>
      <c r="Z35223" s="258"/>
    </row>
    <row r="35224" spans="1:26" ht="12.75" customHeight="1" x14ac:dyDescent="0.2">
      <c r="A35224" s="258"/>
      <c r="Z35224" s="258"/>
    </row>
    <row r="35225" spans="1:26" ht="12.75" customHeight="1" x14ac:dyDescent="0.2">
      <c r="A35225" s="258"/>
      <c r="Z35225" s="258"/>
    </row>
    <row r="35226" spans="1:26" ht="12.75" customHeight="1" x14ac:dyDescent="0.2">
      <c r="A35226" s="258"/>
      <c r="Z35226" s="258"/>
    </row>
    <row r="35227" spans="1:26" ht="12.75" customHeight="1" x14ac:dyDescent="0.2">
      <c r="A35227" s="258"/>
      <c r="Z35227" s="258"/>
    </row>
    <row r="35228" spans="1:26" ht="12.75" customHeight="1" x14ac:dyDescent="0.2">
      <c r="A35228" s="258"/>
      <c r="Z35228" s="258"/>
    </row>
    <row r="35229" spans="1:26" ht="12.75" customHeight="1" x14ac:dyDescent="0.2">
      <c r="A35229" s="258"/>
      <c r="Z35229" s="258"/>
    </row>
    <row r="35230" spans="1:26" ht="12.75" customHeight="1" x14ac:dyDescent="0.2">
      <c r="A35230" s="258"/>
      <c r="Z35230" s="258"/>
    </row>
    <row r="35231" spans="1:26" ht="12.75" customHeight="1" x14ac:dyDescent="0.2">
      <c r="A35231" s="258"/>
      <c r="Z35231" s="258"/>
    </row>
    <row r="35232" spans="1:26" ht="12.75" customHeight="1" x14ac:dyDescent="0.2">
      <c r="A35232" s="258"/>
      <c r="Z35232" s="258"/>
    </row>
    <row r="35233" spans="1:26" ht="12.75" customHeight="1" x14ac:dyDescent="0.2">
      <c r="A35233" s="258"/>
      <c r="Z35233" s="258"/>
    </row>
    <row r="35234" spans="1:26" ht="12.75" customHeight="1" x14ac:dyDescent="0.2">
      <c r="A35234" s="258"/>
      <c r="Z35234" s="258"/>
    </row>
    <row r="35235" spans="1:26" ht="12.75" customHeight="1" x14ac:dyDescent="0.2">
      <c r="A35235" s="258"/>
      <c r="Z35235" s="258"/>
    </row>
    <row r="35236" spans="1:26" ht="12.75" customHeight="1" x14ac:dyDescent="0.2">
      <c r="A35236" s="258"/>
      <c r="Z35236" s="258"/>
    </row>
    <row r="35237" spans="1:26" ht="12.75" customHeight="1" x14ac:dyDescent="0.2">
      <c r="A35237" s="258"/>
      <c r="Z35237" s="258"/>
    </row>
    <row r="35238" spans="1:26" ht="12.75" customHeight="1" x14ac:dyDescent="0.2">
      <c r="A35238" s="258"/>
      <c r="Z35238" s="258"/>
    </row>
    <row r="35239" spans="1:26" ht="12.75" customHeight="1" x14ac:dyDescent="0.2">
      <c r="A35239" s="258"/>
      <c r="Z35239" s="258"/>
    </row>
    <row r="35240" spans="1:26" ht="12.75" customHeight="1" x14ac:dyDescent="0.2">
      <c r="A35240" s="258"/>
      <c r="Z35240" s="258"/>
    </row>
    <row r="35241" spans="1:26" ht="12.75" customHeight="1" x14ac:dyDescent="0.2">
      <c r="A35241" s="258"/>
      <c r="Z35241" s="258"/>
    </row>
    <row r="35242" spans="1:26" ht="12.75" customHeight="1" x14ac:dyDescent="0.2">
      <c r="A35242" s="258"/>
      <c r="Z35242" s="258"/>
    </row>
    <row r="35243" spans="1:26" ht="12.75" customHeight="1" x14ac:dyDescent="0.2">
      <c r="A35243" s="258"/>
      <c r="Z35243" s="258"/>
    </row>
    <row r="35244" spans="1:26" ht="12.75" customHeight="1" x14ac:dyDescent="0.2">
      <c r="A35244" s="258"/>
      <c r="Z35244" s="258"/>
    </row>
    <row r="35245" spans="1:26" ht="12.75" customHeight="1" x14ac:dyDescent="0.2">
      <c r="A35245" s="258"/>
      <c r="Z35245" s="258"/>
    </row>
    <row r="35246" spans="1:26" ht="12.75" customHeight="1" x14ac:dyDescent="0.2">
      <c r="A35246" s="258"/>
      <c r="Z35246" s="258"/>
    </row>
    <row r="35247" spans="1:26" ht="12.75" customHeight="1" x14ac:dyDescent="0.2">
      <c r="A35247" s="258"/>
      <c r="Z35247" s="258"/>
    </row>
    <row r="35248" spans="1:26" ht="12.75" customHeight="1" x14ac:dyDescent="0.2">
      <c r="A35248" s="258"/>
      <c r="Z35248" s="258"/>
    </row>
    <row r="35249" spans="1:26" ht="12.75" customHeight="1" x14ac:dyDescent="0.2">
      <c r="A35249" s="258"/>
      <c r="Z35249" s="258"/>
    </row>
    <row r="35250" spans="1:26" ht="12.75" customHeight="1" x14ac:dyDescent="0.2">
      <c r="A35250" s="258"/>
      <c r="Z35250" s="258"/>
    </row>
    <row r="35251" spans="1:26" ht="12.75" customHeight="1" x14ac:dyDescent="0.2">
      <c r="A35251" s="258"/>
      <c r="Z35251" s="258"/>
    </row>
    <row r="35252" spans="1:26" ht="12.75" customHeight="1" x14ac:dyDescent="0.2">
      <c r="A35252" s="258"/>
      <c r="Z35252" s="258"/>
    </row>
    <row r="35253" spans="1:26" ht="12.75" customHeight="1" x14ac:dyDescent="0.2">
      <c r="A35253" s="258"/>
      <c r="Z35253" s="258"/>
    </row>
    <row r="35254" spans="1:26" ht="12.75" customHeight="1" x14ac:dyDescent="0.2">
      <c r="A35254" s="258"/>
      <c r="Z35254" s="258"/>
    </row>
    <row r="35255" spans="1:26" ht="12.75" customHeight="1" x14ac:dyDescent="0.2">
      <c r="A35255" s="258"/>
      <c r="Z35255" s="258"/>
    </row>
    <row r="35256" spans="1:26" ht="12.75" customHeight="1" x14ac:dyDescent="0.2">
      <c r="A35256" s="258"/>
      <c r="Z35256" s="258"/>
    </row>
    <row r="35257" spans="1:26" ht="12.75" customHeight="1" x14ac:dyDescent="0.2">
      <c r="A35257" s="258"/>
      <c r="Z35257" s="258"/>
    </row>
    <row r="35258" spans="1:26" ht="12.75" customHeight="1" x14ac:dyDescent="0.2">
      <c r="A35258" s="258"/>
      <c r="Z35258" s="258"/>
    </row>
    <row r="35259" spans="1:26" ht="12.75" customHeight="1" x14ac:dyDescent="0.2">
      <c r="A35259" s="258"/>
      <c r="Z35259" s="258"/>
    </row>
    <row r="35260" spans="1:26" ht="12.75" customHeight="1" x14ac:dyDescent="0.2">
      <c r="A35260" s="258"/>
      <c r="Z35260" s="258"/>
    </row>
    <row r="35261" spans="1:26" ht="12.75" customHeight="1" x14ac:dyDescent="0.2">
      <c r="A35261" s="258"/>
      <c r="Z35261" s="258"/>
    </row>
    <row r="35262" spans="1:26" ht="12.75" customHeight="1" x14ac:dyDescent="0.2">
      <c r="A35262" s="258"/>
      <c r="Z35262" s="258"/>
    </row>
    <row r="35263" spans="1:26" ht="12.75" customHeight="1" x14ac:dyDescent="0.2">
      <c r="A35263" s="258"/>
      <c r="Z35263" s="258"/>
    </row>
    <row r="35264" spans="1:26" ht="12.75" customHeight="1" x14ac:dyDescent="0.2">
      <c r="A35264" s="258"/>
      <c r="Z35264" s="258"/>
    </row>
    <row r="35265" spans="1:26" ht="12.75" customHeight="1" x14ac:dyDescent="0.2">
      <c r="A35265" s="258"/>
      <c r="Z35265" s="258"/>
    </row>
    <row r="35266" spans="1:26" ht="12.75" customHeight="1" x14ac:dyDescent="0.2">
      <c r="A35266" s="258"/>
      <c r="Z35266" s="258"/>
    </row>
    <row r="35267" spans="1:26" ht="12.75" customHeight="1" x14ac:dyDescent="0.2">
      <c r="A35267" s="258"/>
      <c r="Z35267" s="258"/>
    </row>
    <row r="35268" spans="1:26" ht="12.75" customHeight="1" x14ac:dyDescent="0.2">
      <c r="A35268" s="258"/>
      <c r="Z35268" s="258"/>
    </row>
    <row r="35269" spans="1:26" ht="12.75" customHeight="1" x14ac:dyDescent="0.2">
      <c r="A35269" s="258"/>
      <c r="Z35269" s="258"/>
    </row>
    <row r="35270" spans="1:26" ht="12.75" customHeight="1" x14ac:dyDescent="0.2">
      <c r="A35270" s="258"/>
      <c r="Z35270" s="258"/>
    </row>
    <row r="35271" spans="1:26" ht="12.75" customHeight="1" x14ac:dyDescent="0.2">
      <c r="A35271" s="258"/>
      <c r="Z35271" s="258"/>
    </row>
    <row r="35272" spans="1:26" ht="12.75" customHeight="1" x14ac:dyDescent="0.2">
      <c r="A35272" s="258"/>
      <c r="Z35272" s="258"/>
    </row>
    <row r="35273" spans="1:26" ht="12.75" customHeight="1" x14ac:dyDescent="0.2">
      <c r="A35273" s="258"/>
      <c r="Z35273" s="258"/>
    </row>
    <row r="35274" spans="1:26" ht="12.75" customHeight="1" x14ac:dyDescent="0.2">
      <c r="A35274" s="258"/>
      <c r="Z35274" s="258"/>
    </row>
    <row r="35275" spans="1:26" ht="12.75" customHeight="1" x14ac:dyDescent="0.2">
      <c r="A35275" s="258"/>
      <c r="Z35275" s="258"/>
    </row>
    <row r="35276" spans="1:26" ht="12.75" customHeight="1" x14ac:dyDescent="0.2">
      <c r="A35276" s="258"/>
      <c r="Z35276" s="258"/>
    </row>
    <row r="35277" spans="1:26" ht="12.75" customHeight="1" x14ac:dyDescent="0.2">
      <c r="A35277" s="258"/>
      <c r="Z35277" s="258"/>
    </row>
    <row r="35278" spans="1:26" ht="12.75" customHeight="1" x14ac:dyDescent="0.2">
      <c r="A35278" s="258"/>
      <c r="Z35278" s="258"/>
    </row>
    <row r="35279" spans="1:26" ht="12.75" customHeight="1" x14ac:dyDescent="0.2">
      <c r="A35279" s="258"/>
      <c r="Z35279" s="258"/>
    </row>
    <row r="35280" spans="1:26" ht="12.75" customHeight="1" x14ac:dyDescent="0.2">
      <c r="A35280" s="258"/>
      <c r="Z35280" s="258"/>
    </row>
    <row r="35281" spans="1:26" ht="12.75" customHeight="1" x14ac:dyDescent="0.2">
      <c r="A35281" s="258"/>
      <c r="Z35281" s="258"/>
    </row>
    <row r="35282" spans="1:26" ht="12.75" customHeight="1" x14ac:dyDescent="0.2">
      <c r="A35282" s="258"/>
      <c r="Z35282" s="258"/>
    </row>
    <row r="35283" spans="1:26" ht="12.75" customHeight="1" x14ac:dyDescent="0.2">
      <c r="A35283" s="258"/>
      <c r="Z35283" s="258"/>
    </row>
    <row r="35284" spans="1:26" ht="12.75" customHeight="1" x14ac:dyDescent="0.2">
      <c r="A35284" s="258"/>
      <c r="Z35284" s="258"/>
    </row>
    <row r="35285" spans="1:26" ht="12.75" customHeight="1" x14ac:dyDescent="0.2">
      <c r="A35285" s="258"/>
      <c r="Z35285" s="258"/>
    </row>
    <row r="35286" spans="1:26" ht="12.75" customHeight="1" x14ac:dyDescent="0.2">
      <c r="A35286" s="258"/>
      <c r="Z35286" s="258"/>
    </row>
    <row r="35287" spans="1:26" ht="12.75" customHeight="1" x14ac:dyDescent="0.2">
      <c r="A35287" s="258"/>
      <c r="Z35287" s="258"/>
    </row>
    <row r="35288" spans="1:26" ht="12.75" customHeight="1" x14ac:dyDescent="0.2">
      <c r="A35288" s="258"/>
      <c r="Z35288" s="258"/>
    </row>
    <row r="35289" spans="1:26" ht="12.75" customHeight="1" x14ac:dyDescent="0.2">
      <c r="A35289" s="258"/>
      <c r="Z35289" s="258"/>
    </row>
    <row r="35290" spans="1:26" ht="12.75" customHeight="1" x14ac:dyDescent="0.2">
      <c r="A35290" s="258"/>
      <c r="Z35290" s="258"/>
    </row>
    <row r="35291" spans="1:26" ht="12.75" customHeight="1" x14ac:dyDescent="0.2">
      <c r="A35291" s="258"/>
      <c r="Z35291" s="258"/>
    </row>
    <row r="35292" spans="1:26" ht="12.75" customHeight="1" x14ac:dyDescent="0.2">
      <c r="A35292" s="258"/>
      <c r="Z35292" s="258"/>
    </row>
    <row r="35293" spans="1:26" ht="12.75" customHeight="1" x14ac:dyDescent="0.2">
      <c r="A35293" s="258"/>
      <c r="Z35293" s="258"/>
    </row>
    <row r="35294" spans="1:26" ht="12.75" customHeight="1" x14ac:dyDescent="0.2">
      <c r="A35294" s="258"/>
      <c r="Z35294" s="258"/>
    </row>
    <row r="35295" spans="1:26" ht="12.75" customHeight="1" x14ac:dyDescent="0.2">
      <c r="A35295" s="258"/>
      <c r="Z35295" s="258"/>
    </row>
    <row r="35296" spans="1:26" ht="12.75" customHeight="1" x14ac:dyDescent="0.2">
      <c r="A35296" s="258"/>
      <c r="Z35296" s="258"/>
    </row>
    <row r="35297" spans="1:26" ht="12.75" customHeight="1" x14ac:dyDescent="0.2">
      <c r="A35297" s="258"/>
      <c r="Z35297" s="258"/>
    </row>
    <row r="35298" spans="1:26" ht="12.75" customHeight="1" x14ac:dyDescent="0.2">
      <c r="A35298" s="258"/>
      <c r="Z35298" s="258"/>
    </row>
    <row r="35299" spans="1:26" ht="12.75" customHeight="1" x14ac:dyDescent="0.2">
      <c r="A35299" s="258"/>
      <c r="Z35299" s="258"/>
    </row>
    <row r="35300" spans="1:26" ht="12.75" customHeight="1" x14ac:dyDescent="0.2">
      <c r="A35300" s="258"/>
      <c r="Z35300" s="258"/>
    </row>
    <row r="35301" spans="1:26" ht="12.75" customHeight="1" x14ac:dyDescent="0.2">
      <c r="A35301" s="258"/>
      <c r="Z35301" s="258"/>
    </row>
    <row r="35302" spans="1:26" ht="12.75" customHeight="1" x14ac:dyDescent="0.2">
      <c r="A35302" s="258"/>
      <c r="Z35302" s="258"/>
    </row>
    <row r="35303" spans="1:26" ht="12.75" customHeight="1" x14ac:dyDescent="0.2">
      <c r="A35303" s="258"/>
      <c r="Z35303" s="258"/>
    </row>
    <row r="35304" spans="1:26" ht="12.75" customHeight="1" x14ac:dyDescent="0.2">
      <c r="A35304" s="258"/>
      <c r="Z35304" s="258"/>
    </row>
    <row r="35305" spans="1:26" ht="12.75" customHeight="1" x14ac:dyDescent="0.2">
      <c r="A35305" s="258"/>
      <c r="Z35305" s="258"/>
    </row>
    <row r="35306" spans="1:26" ht="12.75" customHeight="1" x14ac:dyDescent="0.2">
      <c r="A35306" s="258"/>
      <c r="Z35306" s="258"/>
    </row>
    <row r="35307" spans="1:26" ht="12.75" customHeight="1" x14ac:dyDescent="0.2">
      <c r="A35307" s="258"/>
      <c r="Z35307" s="258"/>
    </row>
    <row r="35308" spans="1:26" ht="12.75" customHeight="1" x14ac:dyDescent="0.2">
      <c r="A35308" s="258"/>
      <c r="Z35308" s="258"/>
    </row>
    <row r="35309" spans="1:26" ht="12.75" customHeight="1" x14ac:dyDescent="0.2">
      <c r="A35309" s="258"/>
      <c r="Z35309" s="258"/>
    </row>
    <row r="35310" spans="1:26" ht="12.75" customHeight="1" x14ac:dyDescent="0.2">
      <c r="A35310" s="258"/>
      <c r="Z35310" s="258"/>
    </row>
    <row r="35311" spans="1:26" ht="12.75" customHeight="1" x14ac:dyDescent="0.2">
      <c r="A35311" s="258"/>
      <c r="Z35311" s="258"/>
    </row>
    <row r="35312" spans="1:26" ht="12.75" customHeight="1" x14ac:dyDescent="0.2">
      <c r="A35312" s="258"/>
      <c r="Z35312" s="258"/>
    </row>
    <row r="35313" spans="1:26" ht="12.75" customHeight="1" x14ac:dyDescent="0.2">
      <c r="A35313" s="258"/>
      <c r="Z35313" s="258"/>
    </row>
    <row r="35314" spans="1:26" ht="12.75" customHeight="1" x14ac:dyDescent="0.2">
      <c r="A35314" s="258"/>
      <c r="Z35314" s="258"/>
    </row>
    <row r="35315" spans="1:26" ht="12.75" customHeight="1" x14ac:dyDescent="0.2">
      <c r="A35315" s="258"/>
      <c r="Z35315" s="258"/>
    </row>
    <row r="35316" spans="1:26" ht="12.75" customHeight="1" x14ac:dyDescent="0.2">
      <c r="A35316" s="258"/>
      <c r="Z35316" s="258"/>
    </row>
    <row r="35317" spans="1:26" ht="12.75" customHeight="1" x14ac:dyDescent="0.2">
      <c r="A35317" s="258"/>
      <c r="Z35317" s="258"/>
    </row>
    <row r="35318" spans="1:26" ht="12.75" customHeight="1" x14ac:dyDescent="0.2">
      <c r="A35318" s="258"/>
      <c r="Z35318" s="258"/>
    </row>
    <row r="35319" spans="1:26" ht="12.75" customHeight="1" x14ac:dyDescent="0.2">
      <c r="A35319" s="258"/>
      <c r="Z35319" s="258"/>
    </row>
    <row r="35320" spans="1:26" ht="12.75" customHeight="1" x14ac:dyDescent="0.2">
      <c r="A35320" s="258"/>
      <c r="Z35320" s="258"/>
    </row>
    <row r="35321" spans="1:26" ht="12.75" customHeight="1" x14ac:dyDescent="0.2">
      <c r="A35321" s="258"/>
      <c r="Z35321" s="258"/>
    </row>
    <row r="35322" spans="1:26" ht="12.75" customHeight="1" x14ac:dyDescent="0.2">
      <c r="A35322" s="258"/>
      <c r="Z35322" s="258"/>
    </row>
    <row r="35323" spans="1:26" ht="12.75" customHeight="1" x14ac:dyDescent="0.2">
      <c r="A35323" s="258"/>
      <c r="Z35323" s="258"/>
    </row>
    <row r="35324" spans="1:26" ht="12.75" customHeight="1" x14ac:dyDescent="0.2">
      <c r="A35324" s="258"/>
      <c r="Z35324" s="258"/>
    </row>
    <row r="35325" spans="1:26" ht="12.75" customHeight="1" x14ac:dyDescent="0.2">
      <c r="A35325" s="258"/>
      <c r="Z35325" s="258"/>
    </row>
    <row r="35326" spans="1:26" ht="12.75" customHeight="1" x14ac:dyDescent="0.2">
      <c r="A35326" s="258"/>
      <c r="Z35326" s="258"/>
    </row>
    <row r="35327" spans="1:26" ht="12.75" customHeight="1" x14ac:dyDescent="0.2">
      <c r="A35327" s="258"/>
      <c r="Z35327" s="258"/>
    </row>
    <row r="35328" spans="1:26" ht="12.75" customHeight="1" x14ac:dyDescent="0.2">
      <c r="A35328" s="258"/>
      <c r="Z35328" s="258"/>
    </row>
    <row r="35329" spans="1:26" ht="12.75" customHeight="1" x14ac:dyDescent="0.2">
      <c r="A35329" s="258"/>
      <c r="Z35329" s="258"/>
    </row>
    <row r="35330" spans="1:26" ht="12.75" customHeight="1" x14ac:dyDescent="0.2">
      <c r="A35330" s="258"/>
      <c r="Z35330" s="258"/>
    </row>
    <row r="35331" spans="1:26" ht="12.75" customHeight="1" x14ac:dyDescent="0.2">
      <c r="A35331" s="258"/>
      <c r="Z35331" s="258"/>
    </row>
    <row r="35332" spans="1:26" ht="12.75" customHeight="1" x14ac:dyDescent="0.2">
      <c r="A35332" s="258"/>
      <c r="Z35332" s="258"/>
    </row>
    <row r="35333" spans="1:26" ht="12.75" customHeight="1" x14ac:dyDescent="0.2">
      <c r="A35333" s="258"/>
      <c r="Z35333" s="258"/>
    </row>
    <row r="35334" spans="1:26" ht="12.75" customHeight="1" x14ac:dyDescent="0.2">
      <c r="A35334" s="258"/>
      <c r="Z35334" s="258"/>
    </row>
    <row r="35335" spans="1:26" ht="12.75" customHeight="1" x14ac:dyDescent="0.2">
      <c r="A35335" s="258"/>
      <c r="Z35335" s="258"/>
    </row>
    <row r="35336" spans="1:26" ht="12.75" customHeight="1" x14ac:dyDescent="0.2">
      <c r="A35336" s="258"/>
      <c r="Z35336" s="258"/>
    </row>
    <row r="35337" spans="1:26" ht="12.75" customHeight="1" x14ac:dyDescent="0.2">
      <c r="A35337" s="258"/>
      <c r="Z35337" s="258"/>
    </row>
    <row r="35338" spans="1:26" ht="12.75" customHeight="1" x14ac:dyDescent="0.2">
      <c r="A35338" s="258"/>
      <c r="Z35338" s="258"/>
    </row>
    <row r="35339" spans="1:26" ht="12.75" customHeight="1" x14ac:dyDescent="0.2">
      <c r="A35339" s="258"/>
      <c r="Z35339" s="258"/>
    </row>
    <row r="35340" spans="1:26" ht="12.75" customHeight="1" x14ac:dyDescent="0.2">
      <c r="A35340" s="258"/>
      <c r="Z35340" s="258"/>
    </row>
    <row r="35341" spans="1:26" ht="12.75" customHeight="1" x14ac:dyDescent="0.2">
      <c r="A35341" s="258"/>
      <c r="Z35341" s="258"/>
    </row>
    <row r="35342" spans="1:26" ht="12.75" customHeight="1" x14ac:dyDescent="0.2">
      <c r="A35342" s="258"/>
      <c r="Z35342" s="258"/>
    </row>
    <row r="35343" spans="1:26" ht="12.75" customHeight="1" x14ac:dyDescent="0.2">
      <c r="A35343" s="258"/>
      <c r="Z35343" s="258"/>
    </row>
    <row r="35344" spans="1:26" ht="12.75" customHeight="1" x14ac:dyDescent="0.2">
      <c r="A35344" s="258"/>
      <c r="Z35344" s="258"/>
    </row>
    <row r="35345" spans="1:26" ht="12.75" customHeight="1" x14ac:dyDescent="0.2">
      <c r="A35345" s="258"/>
      <c r="Z35345" s="258"/>
    </row>
    <row r="35346" spans="1:26" ht="12.75" customHeight="1" x14ac:dyDescent="0.2">
      <c r="A35346" s="258"/>
      <c r="Z35346" s="258"/>
    </row>
    <row r="35347" spans="1:26" ht="12.75" customHeight="1" x14ac:dyDescent="0.2">
      <c r="A35347" s="258"/>
      <c r="Z35347" s="258"/>
    </row>
    <row r="35348" spans="1:26" ht="12.75" customHeight="1" x14ac:dyDescent="0.2">
      <c r="A35348" s="258"/>
      <c r="Z35348" s="258"/>
    </row>
    <row r="35349" spans="1:26" ht="12.75" customHeight="1" x14ac:dyDescent="0.2">
      <c r="A35349" s="258"/>
      <c r="Z35349" s="258"/>
    </row>
    <row r="35350" spans="1:26" ht="12.75" customHeight="1" x14ac:dyDescent="0.2">
      <c r="A35350" s="258"/>
      <c r="Z35350" s="258"/>
    </row>
    <row r="35351" spans="1:26" ht="12.75" customHeight="1" x14ac:dyDescent="0.2">
      <c r="A35351" s="258"/>
      <c r="Z35351" s="258"/>
    </row>
    <row r="35352" spans="1:26" ht="12.75" customHeight="1" x14ac:dyDescent="0.2">
      <c r="A35352" s="258"/>
      <c r="Z35352" s="258"/>
    </row>
    <row r="35353" spans="1:26" ht="12.75" customHeight="1" x14ac:dyDescent="0.2">
      <c r="A35353" s="258"/>
      <c r="Z35353" s="258"/>
    </row>
    <row r="35354" spans="1:26" ht="12.75" customHeight="1" x14ac:dyDescent="0.2">
      <c r="A35354" s="258"/>
      <c r="Z35354" s="258"/>
    </row>
    <row r="35355" spans="1:26" ht="12.75" customHeight="1" x14ac:dyDescent="0.2">
      <c r="A35355" s="258"/>
      <c r="Z35355" s="258"/>
    </row>
    <row r="35356" spans="1:26" ht="12.75" customHeight="1" x14ac:dyDescent="0.2">
      <c r="A35356" s="258"/>
      <c r="Z35356" s="258"/>
    </row>
    <row r="35357" spans="1:26" ht="12.75" customHeight="1" x14ac:dyDescent="0.2">
      <c r="A35357" s="258"/>
      <c r="Z35357" s="258"/>
    </row>
    <row r="35358" spans="1:26" ht="12.75" customHeight="1" x14ac:dyDescent="0.2">
      <c r="A35358" s="258"/>
      <c r="Z35358" s="258"/>
    </row>
    <row r="35359" spans="1:26" ht="12.75" customHeight="1" x14ac:dyDescent="0.2">
      <c r="A35359" s="258"/>
      <c r="Z35359" s="258"/>
    </row>
    <row r="35360" spans="1:26" ht="12.75" customHeight="1" x14ac:dyDescent="0.2">
      <c r="A35360" s="258"/>
      <c r="Z35360" s="258"/>
    </row>
    <row r="35361" spans="1:26" ht="12.75" customHeight="1" x14ac:dyDescent="0.2">
      <c r="A35361" s="258"/>
      <c r="Z35361" s="258"/>
    </row>
    <row r="35362" spans="1:26" ht="12.75" customHeight="1" x14ac:dyDescent="0.2">
      <c r="A35362" s="258"/>
      <c r="Z35362" s="258"/>
    </row>
    <row r="35363" spans="1:26" ht="12.75" customHeight="1" x14ac:dyDescent="0.2">
      <c r="A35363" s="258"/>
      <c r="Z35363" s="258"/>
    </row>
    <row r="35364" spans="1:26" ht="12.75" customHeight="1" x14ac:dyDescent="0.2">
      <c r="A35364" s="258"/>
      <c r="Z35364" s="258"/>
    </row>
    <row r="35365" spans="1:26" ht="12.75" customHeight="1" x14ac:dyDescent="0.2">
      <c r="A35365" s="258"/>
      <c r="Z35365" s="258"/>
    </row>
    <row r="35366" spans="1:26" ht="12.75" customHeight="1" x14ac:dyDescent="0.2">
      <c r="A35366" s="258"/>
      <c r="Z35366" s="258"/>
    </row>
    <row r="35367" spans="1:26" ht="12.75" customHeight="1" x14ac:dyDescent="0.2">
      <c r="A35367" s="258"/>
      <c r="Z35367" s="258"/>
    </row>
    <row r="35368" spans="1:26" ht="12.75" customHeight="1" x14ac:dyDescent="0.2">
      <c r="A35368" s="258"/>
      <c r="Z35368" s="258"/>
    </row>
    <row r="35369" spans="1:26" ht="12.75" customHeight="1" x14ac:dyDescent="0.2">
      <c r="A35369" s="258"/>
      <c r="Z35369" s="258"/>
    </row>
    <row r="35370" spans="1:26" ht="12.75" customHeight="1" x14ac:dyDescent="0.2">
      <c r="A35370" s="258"/>
      <c r="Z35370" s="258"/>
    </row>
    <row r="35371" spans="1:26" ht="12.75" customHeight="1" x14ac:dyDescent="0.2">
      <c r="A35371" s="258"/>
      <c r="Z35371" s="258"/>
    </row>
    <row r="35372" spans="1:26" ht="12.75" customHeight="1" x14ac:dyDescent="0.2">
      <c r="A35372" s="258"/>
      <c r="Z35372" s="258"/>
    </row>
    <row r="35373" spans="1:26" ht="12.75" customHeight="1" x14ac:dyDescent="0.2">
      <c r="A35373" s="258"/>
      <c r="Z35373" s="258"/>
    </row>
    <row r="35374" spans="1:26" ht="12.75" customHeight="1" x14ac:dyDescent="0.2">
      <c r="A35374" s="258"/>
      <c r="Z35374" s="258"/>
    </row>
    <row r="35375" spans="1:26" ht="12.75" customHeight="1" x14ac:dyDescent="0.2">
      <c r="A35375" s="258"/>
      <c r="Z35375" s="258"/>
    </row>
    <row r="35376" spans="1:26" ht="12.75" customHeight="1" x14ac:dyDescent="0.2">
      <c r="A35376" s="258"/>
      <c r="Z35376" s="258"/>
    </row>
    <row r="35377" spans="1:26" ht="12.75" customHeight="1" x14ac:dyDescent="0.2">
      <c r="A35377" s="258"/>
      <c r="Z35377" s="258"/>
    </row>
    <row r="35378" spans="1:26" ht="12.75" customHeight="1" x14ac:dyDescent="0.2">
      <c r="A35378" s="258"/>
      <c r="Z35378" s="258"/>
    </row>
    <row r="35379" spans="1:26" ht="12.75" customHeight="1" x14ac:dyDescent="0.2">
      <c r="A35379" s="258"/>
      <c r="Z35379" s="258"/>
    </row>
    <row r="35380" spans="1:26" ht="12.75" customHeight="1" x14ac:dyDescent="0.2">
      <c r="A35380" s="258"/>
      <c r="Z35380" s="258"/>
    </row>
    <row r="35381" spans="1:26" ht="12.75" customHeight="1" x14ac:dyDescent="0.2">
      <c r="A35381" s="258"/>
      <c r="Z35381" s="258"/>
    </row>
    <row r="35382" spans="1:26" ht="12.75" customHeight="1" x14ac:dyDescent="0.2">
      <c r="A35382" s="258"/>
      <c r="Z35382" s="258"/>
    </row>
    <row r="35383" spans="1:26" ht="12.75" customHeight="1" x14ac:dyDescent="0.2">
      <c r="A35383" s="258"/>
      <c r="Z35383" s="258"/>
    </row>
    <row r="35384" spans="1:26" ht="12.75" customHeight="1" x14ac:dyDescent="0.2">
      <c r="A35384" s="258"/>
      <c r="Z35384" s="258"/>
    </row>
    <row r="35385" spans="1:26" ht="12.75" customHeight="1" x14ac:dyDescent="0.2">
      <c r="A35385" s="258"/>
      <c r="Z35385" s="258"/>
    </row>
    <row r="35386" spans="1:26" ht="12.75" customHeight="1" x14ac:dyDescent="0.2">
      <c r="A35386" s="258"/>
      <c r="Z35386" s="258"/>
    </row>
    <row r="35387" spans="1:26" ht="12.75" customHeight="1" x14ac:dyDescent="0.2">
      <c r="A35387" s="258"/>
      <c r="Z35387" s="258"/>
    </row>
    <row r="35388" spans="1:26" ht="12.75" customHeight="1" x14ac:dyDescent="0.2">
      <c r="A35388" s="258"/>
      <c r="Z35388" s="258"/>
    </row>
    <row r="35389" spans="1:26" ht="12.75" customHeight="1" x14ac:dyDescent="0.2">
      <c r="A35389" s="258"/>
      <c r="Z35389" s="258"/>
    </row>
    <row r="35390" spans="1:26" ht="12.75" customHeight="1" x14ac:dyDescent="0.2">
      <c r="A35390" s="258"/>
      <c r="Z35390" s="258"/>
    </row>
    <row r="35391" spans="1:26" ht="12.75" customHeight="1" x14ac:dyDescent="0.2">
      <c r="A35391" s="258"/>
      <c r="Z35391" s="258"/>
    </row>
    <row r="35392" spans="1:26" ht="12.75" customHeight="1" x14ac:dyDescent="0.2">
      <c r="A35392" s="258"/>
      <c r="Z35392" s="258"/>
    </row>
    <row r="35393" spans="1:26" ht="12.75" customHeight="1" x14ac:dyDescent="0.2">
      <c r="A35393" s="258"/>
      <c r="Z35393" s="258"/>
    </row>
    <row r="35394" spans="1:26" ht="12.75" customHeight="1" x14ac:dyDescent="0.2">
      <c r="A35394" s="258"/>
      <c r="Z35394" s="258"/>
    </row>
    <row r="35395" spans="1:26" ht="12.75" customHeight="1" x14ac:dyDescent="0.2">
      <c r="A35395" s="258"/>
      <c r="Z35395" s="258"/>
    </row>
    <row r="35396" spans="1:26" ht="12.75" customHeight="1" x14ac:dyDescent="0.2">
      <c r="A35396" s="258"/>
      <c r="Z35396" s="258"/>
    </row>
    <row r="35397" spans="1:26" ht="12.75" customHeight="1" x14ac:dyDescent="0.2">
      <c r="A35397" s="258"/>
      <c r="Z35397" s="258"/>
    </row>
    <row r="35398" spans="1:26" ht="12.75" customHeight="1" x14ac:dyDescent="0.2">
      <c r="A35398" s="258"/>
      <c r="Z35398" s="258"/>
    </row>
    <row r="35399" spans="1:26" ht="12.75" customHeight="1" x14ac:dyDescent="0.2">
      <c r="A35399" s="258"/>
      <c r="Z35399" s="258"/>
    </row>
    <row r="35400" spans="1:26" ht="12.75" customHeight="1" x14ac:dyDescent="0.2">
      <c r="A35400" s="258"/>
      <c r="Z35400" s="258"/>
    </row>
    <row r="35401" spans="1:26" ht="12.75" customHeight="1" x14ac:dyDescent="0.2">
      <c r="A35401" s="258"/>
      <c r="Z35401" s="258"/>
    </row>
    <row r="35402" spans="1:26" ht="12.75" customHeight="1" x14ac:dyDescent="0.2">
      <c r="A35402" s="258"/>
      <c r="Z35402" s="258"/>
    </row>
    <row r="35403" spans="1:26" ht="12.75" customHeight="1" x14ac:dyDescent="0.2">
      <c r="A35403" s="258"/>
      <c r="Z35403" s="258"/>
    </row>
    <row r="35404" spans="1:26" ht="12.75" customHeight="1" x14ac:dyDescent="0.2">
      <c r="A35404" s="258"/>
      <c r="Z35404" s="258"/>
    </row>
    <row r="35405" spans="1:26" ht="12.75" customHeight="1" x14ac:dyDescent="0.2">
      <c r="A35405" s="258"/>
      <c r="Z35405" s="258"/>
    </row>
    <row r="35406" spans="1:26" ht="12.75" customHeight="1" x14ac:dyDescent="0.2">
      <c r="A35406" s="258"/>
      <c r="Z35406" s="258"/>
    </row>
    <row r="35407" spans="1:26" ht="12.75" customHeight="1" x14ac:dyDescent="0.2">
      <c r="A35407" s="258"/>
      <c r="Z35407" s="258"/>
    </row>
    <row r="35408" spans="1:26" ht="12.75" customHeight="1" x14ac:dyDescent="0.2">
      <c r="A35408" s="258"/>
      <c r="Z35408" s="258"/>
    </row>
    <row r="35409" spans="1:26" ht="12.75" customHeight="1" x14ac:dyDescent="0.2">
      <c r="A35409" s="258"/>
      <c r="Z35409" s="258"/>
    </row>
    <row r="35410" spans="1:26" ht="12.75" customHeight="1" x14ac:dyDescent="0.2">
      <c r="A35410" s="258"/>
      <c r="Z35410" s="258"/>
    </row>
    <row r="35411" spans="1:26" ht="12.75" customHeight="1" x14ac:dyDescent="0.2">
      <c r="A35411" s="258"/>
      <c r="Z35411" s="258"/>
    </row>
    <row r="35412" spans="1:26" ht="12.75" customHeight="1" x14ac:dyDescent="0.2">
      <c r="A35412" s="258"/>
      <c r="Z35412" s="258"/>
    </row>
    <row r="35413" spans="1:26" ht="12.75" customHeight="1" x14ac:dyDescent="0.2">
      <c r="A35413" s="258"/>
      <c r="Z35413" s="258"/>
    </row>
    <row r="35414" spans="1:26" ht="12.75" customHeight="1" x14ac:dyDescent="0.2">
      <c r="A35414" s="258"/>
      <c r="Z35414" s="258"/>
    </row>
    <row r="35415" spans="1:26" ht="12.75" customHeight="1" x14ac:dyDescent="0.2">
      <c r="A35415" s="258"/>
      <c r="Z35415" s="258"/>
    </row>
    <row r="35416" spans="1:26" ht="12.75" customHeight="1" x14ac:dyDescent="0.2">
      <c r="A35416" s="258"/>
      <c r="Z35416" s="258"/>
    </row>
    <row r="35417" spans="1:26" ht="12.75" customHeight="1" x14ac:dyDescent="0.2">
      <c r="A35417" s="258"/>
      <c r="Z35417" s="258"/>
    </row>
    <row r="35418" spans="1:26" ht="12.75" customHeight="1" x14ac:dyDescent="0.2">
      <c r="A35418" s="258"/>
      <c r="Z35418" s="258"/>
    </row>
    <row r="35419" spans="1:26" ht="12.75" customHeight="1" x14ac:dyDescent="0.2">
      <c r="A35419" s="258"/>
      <c r="Z35419" s="258"/>
    </row>
    <row r="35420" spans="1:26" ht="12.75" customHeight="1" x14ac:dyDescent="0.2">
      <c r="A35420" s="258"/>
      <c r="Z35420" s="258"/>
    </row>
    <row r="35421" spans="1:26" ht="12.75" customHeight="1" x14ac:dyDescent="0.2">
      <c r="A35421" s="258"/>
      <c r="Z35421" s="258"/>
    </row>
    <row r="35422" spans="1:26" ht="12.75" customHeight="1" x14ac:dyDescent="0.2">
      <c r="A35422" s="258"/>
      <c r="Z35422" s="258"/>
    </row>
    <row r="35423" spans="1:26" ht="12.75" customHeight="1" x14ac:dyDescent="0.2">
      <c r="A35423" s="258"/>
      <c r="Z35423" s="258"/>
    </row>
    <row r="35424" spans="1:26" ht="12.75" customHeight="1" x14ac:dyDescent="0.2">
      <c r="A35424" s="258"/>
      <c r="Z35424" s="258"/>
    </row>
    <row r="35425" spans="1:26" ht="12.75" customHeight="1" x14ac:dyDescent="0.2">
      <c r="A35425" s="258"/>
      <c r="Z35425" s="258"/>
    </row>
    <row r="35426" spans="1:26" ht="12.75" customHeight="1" x14ac:dyDescent="0.2">
      <c r="A35426" s="258"/>
      <c r="Z35426" s="258"/>
    </row>
    <row r="35427" spans="1:26" ht="12.75" customHeight="1" x14ac:dyDescent="0.2">
      <c r="A35427" s="258"/>
      <c r="Z35427" s="258"/>
    </row>
    <row r="35428" spans="1:26" ht="12.75" customHeight="1" x14ac:dyDescent="0.2">
      <c r="A35428" s="258"/>
      <c r="Z35428" s="258"/>
    </row>
    <row r="35429" spans="1:26" ht="12.75" customHeight="1" x14ac:dyDescent="0.2">
      <c r="A35429" s="258"/>
      <c r="Z35429" s="258"/>
    </row>
    <row r="35430" spans="1:26" ht="12.75" customHeight="1" x14ac:dyDescent="0.2">
      <c r="A35430" s="258"/>
      <c r="Z35430" s="258"/>
    </row>
    <row r="35431" spans="1:26" ht="12.75" customHeight="1" x14ac:dyDescent="0.2">
      <c r="A35431" s="258"/>
      <c r="Z35431" s="258"/>
    </row>
    <row r="35432" spans="1:26" ht="12.75" customHeight="1" x14ac:dyDescent="0.2">
      <c r="A35432" s="258"/>
      <c r="Z35432" s="258"/>
    </row>
    <row r="35433" spans="1:26" ht="12.75" customHeight="1" x14ac:dyDescent="0.2">
      <c r="A35433" s="258"/>
      <c r="Z35433" s="258"/>
    </row>
    <row r="35434" spans="1:26" ht="12.75" customHeight="1" x14ac:dyDescent="0.2">
      <c r="A35434" s="258"/>
      <c r="Z35434" s="258"/>
    </row>
    <row r="35435" spans="1:26" ht="12.75" customHeight="1" x14ac:dyDescent="0.2">
      <c r="A35435" s="258"/>
      <c r="Z35435" s="258"/>
    </row>
    <row r="35436" spans="1:26" ht="12.75" customHeight="1" x14ac:dyDescent="0.2">
      <c r="A35436" s="258"/>
      <c r="Z35436" s="258"/>
    </row>
    <row r="35437" spans="1:26" ht="12.75" customHeight="1" x14ac:dyDescent="0.2">
      <c r="A35437" s="258"/>
      <c r="Z35437" s="258"/>
    </row>
    <row r="35438" spans="1:26" ht="12.75" customHeight="1" x14ac:dyDescent="0.2">
      <c r="A35438" s="258"/>
      <c r="Z35438" s="258"/>
    </row>
    <row r="35439" spans="1:26" ht="12.75" customHeight="1" x14ac:dyDescent="0.2">
      <c r="A35439" s="258"/>
      <c r="Z35439" s="258"/>
    </row>
    <row r="35440" spans="1:26" ht="12.75" customHeight="1" x14ac:dyDescent="0.2">
      <c r="A35440" s="258"/>
      <c r="Z35440" s="258"/>
    </row>
    <row r="35441" spans="1:26" ht="12.75" customHeight="1" x14ac:dyDescent="0.2">
      <c r="A35441" s="258"/>
      <c r="Z35441" s="258"/>
    </row>
    <row r="35442" spans="1:26" ht="12.75" customHeight="1" x14ac:dyDescent="0.2">
      <c r="A35442" s="258"/>
      <c r="Z35442" s="258"/>
    </row>
    <row r="35443" spans="1:26" ht="12.75" customHeight="1" x14ac:dyDescent="0.2">
      <c r="A35443" s="258"/>
      <c r="Z35443" s="258"/>
    </row>
    <row r="35444" spans="1:26" ht="12.75" customHeight="1" x14ac:dyDescent="0.2">
      <c r="A35444" s="258"/>
      <c r="Z35444" s="258"/>
    </row>
    <row r="35445" spans="1:26" ht="12.75" customHeight="1" x14ac:dyDescent="0.2">
      <c r="A35445" s="258"/>
      <c r="Z35445" s="258"/>
    </row>
    <row r="35446" spans="1:26" ht="12.75" customHeight="1" x14ac:dyDescent="0.2">
      <c r="A35446" s="258"/>
      <c r="Z35446" s="258"/>
    </row>
    <row r="35447" spans="1:26" ht="12.75" customHeight="1" x14ac:dyDescent="0.2">
      <c r="A35447" s="258"/>
      <c r="Z35447" s="258"/>
    </row>
    <row r="35448" spans="1:26" ht="12.75" customHeight="1" x14ac:dyDescent="0.2">
      <c r="A35448" s="258"/>
      <c r="Z35448" s="258"/>
    </row>
    <row r="35449" spans="1:26" ht="12.75" customHeight="1" x14ac:dyDescent="0.2">
      <c r="A35449" s="258"/>
      <c r="Z35449" s="258"/>
    </row>
    <row r="35450" spans="1:26" ht="12.75" customHeight="1" x14ac:dyDescent="0.2">
      <c r="A35450" s="258"/>
      <c r="Z35450" s="258"/>
    </row>
    <row r="35451" spans="1:26" ht="12.75" customHeight="1" x14ac:dyDescent="0.2">
      <c r="A35451" s="258"/>
      <c r="Z35451" s="258"/>
    </row>
    <row r="35452" spans="1:26" ht="12.75" customHeight="1" x14ac:dyDescent="0.2">
      <c r="A35452" s="258"/>
      <c r="Z35452" s="258"/>
    </row>
    <row r="35453" spans="1:26" ht="12.75" customHeight="1" x14ac:dyDescent="0.2">
      <c r="A35453" s="258"/>
      <c r="Z35453" s="258"/>
    </row>
    <row r="35454" spans="1:26" ht="12.75" customHeight="1" x14ac:dyDescent="0.2">
      <c r="A35454" s="258"/>
      <c r="Z35454" s="258"/>
    </row>
    <row r="35455" spans="1:26" ht="12.75" customHeight="1" x14ac:dyDescent="0.2">
      <c r="A35455" s="258"/>
      <c r="Z35455" s="258"/>
    </row>
    <row r="35456" spans="1:26" ht="12.75" customHeight="1" x14ac:dyDescent="0.2">
      <c r="A35456" s="258"/>
      <c r="Z35456" s="258"/>
    </row>
    <row r="35457" spans="1:26" ht="12.75" customHeight="1" x14ac:dyDescent="0.2">
      <c r="A35457" s="258"/>
      <c r="Z35457" s="258"/>
    </row>
    <row r="35458" spans="1:26" ht="12.75" customHeight="1" x14ac:dyDescent="0.2">
      <c r="A35458" s="258"/>
      <c r="Z35458" s="258"/>
    </row>
    <row r="35459" spans="1:26" ht="12.75" customHeight="1" x14ac:dyDescent="0.2">
      <c r="A35459" s="258"/>
      <c r="Z35459" s="258"/>
    </row>
    <row r="35460" spans="1:26" ht="12.75" customHeight="1" x14ac:dyDescent="0.2">
      <c r="A35460" s="258"/>
      <c r="Z35460" s="258"/>
    </row>
    <row r="35461" spans="1:26" ht="12.75" customHeight="1" x14ac:dyDescent="0.2">
      <c r="A35461" s="258"/>
      <c r="Z35461" s="258"/>
    </row>
    <row r="35462" spans="1:26" ht="12.75" customHeight="1" x14ac:dyDescent="0.2">
      <c r="A35462" s="258"/>
      <c r="Z35462" s="258"/>
    </row>
    <row r="35463" spans="1:26" ht="12.75" customHeight="1" x14ac:dyDescent="0.2">
      <c r="A35463" s="258"/>
      <c r="Z35463" s="258"/>
    </row>
    <row r="35464" spans="1:26" ht="12.75" customHeight="1" x14ac:dyDescent="0.2">
      <c r="A35464" s="258"/>
      <c r="Z35464" s="258"/>
    </row>
    <row r="35465" spans="1:26" ht="12.75" customHeight="1" x14ac:dyDescent="0.2">
      <c r="A35465" s="258"/>
      <c r="Z35465" s="258"/>
    </row>
    <row r="35466" spans="1:26" ht="12.75" customHeight="1" x14ac:dyDescent="0.2">
      <c r="A35466" s="258"/>
      <c r="Z35466" s="258"/>
    </row>
    <row r="35467" spans="1:26" ht="12.75" customHeight="1" x14ac:dyDescent="0.2">
      <c r="A35467" s="258"/>
      <c r="Z35467" s="258"/>
    </row>
    <row r="35468" spans="1:26" ht="12.75" customHeight="1" x14ac:dyDescent="0.2">
      <c r="A35468" s="258"/>
      <c r="Z35468" s="258"/>
    </row>
    <row r="35469" spans="1:26" ht="12.75" customHeight="1" x14ac:dyDescent="0.2">
      <c r="A35469" s="258"/>
      <c r="Z35469" s="258"/>
    </row>
    <row r="35470" spans="1:26" ht="12.75" customHeight="1" x14ac:dyDescent="0.2">
      <c r="A35470" s="258"/>
      <c r="Z35470" s="258"/>
    </row>
    <row r="35471" spans="1:26" ht="12.75" customHeight="1" x14ac:dyDescent="0.2">
      <c r="A35471" s="258"/>
      <c r="Z35471" s="258"/>
    </row>
    <row r="35472" spans="1:26" ht="12.75" customHeight="1" x14ac:dyDescent="0.2">
      <c r="A35472" s="258"/>
      <c r="Z35472" s="258"/>
    </row>
    <row r="35473" spans="1:26" ht="12.75" customHeight="1" x14ac:dyDescent="0.2">
      <c r="A35473" s="258"/>
      <c r="Z35473" s="258"/>
    </row>
    <row r="35474" spans="1:26" ht="12.75" customHeight="1" x14ac:dyDescent="0.2">
      <c r="A35474" s="258"/>
      <c r="Z35474" s="258"/>
    </row>
    <row r="35475" spans="1:26" ht="12.75" customHeight="1" x14ac:dyDescent="0.2">
      <c r="A35475" s="258"/>
      <c r="Z35475" s="258"/>
    </row>
    <row r="35476" spans="1:26" ht="12.75" customHeight="1" x14ac:dyDescent="0.2">
      <c r="A35476" s="258"/>
      <c r="Z35476" s="258"/>
    </row>
    <row r="35477" spans="1:26" ht="12.75" customHeight="1" x14ac:dyDescent="0.2">
      <c r="A35477" s="258"/>
      <c r="Z35477" s="258"/>
    </row>
    <row r="35478" spans="1:26" ht="12.75" customHeight="1" x14ac:dyDescent="0.2">
      <c r="A35478" s="258"/>
      <c r="Z35478" s="258"/>
    </row>
    <row r="35479" spans="1:26" ht="12.75" customHeight="1" x14ac:dyDescent="0.2">
      <c r="A35479" s="258"/>
      <c r="Z35479" s="258"/>
    </row>
    <row r="35480" spans="1:26" ht="12.75" customHeight="1" x14ac:dyDescent="0.2">
      <c r="A35480" s="258"/>
      <c r="Z35480" s="258"/>
    </row>
    <row r="35481" spans="1:26" ht="12.75" customHeight="1" x14ac:dyDescent="0.2">
      <c r="A35481" s="258"/>
      <c r="Z35481" s="258"/>
    </row>
    <row r="35482" spans="1:26" ht="12.75" customHeight="1" x14ac:dyDescent="0.2">
      <c r="A35482" s="258"/>
      <c r="Z35482" s="258"/>
    </row>
    <row r="35483" spans="1:26" ht="12.75" customHeight="1" x14ac:dyDescent="0.2">
      <c r="A35483" s="258"/>
      <c r="Z35483" s="258"/>
    </row>
    <row r="35484" spans="1:26" ht="12.75" customHeight="1" x14ac:dyDescent="0.2">
      <c r="A35484" s="258"/>
      <c r="Z35484" s="258"/>
    </row>
    <row r="35485" spans="1:26" ht="12.75" customHeight="1" x14ac:dyDescent="0.2">
      <c r="A35485" s="258"/>
      <c r="Z35485" s="258"/>
    </row>
    <row r="35486" spans="1:26" ht="12.75" customHeight="1" x14ac:dyDescent="0.2">
      <c r="A35486" s="258"/>
      <c r="Z35486" s="258"/>
    </row>
    <row r="35487" spans="1:26" ht="12.75" customHeight="1" x14ac:dyDescent="0.2">
      <c r="A35487" s="258"/>
      <c r="Z35487" s="258"/>
    </row>
    <row r="35488" spans="1:26" ht="12.75" customHeight="1" x14ac:dyDescent="0.2">
      <c r="A35488" s="258"/>
      <c r="Z35488" s="258"/>
    </row>
    <row r="35489" spans="1:26" ht="12.75" customHeight="1" x14ac:dyDescent="0.2">
      <c r="A35489" s="258"/>
      <c r="Z35489" s="258"/>
    </row>
    <row r="35490" spans="1:26" ht="12.75" customHeight="1" x14ac:dyDescent="0.2">
      <c r="A35490" s="258"/>
      <c r="Z35490" s="258"/>
    </row>
    <row r="35491" spans="1:26" ht="12.75" customHeight="1" x14ac:dyDescent="0.2">
      <c r="A35491" s="258"/>
      <c r="Z35491" s="258"/>
    </row>
    <row r="35492" spans="1:26" ht="12.75" customHeight="1" x14ac:dyDescent="0.2">
      <c r="A35492" s="258"/>
      <c r="Z35492" s="258"/>
    </row>
    <row r="35493" spans="1:26" ht="12.75" customHeight="1" x14ac:dyDescent="0.2">
      <c r="A35493" s="258"/>
      <c r="Z35493" s="258"/>
    </row>
    <row r="35494" spans="1:26" ht="12.75" customHeight="1" x14ac:dyDescent="0.2">
      <c r="A35494" s="258"/>
      <c r="Z35494" s="258"/>
    </row>
    <row r="35495" spans="1:26" ht="12.75" customHeight="1" x14ac:dyDescent="0.2">
      <c r="A35495" s="258"/>
      <c r="Z35495" s="258"/>
    </row>
    <row r="35496" spans="1:26" ht="12.75" customHeight="1" x14ac:dyDescent="0.2">
      <c r="A35496" s="258"/>
      <c r="Z35496" s="258"/>
    </row>
    <row r="35497" spans="1:26" ht="12.75" customHeight="1" x14ac:dyDescent="0.2">
      <c r="A35497" s="258"/>
      <c r="Z35497" s="258"/>
    </row>
    <row r="35498" spans="1:26" ht="12.75" customHeight="1" x14ac:dyDescent="0.2">
      <c r="A35498" s="258"/>
      <c r="Z35498" s="258"/>
    </row>
    <row r="35499" spans="1:26" ht="12.75" customHeight="1" x14ac:dyDescent="0.2">
      <c r="A35499" s="258"/>
      <c r="Z35499" s="258"/>
    </row>
    <row r="35500" spans="1:26" ht="12.75" customHeight="1" x14ac:dyDescent="0.2">
      <c r="A35500" s="258"/>
      <c r="Z35500" s="258"/>
    </row>
    <row r="35501" spans="1:26" ht="12.75" customHeight="1" x14ac:dyDescent="0.2">
      <c r="A35501" s="258"/>
      <c r="Z35501" s="258"/>
    </row>
    <row r="35502" spans="1:26" ht="12.75" customHeight="1" x14ac:dyDescent="0.2">
      <c r="A35502" s="258"/>
      <c r="Z35502" s="258"/>
    </row>
    <row r="35503" spans="1:26" ht="12.75" customHeight="1" x14ac:dyDescent="0.2">
      <c r="A35503" s="258"/>
      <c r="Z35503" s="258"/>
    </row>
    <row r="35504" spans="1:26" ht="12.75" customHeight="1" x14ac:dyDescent="0.2">
      <c r="A35504" s="258"/>
      <c r="Z35504" s="258"/>
    </row>
    <row r="35505" spans="1:26" ht="12.75" customHeight="1" x14ac:dyDescent="0.2">
      <c r="A35505" s="258"/>
      <c r="Z35505" s="258"/>
    </row>
    <row r="35506" spans="1:26" ht="12.75" customHeight="1" x14ac:dyDescent="0.2">
      <c r="A35506" s="258"/>
      <c r="Z35506" s="258"/>
    </row>
    <row r="35507" spans="1:26" ht="12.75" customHeight="1" x14ac:dyDescent="0.2">
      <c r="A35507" s="258"/>
      <c r="Z35507" s="258"/>
    </row>
    <row r="35508" spans="1:26" ht="12.75" customHeight="1" x14ac:dyDescent="0.2">
      <c r="A35508" s="258"/>
      <c r="Z35508" s="258"/>
    </row>
    <row r="35509" spans="1:26" ht="12.75" customHeight="1" x14ac:dyDescent="0.2">
      <c r="A35509" s="258"/>
      <c r="Z35509" s="258"/>
    </row>
    <row r="35510" spans="1:26" ht="12.75" customHeight="1" x14ac:dyDescent="0.2">
      <c r="A35510" s="258"/>
      <c r="Z35510" s="258"/>
    </row>
    <row r="35511" spans="1:26" ht="12.75" customHeight="1" x14ac:dyDescent="0.2">
      <c r="A35511" s="258"/>
      <c r="Z35511" s="258"/>
    </row>
    <row r="35512" spans="1:26" ht="12.75" customHeight="1" x14ac:dyDescent="0.2">
      <c r="A35512" s="258"/>
      <c r="Z35512" s="258"/>
    </row>
    <row r="35513" spans="1:26" ht="12.75" customHeight="1" x14ac:dyDescent="0.2">
      <c r="A35513" s="258"/>
      <c r="Z35513" s="258"/>
    </row>
    <row r="35514" spans="1:26" ht="12.75" customHeight="1" x14ac:dyDescent="0.2">
      <c r="A35514" s="258"/>
      <c r="Z35514" s="258"/>
    </row>
    <row r="35515" spans="1:26" ht="12.75" customHeight="1" x14ac:dyDescent="0.2">
      <c r="A35515" s="258"/>
      <c r="Z35515" s="258"/>
    </row>
    <row r="35516" spans="1:26" ht="12.75" customHeight="1" x14ac:dyDescent="0.2">
      <c r="A35516" s="258"/>
      <c r="Z35516" s="258"/>
    </row>
    <row r="35517" spans="1:26" ht="12.75" customHeight="1" x14ac:dyDescent="0.2">
      <c r="A35517" s="258"/>
      <c r="Z35517" s="258"/>
    </row>
    <row r="35518" spans="1:26" ht="12.75" customHeight="1" x14ac:dyDescent="0.2">
      <c r="A35518" s="258"/>
      <c r="Z35518" s="258"/>
    </row>
    <row r="35519" spans="1:26" ht="12.75" customHeight="1" x14ac:dyDescent="0.2">
      <c r="A35519" s="258"/>
      <c r="Z35519" s="258"/>
    </row>
    <row r="35520" spans="1:26" ht="12.75" customHeight="1" x14ac:dyDescent="0.2">
      <c r="A35520" s="258"/>
      <c r="Z35520" s="258"/>
    </row>
    <row r="35521" spans="1:26" ht="12.75" customHeight="1" x14ac:dyDescent="0.2">
      <c r="A35521" s="258"/>
      <c r="Z35521" s="258"/>
    </row>
    <row r="35522" spans="1:26" ht="12.75" customHeight="1" x14ac:dyDescent="0.2">
      <c r="A35522" s="258"/>
      <c r="Z35522" s="258"/>
    </row>
    <row r="35523" spans="1:26" ht="12.75" customHeight="1" x14ac:dyDescent="0.2">
      <c r="A35523" s="258"/>
      <c r="Z35523" s="258"/>
    </row>
    <row r="35524" spans="1:26" ht="12.75" customHeight="1" x14ac:dyDescent="0.2">
      <c r="A35524" s="258"/>
      <c r="Z35524" s="258"/>
    </row>
    <row r="35525" spans="1:26" ht="12.75" customHeight="1" x14ac:dyDescent="0.2">
      <c r="A35525" s="258"/>
      <c r="Z35525" s="258"/>
    </row>
    <row r="35526" spans="1:26" ht="12.75" customHeight="1" x14ac:dyDescent="0.2">
      <c r="A35526" s="258"/>
      <c r="Z35526" s="258"/>
    </row>
    <row r="35527" spans="1:26" ht="12.75" customHeight="1" x14ac:dyDescent="0.2">
      <c r="A35527" s="258"/>
      <c r="Z35527" s="258"/>
    </row>
    <row r="35528" spans="1:26" ht="12.75" customHeight="1" x14ac:dyDescent="0.2">
      <c r="A35528" s="258"/>
      <c r="Z35528" s="258"/>
    </row>
    <row r="35529" spans="1:26" ht="12.75" customHeight="1" x14ac:dyDescent="0.2">
      <c r="A35529" s="258"/>
      <c r="Z35529" s="258"/>
    </row>
    <row r="35530" spans="1:26" ht="12.75" customHeight="1" x14ac:dyDescent="0.2">
      <c r="A35530" s="258"/>
      <c r="Z35530" s="258"/>
    </row>
    <row r="35531" spans="1:26" ht="12.75" customHeight="1" x14ac:dyDescent="0.2">
      <c r="A35531" s="258"/>
      <c r="Z35531" s="258"/>
    </row>
    <row r="35532" spans="1:26" ht="12.75" customHeight="1" x14ac:dyDescent="0.2">
      <c r="A35532" s="258"/>
      <c r="Z35532" s="258"/>
    </row>
    <row r="35533" spans="1:26" ht="12.75" customHeight="1" x14ac:dyDescent="0.2">
      <c r="A35533" s="258"/>
      <c r="Z35533" s="258"/>
    </row>
    <row r="35534" spans="1:26" ht="12.75" customHeight="1" x14ac:dyDescent="0.2">
      <c r="A35534" s="258"/>
      <c r="Z35534" s="258"/>
    </row>
    <row r="35535" spans="1:26" ht="12.75" customHeight="1" x14ac:dyDescent="0.2">
      <c r="A35535" s="258"/>
      <c r="Z35535" s="258"/>
    </row>
    <row r="35536" spans="1:26" ht="12.75" customHeight="1" x14ac:dyDescent="0.2">
      <c r="A35536" s="258"/>
      <c r="Z35536" s="258"/>
    </row>
    <row r="35537" spans="1:26" ht="12.75" customHeight="1" x14ac:dyDescent="0.2">
      <c r="A35537" s="258"/>
      <c r="Z35537" s="258"/>
    </row>
    <row r="35538" spans="1:26" ht="12.75" customHeight="1" x14ac:dyDescent="0.2">
      <c r="A35538" s="258"/>
      <c r="Z35538" s="258"/>
    </row>
    <row r="35539" spans="1:26" ht="12.75" customHeight="1" x14ac:dyDescent="0.2">
      <c r="A35539" s="258"/>
      <c r="Z35539" s="258"/>
    </row>
    <row r="35540" spans="1:26" ht="12.75" customHeight="1" x14ac:dyDescent="0.2">
      <c r="A35540" s="258"/>
      <c r="Z35540" s="258"/>
    </row>
    <row r="35541" spans="1:26" ht="12.75" customHeight="1" x14ac:dyDescent="0.2">
      <c r="A35541" s="258"/>
      <c r="Z35541" s="258"/>
    </row>
    <row r="35542" spans="1:26" ht="12.75" customHeight="1" x14ac:dyDescent="0.2">
      <c r="A35542" s="258"/>
      <c r="Z35542" s="258"/>
    </row>
    <row r="35543" spans="1:26" ht="12.75" customHeight="1" x14ac:dyDescent="0.2">
      <c r="A35543" s="258"/>
      <c r="Z35543" s="258"/>
    </row>
    <row r="35544" spans="1:26" ht="12.75" customHeight="1" x14ac:dyDescent="0.2">
      <c r="A35544" s="258"/>
      <c r="Z35544" s="258"/>
    </row>
    <row r="35545" spans="1:26" ht="12.75" customHeight="1" x14ac:dyDescent="0.2">
      <c r="A35545" s="258"/>
      <c r="Z35545" s="258"/>
    </row>
    <row r="35546" spans="1:26" ht="12.75" customHeight="1" x14ac:dyDescent="0.2">
      <c r="A35546" s="258"/>
      <c r="Z35546" s="258"/>
    </row>
    <row r="35547" spans="1:26" ht="12.75" customHeight="1" x14ac:dyDescent="0.2">
      <c r="A35547" s="258"/>
      <c r="Z35547" s="258"/>
    </row>
    <row r="35548" spans="1:26" ht="12.75" customHeight="1" x14ac:dyDescent="0.2">
      <c r="A35548" s="258"/>
      <c r="Z35548" s="258"/>
    </row>
    <row r="35549" spans="1:26" ht="12.75" customHeight="1" x14ac:dyDescent="0.2">
      <c r="A35549" s="258"/>
      <c r="Z35549" s="258"/>
    </row>
    <row r="35550" spans="1:26" ht="12.75" customHeight="1" x14ac:dyDescent="0.2">
      <c r="A35550" s="258"/>
      <c r="Z35550" s="258"/>
    </row>
    <row r="35551" spans="1:26" ht="12.75" customHeight="1" x14ac:dyDescent="0.2">
      <c r="A35551" s="258"/>
      <c r="Z35551" s="258"/>
    </row>
    <row r="35552" spans="1:26" ht="12.75" customHeight="1" x14ac:dyDescent="0.2">
      <c r="A35552" s="258"/>
      <c r="Z35552" s="258"/>
    </row>
    <row r="35553" spans="1:26" ht="12.75" customHeight="1" x14ac:dyDescent="0.2">
      <c r="A35553" s="258"/>
      <c r="Z35553" s="258"/>
    </row>
    <row r="35554" spans="1:26" ht="12.75" customHeight="1" x14ac:dyDescent="0.2">
      <c r="A35554" s="258"/>
      <c r="Z35554" s="258"/>
    </row>
    <row r="35555" spans="1:26" ht="12.75" customHeight="1" x14ac:dyDescent="0.2">
      <c r="A35555" s="258"/>
      <c r="Z35555" s="258"/>
    </row>
    <row r="35556" spans="1:26" ht="12.75" customHeight="1" x14ac:dyDescent="0.2">
      <c r="A35556" s="258"/>
      <c r="Z35556" s="258"/>
    </row>
    <row r="35557" spans="1:26" ht="12.75" customHeight="1" x14ac:dyDescent="0.2">
      <c r="A35557" s="258"/>
      <c r="Z35557" s="258"/>
    </row>
    <row r="35558" spans="1:26" ht="12.75" customHeight="1" x14ac:dyDescent="0.2">
      <c r="A35558" s="258"/>
      <c r="Z35558" s="258"/>
    </row>
    <row r="35559" spans="1:26" ht="12.75" customHeight="1" x14ac:dyDescent="0.2">
      <c r="A35559" s="258"/>
      <c r="Z35559" s="258"/>
    </row>
    <row r="35560" spans="1:26" ht="12.75" customHeight="1" x14ac:dyDescent="0.2">
      <c r="A35560" s="258"/>
      <c r="Z35560" s="258"/>
    </row>
    <row r="35561" spans="1:26" ht="12.75" customHeight="1" x14ac:dyDescent="0.2">
      <c r="A35561" s="258"/>
      <c r="Z35561" s="258"/>
    </row>
    <row r="35562" spans="1:26" ht="12.75" customHeight="1" x14ac:dyDescent="0.2">
      <c r="A35562" s="258"/>
      <c r="Z35562" s="258"/>
    </row>
    <row r="35563" spans="1:26" ht="12.75" customHeight="1" x14ac:dyDescent="0.2">
      <c r="A35563" s="258"/>
      <c r="Z35563" s="258"/>
    </row>
    <row r="35564" spans="1:26" ht="12.75" customHeight="1" x14ac:dyDescent="0.2">
      <c r="A35564" s="258"/>
      <c r="Z35564" s="258"/>
    </row>
    <row r="35565" spans="1:26" ht="12.75" customHeight="1" x14ac:dyDescent="0.2">
      <c r="A35565" s="258"/>
      <c r="Z35565" s="258"/>
    </row>
    <row r="35566" spans="1:26" ht="12.75" customHeight="1" x14ac:dyDescent="0.2">
      <c r="A35566" s="258"/>
      <c r="Z35566" s="258"/>
    </row>
    <row r="35567" spans="1:26" ht="12.75" customHeight="1" x14ac:dyDescent="0.2">
      <c r="A35567" s="258"/>
      <c r="Z35567" s="258"/>
    </row>
    <row r="35568" spans="1:26" ht="12.75" customHeight="1" x14ac:dyDescent="0.2">
      <c r="A35568" s="258"/>
      <c r="Z35568" s="258"/>
    </row>
    <row r="35569" spans="1:26" ht="12.75" customHeight="1" x14ac:dyDescent="0.2">
      <c r="A35569" s="258"/>
      <c r="Z35569" s="258"/>
    </row>
    <row r="35570" spans="1:26" ht="12.75" customHeight="1" x14ac:dyDescent="0.2">
      <c r="A35570" s="258"/>
      <c r="Z35570" s="258"/>
    </row>
    <row r="35571" spans="1:26" ht="12.75" customHeight="1" x14ac:dyDescent="0.2">
      <c r="A35571" s="258"/>
      <c r="Z35571" s="258"/>
    </row>
    <row r="35572" spans="1:26" ht="12.75" customHeight="1" x14ac:dyDescent="0.2">
      <c r="A35572" s="258"/>
      <c r="Z35572" s="258"/>
    </row>
    <row r="35573" spans="1:26" ht="12.75" customHeight="1" x14ac:dyDescent="0.2">
      <c r="A35573" s="258"/>
      <c r="Z35573" s="258"/>
    </row>
    <row r="35574" spans="1:26" ht="12.75" customHeight="1" x14ac:dyDescent="0.2">
      <c r="A35574" s="258"/>
      <c r="Z35574" s="258"/>
    </row>
    <row r="35575" spans="1:26" ht="12.75" customHeight="1" x14ac:dyDescent="0.2">
      <c r="A35575" s="258"/>
      <c r="Z35575" s="258"/>
    </row>
    <row r="35576" spans="1:26" ht="12.75" customHeight="1" x14ac:dyDescent="0.2">
      <c r="A35576" s="258"/>
      <c r="Z35576" s="258"/>
    </row>
    <row r="35577" spans="1:26" ht="12.75" customHeight="1" x14ac:dyDescent="0.2">
      <c r="A35577" s="258"/>
      <c r="Z35577" s="258"/>
    </row>
    <row r="35578" spans="1:26" ht="12.75" customHeight="1" x14ac:dyDescent="0.2">
      <c r="A35578" s="258"/>
      <c r="Z35578" s="258"/>
    </row>
    <row r="35579" spans="1:26" ht="12.75" customHeight="1" x14ac:dyDescent="0.2">
      <c r="A35579" s="258"/>
      <c r="Z35579" s="258"/>
    </row>
    <row r="35580" spans="1:26" ht="12.75" customHeight="1" x14ac:dyDescent="0.2">
      <c r="A35580" s="258"/>
      <c r="Z35580" s="258"/>
    </row>
    <row r="35581" spans="1:26" ht="12.75" customHeight="1" x14ac:dyDescent="0.2">
      <c r="A35581" s="258"/>
      <c r="Z35581" s="258"/>
    </row>
    <row r="35582" spans="1:26" ht="12.75" customHeight="1" x14ac:dyDescent="0.2">
      <c r="A35582" s="258"/>
      <c r="Z35582" s="258"/>
    </row>
    <row r="35583" spans="1:26" ht="12.75" customHeight="1" x14ac:dyDescent="0.2">
      <c r="A35583" s="258"/>
      <c r="Z35583" s="258"/>
    </row>
    <row r="35584" spans="1:26" ht="12.75" customHeight="1" x14ac:dyDescent="0.2">
      <c r="A35584" s="258"/>
      <c r="Z35584" s="258"/>
    </row>
    <row r="35585" spans="1:26" ht="12.75" customHeight="1" x14ac:dyDescent="0.2">
      <c r="A35585" s="258"/>
      <c r="Z35585" s="258"/>
    </row>
    <row r="35586" spans="1:26" ht="12.75" customHeight="1" x14ac:dyDescent="0.2">
      <c r="A35586" s="258"/>
      <c r="Z35586" s="258"/>
    </row>
    <row r="35587" spans="1:26" ht="12.75" customHeight="1" x14ac:dyDescent="0.2">
      <c r="A35587" s="258"/>
      <c r="Z35587" s="258"/>
    </row>
    <row r="35588" spans="1:26" ht="12.75" customHeight="1" x14ac:dyDescent="0.2">
      <c r="A35588" s="258"/>
      <c r="Z35588" s="258"/>
    </row>
    <row r="35589" spans="1:26" ht="12.75" customHeight="1" x14ac:dyDescent="0.2">
      <c r="A35589" s="258"/>
      <c r="Z35589" s="258"/>
    </row>
    <row r="35590" spans="1:26" ht="12.75" customHeight="1" x14ac:dyDescent="0.2">
      <c r="A35590" s="258"/>
      <c r="Z35590" s="258"/>
    </row>
    <row r="35591" spans="1:26" ht="12.75" customHeight="1" x14ac:dyDescent="0.2">
      <c r="A35591" s="258"/>
      <c r="Z35591" s="258"/>
    </row>
    <row r="35592" spans="1:26" ht="12.75" customHeight="1" x14ac:dyDescent="0.2">
      <c r="A35592" s="258"/>
      <c r="Z35592" s="258"/>
    </row>
    <row r="35593" spans="1:26" ht="12.75" customHeight="1" x14ac:dyDescent="0.2">
      <c r="A35593" s="258"/>
      <c r="Z35593" s="258"/>
    </row>
    <row r="35594" spans="1:26" ht="12.75" customHeight="1" x14ac:dyDescent="0.2">
      <c r="A35594" s="258"/>
      <c r="Z35594" s="258"/>
    </row>
    <row r="35595" spans="1:26" ht="12.75" customHeight="1" x14ac:dyDescent="0.2">
      <c r="A35595" s="258"/>
      <c r="Z35595" s="258"/>
    </row>
    <row r="35596" spans="1:26" ht="12.75" customHeight="1" x14ac:dyDescent="0.2">
      <c r="A35596" s="258"/>
      <c r="Z35596" s="258"/>
    </row>
    <row r="35597" spans="1:26" ht="12.75" customHeight="1" x14ac:dyDescent="0.2">
      <c r="A35597" s="258"/>
      <c r="Z35597" s="258"/>
    </row>
    <row r="35598" spans="1:26" ht="12.75" customHeight="1" x14ac:dyDescent="0.2">
      <c r="A35598" s="258"/>
      <c r="Z35598" s="258"/>
    </row>
    <row r="35599" spans="1:26" ht="12.75" customHeight="1" x14ac:dyDescent="0.2">
      <c r="A35599" s="258"/>
      <c r="Z35599" s="258"/>
    </row>
    <row r="35600" spans="1:26" ht="12.75" customHeight="1" x14ac:dyDescent="0.2">
      <c r="A35600" s="258"/>
      <c r="Z35600" s="258"/>
    </row>
    <row r="35601" spans="1:26" ht="12.75" customHeight="1" x14ac:dyDescent="0.2">
      <c r="A35601" s="258"/>
      <c r="Z35601" s="258"/>
    </row>
    <row r="35602" spans="1:26" ht="12.75" customHeight="1" x14ac:dyDescent="0.2">
      <c r="A35602" s="258"/>
      <c r="Z35602" s="258"/>
    </row>
    <row r="35603" spans="1:26" ht="12.75" customHeight="1" x14ac:dyDescent="0.2">
      <c r="A35603" s="258"/>
      <c r="Z35603" s="258"/>
    </row>
    <row r="35604" spans="1:26" ht="12.75" customHeight="1" x14ac:dyDescent="0.2">
      <c r="A35604" s="258"/>
      <c r="Z35604" s="258"/>
    </row>
    <row r="35605" spans="1:26" ht="12.75" customHeight="1" x14ac:dyDescent="0.2">
      <c r="A35605" s="258"/>
      <c r="Z35605" s="258"/>
    </row>
    <row r="35606" spans="1:26" ht="12.75" customHeight="1" x14ac:dyDescent="0.2">
      <c r="A35606" s="258"/>
      <c r="Z35606" s="258"/>
    </row>
    <row r="35607" spans="1:26" ht="12.75" customHeight="1" x14ac:dyDescent="0.2">
      <c r="A35607" s="258"/>
      <c r="Z35607" s="258"/>
    </row>
    <row r="35608" spans="1:26" ht="12.75" customHeight="1" x14ac:dyDescent="0.2">
      <c r="A35608" s="258"/>
      <c r="Z35608" s="258"/>
    </row>
    <row r="35609" spans="1:26" ht="12.75" customHeight="1" x14ac:dyDescent="0.2">
      <c r="A35609" s="258"/>
      <c r="Z35609" s="258"/>
    </row>
    <row r="35610" spans="1:26" ht="12.75" customHeight="1" x14ac:dyDescent="0.2">
      <c r="A35610" s="258"/>
      <c r="Z35610" s="258"/>
    </row>
    <row r="35611" spans="1:26" ht="12.75" customHeight="1" x14ac:dyDescent="0.2">
      <c r="A35611" s="258"/>
      <c r="Z35611" s="258"/>
    </row>
    <row r="35612" spans="1:26" ht="12.75" customHeight="1" x14ac:dyDescent="0.2">
      <c r="A35612" s="258"/>
      <c r="Z35612" s="258"/>
    </row>
    <row r="35613" spans="1:26" ht="12.75" customHeight="1" x14ac:dyDescent="0.2">
      <c r="A35613" s="258"/>
      <c r="Z35613" s="258"/>
    </row>
    <row r="35614" spans="1:26" ht="12.75" customHeight="1" x14ac:dyDescent="0.2">
      <c r="A35614" s="258"/>
      <c r="Z35614" s="258"/>
    </row>
    <row r="35615" spans="1:26" ht="12.75" customHeight="1" x14ac:dyDescent="0.2">
      <c r="A35615" s="258"/>
      <c r="Z35615" s="258"/>
    </row>
    <row r="35616" spans="1:26" ht="12.75" customHeight="1" x14ac:dyDescent="0.2">
      <c r="A35616" s="258"/>
      <c r="Z35616" s="258"/>
    </row>
    <row r="35617" spans="1:26" ht="12.75" customHeight="1" x14ac:dyDescent="0.2">
      <c r="A35617" s="258"/>
      <c r="Z35617" s="258"/>
    </row>
    <row r="35618" spans="1:26" ht="12.75" customHeight="1" x14ac:dyDescent="0.2">
      <c r="A35618" s="258"/>
      <c r="Z35618" s="258"/>
    </row>
    <row r="35619" spans="1:26" ht="12.75" customHeight="1" x14ac:dyDescent="0.2">
      <c r="A35619" s="258"/>
      <c r="Z35619" s="258"/>
    </row>
    <row r="35620" spans="1:26" ht="12.75" customHeight="1" x14ac:dyDescent="0.2">
      <c r="A35620" s="258"/>
      <c r="Z35620" s="258"/>
    </row>
    <row r="35621" spans="1:26" ht="12.75" customHeight="1" x14ac:dyDescent="0.2">
      <c r="A35621" s="258"/>
      <c r="Z35621" s="258"/>
    </row>
    <row r="35622" spans="1:26" ht="12.75" customHeight="1" x14ac:dyDescent="0.2">
      <c r="A35622" s="258"/>
      <c r="Z35622" s="258"/>
    </row>
    <row r="35623" spans="1:26" ht="12.75" customHeight="1" x14ac:dyDescent="0.2">
      <c r="A35623" s="258"/>
      <c r="Z35623" s="258"/>
    </row>
    <row r="35624" spans="1:26" ht="12.75" customHeight="1" x14ac:dyDescent="0.2">
      <c r="A35624" s="258"/>
      <c r="Z35624" s="258"/>
    </row>
    <row r="35625" spans="1:26" ht="12.75" customHeight="1" x14ac:dyDescent="0.2">
      <c r="A35625" s="258"/>
      <c r="Z35625" s="258"/>
    </row>
    <row r="35626" spans="1:26" ht="12.75" customHeight="1" x14ac:dyDescent="0.2">
      <c r="A35626" s="258"/>
      <c r="Z35626" s="258"/>
    </row>
    <row r="35627" spans="1:26" ht="12.75" customHeight="1" x14ac:dyDescent="0.2">
      <c r="A35627" s="258"/>
      <c r="Z35627" s="258"/>
    </row>
    <row r="35628" spans="1:26" ht="12.75" customHeight="1" x14ac:dyDescent="0.2">
      <c r="A35628" s="258"/>
      <c r="Z35628" s="258"/>
    </row>
    <row r="35629" spans="1:26" ht="12.75" customHeight="1" x14ac:dyDescent="0.2">
      <c r="A35629" s="258"/>
      <c r="Z35629" s="258"/>
    </row>
    <row r="35630" spans="1:26" ht="12.75" customHeight="1" x14ac:dyDescent="0.2">
      <c r="A35630" s="258"/>
      <c r="Z35630" s="258"/>
    </row>
    <row r="35631" spans="1:26" ht="12.75" customHeight="1" x14ac:dyDescent="0.2">
      <c r="A35631" s="258"/>
      <c r="Z35631" s="258"/>
    </row>
    <row r="35632" spans="1:26" ht="12.75" customHeight="1" x14ac:dyDescent="0.2">
      <c r="A35632" s="258"/>
      <c r="Z35632" s="258"/>
    </row>
    <row r="35633" spans="1:26" ht="12.75" customHeight="1" x14ac:dyDescent="0.2">
      <c r="A35633" s="258"/>
      <c r="Z35633" s="258"/>
    </row>
    <row r="35634" spans="1:26" ht="12.75" customHeight="1" x14ac:dyDescent="0.2">
      <c r="A35634" s="258"/>
      <c r="Z35634" s="258"/>
    </row>
    <row r="35635" spans="1:26" ht="12.75" customHeight="1" x14ac:dyDescent="0.2">
      <c r="A35635" s="258"/>
      <c r="Z35635" s="258"/>
    </row>
    <row r="35636" spans="1:26" ht="12.75" customHeight="1" x14ac:dyDescent="0.2">
      <c r="A35636" s="258"/>
      <c r="Z35636" s="258"/>
    </row>
    <row r="35637" spans="1:26" ht="12.75" customHeight="1" x14ac:dyDescent="0.2">
      <c r="A35637" s="258"/>
      <c r="Z35637" s="258"/>
    </row>
    <row r="35638" spans="1:26" ht="12.75" customHeight="1" x14ac:dyDescent="0.2">
      <c r="A35638" s="258"/>
      <c r="Z35638" s="258"/>
    </row>
    <row r="35639" spans="1:26" ht="12.75" customHeight="1" x14ac:dyDescent="0.2">
      <c r="A35639" s="258"/>
      <c r="Z35639" s="258"/>
    </row>
    <row r="35640" spans="1:26" ht="12.75" customHeight="1" x14ac:dyDescent="0.2">
      <c r="A35640" s="258"/>
      <c r="Z35640" s="258"/>
    </row>
    <row r="35641" spans="1:26" ht="12.75" customHeight="1" x14ac:dyDescent="0.2">
      <c r="A35641" s="258"/>
      <c r="Z35641" s="258"/>
    </row>
    <row r="35642" spans="1:26" ht="12.75" customHeight="1" x14ac:dyDescent="0.2">
      <c r="A35642" s="258"/>
      <c r="Z35642" s="258"/>
    </row>
    <row r="35643" spans="1:26" ht="12.75" customHeight="1" x14ac:dyDescent="0.2">
      <c r="A35643" s="258"/>
      <c r="Z35643" s="258"/>
    </row>
    <row r="35644" spans="1:26" ht="12.75" customHeight="1" x14ac:dyDescent="0.2">
      <c r="A35644" s="258"/>
      <c r="Z35644" s="258"/>
    </row>
    <row r="35645" spans="1:26" ht="12.75" customHeight="1" x14ac:dyDescent="0.2">
      <c r="A35645" s="258"/>
      <c r="Z35645" s="258"/>
    </row>
    <row r="35646" spans="1:26" ht="12.75" customHeight="1" x14ac:dyDescent="0.2">
      <c r="A35646" s="258"/>
      <c r="Z35646" s="258"/>
    </row>
    <row r="35647" spans="1:26" ht="12.75" customHeight="1" x14ac:dyDescent="0.2">
      <c r="A35647" s="258"/>
      <c r="Z35647" s="258"/>
    </row>
    <row r="35648" spans="1:26" ht="12.75" customHeight="1" x14ac:dyDescent="0.2">
      <c r="A35648" s="258"/>
      <c r="Z35648" s="258"/>
    </row>
    <row r="35649" spans="1:26" ht="12.75" customHeight="1" x14ac:dyDescent="0.2">
      <c r="A35649" s="258"/>
      <c r="Z35649" s="258"/>
    </row>
    <row r="35650" spans="1:26" ht="12.75" customHeight="1" x14ac:dyDescent="0.2">
      <c r="A35650" s="258"/>
      <c r="Z35650" s="258"/>
    </row>
    <row r="35651" spans="1:26" ht="12.75" customHeight="1" x14ac:dyDescent="0.2">
      <c r="A35651" s="258"/>
      <c r="Z35651" s="258"/>
    </row>
    <row r="35652" spans="1:26" ht="12.75" customHeight="1" x14ac:dyDescent="0.2">
      <c r="A35652" s="258"/>
      <c r="Z35652" s="258"/>
    </row>
    <row r="35653" spans="1:26" ht="12.75" customHeight="1" x14ac:dyDescent="0.2">
      <c r="A35653" s="258"/>
      <c r="Z35653" s="258"/>
    </row>
    <row r="35654" spans="1:26" ht="12.75" customHeight="1" x14ac:dyDescent="0.2">
      <c r="A35654" s="258"/>
      <c r="Z35654" s="258"/>
    </row>
    <row r="35655" spans="1:26" ht="12.75" customHeight="1" x14ac:dyDescent="0.2">
      <c r="A35655" s="258"/>
      <c r="Z35655" s="258"/>
    </row>
    <row r="35656" spans="1:26" ht="12.75" customHeight="1" x14ac:dyDescent="0.2">
      <c r="A35656" s="258"/>
      <c r="Z35656" s="258"/>
    </row>
    <row r="35657" spans="1:26" ht="12.75" customHeight="1" x14ac:dyDescent="0.2">
      <c r="A35657" s="258"/>
      <c r="Z35657" s="258"/>
    </row>
    <row r="35658" spans="1:26" ht="12.75" customHeight="1" x14ac:dyDescent="0.2">
      <c r="A35658" s="258"/>
      <c r="Z35658" s="258"/>
    </row>
    <row r="35659" spans="1:26" ht="12.75" customHeight="1" x14ac:dyDescent="0.2">
      <c r="A35659" s="258"/>
      <c r="Z35659" s="258"/>
    </row>
    <row r="35660" spans="1:26" ht="12.75" customHeight="1" x14ac:dyDescent="0.2">
      <c r="A35660" s="258"/>
      <c r="Z35660" s="258"/>
    </row>
    <row r="35661" spans="1:26" ht="12.75" customHeight="1" x14ac:dyDescent="0.2">
      <c r="A35661" s="258"/>
      <c r="Z35661" s="258"/>
    </row>
    <row r="35662" spans="1:26" ht="12.75" customHeight="1" x14ac:dyDescent="0.2">
      <c r="A35662" s="258"/>
      <c r="Z35662" s="258"/>
    </row>
    <row r="35663" spans="1:26" ht="12.75" customHeight="1" x14ac:dyDescent="0.2">
      <c r="A35663" s="258"/>
      <c r="Z35663" s="258"/>
    </row>
    <row r="35664" spans="1:26" ht="12.75" customHeight="1" x14ac:dyDescent="0.2">
      <c r="A35664" s="258"/>
      <c r="Z35664" s="258"/>
    </row>
    <row r="35665" spans="1:26" ht="12.75" customHeight="1" x14ac:dyDescent="0.2">
      <c r="A35665" s="258"/>
      <c r="Z35665" s="258"/>
    </row>
    <row r="35666" spans="1:26" ht="12.75" customHeight="1" x14ac:dyDescent="0.2">
      <c r="A35666" s="258"/>
      <c r="Z35666" s="258"/>
    </row>
    <row r="35667" spans="1:26" ht="12.75" customHeight="1" x14ac:dyDescent="0.2">
      <c r="A35667" s="258"/>
      <c r="Z35667" s="258"/>
    </row>
    <row r="35668" spans="1:26" ht="12.75" customHeight="1" x14ac:dyDescent="0.2">
      <c r="A35668" s="258"/>
      <c r="Z35668" s="258"/>
    </row>
    <row r="35669" spans="1:26" ht="12.75" customHeight="1" x14ac:dyDescent="0.2">
      <c r="A35669" s="258"/>
      <c r="Z35669" s="258"/>
    </row>
    <row r="35670" spans="1:26" ht="12.75" customHeight="1" x14ac:dyDescent="0.2">
      <c r="A35670" s="258"/>
      <c r="Z35670" s="258"/>
    </row>
    <row r="35671" spans="1:26" ht="12.75" customHeight="1" x14ac:dyDescent="0.2">
      <c r="A35671" s="258"/>
      <c r="Z35671" s="258"/>
    </row>
    <row r="35672" spans="1:26" ht="12.75" customHeight="1" x14ac:dyDescent="0.2">
      <c r="A35672" s="258"/>
      <c r="Z35672" s="258"/>
    </row>
    <row r="35673" spans="1:26" ht="12.75" customHeight="1" x14ac:dyDescent="0.2">
      <c r="A35673" s="258"/>
      <c r="Z35673" s="258"/>
    </row>
    <row r="35674" spans="1:26" ht="12.75" customHeight="1" x14ac:dyDescent="0.2">
      <c r="A35674" s="258"/>
      <c r="Z35674" s="258"/>
    </row>
    <row r="35675" spans="1:26" ht="12.75" customHeight="1" x14ac:dyDescent="0.2">
      <c r="A35675" s="258"/>
      <c r="Z35675" s="258"/>
    </row>
    <row r="35676" spans="1:26" ht="12.75" customHeight="1" x14ac:dyDescent="0.2">
      <c r="A35676" s="258"/>
      <c r="Z35676" s="258"/>
    </row>
    <row r="35677" spans="1:26" ht="12.75" customHeight="1" x14ac:dyDescent="0.2">
      <c r="A35677" s="258"/>
      <c r="Z35677" s="258"/>
    </row>
    <row r="35678" spans="1:26" ht="12.75" customHeight="1" x14ac:dyDescent="0.2">
      <c r="A35678" s="258"/>
      <c r="Z35678" s="258"/>
    </row>
    <row r="35679" spans="1:26" ht="12.75" customHeight="1" x14ac:dyDescent="0.2">
      <c r="A35679" s="258"/>
      <c r="Z35679" s="258"/>
    </row>
    <row r="35680" spans="1:26" ht="12.75" customHeight="1" x14ac:dyDescent="0.2">
      <c r="A35680" s="258"/>
      <c r="Z35680" s="258"/>
    </row>
    <row r="35681" spans="1:26" ht="12.75" customHeight="1" x14ac:dyDescent="0.2">
      <c r="A35681" s="258"/>
      <c r="Z35681" s="258"/>
    </row>
    <row r="35682" spans="1:26" ht="12.75" customHeight="1" x14ac:dyDescent="0.2">
      <c r="A35682" s="258"/>
      <c r="Z35682" s="258"/>
    </row>
    <row r="35683" spans="1:26" ht="12.75" customHeight="1" x14ac:dyDescent="0.2">
      <c r="A35683" s="258"/>
      <c r="Z35683" s="258"/>
    </row>
    <row r="35684" spans="1:26" ht="12.75" customHeight="1" x14ac:dyDescent="0.2">
      <c r="A35684" s="258"/>
      <c r="Z35684" s="258"/>
    </row>
    <row r="35685" spans="1:26" ht="12.75" customHeight="1" x14ac:dyDescent="0.2">
      <c r="A35685" s="258"/>
      <c r="Z35685" s="258"/>
    </row>
    <row r="35686" spans="1:26" ht="12.75" customHeight="1" x14ac:dyDescent="0.2">
      <c r="A35686" s="258"/>
      <c r="Z35686" s="258"/>
    </row>
    <row r="35687" spans="1:26" ht="12.75" customHeight="1" x14ac:dyDescent="0.2">
      <c r="A35687" s="258"/>
      <c r="Z35687" s="258"/>
    </row>
    <row r="35688" spans="1:26" ht="12.75" customHeight="1" x14ac:dyDescent="0.2">
      <c r="A35688" s="258"/>
      <c r="Z35688" s="258"/>
    </row>
    <row r="35689" spans="1:26" ht="12.75" customHeight="1" x14ac:dyDescent="0.2">
      <c r="A35689" s="258"/>
      <c r="Z35689" s="258"/>
    </row>
    <row r="35690" spans="1:26" ht="12.75" customHeight="1" x14ac:dyDescent="0.2">
      <c r="A35690" s="258"/>
      <c r="Z35690" s="258"/>
    </row>
    <row r="35691" spans="1:26" ht="12.75" customHeight="1" x14ac:dyDescent="0.2">
      <c r="A35691" s="258"/>
      <c r="Z35691" s="258"/>
    </row>
    <row r="35692" spans="1:26" ht="12.75" customHeight="1" x14ac:dyDescent="0.2">
      <c r="A35692" s="258"/>
      <c r="Z35692" s="258"/>
    </row>
    <row r="35693" spans="1:26" ht="12.75" customHeight="1" x14ac:dyDescent="0.2">
      <c r="A35693" s="258"/>
      <c r="Z35693" s="258"/>
    </row>
    <row r="35694" spans="1:26" ht="12.75" customHeight="1" x14ac:dyDescent="0.2">
      <c r="A35694" s="258"/>
      <c r="Z35694" s="258"/>
    </row>
    <row r="35695" spans="1:26" ht="12.75" customHeight="1" x14ac:dyDescent="0.2">
      <c r="A35695" s="258"/>
      <c r="Z35695" s="258"/>
    </row>
    <row r="35696" spans="1:26" ht="12.75" customHeight="1" x14ac:dyDescent="0.2">
      <c r="A35696" s="258"/>
      <c r="Z35696" s="258"/>
    </row>
    <row r="35697" spans="1:26" ht="12.75" customHeight="1" x14ac:dyDescent="0.2">
      <c r="A35697" s="258"/>
      <c r="Z35697" s="258"/>
    </row>
    <row r="35698" spans="1:26" ht="12.75" customHeight="1" x14ac:dyDescent="0.2">
      <c r="A35698" s="258"/>
      <c r="Z35698" s="258"/>
    </row>
    <row r="35699" spans="1:26" ht="12.75" customHeight="1" x14ac:dyDescent="0.2">
      <c r="A35699" s="258"/>
      <c r="Z35699" s="258"/>
    </row>
    <row r="35700" spans="1:26" ht="12.75" customHeight="1" x14ac:dyDescent="0.2">
      <c r="A35700" s="258"/>
      <c r="Z35700" s="258"/>
    </row>
    <row r="35701" spans="1:26" ht="12.75" customHeight="1" x14ac:dyDescent="0.2">
      <c r="A35701" s="258"/>
      <c r="Z35701" s="258"/>
    </row>
    <row r="35702" spans="1:26" ht="12.75" customHeight="1" x14ac:dyDescent="0.2">
      <c r="A35702" s="258"/>
      <c r="Z35702" s="258"/>
    </row>
    <row r="35703" spans="1:26" ht="12.75" customHeight="1" x14ac:dyDescent="0.2">
      <c r="A35703" s="258"/>
      <c r="Z35703" s="258"/>
    </row>
    <row r="35704" spans="1:26" ht="12.75" customHeight="1" x14ac:dyDescent="0.2">
      <c r="A35704" s="258"/>
      <c r="Z35704" s="258"/>
    </row>
    <row r="35705" spans="1:26" ht="12.75" customHeight="1" x14ac:dyDescent="0.2">
      <c r="A35705" s="258"/>
      <c r="Z35705" s="258"/>
    </row>
    <row r="35706" spans="1:26" ht="12.75" customHeight="1" x14ac:dyDescent="0.2">
      <c r="A35706" s="258"/>
      <c r="Z35706" s="258"/>
    </row>
    <row r="35707" spans="1:26" ht="12.75" customHeight="1" x14ac:dyDescent="0.2">
      <c r="A35707" s="258"/>
      <c r="Z35707" s="258"/>
    </row>
    <row r="35708" spans="1:26" ht="12.75" customHeight="1" x14ac:dyDescent="0.2">
      <c r="A35708" s="258"/>
      <c r="Z35708" s="258"/>
    </row>
    <row r="35709" spans="1:26" ht="12.75" customHeight="1" x14ac:dyDescent="0.2">
      <c r="A35709" s="258"/>
      <c r="Z35709" s="258"/>
    </row>
    <row r="35710" spans="1:26" ht="12.75" customHeight="1" x14ac:dyDescent="0.2">
      <c r="A35710" s="258"/>
      <c r="Z35710" s="258"/>
    </row>
    <row r="35711" spans="1:26" ht="12.75" customHeight="1" x14ac:dyDescent="0.2">
      <c r="A35711" s="258"/>
      <c r="Z35711" s="258"/>
    </row>
    <row r="35712" spans="1:26" ht="12.75" customHeight="1" x14ac:dyDescent="0.2">
      <c r="A35712" s="258"/>
      <c r="Z35712" s="258"/>
    </row>
    <row r="35713" spans="1:26" ht="12.75" customHeight="1" x14ac:dyDescent="0.2">
      <c r="A35713" s="258"/>
      <c r="Z35713" s="258"/>
    </row>
    <row r="35714" spans="1:26" ht="12.75" customHeight="1" x14ac:dyDescent="0.2">
      <c r="A35714" s="258"/>
      <c r="Z35714" s="258"/>
    </row>
    <row r="35715" spans="1:26" ht="12.75" customHeight="1" x14ac:dyDescent="0.2">
      <c r="A35715" s="258"/>
      <c r="Z35715" s="258"/>
    </row>
    <row r="35716" spans="1:26" ht="12.75" customHeight="1" x14ac:dyDescent="0.2">
      <c r="A35716" s="258"/>
      <c r="Z35716" s="258"/>
    </row>
    <row r="35717" spans="1:26" ht="12.75" customHeight="1" x14ac:dyDescent="0.2">
      <c r="A35717" s="258"/>
      <c r="Z35717" s="258"/>
    </row>
    <row r="35718" spans="1:26" ht="12.75" customHeight="1" x14ac:dyDescent="0.2">
      <c r="A35718" s="258"/>
      <c r="Z35718" s="258"/>
    </row>
    <row r="35719" spans="1:26" ht="12.75" customHeight="1" x14ac:dyDescent="0.2">
      <c r="A35719" s="258"/>
      <c r="Z35719" s="258"/>
    </row>
    <row r="35720" spans="1:26" ht="12.75" customHeight="1" x14ac:dyDescent="0.2">
      <c r="A35720" s="258"/>
      <c r="Z35720" s="258"/>
    </row>
    <row r="35721" spans="1:26" ht="12.75" customHeight="1" x14ac:dyDescent="0.2">
      <c r="A35721" s="258"/>
      <c r="Z35721" s="258"/>
    </row>
    <row r="35722" spans="1:26" ht="12.75" customHeight="1" x14ac:dyDescent="0.2">
      <c r="A35722" s="258"/>
      <c r="Z35722" s="258"/>
    </row>
    <row r="35723" spans="1:26" ht="12.75" customHeight="1" x14ac:dyDescent="0.2">
      <c r="A35723" s="258"/>
      <c r="Z35723" s="258"/>
    </row>
    <row r="35724" spans="1:26" ht="12.75" customHeight="1" x14ac:dyDescent="0.2">
      <c r="A35724" s="258"/>
      <c r="Z35724" s="258"/>
    </row>
    <row r="35725" spans="1:26" ht="12.75" customHeight="1" x14ac:dyDescent="0.2">
      <c r="A35725" s="258"/>
      <c r="Z35725" s="258"/>
    </row>
    <row r="35726" spans="1:26" ht="12.75" customHeight="1" x14ac:dyDescent="0.2">
      <c r="A35726" s="258"/>
      <c r="Z35726" s="258"/>
    </row>
    <row r="35727" spans="1:26" ht="12.75" customHeight="1" x14ac:dyDescent="0.2">
      <c r="A35727" s="258"/>
      <c r="Z35727" s="258"/>
    </row>
    <row r="35728" spans="1:26" ht="12.75" customHeight="1" x14ac:dyDescent="0.2">
      <c r="A35728" s="258"/>
      <c r="Z35728" s="258"/>
    </row>
    <row r="35729" spans="1:26" ht="12.75" customHeight="1" x14ac:dyDescent="0.2">
      <c r="A35729" s="258"/>
      <c r="Z35729" s="258"/>
    </row>
    <row r="35730" spans="1:26" ht="12.75" customHeight="1" x14ac:dyDescent="0.2">
      <c r="A35730" s="258"/>
      <c r="Z35730" s="258"/>
    </row>
    <row r="35731" spans="1:26" ht="12.75" customHeight="1" x14ac:dyDescent="0.2">
      <c r="A35731" s="258"/>
      <c r="Z35731" s="258"/>
    </row>
    <row r="35732" spans="1:26" ht="12.75" customHeight="1" x14ac:dyDescent="0.2">
      <c r="A35732" s="258"/>
      <c r="Z35732" s="258"/>
    </row>
    <row r="35733" spans="1:26" ht="12.75" customHeight="1" x14ac:dyDescent="0.2">
      <c r="A35733" s="258"/>
      <c r="Z35733" s="258"/>
    </row>
    <row r="35734" spans="1:26" ht="12.75" customHeight="1" x14ac:dyDescent="0.2">
      <c r="A35734" s="258"/>
      <c r="Z35734" s="258"/>
    </row>
    <row r="35735" spans="1:26" ht="12.75" customHeight="1" x14ac:dyDescent="0.2">
      <c r="A35735" s="258"/>
      <c r="Z35735" s="258"/>
    </row>
    <row r="35736" spans="1:26" ht="12.75" customHeight="1" x14ac:dyDescent="0.2">
      <c r="A35736" s="258"/>
      <c r="Z35736" s="258"/>
    </row>
    <row r="35737" spans="1:26" ht="12.75" customHeight="1" x14ac:dyDescent="0.2">
      <c r="A35737" s="258"/>
      <c r="Z35737" s="258"/>
    </row>
    <row r="35738" spans="1:26" ht="12.75" customHeight="1" x14ac:dyDescent="0.2">
      <c r="A35738" s="258"/>
      <c r="Z35738" s="258"/>
    </row>
    <row r="35739" spans="1:26" ht="12.75" customHeight="1" x14ac:dyDescent="0.2">
      <c r="A35739" s="258"/>
      <c r="Z35739" s="258"/>
    </row>
    <row r="35740" spans="1:26" ht="12.75" customHeight="1" x14ac:dyDescent="0.2">
      <c r="A35740" s="258"/>
      <c r="Z35740" s="258"/>
    </row>
    <row r="35741" spans="1:26" ht="12.75" customHeight="1" x14ac:dyDescent="0.2">
      <c r="A35741" s="258"/>
      <c r="Z35741" s="258"/>
    </row>
    <row r="35742" spans="1:26" ht="12.75" customHeight="1" x14ac:dyDescent="0.2">
      <c r="A35742" s="258"/>
      <c r="Z35742" s="258"/>
    </row>
    <row r="35743" spans="1:26" ht="12.75" customHeight="1" x14ac:dyDescent="0.2">
      <c r="A35743" s="258"/>
      <c r="Z35743" s="258"/>
    </row>
    <row r="35744" spans="1:26" ht="12.75" customHeight="1" x14ac:dyDescent="0.2">
      <c r="A35744" s="258"/>
      <c r="Z35744" s="258"/>
    </row>
    <row r="35745" spans="1:26" ht="12.75" customHeight="1" x14ac:dyDescent="0.2">
      <c r="A35745" s="258"/>
      <c r="Z35745" s="258"/>
    </row>
    <row r="35746" spans="1:26" ht="12.75" customHeight="1" x14ac:dyDescent="0.2">
      <c r="A35746" s="258"/>
      <c r="Z35746" s="258"/>
    </row>
    <row r="35747" spans="1:26" ht="12.75" customHeight="1" x14ac:dyDescent="0.2">
      <c r="A35747" s="258"/>
      <c r="Z35747" s="258"/>
    </row>
    <row r="35748" spans="1:26" ht="12.75" customHeight="1" x14ac:dyDescent="0.2">
      <c r="A35748" s="258"/>
      <c r="Z35748" s="258"/>
    </row>
    <row r="35749" spans="1:26" ht="12.75" customHeight="1" x14ac:dyDescent="0.2">
      <c r="A35749" s="258"/>
      <c r="Z35749" s="258"/>
    </row>
    <row r="35750" spans="1:26" ht="12.75" customHeight="1" x14ac:dyDescent="0.2">
      <c r="A35750" s="258"/>
      <c r="Z35750" s="258"/>
    </row>
    <row r="35751" spans="1:26" ht="12.75" customHeight="1" x14ac:dyDescent="0.2">
      <c r="A35751" s="258"/>
      <c r="Z35751" s="258"/>
    </row>
    <row r="35752" spans="1:26" ht="12.75" customHeight="1" x14ac:dyDescent="0.2">
      <c r="A35752" s="258"/>
      <c r="Z35752" s="258"/>
    </row>
    <row r="35753" spans="1:26" ht="12.75" customHeight="1" x14ac:dyDescent="0.2">
      <c r="A35753" s="258"/>
      <c r="Z35753" s="258"/>
    </row>
    <row r="35754" spans="1:26" ht="12.75" customHeight="1" x14ac:dyDescent="0.2">
      <c r="A35754" s="258"/>
      <c r="Z35754" s="258"/>
    </row>
    <row r="35755" spans="1:26" ht="12.75" customHeight="1" x14ac:dyDescent="0.2">
      <c r="A35755" s="258"/>
      <c r="Z35755" s="258"/>
    </row>
    <row r="35756" spans="1:26" ht="12.75" customHeight="1" x14ac:dyDescent="0.2">
      <c r="A35756" s="258"/>
      <c r="Z35756" s="258"/>
    </row>
    <row r="35757" spans="1:26" ht="12.75" customHeight="1" x14ac:dyDescent="0.2">
      <c r="A35757" s="258"/>
      <c r="Z35757" s="258"/>
    </row>
    <row r="35758" spans="1:26" ht="12.75" customHeight="1" x14ac:dyDescent="0.2">
      <c r="A35758" s="258"/>
      <c r="Z35758" s="258"/>
    </row>
    <row r="35759" spans="1:26" ht="12.75" customHeight="1" x14ac:dyDescent="0.2">
      <c r="A35759" s="258"/>
      <c r="Z35759" s="258"/>
    </row>
    <row r="35760" spans="1:26" ht="12.75" customHeight="1" x14ac:dyDescent="0.2">
      <c r="A35760" s="258"/>
      <c r="Z35760" s="258"/>
    </row>
    <row r="35761" spans="1:26" ht="12.75" customHeight="1" x14ac:dyDescent="0.2">
      <c r="A35761" s="258"/>
      <c r="Z35761" s="258"/>
    </row>
    <row r="35762" spans="1:26" ht="12.75" customHeight="1" x14ac:dyDescent="0.2">
      <c r="A35762" s="258"/>
      <c r="Z35762" s="258"/>
    </row>
    <row r="35763" spans="1:26" ht="12.75" customHeight="1" x14ac:dyDescent="0.2">
      <c r="A35763" s="258"/>
      <c r="Z35763" s="258"/>
    </row>
    <row r="35764" spans="1:26" ht="12.75" customHeight="1" x14ac:dyDescent="0.2">
      <c r="A35764" s="258"/>
      <c r="Z35764" s="258"/>
    </row>
    <row r="35765" spans="1:26" ht="12.75" customHeight="1" x14ac:dyDescent="0.2">
      <c r="A35765" s="258"/>
      <c r="Z35765" s="258"/>
    </row>
    <row r="35766" spans="1:26" ht="12.75" customHeight="1" x14ac:dyDescent="0.2">
      <c r="A35766" s="258"/>
      <c r="Z35766" s="258"/>
    </row>
    <row r="35767" spans="1:26" ht="12.75" customHeight="1" x14ac:dyDescent="0.2">
      <c r="A35767" s="258"/>
      <c r="Z35767" s="258"/>
    </row>
    <row r="35768" spans="1:26" ht="12.75" customHeight="1" x14ac:dyDescent="0.2">
      <c r="A35768" s="258"/>
      <c r="Z35768" s="258"/>
    </row>
    <row r="35769" spans="1:26" ht="12.75" customHeight="1" x14ac:dyDescent="0.2">
      <c r="A35769" s="258"/>
      <c r="Z35769" s="258"/>
    </row>
    <row r="35770" spans="1:26" ht="12.75" customHeight="1" x14ac:dyDescent="0.2">
      <c r="A35770" s="258"/>
      <c r="Z35770" s="258"/>
    </row>
    <row r="35771" spans="1:26" ht="12.75" customHeight="1" x14ac:dyDescent="0.2">
      <c r="A35771" s="258"/>
      <c r="Z35771" s="258"/>
    </row>
    <row r="35772" spans="1:26" ht="12.75" customHeight="1" x14ac:dyDescent="0.2">
      <c r="A35772" s="258"/>
      <c r="Z35772" s="258"/>
    </row>
    <row r="35773" spans="1:26" ht="12.75" customHeight="1" x14ac:dyDescent="0.2">
      <c r="A35773" s="258"/>
      <c r="Z35773" s="258"/>
    </row>
    <row r="35774" spans="1:26" ht="12.75" customHeight="1" x14ac:dyDescent="0.2">
      <c r="A35774" s="258"/>
      <c r="Z35774" s="258"/>
    </row>
    <row r="35775" spans="1:26" ht="12.75" customHeight="1" x14ac:dyDescent="0.2">
      <c r="A35775" s="258"/>
      <c r="Z35775" s="258"/>
    </row>
    <row r="35776" spans="1:26" ht="12.75" customHeight="1" x14ac:dyDescent="0.2">
      <c r="A35776" s="258"/>
      <c r="Z35776" s="258"/>
    </row>
    <row r="35777" spans="1:26" ht="12.75" customHeight="1" x14ac:dyDescent="0.2">
      <c r="A35777" s="258"/>
      <c r="Z35777" s="258"/>
    </row>
    <row r="35778" spans="1:26" ht="12.75" customHeight="1" x14ac:dyDescent="0.2">
      <c r="A35778" s="258"/>
      <c r="Z35778" s="258"/>
    </row>
    <row r="35779" spans="1:26" ht="12.75" customHeight="1" x14ac:dyDescent="0.2">
      <c r="A35779" s="258"/>
      <c r="Z35779" s="258"/>
    </row>
    <row r="35780" spans="1:26" ht="12.75" customHeight="1" x14ac:dyDescent="0.2">
      <c r="A35780" s="258"/>
      <c r="Z35780" s="258"/>
    </row>
    <row r="35781" spans="1:26" ht="12.75" customHeight="1" x14ac:dyDescent="0.2">
      <c r="A35781" s="258"/>
      <c r="Z35781" s="258"/>
    </row>
    <row r="35782" spans="1:26" ht="12.75" customHeight="1" x14ac:dyDescent="0.2">
      <c r="A35782" s="258"/>
      <c r="Z35782" s="258"/>
    </row>
    <row r="35783" spans="1:26" ht="12.75" customHeight="1" x14ac:dyDescent="0.2">
      <c r="A35783" s="258"/>
      <c r="Z35783" s="258"/>
    </row>
    <row r="35784" spans="1:26" ht="12.75" customHeight="1" x14ac:dyDescent="0.2">
      <c r="A35784" s="258"/>
      <c r="Z35784" s="258"/>
    </row>
    <row r="35785" spans="1:26" ht="12.75" customHeight="1" x14ac:dyDescent="0.2">
      <c r="A35785" s="258"/>
      <c r="Z35785" s="258"/>
    </row>
    <row r="35786" spans="1:26" ht="12.75" customHeight="1" x14ac:dyDescent="0.2">
      <c r="A35786" s="258"/>
      <c r="Z35786" s="258"/>
    </row>
    <row r="35787" spans="1:26" ht="12.75" customHeight="1" x14ac:dyDescent="0.2">
      <c r="A35787" s="258"/>
      <c r="Z35787" s="258"/>
    </row>
    <row r="35788" spans="1:26" ht="12.75" customHeight="1" x14ac:dyDescent="0.2">
      <c r="A35788" s="258"/>
      <c r="Z35788" s="258"/>
    </row>
    <row r="35789" spans="1:26" ht="12.75" customHeight="1" x14ac:dyDescent="0.2">
      <c r="A35789" s="258"/>
      <c r="Z35789" s="258"/>
    </row>
    <row r="35790" spans="1:26" ht="12.75" customHeight="1" x14ac:dyDescent="0.2">
      <c r="A35790" s="258"/>
      <c r="Z35790" s="258"/>
    </row>
    <row r="35791" spans="1:26" ht="12.75" customHeight="1" x14ac:dyDescent="0.2">
      <c r="A35791" s="258"/>
      <c r="Z35791" s="258"/>
    </row>
    <row r="35792" spans="1:26" ht="12.75" customHeight="1" x14ac:dyDescent="0.2">
      <c r="A35792" s="258"/>
      <c r="Z35792" s="258"/>
    </row>
    <row r="35793" spans="1:26" ht="12.75" customHeight="1" x14ac:dyDescent="0.2">
      <c r="A35793" s="258"/>
      <c r="Z35793" s="258"/>
    </row>
    <row r="35794" spans="1:26" ht="12.75" customHeight="1" x14ac:dyDescent="0.2">
      <c r="A35794" s="258"/>
      <c r="Z35794" s="258"/>
    </row>
    <row r="35795" spans="1:26" ht="12.75" customHeight="1" x14ac:dyDescent="0.2">
      <c r="A35795" s="258"/>
      <c r="Z35795" s="258"/>
    </row>
    <row r="35796" spans="1:26" ht="12.75" customHeight="1" x14ac:dyDescent="0.2">
      <c r="A35796" s="258"/>
      <c r="Z35796" s="258"/>
    </row>
    <row r="35797" spans="1:26" ht="12.75" customHeight="1" x14ac:dyDescent="0.2">
      <c r="A35797" s="258"/>
      <c r="Z35797" s="258"/>
    </row>
    <row r="35798" spans="1:26" ht="12.75" customHeight="1" x14ac:dyDescent="0.2">
      <c r="A35798" s="258"/>
      <c r="Z35798" s="258"/>
    </row>
    <row r="35799" spans="1:26" ht="12.75" customHeight="1" x14ac:dyDescent="0.2">
      <c r="A35799" s="258"/>
      <c r="Z35799" s="258"/>
    </row>
    <row r="35800" spans="1:26" ht="12.75" customHeight="1" x14ac:dyDescent="0.2">
      <c r="A35800" s="258"/>
      <c r="Z35800" s="258"/>
    </row>
    <row r="35801" spans="1:26" ht="12.75" customHeight="1" x14ac:dyDescent="0.2">
      <c r="A35801" s="258"/>
      <c r="Z35801" s="258"/>
    </row>
    <row r="35802" spans="1:26" ht="12.75" customHeight="1" x14ac:dyDescent="0.2">
      <c r="A35802" s="258"/>
      <c r="Z35802" s="258"/>
    </row>
    <row r="35803" spans="1:26" ht="12.75" customHeight="1" x14ac:dyDescent="0.2">
      <c r="A35803" s="258"/>
      <c r="Z35803" s="258"/>
    </row>
    <row r="35804" spans="1:26" ht="12.75" customHeight="1" x14ac:dyDescent="0.2">
      <c r="A35804" s="258"/>
      <c r="Z35804" s="258"/>
    </row>
    <row r="35805" spans="1:26" ht="12.75" customHeight="1" x14ac:dyDescent="0.2">
      <c r="A35805" s="258"/>
      <c r="Z35805" s="258"/>
    </row>
    <row r="35806" spans="1:26" ht="12.75" customHeight="1" x14ac:dyDescent="0.2">
      <c r="A35806" s="258"/>
      <c r="Z35806" s="258"/>
    </row>
    <row r="35807" spans="1:26" ht="12.75" customHeight="1" x14ac:dyDescent="0.2">
      <c r="A35807" s="258"/>
      <c r="Z35807" s="258"/>
    </row>
    <row r="35808" spans="1:26" ht="12.75" customHeight="1" x14ac:dyDescent="0.2">
      <c r="A35808" s="258"/>
      <c r="Z35808" s="258"/>
    </row>
    <row r="35809" spans="1:26" ht="12.75" customHeight="1" x14ac:dyDescent="0.2">
      <c r="A35809" s="258"/>
      <c r="Z35809" s="258"/>
    </row>
    <row r="35810" spans="1:26" ht="12.75" customHeight="1" x14ac:dyDescent="0.2">
      <c r="A35810" s="258"/>
      <c r="Z35810" s="258"/>
    </row>
    <row r="35811" spans="1:26" ht="12.75" customHeight="1" x14ac:dyDescent="0.2">
      <c r="A35811" s="258"/>
      <c r="Z35811" s="258"/>
    </row>
    <row r="35812" spans="1:26" ht="12.75" customHeight="1" x14ac:dyDescent="0.2">
      <c r="A35812" s="258"/>
      <c r="Z35812" s="258"/>
    </row>
    <row r="35813" spans="1:26" ht="12.75" customHeight="1" x14ac:dyDescent="0.2">
      <c r="A35813" s="258"/>
      <c r="Z35813" s="258"/>
    </row>
    <row r="35814" spans="1:26" ht="12.75" customHeight="1" x14ac:dyDescent="0.2">
      <c r="A35814" s="258"/>
      <c r="Z35814" s="258"/>
    </row>
    <row r="35815" spans="1:26" ht="12.75" customHeight="1" x14ac:dyDescent="0.2">
      <c r="A35815" s="258"/>
      <c r="Z35815" s="258"/>
    </row>
    <row r="35816" spans="1:26" ht="12.75" customHeight="1" x14ac:dyDescent="0.2">
      <c r="A35816" s="258"/>
      <c r="Z35816" s="258"/>
    </row>
    <row r="35817" spans="1:26" ht="12.75" customHeight="1" x14ac:dyDescent="0.2">
      <c r="A35817" s="258"/>
      <c r="Z35817" s="258"/>
    </row>
    <row r="35818" spans="1:26" ht="12.75" customHeight="1" x14ac:dyDescent="0.2">
      <c r="A35818" s="258"/>
      <c r="Z35818" s="258"/>
    </row>
    <row r="35819" spans="1:26" ht="12.75" customHeight="1" x14ac:dyDescent="0.2">
      <c r="A35819" s="258"/>
      <c r="Z35819" s="258"/>
    </row>
    <row r="35820" spans="1:26" ht="12.75" customHeight="1" x14ac:dyDescent="0.2">
      <c r="A35820" s="258"/>
      <c r="Z35820" s="258"/>
    </row>
    <row r="35821" spans="1:26" ht="12.75" customHeight="1" x14ac:dyDescent="0.2">
      <c r="A35821" s="258"/>
      <c r="Z35821" s="258"/>
    </row>
    <row r="35822" spans="1:26" ht="12.75" customHeight="1" x14ac:dyDescent="0.2">
      <c r="A35822" s="258"/>
      <c r="Z35822" s="258"/>
    </row>
    <row r="35823" spans="1:26" ht="12.75" customHeight="1" x14ac:dyDescent="0.2">
      <c r="A35823" s="258"/>
      <c r="Z35823" s="258"/>
    </row>
    <row r="35824" spans="1:26" ht="12.75" customHeight="1" x14ac:dyDescent="0.2">
      <c r="A35824" s="258"/>
      <c r="Z35824" s="258"/>
    </row>
    <row r="35825" spans="1:26" ht="12.75" customHeight="1" x14ac:dyDescent="0.2">
      <c r="A35825" s="258"/>
      <c r="Z35825" s="258"/>
    </row>
    <row r="35826" spans="1:26" ht="12.75" customHeight="1" x14ac:dyDescent="0.2">
      <c r="A35826" s="258"/>
      <c r="Z35826" s="258"/>
    </row>
    <row r="35827" spans="1:26" ht="12.75" customHeight="1" x14ac:dyDescent="0.2">
      <c r="A35827" s="258"/>
      <c r="Z35827" s="258"/>
    </row>
    <row r="35828" spans="1:26" ht="12.75" customHeight="1" x14ac:dyDescent="0.2">
      <c r="A35828" s="258"/>
      <c r="Z35828" s="258"/>
    </row>
    <row r="35829" spans="1:26" ht="12.75" customHeight="1" x14ac:dyDescent="0.2">
      <c r="A35829" s="258"/>
      <c r="Z35829" s="258"/>
    </row>
    <row r="35830" spans="1:26" ht="12.75" customHeight="1" x14ac:dyDescent="0.2">
      <c r="A35830" s="258"/>
      <c r="Z35830" s="258"/>
    </row>
    <row r="35831" spans="1:26" ht="12.75" customHeight="1" x14ac:dyDescent="0.2">
      <c r="A35831" s="258"/>
      <c r="Z35831" s="258"/>
    </row>
    <row r="35832" spans="1:26" ht="12.75" customHeight="1" x14ac:dyDescent="0.2">
      <c r="A35832" s="258"/>
      <c r="Z35832" s="258"/>
    </row>
    <row r="35833" spans="1:26" ht="12.75" customHeight="1" x14ac:dyDescent="0.2">
      <c r="A35833" s="258"/>
      <c r="Z35833" s="258"/>
    </row>
    <row r="35834" spans="1:26" ht="12.75" customHeight="1" x14ac:dyDescent="0.2">
      <c r="A35834" s="258"/>
      <c r="Z35834" s="258"/>
    </row>
    <row r="35835" spans="1:26" ht="12.75" customHeight="1" x14ac:dyDescent="0.2">
      <c r="A35835" s="258"/>
      <c r="Z35835" s="258"/>
    </row>
    <row r="35836" spans="1:26" ht="12.75" customHeight="1" x14ac:dyDescent="0.2">
      <c r="A35836" s="258"/>
      <c r="Z35836" s="258"/>
    </row>
    <row r="35837" spans="1:26" ht="12.75" customHeight="1" x14ac:dyDescent="0.2">
      <c r="A35837" s="258"/>
      <c r="Z35837" s="258"/>
    </row>
    <row r="35838" spans="1:26" ht="12.75" customHeight="1" x14ac:dyDescent="0.2">
      <c r="A35838" s="258"/>
      <c r="Z35838" s="258"/>
    </row>
    <row r="35839" spans="1:26" ht="12.75" customHeight="1" x14ac:dyDescent="0.2">
      <c r="A35839" s="258"/>
      <c r="Z35839" s="258"/>
    </row>
    <row r="35840" spans="1:26" ht="12.75" customHeight="1" x14ac:dyDescent="0.2">
      <c r="A35840" s="258"/>
      <c r="Z35840" s="258"/>
    </row>
    <row r="35841" spans="1:26" ht="12.75" customHeight="1" x14ac:dyDescent="0.2">
      <c r="A35841" s="258"/>
      <c r="Z35841" s="258"/>
    </row>
    <row r="35842" spans="1:26" ht="12.75" customHeight="1" x14ac:dyDescent="0.2">
      <c r="A35842" s="258"/>
      <c r="Z35842" s="258"/>
    </row>
    <row r="35843" spans="1:26" ht="12.75" customHeight="1" x14ac:dyDescent="0.2">
      <c r="A35843" s="258"/>
      <c r="Z35843" s="258"/>
    </row>
    <row r="35844" spans="1:26" ht="12.75" customHeight="1" x14ac:dyDescent="0.2">
      <c r="A35844" s="258"/>
      <c r="Z35844" s="258"/>
    </row>
    <row r="35845" spans="1:26" ht="12.75" customHeight="1" x14ac:dyDescent="0.2">
      <c r="A35845" s="258"/>
      <c r="Z35845" s="258"/>
    </row>
    <row r="35846" spans="1:26" ht="12.75" customHeight="1" x14ac:dyDescent="0.2">
      <c r="A35846" s="258"/>
      <c r="Z35846" s="258"/>
    </row>
    <row r="35847" spans="1:26" ht="12.75" customHeight="1" x14ac:dyDescent="0.2">
      <c r="A35847" s="258"/>
      <c r="Z35847" s="258"/>
    </row>
    <row r="35848" spans="1:26" ht="12.75" customHeight="1" x14ac:dyDescent="0.2">
      <c r="A35848" s="258"/>
      <c r="Z35848" s="258"/>
    </row>
    <row r="35849" spans="1:26" ht="12.75" customHeight="1" x14ac:dyDescent="0.2">
      <c r="A35849" s="258"/>
      <c r="Z35849" s="258"/>
    </row>
    <row r="35850" spans="1:26" ht="12.75" customHeight="1" x14ac:dyDescent="0.2">
      <c r="A35850" s="258"/>
      <c r="Z35850" s="258"/>
    </row>
    <row r="35851" spans="1:26" ht="12.75" customHeight="1" x14ac:dyDescent="0.2">
      <c r="A35851" s="258"/>
      <c r="Z35851" s="258"/>
    </row>
    <row r="35852" spans="1:26" ht="12.75" customHeight="1" x14ac:dyDescent="0.2">
      <c r="A35852" s="258"/>
      <c r="Z35852" s="258"/>
    </row>
    <row r="35853" spans="1:26" ht="12.75" customHeight="1" x14ac:dyDescent="0.2">
      <c r="A35853" s="258"/>
      <c r="Z35853" s="258"/>
    </row>
    <row r="35854" spans="1:26" ht="12.75" customHeight="1" x14ac:dyDescent="0.2">
      <c r="A35854" s="258"/>
      <c r="Z35854" s="258"/>
    </row>
    <row r="35855" spans="1:26" ht="12.75" customHeight="1" x14ac:dyDescent="0.2">
      <c r="A35855" s="258"/>
      <c r="Z35855" s="258"/>
    </row>
    <row r="35856" spans="1:26" ht="12.75" customHeight="1" x14ac:dyDescent="0.2">
      <c r="A35856" s="258"/>
      <c r="Z35856" s="258"/>
    </row>
    <row r="35857" spans="1:26" ht="12.75" customHeight="1" x14ac:dyDescent="0.2">
      <c r="A35857" s="258"/>
      <c r="Z35857" s="258"/>
    </row>
    <row r="35858" spans="1:26" ht="12.75" customHeight="1" x14ac:dyDescent="0.2">
      <c r="A35858" s="258"/>
      <c r="Z35858" s="258"/>
    </row>
    <row r="35859" spans="1:26" ht="12.75" customHeight="1" x14ac:dyDescent="0.2">
      <c r="A35859" s="258"/>
      <c r="Z35859" s="258"/>
    </row>
    <row r="35860" spans="1:26" ht="12.75" customHeight="1" x14ac:dyDescent="0.2">
      <c r="A35860" s="258"/>
      <c r="Z35860" s="258"/>
    </row>
    <row r="35861" spans="1:26" ht="12.75" customHeight="1" x14ac:dyDescent="0.2">
      <c r="A35861" s="258"/>
      <c r="Z35861" s="258"/>
    </row>
    <row r="35862" spans="1:26" ht="12.75" customHeight="1" x14ac:dyDescent="0.2">
      <c r="A35862" s="258"/>
      <c r="Z35862" s="258"/>
    </row>
    <row r="35863" spans="1:26" ht="12.75" customHeight="1" x14ac:dyDescent="0.2">
      <c r="A35863" s="258"/>
      <c r="Z35863" s="258"/>
    </row>
    <row r="35864" spans="1:26" ht="12.75" customHeight="1" x14ac:dyDescent="0.2">
      <c r="A35864" s="258"/>
      <c r="Z35864" s="258"/>
    </row>
    <row r="35865" spans="1:26" ht="12.75" customHeight="1" x14ac:dyDescent="0.2">
      <c r="A35865" s="258"/>
      <c r="Z35865" s="258"/>
    </row>
    <row r="35866" spans="1:26" ht="12.75" customHeight="1" x14ac:dyDescent="0.2">
      <c r="A35866" s="258"/>
      <c r="Z35866" s="258"/>
    </row>
    <row r="35867" spans="1:26" ht="12.75" customHeight="1" x14ac:dyDescent="0.2">
      <c r="A35867" s="258"/>
      <c r="Z35867" s="258"/>
    </row>
    <row r="35868" spans="1:26" ht="12.75" customHeight="1" x14ac:dyDescent="0.2">
      <c r="A35868" s="258"/>
      <c r="Z35868" s="258"/>
    </row>
    <row r="35869" spans="1:26" ht="12.75" customHeight="1" x14ac:dyDescent="0.2">
      <c r="A35869" s="258"/>
      <c r="Z35869" s="258"/>
    </row>
    <row r="35870" spans="1:26" ht="12.75" customHeight="1" x14ac:dyDescent="0.2">
      <c r="A35870" s="258"/>
      <c r="Z35870" s="258"/>
    </row>
    <row r="35871" spans="1:26" ht="12.75" customHeight="1" x14ac:dyDescent="0.2">
      <c r="A35871" s="258"/>
      <c r="Z35871" s="258"/>
    </row>
    <row r="35872" spans="1:26" ht="12.75" customHeight="1" x14ac:dyDescent="0.2">
      <c r="A35872" s="258"/>
      <c r="Z35872" s="258"/>
    </row>
    <row r="35873" spans="1:26" ht="12.75" customHeight="1" x14ac:dyDescent="0.2">
      <c r="A35873" s="258"/>
      <c r="Z35873" s="258"/>
    </row>
    <row r="35874" spans="1:26" ht="12.75" customHeight="1" x14ac:dyDescent="0.2">
      <c r="A35874" s="258"/>
      <c r="Z35874" s="258"/>
    </row>
    <row r="35875" spans="1:26" ht="12.75" customHeight="1" x14ac:dyDescent="0.2">
      <c r="A35875" s="258"/>
      <c r="Z35875" s="258"/>
    </row>
    <row r="35876" spans="1:26" ht="12.75" customHeight="1" x14ac:dyDescent="0.2">
      <c r="A35876" s="258"/>
      <c r="Z35876" s="258"/>
    </row>
    <row r="35877" spans="1:26" ht="12.75" customHeight="1" x14ac:dyDescent="0.2">
      <c r="A35877" s="258"/>
      <c r="Z35877" s="258"/>
    </row>
    <row r="35878" spans="1:26" ht="12.75" customHeight="1" x14ac:dyDescent="0.2">
      <c r="A35878" s="258"/>
      <c r="Z35878" s="258"/>
    </row>
    <row r="35879" spans="1:26" ht="12.75" customHeight="1" x14ac:dyDescent="0.2">
      <c r="A35879" s="258"/>
      <c r="Z35879" s="258"/>
    </row>
    <row r="35880" spans="1:26" ht="12.75" customHeight="1" x14ac:dyDescent="0.2">
      <c r="A35880" s="258"/>
      <c r="Z35880" s="258"/>
    </row>
    <row r="35881" spans="1:26" ht="12.75" customHeight="1" x14ac:dyDescent="0.2">
      <c r="A35881" s="258"/>
      <c r="Z35881" s="258"/>
    </row>
    <row r="35882" spans="1:26" ht="12.75" customHeight="1" x14ac:dyDescent="0.2">
      <c r="A35882" s="258"/>
      <c r="Z35882" s="258"/>
    </row>
    <row r="35883" spans="1:26" ht="12.75" customHeight="1" x14ac:dyDescent="0.2">
      <c r="A35883" s="258"/>
      <c r="Z35883" s="258"/>
    </row>
    <row r="35884" spans="1:26" ht="12.75" customHeight="1" x14ac:dyDescent="0.2">
      <c r="A35884" s="258"/>
      <c r="Z35884" s="258"/>
    </row>
    <row r="35885" spans="1:26" ht="12.75" customHeight="1" x14ac:dyDescent="0.2">
      <c r="A35885" s="258"/>
      <c r="Z35885" s="258"/>
    </row>
    <row r="35886" spans="1:26" ht="12.75" customHeight="1" x14ac:dyDescent="0.2">
      <c r="A35886" s="258"/>
      <c r="Z35886" s="258"/>
    </row>
    <row r="35887" spans="1:26" ht="12.75" customHeight="1" x14ac:dyDescent="0.2">
      <c r="A35887" s="258"/>
      <c r="Z35887" s="258"/>
    </row>
    <row r="35888" spans="1:26" ht="12.75" customHeight="1" x14ac:dyDescent="0.2">
      <c r="A35888" s="258"/>
      <c r="Z35888" s="258"/>
    </row>
    <row r="35889" spans="1:26" ht="12.75" customHeight="1" x14ac:dyDescent="0.2">
      <c r="A35889" s="258"/>
      <c r="Z35889" s="258"/>
    </row>
    <row r="35890" spans="1:26" ht="12.75" customHeight="1" x14ac:dyDescent="0.2">
      <c r="A35890" s="258"/>
      <c r="Z35890" s="258"/>
    </row>
    <row r="35891" spans="1:26" ht="12.75" customHeight="1" x14ac:dyDescent="0.2">
      <c r="A35891" s="258"/>
      <c r="Z35891" s="258"/>
    </row>
    <row r="35892" spans="1:26" ht="12.75" customHeight="1" x14ac:dyDescent="0.2">
      <c r="A35892" s="258"/>
      <c r="Z35892" s="258"/>
    </row>
    <row r="35893" spans="1:26" ht="12.75" customHeight="1" x14ac:dyDescent="0.2">
      <c r="A35893" s="258"/>
      <c r="Z35893" s="258"/>
    </row>
    <row r="35894" spans="1:26" ht="12.75" customHeight="1" x14ac:dyDescent="0.2">
      <c r="A35894" s="258"/>
      <c r="Z35894" s="258"/>
    </row>
    <row r="35895" spans="1:26" ht="12.75" customHeight="1" x14ac:dyDescent="0.2">
      <c r="A35895" s="258"/>
      <c r="Z35895" s="258"/>
    </row>
    <row r="35896" spans="1:26" ht="12.75" customHeight="1" x14ac:dyDescent="0.2">
      <c r="A35896" s="258"/>
      <c r="Z35896" s="258"/>
    </row>
    <row r="35897" spans="1:26" ht="12.75" customHeight="1" x14ac:dyDescent="0.2">
      <c r="A35897" s="258"/>
      <c r="Z35897" s="258"/>
    </row>
    <row r="35898" spans="1:26" ht="12.75" customHeight="1" x14ac:dyDescent="0.2">
      <c r="A35898" s="258"/>
      <c r="Z35898" s="258"/>
    </row>
    <row r="35899" spans="1:26" ht="12.75" customHeight="1" x14ac:dyDescent="0.2">
      <c r="A35899" s="258"/>
      <c r="Z35899" s="258"/>
    </row>
    <row r="35900" spans="1:26" ht="12.75" customHeight="1" x14ac:dyDescent="0.2">
      <c r="A35900" s="258"/>
      <c r="Z35900" s="258"/>
    </row>
    <row r="35901" spans="1:26" ht="12.75" customHeight="1" x14ac:dyDescent="0.2">
      <c r="A35901" s="258"/>
      <c r="Z35901" s="258"/>
    </row>
    <row r="35902" spans="1:26" ht="12.75" customHeight="1" x14ac:dyDescent="0.2">
      <c r="A35902" s="258"/>
      <c r="Z35902" s="258"/>
    </row>
    <row r="35903" spans="1:26" ht="12.75" customHeight="1" x14ac:dyDescent="0.2">
      <c r="A35903" s="258"/>
      <c r="Z35903" s="258"/>
    </row>
    <row r="35904" spans="1:26" ht="12.75" customHeight="1" x14ac:dyDescent="0.2">
      <c r="A35904" s="258"/>
      <c r="Z35904" s="258"/>
    </row>
    <row r="35905" spans="1:26" ht="12.75" customHeight="1" x14ac:dyDescent="0.2">
      <c r="A35905" s="258"/>
      <c r="Z35905" s="258"/>
    </row>
    <row r="35906" spans="1:26" ht="12.75" customHeight="1" x14ac:dyDescent="0.2">
      <c r="A35906" s="258"/>
      <c r="Z35906" s="258"/>
    </row>
    <row r="35907" spans="1:26" ht="12.75" customHeight="1" x14ac:dyDescent="0.2">
      <c r="A35907" s="258"/>
      <c r="Z35907" s="258"/>
    </row>
    <row r="35908" spans="1:26" ht="12.75" customHeight="1" x14ac:dyDescent="0.2">
      <c r="A35908" s="258"/>
      <c r="Z35908" s="258"/>
    </row>
    <row r="35909" spans="1:26" ht="12.75" customHeight="1" x14ac:dyDescent="0.2">
      <c r="A35909" s="258"/>
      <c r="Z35909" s="258"/>
    </row>
    <row r="35910" spans="1:26" ht="12.75" customHeight="1" x14ac:dyDescent="0.2">
      <c r="A35910" s="258"/>
      <c r="Z35910" s="258"/>
    </row>
    <row r="35911" spans="1:26" ht="12.75" customHeight="1" x14ac:dyDescent="0.2">
      <c r="A35911" s="258"/>
      <c r="Z35911" s="258"/>
    </row>
    <row r="35912" spans="1:26" ht="12.75" customHeight="1" x14ac:dyDescent="0.2">
      <c r="A35912" s="258"/>
      <c r="Z35912" s="258"/>
    </row>
    <row r="35913" spans="1:26" ht="12.75" customHeight="1" x14ac:dyDescent="0.2">
      <c r="A35913" s="258"/>
      <c r="Z35913" s="258"/>
    </row>
    <row r="35914" spans="1:26" ht="12.75" customHeight="1" x14ac:dyDescent="0.2">
      <c r="A35914" s="258"/>
      <c r="Z35914" s="258"/>
    </row>
    <row r="35915" spans="1:26" ht="12.75" customHeight="1" x14ac:dyDescent="0.2">
      <c r="A35915" s="258"/>
      <c r="Z35915" s="258"/>
    </row>
    <row r="35916" spans="1:26" ht="12.75" customHeight="1" x14ac:dyDescent="0.2">
      <c r="A35916" s="258"/>
      <c r="Z35916" s="258"/>
    </row>
    <row r="35917" spans="1:26" ht="12.75" customHeight="1" x14ac:dyDescent="0.2">
      <c r="A35917" s="258"/>
      <c r="Z35917" s="258"/>
    </row>
    <row r="35918" spans="1:26" ht="12.75" customHeight="1" x14ac:dyDescent="0.2">
      <c r="A35918" s="258"/>
      <c r="Z35918" s="258"/>
    </row>
    <row r="35919" spans="1:26" ht="12.75" customHeight="1" x14ac:dyDescent="0.2">
      <c r="A35919" s="258"/>
      <c r="Z35919" s="258"/>
    </row>
    <row r="35920" spans="1:26" ht="12.75" customHeight="1" x14ac:dyDescent="0.2">
      <c r="A35920" s="258"/>
      <c r="Z35920" s="258"/>
    </row>
    <row r="35921" spans="1:26" ht="12.75" customHeight="1" x14ac:dyDescent="0.2">
      <c r="A35921" s="258"/>
      <c r="Z35921" s="258"/>
    </row>
    <row r="35922" spans="1:26" ht="12.75" customHeight="1" x14ac:dyDescent="0.2">
      <c r="A35922" s="258"/>
      <c r="Z35922" s="258"/>
    </row>
    <row r="35923" spans="1:26" ht="12.75" customHeight="1" x14ac:dyDescent="0.2">
      <c r="A35923" s="258"/>
      <c r="Z35923" s="258"/>
    </row>
    <row r="35924" spans="1:26" ht="12.75" customHeight="1" x14ac:dyDescent="0.2">
      <c r="A35924" s="258"/>
      <c r="Z35924" s="258"/>
    </row>
    <row r="35925" spans="1:26" ht="12.75" customHeight="1" x14ac:dyDescent="0.2">
      <c r="A35925" s="258"/>
      <c r="Z35925" s="258"/>
    </row>
    <row r="35926" spans="1:26" ht="12.75" customHeight="1" x14ac:dyDescent="0.2">
      <c r="A35926" s="258"/>
      <c r="Z35926" s="258"/>
    </row>
    <row r="35927" spans="1:26" ht="12.75" customHeight="1" x14ac:dyDescent="0.2">
      <c r="A35927" s="258"/>
      <c r="Z35927" s="258"/>
    </row>
    <row r="35928" spans="1:26" ht="12.75" customHeight="1" x14ac:dyDescent="0.2">
      <c r="A35928" s="258"/>
      <c r="Z35928" s="258"/>
    </row>
    <row r="35929" spans="1:26" ht="12.75" customHeight="1" x14ac:dyDescent="0.2">
      <c r="A35929" s="258"/>
      <c r="Z35929" s="258"/>
    </row>
    <row r="35930" spans="1:26" ht="12.75" customHeight="1" x14ac:dyDescent="0.2">
      <c r="A35930" s="258"/>
      <c r="Z35930" s="258"/>
    </row>
    <row r="35931" spans="1:26" ht="12.75" customHeight="1" x14ac:dyDescent="0.2">
      <c r="A35931" s="258"/>
      <c r="Z35931" s="258"/>
    </row>
    <row r="35932" spans="1:26" ht="12.75" customHeight="1" x14ac:dyDescent="0.2">
      <c r="A35932" s="258"/>
      <c r="Z35932" s="258"/>
    </row>
    <row r="35933" spans="1:26" ht="12.75" customHeight="1" x14ac:dyDescent="0.2">
      <c r="A35933" s="258"/>
      <c r="Z35933" s="258"/>
    </row>
    <row r="35934" spans="1:26" ht="12.75" customHeight="1" x14ac:dyDescent="0.2">
      <c r="A35934" s="258"/>
      <c r="Z35934" s="258"/>
    </row>
    <row r="35935" spans="1:26" ht="12.75" customHeight="1" x14ac:dyDescent="0.2">
      <c r="A35935" s="258"/>
      <c r="Z35935" s="258"/>
    </row>
    <row r="35936" spans="1:26" ht="12.75" customHeight="1" x14ac:dyDescent="0.2">
      <c r="A35936" s="258"/>
      <c r="Z35936" s="258"/>
    </row>
    <row r="35937" spans="1:26" ht="12.75" customHeight="1" x14ac:dyDescent="0.2">
      <c r="A35937" s="258"/>
      <c r="Z35937" s="258"/>
    </row>
    <row r="35938" spans="1:26" ht="12.75" customHeight="1" x14ac:dyDescent="0.2">
      <c r="A35938" s="258"/>
      <c r="Z35938" s="258"/>
    </row>
    <row r="35939" spans="1:26" ht="12.75" customHeight="1" x14ac:dyDescent="0.2">
      <c r="A35939" s="258"/>
      <c r="Z35939" s="258"/>
    </row>
    <row r="35940" spans="1:26" ht="12.75" customHeight="1" x14ac:dyDescent="0.2">
      <c r="A35940" s="258"/>
      <c r="Z35940" s="258"/>
    </row>
    <row r="35941" spans="1:26" ht="12.75" customHeight="1" x14ac:dyDescent="0.2">
      <c r="A35941" s="258"/>
      <c r="Z35941" s="258"/>
    </row>
    <row r="35942" spans="1:26" ht="12.75" customHeight="1" x14ac:dyDescent="0.2">
      <c r="A35942" s="258"/>
      <c r="Z35942" s="258"/>
    </row>
    <row r="35943" spans="1:26" ht="12.75" customHeight="1" x14ac:dyDescent="0.2">
      <c r="A35943" s="258"/>
      <c r="Z35943" s="258"/>
    </row>
    <row r="35944" spans="1:26" ht="12.75" customHeight="1" x14ac:dyDescent="0.2">
      <c r="A35944" s="258"/>
      <c r="Z35944" s="258"/>
    </row>
    <row r="35945" spans="1:26" ht="12.75" customHeight="1" x14ac:dyDescent="0.2">
      <c r="A35945" s="258"/>
      <c r="Z35945" s="258"/>
    </row>
    <row r="35946" spans="1:26" ht="12.75" customHeight="1" x14ac:dyDescent="0.2">
      <c r="A35946" s="258"/>
      <c r="Z35946" s="258"/>
    </row>
    <row r="35947" spans="1:26" ht="12.75" customHeight="1" x14ac:dyDescent="0.2">
      <c r="A35947" s="258"/>
      <c r="Z35947" s="258"/>
    </row>
    <row r="35948" spans="1:26" ht="12.75" customHeight="1" x14ac:dyDescent="0.2">
      <c r="A35948" s="258"/>
      <c r="Z35948" s="258"/>
    </row>
    <row r="35949" spans="1:26" ht="12.75" customHeight="1" x14ac:dyDescent="0.2">
      <c r="A35949" s="258"/>
      <c r="Z35949" s="258"/>
    </row>
    <row r="35950" spans="1:26" ht="12.75" customHeight="1" x14ac:dyDescent="0.2">
      <c r="A35950" s="258"/>
      <c r="Z35950" s="258"/>
    </row>
    <row r="35951" spans="1:26" ht="12.75" customHeight="1" x14ac:dyDescent="0.2">
      <c r="A35951" s="258"/>
      <c r="Z35951" s="258"/>
    </row>
    <row r="35952" spans="1:26" ht="12.75" customHeight="1" x14ac:dyDescent="0.2">
      <c r="A35952" s="258"/>
      <c r="Z35952" s="258"/>
    </row>
    <row r="35953" spans="1:26" ht="12.75" customHeight="1" x14ac:dyDescent="0.2">
      <c r="A35953" s="258"/>
      <c r="Z35953" s="258"/>
    </row>
    <row r="35954" spans="1:26" ht="12.75" customHeight="1" x14ac:dyDescent="0.2">
      <c r="A35954" s="258"/>
      <c r="Z35954" s="258"/>
    </row>
    <row r="35955" spans="1:26" ht="12.75" customHeight="1" x14ac:dyDescent="0.2">
      <c r="A35955" s="258"/>
      <c r="Z35955" s="258"/>
    </row>
    <row r="35956" spans="1:26" ht="12.75" customHeight="1" x14ac:dyDescent="0.2">
      <c r="A35956" s="258"/>
      <c r="Z35956" s="258"/>
    </row>
    <row r="35957" spans="1:26" ht="12.75" customHeight="1" x14ac:dyDescent="0.2">
      <c r="A35957" s="258"/>
      <c r="Z35957" s="258"/>
    </row>
    <row r="35958" spans="1:26" ht="12.75" customHeight="1" x14ac:dyDescent="0.2">
      <c r="A35958" s="258"/>
      <c r="Z35958" s="258"/>
    </row>
    <row r="35959" spans="1:26" ht="12.75" customHeight="1" x14ac:dyDescent="0.2">
      <c r="A35959" s="258"/>
      <c r="Z35959" s="258"/>
    </row>
    <row r="35960" spans="1:26" ht="12.75" customHeight="1" x14ac:dyDescent="0.2">
      <c r="A35960" s="258"/>
      <c r="Z35960" s="258"/>
    </row>
    <row r="35961" spans="1:26" ht="12.75" customHeight="1" x14ac:dyDescent="0.2">
      <c r="A35961" s="258"/>
      <c r="Z35961" s="258"/>
    </row>
    <row r="35962" spans="1:26" ht="12.75" customHeight="1" x14ac:dyDescent="0.2">
      <c r="A35962" s="258"/>
      <c r="Z35962" s="258"/>
    </row>
    <row r="35963" spans="1:26" ht="12.75" customHeight="1" x14ac:dyDescent="0.2">
      <c r="A35963" s="258"/>
      <c r="Z35963" s="258"/>
    </row>
    <row r="35964" spans="1:26" ht="12.75" customHeight="1" x14ac:dyDescent="0.2">
      <c r="A35964" s="258"/>
      <c r="Z35964" s="258"/>
    </row>
    <row r="35965" spans="1:26" ht="12.75" customHeight="1" x14ac:dyDescent="0.2">
      <c r="A35965" s="258"/>
      <c r="Z35965" s="258"/>
    </row>
    <row r="35966" spans="1:26" ht="12.75" customHeight="1" x14ac:dyDescent="0.2">
      <c r="A35966" s="258"/>
      <c r="Z35966" s="258"/>
    </row>
    <row r="35967" spans="1:26" ht="12.75" customHeight="1" x14ac:dyDescent="0.2">
      <c r="A35967" s="258"/>
      <c r="Z35967" s="258"/>
    </row>
    <row r="35968" spans="1:26" ht="12.75" customHeight="1" x14ac:dyDescent="0.2">
      <c r="A35968" s="258"/>
      <c r="Z35968" s="258"/>
    </row>
    <row r="35969" spans="1:26" ht="12.75" customHeight="1" x14ac:dyDescent="0.2">
      <c r="A35969" s="258"/>
      <c r="Z35969" s="258"/>
    </row>
    <row r="35970" spans="1:26" ht="12.75" customHeight="1" x14ac:dyDescent="0.2">
      <c r="A35970" s="258"/>
      <c r="Z35970" s="258"/>
    </row>
    <row r="35971" spans="1:26" ht="12.75" customHeight="1" x14ac:dyDescent="0.2">
      <c r="A35971" s="258"/>
      <c r="Z35971" s="258"/>
    </row>
    <row r="35972" spans="1:26" ht="12.75" customHeight="1" x14ac:dyDescent="0.2">
      <c r="A35972" s="258"/>
      <c r="Z35972" s="258"/>
    </row>
    <row r="35973" spans="1:26" ht="12.75" customHeight="1" x14ac:dyDescent="0.2">
      <c r="A35973" s="258"/>
      <c r="Z35973" s="258"/>
    </row>
    <row r="35974" spans="1:26" ht="12.75" customHeight="1" x14ac:dyDescent="0.2">
      <c r="A35974" s="258"/>
      <c r="Z35974" s="258"/>
    </row>
    <row r="35975" spans="1:26" ht="12.75" customHeight="1" x14ac:dyDescent="0.2">
      <c r="A35975" s="258"/>
      <c r="Z35975" s="258"/>
    </row>
    <row r="35976" spans="1:26" ht="12.75" customHeight="1" x14ac:dyDescent="0.2">
      <c r="A35976" s="258"/>
      <c r="Z35976" s="258"/>
    </row>
    <row r="35977" spans="1:26" ht="12.75" customHeight="1" x14ac:dyDescent="0.2">
      <c r="A35977" s="258"/>
      <c r="Z35977" s="258"/>
    </row>
    <row r="35978" spans="1:26" ht="12.75" customHeight="1" x14ac:dyDescent="0.2">
      <c r="A35978" s="258"/>
      <c r="Z35978" s="258"/>
    </row>
    <row r="35979" spans="1:26" ht="12.75" customHeight="1" x14ac:dyDescent="0.2">
      <c r="A35979" s="258"/>
      <c r="Z35979" s="258"/>
    </row>
    <row r="35980" spans="1:26" ht="12.75" customHeight="1" x14ac:dyDescent="0.2">
      <c r="A35980" s="258"/>
      <c r="Z35980" s="258"/>
    </row>
    <row r="35981" spans="1:26" ht="12.75" customHeight="1" x14ac:dyDescent="0.2">
      <c r="A35981" s="258"/>
      <c r="Z35981" s="258"/>
    </row>
    <row r="35982" spans="1:26" ht="12.75" customHeight="1" x14ac:dyDescent="0.2">
      <c r="A35982" s="258"/>
      <c r="Z35982" s="258"/>
    </row>
    <row r="35983" spans="1:26" ht="12.75" customHeight="1" x14ac:dyDescent="0.2">
      <c r="A35983" s="258"/>
      <c r="Z35983" s="258"/>
    </row>
    <row r="35984" spans="1:26" ht="12.75" customHeight="1" x14ac:dyDescent="0.2">
      <c r="A35984" s="258"/>
      <c r="Z35984" s="258"/>
    </row>
    <row r="35985" spans="1:26" ht="12.75" customHeight="1" x14ac:dyDescent="0.2">
      <c r="A35985" s="258"/>
      <c r="Z35985" s="258"/>
    </row>
    <row r="35986" spans="1:26" ht="12.75" customHeight="1" x14ac:dyDescent="0.2">
      <c r="A35986" s="258"/>
      <c r="Z35986" s="258"/>
    </row>
    <row r="35987" spans="1:26" ht="12.75" customHeight="1" x14ac:dyDescent="0.2">
      <c r="A35987" s="258"/>
      <c r="Z35987" s="258"/>
    </row>
    <row r="35988" spans="1:26" ht="12.75" customHeight="1" x14ac:dyDescent="0.2">
      <c r="A35988" s="258"/>
      <c r="Z35988" s="258"/>
    </row>
    <row r="35989" spans="1:26" ht="12.75" customHeight="1" x14ac:dyDescent="0.2">
      <c r="A35989" s="258"/>
      <c r="Z35989" s="258"/>
    </row>
    <row r="35990" spans="1:26" ht="12.75" customHeight="1" x14ac:dyDescent="0.2">
      <c r="A35990" s="258"/>
      <c r="Z35990" s="258"/>
    </row>
    <row r="35991" spans="1:26" ht="12.75" customHeight="1" x14ac:dyDescent="0.2">
      <c r="A35991" s="258"/>
      <c r="Z35991" s="258"/>
    </row>
    <row r="35992" spans="1:26" ht="12.75" customHeight="1" x14ac:dyDescent="0.2">
      <c r="A35992" s="258"/>
      <c r="Z35992" s="258"/>
    </row>
    <row r="35993" spans="1:26" ht="12.75" customHeight="1" x14ac:dyDescent="0.2">
      <c r="A35993" s="258"/>
      <c r="Z35993" s="258"/>
    </row>
    <row r="35994" spans="1:26" ht="12.75" customHeight="1" x14ac:dyDescent="0.2">
      <c r="A35994" s="258"/>
      <c r="Z35994" s="258"/>
    </row>
    <row r="35995" spans="1:26" ht="12.75" customHeight="1" x14ac:dyDescent="0.2">
      <c r="A35995" s="258"/>
      <c r="Z35995" s="258"/>
    </row>
    <row r="35996" spans="1:26" ht="12.75" customHeight="1" x14ac:dyDescent="0.2">
      <c r="A35996" s="258"/>
      <c r="Z35996" s="258"/>
    </row>
    <row r="35997" spans="1:26" ht="12.75" customHeight="1" x14ac:dyDescent="0.2">
      <c r="A35997" s="258"/>
      <c r="Z35997" s="258"/>
    </row>
    <row r="35998" spans="1:26" ht="12.75" customHeight="1" x14ac:dyDescent="0.2">
      <c r="A35998" s="258"/>
      <c r="Z35998" s="258"/>
    </row>
    <row r="35999" spans="1:26" ht="12.75" customHeight="1" x14ac:dyDescent="0.2">
      <c r="A35999" s="258"/>
      <c r="Z35999" s="258"/>
    </row>
    <row r="36000" spans="1:26" ht="12.75" customHeight="1" x14ac:dyDescent="0.2">
      <c r="A36000" s="258"/>
      <c r="Z36000" s="258"/>
    </row>
    <row r="36001" spans="1:26" ht="12.75" customHeight="1" x14ac:dyDescent="0.2">
      <c r="A36001" s="258"/>
      <c r="Z36001" s="258"/>
    </row>
    <row r="36002" spans="1:26" ht="12.75" customHeight="1" x14ac:dyDescent="0.2">
      <c r="A36002" s="258"/>
      <c r="Z36002" s="258"/>
    </row>
    <row r="36003" spans="1:26" ht="12.75" customHeight="1" x14ac:dyDescent="0.2">
      <c r="A36003" s="258"/>
      <c r="Z36003" s="258"/>
    </row>
    <row r="36004" spans="1:26" ht="12.75" customHeight="1" x14ac:dyDescent="0.2">
      <c r="A36004" s="258"/>
      <c r="Z36004" s="258"/>
    </row>
    <row r="36005" spans="1:26" ht="12.75" customHeight="1" x14ac:dyDescent="0.2">
      <c r="A36005" s="258"/>
      <c r="Z36005" s="258"/>
    </row>
    <row r="36006" spans="1:26" ht="12.75" customHeight="1" x14ac:dyDescent="0.2">
      <c r="A36006" s="258"/>
      <c r="Z36006" s="258"/>
    </row>
    <row r="36007" spans="1:26" ht="12.75" customHeight="1" x14ac:dyDescent="0.2">
      <c r="A36007" s="258"/>
      <c r="Z36007" s="258"/>
    </row>
    <row r="36008" spans="1:26" ht="12.75" customHeight="1" x14ac:dyDescent="0.2">
      <c r="A36008" s="258"/>
      <c r="Z36008" s="258"/>
    </row>
    <row r="36009" spans="1:26" ht="12.75" customHeight="1" x14ac:dyDescent="0.2">
      <c r="A36009" s="258"/>
      <c r="Z36009" s="258"/>
    </row>
    <row r="36010" spans="1:26" ht="12.75" customHeight="1" x14ac:dyDescent="0.2">
      <c r="A36010" s="258"/>
      <c r="Z36010" s="258"/>
    </row>
    <row r="36011" spans="1:26" ht="12.75" customHeight="1" x14ac:dyDescent="0.2">
      <c r="A36011" s="258"/>
      <c r="Z36011" s="258"/>
    </row>
    <row r="36012" spans="1:26" ht="12.75" customHeight="1" x14ac:dyDescent="0.2">
      <c r="A36012" s="258"/>
      <c r="Z36012" s="258"/>
    </row>
    <row r="36013" spans="1:26" ht="12.75" customHeight="1" x14ac:dyDescent="0.2">
      <c r="A36013" s="258"/>
      <c r="Z36013" s="258"/>
    </row>
    <row r="36014" spans="1:26" ht="12.75" customHeight="1" x14ac:dyDescent="0.2">
      <c r="A36014" s="258"/>
      <c r="Z36014" s="258"/>
    </row>
    <row r="36015" spans="1:26" ht="12.75" customHeight="1" x14ac:dyDescent="0.2">
      <c r="A36015" s="258"/>
      <c r="Z36015" s="258"/>
    </row>
    <row r="36016" spans="1:26" ht="12.75" customHeight="1" x14ac:dyDescent="0.2">
      <c r="A36016" s="258"/>
      <c r="Z36016" s="258"/>
    </row>
    <row r="36017" spans="1:26" ht="12.75" customHeight="1" x14ac:dyDescent="0.2">
      <c r="A36017" s="258"/>
      <c r="Z36017" s="258"/>
    </row>
    <row r="36018" spans="1:26" ht="12.75" customHeight="1" x14ac:dyDescent="0.2">
      <c r="A36018" s="258"/>
      <c r="Z36018" s="258"/>
    </row>
    <row r="36019" spans="1:26" ht="12.75" customHeight="1" x14ac:dyDescent="0.2">
      <c r="A36019" s="258"/>
      <c r="Z36019" s="258"/>
    </row>
    <row r="36020" spans="1:26" ht="12.75" customHeight="1" x14ac:dyDescent="0.2">
      <c r="A36020" s="258"/>
      <c r="Z36020" s="258"/>
    </row>
    <row r="36021" spans="1:26" ht="12.75" customHeight="1" x14ac:dyDescent="0.2">
      <c r="A36021" s="258"/>
      <c r="Z36021" s="258"/>
    </row>
    <row r="36022" spans="1:26" ht="12.75" customHeight="1" x14ac:dyDescent="0.2">
      <c r="A36022" s="258"/>
      <c r="Z36022" s="258"/>
    </row>
    <row r="36023" spans="1:26" ht="12.75" customHeight="1" x14ac:dyDescent="0.2">
      <c r="A36023" s="258"/>
      <c r="Z36023" s="258"/>
    </row>
    <row r="36024" spans="1:26" ht="12.75" customHeight="1" x14ac:dyDescent="0.2">
      <c r="A36024" s="258"/>
      <c r="Z36024" s="258"/>
    </row>
    <row r="36025" spans="1:26" ht="12.75" customHeight="1" x14ac:dyDescent="0.2">
      <c r="A36025" s="258"/>
      <c r="Z36025" s="258"/>
    </row>
    <row r="36026" spans="1:26" ht="12.75" customHeight="1" x14ac:dyDescent="0.2">
      <c r="A36026" s="258"/>
      <c r="Z36026" s="258"/>
    </row>
    <row r="36027" spans="1:26" ht="12.75" customHeight="1" x14ac:dyDescent="0.2">
      <c r="A36027" s="258"/>
      <c r="Z36027" s="258"/>
    </row>
    <row r="36028" spans="1:26" ht="12.75" customHeight="1" x14ac:dyDescent="0.2">
      <c r="A36028" s="258"/>
      <c r="Z36028" s="258"/>
    </row>
    <row r="36029" spans="1:26" ht="12.75" customHeight="1" x14ac:dyDescent="0.2">
      <c r="A36029" s="258"/>
      <c r="Z36029" s="258"/>
    </row>
    <row r="36030" spans="1:26" ht="12.75" customHeight="1" x14ac:dyDescent="0.2">
      <c r="A36030" s="258"/>
      <c r="Z36030" s="258"/>
    </row>
    <row r="36031" spans="1:26" ht="12.75" customHeight="1" x14ac:dyDescent="0.2">
      <c r="A36031" s="258"/>
      <c r="Z36031" s="258"/>
    </row>
    <row r="36032" spans="1:26" ht="12.75" customHeight="1" x14ac:dyDescent="0.2">
      <c r="A36032" s="258"/>
      <c r="Z36032" s="258"/>
    </row>
    <row r="36033" spans="1:26" ht="12.75" customHeight="1" x14ac:dyDescent="0.2">
      <c r="A36033" s="258"/>
      <c r="Z36033" s="258"/>
    </row>
    <row r="36034" spans="1:26" ht="12.75" customHeight="1" x14ac:dyDescent="0.2">
      <c r="A36034" s="258"/>
      <c r="Z36034" s="258"/>
    </row>
    <row r="36035" spans="1:26" ht="12.75" customHeight="1" x14ac:dyDescent="0.2">
      <c r="A36035" s="258"/>
      <c r="Z36035" s="258"/>
    </row>
    <row r="36036" spans="1:26" ht="12.75" customHeight="1" x14ac:dyDescent="0.2">
      <c r="A36036" s="258"/>
      <c r="Z36036" s="258"/>
    </row>
    <row r="36037" spans="1:26" ht="12.75" customHeight="1" x14ac:dyDescent="0.2">
      <c r="A36037" s="258"/>
      <c r="Z36037" s="258"/>
    </row>
    <row r="36038" spans="1:26" ht="12.75" customHeight="1" x14ac:dyDescent="0.2">
      <c r="A36038" s="258"/>
      <c r="Z36038" s="258"/>
    </row>
    <row r="36039" spans="1:26" ht="12.75" customHeight="1" x14ac:dyDescent="0.2">
      <c r="A36039" s="258"/>
      <c r="Z36039" s="258"/>
    </row>
    <row r="36040" spans="1:26" ht="12.75" customHeight="1" x14ac:dyDescent="0.2">
      <c r="A36040" s="258"/>
      <c r="Z36040" s="258"/>
    </row>
    <row r="36041" spans="1:26" ht="12.75" customHeight="1" x14ac:dyDescent="0.2">
      <c r="A36041" s="258"/>
      <c r="Z36041" s="258"/>
    </row>
    <row r="36042" spans="1:26" ht="12.75" customHeight="1" x14ac:dyDescent="0.2">
      <c r="A36042" s="258"/>
      <c r="Z36042" s="258"/>
    </row>
    <row r="36043" spans="1:26" ht="12.75" customHeight="1" x14ac:dyDescent="0.2">
      <c r="A36043" s="258"/>
      <c r="Z36043" s="258"/>
    </row>
    <row r="36044" spans="1:26" ht="12.75" customHeight="1" x14ac:dyDescent="0.2">
      <c r="A36044" s="258"/>
      <c r="Z36044" s="258"/>
    </row>
    <row r="36045" spans="1:26" ht="12.75" customHeight="1" x14ac:dyDescent="0.2">
      <c r="A36045" s="258"/>
      <c r="Z36045" s="258"/>
    </row>
    <row r="36046" spans="1:26" ht="12.75" customHeight="1" x14ac:dyDescent="0.2">
      <c r="A36046" s="258"/>
      <c r="Z36046" s="258"/>
    </row>
    <row r="36047" spans="1:26" ht="12.75" customHeight="1" x14ac:dyDescent="0.2">
      <c r="A36047" s="258"/>
      <c r="Z36047" s="258"/>
    </row>
    <row r="36048" spans="1:26" ht="12.75" customHeight="1" x14ac:dyDescent="0.2">
      <c r="A36048" s="258"/>
      <c r="Z36048" s="258"/>
    </row>
    <row r="36049" spans="1:26" ht="12.75" customHeight="1" x14ac:dyDescent="0.2">
      <c r="A36049" s="258"/>
      <c r="Z36049" s="258"/>
    </row>
    <row r="36050" spans="1:26" ht="12.75" customHeight="1" x14ac:dyDescent="0.2">
      <c r="A36050" s="258"/>
      <c r="Z36050" s="258"/>
    </row>
    <row r="36051" spans="1:26" ht="12.75" customHeight="1" x14ac:dyDescent="0.2">
      <c r="A36051" s="258"/>
      <c r="Z36051" s="258"/>
    </row>
    <row r="36052" spans="1:26" ht="12.75" customHeight="1" x14ac:dyDescent="0.2">
      <c r="A36052" s="258"/>
      <c r="Z36052" s="258"/>
    </row>
    <row r="36053" spans="1:26" ht="12.75" customHeight="1" x14ac:dyDescent="0.2">
      <c r="A36053" s="258"/>
      <c r="Z36053" s="258"/>
    </row>
    <row r="36054" spans="1:26" ht="12.75" customHeight="1" x14ac:dyDescent="0.2">
      <c r="A36054" s="258"/>
      <c r="Z36054" s="258"/>
    </row>
    <row r="36055" spans="1:26" ht="12.75" customHeight="1" x14ac:dyDescent="0.2">
      <c r="A36055" s="258"/>
      <c r="Z36055" s="258"/>
    </row>
    <row r="36056" spans="1:26" ht="12.75" customHeight="1" x14ac:dyDescent="0.2">
      <c r="A36056" s="258"/>
      <c r="Z36056" s="258"/>
    </row>
    <row r="36057" spans="1:26" ht="12.75" customHeight="1" x14ac:dyDescent="0.2">
      <c r="A36057" s="258"/>
      <c r="Z36057" s="258"/>
    </row>
    <row r="36058" spans="1:26" ht="12.75" customHeight="1" x14ac:dyDescent="0.2">
      <c r="A36058" s="258"/>
      <c r="Z36058" s="258"/>
    </row>
    <row r="36059" spans="1:26" ht="12.75" customHeight="1" x14ac:dyDescent="0.2">
      <c r="A36059" s="258"/>
      <c r="Z36059" s="258"/>
    </row>
    <row r="36060" spans="1:26" ht="12.75" customHeight="1" x14ac:dyDescent="0.2">
      <c r="A36060" s="258"/>
      <c r="Z36060" s="258"/>
    </row>
    <row r="36061" spans="1:26" ht="12.75" customHeight="1" x14ac:dyDescent="0.2">
      <c r="A36061" s="258"/>
      <c r="Z36061" s="258"/>
    </row>
    <row r="36062" spans="1:26" ht="12.75" customHeight="1" x14ac:dyDescent="0.2">
      <c r="A36062" s="258"/>
      <c r="Z36062" s="258"/>
    </row>
    <row r="36063" spans="1:26" ht="12.75" customHeight="1" x14ac:dyDescent="0.2">
      <c r="A36063" s="258"/>
      <c r="Z36063" s="258"/>
    </row>
    <row r="36064" spans="1:26" ht="12.75" customHeight="1" x14ac:dyDescent="0.2">
      <c r="A36064" s="258"/>
      <c r="Z36064" s="258"/>
    </row>
    <row r="36065" spans="1:26" ht="12.75" customHeight="1" x14ac:dyDescent="0.2">
      <c r="A36065" s="258"/>
      <c r="Z36065" s="258"/>
    </row>
    <row r="36066" spans="1:26" ht="12.75" customHeight="1" x14ac:dyDescent="0.2">
      <c r="A36066" s="258"/>
      <c r="Z36066" s="258"/>
    </row>
    <row r="36067" spans="1:26" ht="12.75" customHeight="1" x14ac:dyDescent="0.2">
      <c r="A36067" s="258"/>
      <c r="Z36067" s="258"/>
    </row>
    <row r="36068" spans="1:26" ht="12.75" customHeight="1" x14ac:dyDescent="0.2">
      <c r="A36068" s="258"/>
      <c r="Z36068" s="258"/>
    </row>
    <row r="36069" spans="1:26" ht="12.75" customHeight="1" x14ac:dyDescent="0.2">
      <c r="A36069" s="258"/>
      <c r="Z36069" s="258"/>
    </row>
    <row r="36070" spans="1:26" ht="12.75" customHeight="1" x14ac:dyDescent="0.2">
      <c r="A36070" s="258"/>
      <c r="Z36070" s="258"/>
    </row>
    <row r="36071" spans="1:26" ht="12.75" customHeight="1" x14ac:dyDescent="0.2">
      <c r="A36071" s="258"/>
      <c r="Z36071" s="258"/>
    </row>
    <row r="36072" spans="1:26" ht="12.75" customHeight="1" x14ac:dyDescent="0.2">
      <c r="A36072" s="258"/>
      <c r="Z36072" s="258"/>
    </row>
    <row r="36073" spans="1:26" ht="12.75" customHeight="1" x14ac:dyDescent="0.2">
      <c r="A36073" s="258"/>
      <c r="Z36073" s="258"/>
    </row>
    <row r="36074" spans="1:26" ht="12.75" customHeight="1" x14ac:dyDescent="0.2">
      <c r="A36074" s="258"/>
      <c r="Z36074" s="258"/>
    </row>
    <row r="36075" spans="1:26" ht="12.75" customHeight="1" x14ac:dyDescent="0.2">
      <c r="A36075" s="258"/>
      <c r="Z36075" s="258"/>
    </row>
    <row r="36076" spans="1:26" ht="12.75" customHeight="1" x14ac:dyDescent="0.2">
      <c r="A36076" s="258"/>
      <c r="Z36076" s="258"/>
    </row>
    <row r="36077" spans="1:26" ht="12.75" customHeight="1" x14ac:dyDescent="0.2">
      <c r="A36077" s="258"/>
      <c r="Z36077" s="258"/>
    </row>
    <row r="36078" spans="1:26" ht="12.75" customHeight="1" x14ac:dyDescent="0.2">
      <c r="A36078" s="258"/>
      <c r="Z36078" s="258"/>
    </row>
    <row r="36079" spans="1:26" ht="12.75" customHeight="1" x14ac:dyDescent="0.2">
      <c r="A36079" s="258"/>
      <c r="Z36079" s="258"/>
    </row>
    <row r="36080" spans="1:26" ht="12.75" customHeight="1" x14ac:dyDescent="0.2">
      <c r="A36080" s="258"/>
      <c r="Z36080" s="258"/>
    </row>
    <row r="36081" spans="1:26" ht="12.75" customHeight="1" x14ac:dyDescent="0.2">
      <c r="A36081" s="258"/>
      <c r="Z36081" s="258"/>
    </row>
    <row r="36082" spans="1:26" ht="12.75" customHeight="1" x14ac:dyDescent="0.2">
      <c r="A36082" s="258"/>
      <c r="Z36082" s="258"/>
    </row>
    <row r="36083" spans="1:26" ht="12.75" customHeight="1" x14ac:dyDescent="0.2">
      <c r="A36083" s="258"/>
      <c r="Z36083" s="258"/>
    </row>
    <row r="36084" spans="1:26" ht="12.75" customHeight="1" x14ac:dyDescent="0.2">
      <c r="A36084" s="258"/>
      <c r="Z36084" s="258"/>
    </row>
    <row r="36085" spans="1:26" ht="12.75" customHeight="1" x14ac:dyDescent="0.2">
      <c r="A36085" s="258"/>
      <c r="Z36085" s="258"/>
    </row>
    <row r="36086" spans="1:26" ht="12.75" customHeight="1" x14ac:dyDescent="0.2">
      <c r="A36086" s="258"/>
      <c r="Z36086" s="258"/>
    </row>
    <row r="36087" spans="1:26" ht="12.75" customHeight="1" x14ac:dyDescent="0.2">
      <c r="A36087" s="258"/>
      <c r="Z36087" s="258"/>
    </row>
    <row r="36088" spans="1:26" ht="12.75" customHeight="1" x14ac:dyDescent="0.2">
      <c r="A36088" s="258"/>
      <c r="Z36088" s="258"/>
    </row>
    <row r="36089" spans="1:26" ht="12.75" customHeight="1" x14ac:dyDescent="0.2">
      <c r="A36089" s="258"/>
      <c r="Z36089" s="258"/>
    </row>
    <row r="36090" spans="1:26" ht="12.75" customHeight="1" x14ac:dyDescent="0.2">
      <c r="A36090" s="258"/>
      <c r="Z36090" s="258"/>
    </row>
    <row r="36091" spans="1:26" ht="12.75" customHeight="1" x14ac:dyDescent="0.2">
      <c r="A36091" s="258"/>
      <c r="Z36091" s="258"/>
    </row>
    <row r="36092" spans="1:26" ht="12.75" customHeight="1" x14ac:dyDescent="0.2">
      <c r="A36092" s="258"/>
      <c r="Z36092" s="258"/>
    </row>
    <row r="36093" spans="1:26" ht="12.75" customHeight="1" x14ac:dyDescent="0.2">
      <c r="A36093" s="258"/>
      <c r="Z36093" s="258"/>
    </row>
    <row r="36094" spans="1:26" ht="12.75" customHeight="1" x14ac:dyDescent="0.2">
      <c r="A36094" s="258"/>
      <c r="Z36094" s="258"/>
    </row>
    <row r="36095" spans="1:26" ht="12.75" customHeight="1" x14ac:dyDescent="0.2">
      <c r="A36095" s="258"/>
      <c r="Z36095" s="258"/>
    </row>
    <row r="36096" spans="1:26" ht="12.75" customHeight="1" x14ac:dyDescent="0.2">
      <c r="A36096" s="258"/>
      <c r="Z36096" s="258"/>
    </row>
    <row r="36097" spans="1:26" ht="12.75" customHeight="1" x14ac:dyDescent="0.2">
      <c r="A36097" s="258"/>
      <c r="Z36097" s="258"/>
    </row>
    <row r="36098" spans="1:26" ht="12.75" customHeight="1" x14ac:dyDescent="0.2">
      <c r="A36098" s="258"/>
      <c r="Z36098" s="258"/>
    </row>
    <row r="36099" spans="1:26" ht="12.75" customHeight="1" x14ac:dyDescent="0.2">
      <c r="A36099" s="258"/>
      <c r="Z36099" s="258"/>
    </row>
    <row r="36100" spans="1:26" ht="12.75" customHeight="1" x14ac:dyDescent="0.2">
      <c r="A36100" s="258"/>
      <c r="Z36100" s="258"/>
    </row>
    <row r="36101" spans="1:26" ht="12.75" customHeight="1" x14ac:dyDescent="0.2">
      <c r="A36101" s="258"/>
      <c r="Z36101" s="258"/>
    </row>
    <row r="36102" spans="1:26" ht="12.75" customHeight="1" x14ac:dyDescent="0.2">
      <c r="A36102" s="258"/>
      <c r="Z36102" s="258"/>
    </row>
    <row r="36103" spans="1:26" ht="12.75" customHeight="1" x14ac:dyDescent="0.2">
      <c r="A36103" s="258"/>
      <c r="Z36103" s="258"/>
    </row>
    <row r="36104" spans="1:26" ht="12.75" customHeight="1" x14ac:dyDescent="0.2">
      <c r="A36104" s="258"/>
      <c r="Z36104" s="258"/>
    </row>
    <row r="36105" spans="1:26" ht="12.75" customHeight="1" x14ac:dyDescent="0.2">
      <c r="A36105" s="258"/>
      <c r="Z36105" s="258"/>
    </row>
    <row r="36106" spans="1:26" ht="12.75" customHeight="1" x14ac:dyDescent="0.2">
      <c r="A36106" s="258"/>
      <c r="Z36106" s="258"/>
    </row>
    <row r="36107" spans="1:26" ht="12.75" customHeight="1" x14ac:dyDescent="0.2">
      <c r="A36107" s="258"/>
      <c r="Z36107" s="258"/>
    </row>
    <row r="36108" spans="1:26" ht="12.75" customHeight="1" x14ac:dyDescent="0.2">
      <c r="A36108" s="258"/>
      <c r="Z36108" s="258"/>
    </row>
    <row r="36109" spans="1:26" ht="12.75" customHeight="1" x14ac:dyDescent="0.2">
      <c r="A36109" s="258"/>
      <c r="Z36109" s="258"/>
    </row>
    <row r="36110" spans="1:26" ht="12.75" customHeight="1" x14ac:dyDescent="0.2">
      <c r="A36110" s="258"/>
      <c r="Z36110" s="258"/>
    </row>
    <row r="36111" spans="1:26" ht="12.75" customHeight="1" x14ac:dyDescent="0.2">
      <c r="A36111" s="258"/>
      <c r="Z36111" s="258"/>
    </row>
    <row r="36112" spans="1:26" ht="12.75" customHeight="1" x14ac:dyDescent="0.2">
      <c r="A36112" s="258"/>
      <c r="Z36112" s="258"/>
    </row>
    <row r="36113" spans="1:26" ht="12.75" customHeight="1" x14ac:dyDescent="0.2">
      <c r="A36113" s="258"/>
      <c r="Z36113" s="258"/>
    </row>
    <row r="36114" spans="1:26" ht="12.75" customHeight="1" x14ac:dyDescent="0.2">
      <c r="A36114" s="258"/>
      <c r="Z36114" s="258"/>
    </row>
    <row r="36115" spans="1:26" ht="12.75" customHeight="1" x14ac:dyDescent="0.2">
      <c r="A36115" s="258"/>
      <c r="Z36115" s="258"/>
    </row>
    <row r="36116" spans="1:26" ht="12.75" customHeight="1" x14ac:dyDescent="0.2">
      <c r="A36116" s="258"/>
      <c r="Z36116" s="258"/>
    </row>
    <row r="36117" spans="1:26" ht="12.75" customHeight="1" x14ac:dyDescent="0.2">
      <c r="A36117" s="258"/>
      <c r="Z36117" s="258"/>
    </row>
    <row r="36118" spans="1:26" ht="12.75" customHeight="1" x14ac:dyDescent="0.2">
      <c r="A36118" s="258"/>
      <c r="Z36118" s="258"/>
    </row>
    <row r="36119" spans="1:26" ht="12.75" customHeight="1" x14ac:dyDescent="0.2">
      <c r="A36119" s="258"/>
      <c r="Z36119" s="258"/>
    </row>
    <row r="36120" spans="1:26" ht="12.75" customHeight="1" x14ac:dyDescent="0.2">
      <c r="A36120" s="258"/>
      <c r="Z36120" s="258"/>
    </row>
    <row r="36121" spans="1:26" ht="12.75" customHeight="1" x14ac:dyDescent="0.2">
      <c r="A36121" s="258"/>
      <c r="Z36121" s="258"/>
    </row>
    <row r="36122" spans="1:26" ht="12.75" customHeight="1" x14ac:dyDescent="0.2">
      <c r="A36122" s="258"/>
      <c r="Z36122" s="258"/>
    </row>
    <row r="36123" spans="1:26" ht="12.75" customHeight="1" x14ac:dyDescent="0.2">
      <c r="A36123" s="258"/>
      <c r="Z36123" s="258"/>
    </row>
    <row r="36124" spans="1:26" ht="12.75" customHeight="1" x14ac:dyDescent="0.2">
      <c r="A36124" s="258"/>
      <c r="Z36124" s="258"/>
    </row>
    <row r="36125" spans="1:26" ht="12.75" customHeight="1" x14ac:dyDescent="0.2">
      <c r="A36125" s="258"/>
      <c r="Z36125" s="258"/>
    </row>
    <row r="36126" spans="1:26" ht="12.75" customHeight="1" x14ac:dyDescent="0.2">
      <c r="A36126" s="258"/>
      <c r="Z36126" s="258"/>
    </row>
    <row r="36127" spans="1:26" ht="12.75" customHeight="1" x14ac:dyDescent="0.2">
      <c r="A36127" s="258"/>
      <c r="Z36127" s="258"/>
    </row>
    <row r="36128" spans="1:26" ht="12.75" customHeight="1" x14ac:dyDescent="0.2">
      <c r="A36128" s="258"/>
      <c r="Z36128" s="258"/>
    </row>
    <row r="36129" spans="1:26" ht="12.75" customHeight="1" x14ac:dyDescent="0.2">
      <c r="A36129" s="258"/>
      <c r="Z36129" s="258"/>
    </row>
    <row r="36130" spans="1:26" ht="12.75" customHeight="1" x14ac:dyDescent="0.2">
      <c r="A36130" s="258"/>
      <c r="Z36130" s="258"/>
    </row>
    <row r="36131" spans="1:26" ht="12.75" customHeight="1" x14ac:dyDescent="0.2">
      <c r="A36131" s="258"/>
      <c r="Z36131" s="258"/>
    </row>
    <row r="36132" spans="1:26" ht="12.75" customHeight="1" x14ac:dyDescent="0.2">
      <c r="A36132" s="258"/>
      <c r="Z36132" s="258"/>
    </row>
    <row r="36133" spans="1:26" ht="12.75" customHeight="1" x14ac:dyDescent="0.2">
      <c r="A36133" s="258"/>
      <c r="Z36133" s="258"/>
    </row>
    <row r="36134" spans="1:26" ht="12.75" customHeight="1" x14ac:dyDescent="0.2">
      <c r="A36134" s="258"/>
      <c r="Z36134" s="258"/>
    </row>
    <row r="36135" spans="1:26" ht="12.75" customHeight="1" x14ac:dyDescent="0.2">
      <c r="A36135" s="258"/>
      <c r="Z36135" s="258"/>
    </row>
    <row r="36136" spans="1:26" ht="12.75" customHeight="1" x14ac:dyDescent="0.2">
      <c r="A36136" s="258"/>
      <c r="Z36136" s="258"/>
    </row>
    <row r="36137" spans="1:26" ht="12.75" customHeight="1" x14ac:dyDescent="0.2">
      <c r="A36137" s="258"/>
      <c r="Z36137" s="258"/>
    </row>
    <row r="36138" spans="1:26" ht="12.75" customHeight="1" x14ac:dyDescent="0.2">
      <c r="A36138" s="258"/>
      <c r="Z36138" s="258"/>
    </row>
    <row r="36139" spans="1:26" ht="12.75" customHeight="1" x14ac:dyDescent="0.2">
      <c r="A36139" s="258"/>
      <c r="Z36139" s="258"/>
    </row>
    <row r="36140" spans="1:26" ht="12.75" customHeight="1" x14ac:dyDescent="0.2">
      <c r="A36140" s="258"/>
      <c r="Z36140" s="258"/>
    </row>
    <row r="36141" spans="1:26" ht="12.75" customHeight="1" x14ac:dyDescent="0.2">
      <c r="A36141" s="258"/>
      <c r="Z36141" s="258"/>
    </row>
    <row r="36142" spans="1:26" ht="12.75" customHeight="1" x14ac:dyDescent="0.2">
      <c r="A36142" s="258"/>
      <c r="Z36142" s="258"/>
    </row>
    <row r="36143" spans="1:26" ht="12.75" customHeight="1" x14ac:dyDescent="0.2">
      <c r="A36143" s="258"/>
      <c r="Z36143" s="258"/>
    </row>
    <row r="36144" spans="1:26" ht="12.75" customHeight="1" x14ac:dyDescent="0.2">
      <c r="A36144" s="258"/>
      <c r="Z36144" s="258"/>
    </row>
    <row r="36145" spans="1:26" ht="12.75" customHeight="1" x14ac:dyDescent="0.2">
      <c r="A36145" s="258"/>
      <c r="Z36145" s="258"/>
    </row>
    <row r="36146" spans="1:26" ht="12.75" customHeight="1" x14ac:dyDescent="0.2">
      <c r="A36146" s="258"/>
      <c r="Z36146" s="258"/>
    </row>
    <row r="36147" spans="1:26" ht="12.75" customHeight="1" x14ac:dyDescent="0.2">
      <c r="A36147" s="258"/>
      <c r="Z36147" s="258"/>
    </row>
    <row r="36148" spans="1:26" ht="12.75" customHeight="1" x14ac:dyDescent="0.2">
      <c r="A36148" s="258"/>
      <c r="Z36148" s="258"/>
    </row>
    <row r="36149" spans="1:26" ht="12.75" customHeight="1" x14ac:dyDescent="0.2">
      <c r="A36149" s="258"/>
      <c r="Z36149" s="258"/>
    </row>
    <row r="36150" spans="1:26" ht="12.75" customHeight="1" x14ac:dyDescent="0.2">
      <c r="A36150" s="258"/>
      <c r="Z36150" s="258"/>
    </row>
    <row r="36151" spans="1:26" ht="12.75" customHeight="1" x14ac:dyDescent="0.2">
      <c r="A36151" s="258"/>
      <c r="Z36151" s="258"/>
    </row>
    <row r="36152" spans="1:26" ht="12.75" customHeight="1" x14ac:dyDescent="0.2">
      <c r="A36152" s="258"/>
      <c r="Z36152" s="258"/>
    </row>
    <row r="36153" spans="1:26" ht="12.75" customHeight="1" x14ac:dyDescent="0.2">
      <c r="A36153" s="258"/>
      <c r="Z36153" s="258"/>
    </row>
    <row r="36154" spans="1:26" ht="12.75" customHeight="1" x14ac:dyDescent="0.2">
      <c r="A36154" s="258"/>
      <c r="Z36154" s="258"/>
    </row>
    <row r="36155" spans="1:26" ht="12.75" customHeight="1" x14ac:dyDescent="0.2">
      <c r="A36155" s="258"/>
      <c r="Z36155" s="258"/>
    </row>
    <row r="36156" spans="1:26" ht="12.75" customHeight="1" x14ac:dyDescent="0.2">
      <c r="A36156" s="258"/>
      <c r="Z36156" s="258"/>
    </row>
    <row r="36157" spans="1:26" ht="12.75" customHeight="1" x14ac:dyDescent="0.2">
      <c r="A36157" s="258"/>
      <c r="Z36157" s="258"/>
    </row>
    <row r="36158" spans="1:26" ht="12.75" customHeight="1" x14ac:dyDescent="0.2">
      <c r="A36158" s="258"/>
      <c r="Z36158" s="258"/>
    </row>
    <row r="36159" spans="1:26" ht="12.75" customHeight="1" x14ac:dyDescent="0.2">
      <c r="A36159" s="258"/>
      <c r="Z36159" s="258"/>
    </row>
    <row r="36160" spans="1:26" ht="12.75" customHeight="1" x14ac:dyDescent="0.2">
      <c r="A36160" s="258"/>
      <c r="Z36160" s="258"/>
    </row>
    <row r="36161" spans="1:26" ht="12.75" customHeight="1" x14ac:dyDescent="0.2">
      <c r="A36161" s="258"/>
      <c r="Z36161" s="258"/>
    </row>
    <row r="36162" spans="1:26" ht="12.75" customHeight="1" x14ac:dyDescent="0.2">
      <c r="A36162" s="258"/>
      <c r="Z36162" s="258"/>
    </row>
    <row r="36163" spans="1:26" ht="12.75" customHeight="1" x14ac:dyDescent="0.2">
      <c r="A36163" s="258"/>
      <c r="Z36163" s="258"/>
    </row>
    <row r="36164" spans="1:26" ht="12.75" customHeight="1" x14ac:dyDescent="0.2">
      <c r="A36164" s="258"/>
      <c r="Z36164" s="258"/>
    </row>
    <row r="36165" spans="1:26" ht="12.75" customHeight="1" x14ac:dyDescent="0.2">
      <c r="A36165" s="258"/>
      <c r="Z36165" s="258"/>
    </row>
    <row r="36166" spans="1:26" ht="12.75" customHeight="1" x14ac:dyDescent="0.2">
      <c r="A36166" s="258"/>
      <c r="Z36166" s="258"/>
    </row>
    <row r="36167" spans="1:26" ht="12.75" customHeight="1" x14ac:dyDescent="0.2">
      <c r="A36167" s="258"/>
      <c r="Z36167" s="258"/>
    </row>
    <row r="36168" spans="1:26" ht="12.75" customHeight="1" x14ac:dyDescent="0.2">
      <c r="A36168" s="258"/>
      <c r="Z36168" s="258"/>
    </row>
    <row r="36169" spans="1:26" ht="12.75" customHeight="1" x14ac:dyDescent="0.2">
      <c r="A36169" s="258"/>
      <c r="Z36169" s="258"/>
    </row>
    <row r="36170" spans="1:26" ht="12.75" customHeight="1" x14ac:dyDescent="0.2">
      <c r="A36170" s="258"/>
      <c r="Z36170" s="258"/>
    </row>
    <row r="36171" spans="1:26" ht="12.75" customHeight="1" x14ac:dyDescent="0.2">
      <c r="A36171" s="258"/>
      <c r="Z36171" s="258"/>
    </row>
    <row r="36172" spans="1:26" ht="12.75" customHeight="1" x14ac:dyDescent="0.2">
      <c r="A36172" s="258"/>
      <c r="Z36172" s="258"/>
    </row>
    <row r="36173" spans="1:26" ht="12.75" customHeight="1" x14ac:dyDescent="0.2">
      <c r="A36173" s="258"/>
      <c r="Z36173" s="258"/>
    </row>
    <row r="36174" spans="1:26" ht="12.75" customHeight="1" x14ac:dyDescent="0.2">
      <c r="A36174" s="258"/>
      <c r="Z36174" s="258"/>
    </row>
    <row r="36175" spans="1:26" ht="12.75" customHeight="1" x14ac:dyDescent="0.2">
      <c r="A36175" s="258"/>
      <c r="Z36175" s="258"/>
    </row>
    <row r="36176" spans="1:26" ht="12.75" customHeight="1" x14ac:dyDescent="0.2">
      <c r="A36176" s="258"/>
      <c r="Z36176" s="258"/>
    </row>
    <row r="36177" spans="1:26" ht="12.75" customHeight="1" x14ac:dyDescent="0.2">
      <c r="A36177" s="258"/>
      <c r="Z36177" s="258"/>
    </row>
    <row r="36178" spans="1:26" ht="12.75" customHeight="1" x14ac:dyDescent="0.2">
      <c r="A36178" s="258"/>
      <c r="Z36178" s="258"/>
    </row>
    <row r="36179" spans="1:26" ht="12.75" customHeight="1" x14ac:dyDescent="0.2">
      <c r="A36179" s="258"/>
      <c r="Z36179" s="258"/>
    </row>
    <row r="36180" spans="1:26" ht="12.75" customHeight="1" x14ac:dyDescent="0.2">
      <c r="A36180" s="258"/>
      <c r="Z36180" s="258"/>
    </row>
    <row r="36181" spans="1:26" ht="12.75" customHeight="1" x14ac:dyDescent="0.2">
      <c r="A36181" s="258"/>
      <c r="Z36181" s="258"/>
    </row>
    <row r="36182" spans="1:26" ht="12.75" customHeight="1" x14ac:dyDescent="0.2">
      <c r="A36182" s="258"/>
      <c r="Z36182" s="258"/>
    </row>
    <row r="36183" spans="1:26" ht="12.75" customHeight="1" x14ac:dyDescent="0.2">
      <c r="A36183" s="258"/>
      <c r="Z36183" s="258"/>
    </row>
    <row r="36184" spans="1:26" ht="12.75" customHeight="1" x14ac:dyDescent="0.2">
      <c r="A36184" s="258"/>
      <c r="Z36184" s="258"/>
    </row>
    <row r="36185" spans="1:26" ht="12.75" customHeight="1" x14ac:dyDescent="0.2">
      <c r="A36185" s="258"/>
      <c r="Z36185" s="258"/>
    </row>
    <row r="36186" spans="1:26" ht="12.75" customHeight="1" x14ac:dyDescent="0.2">
      <c r="A36186" s="258"/>
      <c r="Z36186" s="258"/>
    </row>
    <row r="36187" spans="1:26" ht="12.75" customHeight="1" x14ac:dyDescent="0.2">
      <c r="A36187" s="258"/>
      <c r="Z36187" s="258"/>
    </row>
    <row r="36188" spans="1:26" ht="12.75" customHeight="1" x14ac:dyDescent="0.2">
      <c r="A36188" s="258"/>
      <c r="Z36188" s="258"/>
    </row>
    <row r="36189" spans="1:26" ht="12.75" customHeight="1" x14ac:dyDescent="0.2">
      <c r="A36189" s="258"/>
      <c r="Z36189" s="258"/>
    </row>
    <row r="36190" spans="1:26" ht="12.75" customHeight="1" x14ac:dyDescent="0.2">
      <c r="A36190" s="258"/>
      <c r="Z36190" s="258"/>
    </row>
    <row r="36191" spans="1:26" ht="12.75" customHeight="1" x14ac:dyDescent="0.2">
      <c r="A36191" s="258"/>
      <c r="Z36191" s="258"/>
    </row>
    <row r="36192" spans="1:26" ht="12.75" customHeight="1" x14ac:dyDescent="0.2">
      <c r="A36192" s="258"/>
      <c r="Z36192" s="258"/>
    </row>
    <row r="36193" spans="1:26" ht="12.75" customHeight="1" x14ac:dyDescent="0.2">
      <c r="A36193" s="258"/>
      <c r="Z36193" s="258"/>
    </row>
    <row r="36194" spans="1:26" ht="12.75" customHeight="1" x14ac:dyDescent="0.2">
      <c r="A36194" s="258"/>
      <c r="Z36194" s="258"/>
    </row>
    <row r="36195" spans="1:26" ht="12.75" customHeight="1" x14ac:dyDescent="0.2">
      <c r="A36195" s="258"/>
      <c r="Z36195" s="258"/>
    </row>
    <row r="36196" spans="1:26" ht="12.75" customHeight="1" x14ac:dyDescent="0.2">
      <c r="A36196" s="258"/>
      <c r="Z36196" s="258"/>
    </row>
    <row r="36197" spans="1:26" ht="12.75" customHeight="1" x14ac:dyDescent="0.2">
      <c r="A36197" s="258"/>
      <c r="Z36197" s="258"/>
    </row>
    <row r="36198" spans="1:26" ht="12.75" customHeight="1" x14ac:dyDescent="0.2">
      <c r="A36198" s="258"/>
      <c r="Z36198" s="258"/>
    </row>
    <row r="36199" spans="1:26" ht="12.75" customHeight="1" x14ac:dyDescent="0.2">
      <c r="A36199" s="258"/>
      <c r="Z36199" s="258"/>
    </row>
    <row r="36200" spans="1:26" ht="12.75" customHeight="1" x14ac:dyDescent="0.2">
      <c r="A36200" s="258"/>
      <c r="Z36200" s="258"/>
    </row>
    <row r="36201" spans="1:26" ht="12.75" customHeight="1" x14ac:dyDescent="0.2">
      <c r="A36201" s="258"/>
      <c r="Z36201" s="258"/>
    </row>
    <row r="36202" spans="1:26" ht="12.75" customHeight="1" x14ac:dyDescent="0.2">
      <c r="A36202" s="258"/>
      <c r="Z36202" s="258"/>
    </row>
    <row r="36203" spans="1:26" ht="12.75" customHeight="1" x14ac:dyDescent="0.2">
      <c r="A36203" s="258"/>
      <c r="Z36203" s="258"/>
    </row>
    <row r="36204" spans="1:26" ht="12.75" customHeight="1" x14ac:dyDescent="0.2">
      <c r="A36204" s="258"/>
      <c r="Z36204" s="258"/>
    </row>
    <row r="36205" spans="1:26" ht="12.75" customHeight="1" x14ac:dyDescent="0.2">
      <c r="A36205" s="258"/>
      <c r="Z36205" s="258"/>
    </row>
    <row r="36206" spans="1:26" ht="12.75" customHeight="1" x14ac:dyDescent="0.2">
      <c r="A36206" s="258"/>
      <c r="Z36206" s="258"/>
    </row>
    <row r="36207" spans="1:26" ht="12.75" customHeight="1" x14ac:dyDescent="0.2">
      <c r="A36207" s="258"/>
      <c r="Z36207" s="258"/>
    </row>
    <row r="36208" spans="1:26" ht="12.75" customHeight="1" x14ac:dyDescent="0.2">
      <c r="A36208" s="258"/>
      <c r="Z36208" s="258"/>
    </row>
    <row r="36209" spans="1:26" ht="12.75" customHeight="1" x14ac:dyDescent="0.2">
      <c r="A36209" s="258"/>
      <c r="Z36209" s="258"/>
    </row>
    <row r="36210" spans="1:26" ht="12.75" customHeight="1" x14ac:dyDescent="0.2">
      <c r="A36210" s="258"/>
      <c r="Z36210" s="258"/>
    </row>
    <row r="36211" spans="1:26" ht="12.75" customHeight="1" x14ac:dyDescent="0.2">
      <c r="A36211" s="258"/>
      <c r="Z36211" s="258"/>
    </row>
    <row r="36212" spans="1:26" ht="12.75" customHeight="1" x14ac:dyDescent="0.2">
      <c r="A36212" s="258"/>
      <c r="Z36212" s="258"/>
    </row>
    <row r="36213" spans="1:26" ht="12.75" customHeight="1" x14ac:dyDescent="0.2">
      <c r="A36213" s="258"/>
      <c r="Z36213" s="258"/>
    </row>
    <row r="36214" spans="1:26" ht="12.75" customHeight="1" x14ac:dyDescent="0.2">
      <c r="A36214" s="258"/>
      <c r="Z36214" s="258"/>
    </row>
    <row r="36215" spans="1:26" ht="12.75" customHeight="1" x14ac:dyDescent="0.2">
      <c r="A36215" s="258"/>
      <c r="Z36215" s="258"/>
    </row>
    <row r="36216" spans="1:26" ht="12.75" customHeight="1" x14ac:dyDescent="0.2">
      <c r="A36216" s="258"/>
      <c r="Z36216" s="258"/>
    </row>
    <row r="36217" spans="1:26" ht="12.75" customHeight="1" x14ac:dyDescent="0.2">
      <c r="A36217" s="258"/>
      <c r="Z36217" s="258"/>
    </row>
    <row r="36218" spans="1:26" ht="12.75" customHeight="1" x14ac:dyDescent="0.2">
      <c r="A36218" s="258"/>
      <c r="Z36218" s="258"/>
    </row>
    <row r="36219" spans="1:26" ht="12.75" customHeight="1" x14ac:dyDescent="0.2">
      <c r="A36219" s="258"/>
      <c r="Z36219" s="258"/>
    </row>
    <row r="36220" spans="1:26" ht="12.75" customHeight="1" x14ac:dyDescent="0.2">
      <c r="A36220" s="258"/>
      <c r="Z36220" s="258"/>
    </row>
    <row r="36221" spans="1:26" ht="12.75" customHeight="1" x14ac:dyDescent="0.2">
      <c r="A36221" s="258"/>
      <c r="Z36221" s="258"/>
    </row>
    <row r="36222" spans="1:26" ht="12.75" customHeight="1" x14ac:dyDescent="0.2">
      <c r="A36222" s="258"/>
      <c r="Z36222" s="258"/>
    </row>
    <row r="36223" spans="1:26" ht="12.75" customHeight="1" x14ac:dyDescent="0.2">
      <c r="A36223" s="258"/>
      <c r="Z36223" s="258"/>
    </row>
    <row r="36224" spans="1:26" ht="12.75" customHeight="1" x14ac:dyDescent="0.2">
      <c r="A36224" s="258"/>
      <c r="Z36224" s="258"/>
    </row>
    <row r="36225" spans="1:26" ht="12.75" customHeight="1" x14ac:dyDescent="0.2">
      <c r="A36225" s="258"/>
      <c r="Z36225" s="258"/>
    </row>
    <row r="36226" spans="1:26" ht="12.75" customHeight="1" x14ac:dyDescent="0.2">
      <c r="A36226" s="258"/>
      <c r="Z36226" s="258"/>
    </row>
    <row r="36227" spans="1:26" ht="12.75" customHeight="1" x14ac:dyDescent="0.2">
      <c r="A36227" s="258"/>
      <c r="Z36227" s="258"/>
    </row>
    <row r="36228" spans="1:26" ht="12.75" customHeight="1" x14ac:dyDescent="0.2">
      <c r="A36228" s="258"/>
      <c r="Z36228" s="258"/>
    </row>
    <row r="36229" spans="1:26" ht="12.75" customHeight="1" x14ac:dyDescent="0.2">
      <c r="A36229" s="258"/>
      <c r="Z36229" s="258"/>
    </row>
    <row r="36230" spans="1:26" ht="12.75" customHeight="1" x14ac:dyDescent="0.2">
      <c r="A36230" s="258"/>
      <c r="Z36230" s="258"/>
    </row>
    <row r="36231" spans="1:26" ht="12.75" customHeight="1" x14ac:dyDescent="0.2">
      <c r="A36231" s="258"/>
      <c r="Z36231" s="258"/>
    </row>
    <row r="36232" spans="1:26" ht="12.75" customHeight="1" x14ac:dyDescent="0.2">
      <c r="A36232" s="258"/>
      <c r="Z36232" s="258"/>
    </row>
    <row r="36233" spans="1:26" ht="12.75" customHeight="1" x14ac:dyDescent="0.2">
      <c r="A36233" s="258"/>
      <c r="Z36233" s="258"/>
    </row>
    <row r="36234" spans="1:26" ht="12.75" customHeight="1" x14ac:dyDescent="0.2">
      <c r="A36234" s="258"/>
      <c r="Z36234" s="258"/>
    </row>
    <row r="36235" spans="1:26" ht="12.75" customHeight="1" x14ac:dyDescent="0.2">
      <c r="A36235" s="258"/>
      <c r="Z36235" s="258"/>
    </row>
    <row r="36236" spans="1:26" ht="12.75" customHeight="1" x14ac:dyDescent="0.2">
      <c r="A36236" s="258"/>
      <c r="Z36236" s="258"/>
    </row>
    <row r="36237" spans="1:26" ht="12.75" customHeight="1" x14ac:dyDescent="0.2">
      <c r="A36237" s="258"/>
      <c r="Z36237" s="258"/>
    </row>
    <row r="36238" spans="1:26" ht="12.75" customHeight="1" x14ac:dyDescent="0.2">
      <c r="A36238" s="258"/>
      <c r="Z36238" s="258"/>
    </row>
    <row r="36239" spans="1:26" ht="12.75" customHeight="1" x14ac:dyDescent="0.2">
      <c r="A36239" s="258"/>
      <c r="Z36239" s="258"/>
    </row>
    <row r="36240" spans="1:26" ht="12.75" customHeight="1" x14ac:dyDescent="0.2">
      <c r="A36240" s="258"/>
      <c r="Z36240" s="258"/>
    </row>
    <row r="36241" spans="1:26" ht="12.75" customHeight="1" x14ac:dyDescent="0.2">
      <c r="A36241" s="258"/>
      <c r="Z36241" s="258"/>
    </row>
    <row r="36242" spans="1:26" ht="12.75" customHeight="1" x14ac:dyDescent="0.2">
      <c r="A36242" s="258"/>
      <c r="Z36242" s="258"/>
    </row>
    <row r="36243" spans="1:26" ht="12.75" customHeight="1" x14ac:dyDescent="0.2">
      <c r="A36243" s="258"/>
      <c r="Z36243" s="258"/>
    </row>
    <row r="36244" spans="1:26" ht="12.75" customHeight="1" x14ac:dyDescent="0.2">
      <c r="A36244" s="258"/>
      <c r="Z36244" s="258"/>
    </row>
    <row r="36245" spans="1:26" ht="12.75" customHeight="1" x14ac:dyDescent="0.2">
      <c r="A36245" s="258"/>
      <c r="Z36245" s="258"/>
    </row>
    <row r="36246" spans="1:26" ht="12.75" customHeight="1" x14ac:dyDescent="0.2">
      <c r="A36246" s="258"/>
      <c r="Z36246" s="258"/>
    </row>
    <row r="36247" spans="1:26" ht="12.75" customHeight="1" x14ac:dyDescent="0.2">
      <c r="A36247" s="258"/>
      <c r="Z36247" s="258"/>
    </row>
    <row r="36248" spans="1:26" ht="12.75" customHeight="1" x14ac:dyDescent="0.2">
      <c r="A36248" s="258"/>
      <c r="Z36248" s="258"/>
    </row>
    <row r="36249" spans="1:26" ht="12.75" customHeight="1" x14ac:dyDescent="0.2">
      <c r="A36249" s="258"/>
      <c r="Z36249" s="258"/>
    </row>
    <row r="36250" spans="1:26" ht="12.75" customHeight="1" x14ac:dyDescent="0.2">
      <c r="A36250" s="258"/>
      <c r="Z36250" s="258"/>
    </row>
    <row r="36251" spans="1:26" ht="12.75" customHeight="1" x14ac:dyDescent="0.2">
      <c r="A36251" s="258"/>
      <c r="Z36251" s="258"/>
    </row>
    <row r="36252" spans="1:26" ht="12.75" customHeight="1" x14ac:dyDescent="0.2">
      <c r="A36252" s="258"/>
      <c r="Z36252" s="258"/>
    </row>
    <row r="36253" spans="1:26" ht="12.75" customHeight="1" x14ac:dyDescent="0.2">
      <c r="A36253" s="258"/>
      <c r="Z36253" s="258"/>
    </row>
    <row r="36254" spans="1:26" ht="12.75" customHeight="1" x14ac:dyDescent="0.2">
      <c r="A36254" s="258"/>
      <c r="Z36254" s="258"/>
    </row>
    <row r="36255" spans="1:26" ht="12.75" customHeight="1" x14ac:dyDescent="0.2">
      <c r="A36255" s="258"/>
      <c r="Z36255" s="258"/>
    </row>
    <row r="36256" spans="1:26" ht="12.75" customHeight="1" x14ac:dyDescent="0.2">
      <c r="A36256" s="258"/>
      <c r="Z36256" s="258"/>
    </row>
    <row r="36257" spans="1:26" ht="12.75" customHeight="1" x14ac:dyDescent="0.2">
      <c r="A36257" s="258"/>
      <c r="Z36257" s="258"/>
    </row>
    <row r="36258" spans="1:26" ht="12.75" customHeight="1" x14ac:dyDescent="0.2">
      <c r="A36258" s="258"/>
      <c r="Z36258" s="258"/>
    </row>
    <row r="36259" spans="1:26" ht="12.75" customHeight="1" x14ac:dyDescent="0.2">
      <c r="A36259" s="258"/>
      <c r="Z36259" s="258"/>
    </row>
    <row r="36260" spans="1:26" ht="12.75" customHeight="1" x14ac:dyDescent="0.2">
      <c r="A36260" s="258"/>
      <c r="Z36260" s="258"/>
    </row>
    <row r="36261" spans="1:26" ht="12.75" customHeight="1" x14ac:dyDescent="0.2">
      <c r="A36261" s="258"/>
      <c r="Z36261" s="258"/>
    </row>
    <row r="36262" spans="1:26" ht="12.75" customHeight="1" x14ac:dyDescent="0.2">
      <c r="A36262" s="258"/>
      <c r="Z36262" s="258"/>
    </row>
    <row r="36263" spans="1:26" ht="12.75" customHeight="1" x14ac:dyDescent="0.2">
      <c r="A36263" s="258"/>
      <c r="Z36263" s="258"/>
    </row>
    <row r="36264" spans="1:26" ht="12.75" customHeight="1" x14ac:dyDescent="0.2">
      <c r="A36264" s="258"/>
      <c r="Z36264" s="258"/>
    </row>
    <row r="36265" spans="1:26" ht="12.75" customHeight="1" x14ac:dyDescent="0.2">
      <c r="A36265" s="258"/>
      <c r="Z36265" s="258"/>
    </row>
    <row r="36266" spans="1:26" ht="12.75" customHeight="1" x14ac:dyDescent="0.2">
      <c r="A36266" s="258"/>
      <c r="Z36266" s="258"/>
    </row>
    <row r="36267" spans="1:26" ht="12.75" customHeight="1" x14ac:dyDescent="0.2">
      <c r="A36267" s="258"/>
      <c r="Z36267" s="258"/>
    </row>
    <row r="36268" spans="1:26" ht="12.75" customHeight="1" x14ac:dyDescent="0.2">
      <c r="A36268" s="258"/>
      <c r="Z36268" s="258"/>
    </row>
    <row r="36269" spans="1:26" ht="12.75" customHeight="1" x14ac:dyDescent="0.2">
      <c r="A36269" s="258"/>
      <c r="Z36269" s="258"/>
    </row>
    <row r="36270" spans="1:26" ht="12.75" customHeight="1" x14ac:dyDescent="0.2">
      <c r="A36270" s="258"/>
      <c r="Z36270" s="258"/>
    </row>
    <row r="36271" spans="1:26" ht="12.75" customHeight="1" x14ac:dyDescent="0.2">
      <c r="A36271" s="258"/>
      <c r="Z36271" s="258"/>
    </row>
    <row r="36272" spans="1:26" ht="12.75" customHeight="1" x14ac:dyDescent="0.2">
      <c r="A36272" s="258"/>
      <c r="Z36272" s="258"/>
    </row>
    <row r="36273" spans="1:26" ht="12.75" customHeight="1" x14ac:dyDescent="0.2">
      <c r="A36273" s="258"/>
      <c r="Z36273" s="258"/>
    </row>
    <row r="36274" spans="1:26" ht="12.75" customHeight="1" x14ac:dyDescent="0.2">
      <c r="A36274" s="258"/>
      <c r="Z36274" s="258"/>
    </row>
    <row r="36275" spans="1:26" ht="12.75" customHeight="1" x14ac:dyDescent="0.2">
      <c r="A36275" s="258"/>
      <c r="Z36275" s="258"/>
    </row>
    <row r="36276" spans="1:26" ht="12.75" customHeight="1" x14ac:dyDescent="0.2">
      <c r="A36276" s="258"/>
      <c r="Z36276" s="258"/>
    </row>
    <row r="36277" spans="1:26" ht="12.75" customHeight="1" x14ac:dyDescent="0.2">
      <c r="A36277" s="258"/>
      <c r="Z36277" s="258"/>
    </row>
    <row r="36278" spans="1:26" ht="12.75" customHeight="1" x14ac:dyDescent="0.2">
      <c r="A36278" s="258"/>
      <c r="Z36278" s="258"/>
    </row>
    <row r="36279" spans="1:26" ht="12.75" customHeight="1" x14ac:dyDescent="0.2">
      <c r="A36279" s="258"/>
      <c r="Z36279" s="258"/>
    </row>
    <row r="36280" spans="1:26" ht="12.75" customHeight="1" x14ac:dyDescent="0.2">
      <c r="A36280" s="258"/>
      <c r="Z36280" s="258"/>
    </row>
    <row r="36281" spans="1:26" ht="12.75" customHeight="1" x14ac:dyDescent="0.2">
      <c r="A36281" s="258"/>
      <c r="Z36281" s="258"/>
    </row>
    <row r="36282" spans="1:26" ht="12.75" customHeight="1" x14ac:dyDescent="0.2">
      <c r="A36282" s="258"/>
      <c r="Z36282" s="258"/>
    </row>
    <row r="36283" spans="1:26" ht="12.75" customHeight="1" x14ac:dyDescent="0.2">
      <c r="A36283" s="258"/>
      <c r="Z36283" s="258"/>
    </row>
    <row r="36284" spans="1:26" ht="12.75" customHeight="1" x14ac:dyDescent="0.2">
      <c r="A36284" s="258"/>
      <c r="Z36284" s="258"/>
    </row>
    <row r="36285" spans="1:26" ht="12.75" customHeight="1" x14ac:dyDescent="0.2">
      <c r="A36285" s="258"/>
      <c r="Z36285" s="258"/>
    </row>
    <row r="36286" spans="1:26" ht="12.75" customHeight="1" x14ac:dyDescent="0.2">
      <c r="A36286" s="258"/>
      <c r="Z36286" s="258"/>
    </row>
    <row r="36287" spans="1:26" ht="12.75" customHeight="1" x14ac:dyDescent="0.2">
      <c r="A36287" s="258"/>
      <c r="Z36287" s="258"/>
    </row>
    <row r="36288" spans="1:26" ht="12.75" customHeight="1" x14ac:dyDescent="0.2">
      <c r="A36288" s="258"/>
      <c r="Z36288" s="258"/>
    </row>
    <row r="36289" spans="1:26" ht="12.75" customHeight="1" x14ac:dyDescent="0.2">
      <c r="A36289" s="258"/>
      <c r="Z36289" s="258"/>
    </row>
    <row r="36290" spans="1:26" ht="12.75" customHeight="1" x14ac:dyDescent="0.2">
      <c r="A36290" s="258"/>
      <c r="Z36290" s="258"/>
    </row>
    <row r="36291" spans="1:26" ht="12.75" customHeight="1" x14ac:dyDescent="0.2">
      <c r="A36291" s="258"/>
      <c r="Z36291" s="258"/>
    </row>
    <row r="36292" spans="1:26" ht="12.75" customHeight="1" x14ac:dyDescent="0.2">
      <c r="A36292" s="258"/>
      <c r="Z36292" s="258"/>
    </row>
    <row r="36293" spans="1:26" ht="12.75" customHeight="1" x14ac:dyDescent="0.2">
      <c r="A36293" s="258"/>
      <c r="Z36293" s="258"/>
    </row>
    <row r="36294" spans="1:26" ht="12.75" customHeight="1" x14ac:dyDescent="0.2">
      <c r="A36294" s="258"/>
      <c r="Z36294" s="258"/>
    </row>
    <row r="36295" spans="1:26" ht="12.75" customHeight="1" x14ac:dyDescent="0.2">
      <c r="A36295" s="258"/>
      <c r="Z36295" s="258"/>
    </row>
    <row r="36296" spans="1:26" ht="12.75" customHeight="1" x14ac:dyDescent="0.2">
      <c r="A36296" s="258"/>
      <c r="Z36296" s="258"/>
    </row>
    <row r="36297" spans="1:26" ht="12.75" customHeight="1" x14ac:dyDescent="0.2">
      <c r="A36297" s="258"/>
      <c r="Z36297" s="258"/>
    </row>
    <row r="36298" spans="1:26" ht="12.75" customHeight="1" x14ac:dyDescent="0.2">
      <c r="A36298" s="258"/>
      <c r="Z36298" s="258"/>
    </row>
    <row r="36299" spans="1:26" ht="12.75" customHeight="1" x14ac:dyDescent="0.2">
      <c r="A36299" s="258"/>
      <c r="Z36299" s="258"/>
    </row>
    <row r="36300" spans="1:26" ht="12.75" customHeight="1" x14ac:dyDescent="0.2">
      <c r="A36300" s="258"/>
      <c r="Z36300" s="258"/>
    </row>
    <row r="36301" spans="1:26" ht="12.75" customHeight="1" x14ac:dyDescent="0.2">
      <c r="A36301" s="258"/>
      <c r="Z36301" s="258"/>
    </row>
    <row r="36302" spans="1:26" ht="12.75" customHeight="1" x14ac:dyDescent="0.2">
      <c r="A36302" s="258"/>
      <c r="Z36302" s="258"/>
    </row>
    <row r="36303" spans="1:26" ht="12.75" customHeight="1" x14ac:dyDescent="0.2">
      <c r="A36303" s="258"/>
      <c r="Z36303" s="258"/>
    </row>
    <row r="36304" spans="1:26" ht="12.75" customHeight="1" x14ac:dyDescent="0.2">
      <c r="A36304" s="258"/>
      <c r="Z36304" s="258"/>
    </row>
    <row r="36305" spans="1:26" ht="12.75" customHeight="1" x14ac:dyDescent="0.2">
      <c r="A36305" s="258"/>
      <c r="Z36305" s="258"/>
    </row>
    <row r="36306" spans="1:26" ht="12.75" customHeight="1" x14ac:dyDescent="0.2">
      <c r="A36306" s="258"/>
      <c r="Z36306" s="258"/>
    </row>
    <row r="36307" spans="1:26" ht="12.75" customHeight="1" x14ac:dyDescent="0.2">
      <c r="A36307" s="258"/>
      <c r="Z36307" s="258"/>
    </row>
    <row r="36308" spans="1:26" ht="12.75" customHeight="1" x14ac:dyDescent="0.2">
      <c r="A36308" s="258"/>
      <c r="Z36308" s="258"/>
    </row>
    <row r="36309" spans="1:26" ht="12.75" customHeight="1" x14ac:dyDescent="0.2">
      <c r="A36309" s="258"/>
      <c r="Z36309" s="258"/>
    </row>
    <row r="36310" spans="1:26" ht="12.75" customHeight="1" x14ac:dyDescent="0.2">
      <c r="A36310" s="258"/>
      <c r="Z36310" s="258"/>
    </row>
    <row r="36311" spans="1:26" ht="12.75" customHeight="1" x14ac:dyDescent="0.2">
      <c r="A36311" s="258"/>
      <c r="Z36311" s="258"/>
    </row>
    <row r="36312" spans="1:26" ht="12.75" customHeight="1" x14ac:dyDescent="0.2">
      <c r="A36312" s="258"/>
      <c r="Z36312" s="258"/>
    </row>
    <row r="36313" spans="1:26" ht="12.75" customHeight="1" x14ac:dyDescent="0.2">
      <c r="A36313" s="258"/>
      <c r="Z36313" s="258"/>
    </row>
    <row r="36314" spans="1:26" ht="12.75" customHeight="1" x14ac:dyDescent="0.2">
      <c r="A36314" s="258"/>
      <c r="Z36314" s="258"/>
    </row>
    <row r="36315" spans="1:26" ht="12.75" customHeight="1" x14ac:dyDescent="0.2">
      <c r="A36315" s="258"/>
      <c r="Z36315" s="258"/>
    </row>
    <row r="36316" spans="1:26" ht="12.75" customHeight="1" x14ac:dyDescent="0.2">
      <c r="A36316" s="258"/>
      <c r="Z36316" s="258"/>
    </row>
    <row r="36317" spans="1:26" ht="12.75" customHeight="1" x14ac:dyDescent="0.2">
      <c r="A36317" s="258"/>
      <c r="Z36317" s="258"/>
    </row>
    <row r="36318" spans="1:26" ht="12.75" customHeight="1" x14ac:dyDescent="0.2">
      <c r="A36318" s="258"/>
      <c r="Z36318" s="258"/>
    </row>
    <row r="36319" spans="1:26" ht="12.75" customHeight="1" x14ac:dyDescent="0.2">
      <c r="A36319" s="258"/>
      <c r="Z36319" s="258"/>
    </row>
    <row r="36320" spans="1:26" ht="12.75" customHeight="1" x14ac:dyDescent="0.2">
      <c r="A36320" s="258"/>
      <c r="Z36320" s="258"/>
    </row>
    <row r="36321" spans="1:26" ht="12.75" customHeight="1" x14ac:dyDescent="0.2">
      <c r="A36321" s="258"/>
      <c r="Z36321" s="258"/>
    </row>
    <row r="36322" spans="1:26" ht="12.75" customHeight="1" x14ac:dyDescent="0.2">
      <c r="A36322" s="258"/>
      <c r="Z36322" s="258"/>
    </row>
    <row r="36323" spans="1:26" ht="12.75" customHeight="1" x14ac:dyDescent="0.2">
      <c r="A36323" s="258"/>
      <c r="Z36323" s="258"/>
    </row>
    <row r="36324" spans="1:26" ht="12.75" customHeight="1" x14ac:dyDescent="0.2">
      <c r="A36324" s="258"/>
      <c r="Z36324" s="258"/>
    </row>
    <row r="36325" spans="1:26" ht="12.75" customHeight="1" x14ac:dyDescent="0.2">
      <c r="A36325" s="258"/>
      <c r="Z36325" s="258"/>
    </row>
    <row r="36326" spans="1:26" ht="12.75" customHeight="1" x14ac:dyDescent="0.2">
      <c r="A36326" s="258"/>
      <c r="Z36326" s="258"/>
    </row>
    <row r="36327" spans="1:26" ht="12.75" customHeight="1" x14ac:dyDescent="0.2">
      <c r="A36327" s="258"/>
      <c r="Z36327" s="258"/>
    </row>
    <row r="36328" spans="1:26" ht="12.75" customHeight="1" x14ac:dyDescent="0.2">
      <c r="A36328" s="258"/>
      <c r="Z36328" s="258"/>
    </row>
    <row r="36329" spans="1:26" ht="12.75" customHeight="1" x14ac:dyDescent="0.2">
      <c r="A36329" s="258"/>
      <c r="Z36329" s="258"/>
    </row>
    <row r="36330" spans="1:26" ht="12.75" customHeight="1" x14ac:dyDescent="0.2">
      <c r="A36330" s="258"/>
      <c r="Z36330" s="258"/>
    </row>
    <row r="36331" spans="1:26" ht="12.75" customHeight="1" x14ac:dyDescent="0.2">
      <c r="A36331" s="258"/>
      <c r="Z36331" s="258"/>
    </row>
    <row r="36332" spans="1:26" ht="12.75" customHeight="1" x14ac:dyDescent="0.2">
      <c r="A36332" s="258"/>
      <c r="Z36332" s="258"/>
    </row>
    <row r="36333" spans="1:26" ht="12.75" customHeight="1" x14ac:dyDescent="0.2">
      <c r="A36333" s="258"/>
      <c r="Z36333" s="258"/>
    </row>
    <row r="36334" spans="1:26" ht="12.75" customHeight="1" x14ac:dyDescent="0.2">
      <c r="A36334" s="258"/>
      <c r="Z36334" s="258"/>
    </row>
    <row r="36335" spans="1:26" ht="12.75" customHeight="1" x14ac:dyDescent="0.2">
      <c r="A36335" s="258"/>
      <c r="Z36335" s="258"/>
    </row>
    <row r="36336" spans="1:26" ht="12.75" customHeight="1" x14ac:dyDescent="0.2">
      <c r="A36336" s="258"/>
      <c r="Z36336" s="258"/>
    </row>
    <row r="36337" spans="1:26" ht="12.75" customHeight="1" x14ac:dyDescent="0.2">
      <c r="A36337" s="258"/>
      <c r="Z36337" s="258"/>
    </row>
    <row r="36338" spans="1:26" ht="12.75" customHeight="1" x14ac:dyDescent="0.2">
      <c r="A36338" s="258"/>
      <c r="Z36338" s="258"/>
    </row>
    <row r="36339" spans="1:26" ht="12.75" customHeight="1" x14ac:dyDescent="0.2">
      <c r="A36339" s="258"/>
      <c r="Z36339" s="258"/>
    </row>
    <row r="36340" spans="1:26" ht="12.75" customHeight="1" x14ac:dyDescent="0.2">
      <c r="A36340" s="258"/>
      <c r="Z36340" s="258"/>
    </row>
    <row r="36341" spans="1:26" ht="12.75" customHeight="1" x14ac:dyDescent="0.2">
      <c r="A36341" s="258"/>
      <c r="Z36341" s="258"/>
    </row>
    <row r="36342" spans="1:26" ht="12.75" customHeight="1" x14ac:dyDescent="0.2">
      <c r="A36342" s="258"/>
      <c r="Z36342" s="258"/>
    </row>
    <row r="36343" spans="1:26" ht="12.75" customHeight="1" x14ac:dyDescent="0.2">
      <c r="A36343" s="258"/>
      <c r="Z36343" s="258"/>
    </row>
    <row r="36344" spans="1:26" ht="12.75" customHeight="1" x14ac:dyDescent="0.2">
      <c r="A36344" s="258"/>
      <c r="Z36344" s="258"/>
    </row>
    <row r="36345" spans="1:26" ht="12.75" customHeight="1" x14ac:dyDescent="0.2">
      <c r="A36345" s="258"/>
      <c r="Z36345" s="258"/>
    </row>
    <row r="36346" spans="1:26" ht="12.75" customHeight="1" x14ac:dyDescent="0.2">
      <c r="A36346" s="258"/>
      <c r="Z36346" s="258"/>
    </row>
    <row r="36347" spans="1:26" ht="12.75" customHeight="1" x14ac:dyDescent="0.2">
      <c r="A36347" s="258"/>
      <c r="Z36347" s="258"/>
    </row>
    <row r="36348" spans="1:26" ht="12.75" customHeight="1" x14ac:dyDescent="0.2">
      <c r="A36348" s="258"/>
      <c r="Z36348" s="258"/>
    </row>
    <row r="36349" spans="1:26" ht="12.75" customHeight="1" x14ac:dyDescent="0.2">
      <c r="A36349" s="258"/>
      <c r="Z36349" s="258"/>
    </row>
    <row r="36350" spans="1:26" ht="12.75" customHeight="1" x14ac:dyDescent="0.2">
      <c r="A36350" s="258"/>
      <c r="Z36350" s="258"/>
    </row>
    <row r="36351" spans="1:26" ht="12.75" customHeight="1" x14ac:dyDescent="0.2">
      <c r="A36351" s="258"/>
      <c r="Z36351" s="258"/>
    </row>
    <row r="36352" spans="1:26" ht="12.75" customHeight="1" x14ac:dyDescent="0.2">
      <c r="A36352" s="258"/>
      <c r="Z36352" s="258"/>
    </row>
    <row r="36353" spans="1:26" ht="12.75" customHeight="1" x14ac:dyDescent="0.2">
      <c r="A36353" s="258"/>
      <c r="Z36353" s="258"/>
    </row>
    <row r="36354" spans="1:26" ht="12.75" customHeight="1" x14ac:dyDescent="0.2">
      <c r="A36354" s="258"/>
      <c r="Z36354" s="258"/>
    </row>
    <row r="36355" spans="1:26" ht="12.75" customHeight="1" x14ac:dyDescent="0.2">
      <c r="A36355" s="258"/>
      <c r="Z36355" s="258"/>
    </row>
    <row r="36356" spans="1:26" ht="12.75" customHeight="1" x14ac:dyDescent="0.2">
      <c r="A36356" s="258"/>
      <c r="Z36356" s="258"/>
    </row>
    <row r="36357" spans="1:26" ht="12.75" customHeight="1" x14ac:dyDescent="0.2">
      <c r="A36357" s="258"/>
      <c r="Z36357" s="258"/>
    </row>
    <row r="36358" spans="1:26" ht="12.75" customHeight="1" x14ac:dyDescent="0.2">
      <c r="A36358" s="258"/>
      <c r="Z36358" s="258"/>
    </row>
    <row r="36359" spans="1:26" ht="12.75" customHeight="1" x14ac:dyDescent="0.2">
      <c r="A36359" s="258"/>
      <c r="Z36359" s="258"/>
    </row>
    <row r="36360" spans="1:26" ht="12.75" customHeight="1" x14ac:dyDescent="0.2">
      <c r="A36360" s="258"/>
      <c r="Z36360" s="258"/>
    </row>
    <row r="36361" spans="1:26" ht="12.75" customHeight="1" x14ac:dyDescent="0.2">
      <c r="A36361" s="258"/>
      <c r="Z36361" s="258"/>
    </row>
    <row r="36362" spans="1:26" ht="12.75" customHeight="1" x14ac:dyDescent="0.2">
      <c r="A36362" s="258"/>
      <c r="Z36362" s="258"/>
    </row>
    <row r="36363" spans="1:26" ht="12.75" customHeight="1" x14ac:dyDescent="0.2">
      <c r="A36363" s="258"/>
      <c r="Z36363" s="258"/>
    </row>
    <row r="36364" spans="1:26" ht="12.75" customHeight="1" x14ac:dyDescent="0.2">
      <c r="A36364" s="258"/>
      <c r="Z36364" s="258"/>
    </row>
    <row r="36365" spans="1:26" ht="12.75" customHeight="1" x14ac:dyDescent="0.2">
      <c r="A36365" s="258"/>
      <c r="Z36365" s="258"/>
    </row>
    <row r="36366" spans="1:26" ht="12.75" customHeight="1" x14ac:dyDescent="0.2">
      <c r="A36366" s="258"/>
      <c r="Z36366" s="258"/>
    </row>
    <row r="36367" spans="1:26" ht="12.75" customHeight="1" x14ac:dyDescent="0.2">
      <c r="A36367" s="258"/>
      <c r="Z36367" s="258"/>
    </row>
    <row r="36368" spans="1:26" ht="12.75" customHeight="1" x14ac:dyDescent="0.2">
      <c r="A36368" s="258"/>
      <c r="Z36368" s="258"/>
    </row>
    <row r="36369" spans="1:26" ht="12.75" customHeight="1" x14ac:dyDescent="0.2">
      <c r="A36369" s="258"/>
      <c r="Z36369" s="258"/>
    </row>
    <row r="36370" spans="1:26" ht="12.75" customHeight="1" x14ac:dyDescent="0.2">
      <c r="A36370" s="258"/>
      <c r="Z36370" s="258"/>
    </row>
    <row r="36371" spans="1:26" ht="12.75" customHeight="1" x14ac:dyDescent="0.2">
      <c r="A36371" s="258"/>
      <c r="Z36371" s="258"/>
    </row>
    <row r="36372" spans="1:26" ht="12.75" customHeight="1" x14ac:dyDescent="0.2">
      <c r="A36372" s="258"/>
      <c r="Z36372" s="258"/>
    </row>
    <row r="36373" spans="1:26" ht="12.75" customHeight="1" x14ac:dyDescent="0.2">
      <c r="A36373" s="258"/>
      <c r="Z36373" s="258"/>
    </row>
    <row r="36374" spans="1:26" ht="12.75" customHeight="1" x14ac:dyDescent="0.2">
      <c r="A36374" s="258"/>
      <c r="Z36374" s="258"/>
    </row>
    <row r="36375" spans="1:26" ht="12.75" customHeight="1" x14ac:dyDescent="0.2">
      <c r="A36375" s="258"/>
      <c r="Z36375" s="258"/>
    </row>
    <row r="36376" spans="1:26" ht="12.75" customHeight="1" x14ac:dyDescent="0.2">
      <c r="A36376" s="258"/>
      <c r="Z36376" s="258"/>
    </row>
    <row r="36377" spans="1:26" ht="12.75" customHeight="1" x14ac:dyDescent="0.2">
      <c r="A36377" s="258"/>
      <c r="Z36377" s="258"/>
    </row>
    <row r="36378" spans="1:26" ht="12.75" customHeight="1" x14ac:dyDescent="0.2">
      <c r="A36378" s="258"/>
      <c r="Z36378" s="258"/>
    </row>
    <row r="36379" spans="1:26" ht="12.75" customHeight="1" x14ac:dyDescent="0.2">
      <c r="A36379" s="258"/>
      <c r="Z36379" s="258"/>
    </row>
    <row r="36380" spans="1:26" ht="12.75" customHeight="1" x14ac:dyDescent="0.2">
      <c r="A36380" s="258"/>
      <c r="Z36380" s="258"/>
    </row>
    <row r="36381" spans="1:26" ht="12.75" customHeight="1" x14ac:dyDescent="0.2">
      <c r="A36381" s="258"/>
      <c r="Z36381" s="258"/>
    </row>
    <row r="36382" spans="1:26" ht="12.75" customHeight="1" x14ac:dyDescent="0.2">
      <c r="A36382" s="258"/>
      <c r="Z36382" s="258"/>
    </row>
    <row r="36383" spans="1:26" ht="12.75" customHeight="1" x14ac:dyDescent="0.2">
      <c r="A36383" s="258"/>
      <c r="Z36383" s="258"/>
    </row>
    <row r="36384" spans="1:26" ht="12.75" customHeight="1" x14ac:dyDescent="0.2">
      <c r="A36384" s="258"/>
      <c r="Z36384" s="258"/>
    </row>
    <row r="36385" spans="1:26" ht="12.75" customHeight="1" x14ac:dyDescent="0.2">
      <c r="A36385" s="258"/>
      <c r="Z36385" s="258"/>
    </row>
    <row r="36386" spans="1:26" ht="12.75" customHeight="1" x14ac:dyDescent="0.2">
      <c r="A36386" s="258"/>
      <c r="Z36386" s="258"/>
    </row>
    <row r="36387" spans="1:26" ht="12.75" customHeight="1" x14ac:dyDescent="0.2">
      <c r="A36387" s="258"/>
      <c r="Z36387" s="258"/>
    </row>
    <row r="36388" spans="1:26" ht="12.75" customHeight="1" x14ac:dyDescent="0.2">
      <c r="A36388" s="258"/>
      <c r="Z36388" s="258"/>
    </row>
    <row r="36389" spans="1:26" ht="12.75" customHeight="1" x14ac:dyDescent="0.2">
      <c r="A36389" s="258"/>
      <c r="Z36389" s="258"/>
    </row>
    <row r="36390" spans="1:26" ht="12.75" customHeight="1" x14ac:dyDescent="0.2">
      <c r="A36390" s="258"/>
      <c r="Z36390" s="258"/>
    </row>
    <row r="36391" spans="1:26" ht="12.75" customHeight="1" x14ac:dyDescent="0.2">
      <c r="A36391" s="258"/>
      <c r="Z36391" s="258"/>
    </row>
    <row r="36392" spans="1:26" ht="12.75" customHeight="1" x14ac:dyDescent="0.2">
      <c r="A36392" s="258"/>
      <c r="Z36392" s="258"/>
    </row>
    <row r="36393" spans="1:26" ht="12.75" customHeight="1" x14ac:dyDescent="0.2">
      <c r="A36393" s="258"/>
      <c r="Z36393" s="258"/>
    </row>
    <row r="36394" spans="1:26" ht="12.75" customHeight="1" x14ac:dyDescent="0.2">
      <c r="A36394" s="258"/>
      <c r="Z36394" s="258"/>
    </row>
    <row r="36395" spans="1:26" ht="12.75" customHeight="1" x14ac:dyDescent="0.2">
      <c r="A36395" s="258"/>
      <c r="Z36395" s="258"/>
    </row>
    <row r="36396" spans="1:26" ht="12.75" customHeight="1" x14ac:dyDescent="0.2">
      <c r="A36396" s="258"/>
      <c r="Z36396" s="258"/>
    </row>
    <row r="36397" spans="1:26" ht="12.75" customHeight="1" x14ac:dyDescent="0.2">
      <c r="A36397" s="258"/>
      <c r="Z36397" s="258"/>
    </row>
    <row r="36398" spans="1:26" ht="12.75" customHeight="1" x14ac:dyDescent="0.2">
      <c r="A36398" s="258"/>
      <c r="Z36398" s="258"/>
    </row>
    <row r="36399" spans="1:26" ht="12.75" customHeight="1" x14ac:dyDescent="0.2">
      <c r="A36399" s="258"/>
      <c r="Z36399" s="258"/>
    </row>
    <row r="36400" spans="1:26" ht="12.75" customHeight="1" x14ac:dyDescent="0.2">
      <c r="A36400" s="258"/>
      <c r="Z36400" s="258"/>
    </row>
    <row r="36401" spans="1:26" ht="12.75" customHeight="1" x14ac:dyDescent="0.2">
      <c r="A36401" s="258"/>
      <c r="Z36401" s="258"/>
    </row>
    <row r="36402" spans="1:26" ht="12.75" customHeight="1" x14ac:dyDescent="0.2">
      <c r="A36402" s="258"/>
      <c r="Z36402" s="258"/>
    </row>
    <row r="36403" spans="1:26" ht="12.75" customHeight="1" x14ac:dyDescent="0.2">
      <c r="A36403" s="258"/>
      <c r="Z36403" s="258"/>
    </row>
    <row r="36404" spans="1:26" ht="12.75" customHeight="1" x14ac:dyDescent="0.2">
      <c r="A36404" s="258"/>
      <c r="Z36404" s="258"/>
    </row>
    <row r="36405" spans="1:26" ht="12.75" customHeight="1" x14ac:dyDescent="0.2">
      <c r="A36405" s="258"/>
      <c r="Z36405" s="258"/>
    </row>
    <row r="36406" spans="1:26" ht="12.75" customHeight="1" x14ac:dyDescent="0.2">
      <c r="A36406" s="258"/>
      <c r="Z36406" s="258"/>
    </row>
    <row r="36407" spans="1:26" ht="12.75" customHeight="1" x14ac:dyDescent="0.2">
      <c r="A36407" s="258"/>
      <c r="Z36407" s="258"/>
    </row>
    <row r="36408" spans="1:26" ht="12.75" customHeight="1" x14ac:dyDescent="0.2">
      <c r="A36408" s="258"/>
      <c r="Z36408" s="258"/>
    </row>
    <row r="36409" spans="1:26" ht="12.75" customHeight="1" x14ac:dyDescent="0.2">
      <c r="A36409" s="258"/>
      <c r="Z36409" s="258"/>
    </row>
    <row r="36410" spans="1:26" ht="12.75" customHeight="1" x14ac:dyDescent="0.2">
      <c r="A36410" s="258"/>
      <c r="Z36410" s="258"/>
    </row>
    <row r="36411" spans="1:26" ht="12.75" customHeight="1" x14ac:dyDescent="0.2">
      <c r="A36411" s="258"/>
      <c r="Z36411" s="258"/>
    </row>
    <row r="36412" spans="1:26" ht="12.75" customHeight="1" x14ac:dyDescent="0.2">
      <c r="A36412" s="258"/>
      <c r="Z36412" s="258"/>
    </row>
    <row r="36413" spans="1:26" ht="12.75" customHeight="1" x14ac:dyDescent="0.2">
      <c r="A36413" s="258"/>
      <c r="Z36413" s="258"/>
    </row>
    <row r="36414" spans="1:26" ht="12.75" customHeight="1" x14ac:dyDescent="0.2">
      <c r="A36414" s="258"/>
      <c r="Z36414" s="258"/>
    </row>
    <row r="36415" spans="1:26" ht="12.75" customHeight="1" x14ac:dyDescent="0.2">
      <c r="A36415" s="258"/>
      <c r="Z36415" s="258"/>
    </row>
    <row r="36416" spans="1:26" ht="12.75" customHeight="1" x14ac:dyDescent="0.2">
      <c r="A36416" s="258"/>
      <c r="Z36416" s="258"/>
    </row>
    <row r="36417" spans="1:26" ht="12.75" customHeight="1" x14ac:dyDescent="0.2">
      <c r="A36417" s="258"/>
      <c r="Z36417" s="258"/>
    </row>
    <row r="36418" spans="1:26" ht="12.75" customHeight="1" x14ac:dyDescent="0.2">
      <c r="A36418" s="258"/>
      <c r="Z36418" s="258"/>
    </row>
    <row r="36419" spans="1:26" ht="12.75" customHeight="1" x14ac:dyDescent="0.2">
      <c r="A36419" s="258"/>
      <c r="Z36419" s="258"/>
    </row>
    <row r="36420" spans="1:26" ht="12.75" customHeight="1" x14ac:dyDescent="0.2">
      <c r="A36420" s="258"/>
      <c r="Z36420" s="258"/>
    </row>
    <row r="36421" spans="1:26" ht="12.75" customHeight="1" x14ac:dyDescent="0.2">
      <c r="A36421" s="258"/>
      <c r="Z36421" s="258"/>
    </row>
    <row r="36422" spans="1:26" ht="12.75" customHeight="1" x14ac:dyDescent="0.2">
      <c r="A36422" s="258"/>
      <c r="Z36422" s="258"/>
    </row>
    <row r="36423" spans="1:26" ht="12.75" customHeight="1" x14ac:dyDescent="0.2">
      <c r="A36423" s="258"/>
      <c r="Z36423" s="258"/>
    </row>
    <row r="36424" spans="1:26" ht="12.75" customHeight="1" x14ac:dyDescent="0.2">
      <c r="A36424" s="258"/>
      <c r="Z36424" s="258"/>
    </row>
    <row r="36425" spans="1:26" ht="12.75" customHeight="1" x14ac:dyDescent="0.2">
      <c r="A36425" s="258"/>
      <c r="Z36425" s="258"/>
    </row>
    <row r="36426" spans="1:26" ht="12.75" customHeight="1" x14ac:dyDescent="0.2">
      <c r="A36426" s="258"/>
      <c r="Z36426" s="258"/>
    </row>
    <row r="36427" spans="1:26" ht="12.75" customHeight="1" x14ac:dyDescent="0.2">
      <c r="A36427" s="258"/>
      <c r="Z36427" s="258"/>
    </row>
    <row r="36428" spans="1:26" ht="12.75" customHeight="1" x14ac:dyDescent="0.2">
      <c r="A36428" s="258"/>
      <c r="Z36428" s="258"/>
    </row>
    <row r="36429" spans="1:26" ht="12.75" customHeight="1" x14ac:dyDescent="0.2">
      <c r="A36429" s="258"/>
      <c r="Z36429" s="258"/>
    </row>
    <row r="36430" spans="1:26" ht="12.75" customHeight="1" x14ac:dyDescent="0.2">
      <c r="A36430" s="258"/>
      <c r="Z36430" s="258"/>
    </row>
    <row r="36431" spans="1:26" ht="12.75" customHeight="1" x14ac:dyDescent="0.2">
      <c r="A36431" s="258"/>
      <c r="Z36431" s="258"/>
    </row>
    <row r="36432" spans="1:26" ht="12.75" customHeight="1" x14ac:dyDescent="0.2">
      <c r="A36432" s="258"/>
      <c r="Z36432" s="258"/>
    </row>
    <row r="36433" spans="1:26" ht="12.75" customHeight="1" x14ac:dyDescent="0.2">
      <c r="A36433" s="258"/>
      <c r="Z36433" s="258"/>
    </row>
    <row r="36434" spans="1:26" ht="12.75" customHeight="1" x14ac:dyDescent="0.2">
      <c r="A36434" s="258"/>
      <c r="Z36434" s="258"/>
    </row>
    <row r="36435" spans="1:26" ht="12.75" customHeight="1" x14ac:dyDescent="0.2">
      <c r="A36435" s="258"/>
      <c r="Z36435" s="258"/>
    </row>
    <row r="36436" spans="1:26" ht="12.75" customHeight="1" x14ac:dyDescent="0.2">
      <c r="A36436" s="258"/>
      <c r="Z36436" s="258"/>
    </row>
    <row r="36437" spans="1:26" ht="12.75" customHeight="1" x14ac:dyDescent="0.2">
      <c r="A36437" s="258"/>
      <c r="Z36437" s="258"/>
    </row>
    <row r="36438" spans="1:26" ht="12.75" customHeight="1" x14ac:dyDescent="0.2">
      <c r="A36438" s="258"/>
      <c r="Z36438" s="258"/>
    </row>
    <row r="36439" spans="1:26" ht="12.75" customHeight="1" x14ac:dyDescent="0.2">
      <c r="A36439" s="258"/>
      <c r="Z36439" s="258"/>
    </row>
    <row r="36440" spans="1:26" ht="12.75" customHeight="1" x14ac:dyDescent="0.2">
      <c r="A36440" s="258"/>
      <c r="Z36440" s="258"/>
    </row>
    <row r="36441" spans="1:26" ht="12.75" customHeight="1" x14ac:dyDescent="0.2">
      <c r="A36441" s="258"/>
      <c r="Z36441" s="258"/>
    </row>
    <row r="36442" spans="1:26" ht="12.75" customHeight="1" x14ac:dyDescent="0.2">
      <c r="A36442" s="258"/>
      <c r="Z36442" s="258"/>
    </row>
    <row r="36443" spans="1:26" ht="12.75" customHeight="1" x14ac:dyDescent="0.2">
      <c r="A36443" s="258"/>
      <c r="Z36443" s="258"/>
    </row>
    <row r="36444" spans="1:26" ht="12.75" customHeight="1" x14ac:dyDescent="0.2">
      <c r="A36444" s="258"/>
      <c r="Z36444" s="258"/>
    </row>
    <row r="36445" spans="1:26" ht="12.75" customHeight="1" x14ac:dyDescent="0.2">
      <c r="A36445" s="258"/>
      <c r="Z36445" s="258"/>
    </row>
    <row r="36446" spans="1:26" ht="12.75" customHeight="1" x14ac:dyDescent="0.2">
      <c r="A36446" s="258"/>
      <c r="Z36446" s="258"/>
    </row>
    <row r="36447" spans="1:26" ht="12.75" customHeight="1" x14ac:dyDescent="0.2">
      <c r="A36447" s="258"/>
      <c r="Z36447" s="258"/>
    </row>
    <row r="36448" spans="1:26" ht="12.75" customHeight="1" x14ac:dyDescent="0.2">
      <c r="A36448" s="258"/>
      <c r="Z36448" s="258"/>
    </row>
    <row r="36449" spans="1:26" ht="12.75" customHeight="1" x14ac:dyDescent="0.2">
      <c r="A36449" s="258"/>
      <c r="Z36449" s="258"/>
    </row>
    <row r="36450" spans="1:26" ht="12.75" customHeight="1" x14ac:dyDescent="0.2">
      <c r="A36450" s="258"/>
      <c r="Z36450" s="258"/>
    </row>
    <row r="36451" spans="1:26" ht="12.75" customHeight="1" x14ac:dyDescent="0.2">
      <c r="A36451" s="258"/>
      <c r="Z36451" s="258"/>
    </row>
    <row r="36452" spans="1:26" ht="12.75" customHeight="1" x14ac:dyDescent="0.2">
      <c r="A36452" s="258"/>
      <c r="Z36452" s="258"/>
    </row>
    <row r="36453" spans="1:26" ht="12.75" customHeight="1" x14ac:dyDescent="0.2">
      <c r="A36453" s="258"/>
      <c r="Z36453" s="258"/>
    </row>
    <row r="36454" spans="1:26" ht="12.75" customHeight="1" x14ac:dyDescent="0.2">
      <c r="A36454" s="258"/>
      <c r="Z36454" s="258"/>
    </row>
    <row r="36455" spans="1:26" ht="12.75" customHeight="1" x14ac:dyDescent="0.2">
      <c r="A36455" s="258"/>
      <c r="Z36455" s="258"/>
    </row>
    <row r="36456" spans="1:26" ht="12.75" customHeight="1" x14ac:dyDescent="0.2">
      <c r="A36456" s="258"/>
      <c r="Z36456" s="258"/>
    </row>
    <row r="36457" spans="1:26" ht="12.75" customHeight="1" x14ac:dyDescent="0.2">
      <c r="A36457" s="258"/>
      <c r="Z36457" s="258"/>
    </row>
    <row r="36458" spans="1:26" ht="12.75" customHeight="1" x14ac:dyDescent="0.2">
      <c r="A36458" s="258"/>
      <c r="Z36458" s="258"/>
    </row>
    <row r="36459" spans="1:26" ht="12.75" customHeight="1" x14ac:dyDescent="0.2">
      <c r="A36459" s="258"/>
      <c r="Z36459" s="258"/>
    </row>
    <row r="36460" spans="1:26" ht="12.75" customHeight="1" x14ac:dyDescent="0.2">
      <c r="A36460" s="258"/>
      <c r="Z36460" s="258"/>
    </row>
    <row r="36461" spans="1:26" ht="12.75" customHeight="1" x14ac:dyDescent="0.2">
      <c r="A36461" s="258"/>
      <c r="Z36461" s="258"/>
    </row>
    <row r="36462" spans="1:26" ht="12.75" customHeight="1" x14ac:dyDescent="0.2">
      <c r="A36462" s="258"/>
      <c r="Z36462" s="258"/>
    </row>
    <row r="36463" spans="1:26" ht="12.75" customHeight="1" x14ac:dyDescent="0.2">
      <c r="A36463" s="258"/>
      <c r="Z36463" s="258"/>
    </row>
    <row r="36464" spans="1:26" ht="12.75" customHeight="1" x14ac:dyDescent="0.2">
      <c r="A36464" s="258"/>
      <c r="Z36464" s="258"/>
    </row>
    <row r="36465" spans="1:26" ht="12.75" customHeight="1" x14ac:dyDescent="0.2">
      <c r="A36465" s="258"/>
      <c r="Z36465" s="258"/>
    </row>
    <row r="36466" spans="1:26" ht="12.75" customHeight="1" x14ac:dyDescent="0.2">
      <c r="A36466" s="258"/>
      <c r="Z36466" s="258"/>
    </row>
    <row r="36467" spans="1:26" ht="12.75" customHeight="1" x14ac:dyDescent="0.2">
      <c r="A36467" s="258"/>
      <c r="Z36467" s="258"/>
    </row>
    <row r="36468" spans="1:26" ht="12.75" customHeight="1" x14ac:dyDescent="0.2">
      <c r="A36468" s="258"/>
      <c r="Z36468" s="258"/>
    </row>
    <row r="36469" spans="1:26" ht="12.75" customHeight="1" x14ac:dyDescent="0.2">
      <c r="A36469" s="258"/>
      <c r="Z36469" s="258"/>
    </row>
    <row r="36470" spans="1:26" ht="12.75" customHeight="1" x14ac:dyDescent="0.2">
      <c r="A36470" s="258"/>
      <c r="Z36470" s="258"/>
    </row>
    <row r="36471" spans="1:26" ht="12.75" customHeight="1" x14ac:dyDescent="0.2">
      <c r="A36471" s="258"/>
      <c r="Z36471" s="258"/>
    </row>
    <row r="36472" spans="1:26" ht="12.75" customHeight="1" x14ac:dyDescent="0.2">
      <c r="A36472" s="258"/>
      <c r="Z36472" s="258"/>
    </row>
    <row r="36473" spans="1:26" ht="12.75" customHeight="1" x14ac:dyDescent="0.2">
      <c r="A36473" s="258"/>
      <c r="Z36473" s="258"/>
    </row>
    <row r="36474" spans="1:26" ht="12.75" customHeight="1" x14ac:dyDescent="0.2">
      <c r="A36474" s="258"/>
      <c r="Z36474" s="258"/>
    </row>
    <row r="36475" spans="1:26" ht="12.75" customHeight="1" x14ac:dyDescent="0.2">
      <c r="A36475" s="258"/>
      <c r="Z36475" s="258"/>
    </row>
    <row r="36476" spans="1:26" ht="12.75" customHeight="1" x14ac:dyDescent="0.2">
      <c r="A36476" s="258"/>
      <c r="Z36476" s="258"/>
    </row>
    <row r="36477" spans="1:26" ht="12.75" customHeight="1" x14ac:dyDescent="0.2">
      <c r="A36477" s="258"/>
      <c r="Z36477" s="258"/>
    </row>
    <row r="36478" spans="1:26" ht="12.75" customHeight="1" x14ac:dyDescent="0.2">
      <c r="A36478" s="258"/>
      <c r="Z36478" s="258"/>
    </row>
    <row r="36479" spans="1:26" ht="12.75" customHeight="1" x14ac:dyDescent="0.2">
      <c r="A36479" s="258"/>
      <c r="Z36479" s="258"/>
    </row>
    <row r="36480" spans="1:26" ht="12.75" customHeight="1" x14ac:dyDescent="0.2">
      <c r="A36480" s="258"/>
      <c r="Z36480" s="258"/>
    </row>
    <row r="36481" spans="1:26" ht="12.75" customHeight="1" x14ac:dyDescent="0.2">
      <c r="A36481" s="258"/>
      <c r="Z36481" s="258"/>
    </row>
    <row r="36482" spans="1:26" ht="12.75" customHeight="1" x14ac:dyDescent="0.2">
      <c r="A36482" s="258"/>
      <c r="Z36482" s="258"/>
    </row>
    <row r="36483" spans="1:26" ht="12.75" customHeight="1" x14ac:dyDescent="0.2">
      <c r="A36483" s="258"/>
      <c r="Z36483" s="258"/>
    </row>
    <row r="36484" spans="1:26" ht="12.75" customHeight="1" x14ac:dyDescent="0.2">
      <c r="A36484" s="258"/>
      <c r="Z36484" s="258"/>
    </row>
    <row r="36485" spans="1:26" ht="12.75" customHeight="1" x14ac:dyDescent="0.2">
      <c r="A36485" s="258"/>
      <c r="Z36485" s="258"/>
    </row>
    <row r="36486" spans="1:26" ht="12.75" customHeight="1" x14ac:dyDescent="0.2">
      <c r="A36486" s="258"/>
      <c r="Z36486" s="258"/>
    </row>
    <row r="36487" spans="1:26" ht="12.75" customHeight="1" x14ac:dyDescent="0.2">
      <c r="A36487" s="258"/>
      <c r="Z36487" s="258"/>
    </row>
    <row r="36488" spans="1:26" ht="12.75" customHeight="1" x14ac:dyDescent="0.2">
      <c r="A36488" s="258"/>
      <c r="Z36488" s="258"/>
    </row>
    <row r="36489" spans="1:26" ht="12.75" customHeight="1" x14ac:dyDescent="0.2">
      <c r="A36489" s="258"/>
      <c r="Z36489" s="258"/>
    </row>
    <row r="36490" spans="1:26" ht="12.75" customHeight="1" x14ac:dyDescent="0.2">
      <c r="A36490" s="258"/>
      <c r="Z36490" s="258"/>
    </row>
    <row r="36491" spans="1:26" ht="12.75" customHeight="1" x14ac:dyDescent="0.2">
      <c r="A36491" s="258"/>
      <c r="Z36491" s="258"/>
    </row>
    <row r="36492" spans="1:26" ht="12.75" customHeight="1" x14ac:dyDescent="0.2">
      <c r="A36492" s="258"/>
      <c r="Z36492" s="258"/>
    </row>
    <row r="36493" spans="1:26" ht="12.75" customHeight="1" x14ac:dyDescent="0.2">
      <c r="A36493" s="258"/>
      <c r="Z36493" s="258"/>
    </row>
    <row r="36494" spans="1:26" ht="12.75" customHeight="1" x14ac:dyDescent="0.2">
      <c r="A36494" s="258"/>
      <c r="Z36494" s="258"/>
    </row>
    <row r="36495" spans="1:26" ht="12.75" customHeight="1" x14ac:dyDescent="0.2">
      <c r="A36495" s="258"/>
      <c r="Z36495" s="258"/>
    </row>
    <row r="36496" spans="1:26" ht="12.75" customHeight="1" x14ac:dyDescent="0.2">
      <c r="A36496" s="258"/>
      <c r="Z36496" s="258"/>
    </row>
    <row r="36497" spans="1:26" ht="12.75" customHeight="1" x14ac:dyDescent="0.2">
      <c r="A36497" s="258"/>
      <c r="Z36497" s="258"/>
    </row>
    <row r="36498" spans="1:26" ht="12.75" customHeight="1" x14ac:dyDescent="0.2">
      <c r="A36498" s="258"/>
      <c r="Z36498" s="258"/>
    </row>
    <row r="36499" spans="1:26" ht="12.75" customHeight="1" x14ac:dyDescent="0.2">
      <c r="A36499" s="258"/>
      <c r="Z36499" s="258"/>
    </row>
    <row r="36500" spans="1:26" ht="12.75" customHeight="1" x14ac:dyDescent="0.2">
      <c r="A36500" s="258"/>
      <c r="Z36500" s="258"/>
    </row>
    <row r="36501" spans="1:26" ht="12.75" customHeight="1" x14ac:dyDescent="0.2">
      <c r="A36501" s="258"/>
      <c r="Z36501" s="258"/>
    </row>
    <row r="36502" spans="1:26" ht="12.75" customHeight="1" x14ac:dyDescent="0.2">
      <c r="A36502" s="258"/>
      <c r="Z36502" s="258"/>
    </row>
    <row r="36503" spans="1:26" ht="12.75" customHeight="1" x14ac:dyDescent="0.2">
      <c r="A36503" s="258"/>
      <c r="Z36503" s="258"/>
    </row>
    <row r="36504" spans="1:26" ht="12.75" customHeight="1" x14ac:dyDescent="0.2">
      <c r="A36504" s="258"/>
      <c r="Z36504" s="258"/>
    </row>
    <row r="36505" spans="1:26" ht="12.75" customHeight="1" x14ac:dyDescent="0.2">
      <c r="A36505" s="258"/>
      <c r="Z36505" s="258"/>
    </row>
    <row r="36506" spans="1:26" ht="12.75" customHeight="1" x14ac:dyDescent="0.2">
      <c r="A36506" s="258"/>
      <c r="Z36506" s="258"/>
    </row>
    <row r="36507" spans="1:26" ht="12.75" customHeight="1" x14ac:dyDescent="0.2">
      <c r="A36507" s="258"/>
      <c r="Z36507" s="258"/>
    </row>
    <row r="36508" spans="1:26" ht="12.75" customHeight="1" x14ac:dyDescent="0.2">
      <c r="A36508" s="258"/>
      <c r="Z36508" s="258"/>
    </row>
    <row r="36509" spans="1:26" ht="12.75" customHeight="1" x14ac:dyDescent="0.2">
      <c r="A36509" s="258"/>
      <c r="Z36509" s="258"/>
    </row>
    <row r="36510" spans="1:26" ht="12.75" customHeight="1" x14ac:dyDescent="0.2">
      <c r="A36510" s="258"/>
      <c r="Z36510" s="258"/>
    </row>
    <row r="36511" spans="1:26" ht="12.75" customHeight="1" x14ac:dyDescent="0.2">
      <c r="A36511" s="258"/>
      <c r="Z36511" s="258"/>
    </row>
    <row r="36512" spans="1:26" ht="12.75" customHeight="1" x14ac:dyDescent="0.2">
      <c r="A36512" s="258"/>
      <c r="Z36512" s="258"/>
    </row>
    <row r="36513" spans="1:26" ht="12.75" customHeight="1" x14ac:dyDescent="0.2">
      <c r="A36513" s="258"/>
      <c r="Z36513" s="258"/>
    </row>
    <row r="36514" spans="1:26" ht="12.75" customHeight="1" x14ac:dyDescent="0.2">
      <c r="A36514" s="258"/>
      <c r="Z36514" s="258"/>
    </row>
    <row r="36515" spans="1:26" ht="12.75" customHeight="1" x14ac:dyDescent="0.2">
      <c r="A36515" s="258"/>
      <c r="Z36515" s="258"/>
    </row>
    <row r="36516" spans="1:26" ht="12.75" customHeight="1" x14ac:dyDescent="0.2">
      <c r="A36516" s="258"/>
      <c r="Z36516" s="258"/>
    </row>
    <row r="36517" spans="1:26" ht="12.75" customHeight="1" x14ac:dyDescent="0.2">
      <c r="A36517" s="258"/>
      <c r="Z36517" s="258"/>
    </row>
    <row r="36518" spans="1:26" ht="12.75" customHeight="1" x14ac:dyDescent="0.2">
      <c r="A36518" s="258"/>
      <c r="Z36518" s="258"/>
    </row>
    <row r="36519" spans="1:26" ht="12.75" customHeight="1" x14ac:dyDescent="0.2">
      <c r="A36519" s="258"/>
      <c r="Z36519" s="258"/>
    </row>
    <row r="36520" spans="1:26" ht="12.75" customHeight="1" x14ac:dyDescent="0.2">
      <c r="A36520" s="258"/>
      <c r="Z36520" s="258"/>
    </row>
    <row r="36521" spans="1:26" ht="12.75" customHeight="1" x14ac:dyDescent="0.2">
      <c r="A36521" s="258"/>
      <c r="Z36521" s="258"/>
    </row>
    <row r="36522" spans="1:26" ht="12.75" customHeight="1" x14ac:dyDescent="0.2">
      <c r="A36522" s="258"/>
      <c r="Z36522" s="258"/>
    </row>
    <row r="36523" spans="1:26" ht="12.75" customHeight="1" x14ac:dyDescent="0.2">
      <c r="A36523" s="258"/>
      <c r="Z36523" s="258"/>
    </row>
    <row r="36524" spans="1:26" ht="12.75" customHeight="1" x14ac:dyDescent="0.2">
      <c r="A36524" s="258"/>
      <c r="Z36524" s="258"/>
    </row>
    <row r="36525" spans="1:26" ht="12.75" customHeight="1" x14ac:dyDescent="0.2">
      <c r="A36525" s="258"/>
      <c r="Z36525" s="258"/>
    </row>
    <row r="36526" spans="1:26" ht="12.75" customHeight="1" x14ac:dyDescent="0.2">
      <c r="A36526" s="258"/>
      <c r="Z36526" s="258"/>
    </row>
    <row r="36527" spans="1:26" ht="12.75" customHeight="1" x14ac:dyDescent="0.2">
      <c r="A36527" s="258"/>
      <c r="Z36527" s="258"/>
    </row>
    <row r="36528" spans="1:26" ht="12.75" customHeight="1" x14ac:dyDescent="0.2">
      <c r="A36528" s="258"/>
      <c r="Z36528" s="258"/>
    </row>
    <row r="36529" spans="1:26" ht="12.75" customHeight="1" x14ac:dyDescent="0.2">
      <c r="A36529" s="258"/>
      <c r="Z36529" s="258"/>
    </row>
    <row r="36530" spans="1:26" ht="12.75" customHeight="1" x14ac:dyDescent="0.2">
      <c r="A36530" s="258"/>
      <c r="Z36530" s="258"/>
    </row>
    <row r="36531" spans="1:26" ht="12.75" customHeight="1" x14ac:dyDescent="0.2">
      <c r="A36531" s="258"/>
      <c r="Z36531" s="258"/>
    </row>
    <row r="36532" spans="1:26" ht="12.75" customHeight="1" x14ac:dyDescent="0.2">
      <c r="A36532" s="258"/>
      <c r="Z36532" s="258"/>
    </row>
    <row r="36533" spans="1:26" ht="12.75" customHeight="1" x14ac:dyDescent="0.2">
      <c r="A36533" s="258"/>
      <c r="Z36533" s="258"/>
    </row>
    <row r="36534" spans="1:26" ht="12.75" customHeight="1" x14ac:dyDescent="0.2">
      <c r="A36534" s="258"/>
      <c r="Z36534" s="258"/>
    </row>
    <row r="36535" spans="1:26" ht="12.75" customHeight="1" x14ac:dyDescent="0.2">
      <c r="A36535" s="258"/>
      <c r="Z36535" s="258"/>
    </row>
    <row r="36536" spans="1:26" ht="12.75" customHeight="1" x14ac:dyDescent="0.2">
      <c r="A36536" s="258"/>
      <c r="Z36536" s="258"/>
    </row>
    <row r="36537" spans="1:26" ht="12.75" customHeight="1" x14ac:dyDescent="0.2">
      <c r="A36537" s="258"/>
      <c r="Z36537" s="258"/>
    </row>
    <row r="36538" spans="1:26" ht="12.75" customHeight="1" x14ac:dyDescent="0.2">
      <c r="A36538" s="258"/>
      <c r="Z36538" s="258"/>
    </row>
    <row r="36539" spans="1:26" ht="12.75" customHeight="1" x14ac:dyDescent="0.2">
      <c r="A36539" s="258"/>
      <c r="Z36539" s="258"/>
    </row>
    <row r="36540" spans="1:26" ht="12.75" customHeight="1" x14ac:dyDescent="0.2">
      <c r="A36540" s="258"/>
      <c r="Z36540" s="258"/>
    </row>
    <row r="36541" spans="1:26" ht="12.75" customHeight="1" x14ac:dyDescent="0.2">
      <c r="A36541" s="258"/>
      <c r="Z36541" s="258"/>
    </row>
    <row r="36542" spans="1:26" ht="12.75" customHeight="1" x14ac:dyDescent="0.2">
      <c r="A36542" s="258"/>
      <c r="Z36542" s="258"/>
    </row>
    <row r="36543" spans="1:26" ht="12.75" customHeight="1" x14ac:dyDescent="0.2">
      <c r="A36543" s="258"/>
      <c r="Z36543" s="258"/>
    </row>
    <row r="36544" spans="1:26" ht="12.75" customHeight="1" x14ac:dyDescent="0.2">
      <c r="A36544" s="258"/>
      <c r="Z36544" s="258"/>
    </row>
    <row r="36545" spans="1:26" ht="12.75" customHeight="1" x14ac:dyDescent="0.2">
      <c r="A36545" s="258"/>
      <c r="Z36545" s="258"/>
    </row>
    <row r="36546" spans="1:26" ht="12.75" customHeight="1" x14ac:dyDescent="0.2">
      <c r="A36546" s="258"/>
      <c r="Z36546" s="258"/>
    </row>
    <row r="36547" spans="1:26" ht="12.75" customHeight="1" x14ac:dyDescent="0.2">
      <c r="A36547" s="258"/>
      <c r="Z36547" s="258"/>
    </row>
    <row r="36548" spans="1:26" ht="12.75" customHeight="1" x14ac:dyDescent="0.2">
      <c r="A36548" s="258"/>
      <c r="Z36548" s="258"/>
    </row>
    <row r="36549" spans="1:26" ht="12.75" customHeight="1" x14ac:dyDescent="0.2">
      <c r="A36549" s="258"/>
      <c r="Z36549" s="258"/>
    </row>
    <row r="36550" spans="1:26" ht="12.75" customHeight="1" x14ac:dyDescent="0.2">
      <c r="A36550" s="258"/>
      <c r="Z36550" s="258"/>
    </row>
    <row r="36551" spans="1:26" ht="12.75" customHeight="1" x14ac:dyDescent="0.2">
      <c r="A36551" s="258"/>
      <c r="Z36551" s="258"/>
    </row>
    <row r="36552" spans="1:26" ht="12.75" customHeight="1" x14ac:dyDescent="0.2">
      <c r="A36552" s="258"/>
      <c r="Z36552" s="258"/>
    </row>
    <row r="36553" spans="1:26" ht="12.75" customHeight="1" x14ac:dyDescent="0.2">
      <c r="A36553" s="258"/>
      <c r="Z36553" s="258"/>
    </row>
    <row r="36554" spans="1:26" ht="12.75" customHeight="1" x14ac:dyDescent="0.2">
      <c r="A36554" s="258"/>
      <c r="Z36554" s="258"/>
    </row>
    <row r="36555" spans="1:26" ht="12.75" customHeight="1" x14ac:dyDescent="0.2">
      <c r="A36555" s="258"/>
      <c r="Z36555" s="258"/>
    </row>
    <row r="36556" spans="1:26" ht="12.75" customHeight="1" x14ac:dyDescent="0.2">
      <c r="A36556" s="258"/>
      <c r="Z36556" s="258"/>
    </row>
    <row r="36557" spans="1:26" ht="12.75" customHeight="1" x14ac:dyDescent="0.2">
      <c r="A36557" s="258"/>
      <c r="Z36557" s="258"/>
    </row>
    <row r="36558" spans="1:26" ht="12.75" customHeight="1" x14ac:dyDescent="0.2">
      <c r="A36558" s="258"/>
      <c r="Z36558" s="258"/>
    </row>
    <row r="36559" spans="1:26" ht="12.75" customHeight="1" x14ac:dyDescent="0.2">
      <c r="A36559" s="258"/>
      <c r="Z36559" s="258"/>
    </row>
    <row r="36560" spans="1:26" ht="12.75" customHeight="1" x14ac:dyDescent="0.2">
      <c r="A36560" s="258"/>
      <c r="Z36560" s="258"/>
    </row>
    <row r="36561" spans="1:26" ht="12.75" customHeight="1" x14ac:dyDescent="0.2">
      <c r="A36561" s="258"/>
      <c r="Z36561" s="258"/>
    </row>
    <row r="36562" spans="1:26" ht="12.75" customHeight="1" x14ac:dyDescent="0.2">
      <c r="A36562" s="258"/>
      <c r="Z36562" s="258"/>
    </row>
    <row r="36563" spans="1:26" ht="12.75" customHeight="1" x14ac:dyDescent="0.2">
      <c r="A36563" s="258"/>
      <c r="Z36563" s="258"/>
    </row>
    <row r="36564" spans="1:26" ht="12.75" customHeight="1" x14ac:dyDescent="0.2">
      <c r="A36564" s="258"/>
      <c r="Z36564" s="258"/>
    </row>
    <row r="36565" spans="1:26" ht="12.75" customHeight="1" x14ac:dyDescent="0.2">
      <c r="A36565" s="258"/>
      <c r="Z36565" s="258"/>
    </row>
    <row r="36566" spans="1:26" ht="12.75" customHeight="1" x14ac:dyDescent="0.2">
      <c r="A36566" s="258"/>
      <c r="Z36566" s="258"/>
    </row>
    <row r="36567" spans="1:26" ht="12.75" customHeight="1" x14ac:dyDescent="0.2">
      <c r="A36567" s="258"/>
      <c r="Z36567" s="258"/>
    </row>
    <row r="36568" spans="1:26" ht="12.75" customHeight="1" x14ac:dyDescent="0.2">
      <c r="A36568" s="258"/>
      <c r="Z36568" s="258"/>
    </row>
    <row r="36569" spans="1:26" ht="12.75" customHeight="1" x14ac:dyDescent="0.2">
      <c r="A36569" s="258"/>
      <c r="Z36569" s="258"/>
    </row>
    <row r="36570" spans="1:26" ht="12.75" customHeight="1" x14ac:dyDescent="0.2">
      <c r="A36570" s="258"/>
      <c r="Z36570" s="258"/>
    </row>
    <row r="36571" spans="1:26" ht="12.75" customHeight="1" x14ac:dyDescent="0.2">
      <c r="A36571" s="258"/>
      <c r="Z36571" s="258"/>
    </row>
    <row r="36572" spans="1:26" ht="12.75" customHeight="1" x14ac:dyDescent="0.2">
      <c r="A36572" s="258"/>
      <c r="Z36572" s="258"/>
    </row>
    <row r="36573" spans="1:26" ht="12.75" customHeight="1" x14ac:dyDescent="0.2">
      <c r="A36573" s="258"/>
      <c r="Z36573" s="258"/>
    </row>
    <row r="36574" spans="1:26" ht="12.75" customHeight="1" x14ac:dyDescent="0.2">
      <c r="A36574" s="258"/>
      <c r="Z36574" s="258"/>
    </row>
    <row r="36575" spans="1:26" ht="12.75" customHeight="1" x14ac:dyDescent="0.2">
      <c r="A36575" s="258"/>
      <c r="Z36575" s="258"/>
    </row>
    <row r="36576" spans="1:26" ht="12.75" customHeight="1" x14ac:dyDescent="0.2">
      <c r="A36576" s="258"/>
      <c r="Z36576" s="258"/>
    </row>
    <row r="36577" spans="1:26" ht="12.75" customHeight="1" x14ac:dyDescent="0.2">
      <c r="A36577" s="258"/>
      <c r="Z36577" s="258"/>
    </row>
    <row r="36578" spans="1:26" ht="12.75" customHeight="1" x14ac:dyDescent="0.2">
      <c r="A36578" s="258"/>
      <c r="Z36578" s="258"/>
    </row>
    <row r="36579" spans="1:26" ht="12.75" customHeight="1" x14ac:dyDescent="0.2">
      <c r="A36579" s="258"/>
      <c r="Z36579" s="258"/>
    </row>
    <row r="36580" spans="1:26" ht="12.75" customHeight="1" x14ac:dyDescent="0.2">
      <c r="A36580" s="258"/>
      <c r="Z36580" s="258"/>
    </row>
    <row r="36581" spans="1:26" ht="12.75" customHeight="1" x14ac:dyDescent="0.2">
      <c r="A36581" s="258"/>
      <c r="Z36581" s="258"/>
    </row>
    <row r="36582" spans="1:26" ht="12.75" customHeight="1" x14ac:dyDescent="0.2">
      <c r="A36582" s="258"/>
      <c r="Z36582" s="258"/>
    </row>
    <row r="36583" spans="1:26" ht="12.75" customHeight="1" x14ac:dyDescent="0.2">
      <c r="A36583" s="258"/>
      <c r="Z36583" s="258"/>
    </row>
    <row r="36584" spans="1:26" ht="12.75" customHeight="1" x14ac:dyDescent="0.2">
      <c r="A36584" s="258"/>
      <c r="Z36584" s="258"/>
    </row>
    <row r="36585" spans="1:26" ht="12.75" customHeight="1" x14ac:dyDescent="0.2">
      <c r="A36585" s="258"/>
      <c r="Z36585" s="258"/>
    </row>
    <row r="36586" spans="1:26" ht="12.75" customHeight="1" x14ac:dyDescent="0.2">
      <c r="A36586" s="258"/>
      <c r="Z36586" s="258"/>
    </row>
    <row r="36587" spans="1:26" ht="12.75" customHeight="1" x14ac:dyDescent="0.2">
      <c r="A36587" s="258"/>
      <c r="Z36587" s="258"/>
    </row>
    <row r="36588" spans="1:26" ht="12.75" customHeight="1" x14ac:dyDescent="0.2">
      <c r="A36588" s="258"/>
      <c r="Z36588" s="258"/>
    </row>
    <row r="36589" spans="1:26" ht="12.75" customHeight="1" x14ac:dyDescent="0.2">
      <c r="A36589" s="258"/>
      <c r="Z36589" s="258"/>
    </row>
    <row r="36590" spans="1:26" ht="12.75" customHeight="1" x14ac:dyDescent="0.2">
      <c r="A36590" s="258"/>
      <c r="Z36590" s="258"/>
    </row>
    <row r="36591" spans="1:26" ht="12.75" customHeight="1" x14ac:dyDescent="0.2">
      <c r="A36591" s="258"/>
      <c r="Z36591" s="258"/>
    </row>
    <row r="36592" spans="1:26" ht="12.75" customHeight="1" x14ac:dyDescent="0.2">
      <c r="A36592" s="258"/>
      <c r="Z36592" s="258"/>
    </row>
    <row r="36593" spans="1:26" ht="12.75" customHeight="1" x14ac:dyDescent="0.2">
      <c r="A36593" s="258"/>
      <c r="Z36593" s="258"/>
    </row>
    <row r="36594" spans="1:26" ht="12.75" customHeight="1" x14ac:dyDescent="0.2">
      <c r="A36594" s="258"/>
      <c r="Z36594" s="258"/>
    </row>
    <row r="36595" spans="1:26" ht="12.75" customHeight="1" x14ac:dyDescent="0.2">
      <c r="A36595" s="258"/>
      <c r="Z36595" s="258"/>
    </row>
    <row r="36596" spans="1:26" ht="12.75" customHeight="1" x14ac:dyDescent="0.2">
      <c r="A36596" s="258"/>
      <c r="Z36596" s="258"/>
    </row>
    <row r="36597" spans="1:26" ht="12.75" customHeight="1" x14ac:dyDescent="0.2">
      <c r="A36597" s="258"/>
      <c r="Z36597" s="258"/>
    </row>
    <row r="36598" spans="1:26" ht="12.75" customHeight="1" x14ac:dyDescent="0.2">
      <c r="A36598" s="258"/>
      <c r="Z36598" s="258"/>
    </row>
    <row r="36599" spans="1:26" ht="12.75" customHeight="1" x14ac:dyDescent="0.2">
      <c r="A36599" s="258"/>
      <c r="Z36599" s="258"/>
    </row>
    <row r="36600" spans="1:26" ht="12.75" customHeight="1" x14ac:dyDescent="0.2">
      <c r="A36600" s="258"/>
      <c r="Z36600" s="258"/>
    </row>
    <row r="36601" spans="1:26" ht="12.75" customHeight="1" x14ac:dyDescent="0.2">
      <c r="A36601" s="258"/>
      <c r="Z36601" s="258"/>
    </row>
    <row r="36602" spans="1:26" ht="12.75" customHeight="1" x14ac:dyDescent="0.2">
      <c r="A36602" s="258"/>
      <c r="Z36602" s="258"/>
    </row>
    <row r="36603" spans="1:26" ht="12.75" customHeight="1" x14ac:dyDescent="0.2">
      <c r="A36603" s="258"/>
      <c r="Z36603" s="258"/>
    </row>
    <row r="36604" spans="1:26" ht="12.75" customHeight="1" x14ac:dyDescent="0.2">
      <c r="A36604" s="258"/>
      <c r="Z36604" s="258"/>
    </row>
    <row r="36605" spans="1:26" ht="12.75" customHeight="1" x14ac:dyDescent="0.2">
      <c r="A36605" s="258"/>
      <c r="Z36605" s="258"/>
    </row>
    <row r="36606" spans="1:26" ht="12.75" customHeight="1" x14ac:dyDescent="0.2">
      <c r="A36606" s="258"/>
      <c r="Z36606" s="258"/>
    </row>
    <row r="36607" spans="1:26" ht="12.75" customHeight="1" x14ac:dyDescent="0.2">
      <c r="A36607" s="258"/>
      <c r="Z36607" s="258"/>
    </row>
    <row r="36608" spans="1:26" ht="12.75" customHeight="1" x14ac:dyDescent="0.2">
      <c r="A36608" s="258"/>
      <c r="Z36608" s="258"/>
    </row>
    <row r="36609" spans="1:26" ht="12.75" customHeight="1" x14ac:dyDescent="0.2">
      <c r="A36609" s="258"/>
      <c r="Z36609" s="258"/>
    </row>
    <row r="36610" spans="1:26" ht="12.75" customHeight="1" x14ac:dyDescent="0.2">
      <c r="A36610" s="258"/>
      <c r="Z36610" s="258"/>
    </row>
    <row r="36611" spans="1:26" ht="12.75" customHeight="1" x14ac:dyDescent="0.2">
      <c r="A36611" s="258"/>
      <c r="Z36611" s="258"/>
    </row>
    <row r="36612" spans="1:26" ht="12.75" customHeight="1" x14ac:dyDescent="0.2">
      <c r="A36612" s="258"/>
      <c r="Z36612" s="258"/>
    </row>
    <row r="36613" spans="1:26" ht="12.75" customHeight="1" x14ac:dyDescent="0.2">
      <c r="A36613" s="258"/>
      <c r="Z36613" s="258"/>
    </row>
    <row r="36614" spans="1:26" ht="12.75" customHeight="1" x14ac:dyDescent="0.2">
      <c r="A36614" s="258"/>
      <c r="Z36614" s="258"/>
    </row>
    <row r="36615" spans="1:26" ht="12.75" customHeight="1" x14ac:dyDescent="0.2">
      <c r="A36615" s="258"/>
      <c r="Z36615" s="258"/>
    </row>
    <row r="36616" spans="1:26" ht="12.75" customHeight="1" x14ac:dyDescent="0.2">
      <c r="A36616" s="258"/>
      <c r="Z36616" s="258"/>
    </row>
    <row r="36617" spans="1:26" ht="12.75" customHeight="1" x14ac:dyDescent="0.2">
      <c r="A36617" s="258"/>
      <c r="Z36617" s="258"/>
    </row>
    <row r="36618" spans="1:26" ht="12.75" customHeight="1" x14ac:dyDescent="0.2">
      <c r="A36618" s="258"/>
      <c r="Z36618" s="258"/>
    </row>
    <row r="36619" spans="1:26" ht="12.75" customHeight="1" x14ac:dyDescent="0.2">
      <c r="A36619" s="258"/>
      <c r="Z36619" s="258"/>
    </row>
    <row r="36620" spans="1:26" ht="12.75" customHeight="1" x14ac:dyDescent="0.2">
      <c r="A36620" s="258"/>
      <c r="Z36620" s="258"/>
    </row>
    <row r="36621" spans="1:26" ht="12.75" customHeight="1" x14ac:dyDescent="0.2">
      <c r="A36621" s="258"/>
      <c r="Z36621" s="258"/>
    </row>
    <row r="36622" spans="1:26" ht="12.75" customHeight="1" x14ac:dyDescent="0.2">
      <c r="A36622" s="258"/>
      <c r="Z36622" s="258"/>
    </row>
    <row r="36623" spans="1:26" ht="12.75" customHeight="1" x14ac:dyDescent="0.2">
      <c r="A36623" s="258"/>
      <c r="Z36623" s="258"/>
    </row>
    <row r="36624" spans="1:26" ht="12.75" customHeight="1" x14ac:dyDescent="0.2">
      <c r="A36624" s="258"/>
      <c r="Z36624" s="258"/>
    </row>
    <row r="36625" spans="1:26" ht="12.75" customHeight="1" x14ac:dyDescent="0.2">
      <c r="A36625" s="258"/>
      <c r="Z36625" s="258"/>
    </row>
    <row r="36626" spans="1:26" ht="12.75" customHeight="1" x14ac:dyDescent="0.2">
      <c r="A36626" s="258"/>
      <c r="Z36626" s="258"/>
    </row>
    <row r="36627" spans="1:26" ht="12.75" customHeight="1" x14ac:dyDescent="0.2">
      <c r="A36627" s="258"/>
      <c r="Z36627" s="258"/>
    </row>
    <row r="36628" spans="1:26" ht="12.75" customHeight="1" x14ac:dyDescent="0.2">
      <c r="A36628" s="258"/>
      <c r="Z36628" s="258"/>
    </row>
    <row r="36629" spans="1:26" ht="12.75" customHeight="1" x14ac:dyDescent="0.2">
      <c r="A36629" s="258"/>
      <c r="Z36629" s="258"/>
    </row>
    <row r="36630" spans="1:26" ht="12.75" customHeight="1" x14ac:dyDescent="0.2">
      <c r="A36630" s="258"/>
      <c r="Z36630" s="258"/>
    </row>
    <row r="36631" spans="1:26" ht="12.75" customHeight="1" x14ac:dyDescent="0.2">
      <c r="A36631" s="258"/>
      <c r="Z36631" s="258"/>
    </row>
    <row r="36632" spans="1:26" ht="12.75" customHeight="1" x14ac:dyDescent="0.2">
      <c r="A36632" s="258"/>
      <c r="Z36632" s="258"/>
    </row>
    <row r="36633" spans="1:26" ht="12.75" customHeight="1" x14ac:dyDescent="0.2">
      <c r="A36633" s="258"/>
      <c r="Z36633" s="258"/>
    </row>
    <row r="36634" spans="1:26" ht="12.75" customHeight="1" x14ac:dyDescent="0.2">
      <c r="A36634" s="258"/>
      <c r="Z36634" s="258"/>
    </row>
    <row r="36635" spans="1:26" ht="12.75" customHeight="1" x14ac:dyDescent="0.2">
      <c r="A36635" s="258"/>
      <c r="Z36635" s="258"/>
    </row>
    <row r="36636" spans="1:26" ht="12.75" customHeight="1" x14ac:dyDescent="0.2">
      <c r="A36636" s="258"/>
      <c r="Z36636" s="258"/>
    </row>
    <row r="36637" spans="1:26" ht="12.75" customHeight="1" x14ac:dyDescent="0.2">
      <c r="A36637" s="258"/>
      <c r="Z36637" s="258"/>
    </row>
    <row r="36638" spans="1:26" ht="12.75" customHeight="1" x14ac:dyDescent="0.2">
      <c r="A36638" s="258"/>
      <c r="Z36638" s="258"/>
    </row>
    <row r="36639" spans="1:26" ht="12.75" customHeight="1" x14ac:dyDescent="0.2">
      <c r="A36639" s="258"/>
      <c r="Z36639" s="258"/>
    </row>
    <row r="36640" spans="1:26" ht="12.75" customHeight="1" x14ac:dyDescent="0.2">
      <c r="A36640" s="258"/>
      <c r="Z36640" s="258"/>
    </row>
    <row r="36641" spans="1:26" ht="12.75" customHeight="1" x14ac:dyDescent="0.2">
      <c r="A36641" s="258"/>
      <c r="Z36641" s="258"/>
    </row>
    <row r="36642" spans="1:26" ht="12.75" customHeight="1" x14ac:dyDescent="0.2">
      <c r="A36642" s="258"/>
      <c r="Z36642" s="258"/>
    </row>
    <row r="36643" spans="1:26" ht="12.75" customHeight="1" x14ac:dyDescent="0.2">
      <c r="A36643" s="258"/>
      <c r="Z36643" s="258"/>
    </row>
    <row r="36644" spans="1:26" ht="12.75" customHeight="1" x14ac:dyDescent="0.2">
      <c r="A36644" s="258"/>
      <c r="Z36644" s="258"/>
    </row>
    <row r="36645" spans="1:26" ht="12.75" customHeight="1" x14ac:dyDescent="0.2">
      <c r="A36645" s="258"/>
      <c r="Z36645" s="258"/>
    </row>
    <row r="36646" spans="1:26" ht="12.75" customHeight="1" x14ac:dyDescent="0.2">
      <c r="A36646" s="258"/>
      <c r="Z36646" s="258"/>
    </row>
    <row r="36647" spans="1:26" ht="12.75" customHeight="1" x14ac:dyDescent="0.2">
      <c r="A36647" s="258"/>
      <c r="Z36647" s="258"/>
    </row>
    <row r="36648" spans="1:26" ht="12.75" customHeight="1" x14ac:dyDescent="0.2">
      <c r="A36648" s="258"/>
      <c r="Z36648" s="258"/>
    </row>
    <row r="36649" spans="1:26" ht="12.75" customHeight="1" x14ac:dyDescent="0.2">
      <c r="A36649" s="258"/>
      <c r="Z36649" s="258"/>
    </row>
    <row r="36650" spans="1:26" ht="12.75" customHeight="1" x14ac:dyDescent="0.2">
      <c r="A36650" s="258"/>
      <c r="Z36650" s="258"/>
    </row>
    <row r="36651" spans="1:26" ht="12.75" customHeight="1" x14ac:dyDescent="0.2">
      <c r="A36651" s="258"/>
      <c r="Z36651" s="258"/>
    </row>
    <row r="36652" spans="1:26" ht="12.75" customHeight="1" x14ac:dyDescent="0.2">
      <c r="A36652" s="258"/>
      <c r="Z36652" s="258"/>
    </row>
    <row r="36653" spans="1:26" ht="12.75" customHeight="1" x14ac:dyDescent="0.2">
      <c r="A36653" s="258"/>
      <c r="Z36653" s="258"/>
    </row>
    <row r="36654" spans="1:26" ht="12.75" customHeight="1" x14ac:dyDescent="0.2">
      <c r="A36654" s="258"/>
      <c r="Z36654" s="258"/>
    </row>
    <row r="36655" spans="1:26" ht="12.75" customHeight="1" x14ac:dyDescent="0.2">
      <c r="A36655" s="258"/>
      <c r="Z36655" s="258"/>
    </row>
    <row r="36656" spans="1:26" ht="12.75" customHeight="1" x14ac:dyDescent="0.2">
      <c r="A36656" s="258"/>
      <c r="Z36656" s="258"/>
    </row>
    <row r="36657" spans="1:26" ht="12.75" customHeight="1" x14ac:dyDescent="0.2">
      <c r="A36657" s="258"/>
      <c r="Z36657" s="258"/>
    </row>
    <row r="36658" spans="1:26" ht="12.75" customHeight="1" x14ac:dyDescent="0.2">
      <c r="A36658" s="258"/>
      <c r="Z36658" s="258"/>
    </row>
    <row r="36659" spans="1:26" ht="12.75" customHeight="1" x14ac:dyDescent="0.2">
      <c r="A36659" s="258"/>
      <c r="Z36659" s="258"/>
    </row>
    <row r="36660" spans="1:26" ht="12.75" customHeight="1" x14ac:dyDescent="0.2">
      <c r="A36660" s="258"/>
      <c r="Z36660" s="258"/>
    </row>
    <row r="36661" spans="1:26" ht="12.75" customHeight="1" x14ac:dyDescent="0.2">
      <c r="A36661" s="258"/>
      <c r="Z36661" s="258"/>
    </row>
    <row r="36662" spans="1:26" ht="12.75" customHeight="1" x14ac:dyDescent="0.2">
      <c r="A36662" s="258"/>
      <c r="Z36662" s="258"/>
    </row>
    <row r="36663" spans="1:26" ht="12.75" customHeight="1" x14ac:dyDescent="0.2">
      <c r="A36663" s="258"/>
      <c r="Z36663" s="258"/>
    </row>
    <row r="36664" spans="1:26" ht="12.75" customHeight="1" x14ac:dyDescent="0.2">
      <c r="A36664" s="258"/>
      <c r="Z36664" s="258"/>
    </row>
    <row r="36665" spans="1:26" ht="12.75" customHeight="1" x14ac:dyDescent="0.2">
      <c r="A36665" s="258"/>
      <c r="Z36665" s="258"/>
    </row>
    <row r="36666" spans="1:26" ht="12.75" customHeight="1" x14ac:dyDescent="0.2">
      <c r="A36666" s="258"/>
      <c r="Z36666" s="258"/>
    </row>
    <row r="36667" spans="1:26" ht="12.75" customHeight="1" x14ac:dyDescent="0.2">
      <c r="A36667" s="258"/>
      <c r="Z36667" s="258"/>
    </row>
    <row r="36668" spans="1:26" ht="12.75" customHeight="1" x14ac:dyDescent="0.2">
      <c r="A36668" s="258"/>
      <c r="Z36668" s="258"/>
    </row>
    <row r="36669" spans="1:26" ht="12.75" customHeight="1" x14ac:dyDescent="0.2">
      <c r="A36669" s="258"/>
      <c r="Z36669" s="258"/>
    </row>
    <row r="36670" spans="1:26" ht="12.75" customHeight="1" x14ac:dyDescent="0.2">
      <c r="A36670" s="258"/>
      <c r="Z36670" s="258"/>
    </row>
    <row r="36671" spans="1:26" ht="12.75" customHeight="1" x14ac:dyDescent="0.2">
      <c r="A36671" s="258"/>
      <c r="Z36671" s="258"/>
    </row>
    <row r="36672" spans="1:26" ht="12.75" customHeight="1" x14ac:dyDescent="0.2">
      <c r="A36672" s="258"/>
      <c r="Z36672" s="258"/>
    </row>
    <row r="36673" spans="1:26" ht="12.75" customHeight="1" x14ac:dyDescent="0.2">
      <c r="A36673" s="258"/>
      <c r="Z36673" s="258"/>
    </row>
    <row r="36674" spans="1:26" ht="12.75" customHeight="1" x14ac:dyDescent="0.2">
      <c r="A36674" s="258"/>
      <c r="Z36674" s="258"/>
    </row>
    <row r="36675" spans="1:26" ht="12.75" customHeight="1" x14ac:dyDescent="0.2">
      <c r="A36675" s="258"/>
      <c r="Z36675" s="258"/>
    </row>
    <row r="36676" spans="1:26" ht="12.75" customHeight="1" x14ac:dyDescent="0.2">
      <c r="A36676" s="258"/>
      <c r="Z36676" s="258"/>
    </row>
    <row r="36677" spans="1:26" ht="12.75" customHeight="1" x14ac:dyDescent="0.2">
      <c r="A36677" s="258"/>
      <c r="Z36677" s="258"/>
    </row>
    <row r="36678" spans="1:26" ht="12.75" customHeight="1" x14ac:dyDescent="0.2">
      <c r="A36678" s="258"/>
      <c r="Z36678" s="258"/>
    </row>
    <row r="36679" spans="1:26" ht="12.75" customHeight="1" x14ac:dyDescent="0.2">
      <c r="A36679" s="258"/>
      <c r="Z36679" s="258"/>
    </row>
    <row r="36680" spans="1:26" ht="12.75" customHeight="1" x14ac:dyDescent="0.2">
      <c r="A36680" s="258"/>
      <c r="Z36680" s="258"/>
    </row>
    <row r="36681" spans="1:26" ht="12.75" customHeight="1" x14ac:dyDescent="0.2">
      <c r="A36681" s="258"/>
      <c r="Z36681" s="258"/>
    </row>
    <row r="36682" spans="1:26" ht="12.75" customHeight="1" x14ac:dyDescent="0.2">
      <c r="A36682" s="258"/>
      <c r="Z36682" s="258"/>
    </row>
    <row r="36683" spans="1:26" ht="12.75" customHeight="1" x14ac:dyDescent="0.2">
      <c r="A36683" s="258"/>
      <c r="Z36683" s="258"/>
    </row>
    <row r="36684" spans="1:26" ht="12.75" customHeight="1" x14ac:dyDescent="0.2">
      <c r="A36684" s="258"/>
      <c r="Z36684" s="258"/>
    </row>
    <row r="36685" spans="1:26" ht="12.75" customHeight="1" x14ac:dyDescent="0.2">
      <c r="A36685" s="258"/>
      <c r="Z36685" s="258"/>
    </row>
    <row r="36686" spans="1:26" ht="12.75" customHeight="1" x14ac:dyDescent="0.2">
      <c r="A36686" s="258"/>
      <c r="Z36686" s="258"/>
    </row>
    <row r="36687" spans="1:26" ht="12.75" customHeight="1" x14ac:dyDescent="0.2">
      <c r="A36687" s="258"/>
      <c r="Z36687" s="258"/>
    </row>
    <row r="36688" spans="1:26" ht="12.75" customHeight="1" x14ac:dyDescent="0.2">
      <c r="A36688" s="258"/>
      <c r="Z36688" s="258"/>
    </row>
    <row r="36689" spans="1:26" ht="12.75" customHeight="1" x14ac:dyDescent="0.2">
      <c r="A36689" s="258"/>
      <c r="Z36689" s="258"/>
    </row>
    <row r="36690" spans="1:26" ht="12.75" customHeight="1" x14ac:dyDescent="0.2">
      <c r="A36690" s="258"/>
      <c r="Z36690" s="258"/>
    </row>
    <row r="36691" spans="1:26" ht="12.75" customHeight="1" x14ac:dyDescent="0.2">
      <c r="A36691" s="258"/>
      <c r="Z36691" s="258"/>
    </row>
    <row r="36692" spans="1:26" ht="12.75" customHeight="1" x14ac:dyDescent="0.2">
      <c r="A36692" s="258"/>
      <c r="Z36692" s="258"/>
    </row>
    <row r="36693" spans="1:26" ht="12.75" customHeight="1" x14ac:dyDescent="0.2">
      <c r="A36693" s="258"/>
      <c r="Z36693" s="258"/>
    </row>
    <row r="36694" spans="1:26" ht="12.75" customHeight="1" x14ac:dyDescent="0.2">
      <c r="A36694" s="258"/>
      <c r="Z36694" s="258"/>
    </row>
    <row r="36695" spans="1:26" ht="12.75" customHeight="1" x14ac:dyDescent="0.2">
      <c r="A36695" s="258"/>
      <c r="Z36695" s="258"/>
    </row>
    <row r="36696" spans="1:26" ht="12.75" customHeight="1" x14ac:dyDescent="0.2">
      <c r="A36696" s="258"/>
      <c r="Z36696" s="258"/>
    </row>
    <row r="36697" spans="1:26" ht="12.75" customHeight="1" x14ac:dyDescent="0.2">
      <c r="A36697" s="258"/>
      <c r="Z36697" s="258"/>
    </row>
    <row r="36698" spans="1:26" ht="12.75" customHeight="1" x14ac:dyDescent="0.2">
      <c r="A36698" s="258"/>
      <c r="Z36698" s="258"/>
    </row>
    <row r="36699" spans="1:26" ht="12.75" customHeight="1" x14ac:dyDescent="0.2">
      <c r="A36699" s="258"/>
      <c r="Z36699" s="258"/>
    </row>
    <row r="36700" spans="1:26" ht="12.75" customHeight="1" x14ac:dyDescent="0.2">
      <c r="A36700" s="258"/>
      <c r="Z36700" s="258"/>
    </row>
    <row r="36701" spans="1:26" ht="12.75" customHeight="1" x14ac:dyDescent="0.2">
      <c r="A36701" s="258"/>
      <c r="Z36701" s="258"/>
    </row>
    <row r="36702" spans="1:26" ht="12.75" customHeight="1" x14ac:dyDescent="0.2">
      <c r="A36702" s="258"/>
      <c r="Z36702" s="258"/>
    </row>
    <row r="36703" spans="1:26" ht="12.75" customHeight="1" x14ac:dyDescent="0.2">
      <c r="A36703" s="258"/>
      <c r="Z36703" s="258"/>
    </row>
    <row r="36704" spans="1:26" ht="12.75" customHeight="1" x14ac:dyDescent="0.2">
      <c r="A36704" s="258"/>
      <c r="Z36704" s="258"/>
    </row>
    <row r="36705" spans="1:26" ht="12.75" customHeight="1" x14ac:dyDescent="0.2">
      <c r="A36705" s="258"/>
      <c r="Z36705" s="258"/>
    </row>
    <row r="36706" spans="1:26" ht="12.75" customHeight="1" x14ac:dyDescent="0.2">
      <c r="A36706" s="258"/>
      <c r="Z36706" s="258"/>
    </row>
    <row r="36707" spans="1:26" ht="12.75" customHeight="1" x14ac:dyDescent="0.2">
      <c r="A36707" s="258"/>
      <c r="Z36707" s="258"/>
    </row>
    <row r="36708" spans="1:26" ht="12.75" customHeight="1" x14ac:dyDescent="0.2">
      <c r="A36708" s="258"/>
      <c r="Z36708" s="258"/>
    </row>
    <row r="36709" spans="1:26" ht="12.75" customHeight="1" x14ac:dyDescent="0.2">
      <c r="A36709" s="258"/>
      <c r="Z36709" s="258"/>
    </row>
    <row r="36710" spans="1:26" ht="12.75" customHeight="1" x14ac:dyDescent="0.2">
      <c r="A36710" s="258"/>
      <c r="Z36710" s="258"/>
    </row>
    <row r="36711" spans="1:26" ht="12.75" customHeight="1" x14ac:dyDescent="0.2">
      <c r="A36711" s="258"/>
      <c r="Z36711" s="258"/>
    </row>
    <row r="36712" spans="1:26" ht="12.75" customHeight="1" x14ac:dyDescent="0.2">
      <c r="A36712" s="258"/>
      <c r="Z36712" s="258"/>
    </row>
    <row r="36713" spans="1:26" ht="12.75" customHeight="1" x14ac:dyDescent="0.2">
      <c r="A36713" s="258"/>
      <c r="Z36713" s="258"/>
    </row>
    <row r="36714" spans="1:26" ht="12.75" customHeight="1" x14ac:dyDescent="0.2">
      <c r="A36714" s="258"/>
      <c r="Z36714" s="258"/>
    </row>
    <row r="36715" spans="1:26" ht="12.75" customHeight="1" x14ac:dyDescent="0.2">
      <c r="A36715" s="258"/>
      <c r="Z36715" s="258"/>
    </row>
    <row r="36716" spans="1:26" ht="12.75" customHeight="1" x14ac:dyDescent="0.2">
      <c r="A36716" s="258"/>
      <c r="Z36716" s="258"/>
    </row>
    <row r="36717" spans="1:26" ht="12.75" customHeight="1" x14ac:dyDescent="0.2">
      <c r="A36717" s="258"/>
      <c r="Z36717" s="258"/>
    </row>
    <row r="36718" spans="1:26" ht="12.75" customHeight="1" x14ac:dyDescent="0.2">
      <c r="A36718" s="258"/>
      <c r="Z36718" s="258"/>
    </row>
    <row r="36719" spans="1:26" ht="12.75" customHeight="1" x14ac:dyDescent="0.2">
      <c r="A36719" s="258"/>
      <c r="Z36719" s="258"/>
    </row>
    <row r="36720" spans="1:26" ht="12.75" customHeight="1" x14ac:dyDescent="0.2">
      <c r="A36720" s="258"/>
      <c r="Z36720" s="258"/>
    </row>
    <row r="36721" spans="1:26" ht="12.75" customHeight="1" x14ac:dyDescent="0.2">
      <c r="A36721" s="258"/>
      <c r="Z36721" s="258"/>
    </row>
    <row r="36722" spans="1:26" ht="12.75" customHeight="1" x14ac:dyDescent="0.2">
      <c r="A36722" s="258"/>
      <c r="Z36722" s="258"/>
    </row>
    <row r="36723" spans="1:26" ht="12.75" customHeight="1" x14ac:dyDescent="0.2">
      <c r="A36723" s="258"/>
      <c r="Z36723" s="258"/>
    </row>
    <row r="36724" spans="1:26" ht="12.75" customHeight="1" x14ac:dyDescent="0.2">
      <c r="A36724" s="258"/>
      <c r="Z36724" s="258"/>
    </row>
    <row r="36725" spans="1:26" ht="12.75" customHeight="1" x14ac:dyDescent="0.2">
      <c r="A36725" s="258"/>
      <c r="Z36725" s="258"/>
    </row>
    <row r="36726" spans="1:26" ht="12.75" customHeight="1" x14ac:dyDescent="0.2">
      <c r="A36726" s="258"/>
      <c r="Z36726" s="258"/>
    </row>
    <row r="36727" spans="1:26" ht="12.75" customHeight="1" x14ac:dyDescent="0.2">
      <c r="A36727" s="258"/>
      <c r="Z36727" s="258"/>
    </row>
    <row r="36728" spans="1:26" ht="12.75" customHeight="1" x14ac:dyDescent="0.2">
      <c r="A36728" s="258"/>
      <c r="Z36728" s="258"/>
    </row>
    <row r="36729" spans="1:26" ht="12.75" customHeight="1" x14ac:dyDescent="0.2">
      <c r="A36729" s="258"/>
      <c r="Z36729" s="258"/>
    </row>
    <row r="36730" spans="1:26" ht="12.75" customHeight="1" x14ac:dyDescent="0.2">
      <c r="A36730" s="258"/>
      <c r="Z36730" s="258"/>
    </row>
    <row r="36731" spans="1:26" ht="12.75" customHeight="1" x14ac:dyDescent="0.2">
      <c r="A36731" s="258"/>
      <c r="Z36731" s="258"/>
    </row>
    <row r="36732" spans="1:26" ht="12.75" customHeight="1" x14ac:dyDescent="0.2">
      <c r="A36732" s="258"/>
      <c r="Z36732" s="258"/>
    </row>
    <row r="36733" spans="1:26" ht="12.75" customHeight="1" x14ac:dyDescent="0.2">
      <c r="A36733" s="258"/>
      <c r="Z36733" s="258"/>
    </row>
    <row r="36734" spans="1:26" ht="12.75" customHeight="1" x14ac:dyDescent="0.2">
      <c r="A36734" s="258"/>
      <c r="Z36734" s="258"/>
    </row>
    <row r="36735" spans="1:26" ht="12.75" customHeight="1" x14ac:dyDescent="0.2">
      <c r="A36735" s="258"/>
      <c r="Z36735" s="258"/>
    </row>
    <row r="36736" spans="1:26" ht="12.75" customHeight="1" x14ac:dyDescent="0.2">
      <c r="A36736" s="258"/>
      <c r="Z36736" s="258"/>
    </row>
    <row r="36737" spans="1:26" ht="12.75" customHeight="1" x14ac:dyDescent="0.2">
      <c r="A36737" s="258"/>
      <c r="Z36737" s="258"/>
    </row>
    <row r="36738" spans="1:26" ht="12.75" customHeight="1" x14ac:dyDescent="0.2">
      <c r="A36738" s="258"/>
      <c r="Z36738" s="258"/>
    </row>
    <row r="36739" spans="1:26" ht="12.75" customHeight="1" x14ac:dyDescent="0.2">
      <c r="A36739" s="258"/>
      <c r="Z36739" s="258"/>
    </row>
    <row r="36740" spans="1:26" ht="12.75" customHeight="1" x14ac:dyDescent="0.2">
      <c r="A36740" s="258"/>
      <c r="Z36740" s="258"/>
    </row>
    <row r="36741" spans="1:26" ht="12.75" customHeight="1" x14ac:dyDescent="0.2">
      <c r="A36741" s="258"/>
      <c r="Z36741" s="258"/>
    </row>
    <row r="36742" spans="1:26" ht="12.75" customHeight="1" x14ac:dyDescent="0.2">
      <c r="A36742" s="258"/>
      <c r="Z36742" s="258"/>
    </row>
    <row r="36743" spans="1:26" ht="12.75" customHeight="1" x14ac:dyDescent="0.2">
      <c r="A36743" s="258"/>
      <c r="Z36743" s="258"/>
    </row>
    <row r="36744" spans="1:26" ht="12.75" customHeight="1" x14ac:dyDescent="0.2">
      <c r="A36744" s="258"/>
      <c r="Z36744" s="258"/>
    </row>
    <row r="36745" spans="1:26" ht="12.75" customHeight="1" x14ac:dyDescent="0.2">
      <c r="A36745" s="258"/>
      <c r="Z36745" s="258"/>
    </row>
    <row r="36746" spans="1:26" ht="12.75" customHeight="1" x14ac:dyDescent="0.2">
      <c r="A36746" s="258"/>
      <c r="Z36746" s="258"/>
    </row>
    <row r="36747" spans="1:26" ht="12.75" customHeight="1" x14ac:dyDescent="0.2">
      <c r="A36747" s="258"/>
      <c r="Z36747" s="258"/>
    </row>
    <row r="36748" spans="1:26" ht="12.75" customHeight="1" x14ac:dyDescent="0.2">
      <c r="A36748" s="258"/>
      <c r="Z36748" s="258"/>
    </row>
    <row r="36749" spans="1:26" ht="12.75" customHeight="1" x14ac:dyDescent="0.2">
      <c r="A36749" s="258"/>
      <c r="Z36749" s="258"/>
    </row>
    <row r="36750" spans="1:26" ht="12.75" customHeight="1" x14ac:dyDescent="0.2">
      <c r="A36750" s="258"/>
      <c r="Z36750" s="258"/>
    </row>
    <row r="36751" spans="1:26" ht="12.75" customHeight="1" x14ac:dyDescent="0.2">
      <c r="A36751" s="258"/>
      <c r="Z36751" s="258"/>
    </row>
    <row r="36752" spans="1:26" ht="12.75" customHeight="1" x14ac:dyDescent="0.2">
      <c r="A36752" s="258"/>
      <c r="Z36752" s="258"/>
    </row>
    <row r="36753" spans="1:26" ht="12.75" customHeight="1" x14ac:dyDescent="0.2">
      <c r="A36753" s="258"/>
      <c r="Z36753" s="258"/>
    </row>
    <row r="36754" spans="1:26" ht="12.75" customHeight="1" x14ac:dyDescent="0.2">
      <c r="A36754" s="258"/>
      <c r="Z36754" s="258"/>
    </row>
    <row r="36755" spans="1:26" ht="12.75" customHeight="1" x14ac:dyDescent="0.2">
      <c r="A36755" s="258"/>
      <c r="Z36755" s="258"/>
    </row>
    <row r="36756" spans="1:26" ht="12.75" customHeight="1" x14ac:dyDescent="0.2">
      <c r="A36756" s="258"/>
      <c r="Z36756" s="258"/>
    </row>
    <row r="36757" spans="1:26" ht="12.75" customHeight="1" x14ac:dyDescent="0.2">
      <c r="A36757" s="258"/>
      <c r="Z36757" s="258"/>
    </row>
    <row r="36758" spans="1:26" ht="12.75" customHeight="1" x14ac:dyDescent="0.2">
      <c r="A36758" s="258"/>
      <c r="Z36758" s="258"/>
    </row>
    <row r="36759" spans="1:26" ht="12.75" customHeight="1" x14ac:dyDescent="0.2">
      <c r="A36759" s="258"/>
      <c r="Z36759" s="258"/>
    </row>
    <row r="36760" spans="1:26" ht="12.75" customHeight="1" x14ac:dyDescent="0.2">
      <c r="A36760" s="258"/>
      <c r="Z36760" s="258"/>
    </row>
    <row r="36761" spans="1:26" ht="12.75" customHeight="1" x14ac:dyDescent="0.2">
      <c r="A36761" s="258"/>
      <c r="Z36761" s="258"/>
    </row>
    <row r="36762" spans="1:26" ht="12.75" customHeight="1" x14ac:dyDescent="0.2">
      <c r="A36762" s="258"/>
      <c r="Z36762" s="258"/>
    </row>
    <row r="36763" spans="1:26" ht="12.75" customHeight="1" x14ac:dyDescent="0.2">
      <c r="A36763" s="258"/>
      <c r="Z36763" s="258"/>
    </row>
    <row r="36764" spans="1:26" ht="12.75" customHeight="1" x14ac:dyDescent="0.2">
      <c r="A36764" s="258"/>
      <c r="Z36764" s="258"/>
    </row>
    <row r="36765" spans="1:26" ht="12.75" customHeight="1" x14ac:dyDescent="0.2">
      <c r="A36765" s="258"/>
      <c r="Z36765" s="258"/>
    </row>
    <row r="36766" spans="1:26" ht="12.75" customHeight="1" x14ac:dyDescent="0.2">
      <c r="A36766" s="258"/>
      <c r="Z36766" s="258"/>
    </row>
    <row r="36767" spans="1:26" ht="12.75" customHeight="1" x14ac:dyDescent="0.2">
      <c r="A36767" s="258"/>
      <c r="Z36767" s="258"/>
    </row>
    <row r="36768" spans="1:26" ht="12.75" customHeight="1" x14ac:dyDescent="0.2">
      <c r="A36768" s="258"/>
      <c r="Z36768" s="258"/>
    </row>
    <row r="36769" spans="1:26" ht="12.75" customHeight="1" x14ac:dyDescent="0.2">
      <c r="A36769" s="258"/>
      <c r="Z36769" s="258"/>
    </row>
    <row r="36770" spans="1:26" ht="12.75" customHeight="1" x14ac:dyDescent="0.2">
      <c r="A36770" s="258"/>
      <c r="Z36770" s="258"/>
    </row>
    <row r="36771" spans="1:26" ht="12.75" customHeight="1" x14ac:dyDescent="0.2">
      <c r="A36771" s="258"/>
      <c r="Z36771" s="258"/>
    </row>
    <row r="36772" spans="1:26" ht="12.75" customHeight="1" x14ac:dyDescent="0.2">
      <c r="A36772" s="258"/>
      <c r="Z36772" s="258"/>
    </row>
    <row r="36773" spans="1:26" ht="12.75" customHeight="1" x14ac:dyDescent="0.2">
      <c r="A36773" s="258"/>
      <c r="Z36773" s="258"/>
    </row>
    <row r="36774" spans="1:26" ht="12.75" customHeight="1" x14ac:dyDescent="0.2">
      <c r="A36774" s="258"/>
      <c r="Z36774" s="258"/>
    </row>
    <row r="36775" spans="1:26" ht="12.75" customHeight="1" x14ac:dyDescent="0.2">
      <c r="A36775" s="258"/>
      <c r="Z36775" s="258"/>
    </row>
    <row r="36776" spans="1:26" ht="12.75" customHeight="1" x14ac:dyDescent="0.2">
      <c r="A36776" s="258"/>
      <c r="Z36776" s="258"/>
    </row>
    <row r="36777" spans="1:26" ht="12.75" customHeight="1" x14ac:dyDescent="0.2">
      <c r="A36777" s="258"/>
      <c r="Z36777" s="258"/>
    </row>
    <row r="36778" spans="1:26" ht="12.75" customHeight="1" x14ac:dyDescent="0.2">
      <c r="A36778" s="258"/>
      <c r="Z36778" s="258"/>
    </row>
    <row r="36779" spans="1:26" ht="12.75" customHeight="1" x14ac:dyDescent="0.2">
      <c r="A36779" s="258"/>
      <c r="Z36779" s="258"/>
    </row>
    <row r="36780" spans="1:26" ht="12.75" customHeight="1" x14ac:dyDescent="0.2">
      <c r="A36780" s="258"/>
      <c r="Z36780" s="258"/>
    </row>
    <row r="36781" spans="1:26" ht="12.75" customHeight="1" x14ac:dyDescent="0.2">
      <c r="A36781" s="258"/>
      <c r="Z36781" s="258"/>
    </row>
    <row r="36782" spans="1:26" ht="12.75" customHeight="1" x14ac:dyDescent="0.2">
      <c r="A36782" s="258"/>
      <c r="Z36782" s="258"/>
    </row>
    <row r="36783" spans="1:26" ht="12.75" customHeight="1" x14ac:dyDescent="0.2">
      <c r="A36783" s="258"/>
      <c r="Z36783" s="258"/>
    </row>
    <row r="36784" spans="1:26" ht="12.75" customHeight="1" x14ac:dyDescent="0.2">
      <c r="A36784" s="258"/>
      <c r="Z36784" s="258"/>
    </row>
    <row r="36785" spans="1:26" ht="12.75" customHeight="1" x14ac:dyDescent="0.2">
      <c r="A36785" s="258"/>
      <c r="Z36785" s="258"/>
    </row>
    <row r="36786" spans="1:26" ht="12.75" customHeight="1" x14ac:dyDescent="0.2">
      <c r="A36786" s="258"/>
      <c r="Z36786" s="258"/>
    </row>
    <row r="36787" spans="1:26" ht="12.75" customHeight="1" x14ac:dyDescent="0.2">
      <c r="A36787" s="258"/>
      <c r="Z36787" s="258"/>
    </row>
    <row r="36788" spans="1:26" ht="12.75" customHeight="1" x14ac:dyDescent="0.2">
      <c r="A36788" s="258"/>
      <c r="Z36788" s="258"/>
    </row>
    <row r="36789" spans="1:26" ht="12.75" customHeight="1" x14ac:dyDescent="0.2">
      <c r="A36789" s="258"/>
      <c r="Z36789" s="258"/>
    </row>
    <row r="36790" spans="1:26" ht="12.75" customHeight="1" x14ac:dyDescent="0.2">
      <c r="A36790" s="258"/>
      <c r="Z36790" s="258"/>
    </row>
    <row r="36791" spans="1:26" ht="12.75" customHeight="1" x14ac:dyDescent="0.2">
      <c r="A36791" s="258"/>
      <c r="Z36791" s="258"/>
    </row>
    <row r="36792" spans="1:26" ht="12.75" customHeight="1" x14ac:dyDescent="0.2">
      <c r="A36792" s="258"/>
      <c r="Z36792" s="258"/>
    </row>
    <row r="36793" spans="1:26" ht="12.75" customHeight="1" x14ac:dyDescent="0.2">
      <c r="A36793" s="258"/>
      <c r="Z36793" s="258"/>
    </row>
    <row r="36794" spans="1:26" ht="12.75" customHeight="1" x14ac:dyDescent="0.2">
      <c r="A36794" s="258"/>
      <c r="Z36794" s="258"/>
    </row>
    <row r="36795" spans="1:26" ht="12.75" customHeight="1" x14ac:dyDescent="0.2">
      <c r="A36795" s="258"/>
      <c r="Z36795" s="258"/>
    </row>
    <row r="36796" spans="1:26" ht="12.75" customHeight="1" x14ac:dyDescent="0.2">
      <c r="A36796" s="258"/>
      <c r="Z36796" s="258"/>
    </row>
    <row r="36797" spans="1:26" ht="12.75" customHeight="1" x14ac:dyDescent="0.2">
      <c r="A36797" s="258"/>
      <c r="Z36797" s="258"/>
    </row>
    <row r="36798" spans="1:26" ht="12.75" customHeight="1" x14ac:dyDescent="0.2">
      <c r="A36798" s="258"/>
      <c r="Z36798" s="258"/>
    </row>
    <row r="36799" spans="1:26" ht="12.75" customHeight="1" x14ac:dyDescent="0.2">
      <c r="A36799" s="258"/>
      <c r="Z36799" s="258"/>
    </row>
    <row r="36800" spans="1:26" ht="12.75" customHeight="1" x14ac:dyDescent="0.2">
      <c r="A36800" s="258"/>
      <c r="Z36800" s="258"/>
    </row>
    <row r="36801" spans="1:26" ht="12.75" customHeight="1" x14ac:dyDescent="0.2">
      <c r="A36801" s="258"/>
      <c r="Z36801" s="258"/>
    </row>
    <row r="36802" spans="1:26" ht="12.75" customHeight="1" x14ac:dyDescent="0.2">
      <c r="A36802" s="258"/>
      <c r="Z36802" s="258"/>
    </row>
    <row r="36803" spans="1:26" ht="12.75" customHeight="1" x14ac:dyDescent="0.2">
      <c r="A36803" s="258"/>
      <c r="Z36803" s="258"/>
    </row>
    <row r="36804" spans="1:26" ht="12.75" customHeight="1" x14ac:dyDescent="0.2">
      <c r="A36804" s="258"/>
      <c r="Z36804" s="258"/>
    </row>
    <row r="36805" spans="1:26" ht="12.75" customHeight="1" x14ac:dyDescent="0.2">
      <c r="A36805" s="258"/>
      <c r="Z36805" s="258"/>
    </row>
    <row r="36806" spans="1:26" ht="12.75" customHeight="1" x14ac:dyDescent="0.2">
      <c r="A36806" s="258"/>
      <c r="Z36806" s="258"/>
    </row>
    <row r="36807" spans="1:26" ht="12.75" customHeight="1" x14ac:dyDescent="0.2">
      <c r="A36807" s="258"/>
      <c r="Z36807" s="258"/>
    </row>
    <row r="36808" spans="1:26" ht="12.75" customHeight="1" x14ac:dyDescent="0.2">
      <c r="A36808" s="258"/>
      <c r="Z36808" s="258"/>
    </row>
    <row r="36809" spans="1:26" ht="12.75" customHeight="1" x14ac:dyDescent="0.2">
      <c r="A36809" s="258"/>
      <c r="Z36809" s="258"/>
    </row>
    <row r="36810" spans="1:26" ht="12.75" customHeight="1" x14ac:dyDescent="0.2">
      <c r="A36810" s="258"/>
      <c r="Z36810" s="258"/>
    </row>
    <row r="36811" spans="1:26" ht="12.75" customHeight="1" x14ac:dyDescent="0.2">
      <c r="A36811" s="258"/>
      <c r="Z36811" s="258"/>
    </row>
    <row r="36812" spans="1:26" ht="12.75" customHeight="1" x14ac:dyDescent="0.2">
      <c r="A36812" s="258"/>
      <c r="Z36812" s="258"/>
    </row>
    <row r="36813" spans="1:26" ht="12.75" customHeight="1" x14ac:dyDescent="0.2">
      <c r="A36813" s="258"/>
      <c r="Z36813" s="258"/>
    </row>
    <row r="36814" spans="1:26" ht="12.75" customHeight="1" x14ac:dyDescent="0.2">
      <c r="A36814" s="258"/>
      <c r="Z36814" s="258"/>
    </row>
    <row r="36815" spans="1:26" ht="12.75" customHeight="1" x14ac:dyDescent="0.2">
      <c r="A36815" s="258"/>
      <c r="Z36815" s="258"/>
    </row>
    <row r="36816" spans="1:26" ht="12.75" customHeight="1" x14ac:dyDescent="0.2">
      <c r="A36816" s="258"/>
      <c r="Z36816" s="258"/>
    </row>
    <row r="36817" spans="1:26" ht="12.75" customHeight="1" x14ac:dyDescent="0.2">
      <c r="A36817" s="258"/>
      <c r="Z36817" s="258"/>
    </row>
    <row r="36818" spans="1:26" ht="12.75" customHeight="1" x14ac:dyDescent="0.2">
      <c r="A36818" s="258"/>
      <c r="Z36818" s="258"/>
    </row>
    <row r="36819" spans="1:26" ht="12.75" customHeight="1" x14ac:dyDescent="0.2">
      <c r="A36819" s="258"/>
      <c r="Z36819" s="258"/>
    </row>
    <row r="36820" spans="1:26" ht="12.75" customHeight="1" x14ac:dyDescent="0.2">
      <c r="A36820" s="258"/>
      <c r="Z36820" s="258"/>
    </row>
    <row r="36821" spans="1:26" ht="12.75" customHeight="1" x14ac:dyDescent="0.2">
      <c r="A36821" s="258"/>
      <c r="Z36821" s="258"/>
    </row>
    <row r="36822" spans="1:26" ht="12.75" customHeight="1" x14ac:dyDescent="0.2">
      <c r="A36822" s="258"/>
      <c r="Z36822" s="258"/>
    </row>
    <row r="36823" spans="1:26" ht="12.75" customHeight="1" x14ac:dyDescent="0.2">
      <c r="A36823" s="258"/>
      <c r="Z36823" s="258"/>
    </row>
    <row r="36824" spans="1:26" ht="12.75" customHeight="1" x14ac:dyDescent="0.2">
      <c r="A36824" s="258"/>
      <c r="Z36824" s="258"/>
    </row>
    <row r="36825" spans="1:26" ht="12.75" customHeight="1" x14ac:dyDescent="0.2">
      <c r="A36825" s="258"/>
      <c r="Z36825" s="258"/>
    </row>
    <row r="36826" spans="1:26" ht="12.75" customHeight="1" x14ac:dyDescent="0.2">
      <c r="A36826" s="258"/>
      <c r="Z36826" s="258"/>
    </row>
    <row r="36827" spans="1:26" ht="12.75" customHeight="1" x14ac:dyDescent="0.2">
      <c r="A36827" s="258"/>
      <c r="Z36827" s="258"/>
    </row>
    <row r="36828" spans="1:26" ht="12.75" customHeight="1" x14ac:dyDescent="0.2">
      <c r="A36828" s="258"/>
      <c r="Z36828" s="258"/>
    </row>
    <row r="36829" spans="1:26" ht="12.75" customHeight="1" x14ac:dyDescent="0.2">
      <c r="A36829" s="258"/>
      <c r="Z36829" s="258"/>
    </row>
    <row r="36830" spans="1:26" ht="12.75" customHeight="1" x14ac:dyDescent="0.2">
      <c r="A36830" s="258"/>
      <c r="Z36830" s="258"/>
    </row>
    <row r="36831" spans="1:26" ht="12.75" customHeight="1" x14ac:dyDescent="0.2">
      <c r="A36831" s="258"/>
      <c r="Z36831" s="258"/>
    </row>
    <row r="36832" spans="1:26" ht="12.75" customHeight="1" x14ac:dyDescent="0.2">
      <c r="A36832" s="258"/>
      <c r="Z36832" s="258"/>
    </row>
    <row r="36833" spans="1:26" ht="12.75" customHeight="1" x14ac:dyDescent="0.2">
      <c r="A36833" s="258"/>
      <c r="Z36833" s="258"/>
    </row>
    <row r="36834" spans="1:26" ht="12.75" customHeight="1" x14ac:dyDescent="0.2">
      <c r="A36834" s="258"/>
      <c r="Z36834" s="258"/>
    </row>
    <row r="36835" spans="1:26" ht="12.75" customHeight="1" x14ac:dyDescent="0.2">
      <c r="A36835" s="258"/>
      <c r="Z36835" s="258"/>
    </row>
    <row r="36836" spans="1:26" ht="12.75" customHeight="1" x14ac:dyDescent="0.2">
      <c r="A36836" s="258"/>
      <c r="Z36836" s="258"/>
    </row>
    <row r="36837" spans="1:26" ht="12.75" customHeight="1" x14ac:dyDescent="0.2">
      <c r="A36837" s="258"/>
      <c r="Z36837" s="258"/>
    </row>
    <row r="36838" spans="1:26" ht="12.75" customHeight="1" x14ac:dyDescent="0.2">
      <c r="A36838" s="258"/>
      <c r="Z36838" s="258"/>
    </row>
    <row r="36839" spans="1:26" ht="12.75" customHeight="1" x14ac:dyDescent="0.2">
      <c r="A36839" s="258"/>
      <c r="Z36839" s="258"/>
    </row>
    <row r="36840" spans="1:26" ht="12.75" customHeight="1" x14ac:dyDescent="0.2">
      <c r="A36840" s="258"/>
      <c r="Z36840" s="258"/>
    </row>
    <row r="36841" spans="1:26" ht="12.75" customHeight="1" x14ac:dyDescent="0.2">
      <c r="A36841" s="258"/>
      <c r="Z36841" s="258"/>
    </row>
    <row r="36842" spans="1:26" ht="12.75" customHeight="1" x14ac:dyDescent="0.2">
      <c r="A36842" s="258"/>
      <c r="Z36842" s="258"/>
    </row>
    <row r="36843" spans="1:26" ht="12.75" customHeight="1" x14ac:dyDescent="0.2">
      <c r="A36843" s="258"/>
      <c r="Z36843" s="258"/>
    </row>
    <row r="36844" spans="1:26" ht="12.75" customHeight="1" x14ac:dyDescent="0.2">
      <c r="A36844" s="258"/>
      <c r="Z36844" s="258"/>
    </row>
    <row r="36845" spans="1:26" ht="12.75" customHeight="1" x14ac:dyDescent="0.2">
      <c r="A36845" s="258"/>
      <c r="Z36845" s="258"/>
    </row>
    <row r="36846" spans="1:26" ht="12.75" customHeight="1" x14ac:dyDescent="0.2">
      <c r="A36846" s="258"/>
      <c r="Z36846" s="258"/>
    </row>
    <row r="36847" spans="1:26" ht="12.75" customHeight="1" x14ac:dyDescent="0.2">
      <c r="A36847" s="258"/>
      <c r="Z36847" s="258"/>
    </row>
    <row r="36848" spans="1:26" ht="12.75" customHeight="1" x14ac:dyDescent="0.2">
      <c r="A36848" s="258"/>
      <c r="Z36848" s="258"/>
    </row>
    <row r="36849" spans="1:26" ht="12.75" customHeight="1" x14ac:dyDescent="0.2">
      <c r="A36849" s="258"/>
      <c r="Z36849" s="258"/>
    </row>
    <row r="36850" spans="1:26" ht="12.75" customHeight="1" x14ac:dyDescent="0.2">
      <c r="A36850" s="258"/>
      <c r="Z36850" s="258"/>
    </row>
    <row r="36851" spans="1:26" ht="12.75" customHeight="1" x14ac:dyDescent="0.2">
      <c r="A36851" s="258"/>
      <c r="Z36851" s="258"/>
    </row>
    <row r="36852" spans="1:26" ht="12.75" customHeight="1" x14ac:dyDescent="0.2">
      <c r="A36852" s="258"/>
      <c r="Z36852" s="258"/>
    </row>
    <row r="36853" spans="1:26" ht="12.75" customHeight="1" x14ac:dyDescent="0.2">
      <c r="A36853" s="258"/>
      <c r="Z36853" s="258"/>
    </row>
    <row r="36854" spans="1:26" ht="12.75" customHeight="1" x14ac:dyDescent="0.2">
      <c r="A36854" s="258"/>
      <c r="Z36854" s="258"/>
    </row>
    <row r="36855" spans="1:26" ht="12.75" customHeight="1" x14ac:dyDescent="0.2">
      <c r="A36855" s="258"/>
      <c r="Z36855" s="258"/>
    </row>
    <row r="36856" spans="1:26" ht="12.75" customHeight="1" x14ac:dyDescent="0.2">
      <c r="A36856" s="258"/>
      <c r="Z36856" s="258"/>
    </row>
    <row r="36857" spans="1:26" ht="12.75" customHeight="1" x14ac:dyDescent="0.2">
      <c r="A36857" s="258"/>
      <c r="Z36857" s="258"/>
    </row>
    <row r="36858" spans="1:26" ht="12.75" customHeight="1" x14ac:dyDescent="0.2">
      <c r="A36858" s="258"/>
      <c r="Z36858" s="258"/>
    </row>
    <row r="36859" spans="1:26" ht="12.75" customHeight="1" x14ac:dyDescent="0.2">
      <c r="A36859" s="258"/>
      <c r="Z36859" s="258"/>
    </row>
    <row r="36860" spans="1:26" ht="12.75" customHeight="1" x14ac:dyDescent="0.2">
      <c r="A36860" s="258"/>
      <c r="Z36860" s="258"/>
    </row>
    <row r="36861" spans="1:26" ht="12.75" customHeight="1" x14ac:dyDescent="0.2">
      <c r="A36861" s="258"/>
      <c r="Z36861" s="258"/>
    </row>
    <row r="36862" spans="1:26" ht="12.75" customHeight="1" x14ac:dyDescent="0.2">
      <c r="A36862" s="258"/>
      <c r="Z36862" s="258"/>
    </row>
    <row r="36863" spans="1:26" ht="12.75" customHeight="1" x14ac:dyDescent="0.2">
      <c r="A36863" s="258"/>
      <c r="Z36863" s="258"/>
    </row>
    <row r="36864" spans="1:26" ht="12.75" customHeight="1" x14ac:dyDescent="0.2">
      <c r="A36864" s="258"/>
      <c r="Z36864" s="258"/>
    </row>
    <row r="36865" spans="1:26" ht="12.75" customHeight="1" x14ac:dyDescent="0.2">
      <c r="A36865" s="258"/>
      <c r="Z36865" s="258"/>
    </row>
    <row r="36866" spans="1:26" ht="12.75" customHeight="1" x14ac:dyDescent="0.2">
      <c r="A36866" s="258"/>
      <c r="Z36866" s="258"/>
    </row>
    <row r="36867" spans="1:26" ht="12.75" customHeight="1" x14ac:dyDescent="0.2">
      <c r="A36867" s="258"/>
      <c r="Z36867" s="258"/>
    </row>
    <row r="36868" spans="1:26" ht="12.75" customHeight="1" x14ac:dyDescent="0.2">
      <c r="A36868" s="258"/>
      <c r="Z36868" s="258"/>
    </row>
    <row r="36869" spans="1:26" ht="12.75" customHeight="1" x14ac:dyDescent="0.2">
      <c r="A36869" s="258"/>
      <c r="Z36869" s="258"/>
    </row>
    <row r="36870" spans="1:26" ht="12.75" customHeight="1" x14ac:dyDescent="0.2">
      <c r="A36870" s="258"/>
      <c r="Z36870" s="258"/>
    </row>
    <row r="36871" spans="1:26" ht="12.75" customHeight="1" x14ac:dyDescent="0.2">
      <c r="A36871" s="258"/>
      <c r="Z36871" s="258"/>
    </row>
    <row r="36872" spans="1:26" ht="12.75" customHeight="1" x14ac:dyDescent="0.2">
      <c r="A36872" s="258"/>
      <c r="Z36872" s="258"/>
    </row>
    <row r="36873" spans="1:26" ht="12.75" customHeight="1" x14ac:dyDescent="0.2">
      <c r="A36873" s="258"/>
      <c r="Z36873" s="258"/>
    </row>
    <row r="36874" spans="1:26" ht="12.75" customHeight="1" x14ac:dyDescent="0.2">
      <c r="A36874" s="258"/>
      <c r="Z36874" s="258"/>
    </row>
    <row r="36875" spans="1:26" ht="12.75" customHeight="1" x14ac:dyDescent="0.2">
      <c r="A36875" s="258"/>
      <c r="Z36875" s="258"/>
    </row>
    <row r="36876" spans="1:26" ht="12.75" customHeight="1" x14ac:dyDescent="0.2">
      <c r="A36876" s="258"/>
      <c r="Z36876" s="258"/>
    </row>
    <row r="36877" spans="1:26" ht="12.75" customHeight="1" x14ac:dyDescent="0.2">
      <c r="A36877" s="258"/>
      <c r="Z36877" s="258"/>
    </row>
    <row r="36878" spans="1:26" ht="12.75" customHeight="1" x14ac:dyDescent="0.2">
      <c r="A36878" s="258"/>
      <c r="Z36878" s="258"/>
    </row>
    <row r="36879" spans="1:26" ht="12.75" customHeight="1" x14ac:dyDescent="0.2">
      <c r="A36879" s="258"/>
      <c r="Z36879" s="258"/>
    </row>
    <row r="36880" spans="1:26" ht="12.75" customHeight="1" x14ac:dyDescent="0.2">
      <c r="A36880" s="258"/>
      <c r="Z36880" s="258"/>
    </row>
    <row r="36881" spans="1:26" ht="12.75" customHeight="1" x14ac:dyDescent="0.2">
      <c r="A36881" s="258"/>
      <c r="Z36881" s="258"/>
    </row>
    <row r="36882" spans="1:26" ht="12.75" customHeight="1" x14ac:dyDescent="0.2">
      <c r="A36882" s="258"/>
      <c r="Z36882" s="258"/>
    </row>
    <row r="36883" spans="1:26" ht="12.75" customHeight="1" x14ac:dyDescent="0.2">
      <c r="A36883" s="258"/>
      <c r="Z36883" s="258"/>
    </row>
    <row r="36884" spans="1:26" ht="12.75" customHeight="1" x14ac:dyDescent="0.2">
      <c r="A36884" s="258"/>
      <c r="Z36884" s="258"/>
    </row>
    <row r="36885" spans="1:26" ht="12.75" customHeight="1" x14ac:dyDescent="0.2">
      <c r="A36885" s="258"/>
      <c r="Z36885" s="258"/>
    </row>
    <row r="36886" spans="1:26" ht="12.75" customHeight="1" x14ac:dyDescent="0.2">
      <c r="A36886" s="258"/>
      <c r="Z36886" s="258"/>
    </row>
    <row r="36887" spans="1:26" ht="12.75" customHeight="1" x14ac:dyDescent="0.2">
      <c r="A36887" s="258"/>
      <c r="Z36887" s="258"/>
    </row>
    <row r="36888" spans="1:26" ht="12.75" customHeight="1" x14ac:dyDescent="0.2">
      <c r="A36888" s="258"/>
      <c r="Z36888" s="258"/>
    </row>
    <row r="36889" spans="1:26" ht="12.75" customHeight="1" x14ac:dyDescent="0.2">
      <c r="A36889" s="258"/>
      <c r="Z36889" s="258"/>
    </row>
    <row r="36890" spans="1:26" ht="12.75" customHeight="1" x14ac:dyDescent="0.2">
      <c r="A36890" s="258"/>
      <c r="Z36890" s="258"/>
    </row>
    <row r="36891" spans="1:26" ht="12.75" customHeight="1" x14ac:dyDescent="0.2">
      <c r="A36891" s="258"/>
      <c r="Z36891" s="258"/>
    </row>
    <row r="36892" spans="1:26" ht="12.75" customHeight="1" x14ac:dyDescent="0.2">
      <c r="A36892" s="258"/>
      <c r="Z36892" s="258"/>
    </row>
    <row r="36893" spans="1:26" ht="12.75" customHeight="1" x14ac:dyDescent="0.2">
      <c r="A36893" s="258"/>
      <c r="Z36893" s="258"/>
    </row>
    <row r="36894" spans="1:26" ht="12.75" customHeight="1" x14ac:dyDescent="0.2">
      <c r="A36894" s="258"/>
      <c r="Z36894" s="258"/>
    </row>
    <row r="36895" spans="1:26" ht="12.75" customHeight="1" x14ac:dyDescent="0.2">
      <c r="A36895" s="258"/>
      <c r="Z36895" s="258"/>
    </row>
    <row r="36896" spans="1:26" ht="12.75" customHeight="1" x14ac:dyDescent="0.2">
      <c r="A36896" s="258"/>
      <c r="Z36896" s="258"/>
    </row>
    <row r="36897" spans="1:26" ht="12.75" customHeight="1" x14ac:dyDescent="0.2">
      <c r="A36897" s="258"/>
      <c r="Z36897" s="258"/>
    </row>
    <row r="36898" spans="1:26" ht="12.75" customHeight="1" x14ac:dyDescent="0.2">
      <c r="A36898" s="258"/>
      <c r="Z36898" s="258"/>
    </row>
    <row r="36899" spans="1:26" ht="12.75" customHeight="1" x14ac:dyDescent="0.2">
      <c r="A36899" s="258"/>
      <c r="Z36899" s="258"/>
    </row>
    <row r="36900" spans="1:26" ht="12.75" customHeight="1" x14ac:dyDescent="0.2">
      <c r="A36900" s="258"/>
      <c r="Z36900" s="258"/>
    </row>
    <row r="36901" spans="1:26" ht="12.75" customHeight="1" x14ac:dyDescent="0.2">
      <c r="A36901" s="258"/>
      <c r="Z36901" s="258"/>
    </row>
    <row r="36902" spans="1:26" ht="12.75" customHeight="1" x14ac:dyDescent="0.2">
      <c r="A36902" s="258"/>
      <c r="Z36902" s="258"/>
    </row>
    <row r="36903" spans="1:26" ht="12.75" customHeight="1" x14ac:dyDescent="0.2">
      <c r="A36903" s="258"/>
      <c r="Z36903" s="258"/>
    </row>
    <row r="36904" spans="1:26" ht="12.75" customHeight="1" x14ac:dyDescent="0.2">
      <c r="A36904" s="258"/>
      <c r="Z36904" s="258"/>
    </row>
    <row r="36905" spans="1:26" ht="12.75" customHeight="1" x14ac:dyDescent="0.2">
      <c r="A36905" s="258"/>
      <c r="Z36905" s="258"/>
    </row>
    <row r="36906" spans="1:26" ht="12.75" customHeight="1" x14ac:dyDescent="0.2">
      <c r="A36906" s="258"/>
      <c r="Z36906" s="258"/>
    </row>
    <row r="36907" spans="1:26" ht="12.75" customHeight="1" x14ac:dyDescent="0.2">
      <c r="A36907" s="258"/>
      <c r="Z36907" s="258"/>
    </row>
    <row r="36908" spans="1:26" ht="12.75" customHeight="1" x14ac:dyDescent="0.2">
      <c r="A36908" s="258"/>
      <c r="Z36908" s="258"/>
    </row>
    <row r="36909" spans="1:26" ht="12.75" customHeight="1" x14ac:dyDescent="0.2">
      <c r="A36909" s="258"/>
      <c r="Z36909" s="258"/>
    </row>
    <row r="36910" spans="1:26" ht="12.75" customHeight="1" x14ac:dyDescent="0.2">
      <c r="A36910" s="258"/>
      <c r="Z36910" s="258"/>
    </row>
    <row r="36911" spans="1:26" ht="12.75" customHeight="1" x14ac:dyDescent="0.2">
      <c r="A36911" s="258"/>
      <c r="Z36911" s="258"/>
    </row>
    <row r="36912" spans="1:26" ht="12.75" customHeight="1" x14ac:dyDescent="0.2">
      <c r="A36912" s="258"/>
      <c r="Z36912" s="258"/>
    </row>
    <row r="36913" spans="1:26" ht="12.75" customHeight="1" x14ac:dyDescent="0.2">
      <c r="A36913" s="258"/>
      <c r="Z36913" s="258"/>
    </row>
    <row r="36914" spans="1:26" ht="12.75" customHeight="1" x14ac:dyDescent="0.2">
      <c r="A36914" s="258"/>
      <c r="Z36914" s="258"/>
    </row>
    <row r="36915" spans="1:26" ht="12.75" customHeight="1" x14ac:dyDescent="0.2">
      <c r="A36915" s="258"/>
      <c r="Z36915" s="258"/>
    </row>
    <row r="36916" spans="1:26" ht="12.75" customHeight="1" x14ac:dyDescent="0.2">
      <c r="A36916" s="258"/>
      <c r="Z36916" s="258"/>
    </row>
    <row r="36917" spans="1:26" ht="12.75" customHeight="1" x14ac:dyDescent="0.2">
      <c r="A36917" s="258"/>
      <c r="Z36917" s="258"/>
    </row>
    <row r="36918" spans="1:26" ht="12.75" customHeight="1" x14ac:dyDescent="0.2">
      <c r="A36918" s="258"/>
      <c r="Z36918" s="258"/>
    </row>
    <row r="36919" spans="1:26" ht="12.75" customHeight="1" x14ac:dyDescent="0.2">
      <c r="A36919" s="258"/>
      <c r="Z36919" s="258"/>
    </row>
    <row r="36920" spans="1:26" ht="12.75" customHeight="1" x14ac:dyDescent="0.2">
      <c r="A36920" s="258"/>
      <c r="Z36920" s="258"/>
    </row>
    <row r="36921" spans="1:26" ht="12.75" customHeight="1" x14ac:dyDescent="0.2">
      <c r="A36921" s="258"/>
      <c r="Z36921" s="258"/>
    </row>
    <row r="36922" spans="1:26" ht="12.75" customHeight="1" x14ac:dyDescent="0.2">
      <c r="A36922" s="258"/>
      <c r="Z36922" s="258"/>
    </row>
    <row r="36923" spans="1:26" ht="12.75" customHeight="1" x14ac:dyDescent="0.2">
      <c r="A36923" s="258"/>
      <c r="Z36923" s="258"/>
    </row>
    <row r="36924" spans="1:26" ht="12.75" customHeight="1" x14ac:dyDescent="0.2">
      <c r="A36924" s="258"/>
      <c r="Z36924" s="258"/>
    </row>
    <row r="36925" spans="1:26" ht="12.75" customHeight="1" x14ac:dyDescent="0.2">
      <c r="A36925" s="258"/>
      <c r="Z36925" s="258"/>
    </row>
    <row r="36926" spans="1:26" ht="12.75" customHeight="1" x14ac:dyDescent="0.2">
      <c r="A36926" s="258"/>
      <c r="Z36926" s="258"/>
    </row>
    <row r="36927" spans="1:26" ht="12.75" customHeight="1" x14ac:dyDescent="0.2">
      <c r="A36927" s="258"/>
      <c r="Z36927" s="258"/>
    </row>
    <row r="36928" spans="1:26" ht="12.75" customHeight="1" x14ac:dyDescent="0.2">
      <c r="A36928" s="258"/>
      <c r="Z36928" s="258"/>
    </row>
    <row r="36929" spans="1:26" ht="12.75" customHeight="1" x14ac:dyDescent="0.2">
      <c r="A36929" s="258"/>
      <c r="Z36929" s="258"/>
    </row>
    <row r="36930" spans="1:26" ht="12.75" customHeight="1" x14ac:dyDescent="0.2">
      <c r="A36930" s="258"/>
      <c r="Z36930" s="258"/>
    </row>
    <row r="36931" spans="1:26" ht="12.75" customHeight="1" x14ac:dyDescent="0.2">
      <c r="A36931" s="258"/>
      <c r="Z36931" s="258"/>
    </row>
    <row r="36932" spans="1:26" ht="12.75" customHeight="1" x14ac:dyDescent="0.2">
      <c r="A36932" s="258"/>
      <c r="Z36932" s="258"/>
    </row>
    <row r="36933" spans="1:26" ht="12.75" customHeight="1" x14ac:dyDescent="0.2">
      <c r="A36933" s="258"/>
      <c r="Z36933" s="258"/>
    </row>
    <row r="36934" spans="1:26" ht="12.75" customHeight="1" x14ac:dyDescent="0.2">
      <c r="A36934" s="258"/>
      <c r="Z36934" s="258"/>
    </row>
    <row r="36935" spans="1:26" ht="12.75" customHeight="1" x14ac:dyDescent="0.2">
      <c r="A36935" s="258"/>
      <c r="Z36935" s="258"/>
    </row>
    <row r="36936" spans="1:26" ht="12.75" customHeight="1" x14ac:dyDescent="0.2">
      <c r="A36936" s="258"/>
      <c r="Z36936" s="258"/>
    </row>
    <row r="36937" spans="1:26" ht="12.75" customHeight="1" x14ac:dyDescent="0.2">
      <c r="A36937" s="258"/>
      <c r="Z36937" s="258"/>
    </row>
    <row r="36938" spans="1:26" ht="12.75" customHeight="1" x14ac:dyDescent="0.2">
      <c r="A36938" s="258"/>
      <c r="Z36938" s="258"/>
    </row>
    <row r="36939" spans="1:26" ht="12.75" customHeight="1" x14ac:dyDescent="0.2">
      <c r="A36939" s="258"/>
      <c r="Z36939" s="258"/>
    </row>
    <row r="36940" spans="1:26" ht="12.75" customHeight="1" x14ac:dyDescent="0.2">
      <c r="A36940" s="258"/>
      <c r="Z36940" s="258"/>
    </row>
    <row r="36941" spans="1:26" ht="12.75" customHeight="1" x14ac:dyDescent="0.2">
      <c r="A36941" s="258"/>
      <c r="Z36941" s="258"/>
    </row>
    <row r="36942" spans="1:26" ht="12.75" customHeight="1" x14ac:dyDescent="0.2">
      <c r="A36942" s="258"/>
      <c r="Z36942" s="258"/>
    </row>
    <row r="36943" spans="1:26" ht="12.75" customHeight="1" x14ac:dyDescent="0.2">
      <c r="A36943" s="258"/>
      <c r="Z36943" s="258"/>
    </row>
    <row r="36944" spans="1:26" ht="12.75" customHeight="1" x14ac:dyDescent="0.2">
      <c r="A36944" s="258"/>
      <c r="Z36944" s="258"/>
    </row>
    <row r="36945" spans="1:26" ht="12.75" customHeight="1" x14ac:dyDescent="0.2">
      <c r="A36945" s="258"/>
      <c r="Z36945" s="258"/>
    </row>
    <row r="36946" spans="1:26" ht="12.75" customHeight="1" x14ac:dyDescent="0.2">
      <c r="A36946" s="258"/>
      <c r="Z36946" s="258"/>
    </row>
    <row r="36947" spans="1:26" ht="12.75" customHeight="1" x14ac:dyDescent="0.2">
      <c r="A36947" s="258"/>
      <c r="Z36947" s="258"/>
    </row>
    <row r="36948" spans="1:26" ht="12.75" customHeight="1" x14ac:dyDescent="0.2">
      <c r="A36948" s="258"/>
      <c r="Z36948" s="258"/>
    </row>
    <row r="36949" spans="1:26" ht="12.75" customHeight="1" x14ac:dyDescent="0.2">
      <c r="A36949" s="258"/>
      <c r="Z36949" s="258"/>
    </row>
    <row r="36950" spans="1:26" ht="12.75" customHeight="1" x14ac:dyDescent="0.2">
      <c r="A36950" s="258"/>
      <c r="Z36950" s="258"/>
    </row>
    <row r="36951" spans="1:26" ht="12.75" customHeight="1" x14ac:dyDescent="0.2">
      <c r="A36951" s="258"/>
      <c r="Z36951" s="258"/>
    </row>
    <row r="36952" spans="1:26" ht="12.75" customHeight="1" x14ac:dyDescent="0.2">
      <c r="A36952" s="258"/>
      <c r="Z36952" s="258"/>
    </row>
    <row r="36953" spans="1:26" ht="12.75" customHeight="1" x14ac:dyDescent="0.2">
      <c r="A36953" s="258"/>
      <c r="Z36953" s="258"/>
    </row>
    <row r="36954" spans="1:26" ht="12.75" customHeight="1" x14ac:dyDescent="0.2">
      <c r="A36954" s="258"/>
      <c r="Z36954" s="258"/>
    </row>
    <row r="36955" spans="1:26" ht="12.75" customHeight="1" x14ac:dyDescent="0.2">
      <c r="A36955" s="258"/>
      <c r="Z36955" s="258"/>
    </row>
    <row r="36956" spans="1:26" ht="12.75" customHeight="1" x14ac:dyDescent="0.2">
      <c r="A36956" s="258"/>
      <c r="Z36956" s="258"/>
    </row>
    <row r="36957" spans="1:26" ht="12.75" customHeight="1" x14ac:dyDescent="0.2">
      <c r="A36957" s="258"/>
      <c r="Z36957" s="258"/>
    </row>
    <row r="36958" spans="1:26" ht="12.75" customHeight="1" x14ac:dyDescent="0.2">
      <c r="A36958" s="258"/>
      <c r="Z36958" s="258"/>
    </row>
    <row r="36959" spans="1:26" ht="12.75" customHeight="1" x14ac:dyDescent="0.2">
      <c r="A36959" s="258"/>
      <c r="Z36959" s="258"/>
    </row>
    <row r="36960" spans="1:26" ht="12.75" customHeight="1" x14ac:dyDescent="0.2">
      <c r="A36960" s="258"/>
      <c r="Z36960" s="258"/>
    </row>
    <row r="36961" spans="1:26" ht="12.75" customHeight="1" x14ac:dyDescent="0.2">
      <c r="A36961" s="258"/>
      <c r="Z36961" s="258"/>
    </row>
    <row r="36962" spans="1:26" ht="12.75" customHeight="1" x14ac:dyDescent="0.2">
      <c r="A36962" s="258"/>
      <c r="Z36962" s="258"/>
    </row>
    <row r="36963" spans="1:26" ht="12.75" customHeight="1" x14ac:dyDescent="0.2">
      <c r="A36963" s="258"/>
      <c r="Z36963" s="258"/>
    </row>
    <row r="36964" spans="1:26" ht="12.75" customHeight="1" x14ac:dyDescent="0.2">
      <c r="A36964" s="258"/>
      <c r="Z36964" s="258"/>
    </row>
    <row r="36965" spans="1:26" ht="12.75" customHeight="1" x14ac:dyDescent="0.2">
      <c r="A36965" s="258"/>
      <c r="Z36965" s="258"/>
    </row>
    <row r="36966" spans="1:26" ht="12.75" customHeight="1" x14ac:dyDescent="0.2">
      <c r="A36966" s="258"/>
      <c r="Z36966" s="258"/>
    </row>
    <row r="36967" spans="1:26" ht="12.75" customHeight="1" x14ac:dyDescent="0.2">
      <c r="A36967" s="258"/>
      <c r="Z36967" s="258"/>
    </row>
    <row r="36968" spans="1:26" ht="12.75" customHeight="1" x14ac:dyDescent="0.2">
      <c r="A36968" s="258"/>
      <c r="Z36968" s="258"/>
    </row>
    <row r="36969" spans="1:26" ht="12.75" customHeight="1" x14ac:dyDescent="0.2">
      <c r="A36969" s="258"/>
      <c r="Z36969" s="258"/>
    </row>
    <row r="36970" spans="1:26" ht="12.75" customHeight="1" x14ac:dyDescent="0.2">
      <c r="A36970" s="258"/>
      <c r="Z36970" s="258"/>
    </row>
    <row r="36971" spans="1:26" ht="12.75" customHeight="1" x14ac:dyDescent="0.2">
      <c r="A36971" s="258"/>
      <c r="Z36971" s="258"/>
    </row>
    <row r="36972" spans="1:26" ht="12.75" customHeight="1" x14ac:dyDescent="0.2">
      <c r="A36972" s="258"/>
      <c r="Z36972" s="258"/>
    </row>
    <row r="36973" spans="1:26" ht="12.75" customHeight="1" x14ac:dyDescent="0.2">
      <c r="A36973" s="258"/>
      <c r="Z36973" s="258"/>
    </row>
    <row r="36974" spans="1:26" ht="12.75" customHeight="1" x14ac:dyDescent="0.2">
      <c r="A36974" s="258"/>
      <c r="Z36974" s="258"/>
    </row>
    <row r="36975" spans="1:26" ht="12.75" customHeight="1" x14ac:dyDescent="0.2">
      <c r="A36975" s="258"/>
      <c r="Z36975" s="258"/>
    </row>
    <row r="36976" spans="1:26" ht="12.75" customHeight="1" x14ac:dyDescent="0.2">
      <c r="A36976" s="258"/>
      <c r="Z36976" s="258"/>
    </row>
    <row r="36977" spans="1:26" ht="12.75" customHeight="1" x14ac:dyDescent="0.2">
      <c r="A36977" s="258"/>
      <c r="Z36977" s="258"/>
    </row>
    <row r="36978" spans="1:26" ht="12.75" customHeight="1" x14ac:dyDescent="0.2">
      <c r="A36978" s="258"/>
      <c r="Z36978" s="258"/>
    </row>
    <row r="36979" spans="1:26" ht="12.75" customHeight="1" x14ac:dyDescent="0.2">
      <c r="A36979" s="258"/>
      <c r="Z36979" s="258"/>
    </row>
    <row r="36980" spans="1:26" ht="12.75" customHeight="1" x14ac:dyDescent="0.2">
      <c r="A36980" s="258"/>
      <c r="Z36980" s="258"/>
    </row>
    <row r="36981" spans="1:26" ht="12.75" customHeight="1" x14ac:dyDescent="0.2">
      <c r="A36981" s="258"/>
      <c r="Z36981" s="258"/>
    </row>
    <row r="36982" spans="1:26" ht="12.75" customHeight="1" x14ac:dyDescent="0.2">
      <c r="A36982" s="258"/>
      <c r="Z36982" s="258"/>
    </row>
    <row r="36983" spans="1:26" ht="12.75" customHeight="1" x14ac:dyDescent="0.2">
      <c r="A36983" s="258"/>
      <c r="Z36983" s="258"/>
    </row>
    <row r="36984" spans="1:26" ht="12.75" customHeight="1" x14ac:dyDescent="0.2">
      <c r="A36984" s="258"/>
      <c r="Z36984" s="258"/>
    </row>
    <row r="36985" spans="1:26" ht="12.75" customHeight="1" x14ac:dyDescent="0.2">
      <c r="A36985" s="258"/>
      <c r="Z36985" s="258"/>
    </row>
    <row r="36986" spans="1:26" ht="12.75" customHeight="1" x14ac:dyDescent="0.2">
      <c r="A36986" s="258"/>
      <c r="Z36986" s="258"/>
    </row>
    <row r="36987" spans="1:26" ht="12.75" customHeight="1" x14ac:dyDescent="0.2">
      <c r="A36987" s="258"/>
      <c r="Z36987" s="258"/>
    </row>
    <row r="36988" spans="1:26" ht="12.75" customHeight="1" x14ac:dyDescent="0.2">
      <c r="A36988" s="258"/>
      <c r="Z36988" s="258"/>
    </row>
    <row r="36989" spans="1:26" ht="12.75" customHeight="1" x14ac:dyDescent="0.2">
      <c r="A36989" s="258"/>
      <c r="Z36989" s="258"/>
    </row>
    <row r="36990" spans="1:26" ht="12.75" customHeight="1" x14ac:dyDescent="0.2">
      <c r="A36990" s="258"/>
      <c r="Z36990" s="258"/>
    </row>
    <row r="36991" spans="1:26" ht="12.75" customHeight="1" x14ac:dyDescent="0.2">
      <c r="A36991" s="258"/>
      <c r="Z36991" s="258"/>
    </row>
    <row r="36992" spans="1:26" ht="12.75" customHeight="1" x14ac:dyDescent="0.2">
      <c r="A36992" s="258"/>
      <c r="Z36992" s="258"/>
    </row>
    <row r="36993" spans="1:26" ht="12.75" customHeight="1" x14ac:dyDescent="0.2">
      <c r="A36993" s="258"/>
      <c r="Z36993" s="258"/>
    </row>
    <row r="36994" spans="1:26" ht="12.75" customHeight="1" x14ac:dyDescent="0.2">
      <c r="A36994" s="258"/>
      <c r="Z36994" s="258"/>
    </row>
    <row r="36995" spans="1:26" ht="12.75" customHeight="1" x14ac:dyDescent="0.2">
      <c r="A36995" s="258"/>
      <c r="Z36995" s="258"/>
    </row>
    <row r="36996" spans="1:26" ht="12.75" customHeight="1" x14ac:dyDescent="0.2">
      <c r="A36996" s="258"/>
      <c r="Z36996" s="258"/>
    </row>
    <row r="36997" spans="1:26" ht="12.75" customHeight="1" x14ac:dyDescent="0.2">
      <c r="A36997" s="258"/>
      <c r="Z36997" s="258"/>
    </row>
    <row r="36998" spans="1:26" ht="12.75" customHeight="1" x14ac:dyDescent="0.2">
      <c r="A36998" s="258"/>
      <c r="Z36998" s="258"/>
    </row>
    <row r="36999" spans="1:26" ht="12.75" customHeight="1" x14ac:dyDescent="0.2">
      <c r="A36999" s="258"/>
      <c r="Z36999" s="258"/>
    </row>
    <row r="37000" spans="1:26" ht="12.75" customHeight="1" x14ac:dyDescent="0.2">
      <c r="A37000" s="258"/>
      <c r="Z37000" s="258"/>
    </row>
    <row r="37001" spans="1:26" ht="12.75" customHeight="1" x14ac:dyDescent="0.2">
      <c r="A37001" s="258"/>
      <c r="Z37001" s="258"/>
    </row>
    <row r="37002" spans="1:26" ht="12.75" customHeight="1" x14ac:dyDescent="0.2">
      <c r="A37002" s="258"/>
      <c r="Z37002" s="258"/>
    </row>
    <row r="37003" spans="1:26" ht="12.75" customHeight="1" x14ac:dyDescent="0.2">
      <c r="A37003" s="258"/>
      <c r="Z37003" s="258"/>
    </row>
    <row r="37004" spans="1:26" ht="12.75" customHeight="1" x14ac:dyDescent="0.2">
      <c r="A37004" s="258"/>
      <c r="Z37004" s="258"/>
    </row>
    <row r="37005" spans="1:26" ht="12.75" customHeight="1" x14ac:dyDescent="0.2">
      <c r="A37005" s="258"/>
      <c r="Z37005" s="258"/>
    </row>
    <row r="37006" spans="1:26" ht="12.75" customHeight="1" x14ac:dyDescent="0.2">
      <c r="A37006" s="258"/>
      <c r="Z37006" s="258"/>
    </row>
    <row r="37007" spans="1:26" ht="12.75" customHeight="1" x14ac:dyDescent="0.2">
      <c r="A37007" s="258"/>
      <c r="Z37007" s="258"/>
    </row>
    <row r="37008" spans="1:26" ht="12.75" customHeight="1" x14ac:dyDescent="0.2">
      <c r="A37008" s="258"/>
      <c r="Z37008" s="258"/>
    </row>
    <row r="37009" spans="1:26" ht="12.75" customHeight="1" x14ac:dyDescent="0.2">
      <c r="A37009" s="258"/>
      <c r="Z37009" s="258"/>
    </row>
    <row r="37010" spans="1:26" ht="12.75" customHeight="1" x14ac:dyDescent="0.2">
      <c r="A37010" s="258"/>
      <c r="Z37010" s="258"/>
    </row>
    <row r="37011" spans="1:26" ht="12.75" customHeight="1" x14ac:dyDescent="0.2">
      <c r="A37011" s="258"/>
      <c r="Z37011" s="258"/>
    </row>
    <row r="37012" spans="1:26" ht="12.75" customHeight="1" x14ac:dyDescent="0.2">
      <c r="A37012" s="258"/>
      <c r="Z37012" s="258"/>
    </row>
    <row r="37013" spans="1:26" ht="12.75" customHeight="1" x14ac:dyDescent="0.2">
      <c r="A37013" s="258"/>
      <c r="Z37013" s="258"/>
    </row>
    <row r="37014" spans="1:26" ht="12.75" customHeight="1" x14ac:dyDescent="0.2">
      <c r="A37014" s="258"/>
      <c r="Z37014" s="258"/>
    </row>
    <row r="37015" spans="1:26" ht="12.75" customHeight="1" x14ac:dyDescent="0.2">
      <c r="A37015" s="258"/>
      <c r="Z37015" s="258"/>
    </row>
    <row r="37016" spans="1:26" ht="12.75" customHeight="1" x14ac:dyDescent="0.2">
      <c r="A37016" s="258"/>
      <c r="Z37016" s="258"/>
    </row>
    <row r="37017" spans="1:26" ht="12.75" customHeight="1" x14ac:dyDescent="0.2">
      <c r="A37017" s="258"/>
      <c r="Z37017" s="258"/>
    </row>
    <row r="37018" spans="1:26" ht="12.75" customHeight="1" x14ac:dyDescent="0.2">
      <c r="A37018" s="258"/>
      <c r="Z37018" s="258"/>
    </row>
    <row r="37019" spans="1:26" ht="12.75" customHeight="1" x14ac:dyDescent="0.2">
      <c r="A37019" s="258"/>
      <c r="Z37019" s="258"/>
    </row>
    <row r="37020" spans="1:26" ht="12.75" customHeight="1" x14ac:dyDescent="0.2">
      <c r="A37020" s="258"/>
      <c r="Z37020" s="258"/>
    </row>
    <row r="37021" spans="1:26" ht="12.75" customHeight="1" x14ac:dyDescent="0.2">
      <c r="A37021" s="258"/>
      <c r="Z37021" s="258"/>
    </row>
    <row r="37022" spans="1:26" ht="12.75" customHeight="1" x14ac:dyDescent="0.2">
      <c r="A37022" s="258"/>
      <c r="Z37022" s="258"/>
    </row>
    <row r="37023" spans="1:26" ht="12.75" customHeight="1" x14ac:dyDescent="0.2">
      <c r="A37023" s="258"/>
      <c r="Z37023" s="258"/>
    </row>
    <row r="37024" spans="1:26" ht="12.75" customHeight="1" x14ac:dyDescent="0.2">
      <c r="A37024" s="258"/>
      <c r="Z37024" s="258"/>
    </row>
    <row r="37025" spans="1:26" ht="12.75" customHeight="1" x14ac:dyDescent="0.2">
      <c r="A37025" s="258"/>
      <c r="Z37025" s="258"/>
    </row>
    <row r="37026" spans="1:26" ht="12.75" customHeight="1" x14ac:dyDescent="0.2">
      <c r="A37026" s="258"/>
      <c r="Z37026" s="258"/>
    </row>
    <row r="37027" spans="1:26" ht="12.75" customHeight="1" x14ac:dyDescent="0.2">
      <c r="A37027" s="258"/>
      <c r="Z37027" s="258"/>
    </row>
    <row r="37028" spans="1:26" ht="12.75" customHeight="1" x14ac:dyDescent="0.2">
      <c r="A37028" s="258"/>
      <c r="Z37028" s="258"/>
    </row>
    <row r="37029" spans="1:26" ht="12.75" customHeight="1" x14ac:dyDescent="0.2">
      <c r="A37029" s="258"/>
      <c r="Z37029" s="258"/>
    </row>
    <row r="37030" spans="1:26" ht="12.75" customHeight="1" x14ac:dyDescent="0.2">
      <c r="A37030" s="258"/>
      <c r="Z37030" s="258"/>
    </row>
    <row r="37031" spans="1:26" ht="12.75" customHeight="1" x14ac:dyDescent="0.2">
      <c r="A37031" s="258"/>
      <c r="Z37031" s="258"/>
    </row>
    <row r="37032" spans="1:26" ht="12.75" customHeight="1" x14ac:dyDescent="0.2">
      <c r="A37032" s="258"/>
      <c r="Z37032" s="258"/>
    </row>
    <row r="37033" spans="1:26" ht="12.75" customHeight="1" x14ac:dyDescent="0.2">
      <c r="A37033" s="258"/>
      <c r="Z37033" s="258"/>
    </row>
    <row r="37034" spans="1:26" ht="12.75" customHeight="1" x14ac:dyDescent="0.2">
      <c r="A37034" s="258"/>
      <c r="Z37034" s="258"/>
    </row>
    <row r="37035" spans="1:26" ht="12.75" customHeight="1" x14ac:dyDescent="0.2">
      <c r="A37035" s="258"/>
      <c r="Z37035" s="258"/>
    </row>
    <row r="37036" spans="1:26" ht="12.75" customHeight="1" x14ac:dyDescent="0.2">
      <c r="A37036" s="258"/>
      <c r="Z37036" s="258"/>
    </row>
    <row r="37037" spans="1:26" ht="12.75" customHeight="1" x14ac:dyDescent="0.2">
      <c r="A37037" s="258"/>
      <c r="Z37037" s="258"/>
    </row>
    <row r="37038" spans="1:26" ht="12.75" customHeight="1" x14ac:dyDescent="0.2">
      <c r="A37038" s="258"/>
      <c r="Z37038" s="258"/>
    </row>
    <row r="37039" spans="1:26" ht="12.75" customHeight="1" x14ac:dyDescent="0.2">
      <c r="A37039" s="258"/>
      <c r="Z37039" s="258"/>
    </row>
    <row r="37040" spans="1:26" ht="12.75" customHeight="1" x14ac:dyDescent="0.2">
      <c r="A37040" s="258"/>
      <c r="Z37040" s="258"/>
    </row>
    <row r="37041" spans="1:26" ht="12.75" customHeight="1" x14ac:dyDescent="0.2">
      <c r="A37041" s="258"/>
      <c r="Z37041" s="258"/>
    </row>
    <row r="37042" spans="1:26" ht="12.75" customHeight="1" x14ac:dyDescent="0.2">
      <c r="A37042" s="258"/>
      <c r="Z37042" s="258"/>
    </row>
    <row r="37043" spans="1:26" ht="12.75" customHeight="1" x14ac:dyDescent="0.2">
      <c r="A37043" s="258"/>
      <c r="Z37043" s="258"/>
    </row>
    <row r="37044" spans="1:26" ht="12.75" customHeight="1" x14ac:dyDescent="0.2">
      <c r="A37044" s="258"/>
      <c r="Z37044" s="258"/>
    </row>
    <row r="37045" spans="1:26" ht="12.75" customHeight="1" x14ac:dyDescent="0.2">
      <c r="A37045" s="258"/>
      <c r="Z37045" s="258"/>
    </row>
    <row r="37046" spans="1:26" ht="12.75" customHeight="1" x14ac:dyDescent="0.2">
      <c r="A37046" s="258"/>
      <c r="Z37046" s="258"/>
    </row>
    <row r="37047" spans="1:26" ht="12.75" customHeight="1" x14ac:dyDescent="0.2">
      <c r="A37047" s="258"/>
      <c r="Z37047" s="258"/>
    </row>
    <row r="37048" spans="1:26" ht="12.75" customHeight="1" x14ac:dyDescent="0.2">
      <c r="A37048" s="258"/>
      <c r="Z37048" s="258"/>
    </row>
    <row r="37049" spans="1:26" ht="12.75" customHeight="1" x14ac:dyDescent="0.2">
      <c r="A37049" s="258"/>
      <c r="Z37049" s="258"/>
    </row>
    <row r="37050" spans="1:26" ht="12.75" customHeight="1" x14ac:dyDescent="0.2">
      <c r="A37050" s="258"/>
      <c r="Z37050" s="258"/>
    </row>
    <row r="37051" spans="1:26" ht="12.75" customHeight="1" x14ac:dyDescent="0.2">
      <c r="A37051" s="258"/>
      <c r="Z37051" s="258"/>
    </row>
    <row r="37052" spans="1:26" ht="12.75" customHeight="1" x14ac:dyDescent="0.2">
      <c r="A37052" s="258"/>
      <c r="Z37052" s="258"/>
    </row>
    <row r="37053" spans="1:26" ht="12.75" customHeight="1" x14ac:dyDescent="0.2">
      <c r="A37053" s="258"/>
      <c r="Z37053" s="258"/>
    </row>
    <row r="37054" spans="1:26" ht="12.75" customHeight="1" x14ac:dyDescent="0.2">
      <c r="A37054" s="258"/>
      <c r="Z37054" s="258"/>
    </row>
    <row r="37055" spans="1:26" ht="12.75" customHeight="1" x14ac:dyDescent="0.2">
      <c r="A37055" s="258"/>
      <c r="Z37055" s="258"/>
    </row>
    <row r="37056" spans="1:26" ht="12.75" customHeight="1" x14ac:dyDescent="0.2">
      <c r="A37056" s="258"/>
      <c r="Z37056" s="258"/>
    </row>
    <row r="37057" spans="1:26" ht="12.75" customHeight="1" x14ac:dyDescent="0.2">
      <c r="A37057" s="258"/>
      <c r="Z37057" s="258"/>
    </row>
    <row r="37058" spans="1:26" ht="12.75" customHeight="1" x14ac:dyDescent="0.2">
      <c r="A37058" s="258"/>
      <c r="Z37058" s="258"/>
    </row>
    <row r="37059" spans="1:26" ht="12.75" customHeight="1" x14ac:dyDescent="0.2">
      <c r="A37059" s="258"/>
      <c r="Z37059" s="258"/>
    </row>
    <row r="37060" spans="1:26" ht="12.75" customHeight="1" x14ac:dyDescent="0.2">
      <c r="A37060" s="258"/>
      <c r="Z37060" s="258"/>
    </row>
    <row r="37061" spans="1:26" ht="12.75" customHeight="1" x14ac:dyDescent="0.2">
      <c r="A37061" s="258"/>
      <c r="Z37061" s="258"/>
    </row>
    <row r="37062" spans="1:26" ht="12.75" customHeight="1" x14ac:dyDescent="0.2">
      <c r="A37062" s="258"/>
      <c r="Z37062" s="258"/>
    </row>
    <row r="37063" spans="1:26" ht="12.75" customHeight="1" x14ac:dyDescent="0.2">
      <c r="A37063" s="258"/>
      <c r="Z37063" s="258"/>
    </row>
    <row r="37064" spans="1:26" ht="12.75" customHeight="1" x14ac:dyDescent="0.2">
      <c r="A37064" s="258"/>
      <c r="Z37064" s="258"/>
    </row>
    <row r="37065" spans="1:26" ht="12.75" customHeight="1" x14ac:dyDescent="0.2">
      <c r="A37065" s="258"/>
      <c r="Z37065" s="258"/>
    </row>
    <row r="37066" spans="1:26" ht="12.75" customHeight="1" x14ac:dyDescent="0.2">
      <c r="A37066" s="258"/>
      <c r="Z37066" s="258"/>
    </row>
    <row r="37067" spans="1:26" ht="12.75" customHeight="1" x14ac:dyDescent="0.2">
      <c r="A37067" s="258"/>
      <c r="Z37067" s="258"/>
    </row>
    <row r="37068" spans="1:26" ht="12.75" customHeight="1" x14ac:dyDescent="0.2">
      <c r="A37068" s="258"/>
      <c r="Z37068" s="258"/>
    </row>
    <row r="37069" spans="1:26" ht="12.75" customHeight="1" x14ac:dyDescent="0.2">
      <c r="A37069" s="258"/>
      <c r="Z37069" s="258"/>
    </row>
    <row r="37070" spans="1:26" ht="12.75" customHeight="1" x14ac:dyDescent="0.2">
      <c r="A37070" s="258"/>
      <c r="Z37070" s="258"/>
    </row>
    <row r="37071" spans="1:26" ht="12.75" customHeight="1" x14ac:dyDescent="0.2">
      <c r="A37071" s="258"/>
      <c r="Z37071" s="258"/>
    </row>
    <row r="37072" spans="1:26" ht="12.75" customHeight="1" x14ac:dyDescent="0.2">
      <c r="A37072" s="258"/>
      <c r="Z37072" s="258"/>
    </row>
    <row r="37073" spans="1:26" ht="12.75" customHeight="1" x14ac:dyDescent="0.2">
      <c r="A37073" s="258"/>
      <c r="Z37073" s="258"/>
    </row>
    <row r="37074" spans="1:26" ht="12.75" customHeight="1" x14ac:dyDescent="0.2">
      <c r="A37074" s="258"/>
      <c r="Z37074" s="258"/>
    </row>
    <row r="37075" spans="1:26" ht="12.75" customHeight="1" x14ac:dyDescent="0.2">
      <c r="A37075" s="258"/>
      <c r="Z37075" s="258"/>
    </row>
    <row r="37076" spans="1:26" ht="12.75" customHeight="1" x14ac:dyDescent="0.2">
      <c r="A37076" s="258"/>
      <c r="Z37076" s="258"/>
    </row>
    <row r="37077" spans="1:26" ht="12.75" customHeight="1" x14ac:dyDescent="0.2">
      <c r="A37077" s="258"/>
      <c r="Z37077" s="258"/>
    </row>
    <row r="37078" spans="1:26" ht="12.75" customHeight="1" x14ac:dyDescent="0.2">
      <c r="A37078" s="258"/>
      <c r="Z37078" s="258"/>
    </row>
    <row r="37079" spans="1:26" ht="12.75" customHeight="1" x14ac:dyDescent="0.2">
      <c r="A37079" s="258"/>
      <c r="Z37079" s="258"/>
    </row>
    <row r="37080" spans="1:26" ht="12.75" customHeight="1" x14ac:dyDescent="0.2">
      <c r="A37080" s="258"/>
      <c r="Z37080" s="258"/>
    </row>
    <row r="37081" spans="1:26" ht="12.75" customHeight="1" x14ac:dyDescent="0.2">
      <c r="A37081" s="258"/>
      <c r="Z37081" s="258"/>
    </row>
    <row r="37082" spans="1:26" ht="12.75" customHeight="1" x14ac:dyDescent="0.2">
      <c r="A37082" s="258"/>
      <c r="Z37082" s="258"/>
    </row>
    <row r="37083" spans="1:26" ht="12.75" customHeight="1" x14ac:dyDescent="0.2">
      <c r="A37083" s="258"/>
      <c r="Z37083" s="258"/>
    </row>
    <row r="37084" spans="1:26" ht="12.75" customHeight="1" x14ac:dyDescent="0.2">
      <c r="A37084" s="258"/>
      <c r="Z37084" s="258"/>
    </row>
    <row r="37085" spans="1:26" ht="12.75" customHeight="1" x14ac:dyDescent="0.2">
      <c r="A37085" s="258"/>
      <c r="Z37085" s="258"/>
    </row>
    <row r="37086" spans="1:26" ht="12.75" customHeight="1" x14ac:dyDescent="0.2">
      <c r="A37086" s="258"/>
      <c r="Z37086" s="258"/>
    </row>
    <row r="37087" spans="1:26" ht="12.75" customHeight="1" x14ac:dyDescent="0.2">
      <c r="A37087" s="258"/>
      <c r="Z37087" s="258"/>
    </row>
    <row r="37088" spans="1:26" ht="12.75" customHeight="1" x14ac:dyDescent="0.2">
      <c r="A37088" s="258"/>
      <c r="Z37088" s="258"/>
    </row>
    <row r="37089" spans="1:26" ht="12.75" customHeight="1" x14ac:dyDescent="0.2">
      <c r="A37089" s="258"/>
      <c r="Z37089" s="258"/>
    </row>
    <row r="37090" spans="1:26" ht="12.75" customHeight="1" x14ac:dyDescent="0.2">
      <c r="A37090" s="258"/>
      <c r="Z37090" s="258"/>
    </row>
    <row r="37091" spans="1:26" ht="12.75" customHeight="1" x14ac:dyDescent="0.2">
      <c r="A37091" s="258"/>
      <c r="Z37091" s="258"/>
    </row>
    <row r="37092" spans="1:26" ht="12.75" customHeight="1" x14ac:dyDescent="0.2">
      <c r="A37092" s="258"/>
      <c r="Z37092" s="258"/>
    </row>
    <row r="37093" spans="1:26" ht="12.75" customHeight="1" x14ac:dyDescent="0.2">
      <c r="A37093" s="258"/>
      <c r="Z37093" s="258"/>
    </row>
    <row r="37094" spans="1:26" ht="12.75" customHeight="1" x14ac:dyDescent="0.2">
      <c r="A37094" s="258"/>
      <c r="Z37094" s="258"/>
    </row>
    <row r="37095" spans="1:26" ht="12.75" customHeight="1" x14ac:dyDescent="0.2">
      <c r="A37095" s="258"/>
      <c r="Z37095" s="258"/>
    </row>
    <row r="37096" spans="1:26" ht="12.75" customHeight="1" x14ac:dyDescent="0.2">
      <c r="A37096" s="258"/>
      <c r="Z37096" s="258"/>
    </row>
    <row r="37097" spans="1:26" ht="12.75" customHeight="1" x14ac:dyDescent="0.2">
      <c r="A37097" s="258"/>
      <c r="Z37097" s="258"/>
    </row>
    <row r="37098" spans="1:26" ht="12.75" customHeight="1" x14ac:dyDescent="0.2">
      <c r="A37098" s="258"/>
      <c r="Z37098" s="258"/>
    </row>
    <row r="37099" spans="1:26" ht="12.75" customHeight="1" x14ac:dyDescent="0.2">
      <c r="A37099" s="258"/>
      <c r="Z37099" s="258"/>
    </row>
    <row r="37100" spans="1:26" ht="12.75" customHeight="1" x14ac:dyDescent="0.2">
      <c r="A37100" s="258"/>
      <c r="Z37100" s="258"/>
    </row>
    <row r="37101" spans="1:26" ht="12.75" customHeight="1" x14ac:dyDescent="0.2">
      <c r="A37101" s="258"/>
      <c r="Z37101" s="258"/>
    </row>
    <row r="37102" spans="1:26" ht="12.75" customHeight="1" x14ac:dyDescent="0.2">
      <c r="A37102" s="258"/>
      <c r="Z37102" s="258"/>
    </row>
    <row r="37103" spans="1:26" ht="12.75" customHeight="1" x14ac:dyDescent="0.2">
      <c r="A37103" s="258"/>
      <c r="Z37103" s="258"/>
    </row>
    <row r="37104" spans="1:26" ht="12.75" customHeight="1" x14ac:dyDescent="0.2">
      <c r="A37104" s="258"/>
      <c r="Z37104" s="258"/>
    </row>
    <row r="37105" spans="1:26" ht="12.75" customHeight="1" x14ac:dyDescent="0.2">
      <c r="A37105" s="258"/>
      <c r="Z37105" s="258"/>
    </row>
    <row r="37106" spans="1:26" ht="12.75" customHeight="1" x14ac:dyDescent="0.2">
      <c r="A37106" s="258"/>
      <c r="Z37106" s="258"/>
    </row>
    <row r="37107" spans="1:26" ht="12.75" customHeight="1" x14ac:dyDescent="0.2">
      <c r="A37107" s="258"/>
      <c r="Z37107" s="258"/>
    </row>
    <row r="37108" spans="1:26" ht="12.75" customHeight="1" x14ac:dyDescent="0.2">
      <c r="A37108" s="258"/>
      <c r="Z37108" s="258"/>
    </row>
    <row r="37109" spans="1:26" ht="12.75" customHeight="1" x14ac:dyDescent="0.2">
      <c r="A37109" s="258"/>
      <c r="Z37109" s="258"/>
    </row>
    <row r="37110" spans="1:26" ht="12.75" customHeight="1" x14ac:dyDescent="0.2">
      <c r="A37110" s="258"/>
      <c r="Z37110" s="258"/>
    </row>
    <row r="37111" spans="1:26" ht="12.75" customHeight="1" x14ac:dyDescent="0.2">
      <c r="A37111" s="258"/>
      <c r="Z37111" s="258"/>
    </row>
    <row r="37112" spans="1:26" ht="12.75" customHeight="1" x14ac:dyDescent="0.2">
      <c r="A37112" s="258"/>
      <c r="Z37112" s="258"/>
    </row>
    <row r="37113" spans="1:26" ht="12.75" customHeight="1" x14ac:dyDescent="0.2">
      <c r="A37113" s="258"/>
      <c r="Z37113" s="258"/>
    </row>
    <row r="37114" spans="1:26" ht="12.75" customHeight="1" x14ac:dyDescent="0.2">
      <c r="A37114" s="258"/>
      <c r="Z37114" s="258"/>
    </row>
    <row r="37115" spans="1:26" ht="12.75" customHeight="1" x14ac:dyDescent="0.2">
      <c r="A37115" s="258"/>
      <c r="Z37115" s="258"/>
    </row>
    <row r="37116" spans="1:26" ht="12.75" customHeight="1" x14ac:dyDescent="0.2">
      <c r="A37116" s="258"/>
      <c r="Z37116" s="258"/>
    </row>
    <row r="37117" spans="1:26" ht="12.75" customHeight="1" x14ac:dyDescent="0.2">
      <c r="A37117" s="258"/>
      <c r="Z37117" s="258"/>
    </row>
    <row r="37118" spans="1:26" ht="12.75" customHeight="1" x14ac:dyDescent="0.2">
      <c r="A37118" s="258"/>
      <c r="Z37118" s="258"/>
    </row>
    <row r="37119" spans="1:26" ht="12.75" customHeight="1" x14ac:dyDescent="0.2">
      <c r="A37119" s="258"/>
      <c r="Z37119" s="258"/>
    </row>
    <row r="37120" spans="1:26" ht="12.75" customHeight="1" x14ac:dyDescent="0.2">
      <c r="A37120" s="258"/>
      <c r="Z37120" s="258"/>
    </row>
    <row r="37121" spans="1:26" ht="12.75" customHeight="1" x14ac:dyDescent="0.2">
      <c r="A37121" s="258"/>
      <c r="Z37121" s="258"/>
    </row>
    <row r="37122" spans="1:26" ht="12.75" customHeight="1" x14ac:dyDescent="0.2">
      <c r="A37122" s="258"/>
      <c r="Z37122" s="258"/>
    </row>
    <row r="37123" spans="1:26" ht="12.75" customHeight="1" x14ac:dyDescent="0.2">
      <c r="A37123" s="258"/>
      <c r="Z37123" s="258"/>
    </row>
    <row r="37124" spans="1:26" ht="12.75" customHeight="1" x14ac:dyDescent="0.2">
      <c r="A37124" s="258"/>
      <c r="Z37124" s="258"/>
    </row>
    <row r="37125" spans="1:26" ht="12.75" customHeight="1" x14ac:dyDescent="0.2">
      <c r="A37125" s="258"/>
      <c r="Z37125" s="258"/>
    </row>
    <row r="37126" spans="1:26" ht="12.75" customHeight="1" x14ac:dyDescent="0.2">
      <c r="A37126" s="258"/>
      <c r="Z37126" s="258"/>
    </row>
    <row r="37127" spans="1:26" ht="12.75" customHeight="1" x14ac:dyDescent="0.2">
      <c r="A37127" s="258"/>
      <c r="Z37127" s="258"/>
    </row>
    <row r="37128" spans="1:26" ht="12.75" customHeight="1" x14ac:dyDescent="0.2">
      <c r="A37128" s="258"/>
      <c r="Z37128" s="258"/>
    </row>
    <row r="37129" spans="1:26" ht="12.75" customHeight="1" x14ac:dyDescent="0.2">
      <c r="A37129" s="258"/>
      <c r="Z37129" s="258"/>
    </row>
    <row r="37130" spans="1:26" ht="12.75" customHeight="1" x14ac:dyDescent="0.2">
      <c r="A37130" s="258"/>
      <c r="Z37130" s="258"/>
    </row>
    <row r="37131" spans="1:26" ht="12.75" customHeight="1" x14ac:dyDescent="0.2">
      <c r="A37131" s="258"/>
      <c r="Z37131" s="258"/>
    </row>
    <row r="37132" spans="1:26" ht="12.75" customHeight="1" x14ac:dyDescent="0.2">
      <c r="A37132" s="258"/>
      <c r="Z37132" s="258"/>
    </row>
    <row r="37133" spans="1:26" ht="12.75" customHeight="1" x14ac:dyDescent="0.2">
      <c r="A37133" s="258"/>
      <c r="Z37133" s="258"/>
    </row>
    <row r="37134" spans="1:26" ht="12.75" customHeight="1" x14ac:dyDescent="0.2">
      <c r="A37134" s="258"/>
      <c r="Z37134" s="258"/>
    </row>
    <row r="37135" spans="1:26" ht="12.75" customHeight="1" x14ac:dyDescent="0.2">
      <c r="A37135" s="258"/>
      <c r="Z37135" s="258"/>
    </row>
    <row r="37136" spans="1:26" ht="12.75" customHeight="1" x14ac:dyDescent="0.2">
      <c r="A37136" s="258"/>
      <c r="Z37136" s="258"/>
    </row>
    <row r="37137" spans="1:26" ht="12.75" customHeight="1" x14ac:dyDescent="0.2">
      <c r="A37137" s="258"/>
      <c r="Z37137" s="258"/>
    </row>
    <row r="37138" spans="1:26" ht="12.75" customHeight="1" x14ac:dyDescent="0.2">
      <c r="A37138" s="258"/>
      <c r="Z37138" s="258"/>
    </row>
    <row r="37139" spans="1:26" ht="12.75" customHeight="1" x14ac:dyDescent="0.2">
      <c r="A37139" s="258"/>
      <c r="Z37139" s="258"/>
    </row>
    <row r="37140" spans="1:26" ht="12.75" customHeight="1" x14ac:dyDescent="0.2">
      <c r="A37140" s="258"/>
      <c r="Z37140" s="258"/>
    </row>
    <row r="37141" spans="1:26" ht="12.75" customHeight="1" x14ac:dyDescent="0.2">
      <c r="A37141" s="258"/>
      <c r="Z37141" s="258"/>
    </row>
    <row r="37142" spans="1:26" ht="12.75" customHeight="1" x14ac:dyDescent="0.2">
      <c r="A37142" s="258"/>
      <c r="Z37142" s="258"/>
    </row>
    <row r="37143" spans="1:26" ht="12.75" customHeight="1" x14ac:dyDescent="0.2">
      <c r="A37143" s="258"/>
      <c r="Z37143" s="258"/>
    </row>
    <row r="37144" spans="1:26" ht="12.75" customHeight="1" x14ac:dyDescent="0.2">
      <c r="A37144" s="258"/>
      <c r="Z37144" s="258"/>
    </row>
    <row r="37145" spans="1:26" ht="12.75" customHeight="1" x14ac:dyDescent="0.2">
      <c r="A37145" s="258"/>
      <c r="Z37145" s="258"/>
    </row>
    <row r="37146" spans="1:26" ht="12.75" customHeight="1" x14ac:dyDescent="0.2">
      <c r="A37146" s="258"/>
      <c r="Z37146" s="258"/>
    </row>
    <row r="37147" spans="1:26" ht="12.75" customHeight="1" x14ac:dyDescent="0.2">
      <c r="A37147" s="258"/>
      <c r="Z37147" s="258"/>
    </row>
    <row r="37148" spans="1:26" ht="12.75" customHeight="1" x14ac:dyDescent="0.2">
      <c r="A37148" s="258"/>
      <c r="Z37148" s="258"/>
    </row>
    <row r="37149" spans="1:26" ht="12.75" customHeight="1" x14ac:dyDescent="0.2">
      <c r="A37149" s="258"/>
      <c r="Z37149" s="258"/>
    </row>
    <row r="37150" spans="1:26" ht="12.75" customHeight="1" x14ac:dyDescent="0.2">
      <c r="A37150" s="258"/>
      <c r="Z37150" s="258"/>
    </row>
    <row r="37151" spans="1:26" ht="12.75" customHeight="1" x14ac:dyDescent="0.2">
      <c r="A37151" s="258"/>
      <c r="Z37151" s="258"/>
    </row>
    <row r="37152" spans="1:26" ht="12.75" customHeight="1" x14ac:dyDescent="0.2">
      <c r="A37152" s="258"/>
      <c r="Z37152" s="258"/>
    </row>
    <row r="37153" spans="1:26" ht="12.75" customHeight="1" x14ac:dyDescent="0.2">
      <c r="A37153" s="258"/>
      <c r="Z37153" s="258"/>
    </row>
    <row r="37154" spans="1:26" ht="12.75" customHeight="1" x14ac:dyDescent="0.2">
      <c r="A37154" s="258"/>
      <c r="Z37154" s="258"/>
    </row>
    <row r="37155" spans="1:26" ht="12.75" customHeight="1" x14ac:dyDescent="0.2">
      <c r="A37155" s="258"/>
      <c r="Z37155" s="258"/>
    </row>
    <row r="37156" spans="1:26" ht="12.75" customHeight="1" x14ac:dyDescent="0.2">
      <c r="A37156" s="258"/>
      <c r="Z37156" s="258"/>
    </row>
    <row r="37157" spans="1:26" ht="12.75" customHeight="1" x14ac:dyDescent="0.2">
      <c r="A37157" s="258"/>
      <c r="Z37157" s="258"/>
    </row>
    <row r="37158" spans="1:26" ht="12.75" customHeight="1" x14ac:dyDescent="0.2">
      <c r="A37158" s="258"/>
      <c r="Z37158" s="258"/>
    </row>
    <row r="37159" spans="1:26" ht="12.75" customHeight="1" x14ac:dyDescent="0.2">
      <c r="A37159" s="258"/>
      <c r="Z37159" s="258"/>
    </row>
    <row r="37160" spans="1:26" ht="12.75" customHeight="1" x14ac:dyDescent="0.2">
      <c r="A37160" s="258"/>
      <c r="Z37160" s="258"/>
    </row>
    <row r="37161" spans="1:26" ht="12.75" customHeight="1" x14ac:dyDescent="0.2">
      <c r="A37161" s="258"/>
      <c r="Z37161" s="258"/>
    </row>
    <row r="37162" spans="1:26" ht="12.75" customHeight="1" x14ac:dyDescent="0.2">
      <c r="A37162" s="258"/>
      <c r="Z37162" s="258"/>
    </row>
    <row r="37163" spans="1:26" ht="12.75" customHeight="1" x14ac:dyDescent="0.2">
      <c r="A37163" s="258"/>
      <c r="Z37163" s="258"/>
    </row>
    <row r="37164" spans="1:26" ht="12.75" customHeight="1" x14ac:dyDescent="0.2">
      <c r="A37164" s="258"/>
      <c r="Z37164" s="258"/>
    </row>
    <row r="37165" spans="1:26" ht="12.75" customHeight="1" x14ac:dyDescent="0.2">
      <c r="A37165" s="258"/>
      <c r="Z37165" s="258"/>
    </row>
    <row r="37166" spans="1:26" ht="12.75" customHeight="1" x14ac:dyDescent="0.2">
      <c r="A37166" s="258"/>
      <c r="Z37166" s="258"/>
    </row>
    <row r="37167" spans="1:26" ht="12.75" customHeight="1" x14ac:dyDescent="0.2">
      <c r="A37167" s="258"/>
      <c r="Z37167" s="258"/>
    </row>
    <row r="37168" spans="1:26" ht="12.75" customHeight="1" x14ac:dyDescent="0.2">
      <c r="A37168" s="258"/>
      <c r="Z37168" s="258"/>
    </row>
    <row r="37169" spans="1:26" ht="12.75" customHeight="1" x14ac:dyDescent="0.2">
      <c r="A37169" s="258"/>
      <c r="Z37169" s="258"/>
    </row>
    <row r="37170" spans="1:26" ht="12.75" customHeight="1" x14ac:dyDescent="0.2">
      <c r="A37170" s="258"/>
      <c r="Z37170" s="258"/>
    </row>
    <row r="37171" spans="1:26" ht="12.75" customHeight="1" x14ac:dyDescent="0.2">
      <c r="A37171" s="258"/>
      <c r="Z37171" s="258"/>
    </row>
    <row r="37172" spans="1:26" ht="12.75" customHeight="1" x14ac:dyDescent="0.2">
      <c r="A37172" s="258"/>
      <c r="Z37172" s="258"/>
    </row>
    <row r="37173" spans="1:26" ht="12.75" customHeight="1" x14ac:dyDescent="0.2">
      <c r="A37173" s="258"/>
      <c r="Z37173" s="258"/>
    </row>
    <row r="37174" spans="1:26" ht="12.75" customHeight="1" x14ac:dyDescent="0.2">
      <c r="A37174" s="258"/>
      <c r="Z37174" s="258"/>
    </row>
    <row r="37175" spans="1:26" ht="12.75" customHeight="1" x14ac:dyDescent="0.2">
      <c r="A37175" s="258"/>
      <c r="Z37175" s="258"/>
    </row>
    <row r="37176" spans="1:26" ht="12.75" customHeight="1" x14ac:dyDescent="0.2">
      <c r="A37176" s="258"/>
      <c r="Z37176" s="258"/>
    </row>
    <row r="37177" spans="1:26" ht="12.75" customHeight="1" x14ac:dyDescent="0.2">
      <c r="A37177" s="258"/>
      <c r="Z37177" s="258"/>
    </row>
    <row r="37178" spans="1:26" ht="12.75" customHeight="1" x14ac:dyDescent="0.2">
      <c r="A37178" s="258"/>
      <c r="Z37178" s="258"/>
    </row>
    <row r="37179" spans="1:26" ht="12.75" customHeight="1" x14ac:dyDescent="0.2">
      <c r="A37179" s="258"/>
      <c r="Z37179" s="258"/>
    </row>
    <row r="37180" spans="1:26" ht="12.75" customHeight="1" x14ac:dyDescent="0.2">
      <c r="A37180" s="258"/>
      <c r="Z37180" s="258"/>
    </row>
    <row r="37181" spans="1:26" ht="12.75" customHeight="1" x14ac:dyDescent="0.2">
      <c r="A37181" s="258"/>
      <c r="Z37181" s="258"/>
    </row>
    <row r="37182" spans="1:26" ht="12.75" customHeight="1" x14ac:dyDescent="0.2">
      <c r="A37182" s="258"/>
      <c r="Z37182" s="258"/>
    </row>
    <row r="37183" spans="1:26" ht="12.75" customHeight="1" x14ac:dyDescent="0.2">
      <c r="A37183" s="258"/>
      <c r="Z37183" s="258"/>
    </row>
    <row r="37184" spans="1:26" ht="12.75" customHeight="1" x14ac:dyDescent="0.2">
      <c r="A37184" s="258"/>
      <c r="Z37184" s="258"/>
    </row>
    <row r="37185" spans="1:26" ht="12.75" customHeight="1" x14ac:dyDescent="0.2">
      <c r="A37185" s="258"/>
      <c r="Z37185" s="258"/>
    </row>
    <row r="37186" spans="1:26" ht="12.75" customHeight="1" x14ac:dyDescent="0.2">
      <c r="A37186" s="258"/>
      <c r="Z37186" s="258"/>
    </row>
    <row r="37187" spans="1:26" ht="12.75" customHeight="1" x14ac:dyDescent="0.2">
      <c r="A37187" s="258"/>
      <c r="Z37187" s="258"/>
    </row>
    <row r="37188" spans="1:26" ht="12.75" customHeight="1" x14ac:dyDescent="0.2">
      <c r="A37188" s="258"/>
      <c r="Z37188" s="258"/>
    </row>
    <row r="37189" spans="1:26" ht="12.75" customHeight="1" x14ac:dyDescent="0.2">
      <c r="A37189" s="258"/>
      <c r="Z37189" s="258"/>
    </row>
    <row r="37190" spans="1:26" ht="12.75" customHeight="1" x14ac:dyDescent="0.2">
      <c r="A37190" s="258"/>
      <c r="Z37190" s="258"/>
    </row>
    <row r="37191" spans="1:26" ht="12.75" customHeight="1" x14ac:dyDescent="0.2">
      <c r="A37191" s="258"/>
      <c r="Z37191" s="258"/>
    </row>
    <row r="37192" spans="1:26" ht="12.75" customHeight="1" x14ac:dyDescent="0.2">
      <c r="A37192" s="258"/>
      <c r="Z37192" s="258"/>
    </row>
    <row r="37193" spans="1:26" ht="12.75" customHeight="1" x14ac:dyDescent="0.2">
      <c r="A37193" s="258"/>
      <c r="Z37193" s="258"/>
    </row>
    <row r="37194" spans="1:26" ht="12.75" customHeight="1" x14ac:dyDescent="0.2">
      <c r="A37194" s="258"/>
      <c r="Z37194" s="258"/>
    </row>
    <row r="37195" spans="1:26" ht="12.75" customHeight="1" x14ac:dyDescent="0.2">
      <c r="A37195" s="258"/>
      <c r="Z37195" s="258"/>
    </row>
    <row r="37196" spans="1:26" ht="12.75" customHeight="1" x14ac:dyDescent="0.2">
      <c r="A37196" s="258"/>
      <c r="Z37196" s="258"/>
    </row>
    <row r="37197" spans="1:26" ht="12.75" customHeight="1" x14ac:dyDescent="0.2">
      <c r="A37197" s="258"/>
      <c r="Z37197" s="258"/>
    </row>
    <row r="37198" spans="1:26" ht="12.75" customHeight="1" x14ac:dyDescent="0.2">
      <c r="A37198" s="258"/>
      <c r="Z37198" s="258"/>
    </row>
    <row r="37199" spans="1:26" ht="12.75" customHeight="1" x14ac:dyDescent="0.2">
      <c r="A37199" s="258"/>
      <c r="Z37199" s="258"/>
    </row>
    <row r="37200" spans="1:26" ht="12.75" customHeight="1" x14ac:dyDescent="0.2">
      <c r="A37200" s="258"/>
      <c r="Z37200" s="258"/>
    </row>
    <row r="37201" spans="1:26" ht="12.75" customHeight="1" x14ac:dyDescent="0.2">
      <c r="A37201" s="258"/>
      <c r="Z37201" s="258"/>
    </row>
    <row r="37202" spans="1:26" ht="12.75" customHeight="1" x14ac:dyDescent="0.2">
      <c r="A37202" s="258"/>
      <c r="Z37202" s="258"/>
    </row>
    <row r="37203" spans="1:26" ht="12.75" customHeight="1" x14ac:dyDescent="0.2">
      <c r="A37203" s="258"/>
      <c r="Z37203" s="258"/>
    </row>
    <row r="37204" spans="1:26" ht="12.75" customHeight="1" x14ac:dyDescent="0.2">
      <c r="A37204" s="258"/>
      <c r="Z37204" s="258"/>
    </row>
    <row r="37205" spans="1:26" ht="12.75" customHeight="1" x14ac:dyDescent="0.2">
      <c r="A37205" s="258"/>
      <c r="Z37205" s="258"/>
    </row>
    <row r="37206" spans="1:26" ht="12.75" customHeight="1" x14ac:dyDescent="0.2">
      <c r="A37206" s="258"/>
      <c r="Z37206" s="258"/>
    </row>
    <row r="37207" spans="1:26" ht="12.75" customHeight="1" x14ac:dyDescent="0.2">
      <c r="A37207" s="258"/>
      <c r="Z37207" s="258"/>
    </row>
    <row r="37208" spans="1:26" ht="12.75" customHeight="1" x14ac:dyDescent="0.2">
      <c r="A37208" s="258"/>
      <c r="Z37208" s="258"/>
    </row>
    <row r="37209" spans="1:26" ht="12.75" customHeight="1" x14ac:dyDescent="0.2">
      <c r="A37209" s="258"/>
      <c r="Z37209" s="258"/>
    </row>
    <row r="37210" spans="1:26" ht="12.75" customHeight="1" x14ac:dyDescent="0.2">
      <c r="A37210" s="258"/>
      <c r="Z37210" s="258"/>
    </row>
    <row r="37211" spans="1:26" ht="12.75" customHeight="1" x14ac:dyDescent="0.2">
      <c r="A37211" s="258"/>
      <c r="Z37211" s="258"/>
    </row>
    <row r="37212" spans="1:26" ht="12.75" customHeight="1" x14ac:dyDescent="0.2">
      <c r="A37212" s="258"/>
      <c r="Z37212" s="258"/>
    </row>
    <row r="37213" spans="1:26" ht="12.75" customHeight="1" x14ac:dyDescent="0.2">
      <c r="A37213" s="258"/>
      <c r="Z37213" s="258"/>
    </row>
    <row r="37214" spans="1:26" ht="12.75" customHeight="1" x14ac:dyDescent="0.2">
      <c r="A37214" s="258"/>
      <c r="Z37214" s="258"/>
    </row>
    <row r="37215" spans="1:26" ht="12.75" customHeight="1" x14ac:dyDescent="0.2">
      <c r="A37215" s="258"/>
      <c r="Z37215" s="258"/>
    </row>
    <row r="37216" spans="1:26" ht="12.75" customHeight="1" x14ac:dyDescent="0.2">
      <c r="A37216" s="258"/>
      <c r="Z37216" s="258"/>
    </row>
    <row r="37217" spans="1:26" ht="12.75" customHeight="1" x14ac:dyDescent="0.2">
      <c r="A37217" s="258"/>
      <c r="Z37217" s="258"/>
    </row>
    <row r="37218" spans="1:26" ht="12.75" customHeight="1" x14ac:dyDescent="0.2">
      <c r="A37218" s="258"/>
      <c r="Z37218" s="258"/>
    </row>
    <row r="37219" spans="1:26" ht="12.75" customHeight="1" x14ac:dyDescent="0.2">
      <c r="A37219" s="258"/>
      <c r="Z37219" s="258"/>
    </row>
    <row r="37220" spans="1:26" ht="12.75" customHeight="1" x14ac:dyDescent="0.2">
      <c r="A37220" s="258"/>
      <c r="Z37220" s="258"/>
    </row>
    <row r="37221" spans="1:26" ht="12.75" customHeight="1" x14ac:dyDescent="0.2">
      <c r="A37221" s="258"/>
      <c r="Z37221" s="258"/>
    </row>
    <row r="37222" spans="1:26" ht="12.75" customHeight="1" x14ac:dyDescent="0.2">
      <c r="A37222" s="258"/>
      <c r="Z37222" s="258"/>
    </row>
    <row r="37223" spans="1:26" ht="12.75" customHeight="1" x14ac:dyDescent="0.2">
      <c r="A37223" s="258"/>
      <c r="Z37223" s="258"/>
    </row>
    <row r="37224" spans="1:26" ht="12.75" customHeight="1" x14ac:dyDescent="0.2">
      <c r="A37224" s="258"/>
      <c r="Z37224" s="258"/>
    </row>
    <row r="37225" spans="1:26" ht="12.75" customHeight="1" x14ac:dyDescent="0.2">
      <c r="A37225" s="258"/>
      <c r="Z37225" s="258"/>
    </row>
    <row r="37226" spans="1:26" ht="12.75" customHeight="1" x14ac:dyDescent="0.2">
      <c r="A37226" s="258"/>
      <c r="Z37226" s="258"/>
    </row>
    <row r="37227" spans="1:26" ht="12.75" customHeight="1" x14ac:dyDescent="0.2">
      <c r="A37227" s="258"/>
      <c r="Z37227" s="258"/>
    </row>
    <row r="37228" spans="1:26" ht="12.75" customHeight="1" x14ac:dyDescent="0.2">
      <c r="A37228" s="258"/>
      <c r="Z37228" s="258"/>
    </row>
    <row r="37229" spans="1:26" ht="12.75" customHeight="1" x14ac:dyDescent="0.2">
      <c r="A37229" s="258"/>
      <c r="Z37229" s="258"/>
    </row>
    <row r="37230" spans="1:26" ht="12.75" customHeight="1" x14ac:dyDescent="0.2">
      <c r="A37230" s="258"/>
      <c r="Z37230" s="258"/>
    </row>
    <row r="37231" spans="1:26" ht="12.75" customHeight="1" x14ac:dyDescent="0.2">
      <c r="A37231" s="258"/>
      <c r="Z37231" s="258"/>
    </row>
    <row r="37232" spans="1:26" ht="12.75" customHeight="1" x14ac:dyDescent="0.2">
      <c r="A37232" s="258"/>
      <c r="Z37232" s="258"/>
    </row>
    <row r="37233" spans="1:26" ht="12.75" customHeight="1" x14ac:dyDescent="0.2">
      <c r="A37233" s="258"/>
      <c r="Z37233" s="258"/>
    </row>
    <row r="37234" spans="1:26" ht="12.75" customHeight="1" x14ac:dyDescent="0.2">
      <c r="A37234" s="258"/>
      <c r="Z37234" s="258"/>
    </row>
    <row r="37235" spans="1:26" ht="12.75" customHeight="1" x14ac:dyDescent="0.2">
      <c r="A37235" s="258"/>
      <c r="Z37235" s="258"/>
    </row>
    <row r="37236" spans="1:26" ht="12.75" customHeight="1" x14ac:dyDescent="0.2">
      <c r="A37236" s="258"/>
      <c r="Z37236" s="258"/>
    </row>
    <row r="37237" spans="1:26" ht="12.75" customHeight="1" x14ac:dyDescent="0.2">
      <c r="A37237" s="258"/>
      <c r="Z37237" s="258"/>
    </row>
    <row r="37238" spans="1:26" ht="12.75" customHeight="1" x14ac:dyDescent="0.2">
      <c r="A37238" s="258"/>
      <c r="Z37238" s="258"/>
    </row>
    <row r="37239" spans="1:26" ht="12.75" customHeight="1" x14ac:dyDescent="0.2">
      <c r="A37239" s="258"/>
      <c r="Z37239" s="258"/>
    </row>
    <row r="37240" spans="1:26" ht="12.75" customHeight="1" x14ac:dyDescent="0.2">
      <c r="A37240" s="258"/>
      <c r="Z37240" s="258"/>
    </row>
    <row r="37241" spans="1:26" ht="12.75" customHeight="1" x14ac:dyDescent="0.2">
      <c r="A37241" s="258"/>
      <c r="Z37241" s="258"/>
    </row>
    <row r="37242" spans="1:26" ht="12.75" customHeight="1" x14ac:dyDescent="0.2">
      <c r="A37242" s="258"/>
      <c r="Z37242" s="258"/>
    </row>
    <row r="37243" spans="1:26" ht="12.75" customHeight="1" x14ac:dyDescent="0.2">
      <c r="A37243" s="258"/>
      <c r="Z37243" s="258"/>
    </row>
    <row r="37244" spans="1:26" ht="12.75" customHeight="1" x14ac:dyDescent="0.2">
      <c r="A37244" s="258"/>
      <c r="Z37244" s="258"/>
    </row>
    <row r="37245" spans="1:26" ht="12.75" customHeight="1" x14ac:dyDescent="0.2">
      <c r="A37245" s="258"/>
      <c r="Z37245" s="258"/>
    </row>
    <row r="37246" spans="1:26" ht="12.75" customHeight="1" x14ac:dyDescent="0.2">
      <c r="A37246" s="258"/>
      <c r="Z37246" s="258"/>
    </row>
    <row r="37247" spans="1:26" ht="12.75" customHeight="1" x14ac:dyDescent="0.2">
      <c r="A37247" s="258"/>
      <c r="Z37247" s="258"/>
    </row>
    <row r="37248" spans="1:26" ht="12.75" customHeight="1" x14ac:dyDescent="0.2">
      <c r="A37248" s="258"/>
      <c r="Z37248" s="258"/>
    </row>
    <row r="37249" spans="1:26" ht="12.75" customHeight="1" x14ac:dyDescent="0.2">
      <c r="A37249" s="258"/>
      <c r="Z37249" s="258"/>
    </row>
    <row r="37250" spans="1:26" ht="12.75" customHeight="1" x14ac:dyDescent="0.2">
      <c r="A37250" s="258"/>
      <c r="Z37250" s="258"/>
    </row>
    <row r="37251" spans="1:26" ht="12.75" customHeight="1" x14ac:dyDescent="0.2">
      <c r="A37251" s="258"/>
      <c r="Z37251" s="258"/>
    </row>
    <row r="37252" spans="1:26" ht="12.75" customHeight="1" x14ac:dyDescent="0.2">
      <c r="A37252" s="258"/>
      <c r="Z37252" s="258"/>
    </row>
    <row r="37253" spans="1:26" ht="12.75" customHeight="1" x14ac:dyDescent="0.2">
      <c r="A37253" s="258"/>
      <c r="Z37253" s="258"/>
    </row>
    <row r="37254" spans="1:26" ht="12.75" customHeight="1" x14ac:dyDescent="0.2">
      <c r="A37254" s="258"/>
      <c r="Z37254" s="258"/>
    </row>
    <row r="37255" spans="1:26" ht="12.75" customHeight="1" x14ac:dyDescent="0.2">
      <c r="A37255" s="258"/>
      <c r="Z37255" s="258"/>
    </row>
    <row r="37256" spans="1:26" ht="12.75" customHeight="1" x14ac:dyDescent="0.2">
      <c r="A37256" s="258"/>
      <c r="Z37256" s="258"/>
    </row>
    <row r="37257" spans="1:26" ht="12.75" customHeight="1" x14ac:dyDescent="0.2">
      <c r="A37257" s="258"/>
      <c r="Z37257" s="258"/>
    </row>
    <row r="37258" spans="1:26" ht="12.75" customHeight="1" x14ac:dyDescent="0.2">
      <c r="A37258" s="258"/>
      <c r="Z37258" s="258"/>
    </row>
    <row r="37259" spans="1:26" ht="12.75" customHeight="1" x14ac:dyDescent="0.2">
      <c r="A37259" s="258"/>
      <c r="Z37259" s="258"/>
    </row>
    <row r="37260" spans="1:26" ht="12.75" customHeight="1" x14ac:dyDescent="0.2">
      <c r="A37260" s="258"/>
      <c r="Z37260" s="258"/>
    </row>
    <row r="37261" spans="1:26" ht="12.75" customHeight="1" x14ac:dyDescent="0.2">
      <c r="A37261" s="258"/>
      <c r="Z37261" s="258"/>
    </row>
    <row r="37262" spans="1:26" ht="12.75" customHeight="1" x14ac:dyDescent="0.2">
      <c r="A37262" s="258"/>
      <c r="Z37262" s="258"/>
    </row>
    <row r="37263" spans="1:26" ht="12.75" customHeight="1" x14ac:dyDescent="0.2">
      <c r="A37263" s="258"/>
      <c r="Z37263" s="258"/>
    </row>
    <row r="37264" spans="1:26" ht="12.75" customHeight="1" x14ac:dyDescent="0.2">
      <c r="A37264" s="258"/>
      <c r="Z37264" s="258"/>
    </row>
    <row r="37265" spans="1:26" ht="12.75" customHeight="1" x14ac:dyDescent="0.2">
      <c r="A37265" s="258"/>
      <c r="Z37265" s="258"/>
    </row>
    <row r="37266" spans="1:26" ht="12.75" customHeight="1" x14ac:dyDescent="0.2">
      <c r="A37266" s="258"/>
      <c r="Z37266" s="258"/>
    </row>
    <row r="37267" spans="1:26" ht="12.75" customHeight="1" x14ac:dyDescent="0.2">
      <c r="A37267" s="258"/>
      <c r="Z37267" s="258"/>
    </row>
    <row r="37268" spans="1:26" ht="12.75" customHeight="1" x14ac:dyDescent="0.2">
      <c r="A37268" s="258"/>
      <c r="Z37268" s="258"/>
    </row>
    <row r="37269" spans="1:26" ht="12.75" customHeight="1" x14ac:dyDescent="0.2">
      <c r="A37269" s="258"/>
      <c r="Z37269" s="258"/>
    </row>
    <row r="37270" spans="1:26" ht="12.75" customHeight="1" x14ac:dyDescent="0.2">
      <c r="A37270" s="258"/>
      <c r="Z37270" s="258"/>
    </row>
    <row r="37271" spans="1:26" ht="12.75" customHeight="1" x14ac:dyDescent="0.2">
      <c r="A37271" s="258"/>
      <c r="Z37271" s="258"/>
    </row>
    <row r="37272" spans="1:26" ht="12.75" customHeight="1" x14ac:dyDescent="0.2">
      <c r="A37272" s="258"/>
      <c r="Z37272" s="258"/>
    </row>
    <row r="37273" spans="1:26" ht="12.75" customHeight="1" x14ac:dyDescent="0.2">
      <c r="A37273" s="258"/>
      <c r="Z37273" s="258"/>
    </row>
    <row r="37274" spans="1:26" ht="12.75" customHeight="1" x14ac:dyDescent="0.2">
      <c r="A37274" s="258"/>
      <c r="Z37274" s="258"/>
    </row>
    <row r="37275" spans="1:26" ht="12.75" customHeight="1" x14ac:dyDescent="0.2">
      <c r="A37275" s="258"/>
      <c r="Z37275" s="258"/>
    </row>
    <row r="37276" spans="1:26" ht="12.75" customHeight="1" x14ac:dyDescent="0.2">
      <c r="A37276" s="258"/>
      <c r="Z37276" s="258"/>
    </row>
    <row r="37277" spans="1:26" ht="12.75" customHeight="1" x14ac:dyDescent="0.2">
      <c r="A37277" s="258"/>
      <c r="Z37277" s="258"/>
    </row>
    <row r="37278" spans="1:26" ht="12.75" customHeight="1" x14ac:dyDescent="0.2">
      <c r="A37278" s="258"/>
      <c r="Z37278" s="258"/>
    </row>
    <row r="37279" spans="1:26" ht="12.75" customHeight="1" x14ac:dyDescent="0.2">
      <c r="A37279" s="258"/>
      <c r="Z37279" s="258"/>
    </row>
    <row r="37280" spans="1:26" ht="12.75" customHeight="1" x14ac:dyDescent="0.2">
      <c r="A37280" s="258"/>
      <c r="Z37280" s="258"/>
    </row>
    <row r="37281" spans="1:26" ht="12.75" customHeight="1" x14ac:dyDescent="0.2">
      <c r="A37281" s="258"/>
      <c r="Z37281" s="258"/>
    </row>
    <row r="37282" spans="1:26" ht="12.75" customHeight="1" x14ac:dyDescent="0.2">
      <c r="A37282" s="258"/>
      <c r="Z37282" s="258"/>
    </row>
    <row r="37283" spans="1:26" ht="12.75" customHeight="1" x14ac:dyDescent="0.2">
      <c r="A37283" s="258"/>
      <c r="Z37283" s="258"/>
    </row>
    <row r="37284" spans="1:26" ht="12.75" customHeight="1" x14ac:dyDescent="0.2">
      <c r="A37284" s="258"/>
      <c r="Z37284" s="258"/>
    </row>
    <row r="37285" spans="1:26" ht="12.75" customHeight="1" x14ac:dyDescent="0.2">
      <c r="A37285" s="258"/>
      <c r="Z37285" s="258"/>
    </row>
    <row r="37286" spans="1:26" ht="12.75" customHeight="1" x14ac:dyDescent="0.2">
      <c r="A37286" s="258"/>
      <c r="Z37286" s="258"/>
    </row>
    <row r="37287" spans="1:26" ht="12.75" customHeight="1" x14ac:dyDescent="0.2">
      <c r="A37287" s="258"/>
      <c r="Z37287" s="258"/>
    </row>
    <row r="37288" spans="1:26" ht="12.75" customHeight="1" x14ac:dyDescent="0.2">
      <c r="A37288" s="258"/>
      <c r="Z37288" s="258"/>
    </row>
    <row r="37289" spans="1:26" ht="12.75" customHeight="1" x14ac:dyDescent="0.2">
      <c r="A37289" s="258"/>
      <c r="Z37289" s="258"/>
    </row>
    <row r="37290" spans="1:26" ht="12.75" customHeight="1" x14ac:dyDescent="0.2">
      <c r="A37290" s="258"/>
      <c r="Z37290" s="258"/>
    </row>
    <row r="37291" spans="1:26" ht="12.75" customHeight="1" x14ac:dyDescent="0.2">
      <c r="A37291" s="258"/>
      <c r="Z37291" s="258"/>
    </row>
    <row r="37292" spans="1:26" ht="12.75" customHeight="1" x14ac:dyDescent="0.2">
      <c r="A37292" s="258"/>
      <c r="Z37292" s="258"/>
    </row>
    <row r="37293" spans="1:26" ht="12.75" customHeight="1" x14ac:dyDescent="0.2">
      <c r="A37293" s="258"/>
      <c r="Z37293" s="258"/>
    </row>
    <row r="37294" spans="1:26" ht="12.75" customHeight="1" x14ac:dyDescent="0.2">
      <c r="A37294" s="258"/>
      <c r="Z37294" s="258"/>
    </row>
    <row r="37295" spans="1:26" ht="12.75" customHeight="1" x14ac:dyDescent="0.2">
      <c r="A37295" s="258"/>
      <c r="Z37295" s="258"/>
    </row>
    <row r="37296" spans="1:26" ht="12.75" customHeight="1" x14ac:dyDescent="0.2">
      <c r="A37296" s="258"/>
      <c r="Z37296" s="258"/>
    </row>
    <row r="37297" spans="1:26" ht="12.75" customHeight="1" x14ac:dyDescent="0.2">
      <c r="A37297" s="258"/>
      <c r="Z37297" s="258"/>
    </row>
    <row r="37298" spans="1:26" ht="12.75" customHeight="1" x14ac:dyDescent="0.2">
      <c r="A37298" s="258"/>
      <c r="Z37298" s="258"/>
    </row>
    <row r="37299" spans="1:26" ht="12.75" customHeight="1" x14ac:dyDescent="0.2">
      <c r="A37299" s="258"/>
      <c r="Z37299" s="258"/>
    </row>
    <row r="37300" spans="1:26" ht="12.75" customHeight="1" x14ac:dyDescent="0.2">
      <c r="A37300" s="258"/>
      <c r="Z37300" s="258"/>
    </row>
    <row r="37301" spans="1:26" ht="12.75" customHeight="1" x14ac:dyDescent="0.2">
      <c r="A37301" s="258"/>
      <c r="Z37301" s="258"/>
    </row>
    <row r="37302" spans="1:26" ht="12.75" customHeight="1" x14ac:dyDescent="0.2">
      <c r="A37302" s="258"/>
      <c r="Z37302" s="258"/>
    </row>
    <row r="37303" spans="1:26" ht="12.75" customHeight="1" x14ac:dyDescent="0.2">
      <c r="A37303" s="258"/>
      <c r="Z37303" s="258"/>
    </row>
    <row r="37304" spans="1:26" ht="12.75" customHeight="1" x14ac:dyDescent="0.2">
      <c r="A37304" s="258"/>
      <c r="Z37304" s="258"/>
    </row>
    <row r="37305" spans="1:26" ht="12.75" customHeight="1" x14ac:dyDescent="0.2">
      <c r="A37305" s="258"/>
      <c r="Z37305" s="258"/>
    </row>
    <row r="37306" spans="1:26" ht="12.75" customHeight="1" x14ac:dyDescent="0.2">
      <c r="A37306" s="258"/>
      <c r="Z37306" s="258"/>
    </row>
    <row r="37307" spans="1:26" ht="12.75" customHeight="1" x14ac:dyDescent="0.2">
      <c r="A37307" s="258"/>
      <c r="Z37307" s="258"/>
    </row>
    <row r="37308" spans="1:26" ht="12.75" customHeight="1" x14ac:dyDescent="0.2">
      <c r="A37308" s="258"/>
      <c r="Z37308" s="258"/>
    </row>
    <row r="37309" spans="1:26" ht="12.75" customHeight="1" x14ac:dyDescent="0.2">
      <c r="A37309" s="258"/>
      <c r="Z37309" s="258"/>
    </row>
    <row r="37310" spans="1:26" ht="12.75" customHeight="1" x14ac:dyDescent="0.2">
      <c r="A37310" s="258"/>
      <c r="Z37310" s="258"/>
    </row>
    <row r="37311" spans="1:26" ht="12.75" customHeight="1" x14ac:dyDescent="0.2">
      <c r="A37311" s="258"/>
      <c r="Z37311" s="258"/>
    </row>
    <row r="37312" spans="1:26" ht="12.75" customHeight="1" x14ac:dyDescent="0.2">
      <c r="A37312" s="258"/>
      <c r="Z37312" s="258"/>
    </row>
    <row r="37313" spans="1:26" ht="12.75" customHeight="1" x14ac:dyDescent="0.2">
      <c r="A37313" s="258"/>
      <c r="Z37313" s="258"/>
    </row>
    <row r="37314" spans="1:26" ht="12.75" customHeight="1" x14ac:dyDescent="0.2">
      <c r="A37314" s="258"/>
      <c r="Z37314" s="258"/>
    </row>
    <row r="37315" spans="1:26" ht="12.75" customHeight="1" x14ac:dyDescent="0.2">
      <c r="A37315" s="258"/>
      <c r="Z37315" s="258"/>
    </row>
    <row r="37316" spans="1:26" ht="12.75" customHeight="1" x14ac:dyDescent="0.2">
      <c r="A37316" s="258"/>
      <c r="Z37316" s="258"/>
    </row>
    <row r="37317" spans="1:26" ht="12.75" customHeight="1" x14ac:dyDescent="0.2">
      <c r="A37317" s="258"/>
      <c r="Z37317" s="258"/>
    </row>
    <row r="37318" spans="1:26" ht="12.75" customHeight="1" x14ac:dyDescent="0.2">
      <c r="A37318" s="258"/>
      <c r="Z37318" s="258"/>
    </row>
    <row r="37319" spans="1:26" ht="12.75" customHeight="1" x14ac:dyDescent="0.2">
      <c r="A37319" s="258"/>
      <c r="Z37319" s="258"/>
    </row>
    <row r="37320" spans="1:26" ht="12.75" customHeight="1" x14ac:dyDescent="0.2">
      <c r="A37320" s="258"/>
      <c r="Z37320" s="258"/>
    </row>
    <row r="37321" spans="1:26" ht="12.75" customHeight="1" x14ac:dyDescent="0.2">
      <c r="A37321" s="258"/>
      <c r="Z37321" s="258"/>
    </row>
    <row r="37322" spans="1:26" ht="12.75" customHeight="1" x14ac:dyDescent="0.2">
      <c r="A37322" s="258"/>
      <c r="Z37322" s="258"/>
    </row>
    <row r="37323" spans="1:26" ht="12.75" customHeight="1" x14ac:dyDescent="0.2">
      <c r="A37323" s="258"/>
      <c r="Z37323" s="258"/>
    </row>
    <row r="37324" spans="1:26" ht="12.75" customHeight="1" x14ac:dyDescent="0.2">
      <c r="A37324" s="258"/>
      <c r="Z37324" s="258"/>
    </row>
    <row r="37325" spans="1:26" ht="12.75" customHeight="1" x14ac:dyDescent="0.2">
      <c r="A37325" s="258"/>
      <c r="Z37325" s="258"/>
    </row>
    <row r="37326" spans="1:26" ht="12.75" customHeight="1" x14ac:dyDescent="0.2">
      <c r="A37326" s="258"/>
      <c r="Z37326" s="258"/>
    </row>
    <row r="37327" spans="1:26" ht="12.75" customHeight="1" x14ac:dyDescent="0.2">
      <c r="A37327" s="258"/>
      <c r="Z37327" s="258"/>
    </row>
    <row r="37328" spans="1:26" ht="12.75" customHeight="1" x14ac:dyDescent="0.2">
      <c r="A37328" s="258"/>
      <c r="Z37328" s="258"/>
    </row>
    <row r="37329" spans="1:26" ht="12.75" customHeight="1" x14ac:dyDescent="0.2">
      <c r="A37329" s="258"/>
      <c r="Z37329" s="258"/>
    </row>
    <row r="37330" spans="1:26" ht="12.75" customHeight="1" x14ac:dyDescent="0.2">
      <c r="A37330" s="258"/>
      <c r="Z37330" s="258"/>
    </row>
    <row r="37331" spans="1:26" ht="12.75" customHeight="1" x14ac:dyDescent="0.2">
      <c r="A37331" s="258"/>
      <c r="Z37331" s="258"/>
    </row>
    <row r="37332" spans="1:26" ht="12.75" customHeight="1" x14ac:dyDescent="0.2">
      <c r="A37332" s="258"/>
      <c r="Z37332" s="258"/>
    </row>
    <row r="37333" spans="1:26" ht="12.75" customHeight="1" x14ac:dyDescent="0.2">
      <c r="A37333" s="258"/>
      <c r="Z37333" s="258"/>
    </row>
    <row r="37334" spans="1:26" ht="12.75" customHeight="1" x14ac:dyDescent="0.2">
      <c r="A37334" s="258"/>
      <c r="Z37334" s="258"/>
    </row>
    <row r="37335" spans="1:26" ht="12.75" customHeight="1" x14ac:dyDescent="0.2">
      <c r="A37335" s="258"/>
      <c r="Z37335" s="258"/>
    </row>
    <row r="37336" spans="1:26" ht="12.75" customHeight="1" x14ac:dyDescent="0.2">
      <c r="A37336" s="258"/>
      <c r="Z37336" s="258"/>
    </row>
    <row r="37337" spans="1:26" ht="12.75" customHeight="1" x14ac:dyDescent="0.2">
      <c r="A37337" s="258"/>
      <c r="Z37337" s="258"/>
    </row>
    <row r="37338" spans="1:26" ht="12.75" customHeight="1" x14ac:dyDescent="0.2">
      <c r="A37338" s="258"/>
      <c r="Z37338" s="258"/>
    </row>
    <row r="37339" spans="1:26" ht="12.75" customHeight="1" x14ac:dyDescent="0.2">
      <c r="A37339" s="258"/>
      <c r="Z37339" s="258"/>
    </row>
    <row r="37340" spans="1:26" ht="12.75" customHeight="1" x14ac:dyDescent="0.2">
      <c r="A37340" s="258"/>
      <c r="Z37340" s="258"/>
    </row>
    <row r="37341" spans="1:26" ht="12.75" customHeight="1" x14ac:dyDescent="0.2">
      <c r="A37341" s="258"/>
      <c r="Z37341" s="258"/>
    </row>
    <row r="37342" spans="1:26" ht="12.75" customHeight="1" x14ac:dyDescent="0.2">
      <c r="A37342" s="258"/>
      <c r="Z37342" s="258"/>
    </row>
    <row r="37343" spans="1:26" ht="12.75" customHeight="1" x14ac:dyDescent="0.2">
      <c r="A37343" s="258"/>
      <c r="Z37343" s="258"/>
    </row>
    <row r="37344" spans="1:26" ht="12.75" customHeight="1" x14ac:dyDescent="0.2">
      <c r="A37344" s="258"/>
      <c r="Z37344" s="258"/>
    </row>
    <row r="37345" spans="1:26" ht="12.75" customHeight="1" x14ac:dyDescent="0.2">
      <c r="A37345" s="258"/>
      <c r="Z37345" s="258"/>
    </row>
    <row r="37346" spans="1:26" ht="12.75" customHeight="1" x14ac:dyDescent="0.2">
      <c r="A37346" s="258"/>
      <c r="Z37346" s="258"/>
    </row>
    <row r="37347" spans="1:26" ht="12.75" customHeight="1" x14ac:dyDescent="0.2">
      <c r="A37347" s="258"/>
      <c r="Z37347" s="258"/>
    </row>
    <row r="37348" spans="1:26" ht="12.75" customHeight="1" x14ac:dyDescent="0.2">
      <c r="A37348" s="258"/>
      <c r="Z37348" s="258"/>
    </row>
    <row r="37349" spans="1:26" ht="12.75" customHeight="1" x14ac:dyDescent="0.2">
      <c r="A37349" s="258"/>
      <c r="Z37349" s="258"/>
    </row>
    <row r="37350" spans="1:26" ht="12.75" customHeight="1" x14ac:dyDescent="0.2">
      <c r="A37350" s="258"/>
      <c r="Z37350" s="258"/>
    </row>
    <row r="37351" spans="1:26" ht="12.75" customHeight="1" x14ac:dyDescent="0.2">
      <c r="A37351" s="258"/>
      <c r="Z37351" s="258"/>
    </row>
    <row r="37352" spans="1:26" ht="12.75" customHeight="1" x14ac:dyDescent="0.2">
      <c r="A37352" s="258"/>
      <c r="Z37352" s="258"/>
    </row>
    <row r="37353" spans="1:26" ht="12.75" customHeight="1" x14ac:dyDescent="0.2">
      <c r="A37353" s="258"/>
      <c r="Z37353" s="258"/>
    </row>
    <row r="37354" spans="1:26" ht="12.75" customHeight="1" x14ac:dyDescent="0.2">
      <c r="A37354" s="258"/>
      <c r="Z37354" s="258"/>
    </row>
    <row r="37355" spans="1:26" ht="12.75" customHeight="1" x14ac:dyDescent="0.2">
      <c r="A37355" s="258"/>
      <c r="Z37355" s="258"/>
    </row>
    <row r="37356" spans="1:26" ht="12.75" customHeight="1" x14ac:dyDescent="0.2">
      <c r="A37356" s="258"/>
      <c r="Z37356" s="258"/>
    </row>
    <row r="37357" spans="1:26" ht="12.75" customHeight="1" x14ac:dyDescent="0.2">
      <c r="A37357" s="258"/>
      <c r="Z37357" s="258"/>
    </row>
    <row r="37358" spans="1:26" ht="12.75" customHeight="1" x14ac:dyDescent="0.2">
      <c r="A37358" s="258"/>
      <c r="Z37358" s="258"/>
    </row>
    <row r="37359" spans="1:26" ht="12.75" customHeight="1" x14ac:dyDescent="0.2">
      <c r="A37359" s="258"/>
      <c r="Z37359" s="258"/>
    </row>
    <row r="37360" spans="1:26" ht="12.75" customHeight="1" x14ac:dyDescent="0.2">
      <c r="A37360" s="258"/>
      <c r="Z37360" s="258"/>
    </row>
    <row r="37361" spans="1:26" ht="12.75" customHeight="1" x14ac:dyDescent="0.2">
      <c r="A37361" s="258"/>
      <c r="Z37361" s="258"/>
    </row>
    <row r="37362" spans="1:26" ht="12.75" customHeight="1" x14ac:dyDescent="0.2">
      <c r="A37362" s="258"/>
      <c r="Z37362" s="258"/>
    </row>
    <row r="37363" spans="1:26" ht="12.75" customHeight="1" x14ac:dyDescent="0.2">
      <c r="A37363" s="258"/>
      <c r="Z37363" s="258"/>
    </row>
    <row r="37364" spans="1:26" ht="12.75" customHeight="1" x14ac:dyDescent="0.2">
      <c r="A37364" s="258"/>
      <c r="Z37364" s="258"/>
    </row>
    <row r="37365" spans="1:26" ht="12.75" customHeight="1" x14ac:dyDescent="0.2">
      <c r="A37365" s="258"/>
      <c r="Z37365" s="258"/>
    </row>
    <row r="37366" spans="1:26" ht="12.75" customHeight="1" x14ac:dyDescent="0.2">
      <c r="A37366" s="258"/>
      <c r="Z37366" s="258"/>
    </row>
    <row r="37367" spans="1:26" ht="12.75" customHeight="1" x14ac:dyDescent="0.2">
      <c r="A37367" s="258"/>
      <c r="Z37367" s="258"/>
    </row>
    <row r="37368" spans="1:26" ht="12.75" customHeight="1" x14ac:dyDescent="0.2">
      <c r="A37368" s="258"/>
      <c r="Z37368" s="258"/>
    </row>
    <row r="37369" spans="1:26" ht="12.75" customHeight="1" x14ac:dyDescent="0.2">
      <c r="A37369" s="258"/>
      <c r="Z37369" s="258"/>
    </row>
    <row r="37370" spans="1:26" ht="12.75" customHeight="1" x14ac:dyDescent="0.2">
      <c r="A37370" s="258"/>
      <c r="Z37370" s="258"/>
    </row>
    <row r="37371" spans="1:26" ht="12.75" customHeight="1" x14ac:dyDescent="0.2">
      <c r="A37371" s="258"/>
      <c r="Z37371" s="258"/>
    </row>
    <row r="37372" spans="1:26" ht="12.75" customHeight="1" x14ac:dyDescent="0.2">
      <c r="A37372" s="258"/>
      <c r="Z37372" s="258"/>
    </row>
    <row r="37373" spans="1:26" ht="12.75" customHeight="1" x14ac:dyDescent="0.2">
      <c r="A37373" s="258"/>
      <c r="Z37373" s="258"/>
    </row>
    <row r="37374" spans="1:26" ht="12.75" customHeight="1" x14ac:dyDescent="0.2">
      <c r="A37374" s="258"/>
      <c r="Z37374" s="258"/>
    </row>
    <row r="37375" spans="1:26" ht="12.75" customHeight="1" x14ac:dyDescent="0.2">
      <c r="A37375" s="258"/>
      <c r="Z37375" s="258"/>
    </row>
    <row r="37376" spans="1:26" ht="12.75" customHeight="1" x14ac:dyDescent="0.2">
      <c r="A37376" s="258"/>
      <c r="Z37376" s="258"/>
    </row>
    <row r="37377" spans="1:26" ht="12.75" customHeight="1" x14ac:dyDescent="0.2">
      <c r="A37377" s="258"/>
      <c r="Z37377" s="258"/>
    </row>
    <row r="37378" spans="1:26" ht="12.75" customHeight="1" x14ac:dyDescent="0.2">
      <c r="A37378" s="258"/>
      <c r="Z37378" s="258"/>
    </row>
    <row r="37379" spans="1:26" ht="12.75" customHeight="1" x14ac:dyDescent="0.2">
      <c r="A37379" s="258"/>
      <c r="Z37379" s="258"/>
    </row>
    <row r="37380" spans="1:26" ht="12.75" customHeight="1" x14ac:dyDescent="0.2">
      <c r="A37380" s="258"/>
      <c r="Z37380" s="258"/>
    </row>
    <row r="37381" spans="1:26" ht="12.75" customHeight="1" x14ac:dyDescent="0.2">
      <c r="A37381" s="258"/>
      <c r="Z37381" s="258"/>
    </row>
    <row r="37382" spans="1:26" ht="12.75" customHeight="1" x14ac:dyDescent="0.2">
      <c r="A37382" s="258"/>
      <c r="Z37382" s="258"/>
    </row>
    <row r="37383" spans="1:26" ht="12.75" customHeight="1" x14ac:dyDescent="0.2">
      <c r="A37383" s="258"/>
      <c r="Z37383" s="258"/>
    </row>
    <row r="37384" spans="1:26" ht="12.75" customHeight="1" x14ac:dyDescent="0.2">
      <c r="A37384" s="258"/>
      <c r="Z37384" s="258"/>
    </row>
    <row r="37385" spans="1:26" ht="12.75" customHeight="1" x14ac:dyDescent="0.2">
      <c r="A37385" s="258"/>
      <c r="Z37385" s="258"/>
    </row>
    <row r="37386" spans="1:26" ht="12.75" customHeight="1" x14ac:dyDescent="0.2">
      <c r="A37386" s="258"/>
      <c r="Z37386" s="258"/>
    </row>
    <row r="37387" spans="1:26" ht="12.75" customHeight="1" x14ac:dyDescent="0.2">
      <c r="A37387" s="258"/>
      <c r="Z37387" s="258"/>
    </row>
    <row r="37388" spans="1:26" ht="12.75" customHeight="1" x14ac:dyDescent="0.2">
      <c r="A37388" s="258"/>
      <c r="Z37388" s="258"/>
    </row>
    <row r="37389" spans="1:26" ht="12.75" customHeight="1" x14ac:dyDescent="0.2">
      <c r="A37389" s="258"/>
      <c r="Z37389" s="258"/>
    </row>
    <row r="37390" spans="1:26" ht="12.75" customHeight="1" x14ac:dyDescent="0.2">
      <c r="A37390" s="258"/>
      <c r="Z37390" s="258"/>
    </row>
    <row r="37391" spans="1:26" ht="12.75" customHeight="1" x14ac:dyDescent="0.2">
      <c r="A37391" s="258"/>
      <c r="Z37391" s="258"/>
    </row>
    <row r="37392" spans="1:26" ht="12.75" customHeight="1" x14ac:dyDescent="0.2">
      <c r="A37392" s="258"/>
      <c r="Z37392" s="258"/>
    </row>
    <row r="37393" spans="1:26" ht="12.75" customHeight="1" x14ac:dyDescent="0.2">
      <c r="A37393" s="258"/>
      <c r="Z37393" s="258"/>
    </row>
    <row r="37394" spans="1:26" ht="12.75" customHeight="1" x14ac:dyDescent="0.2">
      <c r="A37394" s="258"/>
      <c r="Z37394" s="258"/>
    </row>
    <row r="37395" spans="1:26" ht="12.75" customHeight="1" x14ac:dyDescent="0.2">
      <c r="A37395" s="258"/>
      <c r="Z37395" s="258"/>
    </row>
    <row r="37396" spans="1:26" ht="12.75" customHeight="1" x14ac:dyDescent="0.2">
      <c r="A37396" s="258"/>
      <c r="Z37396" s="258"/>
    </row>
    <row r="37397" spans="1:26" ht="12.75" customHeight="1" x14ac:dyDescent="0.2">
      <c r="A37397" s="258"/>
      <c r="Z37397" s="258"/>
    </row>
    <row r="37398" spans="1:26" ht="12.75" customHeight="1" x14ac:dyDescent="0.2">
      <c r="A37398" s="258"/>
      <c r="Z37398" s="258"/>
    </row>
    <row r="37399" spans="1:26" ht="12.75" customHeight="1" x14ac:dyDescent="0.2">
      <c r="A37399" s="258"/>
      <c r="Z37399" s="258"/>
    </row>
    <row r="37400" spans="1:26" ht="12.75" customHeight="1" x14ac:dyDescent="0.2">
      <c r="A37400" s="258"/>
      <c r="Z37400" s="258"/>
    </row>
    <row r="37401" spans="1:26" ht="12.75" customHeight="1" x14ac:dyDescent="0.2">
      <c r="A37401" s="258"/>
      <c r="Z37401" s="258"/>
    </row>
    <row r="37402" spans="1:26" ht="12.75" customHeight="1" x14ac:dyDescent="0.2">
      <c r="A37402" s="258"/>
      <c r="Z37402" s="258"/>
    </row>
    <row r="37403" spans="1:26" ht="12.75" customHeight="1" x14ac:dyDescent="0.2">
      <c r="A37403" s="258"/>
      <c r="Z37403" s="258"/>
    </row>
    <row r="37404" spans="1:26" ht="12.75" customHeight="1" x14ac:dyDescent="0.2">
      <c r="A37404" s="258"/>
      <c r="Z37404" s="258"/>
    </row>
    <row r="37405" spans="1:26" ht="12.75" customHeight="1" x14ac:dyDescent="0.2">
      <c r="A37405" s="258"/>
      <c r="Z37405" s="258"/>
    </row>
    <row r="37406" spans="1:26" ht="12.75" customHeight="1" x14ac:dyDescent="0.2">
      <c r="A37406" s="258"/>
      <c r="Z37406" s="258"/>
    </row>
    <row r="37407" spans="1:26" ht="12.75" customHeight="1" x14ac:dyDescent="0.2">
      <c r="A37407" s="258"/>
      <c r="Z37407" s="258"/>
    </row>
    <row r="37408" spans="1:26" ht="12.75" customHeight="1" x14ac:dyDescent="0.2">
      <c r="A37408" s="258"/>
      <c r="Z37408" s="258"/>
    </row>
    <row r="37409" spans="1:26" ht="12.75" customHeight="1" x14ac:dyDescent="0.2">
      <c r="A37409" s="258"/>
      <c r="Z37409" s="258"/>
    </row>
    <row r="37410" spans="1:26" ht="12.75" customHeight="1" x14ac:dyDescent="0.2">
      <c r="A37410" s="258"/>
      <c r="Z37410" s="258"/>
    </row>
    <row r="37411" spans="1:26" ht="12.75" customHeight="1" x14ac:dyDescent="0.2">
      <c r="A37411" s="258"/>
      <c r="Z37411" s="258"/>
    </row>
    <row r="37412" spans="1:26" ht="12.75" customHeight="1" x14ac:dyDescent="0.2">
      <c r="A37412" s="258"/>
      <c r="Z37412" s="258"/>
    </row>
    <row r="37413" spans="1:26" ht="12.75" customHeight="1" x14ac:dyDescent="0.2">
      <c r="A37413" s="258"/>
      <c r="Z37413" s="258"/>
    </row>
    <row r="37414" spans="1:26" ht="12.75" customHeight="1" x14ac:dyDescent="0.2">
      <c r="A37414" s="258"/>
      <c r="Z37414" s="258"/>
    </row>
    <row r="37415" spans="1:26" ht="12.75" customHeight="1" x14ac:dyDescent="0.2">
      <c r="A37415" s="258"/>
      <c r="Z37415" s="258"/>
    </row>
    <row r="37416" spans="1:26" ht="12.75" customHeight="1" x14ac:dyDescent="0.2">
      <c r="A37416" s="258"/>
      <c r="Z37416" s="258"/>
    </row>
    <row r="37417" spans="1:26" ht="12.75" customHeight="1" x14ac:dyDescent="0.2">
      <c r="A37417" s="258"/>
      <c r="Z37417" s="258"/>
    </row>
    <row r="37418" spans="1:26" ht="12.75" customHeight="1" x14ac:dyDescent="0.2">
      <c r="A37418" s="258"/>
      <c r="Z37418" s="258"/>
    </row>
    <row r="37419" spans="1:26" ht="12.75" customHeight="1" x14ac:dyDescent="0.2">
      <c r="A37419" s="258"/>
      <c r="Z37419" s="258"/>
    </row>
    <row r="37420" spans="1:26" ht="12.75" customHeight="1" x14ac:dyDescent="0.2">
      <c r="A37420" s="258"/>
      <c r="Z37420" s="258"/>
    </row>
    <row r="37421" spans="1:26" ht="12.75" customHeight="1" x14ac:dyDescent="0.2">
      <c r="A37421" s="258"/>
      <c r="Z37421" s="258"/>
    </row>
    <row r="37422" spans="1:26" ht="12.75" customHeight="1" x14ac:dyDescent="0.2">
      <c r="A37422" s="258"/>
      <c r="Z37422" s="258"/>
    </row>
    <row r="37423" spans="1:26" ht="12.75" customHeight="1" x14ac:dyDescent="0.2">
      <c r="A37423" s="258"/>
      <c r="Z37423" s="258"/>
    </row>
    <row r="37424" spans="1:26" ht="12.75" customHeight="1" x14ac:dyDescent="0.2">
      <c r="A37424" s="258"/>
      <c r="Z37424" s="258"/>
    </row>
    <row r="37425" spans="1:26" ht="12.75" customHeight="1" x14ac:dyDescent="0.2">
      <c r="A37425" s="258"/>
      <c r="Z37425" s="258"/>
    </row>
    <row r="37426" spans="1:26" ht="12.75" customHeight="1" x14ac:dyDescent="0.2">
      <c r="A37426" s="258"/>
      <c r="Z37426" s="258"/>
    </row>
    <row r="37427" spans="1:26" ht="12.75" customHeight="1" x14ac:dyDescent="0.2">
      <c r="A37427" s="258"/>
      <c r="Z37427" s="258"/>
    </row>
    <row r="37428" spans="1:26" ht="12.75" customHeight="1" x14ac:dyDescent="0.2">
      <c r="A37428" s="258"/>
      <c r="Z37428" s="258"/>
    </row>
    <row r="37429" spans="1:26" ht="12.75" customHeight="1" x14ac:dyDescent="0.2">
      <c r="A37429" s="258"/>
      <c r="Z37429" s="258"/>
    </row>
    <row r="37430" spans="1:26" ht="12.75" customHeight="1" x14ac:dyDescent="0.2">
      <c r="A37430" s="258"/>
      <c r="Z37430" s="258"/>
    </row>
    <row r="37431" spans="1:26" ht="12.75" customHeight="1" x14ac:dyDescent="0.2">
      <c r="A37431" s="258"/>
      <c r="Z37431" s="258"/>
    </row>
    <row r="37432" spans="1:26" ht="12.75" customHeight="1" x14ac:dyDescent="0.2">
      <c r="A37432" s="258"/>
      <c r="Z37432" s="258"/>
    </row>
    <row r="37433" spans="1:26" ht="12.75" customHeight="1" x14ac:dyDescent="0.2">
      <c r="A37433" s="258"/>
      <c r="Z37433" s="258"/>
    </row>
    <row r="37434" spans="1:26" ht="12.75" customHeight="1" x14ac:dyDescent="0.2">
      <c r="A37434" s="258"/>
      <c r="Z37434" s="258"/>
    </row>
    <row r="37435" spans="1:26" ht="12.75" customHeight="1" x14ac:dyDescent="0.2">
      <c r="A37435" s="258"/>
      <c r="Z37435" s="258"/>
    </row>
    <row r="37436" spans="1:26" ht="12.75" customHeight="1" x14ac:dyDescent="0.2">
      <c r="A37436" s="258"/>
      <c r="Z37436" s="258"/>
    </row>
    <row r="37437" spans="1:26" ht="12.75" customHeight="1" x14ac:dyDescent="0.2">
      <c r="A37437" s="258"/>
      <c r="Z37437" s="258"/>
    </row>
    <row r="37438" spans="1:26" ht="12.75" customHeight="1" x14ac:dyDescent="0.2">
      <c r="A37438" s="258"/>
      <c r="Z37438" s="258"/>
    </row>
    <row r="37439" spans="1:26" ht="12.75" customHeight="1" x14ac:dyDescent="0.2">
      <c r="A37439" s="258"/>
      <c r="Z37439" s="258"/>
    </row>
    <row r="37440" spans="1:26" ht="12.75" customHeight="1" x14ac:dyDescent="0.2">
      <c r="A37440" s="258"/>
      <c r="Z37440" s="258"/>
    </row>
    <row r="37441" spans="1:26" ht="12.75" customHeight="1" x14ac:dyDescent="0.2">
      <c r="A37441" s="258"/>
      <c r="Z37441" s="258"/>
    </row>
    <row r="37442" spans="1:26" ht="12.75" customHeight="1" x14ac:dyDescent="0.2">
      <c r="A37442" s="258"/>
      <c r="Z37442" s="258"/>
    </row>
    <row r="37443" spans="1:26" ht="12.75" customHeight="1" x14ac:dyDescent="0.2">
      <c r="A37443" s="258"/>
      <c r="Z37443" s="258"/>
    </row>
    <row r="37444" spans="1:26" ht="12.75" customHeight="1" x14ac:dyDescent="0.2">
      <c r="A37444" s="258"/>
      <c r="Z37444" s="258"/>
    </row>
    <row r="37445" spans="1:26" ht="12.75" customHeight="1" x14ac:dyDescent="0.2">
      <c r="A37445" s="258"/>
      <c r="Z37445" s="258"/>
    </row>
    <row r="37446" spans="1:26" ht="12.75" customHeight="1" x14ac:dyDescent="0.2">
      <c r="A37446" s="258"/>
      <c r="Z37446" s="258"/>
    </row>
    <row r="37447" spans="1:26" ht="12.75" customHeight="1" x14ac:dyDescent="0.2">
      <c r="A37447" s="258"/>
      <c r="Z37447" s="258"/>
    </row>
    <row r="37448" spans="1:26" ht="12.75" customHeight="1" x14ac:dyDescent="0.2">
      <c r="A37448" s="258"/>
      <c r="Z37448" s="258"/>
    </row>
    <row r="37449" spans="1:26" ht="12.75" customHeight="1" x14ac:dyDescent="0.2">
      <c r="A37449" s="258"/>
      <c r="Z37449" s="258"/>
    </row>
    <row r="37450" spans="1:26" ht="12.75" customHeight="1" x14ac:dyDescent="0.2">
      <c r="A37450" s="258"/>
      <c r="Z37450" s="258"/>
    </row>
    <row r="37451" spans="1:26" ht="12.75" customHeight="1" x14ac:dyDescent="0.2">
      <c r="A37451" s="258"/>
      <c r="Z37451" s="258"/>
    </row>
    <row r="37452" spans="1:26" ht="12.75" customHeight="1" x14ac:dyDescent="0.2">
      <c r="A37452" s="258"/>
      <c r="Z37452" s="258"/>
    </row>
    <row r="37453" spans="1:26" ht="12.75" customHeight="1" x14ac:dyDescent="0.2">
      <c r="A37453" s="258"/>
      <c r="Z37453" s="258"/>
    </row>
    <row r="37454" spans="1:26" ht="12.75" customHeight="1" x14ac:dyDescent="0.2">
      <c r="A37454" s="258"/>
      <c r="Z37454" s="258"/>
    </row>
    <row r="37455" spans="1:26" ht="12.75" customHeight="1" x14ac:dyDescent="0.2">
      <c r="A37455" s="258"/>
      <c r="Z37455" s="258"/>
    </row>
    <row r="37456" spans="1:26" ht="12.75" customHeight="1" x14ac:dyDescent="0.2">
      <c r="A37456" s="258"/>
      <c r="Z37456" s="258"/>
    </row>
    <row r="37457" spans="1:26" ht="12.75" customHeight="1" x14ac:dyDescent="0.2">
      <c r="A37457" s="258"/>
      <c r="Z37457" s="258"/>
    </row>
    <row r="37458" spans="1:26" ht="12.75" customHeight="1" x14ac:dyDescent="0.2">
      <c r="A37458" s="258"/>
      <c r="Z37458" s="258"/>
    </row>
    <row r="37459" spans="1:26" ht="12.75" customHeight="1" x14ac:dyDescent="0.2">
      <c r="A37459" s="258"/>
      <c r="Z37459" s="258"/>
    </row>
    <row r="37460" spans="1:26" ht="12.75" customHeight="1" x14ac:dyDescent="0.2">
      <c r="A37460" s="258"/>
      <c r="Z37460" s="258"/>
    </row>
    <row r="37461" spans="1:26" ht="12.75" customHeight="1" x14ac:dyDescent="0.2">
      <c r="A37461" s="258"/>
      <c r="Z37461" s="258"/>
    </row>
    <row r="37462" spans="1:26" ht="12.75" customHeight="1" x14ac:dyDescent="0.2">
      <c r="A37462" s="258"/>
      <c r="Z37462" s="258"/>
    </row>
    <row r="37463" spans="1:26" ht="12.75" customHeight="1" x14ac:dyDescent="0.2">
      <c r="A37463" s="258"/>
      <c r="Z37463" s="258"/>
    </row>
    <row r="37464" spans="1:26" ht="12.75" customHeight="1" x14ac:dyDescent="0.2">
      <c r="A37464" s="258"/>
      <c r="Z37464" s="258"/>
    </row>
    <row r="37465" spans="1:26" ht="12.75" customHeight="1" x14ac:dyDescent="0.2">
      <c r="A37465" s="258"/>
      <c r="Z37465" s="258"/>
    </row>
    <row r="37466" spans="1:26" ht="12.75" customHeight="1" x14ac:dyDescent="0.2">
      <c r="A37466" s="258"/>
      <c r="Z37466" s="258"/>
    </row>
    <row r="37467" spans="1:26" ht="12.75" customHeight="1" x14ac:dyDescent="0.2">
      <c r="A37467" s="258"/>
      <c r="Z37467" s="258"/>
    </row>
    <row r="37468" spans="1:26" ht="12.75" customHeight="1" x14ac:dyDescent="0.2">
      <c r="A37468" s="258"/>
      <c r="Z37468" s="258"/>
    </row>
    <row r="37469" spans="1:26" ht="12.75" customHeight="1" x14ac:dyDescent="0.2">
      <c r="A37469" s="258"/>
      <c r="Z37469" s="258"/>
    </row>
    <row r="37470" spans="1:26" ht="12.75" customHeight="1" x14ac:dyDescent="0.2">
      <c r="A37470" s="258"/>
      <c r="Z37470" s="258"/>
    </row>
    <row r="37471" spans="1:26" ht="12.75" customHeight="1" x14ac:dyDescent="0.2">
      <c r="A37471" s="258"/>
      <c r="Z37471" s="258"/>
    </row>
    <row r="37472" spans="1:26" ht="12.75" customHeight="1" x14ac:dyDescent="0.2">
      <c r="A37472" s="258"/>
      <c r="Z37472" s="258"/>
    </row>
    <row r="37473" spans="1:26" ht="12.75" customHeight="1" x14ac:dyDescent="0.2">
      <c r="A37473" s="258"/>
      <c r="Z37473" s="258"/>
    </row>
    <row r="37474" spans="1:26" ht="12.75" customHeight="1" x14ac:dyDescent="0.2">
      <c r="A37474" s="258"/>
      <c r="Z37474" s="258"/>
    </row>
    <row r="37475" spans="1:26" ht="12.75" customHeight="1" x14ac:dyDescent="0.2">
      <c r="A37475" s="258"/>
      <c r="Z37475" s="258"/>
    </row>
    <row r="37476" spans="1:26" ht="12.75" customHeight="1" x14ac:dyDescent="0.2">
      <c r="A37476" s="258"/>
      <c r="Z37476" s="258"/>
    </row>
    <row r="37477" spans="1:26" ht="12.75" customHeight="1" x14ac:dyDescent="0.2">
      <c r="A37477" s="258"/>
      <c r="Z37477" s="258"/>
    </row>
    <row r="37478" spans="1:26" ht="12.75" customHeight="1" x14ac:dyDescent="0.2">
      <c r="A37478" s="258"/>
      <c r="Z37478" s="258"/>
    </row>
    <row r="37479" spans="1:26" ht="12.75" customHeight="1" x14ac:dyDescent="0.2">
      <c r="A37479" s="258"/>
      <c r="Z37479" s="258"/>
    </row>
    <row r="37480" spans="1:26" ht="12.75" customHeight="1" x14ac:dyDescent="0.2">
      <c r="A37480" s="258"/>
      <c r="Z37480" s="258"/>
    </row>
    <row r="37481" spans="1:26" ht="12.75" customHeight="1" x14ac:dyDescent="0.2">
      <c r="A37481" s="258"/>
      <c r="Z37481" s="258"/>
    </row>
    <row r="37482" spans="1:26" ht="12.75" customHeight="1" x14ac:dyDescent="0.2">
      <c r="A37482" s="258"/>
      <c r="Z37482" s="258"/>
    </row>
    <row r="37483" spans="1:26" ht="12.75" customHeight="1" x14ac:dyDescent="0.2">
      <c r="A37483" s="258"/>
      <c r="Z37483" s="258"/>
    </row>
    <row r="37484" spans="1:26" ht="12.75" customHeight="1" x14ac:dyDescent="0.2">
      <c r="A37484" s="258"/>
      <c r="Z37484" s="258"/>
    </row>
    <row r="37485" spans="1:26" ht="12.75" customHeight="1" x14ac:dyDescent="0.2">
      <c r="A37485" s="258"/>
      <c r="Z37485" s="258"/>
    </row>
    <row r="37486" spans="1:26" ht="12.75" customHeight="1" x14ac:dyDescent="0.2">
      <c r="A37486" s="258"/>
      <c r="Z37486" s="258"/>
    </row>
    <row r="37487" spans="1:26" ht="12.75" customHeight="1" x14ac:dyDescent="0.2">
      <c r="A37487" s="258"/>
      <c r="Z37487" s="258"/>
    </row>
    <row r="37488" spans="1:26" ht="12.75" customHeight="1" x14ac:dyDescent="0.2">
      <c r="A37488" s="258"/>
      <c r="Z37488" s="258"/>
    </row>
    <row r="37489" spans="1:26" ht="12.75" customHeight="1" x14ac:dyDescent="0.2">
      <c r="A37489" s="258"/>
      <c r="Z37489" s="258"/>
    </row>
    <row r="37490" spans="1:26" ht="12.75" customHeight="1" x14ac:dyDescent="0.2">
      <c r="A37490" s="258"/>
      <c r="Z37490" s="258"/>
    </row>
    <row r="37491" spans="1:26" ht="12.75" customHeight="1" x14ac:dyDescent="0.2">
      <c r="A37491" s="258"/>
      <c r="Z37491" s="258"/>
    </row>
    <row r="37492" spans="1:26" ht="12.75" customHeight="1" x14ac:dyDescent="0.2">
      <c r="A37492" s="258"/>
      <c r="Z37492" s="258"/>
    </row>
    <row r="37493" spans="1:26" ht="12.75" customHeight="1" x14ac:dyDescent="0.2">
      <c r="A37493" s="258"/>
      <c r="Z37493" s="258"/>
    </row>
    <row r="37494" spans="1:26" ht="12.75" customHeight="1" x14ac:dyDescent="0.2">
      <c r="A37494" s="258"/>
      <c r="Z37494" s="258"/>
    </row>
    <row r="37495" spans="1:26" ht="12.75" customHeight="1" x14ac:dyDescent="0.2">
      <c r="A37495" s="258"/>
      <c r="Z37495" s="258"/>
    </row>
    <row r="37496" spans="1:26" ht="12.75" customHeight="1" x14ac:dyDescent="0.2">
      <c r="A37496" s="258"/>
      <c r="Z37496" s="258"/>
    </row>
    <row r="37497" spans="1:26" ht="12.75" customHeight="1" x14ac:dyDescent="0.2">
      <c r="A37497" s="258"/>
      <c r="Z37497" s="258"/>
    </row>
    <row r="37498" spans="1:26" ht="12.75" customHeight="1" x14ac:dyDescent="0.2">
      <c r="A37498" s="258"/>
      <c r="Z37498" s="258"/>
    </row>
    <row r="37499" spans="1:26" ht="12.75" customHeight="1" x14ac:dyDescent="0.2">
      <c r="A37499" s="258"/>
      <c r="Z37499" s="258"/>
    </row>
    <row r="37500" spans="1:26" ht="12.75" customHeight="1" x14ac:dyDescent="0.2">
      <c r="A37500" s="258"/>
      <c r="Z37500" s="258"/>
    </row>
    <row r="37501" spans="1:26" ht="12.75" customHeight="1" x14ac:dyDescent="0.2">
      <c r="A37501" s="258"/>
      <c r="Z37501" s="258"/>
    </row>
    <row r="37502" spans="1:26" ht="12.75" customHeight="1" x14ac:dyDescent="0.2">
      <c r="A37502" s="258"/>
      <c r="Z37502" s="258"/>
    </row>
    <row r="37503" spans="1:26" ht="12.75" customHeight="1" x14ac:dyDescent="0.2">
      <c r="A37503" s="258"/>
      <c r="Z37503" s="258"/>
    </row>
    <row r="37504" spans="1:26" ht="12.75" customHeight="1" x14ac:dyDescent="0.2">
      <c r="A37504" s="258"/>
      <c r="Z37504" s="258"/>
    </row>
    <row r="37505" spans="1:26" ht="12.75" customHeight="1" x14ac:dyDescent="0.2">
      <c r="A37505" s="258"/>
      <c r="Z37505" s="258"/>
    </row>
    <row r="37506" spans="1:26" ht="12.75" customHeight="1" x14ac:dyDescent="0.2">
      <c r="A37506" s="258"/>
      <c r="Z37506" s="258"/>
    </row>
    <row r="37507" spans="1:26" ht="12.75" customHeight="1" x14ac:dyDescent="0.2">
      <c r="A37507" s="258"/>
      <c r="Z37507" s="258"/>
    </row>
    <row r="37508" spans="1:26" ht="12.75" customHeight="1" x14ac:dyDescent="0.2">
      <c r="A37508" s="258"/>
      <c r="Z37508" s="258"/>
    </row>
    <row r="37509" spans="1:26" ht="12.75" customHeight="1" x14ac:dyDescent="0.2">
      <c r="A37509" s="258"/>
      <c r="Z37509" s="258"/>
    </row>
    <row r="37510" spans="1:26" ht="12.75" customHeight="1" x14ac:dyDescent="0.2">
      <c r="A37510" s="258"/>
      <c r="Z37510" s="258"/>
    </row>
    <row r="37511" spans="1:26" ht="12.75" customHeight="1" x14ac:dyDescent="0.2">
      <c r="A37511" s="258"/>
      <c r="Z37511" s="258"/>
    </row>
    <row r="37512" spans="1:26" ht="12.75" customHeight="1" x14ac:dyDescent="0.2">
      <c r="A37512" s="258"/>
      <c r="Z37512" s="258"/>
    </row>
    <row r="37513" spans="1:26" ht="12.75" customHeight="1" x14ac:dyDescent="0.2">
      <c r="A37513" s="258"/>
      <c r="Z37513" s="258"/>
    </row>
    <row r="37514" spans="1:26" ht="12.75" customHeight="1" x14ac:dyDescent="0.2">
      <c r="A37514" s="258"/>
      <c r="Z37514" s="258"/>
    </row>
    <row r="37515" spans="1:26" ht="12.75" customHeight="1" x14ac:dyDescent="0.2">
      <c r="A37515" s="258"/>
      <c r="Z37515" s="258"/>
    </row>
    <row r="37516" spans="1:26" ht="12.75" customHeight="1" x14ac:dyDescent="0.2">
      <c r="A37516" s="258"/>
      <c r="Z37516" s="258"/>
    </row>
    <row r="37517" spans="1:26" ht="12.75" customHeight="1" x14ac:dyDescent="0.2">
      <c r="A37517" s="258"/>
      <c r="Z37517" s="258"/>
    </row>
    <row r="37518" spans="1:26" ht="12.75" customHeight="1" x14ac:dyDescent="0.2">
      <c r="A37518" s="258"/>
      <c r="Z37518" s="258"/>
    </row>
    <row r="37519" spans="1:26" ht="12.75" customHeight="1" x14ac:dyDescent="0.2">
      <c r="A37519" s="258"/>
      <c r="Z37519" s="258"/>
    </row>
    <row r="37520" spans="1:26" ht="12.75" customHeight="1" x14ac:dyDescent="0.2">
      <c r="A37520" s="258"/>
      <c r="Z37520" s="258"/>
    </row>
    <row r="37521" spans="1:26" ht="12.75" customHeight="1" x14ac:dyDescent="0.2">
      <c r="A37521" s="258"/>
      <c r="Z37521" s="258"/>
    </row>
    <row r="37522" spans="1:26" ht="12.75" customHeight="1" x14ac:dyDescent="0.2">
      <c r="A37522" s="258"/>
      <c r="Z37522" s="258"/>
    </row>
    <row r="37523" spans="1:26" ht="12.75" customHeight="1" x14ac:dyDescent="0.2">
      <c r="A37523" s="258"/>
      <c r="Z37523" s="258"/>
    </row>
    <row r="37524" spans="1:26" ht="12.75" customHeight="1" x14ac:dyDescent="0.2">
      <c r="A37524" s="258"/>
      <c r="Z37524" s="258"/>
    </row>
    <row r="37525" spans="1:26" ht="12.75" customHeight="1" x14ac:dyDescent="0.2">
      <c r="A37525" s="258"/>
      <c r="Z37525" s="258"/>
    </row>
    <row r="37526" spans="1:26" ht="12.75" customHeight="1" x14ac:dyDescent="0.2">
      <c r="A37526" s="258"/>
      <c r="Z37526" s="258"/>
    </row>
    <row r="37527" spans="1:26" ht="12.75" customHeight="1" x14ac:dyDescent="0.2">
      <c r="A37527" s="258"/>
      <c r="Z37527" s="258"/>
    </row>
    <row r="37528" spans="1:26" ht="12.75" customHeight="1" x14ac:dyDescent="0.2">
      <c r="A37528" s="258"/>
      <c r="Z37528" s="258"/>
    </row>
    <row r="37529" spans="1:26" ht="12.75" customHeight="1" x14ac:dyDescent="0.2">
      <c r="A37529" s="258"/>
      <c r="Z37529" s="258"/>
    </row>
    <row r="37530" spans="1:26" ht="12.75" customHeight="1" x14ac:dyDescent="0.2">
      <c r="A37530" s="258"/>
      <c r="Z37530" s="258"/>
    </row>
    <row r="37531" spans="1:26" ht="12.75" customHeight="1" x14ac:dyDescent="0.2">
      <c r="A37531" s="258"/>
      <c r="Z37531" s="258"/>
    </row>
    <row r="37532" spans="1:26" ht="12.75" customHeight="1" x14ac:dyDescent="0.2">
      <c r="A37532" s="258"/>
      <c r="Z37532" s="258"/>
    </row>
    <row r="37533" spans="1:26" ht="12.75" customHeight="1" x14ac:dyDescent="0.2">
      <c r="A37533" s="258"/>
      <c r="Z37533" s="258"/>
    </row>
    <row r="37534" spans="1:26" ht="12.75" customHeight="1" x14ac:dyDescent="0.2">
      <c r="A37534" s="258"/>
      <c r="Z37534" s="258"/>
    </row>
    <row r="37535" spans="1:26" ht="12.75" customHeight="1" x14ac:dyDescent="0.2">
      <c r="A37535" s="258"/>
      <c r="Z37535" s="258"/>
    </row>
    <row r="37536" spans="1:26" ht="12.75" customHeight="1" x14ac:dyDescent="0.2">
      <c r="A37536" s="258"/>
      <c r="Z37536" s="258"/>
    </row>
    <row r="37537" spans="1:26" ht="12.75" customHeight="1" x14ac:dyDescent="0.2">
      <c r="A37537" s="258"/>
      <c r="Z37537" s="258"/>
    </row>
    <row r="37538" spans="1:26" ht="12.75" customHeight="1" x14ac:dyDescent="0.2">
      <c r="A37538" s="258"/>
      <c r="Z37538" s="258"/>
    </row>
    <row r="37539" spans="1:26" ht="12.75" customHeight="1" x14ac:dyDescent="0.2">
      <c r="A37539" s="258"/>
      <c r="Z37539" s="258"/>
    </row>
    <row r="37540" spans="1:26" ht="12.75" customHeight="1" x14ac:dyDescent="0.2">
      <c r="A37540" s="258"/>
      <c r="Z37540" s="258"/>
    </row>
    <row r="37541" spans="1:26" ht="12.75" customHeight="1" x14ac:dyDescent="0.2">
      <c r="A37541" s="258"/>
      <c r="Z37541" s="258"/>
    </row>
    <row r="37542" spans="1:26" ht="12.75" customHeight="1" x14ac:dyDescent="0.2">
      <c r="A37542" s="258"/>
      <c r="Z37542" s="258"/>
    </row>
    <row r="37543" spans="1:26" ht="12.75" customHeight="1" x14ac:dyDescent="0.2">
      <c r="A37543" s="258"/>
      <c r="Z37543" s="258"/>
    </row>
    <row r="37544" spans="1:26" ht="12.75" customHeight="1" x14ac:dyDescent="0.2">
      <c r="A37544" s="258"/>
      <c r="Z37544" s="258"/>
    </row>
    <row r="37545" spans="1:26" ht="12.75" customHeight="1" x14ac:dyDescent="0.2">
      <c r="A37545" s="258"/>
      <c r="Z37545" s="258"/>
    </row>
    <row r="37546" spans="1:26" ht="12.75" customHeight="1" x14ac:dyDescent="0.2">
      <c r="A37546" s="258"/>
      <c r="Z37546" s="258"/>
    </row>
    <row r="37547" spans="1:26" ht="12.75" customHeight="1" x14ac:dyDescent="0.2">
      <c r="A37547" s="258"/>
      <c r="Z37547" s="258"/>
    </row>
    <row r="37548" spans="1:26" ht="12.75" customHeight="1" x14ac:dyDescent="0.2">
      <c r="A37548" s="258"/>
      <c r="Z37548" s="258"/>
    </row>
    <row r="37549" spans="1:26" ht="12.75" customHeight="1" x14ac:dyDescent="0.2">
      <c r="A37549" s="258"/>
      <c r="Z37549" s="258"/>
    </row>
    <row r="37550" spans="1:26" ht="12.75" customHeight="1" x14ac:dyDescent="0.2">
      <c r="A37550" s="258"/>
      <c r="Z37550" s="258"/>
    </row>
    <row r="37551" spans="1:26" ht="12.75" customHeight="1" x14ac:dyDescent="0.2">
      <c r="A37551" s="258"/>
      <c r="Z37551" s="258"/>
    </row>
    <row r="37552" spans="1:26" ht="12.75" customHeight="1" x14ac:dyDescent="0.2">
      <c r="A37552" s="258"/>
      <c r="Z37552" s="258"/>
    </row>
    <row r="37553" spans="1:26" ht="12.75" customHeight="1" x14ac:dyDescent="0.2">
      <c r="A37553" s="258"/>
      <c r="Z37553" s="258"/>
    </row>
    <row r="37554" spans="1:26" ht="12.75" customHeight="1" x14ac:dyDescent="0.2">
      <c r="A37554" s="258"/>
      <c r="Z37554" s="258"/>
    </row>
    <row r="37555" spans="1:26" ht="12.75" customHeight="1" x14ac:dyDescent="0.2">
      <c r="A37555" s="258"/>
      <c r="Z37555" s="258"/>
    </row>
    <row r="37556" spans="1:26" ht="12.75" customHeight="1" x14ac:dyDescent="0.2">
      <c r="A37556" s="258"/>
      <c r="Z37556" s="258"/>
    </row>
    <row r="37557" spans="1:26" ht="12.75" customHeight="1" x14ac:dyDescent="0.2">
      <c r="A37557" s="258"/>
      <c r="Z37557" s="258"/>
    </row>
    <row r="37558" spans="1:26" ht="12.75" customHeight="1" x14ac:dyDescent="0.2">
      <c r="A37558" s="258"/>
      <c r="Z37558" s="258"/>
    </row>
    <row r="37559" spans="1:26" ht="12.75" customHeight="1" x14ac:dyDescent="0.2">
      <c r="A37559" s="258"/>
      <c r="Z37559" s="258"/>
    </row>
    <row r="37560" spans="1:26" ht="12.75" customHeight="1" x14ac:dyDescent="0.2">
      <c r="A37560" s="258"/>
      <c r="Z37560" s="258"/>
    </row>
    <row r="37561" spans="1:26" ht="12.75" customHeight="1" x14ac:dyDescent="0.2">
      <c r="A37561" s="258"/>
      <c r="Z37561" s="258"/>
    </row>
    <row r="37562" spans="1:26" ht="12.75" customHeight="1" x14ac:dyDescent="0.2">
      <c r="A37562" s="258"/>
      <c r="Z37562" s="258"/>
    </row>
    <row r="37563" spans="1:26" ht="12.75" customHeight="1" x14ac:dyDescent="0.2">
      <c r="A37563" s="258"/>
      <c r="Z37563" s="258"/>
    </row>
    <row r="37564" spans="1:26" ht="12.75" customHeight="1" x14ac:dyDescent="0.2">
      <c r="A37564" s="258"/>
      <c r="Z37564" s="258"/>
    </row>
    <row r="37565" spans="1:26" ht="12.75" customHeight="1" x14ac:dyDescent="0.2">
      <c r="A37565" s="258"/>
      <c r="Z37565" s="258"/>
    </row>
    <row r="37566" spans="1:26" ht="12.75" customHeight="1" x14ac:dyDescent="0.2">
      <c r="A37566" s="258"/>
      <c r="Z37566" s="258"/>
    </row>
    <row r="37567" spans="1:26" ht="12.75" customHeight="1" x14ac:dyDescent="0.2">
      <c r="A37567" s="258"/>
      <c r="Z37567" s="258"/>
    </row>
    <row r="37568" spans="1:26" ht="12.75" customHeight="1" x14ac:dyDescent="0.2">
      <c r="A37568" s="258"/>
      <c r="Z37568" s="258"/>
    </row>
    <row r="37569" spans="1:26" ht="12.75" customHeight="1" x14ac:dyDescent="0.2">
      <c r="A37569" s="258"/>
      <c r="Z37569" s="258"/>
    </row>
    <row r="37570" spans="1:26" ht="12.75" customHeight="1" x14ac:dyDescent="0.2">
      <c r="A37570" s="258"/>
      <c r="Z37570" s="258"/>
    </row>
    <row r="37571" spans="1:26" ht="12.75" customHeight="1" x14ac:dyDescent="0.2">
      <c r="A37571" s="258"/>
      <c r="Z37571" s="258"/>
    </row>
    <row r="37572" spans="1:26" ht="12.75" customHeight="1" x14ac:dyDescent="0.2">
      <c r="A37572" s="258"/>
      <c r="Z37572" s="258"/>
    </row>
    <row r="37573" spans="1:26" ht="12.75" customHeight="1" x14ac:dyDescent="0.2">
      <c r="A37573" s="258"/>
      <c r="Z37573" s="258"/>
    </row>
    <row r="37574" spans="1:26" ht="12.75" customHeight="1" x14ac:dyDescent="0.2">
      <c r="A37574" s="258"/>
      <c r="Z37574" s="258"/>
    </row>
    <row r="37575" spans="1:26" ht="12.75" customHeight="1" x14ac:dyDescent="0.2">
      <c r="A37575" s="258"/>
      <c r="Z37575" s="258"/>
    </row>
    <row r="37576" spans="1:26" ht="12.75" customHeight="1" x14ac:dyDescent="0.2">
      <c r="A37576" s="258"/>
      <c r="Z37576" s="258"/>
    </row>
    <row r="37577" spans="1:26" ht="12.75" customHeight="1" x14ac:dyDescent="0.2">
      <c r="A37577" s="258"/>
      <c r="Z37577" s="258"/>
    </row>
    <row r="37578" spans="1:26" ht="12.75" customHeight="1" x14ac:dyDescent="0.2">
      <c r="A37578" s="258"/>
      <c r="Z37578" s="258"/>
    </row>
    <row r="37579" spans="1:26" ht="12.75" customHeight="1" x14ac:dyDescent="0.2">
      <c r="A37579" s="258"/>
      <c r="Z37579" s="258"/>
    </row>
    <row r="37580" spans="1:26" ht="12.75" customHeight="1" x14ac:dyDescent="0.2">
      <c r="A37580" s="258"/>
      <c r="Z37580" s="258"/>
    </row>
    <row r="37581" spans="1:26" ht="12.75" customHeight="1" x14ac:dyDescent="0.2">
      <c r="A37581" s="258"/>
      <c r="Z37581" s="258"/>
    </row>
    <row r="37582" spans="1:26" ht="12.75" customHeight="1" x14ac:dyDescent="0.2">
      <c r="A37582" s="258"/>
      <c r="Z37582" s="258"/>
    </row>
    <row r="37583" spans="1:26" ht="12.75" customHeight="1" x14ac:dyDescent="0.2">
      <c r="A37583" s="258"/>
      <c r="Z37583" s="258"/>
    </row>
    <row r="37584" spans="1:26" ht="12.75" customHeight="1" x14ac:dyDescent="0.2">
      <c r="A37584" s="258"/>
      <c r="Z37584" s="258"/>
    </row>
    <row r="37585" spans="1:26" ht="12.75" customHeight="1" x14ac:dyDescent="0.2">
      <c r="A37585" s="258"/>
      <c r="Z37585" s="258"/>
    </row>
    <row r="37586" spans="1:26" ht="12.75" customHeight="1" x14ac:dyDescent="0.2">
      <c r="A37586" s="258"/>
      <c r="Z37586" s="258"/>
    </row>
    <row r="37587" spans="1:26" ht="12.75" customHeight="1" x14ac:dyDescent="0.2">
      <c r="A37587" s="258"/>
      <c r="Z37587" s="258"/>
    </row>
    <row r="37588" spans="1:26" ht="12.75" customHeight="1" x14ac:dyDescent="0.2">
      <c r="A37588" s="258"/>
      <c r="Z37588" s="258"/>
    </row>
    <row r="37589" spans="1:26" ht="12.75" customHeight="1" x14ac:dyDescent="0.2">
      <c r="A37589" s="258"/>
      <c r="Z37589" s="258"/>
    </row>
    <row r="37590" spans="1:26" ht="12.75" customHeight="1" x14ac:dyDescent="0.2">
      <c r="A37590" s="258"/>
      <c r="Z37590" s="258"/>
    </row>
    <row r="37591" spans="1:26" ht="12.75" customHeight="1" x14ac:dyDescent="0.2">
      <c r="A37591" s="258"/>
      <c r="Z37591" s="258"/>
    </row>
    <row r="37592" spans="1:26" ht="12.75" customHeight="1" x14ac:dyDescent="0.2">
      <c r="A37592" s="258"/>
      <c r="Z37592" s="258"/>
    </row>
    <row r="37593" spans="1:26" ht="12.75" customHeight="1" x14ac:dyDescent="0.2">
      <c r="A37593" s="258"/>
      <c r="Z37593" s="258"/>
    </row>
    <row r="37594" spans="1:26" ht="12.75" customHeight="1" x14ac:dyDescent="0.2">
      <c r="A37594" s="258"/>
      <c r="Z37594" s="258"/>
    </row>
    <row r="37595" spans="1:26" ht="12.75" customHeight="1" x14ac:dyDescent="0.2">
      <c r="A37595" s="258"/>
      <c r="Z37595" s="258"/>
    </row>
    <row r="37596" spans="1:26" ht="12.75" customHeight="1" x14ac:dyDescent="0.2">
      <c r="A37596" s="258"/>
      <c r="Z37596" s="258"/>
    </row>
    <row r="37597" spans="1:26" ht="12.75" customHeight="1" x14ac:dyDescent="0.2">
      <c r="A37597" s="258"/>
      <c r="Z37597" s="258"/>
    </row>
    <row r="37598" spans="1:26" ht="12.75" customHeight="1" x14ac:dyDescent="0.2">
      <c r="A37598" s="258"/>
      <c r="Z37598" s="258"/>
    </row>
    <row r="37599" spans="1:26" ht="12.75" customHeight="1" x14ac:dyDescent="0.2">
      <c r="A37599" s="258"/>
      <c r="Z37599" s="258"/>
    </row>
    <row r="37600" spans="1:26" ht="12.75" customHeight="1" x14ac:dyDescent="0.2">
      <c r="A37600" s="258"/>
      <c r="Z37600" s="258"/>
    </row>
    <row r="37601" spans="1:26" ht="12.75" customHeight="1" x14ac:dyDescent="0.2">
      <c r="A37601" s="258"/>
      <c r="Z37601" s="258"/>
    </row>
    <row r="37602" spans="1:26" ht="12.75" customHeight="1" x14ac:dyDescent="0.2">
      <c r="A37602" s="258"/>
      <c r="Z37602" s="258"/>
    </row>
    <row r="37603" spans="1:26" ht="12.75" customHeight="1" x14ac:dyDescent="0.2">
      <c r="A37603" s="258"/>
      <c r="Z37603" s="258"/>
    </row>
    <row r="37604" spans="1:26" ht="12.75" customHeight="1" x14ac:dyDescent="0.2">
      <c r="A37604" s="258"/>
      <c r="Z37604" s="258"/>
    </row>
    <row r="37605" spans="1:26" ht="12.75" customHeight="1" x14ac:dyDescent="0.2">
      <c r="A37605" s="258"/>
      <c r="Z37605" s="258"/>
    </row>
    <row r="37606" spans="1:26" ht="12.75" customHeight="1" x14ac:dyDescent="0.2">
      <c r="A37606" s="258"/>
      <c r="Z37606" s="258"/>
    </row>
    <row r="37607" spans="1:26" ht="12.75" customHeight="1" x14ac:dyDescent="0.2">
      <c r="A37607" s="258"/>
      <c r="Z37607" s="258"/>
    </row>
    <row r="37608" spans="1:26" ht="12.75" customHeight="1" x14ac:dyDescent="0.2">
      <c r="A37608" s="258"/>
      <c r="Z37608" s="258"/>
    </row>
    <row r="37609" spans="1:26" ht="12.75" customHeight="1" x14ac:dyDescent="0.2">
      <c r="A37609" s="258"/>
      <c r="Z37609" s="258"/>
    </row>
    <row r="37610" spans="1:26" ht="12.75" customHeight="1" x14ac:dyDescent="0.2">
      <c r="A37610" s="258"/>
      <c r="Z37610" s="258"/>
    </row>
    <row r="37611" spans="1:26" ht="12.75" customHeight="1" x14ac:dyDescent="0.2">
      <c r="A37611" s="258"/>
      <c r="Z37611" s="258"/>
    </row>
    <row r="37612" spans="1:26" ht="12.75" customHeight="1" x14ac:dyDescent="0.2">
      <c r="A37612" s="258"/>
      <c r="Z37612" s="258"/>
    </row>
    <row r="37613" spans="1:26" ht="12.75" customHeight="1" x14ac:dyDescent="0.2">
      <c r="A37613" s="258"/>
      <c r="Z37613" s="258"/>
    </row>
    <row r="37614" spans="1:26" ht="12.75" customHeight="1" x14ac:dyDescent="0.2">
      <c r="A37614" s="258"/>
      <c r="Z37614" s="258"/>
    </row>
    <row r="37615" spans="1:26" ht="12.75" customHeight="1" x14ac:dyDescent="0.2">
      <c r="A37615" s="258"/>
      <c r="Z37615" s="258"/>
    </row>
    <row r="37616" spans="1:26" ht="12.75" customHeight="1" x14ac:dyDescent="0.2">
      <c r="A37616" s="258"/>
      <c r="Z37616" s="258"/>
    </row>
    <row r="37617" spans="1:26" ht="12.75" customHeight="1" x14ac:dyDescent="0.2">
      <c r="A37617" s="258"/>
      <c r="Z37617" s="258"/>
    </row>
    <row r="37618" spans="1:26" ht="12.75" customHeight="1" x14ac:dyDescent="0.2">
      <c r="A37618" s="258"/>
      <c r="Z37618" s="258"/>
    </row>
    <row r="37619" spans="1:26" ht="12.75" customHeight="1" x14ac:dyDescent="0.2">
      <c r="A37619" s="258"/>
      <c r="Z37619" s="258"/>
    </row>
    <row r="37620" spans="1:26" ht="12.75" customHeight="1" x14ac:dyDescent="0.2">
      <c r="A37620" s="258"/>
      <c r="Z37620" s="258"/>
    </row>
    <row r="37621" spans="1:26" ht="12.75" customHeight="1" x14ac:dyDescent="0.2">
      <c r="A37621" s="258"/>
      <c r="Z37621" s="258"/>
    </row>
    <row r="37622" spans="1:26" ht="12.75" customHeight="1" x14ac:dyDescent="0.2">
      <c r="A37622" s="258"/>
      <c r="Z37622" s="258"/>
    </row>
    <row r="37623" spans="1:26" ht="12.75" customHeight="1" x14ac:dyDescent="0.2">
      <c r="A37623" s="258"/>
      <c r="Z37623" s="258"/>
    </row>
    <row r="37624" spans="1:26" ht="12.75" customHeight="1" x14ac:dyDescent="0.2">
      <c r="A37624" s="258"/>
      <c r="Z37624" s="258"/>
    </row>
    <row r="37625" spans="1:26" ht="12.75" customHeight="1" x14ac:dyDescent="0.2">
      <c r="A37625" s="258"/>
      <c r="Z37625" s="258"/>
    </row>
    <row r="37626" spans="1:26" ht="12.75" customHeight="1" x14ac:dyDescent="0.2">
      <c r="A37626" s="258"/>
      <c r="Z37626" s="258"/>
    </row>
    <row r="37627" spans="1:26" ht="12.75" customHeight="1" x14ac:dyDescent="0.2">
      <c r="A37627" s="258"/>
      <c r="Z37627" s="258"/>
    </row>
    <row r="37628" spans="1:26" ht="12.75" customHeight="1" x14ac:dyDescent="0.2">
      <c r="A37628" s="258"/>
      <c r="Z37628" s="258"/>
    </row>
    <row r="37629" spans="1:26" ht="12.75" customHeight="1" x14ac:dyDescent="0.2">
      <c r="A37629" s="258"/>
      <c r="Z37629" s="258"/>
    </row>
    <row r="37630" spans="1:26" ht="12.75" customHeight="1" x14ac:dyDescent="0.2">
      <c r="A37630" s="258"/>
      <c r="Z37630" s="258"/>
    </row>
    <row r="37631" spans="1:26" ht="12.75" customHeight="1" x14ac:dyDescent="0.2">
      <c r="A37631" s="258"/>
      <c r="Z37631" s="258"/>
    </row>
    <row r="37632" spans="1:26" ht="12.75" customHeight="1" x14ac:dyDescent="0.2">
      <c r="A37632" s="258"/>
      <c r="Z37632" s="258"/>
    </row>
    <row r="37633" spans="1:26" ht="12.75" customHeight="1" x14ac:dyDescent="0.2">
      <c r="A37633" s="258"/>
      <c r="Z37633" s="258"/>
    </row>
    <row r="37634" spans="1:26" ht="12.75" customHeight="1" x14ac:dyDescent="0.2">
      <c r="A37634" s="258"/>
      <c r="Z37634" s="258"/>
    </row>
    <row r="37635" spans="1:26" ht="12.75" customHeight="1" x14ac:dyDescent="0.2">
      <c r="A37635" s="258"/>
      <c r="Z37635" s="258"/>
    </row>
    <row r="37636" spans="1:26" ht="12.75" customHeight="1" x14ac:dyDescent="0.2">
      <c r="A37636" s="258"/>
      <c r="Z37636" s="258"/>
    </row>
    <row r="37637" spans="1:26" ht="12.75" customHeight="1" x14ac:dyDescent="0.2">
      <c r="A37637" s="258"/>
      <c r="Z37637" s="258"/>
    </row>
    <row r="37638" spans="1:26" ht="12.75" customHeight="1" x14ac:dyDescent="0.2">
      <c r="A37638" s="258"/>
      <c r="Z37638" s="258"/>
    </row>
    <row r="37639" spans="1:26" ht="12.75" customHeight="1" x14ac:dyDescent="0.2">
      <c r="A37639" s="258"/>
      <c r="Z37639" s="258"/>
    </row>
    <row r="37640" spans="1:26" ht="12.75" customHeight="1" x14ac:dyDescent="0.2">
      <c r="A37640" s="258"/>
      <c r="Z37640" s="258"/>
    </row>
    <row r="37641" spans="1:26" ht="12.75" customHeight="1" x14ac:dyDescent="0.2">
      <c r="A37641" s="258"/>
      <c r="Z37641" s="258"/>
    </row>
    <row r="37642" spans="1:26" ht="12.75" customHeight="1" x14ac:dyDescent="0.2">
      <c r="A37642" s="258"/>
      <c r="Z37642" s="258"/>
    </row>
    <row r="37643" spans="1:26" ht="12.75" customHeight="1" x14ac:dyDescent="0.2">
      <c r="A37643" s="258"/>
      <c r="Z37643" s="258"/>
    </row>
    <row r="37644" spans="1:26" ht="12.75" customHeight="1" x14ac:dyDescent="0.2">
      <c r="A37644" s="258"/>
      <c r="Z37644" s="258"/>
    </row>
    <row r="37645" spans="1:26" ht="12.75" customHeight="1" x14ac:dyDescent="0.2">
      <c r="A37645" s="258"/>
      <c r="Z37645" s="258"/>
    </row>
    <row r="37646" spans="1:26" ht="12.75" customHeight="1" x14ac:dyDescent="0.2">
      <c r="A37646" s="258"/>
      <c r="Z37646" s="258"/>
    </row>
    <row r="37647" spans="1:26" ht="12.75" customHeight="1" x14ac:dyDescent="0.2">
      <c r="A37647" s="258"/>
      <c r="Z37647" s="258"/>
    </row>
    <row r="37648" spans="1:26" ht="12.75" customHeight="1" x14ac:dyDescent="0.2">
      <c r="A37648" s="258"/>
      <c r="Z37648" s="258"/>
    </row>
    <row r="37649" spans="1:26" ht="12.75" customHeight="1" x14ac:dyDescent="0.2">
      <c r="A37649" s="258"/>
      <c r="Z37649" s="258"/>
    </row>
    <row r="37650" spans="1:26" ht="12.75" customHeight="1" x14ac:dyDescent="0.2">
      <c r="A37650" s="258"/>
      <c r="Z37650" s="258"/>
    </row>
    <row r="37651" spans="1:26" ht="12.75" customHeight="1" x14ac:dyDescent="0.2">
      <c r="A37651" s="258"/>
      <c r="Z37651" s="258"/>
    </row>
    <row r="37652" spans="1:26" ht="12.75" customHeight="1" x14ac:dyDescent="0.2">
      <c r="A37652" s="258"/>
      <c r="Z37652" s="258"/>
    </row>
    <row r="37653" spans="1:26" ht="12.75" customHeight="1" x14ac:dyDescent="0.2">
      <c r="A37653" s="258"/>
      <c r="Z37653" s="258"/>
    </row>
    <row r="37654" spans="1:26" ht="12.75" customHeight="1" x14ac:dyDescent="0.2">
      <c r="A37654" s="258"/>
      <c r="Z37654" s="258"/>
    </row>
    <row r="37655" spans="1:26" ht="12.75" customHeight="1" x14ac:dyDescent="0.2">
      <c r="A37655" s="258"/>
      <c r="Z37655" s="258"/>
    </row>
    <row r="37656" spans="1:26" ht="12.75" customHeight="1" x14ac:dyDescent="0.2">
      <c r="A37656" s="258"/>
      <c r="Z37656" s="258"/>
    </row>
    <row r="37657" spans="1:26" ht="12.75" customHeight="1" x14ac:dyDescent="0.2">
      <c r="A37657" s="258"/>
      <c r="Z37657" s="258"/>
    </row>
    <row r="37658" spans="1:26" ht="12.75" customHeight="1" x14ac:dyDescent="0.2">
      <c r="A37658" s="258"/>
      <c r="Z37658" s="258"/>
    </row>
    <row r="37659" spans="1:26" ht="12.75" customHeight="1" x14ac:dyDescent="0.2">
      <c r="A37659" s="258"/>
      <c r="Z37659" s="258"/>
    </row>
    <row r="37660" spans="1:26" ht="12.75" customHeight="1" x14ac:dyDescent="0.2">
      <c r="A37660" s="258"/>
      <c r="Z37660" s="258"/>
    </row>
    <row r="37661" spans="1:26" ht="12.75" customHeight="1" x14ac:dyDescent="0.2">
      <c r="A37661" s="258"/>
      <c r="Z37661" s="258"/>
    </row>
    <row r="37662" spans="1:26" ht="12.75" customHeight="1" x14ac:dyDescent="0.2">
      <c r="A37662" s="258"/>
      <c r="Z37662" s="258"/>
    </row>
    <row r="37663" spans="1:26" ht="12.75" customHeight="1" x14ac:dyDescent="0.2">
      <c r="A37663" s="258"/>
      <c r="Z37663" s="258"/>
    </row>
    <row r="37664" spans="1:26" ht="12.75" customHeight="1" x14ac:dyDescent="0.2">
      <c r="A37664" s="258"/>
      <c r="Z37664" s="258"/>
    </row>
    <row r="37665" spans="1:26" ht="12.75" customHeight="1" x14ac:dyDescent="0.2">
      <c r="A37665" s="258"/>
      <c r="Z37665" s="258"/>
    </row>
    <row r="37666" spans="1:26" ht="12.75" customHeight="1" x14ac:dyDescent="0.2">
      <c r="A37666" s="258"/>
      <c r="Z37666" s="258"/>
    </row>
    <row r="37667" spans="1:26" ht="12.75" customHeight="1" x14ac:dyDescent="0.2">
      <c r="A37667" s="258"/>
      <c r="Z37667" s="258"/>
    </row>
    <row r="37668" spans="1:26" ht="12.75" customHeight="1" x14ac:dyDescent="0.2">
      <c r="A37668" s="258"/>
      <c r="Z37668" s="258"/>
    </row>
    <row r="37669" spans="1:26" ht="12.75" customHeight="1" x14ac:dyDescent="0.2">
      <c r="A37669" s="258"/>
      <c r="Z37669" s="258"/>
    </row>
    <row r="37670" spans="1:26" ht="12.75" customHeight="1" x14ac:dyDescent="0.2">
      <c r="A37670" s="258"/>
      <c r="Z37670" s="258"/>
    </row>
    <row r="37671" spans="1:26" ht="12.75" customHeight="1" x14ac:dyDescent="0.2">
      <c r="A37671" s="258"/>
      <c r="Z37671" s="258"/>
    </row>
    <row r="37672" spans="1:26" ht="12.75" customHeight="1" x14ac:dyDescent="0.2">
      <c r="A37672" s="258"/>
      <c r="Z37672" s="258"/>
    </row>
    <row r="37673" spans="1:26" ht="12.75" customHeight="1" x14ac:dyDescent="0.2">
      <c r="A37673" s="258"/>
      <c r="Z37673" s="258"/>
    </row>
    <row r="37674" spans="1:26" ht="12.75" customHeight="1" x14ac:dyDescent="0.2">
      <c r="A37674" s="258"/>
      <c r="Z37674" s="258"/>
    </row>
    <row r="37675" spans="1:26" ht="12.75" customHeight="1" x14ac:dyDescent="0.2">
      <c r="A37675" s="258"/>
      <c r="Z37675" s="258"/>
    </row>
    <row r="37676" spans="1:26" ht="12.75" customHeight="1" x14ac:dyDescent="0.2">
      <c r="A37676" s="258"/>
      <c r="Z37676" s="258"/>
    </row>
    <row r="37677" spans="1:26" ht="12.75" customHeight="1" x14ac:dyDescent="0.2">
      <c r="A37677" s="258"/>
      <c r="Z37677" s="258"/>
    </row>
    <row r="37678" spans="1:26" ht="12.75" customHeight="1" x14ac:dyDescent="0.2">
      <c r="A37678" s="258"/>
      <c r="Z37678" s="258"/>
    </row>
    <row r="37679" spans="1:26" ht="12.75" customHeight="1" x14ac:dyDescent="0.2">
      <c r="A37679" s="258"/>
      <c r="Z37679" s="258"/>
    </row>
    <row r="37680" spans="1:26" ht="12.75" customHeight="1" x14ac:dyDescent="0.2">
      <c r="A37680" s="258"/>
      <c r="Z37680" s="258"/>
    </row>
    <row r="37681" spans="1:26" ht="12.75" customHeight="1" x14ac:dyDescent="0.2">
      <c r="A37681" s="258"/>
      <c r="Z37681" s="258"/>
    </row>
    <row r="37682" spans="1:26" ht="12.75" customHeight="1" x14ac:dyDescent="0.2">
      <c r="A37682" s="258"/>
      <c r="Z37682" s="258"/>
    </row>
    <row r="37683" spans="1:26" ht="12.75" customHeight="1" x14ac:dyDescent="0.2">
      <c r="A37683" s="258"/>
      <c r="Z37683" s="258"/>
    </row>
    <row r="37684" spans="1:26" ht="12.75" customHeight="1" x14ac:dyDescent="0.2">
      <c r="A37684" s="258"/>
      <c r="Z37684" s="258"/>
    </row>
    <row r="37685" spans="1:26" ht="12.75" customHeight="1" x14ac:dyDescent="0.2">
      <c r="A37685" s="258"/>
      <c r="Z37685" s="258"/>
    </row>
    <row r="37686" spans="1:26" ht="12.75" customHeight="1" x14ac:dyDescent="0.2">
      <c r="A37686" s="258"/>
      <c r="Z37686" s="258"/>
    </row>
    <row r="37687" spans="1:26" ht="12.75" customHeight="1" x14ac:dyDescent="0.2">
      <c r="A37687" s="258"/>
      <c r="Z37687" s="258"/>
    </row>
    <row r="37688" spans="1:26" ht="12.75" customHeight="1" x14ac:dyDescent="0.2">
      <c r="A37688" s="258"/>
      <c r="Z37688" s="258"/>
    </row>
    <row r="37689" spans="1:26" ht="12.75" customHeight="1" x14ac:dyDescent="0.2">
      <c r="A37689" s="258"/>
      <c r="Z37689" s="258"/>
    </row>
    <row r="37690" spans="1:26" ht="12.75" customHeight="1" x14ac:dyDescent="0.2">
      <c r="A37690" s="258"/>
      <c r="Z37690" s="258"/>
    </row>
    <row r="37691" spans="1:26" ht="12.75" customHeight="1" x14ac:dyDescent="0.2">
      <c r="A37691" s="258"/>
      <c r="Z37691" s="258"/>
    </row>
    <row r="37692" spans="1:26" ht="12.75" customHeight="1" x14ac:dyDescent="0.2">
      <c r="A37692" s="258"/>
      <c r="Z37692" s="258"/>
    </row>
    <row r="37693" spans="1:26" ht="12.75" customHeight="1" x14ac:dyDescent="0.2">
      <c r="A37693" s="258"/>
      <c r="Z37693" s="258"/>
    </row>
    <row r="37694" spans="1:26" ht="12.75" customHeight="1" x14ac:dyDescent="0.2">
      <c r="A37694" s="258"/>
      <c r="Z37694" s="258"/>
    </row>
    <row r="37695" spans="1:26" ht="12.75" customHeight="1" x14ac:dyDescent="0.2">
      <c r="A37695" s="258"/>
      <c r="Z37695" s="258"/>
    </row>
    <row r="37696" spans="1:26" ht="12.75" customHeight="1" x14ac:dyDescent="0.2">
      <c r="A37696" s="258"/>
      <c r="Z37696" s="258"/>
    </row>
    <row r="37697" spans="1:26" ht="12.75" customHeight="1" x14ac:dyDescent="0.2">
      <c r="A37697" s="258"/>
      <c r="Z37697" s="258"/>
    </row>
    <row r="37698" spans="1:26" ht="12.75" customHeight="1" x14ac:dyDescent="0.2">
      <c r="A37698" s="258"/>
      <c r="Z37698" s="258"/>
    </row>
    <row r="37699" spans="1:26" ht="12.75" customHeight="1" x14ac:dyDescent="0.2">
      <c r="A37699" s="258"/>
      <c r="Z37699" s="258"/>
    </row>
    <row r="37700" spans="1:26" ht="12.75" customHeight="1" x14ac:dyDescent="0.2">
      <c r="A37700" s="258"/>
      <c r="Z37700" s="258"/>
    </row>
    <row r="37701" spans="1:26" ht="12.75" customHeight="1" x14ac:dyDescent="0.2">
      <c r="A37701" s="258"/>
      <c r="Z37701" s="258"/>
    </row>
    <row r="37702" spans="1:26" ht="12.75" customHeight="1" x14ac:dyDescent="0.2">
      <c r="A37702" s="258"/>
      <c r="Z37702" s="258"/>
    </row>
    <row r="37703" spans="1:26" ht="12.75" customHeight="1" x14ac:dyDescent="0.2">
      <c r="A37703" s="258"/>
      <c r="Z37703" s="258"/>
    </row>
    <row r="37704" spans="1:26" ht="12.75" customHeight="1" x14ac:dyDescent="0.2">
      <c r="A37704" s="258"/>
      <c r="Z37704" s="258"/>
    </row>
    <row r="37705" spans="1:26" ht="12.75" customHeight="1" x14ac:dyDescent="0.2">
      <c r="A37705" s="258"/>
      <c r="Z37705" s="258"/>
    </row>
    <row r="37706" spans="1:26" ht="12.75" customHeight="1" x14ac:dyDescent="0.2">
      <c r="A37706" s="258"/>
      <c r="Z37706" s="258"/>
    </row>
    <row r="37707" spans="1:26" ht="12.75" customHeight="1" x14ac:dyDescent="0.2">
      <c r="A37707" s="258"/>
      <c r="Z37707" s="258"/>
    </row>
    <row r="37708" spans="1:26" ht="12.75" customHeight="1" x14ac:dyDescent="0.2">
      <c r="A37708" s="258"/>
      <c r="Z37708" s="258"/>
    </row>
    <row r="37709" spans="1:26" ht="12.75" customHeight="1" x14ac:dyDescent="0.2">
      <c r="A37709" s="258"/>
      <c r="Z37709" s="258"/>
    </row>
    <row r="37710" spans="1:26" ht="12.75" customHeight="1" x14ac:dyDescent="0.2">
      <c r="A37710" s="258"/>
      <c r="Z37710" s="258"/>
    </row>
    <row r="37711" spans="1:26" ht="12.75" customHeight="1" x14ac:dyDescent="0.2">
      <c r="A37711" s="258"/>
      <c r="Z37711" s="258"/>
    </row>
    <row r="37712" spans="1:26" ht="12.75" customHeight="1" x14ac:dyDescent="0.2">
      <c r="A37712" s="258"/>
      <c r="Z37712" s="258"/>
    </row>
    <row r="37713" spans="1:26" ht="12.75" customHeight="1" x14ac:dyDescent="0.2">
      <c r="A37713" s="258"/>
      <c r="Z37713" s="258"/>
    </row>
    <row r="37714" spans="1:26" ht="12.75" customHeight="1" x14ac:dyDescent="0.2">
      <c r="A37714" s="258"/>
      <c r="Z37714" s="258"/>
    </row>
    <row r="37715" spans="1:26" ht="12.75" customHeight="1" x14ac:dyDescent="0.2">
      <c r="A37715" s="258"/>
      <c r="Z37715" s="258"/>
    </row>
    <row r="37716" spans="1:26" ht="12.75" customHeight="1" x14ac:dyDescent="0.2">
      <c r="A37716" s="258"/>
      <c r="Z37716" s="258"/>
    </row>
    <row r="37717" spans="1:26" ht="12.75" customHeight="1" x14ac:dyDescent="0.2">
      <c r="A37717" s="258"/>
      <c r="Z37717" s="258"/>
    </row>
    <row r="37718" spans="1:26" ht="12.75" customHeight="1" x14ac:dyDescent="0.2">
      <c r="A37718" s="258"/>
      <c r="Z37718" s="258"/>
    </row>
    <row r="37719" spans="1:26" ht="12.75" customHeight="1" x14ac:dyDescent="0.2">
      <c r="A37719" s="258"/>
      <c r="Z37719" s="258"/>
    </row>
    <row r="37720" spans="1:26" ht="12.75" customHeight="1" x14ac:dyDescent="0.2">
      <c r="A37720" s="258"/>
      <c r="Z37720" s="258"/>
    </row>
    <row r="37721" spans="1:26" ht="12.75" customHeight="1" x14ac:dyDescent="0.2">
      <c r="A37721" s="258"/>
      <c r="Z37721" s="258"/>
    </row>
    <row r="37722" spans="1:26" ht="12.75" customHeight="1" x14ac:dyDescent="0.2">
      <c r="A37722" s="258"/>
      <c r="Z37722" s="258"/>
    </row>
    <row r="37723" spans="1:26" ht="12.75" customHeight="1" x14ac:dyDescent="0.2">
      <c r="A37723" s="258"/>
      <c r="Z37723" s="258"/>
    </row>
    <row r="37724" spans="1:26" ht="12.75" customHeight="1" x14ac:dyDescent="0.2">
      <c r="A37724" s="258"/>
      <c r="Z37724" s="258"/>
    </row>
    <row r="37725" spans="1:26" ht="12.75" customHeight="1" x14ac:dyDescent="0.2">
      <c r="A37725" s="258"/>
      <c r="Z37725" s="258"/>
    </row>
    <row r="37726" spans="1:26" ht="12.75" customHeight="1" x14ac:dyDescent="0.2">
      <c r="A37726" s="258"/>
      <c r="Z37726" s="258"/>
    </row>
    <row r="37727" spans="1:26" ht="12.75" customHeight="1" x14ac:dyDescent="0.2">
      <c r="A37727" s="258"/>
      <c r="Z37727" s="258"/>
    </row>
    <row r="37728" spans="1:26" ht="12.75" customHeight="1" x14ac:dyDescent="0.2">
      <c r="A37728" s="258"/>
      <c r="Z37728" s="258"/>
    </row>
    <row r="37729" spans="1:26" ht="12.75" customHeight="1" x14ac:dyDescent="0.2">
      <c r="A37729" s="258"/>
      <c r="Z37729" s="258"/>
    </row>
    <row r="37730" spans="1:26" ht="12.75" customHeight="1" x14ac:dyDescent="0.2">
      <c r="A37730" s="258"/>
      <c r="Z37730" s="258"/>
    </row>
    <row r="37731" spans="1:26" ht="12.75" customHeight="1" x14ac:dyDescent="0.2">
      <c r="A37731" s="258"/>
      <c r="Z37731" s="258"/>
    </row>
    <row r="37732" spans="1:26" ht="12.75" customHeight="1" x14ac:dyDescent="0.2">
      <c r="A37732" s="258"/>
      <c r="Z37732" s="258"/>
    </row>
    <row r="37733" spans="1:26" ht="12.75" customHeight="1" x14ac:dyDescent="0.2">
      <c r="A37733" s="258"/>
      <c r="Z37733" s="258"/>
    </row>
    <row r="37734" spans="1:26" ht="12.75" customHeight="1" x14ac:dyDescent="0.2">
      <c r="A37734" s="258"/>
      <c r="Z37734" s="258"/>
    </row>
    <row r="37735" spans="1:26" ht="12.75" customHeight="1" x14ac:dyDescent="0.2">
      <c r="A37735" s="258"/>
      <c r="Z37735" s="258"/>
    </row>
    <row r="37736" spans="1:26" ht="12.75" customHeight="1" x14ac:dyDescent="0.2">
      <c r="A37736" s="258"/>
      <c r="Z37736" s="258"/>
    </row>
    <row r="37737" spans="1:26" ht="12.75" customHeight="1" x14ac:dyDescent="0.2">
      <c r="A37737" s="258"/>
      <c r="Z37737" s="258"/>
    </row>
    <row r="37738" spans="1:26" ht="12.75" customHeight="1" x14ac:dyDescent="0.2">
      <c r="A37738" s="258"/>
      <c r="Z37738" s="258"/>
    </row>
    <row r="37739" spans="1:26" ht="12.75" customHeight="1" x14ac:dyDescent="0.2">
      <c r="A37739" s="258"/>
      <c r="Z37739" s="258"/>
    </row>
    <row r="37740" spans="1:26" ht="12.75" customHeight="1" x14ac:dyDescent="0.2">
      <c r="A37740" s="258"/>
      <c r="Z37740" s="258"/>
    </row>
    <row r="37741" spans="1:26" ht="12.75" customHeight="1" x14ac:dyDescent="0.2">
      <c r="A37741" s="258"/>
      <c r="Z37741" s="258"/>
    </row>
    <row r="37742" spans="1:26" ht="12.75" customHeight="1" x14ac:dyDescent="0.2">
      <c r="A37742" s="258"/>
      <c r="Z37742" s="258"/>
    </row>
    <row r="37743" spans="1:26" ht="12.75" customHeight="1" x14ac:dyDescent="0.2">
      <c r="A37743" s="258"/>
      <c r="Z37743" s="258"/>
    </row>
    <row r="37744" spans="1:26" ht="12.75" customHeight="1" x14ac:dyDescent="0.2">
      <c r="A37744" s="258"/>
      <c r="Z37744" s="258"/>
    </row>
    <row r="37745" spans="1:26" ht="12.75" customHeight="1" x14ac:dyDescent="0.2">
      <c r="A37745" s="258"/>
      <c r="Z37745" s="258"/>
    </row>
    <row r="37746" spans="1:26" ht="12.75" customHeight="1" x14ac:dyDescent="0.2">
      <c r="A37746" s="258"/>
      <c r="Z37746" s="258"/>
    </row>
    <row r="37747" spans="1:26" ht="12.75" customHeight="1" x14ac:dyDescent="0.2">
      <c r="A37747" s="258"/>
      <c r="Z37747" s="258"/>
    </row>
    <row r="37748" spans="1:26" ht="12.75" customHeight="1" x14ac:dyDescent="0.2">
      <c r="A37748" s="258"/>
      <c r="Z37748" s="258"/>
    </row>
    <row r="37749" spans="1:26" ht="12.75" customHeight="1" x14ac:dyDescent="0.2">
      <c r="A37749" s="258"/>
      <c r="Z37749" s="258"/>
    </row>
    <row r="37750" spans="1:26" ht="12.75" customHeight="1" x14ac:dyDescent="0.2">
      <c r="A37750" s="258"/>
      <c r="Z37750" s="258"/>
    </row>
    <row r="37751" spans="1:26" ht="12.75" customHeight="1" x14ac:dyDescent="0.2">
      <c r="A37751" s="258"/>
      <c r="Z37751" s="258"/>
    </row>
    <row r="37752" spans="1:26" ht="12.75" customHeight="1" x14ac:dyDescent="0.2">
      <c r="A37752" s="258"/>
      <c r="Z37752" s="258"/>
    </row>
    <row r="37753" spans="1:26" ht="12.75" customHeight="1" x14ac:dyDescent="0.2">
      <c r="A37753" s="258"/>
      <c r="Z37753" s="258"/>
    </row>
    <row r="37754" spans="1:26" ht="12.75" customHeight="1" x14ac:dyDescent="0.2">
      <c r="A37754" s="258"/>
      <c r="Z37754" s="258"/>
    </row>
    <row r="37755" spans="1:26" ht="12.75" customHeight="1" x14ac:dyDescent="0.2">
      <c r="A37755" s="258"/>
      <c r="Z37755" s="258"/>
    </row>
    <row r="37756" spans="1:26" ht="12.75" customHeight="1" x14ac:dyDescent="0.2">
      <c r="A37756" s="258"/>
      <c r="Z37756" s="258"/>
    </row>
    <row r="37757" spans="1:26" ht="12.75" customHeight="1" x14ac:dyDescent="0.2">
      <c r="A37757" s="258"/>
      <c r="Z37757" s="258"/>
    </row>
    <row r="37758" spans="1:26" ht="12.75" customHeight="1" x14ac:dyDescent="0.2">
      <c r="A37758" s="258"/>
      <c r="Z37758" s="258"/>
    </row>
    <row r="37759" spans="1:26" ht="12.75" customHeight="1" x14ac:dyDescent="0.2">
      <c r="A37759" s="258"/>
      <c r="Z37759" s="258"/>
    </row>
    <row r="37760" spans="1:26" ht="12.75" customHeight="1" x14ac:dyDescent="0.2">
      <c r="A37760" s="258"/>
      <c r="Z37760" s="258"/>
    </row>
    <row r="37761" spans="1:26" ht="12.75" customHeight="1" x14ac:dyDescent="0.2">
      <c r="A37761" s="258"/>
      <c r="Z37761" s="258"/>
    </row>
    <row r="37762" spans="1:26" ht="12.75" customHeight="1" x14ac:dyDescent="0.2">
      <c r="A37762" s="258"/>
      <c r="Z37762" s="258"/>
    </row>
    <row r="37763" spans="1:26" ht="12.75" customHeight="1" x14ac:dyDescent="0.2">
      <c r="A37763" s="258"/>
      <c r="Z37763" s="258"/>
    </row>
    <row r="37764" spans="1:26" ht="12.75" customHeight="1" x14ac:dyDescent="0.2">
      <c r="A37764" s="258"/>
      <c r="Z37764" s="258"/>
    </row>
    <row r="37765" spans="1:26" ht="12.75" customHeight="1" x14ac:dyDescent="0.2">
      <c r="A37765" s="258"/>
      <c r="Z37765" s="258"/>
    </row>
    <row r="37766" spans="1:26" ht="12.75" customHeight="1" x14ac:dyDescent="0.2">
      <c r="A37766" s="258"/>
      <c r="Z37766" s="258"/>
    </row>
    <row r="37767" spans="1:26" ht="12.75" customHeight="1" x14ac:dyDescent="0.2">
      <c r="A37767" s="258"/>
      <c r="Z37767" s="258"/>
    </row>
    <row r="37768" spans="1:26" ht="12.75" customHeight="1" x14ac:dyDescent="0.2">
      <c r="A37768" s="258"/>
      <c r="Z37768" s="258"/>
    </row>
    <row r="37769" spans="1:26" ht="12.75" customHeight="1" x14ac:dyDescent="0.2">
      <c r="A37769" s="258"/>
      <c r="Z37769" s="258"/>
    </row>
    <row r="37770" spans="1:26" ht="12.75" customHeight="1" x14ac:dyDescent="0.2">
      <c r="A37770" s="258"/>
      <c r="Z37770" s="258"/>
    </row>
    <row r="37771" spans="1:26" ht="12.75" customHeight="1" x14ac:dyDescent="0.2">
      <c r="A37771" s="258"/>
      <c r="Z37771" s="258"/>
    </row>
    <row r="37772" spans="1:26" ht="12.75" customHeight="1" x14ac:dyDescent="0.2">
      <c r="A37772" s="258"/>
      <c r="Z37772" s="258"/>
    </row>
    <row r="37773" spans="1:26" ht="12.75" customHeight="1" x14ac:dyDescent="0.2">
      <c r="A37773" s="258"/>
      <c r="Z37773" s="258"/>
    </row>
    <row r="37774" spans="1:26" ht="12.75" customHeight="1" x14ac:dyDescent="0.2">
      <c r="A37774" s="258"/>
      <c r="Z37774" s="258"/>
    </row>
    <row r="37775" spans="1:26" ht="12.75" customHeight="1" x14ac:dyDescent="0.2">
      <c r="A37775" s="258"/>
      <c r="Z37775" s="258"/>
    </row>
    <row r="37776" spans="1:26" ht="12.75" customHeight="1" x14ac:dyDescent="0.2">
      <c r="A37776" s="258"/>
      <c r="Z37776" s="258"/>
    </row>
    <row r="37777" spans="1:26" ht="12.75" customHeight="1" x14ac:dyDescent="0.2">
      <c r="A37777" s="258"/>
      <c r="Z37777" s="258"/>
    </row>
    <row r="37778" spans="1:26" ht="12.75" customHeight="1" x14ac:dyDescent="0.2">
      <c r="A37778" s="258"/>
      <c r="Z37778" s="258"/>
    </row>
    <row r="37779" spans="1:26" ht="12.75" customHeight="1" x14ac:dyDescent="0.2">
      <c r="A37779" s="258"/>
      <c r="Z37779" s="258"/>
    </row>
    <row r="37780" spans="1:26" ht="12.75" customHeight="1" x14ac:dyDescent="0.2">
      <c r="A37780" s="258"/>
      <c r="Z37780" s="258"/>
    </row>
    <row r="37781" spans="1:26" ht="12.75" customHeight="1" x14ac:dyDescent="0.2">
      <c r="A37781" s="258"/>
      <c r="Z37781" s="258"/>
    </row>
    <row r="37782" spans="1:26" ht="12.75" customHeight="1" x14ac:dyDescent="0.2">
      <c r="A37782" s="258"/>
      <c r="Z37782" s="258"/>
    </row>
    <row r="37783" spans="1:26" ht="12.75" customHeight="1" x14ac:dyDescent="0.2">
      <c r="A37783" s="258"/>
      <c r="Z37783" s="258"/>
    </row>
    <row r="37784" spans="1:26" ht="12.75" customHeight="1" x14ac:dyDescent="0.2">
      <c r="A37784" s="258"/>
      <c r="Z37784" s="258"/>
    </row>
    <row r="37785" spans="1:26" ht="12.75" customHeight="1" x14ac:dyDescent="0.2">
      <c r="A37785" s="258"/>
      <c r="Z37785" s="258"/>
    </row>
    <row r="37786" spans="1:26" ht="12.75" customHeight="1" x14ac:dyDescent="0.2">
      <c r="A37786" s="258"/>
      <c r="Z37786" s="258"/>
    </row>
    <row r="37787" spans="1:26" ht="12.75" customHeight="1" x14ac:dyDescent="0.2">
      <c r="A37787" s="258"/>
      <c r="Z37787" s="258"/>
    </row>
    <row r="37788" spans="1:26" ht="12.75" customHeight="1" x14ac:dyDescent="0.2">
      <c r="A37788" s="258"/>
      <c r="Z37788" s="258"/>
    </row>
    <row r="37789" spans="1:26" ht="12.75" customHeight="1" x14ac:dyDescent="0.2">
      <c r="A37789" s="258"/>
      <c r="Z37789" s="258"/>
    </row>
    <row r="37790" spans="1:26" ht="12.75" customHeight="1" x14ac:dyDescent="0.2">
      <c r="A37790" s="258"/>
      <c r="Z37790" s="258"/>
    </row>
    <row r="37791" spans="1:26" ht="12.75" customHeight="1" x14ac:dyDescent="0.2">
      <c r="A37791" s="258"/>
      <c r="Z37791" s="258"/>
    </row>
    <row r="37792" spans="1:26" ht="12.75" customHeight="1" x14ac:dyDescent="0.2">
      <c r="A37792" s="258"/>
      <c r="Z37792" s="258"/>
    </row>
    <row r="37793" spans="1:26" ht="12.75" customHeight="1" x14ac:dyDescent="0.2">
      <c r="A37793" s="258"/>
      <c r="Z37793" s="258"/>
    </row>
    <row r="37794" spans="1:26" ht="12.75" customHeight="1" x14ac:dyDescent="0.2">
      <c r="A37794" s="258"/>
      <c r="Z37794" s="258"/>
    </row>
    <row r="37795" spans="1:26" ht="12.75" customHeight="1" x14ac:dyDescent="0.2">
      <c r="A37795" s="258"/>
      <c r="Z37795" s="258"/>
    </row>
    <row r="37796" spans="1:26" ht="12.75" customHeight="1" x14ac:dyDescent="0.2">
      <c r="A37796" s="258"/>
      <c r="Z37796" s="258"/>
    </row>
    <row r="37797" spans="1:26" ht="12.75" customHeight="1" x14ac:dyDescent="0.2">
      <c r="A37797" s="258"/>
      <c r="Z37797" s="258"/>
    </row>
    <row r="37798" spans="1:26" ht="12.75" customHeight="1" x14ac:dyDescent="0.2">
      <c r="A37798" s="258"/>
      <c r="Z37798" s="258"/>
    </row>
    <row r="37799" spans="1:26" ht="12.75" customHeight="1" x14ac:dyDescent="0.2">
      <c r="A37799" s="258"/>
      <c r="Z37799" s="258"/>
    </row>
    <row r="37800" spans="1:26" ht="12.75" customHeight="1" x14ac:dyDescent="0.2">
      <c r="A37800" s="258"/>
      <c r="Z37800" s="258"/>
    </row>
    <row r="37801" spans="1:26" ht="12.75" customHeight="1" x14ac:dyDescent="0.2">
      <c r="A37801" s="258"/>
      <c r="Z37801" s="258"/>
    </row>
    <row r="37802" spans="1:26" ht="12.75" customHeight="1" x14ac:dyDescent="0.2">
      <c r="A37802" s="258"/>
      <c r="Z37802" s="258"/>
    </row>
    <row r="37803" spans="1:26" ht="12.75" customHeight="1" x14ac:dyDescent="0.2">
      <c r="A37803" s="258"/>
      <c r="Z37803" s="258"/>
    </row>
    <row r="37804" spans="1:26" ht="12.75" customHeight="1" x14ac:dyDescent="0.2">
      <c r="A37804" s="258"/>
      <c r="Z37804" s="258"/>
    </row>
    <row r="37805" spans="1:26" ht="12.75" customHeight="1" x14ac:dyDescent="0.2">
      <c r="A37805" s="258"/>
      <c r="Z37805" s="258"/>
    </row>
    <row r="37806" spans="1:26" ht="12.75" customHeight="1" x14ac:dyDescent="0.2">
      <c r="A37806" s="258"/>
      <c r="Z37806" s="258"/>
    </row>
    <row r="37807" spans="1:26" ht="12.75" customHeight="1" x14ac:dyDescent="0.2">
      <c r="A37807" s="258"/>
      <c r="Z37807" s="258"/>
    </row>
    <row r="37808" spans="1:26" ht="12.75" customHeight="1" x14ac:dyDescent="0.2">
      <c r="A37808" s="258"/>
      <c r="Z37808" s="258"/>
    </row>
    <row r="37809" spans="1:26" ht="12.75" customHeight="1" x14ac:dyDescent="0.2">
      <c r="A37809" s="258"/>
      <c r="Z37809" s="258"/>
    </row>
    <row r="37810" spans="1:26" ht="12.75" customHeight="1" x14ac:dyDescent="0.2">
      <c r="A37810" s="258"/>
      <c r="Z37810" s="258"/>
    </row>
    <row r="37811" spans="1:26" ht="12.75" customHeight="1" x14ac:dyDescent="0.2">
      <c r="A37811" s="258"/>
      <c r="Z37811" s="258"/>
    </row>
    <row r="37812" spans="1:26" ht="12.75" customHeight="1" x14ac:dyDescent="0.2">
      <c r="A37812" s="258"/>
      <c r="Z37812" s="258"/>
    </row>
    <row r="37813" spans="1:26" ht="12.75" customHeight="1" x14ac:dyDescent="0.2">
      <c r="A37813" s="258"/>
      <c r="Z37813" s="258"/>
    </row>
    <row r="37814" spans="1:26" ht="12.75" customHeight="1" x14ac:dyDescent="0.2">
      <c r="A37814" s="258"/>
      <c r="Z37814" s="258"/>
    </row>
    <row r="37815" spans="1:26" ht="12.75" customHeight="1" x14ac:dyDescent="0.2">
      <c r="A37815" s="258"/>
      <c r="Z37815" s="258"/>
    </row>
    <row r="37816" spans="1:26" ht="12.75" customHeight="1" x14ac:dyDescent="0.2">
      <c r="A37816" s="258"/>
      <c r="Z37816" s="258"/>
    </row>
    <row r="37817" spans="1:26" ht="12.75" customHeight="1" x14ac:dyDescent="0.2">
      <c r="A37817" s="258"/>
      <c r="Z37817" s="258"/>
    </row>
    <row r="37818" spans="1:26" ht="12.75" customHeight="1" x14ac:dyDescent="0.2">
      <c r="A37818" s="258"/>
      <c r="Z37818" s="258"/>
    </row>
    <row r="37819" spans="1:26" ht="12.75" customHeight="1" x14ac:dyDescent="0.2">
      <c r="A37819" s="258"/>
      <c r="Z37819" s="258"/>
    </row>
    <row r="37820" spans="1:26" ht="12.75" customHeight="1" x14ac:dyDescent="0.2">
      <c r="A37820" s="258"/>
      <c r="Z37820" s="258"/>
    </row>
    <row r="37821" spans="1:26" ht="12.75" customHeight="1" x14ac:dyDescent="0.2">
      <c r="A37821" s="258"/>
      <c r="Z37821" s="258"/>
    </row>
    <row r="37822" spans="1:26" ht="12.75" customHeight="1" x14ac:dyDescent="0.2">
      <c r="A37822" s="258"/>
      <c r="Z37822" s="258"/>
    </row>
    <row r="37823" spans="1:26" ht="12.75" customHeight="1" x14ac:dyDescent="0.2">
      <c r="A37823" s="258"/>
      <c r="Z37823" s="258"/>
    </row>
    <row r="37824" spans="1:26" ht="12.75" customHeight="1" x14ac:dyDescent="0.2">
      <c r="A37824" s="258"/>
      <c r="Z37824" s="258"/>
    </row>
    <row r="37825" spans="1:26" ht="12.75" customHeight="1" x14ac:dyDescent="0.2">
      <c r="A37825" s="258"/>
      <c r="Z37825" s="258"/>
    </row>
    <row r="37826" spans="1:26" ht="12.75" customHeight="1" x14ac:dyDescent="0.2">
      <c r="A37826" s="258"/>
      <c r="Z37826" s="258"/>
    </row>
    <row r="37827" spans="1:26" ht="12.75" customHeight="1" x14ac:dyDescent="0.2">
      <c r="A37827" s="258"/>
      <c r="Z37827" s="258"/>
    </row>
    <row r="37828" spans="1:26" ht="12.75" customHeight="1" x14ac:dyDescent="0.2">
      <c r="A37828" s="258"/>
      <c r="Z37828" s="258"/>
    </row>
    <row r="37829" spans="1:26" ht="12.75" customHeight="1" x14ac:dyDescent="0.2">
      <c r="A37829" s="258"/>
      <c r="Z37829" s="258"/>
    </row>
    <row r="37830" spans="1:26" ht="12.75" customHeight="1" x14ac:dyDescent="0.2">
      <c r="A37830" s="258"/>
      <c r="Z37830" s="258"/>
    </row>
    <row r="37831" spans="1:26" ht="12.75" customHeight="1" x14ac:dyDescent="0.2">
      <c r="A37831" s="258"/>
      <c r="Z37831" s="258"/>
    </row>
    <row r="37832" spans="1:26" ht="12.75" customHeight="1" x14ac:dyDescent="0.2">
      <c r="A37832" s="258"/>
      <c r="Z37832" s="258"/>
    </row>
    <row r="37833" spans="1:26" ht="12.75" customHeight="1" x14ac:dyDescent="0.2">
      <c r="A37833" s="258"/>
      <c r="Z37833" s="258"/>
    </row>
    <row r="37834" spans="1:26" ht="12.75" customHeight="1" x14ac:dyDescent="0.2">
      <c r="A37834" s="258"/>
      <c r="Z37834" s="258"/>
    </row>
    <row r="37835" spans="1:26" ht="12.75" customHeight="1" x14ac:dyDescent="0.2">
      <c r="A37835" s="258"/>
      <c r="Z37835" s="258"/>
    </row>
    <row r="37836" spans="1:26" ht="12.75" customHeight="1" x14ac:dyDescent="0.2">
      <c r="A37836" s="258"/>
      <c r="Z37836" s="258"/>
    </row>
    <row r="37837" spans="1:26" ht="12.75" customHeight="1" x14ac:dyDescent="0.2">
      <c r="A37837" s="258"/>
      <c r="Z37837" s="258"/>
    </row>
    <row r="37838" spans="1:26" ht="12.75" customHeight="1" x14ac:dyDescent="0.2">
      <c r="A37838" s="258"/>
      <c r="Z37838" s="258"/>
    </row>
    <row r="37839" spans="1:26" ht="12.75" customHeight="1" x14ac:dyDescent="0.2">
      <c r="A37839" s="258"/>
      <c r="Z37839" s="258"/>
    </row>
    <row r="37840" spans="1:26" ht="12.75" customHeight="1" x14ac:dyDescent="0.2">
      <c r="A37840" s="258"/>
      <c r="Z37840" s="258"/>
    </row>
    <row r="37841" spans="1:26" ht="12.75" customHeight="1" x14ac:dyDescent="0.2">
      <c r="A37841" s="258"/>
      <c r="Z37841" s="258"/>
    </row>
    <row r="37842" spans="1:26" ht="12.75" customHeight="1" x14ac:dyDescent="0.2">
      <c r="A37842" s="258"/>
      <c r="Z37842" s="258"/>
    </row>
    <row r="37843" spans="1:26" ht="12.75" customHeight="1" x14ac:dyDescent="0.2">
      <c r="A37843" s="258"/>
      <c r="Z37843" s="258"/>
    </row>
    <row r="37844" spans="1:26" ht="12.75" customHeight="1" x14ac:dyDescent="0.2">
      <c r="A37844" s="258"/>
      <c r="Z37844" s="258"/>
    </row>
    <row r="37845" spans="1:26" ht="12.75" customHeight="1" x14ac:dyDescent="0.2">
      <c r="A37845" s="258"/>
      <c r="Z37845" s="258"/>
    </row>
    <row r="37846" spans="1:26" ht="12.75" customHeight="1" x14ac:dyDescent="0.2">
      <c r="A37846" s="258"/>
      <c r="Z37846" s="258"/>
    </row>
    <row r="37847" spans="1:26" ht="12.75" customHeight="1" x14ac:dyDescent="0.2">
      <c r="A37847" s="258"/>
      <c r="Z37847" s="258"/>
    </row>
    <row r="37848" spans="1:26" ht="12.75" customHeight="1" x14ac:dyDescent="0.2">
      <c r="A37848" s="258"/>
      <c r="Z37848" s="258"/>
    </row>
    <row r="37849" spans="1:26" ht="12.75" customHeight="1" x14ac:dyDescent="0.2">
      <c r="A37849" s="258"/>
      <c r="Z37849" s="258"/>
    </row>
    <row r="37850" spans="1:26" ht="12.75" customHeight="1" x14ac:dyDescent="0.2">
      <c r="A37850" s="258"/>
      <c r="Z37850" s="258"/>
    </row>
    <row r="37851" spans="1:26" ht="12.75" customHeight="1" x14ac:dyDescent="0.2">
      <c r="A37851" s="258"/>
      <c r="Z37851" s="258"/>
    </row>
    <row r="37852" spans="1:26" ht="12.75" customHeight="1" x14ac:dyDescent="0.2">
      <c r="A37852" s="258"/>
      <c r="Z37852" s="258"/>
    </row>
    <row r="37853" spans="1:26" ht="12.75" customHeight="1" x14ac:dyDescent="0.2">
      <c r="A37853" s="258"/>
      <c r="Z37853" s="258"/>
    </row>
    <row r="37854" spans="1:26" ht="12.75" customHeight="1" x14ac:dyDescent="0.2">
      <c r="A37854" s="258"/>
      <c r="Z37854" s="258"/>
    </row>
    <row r="37855" spans="1:26" ht="12.75" customHeight="1" x14ac:dyDescent="0.2">
      <c r="A37855" s="258"/>
      <c r="Z37855" s="258"/>
    </row>
    <row r="37856" spans="1:26" ht="12.75" customHeight="1" x14ac:dyDescent="0.2">
      <c r="A37856" s="258"/>
      <c r="Z37856" s="258"/>
    </row>
    <row r="37857" spans="1:26" ht="12.75" customHeight="1" x14ac:dyDescent="0.2">
      <c r="A37857" s="258"/>
      <c r="Z37857" s="258"/>
    </row>
    <row r="37858" spans="1:26" ht="12.75" customHeight="1" x14ac:dyDescent="0.2">
      <c r="A37858" s="258"/>
      <c r="Z37858" s="258"/>
    </row>
    <row r="37859" spans="1:26" ht="12.75" customHeight="1" x14ac:dyDescent="0.2">
      <c r="A37859" s="258"/>
      <c r="Z37859" s="258"/>
    </row>
    <row r="37860" spans="1:26" ht="12.75" customHeight="1" x14ac:dyDescent="0.2">
      <c r="A37860" s="258"/>
      <c r="Z37860" s="258"/>
    </row>
    <row r="37861" spans="1:26" ht="12.75" customHeight="1" x14ac:dyDescent="0.2">
      <c r="A37861" s="258"/>
      <c r="Z37861" s="258"/>
    </row>
    <row r="37862" spans="1:26" ht="12.75" customHeight="1" x14ac:dyDescent="0.2">
      <c r="A37862" s="258"/>
      <c r="Z37862" s="258"/>
    </row>
    <row r="37863" spans="1:26" ht="12.75" customHeight="1" x14ac:dyDescent="0.2">
      <c r="A37863" s="258"/>
      <c r="Z37863" s="258"/>
    </row>
    <row r="37864" spans="1:26" ht="12.75" customHeight="1" x14ac:dyDescent="0.2">
      <c r="A37864" s="258"/>
      <c r="Z37864" s="258"/>
    </row>
    <row r="37865" spans="1:26" ht="12.75" customHeight="1" x14ac:dyDescent="0.2">
      <c r="A37865" s="258"/>
      <c r="Z37865" s="258"/>
    </row>
    <row r="37866" spans="1:26" ht="12.75" customHeight="1" x14ac:dyDescent="0.2">
      <c r="A37866" s="258"/>
      <c r="Z37866" s="258"/>
    </row>
    <row r="37867" spans="1:26" ht="12.75" customHeight="1" x14ac:dyDescent="0.2">
      <c r="A37867" s="258"/>
      <c r="Z37867" s="258"/>
    </row>
    <row r="37868" spans="1:26" ht="12.75" customHeight="1" x14ac:dyDescent="0.2">
      <c r="A37868" s="258"/>
      <c r="Z37868" s="258"/>
    </row>
    <row r="37869" spans="1:26" ht="12.75" customHeight="1" x14ac:dyDescent="0.2">
      <c r="A37869" s="258"/>
      <c r="Z37869" s="258"/>
    </row>
    <row r="37870" spans="1:26" ht="12.75" customHeight="1" x14ac:dyDescent="0.2">
      <c r="A37870" s="258"/>
      <c r="Z37870" s="258"/>
    </row>
    <row r="37871" spans="1:26" ht="12.75" customHeight="1" x14ac:dyDescent="0.2">
      <c r="A37871" s="258"/>
      <c r="Z37871" s="258"/>
    </row>
    <row r="37872" spans="1:26" ht="12.75" customHeight="1" x14ac:dyDescent="0.2">
      <c r="A37872" s="258"/>
      <c r="Z37872" s="258"/>
    </row>
    <row r="37873" spans="1:26" ht="12.75" customHeight="1" x14ac:dyDescent="0.2">
      <c r="A37873" s="258"/>
      <c r="Z37873" s="258"/>
    </row>
    <row r="37874" spans="1:26" ht="12.75" customHeight="1" x14ac:dyDescent="0.2">
      <c r="A37874" s="258"/>
      <c r="Z37874" s="258"/>
    </row>
    <row r="37875" spans="1:26" ht="12.75" customHeight="1" x14ac:dyDescent="0.2">
      <c r="A37875" s="258"/>
      <c r="Z37875" s="258"/>
    </row>
    <row r="37876" spans="1:26" ht="12.75" customHeight="1" x14ac:dyDescent="0.2">
      <c r="A37876" s="258"/>
      <c r="Z37876" s="258"/>
    </row>
    <row r="37877" spans="1:26" ht="12.75" customHeight="1" x14ac:dyDescent="0.2">
      <c r="A37877" s="258"/>
      <c r="Z37877" s="258"/>
    </row>
    <row r="37878" spans="1:26" ht="12.75" customHeight="1" x14ac:dyDescent="0.2">
      <c r="A37878" s="258"/>
      <c r="Z37878" s="258"/>
    </row>
    <row r="37879" spans="1:26" ht="12.75" customHeight="1" x14ac:dyDescent="0.2">
      <c r="A37879" s="258"/>
      <c r="Z37879" s="258"/>
    </row>
    <row r="37880" spans="1:26" ht="12.75" customHeight="1" x14ac:dyDescent="0.2">
      <c r="A37880" s="258"/>
      <c r="Z37880" s="258"/>
    </row>
    <row r="37881" spans="1:26" ht="12.75" customHeight="1" x14ac:dyDescent="0.2">
      <c r="A37881" s="258"/>
      <c r="Z37881" s="258"/>
    </row>
    <row r="37882" spans="1:26" ht="12.75" customHeight="1" x14ac:dyDescent="0.2">
      <c r="A37882" s="258"/>
      <c r="Z37882" s="258"/>
    </row>
    <row r="37883" spans="1:26" ht="12.75" customHeight="1" x14ac:dyDescent="0.2">
      <c r="A37883" s="258"/>
      <c r="Z37883" s="258"/>
    </row>
    <row r="37884" spans="1:26" ht="12.75" customHeight="1" x14ac:dyDescent="0.2">
      <c r="A37884" s="258"/>
      <c r="Z37884" s="258"/>
    </row>
    <row r="37885" spans="1:26" ht="12.75" customHeight="1" x14ac:dyDescent="0.2">
      <c r="A37885" s="258"/>
      <c r="Z37885" s="258"/>
    </row>
    <row r="37886" spans="1:26" ht="12.75" customHeight="1" x14ac:dyDescent="0.2">
      <c r="A37886" s="258"/>
      <c r="Z37886" s="258"/>
    </row>
    <row r="37887" spans="1:26" ht="12.75" customHeight="1" x14ac:dyDescent="0.2">
      <c r="A37887" s="258"/>
      <c r="Z37887" s="258"/>
    </row>
    <row r="37888" spans="1:26" ht="12.75" customHeight="1" x14ac:dyDescent="0.2">
      <c r="A37888" s="258"/>
      <c r="Z37888" s="258"/>
    </row>
    <row r="37889" spans="1:26" ht="12.75" customHeight="1" x14ac:dyDescent="0.2">
      <c r="A37889" s="258"/>
      <c r="Z37889" s="258"/>
    </row>
    <row r="37890" spans="1:26" ht="12.75" customHeight="1" x14ac:dyDescent="0.2">
      <c r="A37890" s="258"/>
      <c r="Z37890" s="258"/>
    </row>
    <row r="37891" spans="1:26" ht="12.75" customHeight="1" x14ac:dyDescent="0.2">
      <c r="A37891" s="258"/>
      <c r="Z37891" s="258"/>
    </row>
    <row r="37892" spans="1:26" ht="12.75" customHeight="1" x14ac:dyDescent="0.2">
      <c r="A37892" s="258"/>
      <c r="Z37892" s="258"/>
    </row>
    <row r="37893" spans="1:26" ht="12.75" customHeight="1" x14ac:dyDescent="0.2">
      <c r="A37893" s="258"/>
      <c r="Z37893" s="258"/>
    </row>
    <row r="37894" spans="1:26" ht="12.75" customHeight="1" x14ac:dyDescent="0.2">
      <c r="A37894" s="258"/>
      <c r="Z37894" s="258"/>
    </row>
    <row r="37895" spans="1:26" ht="12.75" customHeight="1" x14ac:dyDescent="0.2">
      <c r="A37895" s="258"/>
      <c r="Z37895" s="258"/>
    </row>
    <row r="37896" spans="1:26" ht="12.75" customHeight="1" x14ac:dyDescent="0.2">
      <c r="A37896" s="258"/>
      <c r="Z37896" s="258"/>
    </row>
    <row r="37897" spans="1:26" ht="12.75" customHeight="1" x14ac:dyDescent="0.2">
      <c r="A37897" s="258"/>
      <c r="Z37897" s="258"/>
    </row>
    <row r="37898" spans="1:26" ht="12.75" customHeight="1" x14ac:dyDescent="0.2">
      <c r="A37898" s="258"/>
      <c r="Z37898" s="258"/>
    </row>
    <row r="37899" spans="1:26" ht="12.75" customHeight="1" x14ac:dyDescent="0.2">
      <c r="A37899" s="258"/>
      <c r="Z37899" s="258"/>
    </row>
    <row r="37900" spans="1:26" ht="12.75" customHeight="1" x14ac:dyDescent="0.2">
      <c r="A37900" s="258"/>
      <c r="Z37900" s="258"/>
    </row>
    <row r="37901" spans="1:26" ht="12.75" customHeight="1" x14ac:dyDescent="0.2">
      <c r="A37901" s="258"/>
      <c r="Z37901" s="258"/>
    </row>
    <row r="37902" spans="1:26" ht="12.75" customHeight="1" x14ac:dyDescent="0.2">
      <c r="A37902" s="258"/>
      <c r="Z37902" s="258"/>
    </row>
    <row r="37903" spans="1:26" ht="12.75" customHeight="1" x14ac:dyDescent="0.2">
      <c r="A37903" s="258"/>
      <c r="Z37903" s="258"/>
    </row>
    <row r="37904" spans="1:26" ht="12.75" customHeight="1" x14ac:dyDescent="0.2">
      <c r="A37904" s="258"/>
      <c r="Z37904" s="258"/>
    </row>
    <row r="37905" spans="1:26" ht="12.75" customHeight="1" x14ac:dyDescent="0.2">
      <c r="A37905" s="258"/>
      <c r="Z37905" s="258"/>
    </row>
    <row r="37906" spans="1:26" ht="12.75" customHeight="1" x14ac:dyDescent="0.2">
      <c r="A37906" s="258"/>
      <c r="Z37906" s="258"/>
    </row>
    <row r="37907" spans="1:26" ht="12.75" customHeight="1" x14ac:dyDescent="0.2">
      <c r="A37907" s="258"/>
      <c r="Z37907" s="258"/>
    </row>
    <row r="37908" spans="1:26" ht="12.75" customHeight="1" x14ac:dyDescent="0.2">
      <c r="A37908" s="258"/>
      <c r="Z37908" s="258"/>
    </row>
    <row r="37909" spans="1:26" ht="12.75" customHeight="1" x14ac:dyDescent="0.2">
      <c r="A37909" s="258"/>
      <c r="Z37909" s="258"/>
    </row>
    <row r="37910" spans="1:26" ht="12.75" customHeight="1" x14ac:dyDescent="0.2">
      <c r="A37910" s="258"/>
      <c r="Z37910" s="258"/>
    </row>
    <row r="37911" spans="1:26" ht="12.75" customHeight="1" x14ac:dyDescent="0.2">
      <c r="A37911" s="258"/>
      <c r="Z37911" s="258"/>
    </row>
    <row r="37912" spans="1:26" ht="12.75" customHeight="1" x14ac:dyDescent="0.2">
      <c r="A37912" s="258"/>
      <c r="Z37912" s="258"/>
    </row>
    <row r="37913" spans="1:26" ht="12.75" customHeight="1" x14ac:dyDescent="0.2">
      <c r="A37913" s="258"/>
      <c r="Z37913" s="258"/>
    </row>
    <row r="37914" spans="1:26" ht="12.75" customHeight="1" x14ac:dyDescent="0.2">
      <c r="A37914" s="258"/>
      <c r="Z37914" s="258"/>
    </row>
    <row r="37915" spans="1:26" ht="12.75" customHeight="1" x14ac:dyDescent="0.2">
      <c r="A37915" s="258"/>
      <c r="Z37915" s="258"/>
    </row>
    <row r="37916" spans="1:26" ht="12.75" customHeight="1" x14ac:dyDescent="0.2">
      <c r="A37916" s="258"/>
      <c r="Z37916" s="258"/>
    </row>
    <row r="37917" spans="1:26" ht="12.75" customHeight="1" x14ac:dyDescent="0.2">
      <c r="A37917" s="258"/>
      <c r="Z37917" s="258"/>
    </row>
    <row r="37918" spans="1:26" ht="12.75" customHeight="1" x14ac:dyDescent="0.2">
      <c r="A37918" s="258"/>
      <c r="Z37918" s="258"/>
    </row>
    <row r="37919" spans="1:26" ht="12.75" customHeight="1" x14ac:dyDescent="0.2">
      <c r="A37919" s="258"/>
      <c r="Z37919" s="258"/>
    </row>
    <row r="37920" spans="1:26" ht="12.75" customHeight="1" x14ac:dyDescent="0.2">
      <c r="A37920" s="258"/>
      <c r="Z37920" s="258"/>
    </row>
    <row r="37921" spans="1:26" ht="12.75" customHeight="1" x14ac:dyDescent="0.2">
      <c r="A37921" s="258"/>
      <c r="Z37921" s="258"/>
    </row>
    <row r="37922" spans="1:26" ht="12.75" customHeight="1" x14ac:dyDescent="0.2">
      <c r="A37922" s="258"/>
      <c r="Z37922" s="258"/>
    </row>
    <row r="37923" spans="1:26" ht="12.75" customHeight="1" x14ac:dyDescent="0.2">
      <c r="A37923" s="258"/>
      <c r="Z37923" s="258"/>
    </row>
    <row r="37924" spans="1:26" ht="12.75" customHeight="1" x14ac:dyDescent="0.2">
      <c r="A37924" s="258"/>
      <c r="Z37924" s="258"/>
    </row>
    <row r="37925" spans="1:26" ht="12.75" customHeight="1" x14ac:dyDescent="0.2">
      <c r="A37925" s="258"/>
      <c r="Z37925" s="258"/>
    </row>
    <row r="37926" spans="1:26" ht="12.75" customHeight="1" x14ac:dyDescent="0.2">
      <c r="A37926" s="258"/>
      <c r="Z37926" s="258"/>
    </row>
    <row r="37927" spans="1:26" ht="12.75" customHeight="1" x14ac:dyDescent="0.2">
      <c r="A37927" s="258"/>
      <c r="Z37927" s="258"/>
    </row>
    <row r="37928" spans="1:26" ht="12.75" customHeight="1" x14ac:dyDescent="0.2">
      <c r="A37928" s="258"/>
      <c r="Z37928" s="258"/>
    </row>
    <row r="37929" spans="1:26" ht="12.75" customHeight="1" x14ac:dyDescent="0.2">
      <c r="A37929" s="258"/>
      <c r="Z37929" s="258"/>
    </row>
    <row r="37930" spans="1:26" ht="12.75" customHeight="1" x14ac:dyDescent="0.2">
      <c r="A37930" s="258"/>
      <c r="Z37930" s="258"/>
    </row>
    <row r="37931" spans="1:26" ht="12.75" customHeight="1" x14ac:dyDescent="0.2">
      <c r="A37931" s="258"/>
      <c r="Z37931" s="258"/>
    </row>
    <row r="37932" spans="1:26" ht="12.75" customHeight="1" x14ac:dyDescent="0.2">
      <c r="A37932" s="258"/>
      <c r="Z37932" s="258"/>
    </row>
    <row r="37933" spans="1:26" ht="12.75" customHeight="1" x14ac:dyDescent="0.2">
      <c r="A37933" s="258"/>
      <c r="Z37933" s="258"/>
    </row>
    <row r="37934" spans="1:26" ht="12.75" customHeight="1" x14ac:dyDescent="0.2">
      <c r="A37934" s="258"/>
      <c r="Z37934" s="258"/>
    </row>
    <row r="37935" spans="1:26" ht="12.75" customHeight="1" x14ac:dyDescent="0.2">
      <c r="A37935" s="258"/>
      <c r="Z37935" s="258"/>
    </row>
    <row r="37936" spans="1:26" ht="12.75" customHeight="1" x14ac:dyDescent="0.2">
      <c r="A37936" s="258"/>
      <c r="Z37936" s="258"/>
    </row>
    <row r="37937" spans="1:26" ht="12.75" customHeight="1" x14ac:dyDescent="0.2">
      <c r="A37937" s="258"/>
      <c r="Z37937" s="258"/>
    </row>
    <row r="37938" spans="1:26" ht="12.75" customHeight="1" x14ac:dyDescent="0.2">
      <c r="A37938" s="258"/>
      <c r="Z37938" s="258"/>
    </row>
    <row r="37939" spans="1:26" ht="12.75" customHeight="1" x14ac:dyDescent="0.2">
      <c r="A37939" s="258"/>
      <c r="Z37939" s="258"/>
    </row>
    <row r="37940" spans="1:26" ht="12.75" customHeight="1" x14ac:dyDescent="0.2">
      <c r="A37940" s="258"/>
      <c r="Z37940" s="258"/>
    </row>
    <row r="37941" spans="1:26" ht="12.75" customHeight="1" x14ac:dyDescent="0.2">
      <c r="A37941" s="258"/>
      <c r="Z37941" s="258"/>
    </row>
    <row r="37942" spans="1:26" ht="12.75" customHeight="1" x14ac:dyDescent="0.2">
      <c r="A37942" s="258"/>
      <c r="Z37942" s="258"/>
    </row>
    <row r="37943" spans="1:26" ht="12.75" customHeight="1" x14ac:dyDescent="0.2">
      <c r="A37943" s="258"/>
      <c r="Z37943" s="258"/>
    </row>
    <row r="37944" spans="1:26" ht="12.75" customHeight="1" x14ac:dyDescent="0.2">
      <c r="A37944" s="258"/>
      <c r="Z37944" s="258"/>
    </row>
    <row r="37945" spans="1:26" ht="12.75" customHeight="1" x14ac:dyDescent="0.2">
      <c r="A37945" s="258"/>
      <c r="Z37945" s="258"/>
    </row>
    <row r="37946" spans="1:26" ht="12.75" customHeight="1" x14ac:dyDescent="0.2">
      <c r="A37946" s="258"/>
      <c r="Z37946" s="258"/>
    </row>
    <row r="37947" spans="1:26" ht="12.75" customHeight="1" x14ac:dyDescent="0.2">
      <c r="A37947" s="258"/>
      <c r="Z37947" s="258"/>
    </row>
    <row r="37948" spans="1:26" ht="12.75" customHeight="1" x14ac:dyDescent="0.2">
      <c r="A37948" s="258"/>
      <c r="Z37948" s="258"/>
    </row>
    <row r="37949" spans="1:26" ht="12.75" customHeight="1" x14ac:dyDescent="0.2">
      <c r="A37949" s="258"/>
      <c r="Z37949" s="258"/>
    </row>
    <row r="37950" spans="1:26" ht="12.75" customHeight="1" x14ac:dyDescent="0.2">
      <c r="A37950" s="258"/>
      <c r="Z37950" s="258"/>
    </row>
    <row r="37951" spans="1:26" ht="12.75" customHeight="1" x14ac:dyDescent="0.2">
      <c r="A37951" s="258"/>
      <c r="Z37951" s="258"/>
    </row>
    <row r="37952" spans="1:26" ht="12.75" customHeight="1" x14ac:dyDescent="0.2">
      <c r="A37952" s="258"/>
      <c r="Z37952" s="258"/>
    </row>
    <row r="37953" spans="1:26" ht="12.75" customHeight="1" x14ac:dyDescent="0.2">
      <c r="A37953" s="258"/>
      <c r="Z37953" s="258"/>
    </row>
    <row r="37954" spans="1:26" ht="12.75" customHeight="1" x14ac:dyDescent="0.2">
      <c r="A37954" s="258"/>
      <c r="Z37954" s="258"/>
    </row>
    <row r="37955" spans="1:26" ht="12.75" customHeight="1" x14ac:dyDescent="0.2">
      <c r="A37955" s="258"/>
      <c r="Z37955" s="258"/>
    </row>
    <row r="37956" spans="1:26" ht="12.75" customHeight="1" x14ac:dyDescent="0.2">
      <c r="A37956" s="258"/>
      <c r="Z37956" s="258"/>
    </row>
    <row r="37957" spans="1:26" ht="12.75" customHeight="1" x14ac:dyDescent="0.2">
      <c r="A37957" s="258"/>
      <c r="Z37957" s="258"/>
    </row>
    <row r="37958" spans="1:26" ht="12.75" customHeight="1" x14ac:dyDescent="0.2">
      <c r="A37958" s="258"/>
      <c r="Z37958" s="258"/>
    </row>
    <row r="37959" spans="1:26" ht="12.75" customHeight="1" x14ac:dyDescent="0.2">
      <c r="A37959" s="258"/>
      <c r="Z37959" s="258"/>
    </row>
    <row r="37960" spans="1:26" ht="12.75" customHeight="1" x14ac:dyDescent="0.2">
      <c r="A37960" s="258"/>
      <c r="Z37960" s="258"/>
    </row>
    <row r="37961" spans="1:26" ht="12.75" customHeight="1" x14ac:dyDescent="0.2">
      <c r="A37961" s="258"/>
      <c r="Z37961" s="258"/>
    </row>
    <row r="37962" spans="1:26" ht="12.75" customHeight="1" x14ac:dyDescent="0.2">
      <c r="A37962" s="258"/>
      <c r="Z37962" s="258"/>
    </row>
    <row r="37963" spans="1:26" ht="12.75" customHeight="1" x14ac:dyDescent="0.2">
      <c r="A37963" s="258"/>
      <c r="Z37963" s="258"/>
    </row>
    <row r="37964" spans="1:26" ht="12.75" customHeight="1" x14ac:dyDescent="0.2">
      <c r="A37964" s="258"/>
      <c r="Z37964" s="258"/>
    </row>
    <row r="37965" spans="1:26" ht="12.75" customHeight="1" x14ac:dyDescent="0.2">
      <c r="A37965" s="258"/>
      <c r="Z37965" s="258"/>
    </row>
    <row r="37966" spans="1:26" ht="12.75" customHeight="1" x14ac:dyDescent="0.2">
      <c r="A37966" s="258"/>
      <c r="Z37966" s="258"/>
    </row>
    <row r="37967" spans="1:26" ht="12.75" customHeight="1" x14ac:dyDescent="0.2">
      <c r="A37967" s="258"/>
      <c r="Z37967" s="258"/>
    </row>
    <row r="37968" spans="1:26" ht="12.75" customHeight="1" x14ac:dyDescent="0.2">
      <c r="A37968" s="258"/>
      <c r="Z37968" s="258"/>
    </row>
    <row r="37969" spans="1:26" ht="12.75" customHeight="1" x14ac:dyDescent="0.2">
      <c r="A37969" s="258"/>
      <c r="Z37969" s="258"/>
    </row>
    <row r="37970" spans="1:26" ht="12.75" customHeight="1" x14ac:dyDescent="0.2">
      <c r="A37970" s="258"/>
      <c r="Z37970" s="258"/>
    </row>
    <row r="37971" spans="1:26" ht="12.75" customHeight="1" x14ac:dyDescent="0.2">
      <c r="A37971" s="258"/>
      <c r="Z37971" s="258"/>
    </row>
    <row r="37972" spans="1:26" ht="12.75" customHeight="1" x14ac:dyDescent="0.2">
      <c r="A37972" s="258"/>
      <c r="Z37972" s="258"/>
    </row>
    <row r="37973" spans="1:26" ht="12.75" customHeight="1" x14ac:dyDescent="0.2">
      <c r="A37973" s="258"/>
      <c r="Z37973" s="258"/>
    </row>
    <row r="37974" spans="1:26" ht="12.75" customHeight="1" x14ac:dyDescent="0.2">
      <c r="A37974" s="258"/>
      <c r="Z37974" s="258"/>
    </row>
    <row r="37975" spans="1:26" ht="12.75" customHeight="1" x14ac:dyDescent="0.2">
      <c r="A37975" s="258"/>
      <c r="Z37975" s="258"/>
    </row>
    <row r="37976" spans="1:26" ht="12.75" customHeight="1" x14ac:dyDescent="0.2">
      <c r="A37976" s="258"/>
      <c r="Z37976" s="258"/>
    </row>
    <row r="37977" spans="1:26" ht="12.75" customHeight="1" x14ac:dyDescent="0.2">
      <c r="A37977" s="258"/>
      <c r="Z37977" s="258"/>
    </row>
    <row r="37978" spans="1:26" ht="12.75" customHeight="1" x14ac:dyDescent="0.2">
      <c r="A37978" s="258"/>
      <c r="Z37978" s="258"/>
    </row>
    <row r="37979" spans="1:26" ht="12.75" customHeight="1" x14ac:dyDescent="0.2">
      <c r="A37979" s="258"/>
      <c r="Z37979" s="258"/>
    </row>
    <row r="37980" spans="1:26" ht="12.75" customHeight="1" x14ac:dyDescent="0.2">
      <c r="A37980" s="258"/>
      <c r="Z37980" s="258"/>
    </row>
    <row r="37981" spans="1:26" ht="12.75" customHeight="1" x14ac:dyDescent="0.2">
      <c r="A37981" s="258"/>
      <c r="Z37981" s="258"/>
    </row>
    <row r="37982" spans="1:26" ht="12.75" customHeight="1" x14ac:dyDescent="0.2">
      <c r="A37982" s="258"/>
      <c r="Z37982" s="258"/>
    </row>
    <row r="37983" spans="1:26" ht="12.75" customHeight="1" x14ac:dyDescent="0.2">
      <c r="A37983" s="258"/>
      <c r="Z37983" s="258"/>
    </row>
    <row r="37984" spans="1:26" ht="12.75" customHeight="1" x14ac:dyDescent="0.2">
      <c r="A37984" s="258"/>
      <c r="Z37984" s="258"/>
    </row>
    <row r="37985" spans="1:26" ht="12.75" customHeight="1" x14ac:dyDescent="0.2">
      <c r="A37985" s="258"/>
      <c r="Z37985" s="258"/>
    </row>
    <row r="37986" spans="1:26" ht="12.75" customHeight="1" x14ac:dyDescent="0.2">
      <c r="A37986" s="258"/>
      <c r="Z37986" s="258"/>
    </row>
    <row r="37987" spans="1:26" ht="12.75" customHeight="1" x14ac:dyDescent="0.2">
      <c r="A37987" s="258"/>
      <c r="Z37987" s="258"/>
    </row>
    <row r="37988" spans="1:26" ht="12.75" customHeight="1" x14ac:dyDescent="0.2">
      <c r="A37988" s="258"/>
      <c r="Z37988" s="258"/>
    </row>
    <row r="37989" spans="1:26" ht="12.75" customHeight="1" x14ac:dyDescent="0.2">
      <c r="A37989" s="258"/>
      <c r="Z37989" s="258"/>
    </row>
    <row r="37990" spans="1:26" ht="12.75" customHeight="1" x14ac:dyDescent="0.2">
      <c r="A37990" s="258"/>
      <c r="Z37990" s="258"/>
    </row>
    <row r="37991" spans="1:26" ht="12.75" customHeight="1" x14ac:dyDescent="0.2">
      <c r="A37991" s="258"/>
      <c r="Z37991" s="258"/>
    </row>
    <row r="37992" spans="1:26" ht="12.75" customHeight="1" x14ac:dyDescent="0.2">
      <c r="A37992" s="258"/>
      <c r="Z37992" s="258"/>
    </row>
    <row r="37993" spans="1:26" ht="12.75" customHeight="1" x14ac:dyDescent="0.2">
      <c r="A37993" s="258"/>
      <c r="Z37993" s="258"/>
    </row>
    <row r="37994" spans="1:26" ht="12.75" customHeight="1" x14ac:dyDescent="0.2">
      <c r="A37994" s="258"/>
      <c r="Z37994" s="258"/>
    </row>
    <row r="37995" spans="1:26" ht="12.75" customHeight="1" x14ac:dyDescent="0.2">
      <c r="A37995" s="258"/>
      <c r="Z37995" s="258"/>
    </row>
    <row r="37996" spans="1:26" ht="12.75" customHeight="1" x14ac:dyDescent="0.2">
      <c r="A37996" s="258"/>
      <c r="Z37996" s="258"/>
    </row>
    <row r="37997" spans="1:26" ht="12.75" customHeight="1" x14ac:dyDescent="0.2">
      <c r="A37997" s="258"/>
      <c r="Z37997" s="258"/>
    </row>
    <row r="37998" spans="1:26" ht="12.75" customHeight="1" x14ac:dyDescent="0.2">
      <c r="A37998" s="258"/>
      <c r="Z37998" s="258"/>
    </row>
    <row r="37999" spans="1:26" ht="12.75" customHeight="1" x14ac:dyDescent="0.2">
      <c r="A37999" s="258"/>
      <c r="Z37999" s="258"/>
    </row>
    <row r="38000" spans="1:26" ht="12.75" customHeight="1" x14ac:dyDescent="0.2">
      <c r="A38000" s="258"/>
      <c r="Z38000" s="258"/>
    </row>
    <row r="38001" spans="1:26" ht="12.75" customHeight="1" x14ac:dyDescent="0.2">
      <c r="A38001" s="258"/>
      <c r="Z38001" s="258"/>
    </row>
    <row r="38002" spans="1:26" ht="12.75" customHeight="1" x14ac:dyDescent="0.2">
      <c r="A38002" s="258"/>
      <c r="Z38002" s="258"/>
    </row>
    <row r="38003" spans="1:26" ht="12.75" customHeight="1" x14ac:dyDescent="0.2">
      <c r="A38003" s="258"/>
      <c r="Z38003" s="258"/>
    </row>
    <row r="38004" spans="1:26" ht="12.75" customHeight="1" x14ac:dyDescent="0.2">
      <c r="A38004" s="258"/>
      <c r="Z38004" s="258"/>
    </row>
    <row r="38005" spans="1:26" ht="12.75" customHeight="1" x14ac:dyDescent="0.2">
      <c r="A38005" s="258"/>
      <c r="Z38005" s="258"/>
    </row>
    <row r="38006" spans="1:26" ht="12.75" customHeight="1" x14ac:dyDescent="0.2">
      <c r="A38006" s="258"/>
      <c r="Z38006" s="258"/>
    </row>
    <row r="38007" spans="1:26" ht="12.75" customHeight="1" x14ac:dyDescent="0.2">
      <c r="A38007" s="258"/>
      <c r="Z38007" s="258"/>
    </row>
    <row r="38008" spans="1:26" ht="12.75" customHeight="1" x14ac:dyDescent="0.2">
      <c r="A38008" s="258"/>
      <c r="Z38008" s="258"/>
    </row>
    <row r="38009" spans="1:26" ht="12.75" customHeight="1" x14ac:dyDescent="0.2">
      <c r="A38009" s="258"/>
      <c r="Z38009" s="258"/>
    </row>
    <row r="38010" spans="1:26" ht="12.75" customHeight="1" x14ac:dyDescent="0.2">
      <c r="A38010" s="258"/>
      <c r="Z38010" s="258"/>
    </row>
    <row r="38011" spans="1:26" ht="12.75" customHeight="1" x14ac:dyDescent="0.2">
      <c r="A38011" s="258"/>
      <c r="Z38011" s="258"/>
    </row>
    <row r="38012" spans="1:26" ht="12.75" customHeight="1" x14ac:dyDescent="0.2">
      <c r="A38012" s="258"/>
      <c r="Z38012" s="258"/>
    </row>
    <row r="38013" spans="1:26" ht="12.75" customHeight="1" x14ac:dyDescent="0.2">
      <c r="A38013" s="258"/>
      <c r="Z38013" s="258"/>
    </row>
    <row r="38014" spans="1:26" ht="12.75" customHeight="1" x14ac:dyDescent="0.2">
      <c r="A38014" s="258"/>
      <c r="Z38014" s="258"/>
    </row>
    <row r="38015" spans="1:26" ht="12.75" customHeight="1" x14ac:dyDescent="0.2">
      <c r="A38015" s="258"/>
      <c r="Z38015" s="258"/>
    </row>
    <row r="38016" spans="1:26" ht="12.75" customHeight="1" x14ac:dyDescent="0.2">
      <c r="A38016" s="258"/>
      <c r="Z38016" s="258"/>
    </row>
    <row r="38017" spans="1:26" ht="12.75" customHeight="1" x14ac:dyDescent="0.2">
      <c r="A38017" s="258"/>
      <c r="Z38017" s="258"/>
    </row>
    <row r="38018" spans="1:26" ht="12.75" customHeight="1" x14ac:dyDescent="0.2">
      <c r="A38018" s="258"/>
      <c r="Z38018" s="258"/>
    </row>
    <row r="38019" spans="1:26" ht="12.75" customHeight="1" x14ac:dyDescent="0.2">
      <c r="A38019" s="258"/>
      <c r="Z38019" s="258"/>
    </row>
    <row r="38020" spans="1:26" ht="12.75" customHeight="1" x14ac:dyDescent="0.2">
      <c r="A38020" s="258"/>
      <c r="Z38020" s="258"/>
    </row>
    <row r="38021" spans="1:26" ht="12.75" customHeight="1" x14ac:dyDescent="0.2">
      <c r="A38021" s="258"/>
      <c r="Z38021" s="258"/>
    </row>
    <row r="38022" spans="1:26" ht="12.75" customHeight="1" x14ac:dyDescent="0.2">
      <c r="A38022" s="258"/>
      <c r="Z38022" s="258"/>
    </row>
    <row r="38023" spans="1:26" ht="12.75" customHeight="1" x14ac:dyDescent="0.2">
      <c r="A38023" s="258"/>
      <c r="Z38023" s="258"/>
    </row>
    <row r="38024" spans="1:26" ht="12.75" customHeight="1" x14ac:dyDescent="0.2">
      <c r="A38024" s="258"/>
      <c r="Z38024" s="258"/>
    </row>
    <row r="38025" spans="1:26" ht="12.75" customHeight="1" x14ac:dyDescent="0.2">
      <c r="A38025" s="258"/>
      <c r="Z38025" s="258"/>
    </row>
    <row r="38026" spans="1:26" ht="12.75" customHeight="1" x14ac:dyDescent="0.2">
      <c r="A38026" s="258"/>
      <c r="Z38026" s="258"/>
    </row>
    <row r="38027" spans="1:26" ht="12.75" customHeight="1" x14ac:dyDescent="0.2">
      <c r="A38027" s="258"/>
      <c r="Z38027" s="258"/>
    </row>
    <row r="38028" spans="1:26" ht="12.75" customHeight="1" x14ac:dyDescent="0.2">
      <c r="A38028" s="258"/>
      <c r="Z38028" s="258"/>
    </row>
    <row r="38029" spans="1:26" ht="12.75" customHeight="1" x14ac:dyDescent="0.2">
      <c r="A38029" s="258"/>
      <c r="Z38029" s="258"/>
    </row>
    <row r="38030" spans="1:26" ht="12.75" customHeight="1" x14ac:dyDescent="0.2">
      <c r="A38030" s="258"/>
      <c r="Z38030" s="258"/>
    </row>
    <row r="38031" spans="1:26" ht="12.75" customHeight="1" x14ac:dyDescent="0.2">
      <c r="A38031" s="258"/>
      <c r="Z38031" s="258"/>
    </row>
    <row r="38032" spans="1:26" ht="12.75" customHeight="1" x14ac:dyDescent="0.2">
      <c r="A38032" s="258"/>
      <c r="Z38032" s="258"/>
    </row>
    <row r="38033" spans="1:26" ht="12.75" customHeight="1" x14ac:dyDescent="0.2">
      <c r="A38033" s="258"/>
      <c r="Z38033" s="258"/>
    </row>
    <row r="38034" spans="1:26" ht="12.75" customHeight="1" x14ac:dyDescent="0.2">
      <c r="A38034" s="258"/>
      <c r="Z38034" s="258"/>
    </row>
    <row r="38035" spans="1:26" ht="12.75" customHeight="1" x14ac:dyDescent="0.2">
      <c r="A38035" s="258"/>
      <c r="Z38035" s="258"/>
    </row>
    <row r="38036" spans="1:26" ht="12.75" customHeight="1" x14ac:dyDescent="0.2">
      <c r="A38036" s="258"/>
      <c r="Z38036" s="258"/>
    </row>
    <row r="38037" spans="1:26" ht="12.75" customHeight="1" x14ac:dyDescent="0.2">
      <c r="A38037" s="258"/>
      <c r="Z38037" s="258"/>
    </row>
    <row r="38038" spans="1:26" ht="12.75" customHeight="1" x14ac:dyDescent="0.2">
      <c r="A38038" s="258"/>
      <c r="Z38038" s="258"/>
    </row>
    <row r="38039" spans="1:26" ht="12.75" customHeight="1" x14ac:dyDescent="0.2">
      <c r="A38039" s="258"/>
      <c r="Z38039" s="258"/>
    </row>
    <row r="38040" spans="1:26" ht="12.75" customHeight="1" x14ac:dyDescent="0.2">
      <c r="A38040" s="258"/>
      <c r="Z38040" s="258"/>
    </row>
    <row r="38041" spans="1:26" ht="12.75" customHeight="1" x14ac:dyDescent="0.2">
      <c r="A38041" s="258"/>
      <c r="Z38041" s="258"/>
    </row>
    <row r="38042" spans="1:26" ht="12.75" customHeight="1" x14ac:dyDescent="0.2">
      <c r="A38042" s="258"/>
      <c r="Z38042" s="258"/>
    </row>
    <row r="38043" spans="1:26" ht="12.75" customHeight="1" x14ac:dyDescent="0.2">
      <c r="A38043" s="258"/>
      <c r="Z38043" s="258"/>
    </row>
    <row r="38044" spans="1:26" ht="12.75" customHeight="1" x14ac:dyDescent="0.2">
      <c r="A38044" s="258"/>
      <c r="Z38044" s="258"/>
    </row>
    <row r="38045" spans="1:26" ht="12.75" customHeight="1" x14ac:dyDescent="0.2">
      <c r="A38045" s="258"/>
      <c r="Z38045" s="258"/>
    </row>
    <row r="38046" spans="1:26" ht="12.75" customHeight="1" x14ac:dyDescent="0.2">
      <c r="A38046" s="258"/>
      <c r="Z38046" s="258"/>
    </row>
    <row r="38047" spans="1:26" ht="12.75" customHeight="1" x14ac:dyDescent="0.2">
      <c r="A38047" s="258"/>
      <c r="Z38047" s="258"/>
    </row>
    <row r="38048" spans="1:26" ht="12.75" customHeight="1" x14ac:dyDescent="0.2">
      <c r="A38048" s="258"/>
      <c r="Z38048" s="258"/>
    </row>
    <row r="38049" spans="1:26" ht="12.75" customHeight="1" x14ac:dyDescent="0.2">
      <c r="A38049" s="258"/>
      <c r="Z38049" s="258"/>
    </row>
    <row r="38050" spans="1:26" ht="12.75" customHeight="1" x14ac:dyDescent="0.2">
      <c r="A38050" s="258"/>
      <c r="Z38050" s="258"/>
    </row>
    <row r="38051" spans="1:26" ht="12.75" customHeight="1" x14ac:dyDescent="0.2">
      <c r="A38051" s="258"/>
      <c r="Z38051" s="258"/>
    </row>
    <row r="38052" spans="1:26" ht="12.75" customHeight="1" x14ac:dyDescent="0.2">
      <c r="A38052" s="258"/>
      <c r="Z38052" s="258"/>
    </row>
    <row r="38053" spans="1:26" ht="12.75" customHeight="1" x14ac:dyDescent="0.2">
      <c r="A38053" s="258"/>
      <c r="Z38053" s="258"/>
    </row>
    <row r="38054" spans="1:26" ht="12.75" customHeight="1" x14ac:dyDescent="0.2">
      <c r="A38054" s="258"/>
      <c r="Z38054" s="258"/>
    </row>
    <row r="38055" spans="1:26" ht="12.75" customHeight="1" x14ac:dyDescent="0.2">
      <c r="A38055" s="258"/>
      <c r="Z38055" s="258"/>
    </row>
    <row r="38056" spans="1:26" ht="12.75" customHeight="1" x14ac:dyDescent="0.2">
      <c r="A38056" s="258"/>
      <c r="Z38056" s="258"/>
    </row>
    <row r="38057" spans="1:26" ht="12.75" customHeight="1" x14ac:dyDescent="0.2">
      <c r="A38057" s="258"/>
      <c r="Z38057" s="258"/>
    </row>
    <row r="38058" spans="1:26" ht="12.75" customHeight="1" x14ac:dyDescent="0.2">
      <c r="A38058" s="258"/>
      <c r="Z38058" s="258"/>
    </row>
    <row r="38059" spans="1:26" ht="12.75" customHeight="1" x14ac:dyDescent="0.2">
      <c r="A38059" s="258"/>
      <c r="Z38059" s="258"/>
    </row>
    <row r="38060" spans="1:26" ht="12.75" customHeight="1" x14ac:dyDescent="0.2">
      <c r="A38060" s="258"/>
      <c r="Z38060" s="258"/>
    </row>
    <row r="38061" spans="1:26" ht="12.75" customHeight="1" x14ac:dyDescent="0.2">
      <c r="A38061" s="258"/>
      <c r="Z38061" s="258"/>
    </row>
    <row r="38062" spans="1:26" ht="12.75" customHeight="1" x14ac:dyDescent="0.2">
      <c r="A38062" s="258"/>
      <c r="Z38062" s="258"/>
    </row>
    <row r="38063" spans="1:26" ht="12.75" customHeight="1" x14ac:dyDescent="0.2">
      <c r="A38063" s="258"/>
      <c r="Z38063" s="258"/>
    </row>
    <row r="38064" spans="1:26" ht="12.75" customHeight="1" x14ac:dyDescent="0.2">
      <c r="A38064" s="258"/>
      <c r="Z38064" s="258"/>
    </row>
    <row r="38065" spans="1:26" ht="12.75" customHeight="1" x14ac:dyDescent="0.2">
      <c r="A38065" s="258"/>
      <c r="Z38065" s="258"/>
    </row>
    <row r="38066" spans="1:26" ht="12.75" customHeight="1" x14ac:dyDescent="0.2">
      <c r="A38066" s="258"/>
      <c r="Z38066" s="258"/>
    </row>
    <row r="38067" spans="1:26" ht="12.75" customHeight="1" x14ac:dyDescent="0.2">
      <c r="A38067" s="258"/>
      <c r="Z38067" s="258"/>
    </row>
    <row r="38068" spans="1:26" ht="12.75" customHeight="1" x14ac:dyDescent="0.2">
      <c r="A38068" s="258"/>
      <c r="Z38068" s="258"/>
    </row>
    <row r="38069" spans="1:26" ht="12.75" customHeight="1" x14ac:dyDescent="0.2">
      <c r="A38069" s="258"/>
      <c r="Z38069" s="258"/>
    </row>
    <row r="38070" spans="1:26" ht="12.75" customHeight="1" x14ac:dyDescent="0.2">
      <c r="A38070" s="258"/>
      <c r="Z38070" s="258"/>
    </row>
    <row r="38071" spans="1:26" ht="12.75" customHeight="1" x14ac:dyDescent="0.2">
      <c r="A38071" s="258"/>
      <c r="Z38071" s="258"/>
    </row>
    <row r="38072" spans="1:26" ht="12.75" customHeight="1" x14ac:dyDescent="0.2">
      <c r="A38072" s="258"/>
      <c r="Z38072" s="258"/>
    </row>
    <row r="38073" spans="1:26" ht="12.75" customHeight="1" x14ac:dyDescent="0.2">
      <c r="A38073" s="258"/>
      <c r="Z38073" s="258"/>
    </row>
    <row r="38074" spans="1:26" ht="12.75" customHeight="1" x14ac:dyDescent="0.2">
      <c r="A38074" s="258"/>
      <c r="Z38074" s="258"/>
    </row>
    <row r="38075" spans="1:26" ht="12.75" customHeight="1" x14ac:dyDescent="0.2">
      <c r="A38075" s="258"/>
      <c r="Z38075" s="258"/>
    </row>
    <row r="38076" spans="1:26" ht="12.75" customHeight="1" x14ac:dyDescent="0.2">
      <c r="A38076" s="258"/>
      <c r="Z38076" s="258"/>
    </row>
    <row r="38077" spans="1:26" ht="12.75" customHeight="1" x14ac:dyDescent="0.2">
      <c r="A38077" s="258"/>
      <c r="Z38077" s="258"/>
    </row>
    <row r="38078" spans="1:26" ht="12.75" customHeight="1" x14ac:dyDescent="0.2">
      <c r="A38078" s="258"/>
      <c r="Z38078" s="258"/>
    </row>
    <row r="38079" spans="1:26" ht="12.75" customHeight="1" x14ac:dyDescent="0.2">
      <c r="A38079" s="258"/>
      <c r="Z38079" s="258"/>
    </row>
    <row r="38080" spans="1:26" ht="12.75" customHeight="1" x14ac:dyDescent="0.2">
      <c r="A38080" s="258"/>
      <c r="Z38080" s="258"/>
    </row>
    <row r="38081" spans="1:26" ht="12.75" customHeight="1" x14ac:dyDescent="0.2">
      <c r="A38081" s="258"/>
      <c r="Z38081" s="258"/>
    </row>
    <row r="38082" spans="1:26" ht="12.75" customHeight="1" x14ac:dyDescent="0.2">
      <c r="A38082" s="258"/>
      <c r="Z38082" s="258"/>
    </row>
    <row r="38083" spans="1:26" ht="12.75" customHeight="1" x14ac:dyDescent="0.2">
      <c r="A38083" s="258"/>
      <c r="Z38083" s="258"/>
    </row>
    <row r="38084" spans="1:26" ht="12.75" customHeight="1" x14ac:dyDescent="0.2">
      <c r="A38084" s="258"/>
      <c r="Z38084" s="258"/>
    </row>
    <row r="38085" spans="1:26" ht="12.75" customHeight="1" x14ac:dyDescent="0.2">
      <c r="A38085" s="258"/>
      <c r="Z38085" s="258"/>
    </row>
    <row r="38086" spans="1:26" ht="12.75" customHeight="1" x14ac:dyDescent="0.2">
      <c r="A38086" s="258"/>
      <c r="Z38086" s="258"/>
    </row>
    <row r="38087" spans="1:26" ht="12.75" customHeight="1" x14ac:dyDescent="0.2">
      <c r="A38087" s="258"/>
      <c r="Z38087" s="258"/>
    </row>
    <row r="38088" spans="1:26" ht="12.75" customHeight="1" x14ac:dyDescent="0.2">
      <c r="A38088" s="258"/>
      <c r="Z38088" s="258"/>
    </row>
    <row r="38089" spans="1:26" ht="12.75" customHeight="1" x14ac:dyDescent="0.2">
      <c r="A38089" s="258"/>
      <c r="Z38089" s="258"/>
    </row>
    <row r="38090" spans="1:26" ht="12.75" customHeight="1" x14ac:dyDescent="0.2">
      <c r="A38090" s="258"/>
      <c r="Z38090" s="258"/>
    </row>
    <row r="38091" spans="1:26" ht="12.75" customHeight="1" x14ac:dyDescent="0.2">
      <c r="A38091" s="258"/>
      <c r="Z38091" s="258"/>
    </row>
    <row r="38092" spans="1:26" ht="12.75" customHeight="1" x14ac:dyDescent="0.2">
      <c r="A38092" s="258"/>
      <c r="Z38092" s="258"/>
    </row>
    <row r="38093" spans="1:26" ht="12.75" customHeight="1" x14ac:dyDescent="0.2">
      <c r="A38093" s="258"/>
      <c r="Z38093" s="258"/>
    </row>
    <row r="38094" spans="1:26" ht="12.75" customHeight="1" x14ac:dyDescent="0.2">
      <c r="A38094" s="258"/>
      <c r="Z38094" s="258"/>
    </row>
    <row r="38095" spans="1:26" ht="12.75" customHeight="1" x14ac:dyDescent="0.2">
      <c r="A38095" s="258"/>
      <c r="Z38095" s="258"/>
    </row>
    <row r="38096" spans="1:26" ht="12.75" customHeight="1" x14ac:dyDescent="0.2">
      <c r="A38096" s="258"/>
      <c r="Z38096" s="258"/>
    </row>
    <row r="38097" spans="1:26" ht="12.75" customHeight="1" x14ac:dyDescent="0.2">
      <c r="A38097" s="258"/>
      <c r="Z38097" s="258"/>
    </row>
    <row r="38098" spans="1:26" ht="12.75" customHeight="1" x14ac:dyDescent="0.2">
      <c r="A38098" s="258"/>
      <c r="Z38098" s="258"/>
    </row>
    <row r="38099" spans="1:26" ht="12.75" customHeight="1" x14ac:dyDescent="0.2">
      <c r="A38099" s="258"/>
      <c r="Z38099" s="258"/>
    </row>
    <row r="38100" spans="1:26" ht="12.75" customHeight="1" x14ac:dyDescent="0.2">
      <c r="A38100" s="258"/>
      <c r="Z38100" s="258"/>
    </row>
    <row r="38101" spans="1:26" ht="12.75" customHeight="1" x14ac:dyDescent="0.2">
      <c r="A38101" s="258"/>
      <c r="Z38101" s="258"/>
    </row>
    <row r="38102" spans="1:26" ht="12.75" customHeight="1" x14ac:dyDescent="0.2">
      <c r="A38102" s="258"/>
      <c r="Z38102" s="258"/>
    </row>
    <row r="38103" spans="1:26" ht="12.75" customHeight="1" x14ac:dyDescent="0.2">
      <c r="A38103" s="258"/>
      <c r="Z38103" s="258"/>
    </row>
    <row r="38104" spans="1:26" ht="12.75" customHeight="1" x14ac:dyDescent="0.2">
      <c r="A38104" s="258"/>
      <c r="Z38104" s="258"/>
    </row>
    <row r="38105" spans="1:26" ht="12.75" customHeight="1" x14ac:dyDescent="0.2">
      <c r="A38105" s="258"/>
      <c r="Z38105" s="258"/>
    </row>
    <row r="38106" spans="1:26" ht="12.75" customHeight="1" x14ac:dyDescent="0.2">
      <c r="A38106" s="258"/>
      <c r="Z38106" s="258"/>
    </row>
    <row r="38107" spans="1:26" ht="12.75" customHeight="1" x14ac:dyDescent="0.2">
      <c r="A38107" s="258"/>
      <c r="Z38107" s="258"/>
    </row>
    <row r="38108" spans="1:26" ht="12.75" customHeight="1" x14ac:dyDescent="0.2">
      <c r="A38108" s="258"/>
      <c r="Z38108" s="258"/>
    </row>
    <row r="38109" spans="1:26" ht="12.75" customHeight="1" x14ac:dyDescent="0.2">
      <c r="A38109" s="258"/>
      <c r="Z38109" s="258"/>
    </row>
    <row r="38110" spans="1:26" ht="12.75" customHeight="1" x14ac:dyDescent="0.2">
      <c r="A38110" s="258"/>
      <c r="Z38110" s="258"/>
    </row>
    <row r="38111" spans="1:26" ht="12.75" customHeight="1" x14ac:dyDescent="0.2">
      <c r="A38111" s="258"/>
      <c r="Z38111" s="258"/>
    </row>
    <row r="38112" spans="1:26" ht="12.75" customHeight="1" x14ac:dyDescent="0.2">
      <c r="A38112" s="258"/>
      <c r="Z38112" s="258"/>
    </row>
    <row r="38113" spans="1:26" ht="12.75" customHeight="1" x14ac:dyDescent="0.2">
      <c r="A38113" s="258"/>
      <c r="Z38113" s="258"/>
    </row>
    <row r="38114" spans="1:26" ht="12.75" customHeight="1" x14ac:dyDescent="0.2">
      <c r="A38114" s="258"/>
      <c r="Z38114" s="258"/>
    </row>
    <row r="38115" spans="1:26" ht="12.75" customHeight="1" x14ac:dyDescent="0.2">
      <c r="A38115" s="258"/>
      <c r="Z38115" s="258"/>
    </row>
    <row r="38116" spans="1:26" ht="12.75" customHeight="1" x14ac:dyDescent="0.2">
      <c r="A38116" s="258"/>
      <c r="Z38116" s="258"/>
    </row>
    <row r="38117" spans="1:26" ht="12.75" customHeight="1" x14ac:dyDescent="0.2">
      <c r="A38117" s="258"/>
      <c r="Z38117" s="258"/>
    </row>
    <row r="38118" spans="1:26" ht="12.75" customHeight="1" x14ac:dyDescent="0.2">
      <c r="A38118" s="258"/>
      <c r="Z38118" s="258"/>
    </row>
    <row r="38119" spans="1:26" ht="12.75" customHeight="1" x14ac:dyDescent="0.2">
      <c r="A38119" s="258"/>
      <c r="Z38119" s="258"/>
    </row>
    <row r="38120" spans="1:26" ht="12.75" customHeight="1" x14ac:dyDescent="0.2">
      <c r="A38120" s="258"/>
      <c r="Z38120" s="258"/>
    </row>
    <row r="38121" spans="1:26" ht="12.75" customHeight="1" x14ac:dyDescent="0.2">
      <c r="A38121" s="258"/>
      <c r="Z38121" s="258"/>
    </row>
    <row r="38122" spans="1:26" ht="12.75" customHeight="1" x14ac:dyDescent="0.2">
      <c r="A38122" s="258"/>
      <c r="Z38122" s="258"/>
    </row>
    <row r="38123" spans="1:26" ht="12.75" customHeight="1" x14ac:dyDescent="0.2">
      <c r="A38123" s="258"/>
      <c r="Z38123" s="258"/>
    </row>
    <row r="38124" spans="1:26" ht="12.75" customHeight="1" x14ac:dyDescent="0.2">
      <c r="A38124" s="258"/>
      <c r="Z38124" s="258"/>
    </row>
    <row r="38125" spans="1:26" ht="12.75" customHeight="1" x14ac:dyDescent="0.2">
      <c r="A38125" s="258"/>
      <c r="Z38125" s="258"/>
    </row>
    <row r="38126" spans="1:26" ht="12.75" customHeight="1" x14ac:dyDescent="0.2">
      <c r="A38126" s="258"/>
      <c r="Z38126" s="258"/>
    </row>
    <row r="38127" spans="1:26" ht="12.75" customHeight="1" x14ac:dyDescent="0.2">
      <c r="A38127" s="258"/>
      <c r="Z38127" s="258"/>
    </row>
    <row r="38128" spans="1:26" ht="12.75" customHeight="1" x14ac:dyDescent="0.2">
      <c r="A38128" s="258"/>
      <c r="Z38128" s="258"/>
    </row>
    <row r="38129" spans="1:26" ht="12.75" customHeight="1" x14ac:dyDescent="0.2">
      <c r="A38129" s="258"/>
      <c r="Z38129" s="258"/>
    </row>
    <row r="38130" spans="1:26" ht="12.75" customHeight="1" x14ac:dyDescent="0.2">
      <c r="A38130" s="258"/>
      <c r="Z38130" s="258"/>
    </row>
    <row r="38131" spans="1:26" ht="12.75" customHeight="1" x14ac:dyDescent="0.2">
      <c r="A38131" s="258"/>
      <c r="Z38131" s="258"/>
    </row>
    <row r="38132" spans="1:26" ht="12.75" customHeight="1" x14ac:dyDescent="0.2">
      <c r="A38132" s="258"/>
      <c r="Z38132" s="258"/>
    </row>
    <row r="38133" spans="1:26" ht="12.75" customHeight="1" x14ac:dyDescent="0.2">
      <c r="A38133" s="258"/>
      <c r="Z38133" s="258"/>
    </row>
    <row r="38134" spans="1:26" ht="12.75" customHeight="1" x14ac:dyDescent="0.2">
      <c r="A38134" s="258"/>
      <c r="Z38134" s="258"/>
    </row>
    <row r="38135" spans="1:26" ht="12.75" customHeight="1" x14ac:dyDescent="0.2">
      <c r="A38135" s="258"/>
      <c r="Z38135" s="258"/>
    </row>
    <row r="38136" spans="1:26" ht="12.75" customHeight="1" x14ac:dyDescent="0.2">
      <c r="A38136" s="258"/>
      <c r="Z38136" s="258"/>
    </row>
    <row r="38137" spans="1:26" ht="12.75" customHeight="1" x14ac:dyDescent="0.2">
      <c r="A38137" s="258"/>
      <c r="Z38137" s="258"/>
    </row>
    <row r="38138" spans="1:26" ht="12.75" customHeight="1" x14ac:dyDescent="0.2">
      <c r="A38138" s="258"/>
      <c r="Z38138" s="258"/>
    </row>
    <row r="38139" spans="1:26" ht="12.75" customHeight="1" x14ac:dyDescent="0.2">
      <c r="A38139" s="258"/>
      <c r="Z38139" s="258"/>
    </row>
    <row r="38140" spans="1:26" ht="12.75" customHeight="1" x14ac:dyDescent="0.2">
      <c r="A38140" s="258"/>
      <c r="Z38140" s="258"/>
    </row>
    <row r="38141" spans="1:26" ht="12.75" customHeight="1" x14ac:dyDescent="0.2">
      <c r="A38141" s="258"/>
      <c r="Z38141" s="258"/>
    </row>
    <row r="38142" spans="1:26" ht="12.75" customHeight="1" x14ac:dyDescent="0.2">
      <c r="A38142" s="258"/>
      <c r="Z38142" s="258"/>
    </row>
    <row r="38143" spans="1:26" ht="12.75" customHeight="1" x14ac:dyDescent="0.2">
      <c r="A38143" s="258"/>
      <c r="Z38143" s="258"/>
    </row>
    <row r="38144" spans="1:26" ht="12.75" customHeight="1" x14ac:dyDescent="0.2">
      <c r="A38144" s="258"/>
      <c r="Z38144" s="258"/>
    </row>
    <row r="38145" spans="1:26" ht="12.75" customHeight="1" x14ac:dyDescent="0.2">
      <c r="A38145" s="258"/>
      <c r="Z38145" s="258"/>
    </row>
    <row r="38146" spans="1:26" ht="12.75" customHeight="1" x14ac:dyDescent="0.2">
      <c r="A38146" s="258"/>
      <c r="Z38146" s="258"/>
    </row>
    <row r="38147" spans="1:26" ht="12.75" customHeight="1" x14ac:dyDescent="0.2">
      <c r="A38147" s="258"/>
      <c r="Z38147" s="258"/>
    </row>
    <row r="38148" spans="1:26" ht="12.75" customHeight="1" x14ac:dyDescent="0.2">
      <c r="A38148" s="258"/>
      <c r="Z38148" s="258"/>
    </row>
    <row r="38149" spans="1:26" ht="12.75" customHeight="1" x14ac:dyDescent="0.2">
      <c r="A38149" s="258"/>
      <c r="Z38149" s="258"/>
    </row>
    <row r="38150" spans="1:26" ht="12.75" customHeight="1" x14ac:dyDescent="0.2">
      <c r="A38150" s="258"/>
      <c r="Z38150" s="258"/>
    </row>
    <row r="38151" spans="1:26" ht="12.75" customHeight="1" x14ac:dyDescent="0.2">
      <c r="A38151" s="258"/>
      <c r="Z38151" s="258"/>
    </row>
    <row r="38152" spans="1:26" ht="12.75" customHeight="1" x14ac:dyDescent="0.2">
      <c r="A38152" s="258"/>
      <c r="Z38152" s="258"/>
    </row>
    <row r="38153" spans="1:26" ht="12.75" customHeight="1" x14ac:dyDescent="0.2">
      <c r="A38153" s="258"/>
      <c r="Z38153" s="258"/>
    </row>
    <row r="38154" spans="1:26" ht="12.75" customHeight="1" x14ac:dyDescent="0.2">
      <c r="A38154" s="258"/>
      <c r="Z38154" s="258"/>
    </row>
    <row r="38155" spans="1:26" ht="12.75" customHeight="1" x14ac:dyDescent="0.2">
      <c r="A38155" s="258"/>
      <c r="Z38155" s="258"/>
    </row>
    <row r="38156" spans="1:26" ht="12.75" customHeight="1" x14ac:dyDescent="0.2">
      <c r="A38156" s="258"/>
      <c r="Z38156" s="258"/>
    </row>
    <row r="38157" spans="1:26" ht="12.75" customHeight="1" x14ac:dyDescent="0.2">
      <c r="A38157" s="258"/>
      <c r="Z38157" s="258"/>
    </row>
    <row r="38158" spans="1:26" ht="12.75" customHeight="1" x14ac:dyDescent="0.2">
      <c r="A38158" s="258"/>
      <c r="Z38158" s="258"/>
    </row>
    <row r="38159" spans="1:26" ht="12.75" customHeight="1" x14ac:dyDescent="0.2">
      <c r="A38159" s="258"/>
      <c r="Z38159" s="258"/>
    </row>
    <row r="38160" spans="1:26" ht="12.75" customHeight="1" x14ac:dyDescent="0.2">
      <c r="A38160" s="258"/>
      <c r="Z38160" s="258"/>
    </row>
    <row r="38161" spans="1:26" ht="12.75" customHeight="1" x14ac:dyDescent="0.2">
      <c r="A38161" s="258"/>
      <c r="Z38161" s="258"/>
    </row>
    <row r="38162" spans="1:26" ht="12.75" customHeight="1" x14ac:dyDescent="0.2">
      <c r="A38162" s="258"/>
      <c r="Z38162" s="258"/>
    </row>
    <row r="38163" spans="1:26" ht="12.75" customHeight="1" x14ac:dyDescent="0.2">
      <c r="A38163" s="258"/>
      <c r="Z38163" s="258"/>
    </row>
    <row r="38164" spans="1:26" ht="12.75" customHeight="1" x14ac:dyDescent="0.2">
      <c r="A38164" s="258"/>
      <c r="Z38164" s="258"/>
    </row>
    <row r="38165" spans="1:26" ht="12.75" customHeight="1" x14ac:dyDescent="0.2">
      <c r="A38165" s="258"/>
      <c r="Z38165" s="258"/>
    </row>
    <row r="38166" spans="1:26" ht="12.75" customHeight="1" x14ac:dyDescent="0.2">
      <c r="A38166" s="258"/>
      <c r="Z38166" s="258"/>
    </row>
    <row r="38167" spans="1:26" ht="12.75" customHeight="1" x14ac:dyDescent="0.2">
      <c r="A38167" s="258"/>
      <c r="Z38167" s="258"/>
    </row>
    <row r="38168" spans="1:26" ht="12.75" customHeight="1" x14ac:dyDescent="0.2">
      <c r="A38168" s="258"/>
      <c r="Z38168" s="258"/>
    </row>
    <row r="38169" spans="1:26" ht="12.75" customHeight="1" x14ac:dyDescent="0.2">
      <c r="A38169" s="258"/>
      <c r="Z38169" s="258"/>
    </row>
    <row r="38170" spans="1:26" ht="12.75" customHeight="1" x14ac:dyDescent="0.2">
      <c r="A38170" s="258"/>
      <c r="Z38170" s="258"/>
    </row>
    <row r="38171" spans="1:26" ht="12.75" customHeight="1" x14ac:dyDescent="0.2">
      <c r="A38171" s="258"/>
      <c r="Z38171" s="258"/>
    </row>
    <row r="38172" spans="1:26" ht="12.75" customHeight="1" x14ac:dyDescent="0.2">
      <c r="A38172" s="258"/>
      <c r="Z38172" s="258"/>
    </row>
    <row r="38173" spans="1:26" ht="12.75" customHeight="1" x14ac:dyDescent="0.2">
      <c r="A38173" s="258"/>
      <c r="Z38173" s="258"/>
    </row>
    <row r="38174" spans="1:26" ht="12.75" customHeight="1" x14ac:dyDescent="0.2">
      <c r="A38174" s="258"/>
      <c r="Z38174" s="258"/>
    </row>
    <row r="38175" spans="1:26" ht="12.75" customHeight="1" x14ac:dyDescent="0.2">
      <c r="A38175" s="258"/>
      <c r="Z38175" s="258"/>
    </row>
    <row r="38176" spans="1:26" ht="12.75" customHeight="1" x14ac:dyDescent="0.2">
      <c r="A38176" s="258"/>
      <c r="Z38176" s="258"/>
    </row>
    <row r="38177" spans="1:26" ht="12.75" customHeight="1" x14ac:dyDescent="0.2">
      <c r="A38177" s="258"/>
      <c r="Z38177" s="258"/>
    </row>
    <row r="38178" spans="1:26" ht="12.75" customHeight="1" x14ac:dyDescent="0.2">
      <c r="A38178" s="258"/>
      <c r="Z38178" s="258"/>
    </row>
    <row r="38179" spans="1:26" ht="12.75" customHeight="1" x14ac:dyDescent="0.2">
      <c r="A38179" s="258"/>
      <c r="Z38179" s="258"/>
    </row>
    <row r="38180" spans="1:26" ht="12.75" customHeight="1" x14ac:dyDescent="0.2">
      <c r="A38180" s="258"/>
      <c r="Z38180" s="258"/>
    </row>
    <row r="38181" spans="1:26" ht="12.75" customHeight="1" x14ac:dyDescent="0.2">
      <c r="A38181" s="258"/>
      <c r="Z38181" s="258"/>
    </row>
    <row r="38182" spans="1:26" ht="12.75" customHeight="1" x14ac:dyDescent="0.2">
      <c r="A38182" s="258"/>
      <c r="Z38182" s="258"/>
    </row>
    <row r="38183" spans="1:26" ht="12.75" customHeight="1" x14ac:dyDescent="0.2">
      <c r="A38183" s="258"/>
      <c r="Z38183" s="258"/>
    </row>
    <row r="38184" spans="1:26" ht="12.75" customHeight="1" x14ac:dyDescent="0.2">
      <c r="A38184" s="258"/>
      <c r="Z38184" s="258"/>
    </row>
    <row r="38185" spans="1:26" ht="12.75" customHeight="1" x14ac:dyDescent="0.2">
      <c r="A38185" s="258"/>
      <c r="Z38185" s="258"/>
    </row>
    <row r="38186" spans="1:26" ht="12.75" customHeight="1" x14ac:dyDescent="0.2">
      <c r="A38186" s="258"/>
      <c r="Z38186" s="258"/>
    </row>
    <row r="38187" spans="1:26" ht="12.75" customHeight="1" x14ac:dyDescent="0.2">
      <c r="A38187" s="258"/>
      <c r="Z38187" s="258"/>
    </row>
    <row r="38188" spans="1:26" ht="12.75" customHeight="1" x14ac:dyDescent="0.2">
      <c r="A38188" s="258"/>
      <c r="Z38188" s="258"/>
    </row>
    <row r="38189" spans="1:26" ht="12.75" customHeight="1" x14ac:dyDescent="0.2">
      <c r="A38189" s="258"/>
      <c r="Z38189" s="258"/>
    </row>
    <row r="38190" spans="1:26" ht="12.75" customHeight="1" x14ac:dyDescent="0.2">
      <c r="A38190" s="258"/>
      <c r="Z38190" s="258"/>
    </row>
    <row r="38191" spans="1:26" ht="12.75" customHeight="1" x14ac:dyDescent="0.2">
      <c r="A38191" s="258"/>
      <c r="Z38191" s="258"/>
    </row>
    <row r="38192" spans="1:26" ht="12.75" customHeight="1" x14ac:dyDescent="0.2">
      <c r="A38192" s="258"/>
      <c r="Z38192" s="258"/>
    </row>
    <row r="38193" spans="1:26" ht="12.75" customHeight="1" x14ac:dyDescent="0.2">
      <c r="A38193" s="258"/>
      <c r="Z38193" s="258"/>
    </row>
    <row r="38194" spans="1:26" ht="12.75" customHeight="1" x14ac:dyDescent="0.2">
      <c r="A38194" s="258"/>
      <c r="Z38194" s="258"/>
    </row>
    <row r="38195" spans="1:26" ht="12.75" customHeight="1" x14ac:dyDescent="0.2">
      <c r="A38195" s="258"/>
      <c r="Z38195" s="258"/>
    </row>
    <row r="38196" spans="1:26" ht="12.75" customHeight="1" x14ac:dyDescent="0.2">
      <c r="A38196" s="258"/>
      <c r="Z38196" s="258"/>
    </row>
    <row r="38197" spans="1:26" ht="12.75" customHeight="1" x14ac:dyDescent="0.2">
      <c r="A38197" s="258"/>
      <c r="Z38197" s="258"/>
    </row>
    <row r="38198" spans="1:26" ht="12.75" customHeight="1" x14ac:dyDescent="0.2">
      <c r="A38198" s="258"/>
      <c r="Z38198" s="258"/>
    </row>
    <row r="38199" spans="1:26" ht="12.75" customHeight="1" x14ac:dyDescent="0.2">
      <c r="A38199" s="258"/>
      <c r="Z38199" s="258"/>
    </row>
    <row r="38200" spans="1:26" ht="12.75" customHeight="1" x14ac:dyDescent="0.2">
      <c r="A38200" s="258"/>
      <c r="Z38200" s="258"/>
    </row>
    <row r="38201" spans="1:26" ht="12.75" customHeight="1" x14ac:dyDescent="0.2">
      <c r="A38201" s="258"/>
      <c r="Z38201" s="258"/>
    </row>
    <row r="38202" spans="1:26" ht="12.75" customHeight="1" x14ac:dyDescent="0.2">
      <c r="A38202" s="258"/>
      <c r="Z38202" s="258"/>
    </row>
    <row r="38203" spans="1:26" ht="12.75" customHeight="1" x14ac:dyDescent="0.2">
      <c r="A38203" s="258"/>
      <c r="Z38203" s="258"/>
    </row>
    <row r="38204" spans="1:26" ht="12.75" customHeight="1" x14ac:dyDescent="0.2">
      <c r="A38204" s="258"/>
      <c r="Z38204" s="258"/>
    </row>
    <row r="38205" spans="1:26" ht="12.75" customHeight="1" x14ac:dyDescent="0.2">
      <c r="A38205" s="258"/>
      <c r="Z38205" s="258"/>
    </row>
    <row r="38206" spans="1:26" ht="12.75" customHeight="1" x14ac:dyDescent="0.2">
      <c r="A38206" s="258"/>
      <c r="Z38206" s="258"/>
    </row>
    <row r="38207" spans="1:26" ht="12.75" customHeight="1" x14ac:dyDescent="0.2">
      <c r="A38207" s="258"/>
      <c r="Z38207" s="258"/>
    </row>
    <row r="38208" spans="1:26" ht="12.75" customHeight="1" x14ac:dyDescent="0.2">
      <c r="A38208" s="258"/>
      <c r="Z38208" s="258"/>
    </row>
    <row r="38209" spans="1:26" ht="12.75" customHeight="1" x14ac:dyDescent="0.2">
      <c r="A38209" s="258"/>
      <c r="Z38209" s="258"/>
    </row>
    <row r="38210" spans="1:26" ht="12.75" customHeight="1" x14ac:dyDescent="0.2">
      <c r="A38210" s="258"/>
      <c r="Z38210" s="258"/>
    </row>
    <row r="38211" spans="1:26" ht="12.75" customHeight="1" x14ac:dyDescent="0.2">
      <c r="A38211" s="258"/>
      <c r="Z38211" s="258"/>
    </row>
    <row r="38212" spans="1:26" ht="12.75" customHeight="1" x14ac:dyDescent="0.2">
      <c r="A38212" s="258"/>
      <c r="Z38212" s="258"/>
    </row>
    <row r="38213" spans="1:26" ht="12.75" customHeight="1" x14ac:dyDescent="0.2">
      <c r="A38213" s="258"/>
      <c r="Z38213" s="258"/>
    </row>
    <row r="38214" spans="1:26" ht="12.75" customHeight="1" x14ac:dyDescent="0.2">
      <c r="A38214" s="258"/>
      <c r="Z38214" s="258"/>
    </row>
    <row r="38215" spans="1:26" ht="12.75" customHeight="1" x14ac:dyDescent="0.2">
      <c r="A38215" s="258"/>
      <c r="Z38215" s="258"/>
    </row>
    <row r="38216" spans="1:26" ht="12.75" customHeight="1" x14ac:dyDescent="0.2">
      <c r="A38216" s="258"/>
      <c r="Z38216" s="258"/>
    </row>
    <row r="38217" spans="1:26" ht="12.75" customHeight="1" x14ac:dyDescent="0.2">
      <c r="A38217" s="258"/>
      <c r="Z38217" s="258"/>
    </row>
    <row r="38218" spans="1:26" ht="12.75" customHeight="1" x14ac:dyDescent="0.2">
      <c r="A38218" s="258"/>
      <c r="Z38218" s="258"/>
    </row>
    <row r="38219" spans="1:26" ht="12.75" customHeight="1" x14ac:dyDescent="0.2">
      <c r="A38219" s="258"/>
      <c r="Z38219" s="258"/>
    </row>
    <row r="38220" spans="1:26" ht="12.75" customHeight="1" x14ac:dyDescent="0.2">
      <c r="A38220" s="258"/>
      <c r="Z38220" s="258"/>
    </row>
    <row r="38221" spans="1:26" ht="12.75" customHeight="1" x14ac:dyDescent="0.2">
      <c r="A38221" s="258"/>
      <c r="Z38221" s="258"/>
    </row>
    <row r="38222" spans="1:26" ht="12.75" customHeight="1" x14ac:dyDescent="0.2">
      <c r="A38222" s="258"/>
      <c r="Z38222" s="258"/>
    </row>
    <row r="38223" spans="1:26" ht="12.75" customHeight="1" x14ac:dyDescent="0.2">
      <c r="A38223" s="258"/>
      <c r="Z38223" s="258"/>
    </row>
    <row r="38224" spans="1:26" ht="12.75" customHeight="1" x14ac:dyDescent="0.2">
      <c r="A38224" s="258"/>
      <c r="Z38224" s="258"/>
    </row>
    <row r="38225" spans="1:26" ht="12.75" customHeight="1" x14ac:dyDescent="0.2">
      <c r="A38225" s="258"/>
      <c r="Z38225" s="258"/>
    </row>
    <row r="38226" spans="1:26" ht="12.75" customHeight="1" x14ac:dyDescent="0.2">
      <c r="A38226" s="258"/>
      <c r="Z38226" s="258"/>
    </row>
    <row r="38227" spans="1:26" ht="12.75" customHeight="1" x14ac:dyDescent="0.2">
      <c r="A38227" s="258"/>
      <c r="Z38227" s="258"/>
    </row>
    <row r="38228" spans="1:26" ht="12.75" customHeight="1" x14ac:dyDescent="0.2">
      <c r="A38228" s="258"/>
      <c r="Z38228" s="258"/>
    </row>
    <row r="38229" spans="1:26" ht="12.75" customHeight="1" x14ac:dyDescent="0.2">
      <c r="A38229" s="258"/>
      <c r="Z38229" s="258"/>
    </row>
    <row r="38230" spans="1:26" ht="12.75" customHeight="1" x14ac:dyDescent="0.2">
      <c r="A38230" s="258"/>
      <c r="Z38230" s="258"/>
    </row>
    <row r="38231" spans="1:26" ht="12.75" customHeight="1" x14ac:dyDescent="0.2">
      <c r="A38231" s="258"/>
      <c r="Z38231" s="258"/>
    </row>
    <row r="38232" spans="1:26" ht="12.75" customHeight="1" x14ac:dyDescent="0.2">
      <c r="A38232" s="258"/>
      <c r="Z38232" s="258"/>
    </row>
    <row r="38233" spans="1:26" ht="12.75" customHeight="1" x14ac:dyDescent="0.2">
      <c r="A38233" s="258"/>
      <c r="Z38233" s="258"/>
    </row>
    <row r="38234" spans="1:26" ht="12.75" customHeight="1" x14ac:dyDescent="0.2">
      <c r="A38234" s="258"/>
      <c r="Z38234" s="258"/>
    </row>
    <row r="38235" spans="1:26" ht="12.75" customHeight="1" x14ac:dyDescent="0.2">
      <c r="A38235" s="258"/>
      <c r="Z38235" s="258"/>
    </row>
    <row r="38236" spans="1:26" ht="12.75" customHeight="1" x14ac:dyDescent="0.2">
      <c r="A38236" s="258"/>
      <c r="Z38236" s="258"/>
    </row>
    <row r="38237" spans="1:26" ht="12.75" customHeight="1" x14ac:dyDescent="0.2">
      <c r="A38237" s="258"/>
      <c r="Z38237" s="258"/>
    </row>
    <row r="38238" spans="1:26" ht="12.75" customHeight="1" x14ac:dyDescent="0.2">
      <c r="A38238" s="258"/>
      <c r="Z38238" s="258"/>
    </row>
    <row r="38239" spans="1:26" ht="12.75" customHeight="1" x14ac:dyDescent="0.2">
      <c r="A38239" s="258"/>
      <c r="Z38239" s="258"/>
    </row>
    <row r="38240" spans="1:26" ht="12.75" customHeight="1" x14ac:dyDescent="0.2">
      <c r="A38240" s="258"/>
      <c r="Z38240" s="258"/>
    </row>
    <row r="38241" spans="1:26" ht="12.75" customHeight="1" x14ac:dyDescent="0.2">
      <c r="A38241" s="258"/>
      <c r="Z38241" s="258"/>
    </row>
    <row r="38242" spans="1:26" ht="12.75" customHeight="1" x14ac:dyDescent="0.2">
      <c r="A38242" s="258"/>
      <c r="Z38242" s="258"/>
    </row>
    <row r="38243" spans="1:26" ht="12.75" customHeight="1" x14ac:dyDescent="0.2">
      <c r="A38243" s="258"/>
      <c r="Z38243" s="258"/>
    </row>
    <row r="38244" spans="1:26" ht="12.75" customHeight="1" x14ac:dyDescent="0.2">
      <c r="A38244" s="258"/>
      <c r="Z38244" s="258"/>
    </row>
    <row r="38245" spans="1:26" ht="12.75" customHeight="1" x14ac:dyDescent="0.2">
      <c r="A38245" s="258"/>
      <c r="Z38245" s="258"/>
    </row>
    <row r="38246" spans="1:26" ht="12.75" customHeight="1" x14ac:dyDescent="0.2">
      <c r="A38246" s="258"/>
      <c r="Z38246" s="258"/>
    </row>
    <row r="38247" spans="1:26" ht="12.75" customHeight="1" x14ac:dyDescent="0.2">
      <c r="A38247" s="258"/>
      <c r="Z38247" s="258"/>
    </row>
    <row r="38248" spans="1:26" ht="12.75" customHeight="1" x14ac:dyDescent="0.2">
      <c r="A38248" s="258"/>
      <c r="Z38248" s="258"/>
    </row>
    <row r="38249" spans="1:26" ht="12.75" customHeight="1" x14ac:dyDescent="0.2">
      <c r="A38249" s="258"/>
      <c r="Z38249" s="258"/>
    </row>
    <row r="38250" spans="1:26" ht="12.75" customHeight="1" x14ac:dyDescent="0.2">
      <c r="A38250" s="258"/>
      <c r="Z38250" s="258"/>
    </row>
    <row r="38251" spans="1:26" ht="12.75" customHeight="1" x14ac:dyDescent="0.2">
      <c r="A38251" s="258"/>
      <c r="Z38251" s="258"/>
    </row>
    <row r="38252" spans="1:26" ht="12.75" customHeight="1" x14ac:dyDescent="0.2">
      <c r="A38252" s="258"/>
      <c r="Z38252" s="258"/>
    </row>
    <row r="38253" spans="1:26" ht="12.75" customHeight="1" x14ac:dyDescent="0.2">
      <c r="A38253" s="258"/>
      <c r="Z38253" s="258"/>
    </row>
    <row r="38254" spans="1:26" ht="12.75" customHeight="1" x14ac:dyDescent="0.2">
      <c r="A38254" s="258"/>
      <c r="Z38254" s="258"/>
    </row>
    <row r="38255" spans="1:26" ht="12.75" customHeight="1" x14ac:dyDescent="0.2">
      <c r="A38255" s="258"/>
      <c r="Z38255" s="258"/>
    </row>
    <row r="38256" spans="1:26" ht="12.75" customHeight="1" x14ac:dyDescent="0.2">
      <c r="A38256" s="258"/>
      <c r="Z38256" s="258"/>
    </row>
    <row r="38257" spans="1:26" ht="12.75" customHeight="1" x14ac:dyDescent="0.2">
      <c r="A38257" s="258"/>
      <c r="Z38257" s="258"/>
    </row>
    <row r="38258" spans="1:26" ht="12.75" customHeight="1" x14ac:dyDescent="0.2">
      <c r="A38258" s="258"/>
      <c r="Z38258" s="258"/>
    </row>
    <row r="38259" spans="1:26" ht="12.75" customHeight="1" x14ac:dyDescent="0.2">
      <c r="A38259" s="258"/>
      <c r="Z38259" s="258"/>
    </row>
    <row r="38260" spans="1:26" ht="12.75" customHeight="1" x14ac:dyDescent="0.2">
      <c r="A38260" s="258"/>
      <c r="Z38260" s="258"/>
    </row>
    <row r="38261" spans="1:26" ht="12.75" customHeight="1" x14ac:dyDescent="0.2">
      <c r="A38261" s="258"/>
      <c r="Z38261" s="258"/>
    </row>
    <row r="38262" spans="1:26" ht="12.75" customHeight="1" x14ac:dyDescent="0.2">
      <c r="A38262" s="258"/>
      <c r="Z38262" s="258"/>
    </row>
    <row r="38263" spans="1:26" ht="12.75" customHeight="1" x14ac:dyDescent="0.2">
      <c r="A38263" s="258"/>
      <c r="Z38263" s="258"/>
    </row>
    <row r="38264" spans="1:26" ht="12.75" customHeight="1" x14ac:dyDescent="0.2">
      <c r="A38264" s="258"/>
      <c r="Z38264" s="258"/>
    </row>
    <row r="38265" spans="1:26" ht="12.75" customHeight="1" x14ac:dyDescent="0.2">
      <c r="A38265" s="258"/>
      <c r="Z38265" s="258"/>
    </row>
    <row r="38266" spans="1:26" ht="12.75" customHeight="1" x14ac:dyDescent="0.2">
      <c r="A38266" s="258"/>
      <c r="Z38266" s="258"/>
    </row>
    <row r="38267" spans="1:26" ht="12.75" customHeight="1" x14ac:dyDescent="0.2">
      <c r="A38267" s="258"/>
      <c r="Z38267" s="258"/>
    </row>
    <row r="38268" spans="1:26" ht="12.75" customHeight="1" x14ac:dyDescent="0.2">
      <c r="A38268" s="258"/>
      <c r="Z38268" s="258"/>
    </row>
    <row r="38269" spans="1:26" ht="12.75" customHeight="1" x14ac:dyDescent="0.2">
      <c r="A38269" s="258"/>
      <c r="Z38269" s="258"/>
    </row>
    <row r="38270" spans="1:26" ht="12.75" customHeight="1" x14ac:dyDescent="0.2">
      <c r="A38270" s="258"/>
      <c r="Z38270" s="258"/>
    </row>
    <row r="38271" spans="1:26" ht="12.75" customHeight="1" x14ac:dyDescent="0.2">
      <c r="A38271" s="258"/>
      <c r="Z38271" s="258"/>
    </row>
    <row r="38272" spans="1:26" ht="12.75" customHeight="1" x14ac:dyDescent="0.2">
      <c r="A38272" s="258"/>
      <c r="Z38272" s="258"/>
    </row>
    <row r="38273" spans="1:26" ht="12.75" customHeight="1" x14ac:dyDescent="0.2">
      <c r="A38273" s="258"/>
      <c r="Z38273" s="258"/>
    </row>
    <row r="38274" spans="1:26" ht="12.75" customHeight="1" x14ac:dyDescent="0.2">
      <c r="A38274" s="258"/>
      <c r="Z38274" s="258"/>
    </row>
    <row r="38275" spans="1:26" ht="12.75" customHeight="1" x14ac:dyDescent="0.2">
      <c r="A38275" s="258"/>
      <c r="Z38275" s="258"/>
    </row>
    <row r="38276" spans="1:26" ht="12.75" customHeight="1" x14ac:dyDescent="0.2">
      <c r="A38276" s="258"/>
      <c r="Z38276" s="258"/>
    </row>
    <row r="38277" spans="1:26" ht="12.75" customHeight="1" x14ac:dyDescent="0.2">
      <c r="A38277" s="258"/>
      <c r="Z38277" s="258"/>
    </row>
    <row r="38278" spans="1:26" ht="12.75" customHeight="1" x14ac:dyDescent="0.2">
      <c r="A38278" s="258"/>
      <c r="Z38278" s="258"/>
    </row>
    <row r="38279" spans="1:26" ht="12.75" customHeight="1" x14ac:dyDescent="0.2">
      <c r="A38279" s="258"/>
      <c r="Z38279" s="258"/>
    </row>
    <row r="38280" spans="1:26" ht="12.75" customHeight="1" x14ac:dyDescent="0.2">
      <c r="A38280" s="258"/>
      <c r="Z38280" s="258"/>
    </row>
    <row r="38281" spans="1:26" ht="12.75" customHeight="1" x14ac:dyDescent="0.2">
      <c r="A38281" s="258"/>
      <c r="Z38281" s="258"/>
    </row>
    <row r="38282" spans="1:26" ht="12.75" customHeight="1" x14ac:dyDescent="0.2">
      <c r="A38282" s="258"/>
      <c r="Z38282" s="258"/>
    </row>
    <row r="38283" spans="1:26" ht="12.75" customHeight="1" x14ac:dyDescent="0.2">
      <c r="A38283" s="258"/>
      <c r="Z38283" s="258"/>
    </row>
    <row r="38284" spans="1:26" ht="12.75" customHeight="1" x14ac:dyDescent="0.2">
      <c r="A38284" s="258"/>
      <c r="Z38284" s="258"/>
    </row>
    <row r="38285" spans="1:26" ht="12.75" customHeight="1" x14ac:dyDescent="0.2">
      <c r="A38285" s="258"/>
      <c r="Z38285" s="258"/>
    </row>
    <row r="38286" spans="1:26" ht="12.75" customHeight="1" x14ac:dyDescent="0.2">
      <c r="A38286" s="258"/>
      <c r="Z38286" s="258"/>
    </row>
    <row r="38287" spans="1:26" ht="12.75" customHeight="1" x14ac:dyDescent="0.2">
      <c r="A38287" s="258"/>
      <c r="Z38287" s="258"/>
    </row>
    <row r="38288" spans="1:26" ht="12.75" customHeight="1" x14ac:dyDescent="0.2">
      <c r="A38288" s="258"/>
      <c r="Z38288" s="258"/>
    </row>
    <row r="38289" spans="1:26" ht="12.75" customHeight="1" x14ac:dyDescent="0.2">
      <c r="A38289" s="258"/>
      <c r="Z38289" s="258"/>
    </row>
    <row r="38290" spans="1:26" ht="12.75" customHeight="1" x14ac:dyDescent="0.2">
      <c r="A38290" s="258"/>
      <c r="Z38290" s="258"/>
    </row>
    <row r="38291" spans="1:26" ht="12.75" customHeight="1" x14ac:dyDescent="0.2">
      <c r="A38291" s="258"/>
      <c r="Z38291" s="258"/>
    </row>
    <row r="38292" spans="1:26" ht="12.75" customHeight="1" x14ac:dyDescent="0.2">
      <c r="A38292" s="258"/>
      <c r="Z38292" s="258"/>
    </row>
    <row r="38293" spans="1:26" ht="12.75" customHeight="1" x14ac:dyDescent="0.2">
      <c r="A38293" s="258"/>
      <c r="Z38293" s="258"/>
    </row>
    <row r="38294" spans="1:26" ht="12.75" customHeight="1" x14ac:dyDescent="0.2">
      <c r="A38294" s="258"/>
      <c r="Z38294" s="258"/>
    </row>
    <row r="38295" spans="1:26" ht="12.75" customHeight="1" x14ac:dyDescent="0.2">
      <c r="A38295" s="258"/>
      <c r="Z38295" s="258"/>
    </row>
    <row r="38296" spans="1:26" ht="12.75" customHeight="1" x14ac:dyDescent="0.2">
      <c r="A38296" s="258"/>
      <c r="Z38296" s="258"/>
    </row>
    <row r="38297" spans="1:26" ht="12.75" customHeight="1" x14ac:dyDescent="0.2">
      <c r="A38297" s="258"/>
      <c r="Z38297" s="258"/>
    </row>
    <row r="38298" spans="1:26" ht="12.75" customHeight="1" x14ac:dyDescent="0.2">
      <c r="A38298" s="258"/>
      <c r="Z38298" s="258"/>
    </row>
    <row r="38299" spans="1:26" ht="12.75" customHeight="1" x14ac:dyDescent="0.2">
      <c r="A38299" s="258"/>
      <c r="Z38299" s="258"/>
    </row>
    <row r="38300" spans="1:26" ht="12.75" customHeight="1" x14ac:dyDescent="0.2">
      <c r="A38300" s="258"/>
      <c r="Z38300" s="258"/>
    </row>
    <row r="38301" spans="1:26" ht="12.75" customHeight="1" x14ac:dyDescent="0.2">
      <c r="A38301" s="258"/>
      <c r="Z38301" s="258"/>
    </row>
    <row r="38302" spans="1:26" ht="12.75" customHeight="1" x14ac:dyDescent="0.2">
      <c r="A38302" s="258"/>
      <c r="Z38302" s="258"/>
    </row>
    <row r="38303" spans="1:26" ht="12.75" customHeight="1" x14ac:dyDescent="0.2">
      <c r="A38303" s="258"/>
      <c r="Z38303" s="258"/>
    </row>
    <row r="38304" spans="1:26" ht="12.75" customHeight="1" x14ac:dyDescent="0.2">
      <c r="A38304" s="258"/>
      <c r="Z38304" s="258"/>
    </row>
    <row r="38305" spans="1:26" ht="12.75" customHeight="1" x14ac:dyDescent="0.2">
      <c r="A38305" s="258"/>
      <c r="Z38305" s="258"/>
    </row>
    <row r="38306" spans="1:26" ht="12.75" customHeight="1" x14ac:dyDescent="0.2">
      <c r="A38306" s="258"/>
      <c r="Z38306" s="258"/>
    </row>
    <row r="38307" spans="1:26" ht="12.75" customHeight="1" x14ac:dyDescent="0.2">
      <c r="A38307" s="258"/>
      <c r="Z38307" s="258"/>
    </row>
    <row r="38308" spans="1:26" ht="12.75" customHeight="1" x14ac:dyDescent="0.2">
      <c r="A38308" s="258"/>
      <c r="Z38308" s="258"/>
    </row>
    <row r="38309" spans="1:26" ht="12.75" customHeight="1" x14ac:dyDescent="0.2">
      <c r="A38309" s="258"/>
      <c r="Z38309" s="258"/>
    </row>
    <row r="38310" spans="1:26" ht="12.75" customHeight="1" x14ac:dyDescent="0.2">
      <c r="A38310" s="258"/>
      <c r="Z38310" s="258"/>
    </row>
    <row r="38311" spans="1:26" ht="12.75" customHeight="1" x14ac:dyDescent="0.2">
      <c r="A38311" s="258"/>
      <c r="Z38311" s="258"/>
    </row>
    <row r="38312" spans="1:26" ht="12.75" customHeight="1" x14ac:dyDescent="0.2">
      <c r="A38312" s="258"/>
      <c r="Z38312" s="258"/>
    </row>
    <row r="38313" spans="1:26" ht="12.75" customHeight="1" x14ac:dyDescent="0.2">
      <c r="A38313" s="258"/>
      <c r="Z38313" s="258"/>
    </row>
    <row r="38314" spans="1:26" ht="12.75" customHeight="1" x14ac:dyDescent="0.2">
      <c r="A38314" s="258"/>
      <c r="Z38314" s="258"/>
    </row>
    <row r="38315" spans="1:26" ht="12.75" customHeight="1" x14ac:dyDescent="0.2">
      <c r="A38315" s="258"/>
      <c r="Z38315" s="258"/>
    </row>
    <row r="38316" spans="1:26" ht="12.75" customHeight="1" x14ac:dyDescent="0.2">
      <c r="A38316" s="258"/>
      <c r="Z38316" s="258"/>
    </row>
    <row r="38317" spans="1:26" ht="12.75" customHeight="1" x14ac:dyDescent="0.2">
      <c r="A38317" s="258"/>
      <c r="Z38317" s="258"/>
    </row>
    <row r="38318" spans="1:26" ht="12.75" customHeight="1" x14ac:dyDescent="0.2">
      <c r="A38318" s="258"/>
      <c r="Z38318" s="258"/>
    </row>
    <row r="38319" spans="1:26" ht="12.75" customHeight="1" x14ac:dyDescent="0.2">
      <c r="A38319" s="258"/>
      <c r="Z38319" s="258"/>
    </row>
    <row r="38320" spans="1:26" ht="12.75" customHeight="1" x14ac:dyDescent="0.2">
      <c r="A38320" s="258"/>
      <c r="Z38320" s="258"/>
    </row>
    <row r="38321" spans="1:26" ht="12.75" customHeight="1" x14ac:dyDescent="0.2">
      <c r="A38321" s="258"/>
      <c r="Z38321" s="258"/>
    </row>
    <row r="38322" spans="1:26" ht="12.75" customHeight="1" x14ac:dyDescent="0.2">
      <c r="A38322" s="258"/>
      <c r="Z38322" s="258"/>
    </row>
    <row r="38323" spans="1:26" ht="12.75" customHeight="1" x14ac:dyDescent="0.2">
      <c r="A38323" s="258"/>
      <c r="Z38323" s="258"/>
    </row>
    <row r="38324" spans="1:26" ht="12.75" customHeight="1" x14ac:dyDescent="0.2">
      <c r="A38324" s="258"/>
      <c r="Z38324" s="258"/>
    </row>
    <row r="38325" spans="1:26" ht="12.75" customHeight="1" x14ac:dyDescent="0.2">
      <c r="A38325" s="258"/>
      <c r="Z38325" s="258"/>
    </row>
    <row r="38326" spans="1:26" ht="12.75" customHeight="1" x14ac:dyDescent="0.2">
      <c r="A38326" s="258"/>
      <c r="Z38326" s="258"/>
    </row>
    <row r="38327" spans="1:26" ht="12.75" customHeight="1" x14ac:dyDescent="0.2">
      <c r="A38327" s="258"/>
      <c r="Z38327" s="258"/>
    </row>
    <row r="38328" spans="1:26" ht="12.75" customHeight="1" x14ac:dyDescent="0.2">
      <c r="A38328" s="258"/>
      <c r="Z38328" s="258"/>
    </row>
    <row r="38329" spans="1:26" ht="12.75" customHeight="1" x14ac:dyDescent="0.2">
      <c r="A38329" s="258"/>
      <c r="Z38329" s="258"/>
    </row>
    <row r="38330" spans="1:26" ht="12.75" customHeight="1" x14ac:dyDescent="0.2">
      <c r="A38330" s="258"/>
      <c r="Z38330" s="258"/>
    </row>
    <row r="38331" spans="1:26" ht="12.75" customHeight="1" x14ac:dyDescent="0.2">
      <c r="A38331" s="258"/>
      <c r="Z38331" s="258"/>
    </row>
    <row r="38332" spans="1:26" ht="12.75" customHeight="1" x14ac:dyDescent="0.2">
      <c r="A38332" s="258"/>
      <c r="Z38332" s="258"/>
    </row>
    <row r="38333" spans="1:26" ht="12.75" customHeight="1" x14ac:dyDescent="0.2">
      <c r="A38333" s="258"/>
      <c r="Z38333" s="258"/>
    </row>
    <row r="38334" spans="1:26" ht="12.75" customHeight="1" x14ac:dyDescent="0.2">
      <c r="A38334" s="258"/>
      <c r="Z38334" s="258"/>
    </row>
    <row r="38335" spans="1:26" ht="12.75" customHeight="1" x14ac:dyDescent="0.2">
      <c r="A38335" s="258"/>
      <c r="Z38335" s="258"/>
    </row>
    <row r="38336" spans="1:26" ht="12.75" customHeight="1" x14ac:dyDescent="0.2">
      <c r="A38336" s="258"/>
      <c r="Z38336" s="258"/>
    </row>
    <row r="38337" spans="1:26" ht="12.75" customHeight="1" x14ac:dyDescent="0.2">
      <c r="A38337" s="258"/>
      <c r="Z38337" s="258"/>
    </row>
    <row r="38338" spans="1:26" ht="12.75" customHeight="1" x14ac:dyDescent="0.2">
      <c r="A38338" s="258"/>
      <c r="Z38338" s="258"/>
    </row>
    <row r="38339" spans="1:26" ht="12.75" customHeight="1" x14ac:dyDescent="0.2">
      <c r="A38339" s="258"/>
      <c r="Z38339" s="258"/>
    </row>
    <row r="38340" spans="1:26" ht="12.75" customHeight="1" x14ac:dyDescent="0.2">
      <c r="A38340" s="258"/>
      <c r="Z38340" s="258"/>
    </row>
    <row r="38341" spans="1:26" ht="12.75" customHeight="1" x14ac:dyDescent="0.2">
      <c r="A38341" s="258"/>
      <c r="Z38341" s="258"/>
    </row>
    <row r="38342" spans="1:26" ht="12.75" customHeight="1" x14ac:dyDescent="0.2">
      <c r="A38342" s="258"/>
      <c r="Z38342" s="258"/>
    </row>
    <row r="38343" spans="1:26" ht="12.75" customHeight="1" x14ac:dyDescent="0.2">
      <c r="A38343" s="258"/>
      <c r="Z38343" s="258"/>
    </row>
    <row r="38344" spans="1:26" ht="12.75" customHeight="1" x14ac:dyDescent="0.2">
      <c r="A38344" s="258"/>
      <c r="Z38344" s="258"/>
    </row>
    <row r="38345" spans="1:26" ht="12.75" customHeight="1" x14ac:dyDescent="0.2">
      <c r="A38345" s="258"/>
      <c r="Z38345" s="258"/>
    </row>
    <row r="38346" spans="1:26" ht="12.75" customHeight="1" x14ac:dyDescent="0.2">
      <c r="A38346" s="258"/>
      <c r="Z38346" s="258"/>
    </row>
    <row r="38347" spans="1:26" ht="12.75" customHeight="1" x14ac:dyDescent="0.2">
      <c r="A38347" s="258"/>
      <c r="Z38347" s="258"/>
    </row>
    <row r="38348" spans="1:26" ht="12.75" customHeight="1" x14ac:dyDescent="0.2">
      <c r="A38348" s="258"/>
      <c r="Z38348" s="258"/>
    </row>
    <row r="38349" spans="1:26" ht="12.75" customHeight="1" x14ac:dyDescent="0.2">
      <c r="A38349" s="258"/>
      <c r="Z38349" s="258"/>
    </row>
    <row r="38350" spans="1:26" ht="12.75" customHeight="1" x14ac:dyDescent="0.2">
      <c r="A38350" s="258"/>
      <c r="Z38350" s="258"/>
    </row>
    <row r="38351" spans="1:26" ht="12.75" customHeight="1" x14ac:dyDescent="0.2">
      <c r="A38351" s="258"/>
      <c r="Z38351" s="258"/>
    </row>
    <row r="38352" spans="1:26" ht="12.75" customHeight="1" x14ac:dyDescent="0.2">
      <c r="A38352" s="258"/>
      <c r="Z38352" s="258"/>
    </row>
    <row r="38353" spans="1:26" ht="12.75" customHeight="1" x14ac:dyDescent="0.2">
      <c r="A38353" s="258"/>
      <c r="Z38353" s="258"/>
    </row>
    <row r="38354" spans="1:26" ht="12.75" customHeight="1" x14ac:dyDescent="0.2">
      <c r="A38354" s="258"/>
      <c r="Z38354" s="258"/>
    </row>
    <row r="38355" spans="1:26" ht="12.75" customHeight="1" x14ac:dyDescent="0.2">
      <c r="A38355" s="258"/>
      <c r="Z38355" s="258"/>
    </row>
    <row r="38356" spans="1:26" ht="12.75" customHeight="1" x14ac:dyDescent="0.2">
      <c r="A38356" s="258"/>
      <c r="Z38356" s="258"/>
    </row>
    <row r="38357" spans="1:26" ht="12.75" customHeight="1" x14ac:dyDescent="0.2">
      <c r="A38357" s="258"/>
      <c r="Z38357" s="258"/>
    </row>
    <row r="38358" spans="1:26" ht="12.75" customHeight="1" x14ac:dyDescent="0.2">
      <c r="A38358" s="258"/>
      <c r="Z38358" s="258"/>
    </row>
    <row r="38359" spans="1:26" ht="12.75" customHeight="1" x14ac:dyDescent="0.2">
      <c r="A38359" s="258"/>
      <c r="Z38359" s="258"/>
    </row>
    <row r="38360" spans="1:26" ht="12.75" customHeight="1" x14ac:dyDescent="0.2">
      <c r="A38360" s="258"/>
      <c r="Z38360" s="258"/>
    </row>
    <row r="38361" spans="1:26" ht="12.75" customHeight="1" x14ac:dyDescent="0.2">
      <c r="A38361" s="258"/>
      <c r="Z38361" s="258"/>
    </row>
    <row r="38362" spans="1:26" ht="12.75" customHeight="1" x14ac:dyDescent="0.2">
      <c r="A38362" s="258"/>
      <c r="Z38362" s="258"/>
    </row>
    <row r="38363" spans="1:26" ht="12.75" customHeight="1" x14ac:dyDescent="0.2">
      <c r="A38363" s="258"/>
      <c r="Z38363" s="258"/>
    </row>
    <row r="38364" spans="1:26" ht="12.75" customHeight="1" x14ac:dyDescent="0.2">
      <c r="A38364" s="258"/>
      <c r="Z38364" s="258"/>
    </row>
    <row r="38365" spans="1:26" ht="12.75" customHeight="1" x14ac:dyDescent="0.2">
      <c r="A38365" s="258"/>
      <c r="Z38365" s="258"/>
    </row>
    <row r="38366" spans="1:26" ht="12.75" customHeight="1" x14ac:dyDescent="0.2">
      <c r="A38366" s="258"/>
      <c r="Z38366" s="258"/>
    </row>
    <row r="38367" spans="1:26" ht="12.75" customHeight="1" x14ac:dyDescent="0.2">
      <c r="A38367" s="258"/>
      <c r="Z38367" s="258"/>
    </row>
    <row r="38368" spans="1:26" ht="12.75" customHeight="1" x14ac:dyDescent="0.2">
      <c r="A38368" s="258"/>
      <c r="Z38368" s="258"/>
    </row>
    <row r="38369" spans="1:26" ht="12.75" customHeight="1" x14ac:dyDescent="0.2">
      <c r="A38369" s="258"/>
      <c r="Z38369" s="258"/>
    </row>
    <row r="38370" spans="1:26" ht="12.75" customHeight="1" x14ac:dyDescent="0.2">
      <c r="A38370" s="258"/>
      <c r="Z38370" s="258"/>
    </row>
    <row r="38371" spans="1:26" ht="12.75" customHeight="1" x14ac:dyDescent="0.2">
      <c r="A38371" s="258"/>
      <c r="Z38371" s="258"/>
    </row>
    <row r="38372" spans="1:26" ht="12.75" customHeight="1" x14ac:dyDescent="0.2">
      <c r="A38372" s="258"/>
      <c r="Z38372" s="258"/>
    </row>
    <row r="38373" spans="1:26" ht="12.75" customHeight="1" x14ac:dyDescent="0.2">
      <c r="A38373" s="258"/>
      <c r="Z38373" s="258"/>
    </row>
    <row r="38374" spans="1:26" ht="12.75" customHeight="1" x14ac:dyDescent="0.2">
      <c r="A38374" s="258"/>
      <c r="Z38374" s="258"/>
    </row>
    <row r="38375" spans="1:26" ht="12.75" customHeight="1" x14ac:dyDescent="0.2">
      <c r="A38375" s="258"/>
      <c r="Z38375" s="258"/>
    </row>
    <row r="38376" spans="1:26" ht="12.75" customHeight="1" x14ac:dyDescent="0.2">
      <c r="A38376" s="258"/>
      <c r="Z38376" s="258"/>
    </row>
    <row r="38377" spans="1:26" ht="12.75" customHeight="1" x14ac:dyDescent="0.2">
      <c r="A38377" s="258"/>
      <c r="Z38377" s="258"/>
    </row>
    <row r="38378" spans="1:26" ht="12.75" customHeight="1" x14ac:dyDescent="0.2">
      <c r="A38378" s="258"/>
      <c r="Z38378" s="258"/>
    </row>
    <row r="38379" spans="1:26" ht="12.75" customHeight="1" x14ac:dyDescent="0.2">
      <c r="A38379" s="258"/>
      <c r="Z38379" s="258"/>
    </row>
    <row r="38380" spans="1:26" ht="12.75" customHeight="1" x14ac:dyDescent="0.2">
      <c r="A38380" s="258"/>
      <c r="Z38380" s="258"/>
    </row>
    <row r="38381" spans="1:26" ht="12.75" customHeight="1" x14ac:dyDescent="0.2">
      <c r="A38381" s="258"/>
      <c r="Z38381" s="258"/>
    </row>
    <row r="38382" spans="1:26" ht="12.75" customHeight="1" x14ac:dyDescent="0.2">
      <c r="A38382" s="258"/>
      <c r="Z38382" s="258"/>
    </row>
    <row r="38383" spans="1:26" ht="12.75" customHeight="1" x14ac:dyDescent="0.2">
      <c r="A38383" s="258"/>
      <c r="Z38383" s="258"/>
    </row>
    <row r="38384" spans="1:26" ht="12.75" customHeight="1" x14ac:dyDescent="0.2">
      <c r="A38384" s="258"/>
      <c r="Z38384" s="258"/>
    </row>
    <row r="38385" spans="1:26" ht="12.75" customHeight="1" x14ac:dyDescent="0.2">
      <c r="A38385" s="258"/>
      <c r="Z38385" s="258"/>
    </row>
    <row r="38386" spans="1:26" ht="12.75" customHeight="1" x14ac:dyDescent="0.2">
      <c r="A38386" s="258"/>
      <c r="Z38386" s="258"/>
    </row>
    <row r="38387" spans="1:26" ht="12.75" customHeight="1" x14ac:dyDescent="0.2">
      <c r="A38387" s="258"/>
      <c r="Z38387" s="258"/>
    </row>
    <row r="38388" spans="1:26" ht="12.75" customHeight="1" x14ac:dyDescent="0.2">
      <c r="A38388" s="258"/>
      <c r="Z38388" s="258"/>
    </row>
    <row r="38389" spans="1:26" ht="12.75" customHeight="1" x14ac:dyDescent="0.2">
      <c r="A38389" s="258"/>
      <c r="Z38389" s="258"/>
    </row>
    <row r="38390" spans="1:26" ht="12.75" customHeight="1" x14ac:dyDescent="0.2">
      <c r="A38390" s="258"/>
      <c r="Z38390" s="258"/>
    </row>
    <row r="38391" spans="1:26" ht="12.75" customHeight="1" x14ac:dyDescent="0.2">
      <c r="A38391" s="258"/>
      <c r="Z38391" s="258"/>
    </row>
    <row r="38392" spans="1:26" ht="12.75" customHeight="1" x14ac:dyDescent="0.2">
      <c r="A38392" s="258"/>
      <c r="Z38392" s="258"/>
    </row>
    <row r="38393" spans="1:26" ht="12.75" customHeight="1" x14ac:dyDescent="0.2">
      <c r="A38393" s="258"/>
      <c r="Z38393" s="258"/>
    </row>
    <row r="38394" spans="1:26" ht="12.75" customHeight="1" x14ac:dyDescent="0.2">
      <c r="A38394" s="258"/>
      <c r="Z38394" s="258"/>
    </row>
    <row r="38395" spans="1:26" ht="12.75" customHeight="1" x14ac:dyDescent="0.2">
      <c r="A38395" s="258"/>
      <c r="Z38395" s="258"/>
    </row>
    <row r="38396" spans="1:26" ht="12.75" customHeight="1" x14ac:dyDescent="0.2">
      <c r="A38396" s="258"/>
      <c r="Z38396" s="258"/>
    </row>
    <row r="38397" spans="1:26" ht="12.75" customHeight="1" x14ac:dyDescent="0.2">
      <c r="A38397" s="258"/>
      <c r="Z38397" s="258"/>
    </row>
    <row r="38398" spans="1:26" ht="12.75" customHeight="1" x14ac:dyDescent="0.2">
      <c r="A38398" s="258"/>
      <c r="Z38398" s="258"/>
    </row>
    <row r="38399" spans="1:26" ht="12.75" customHeight="1" x14ac:dyDescent="0.2">
      <c r="A38399" s="258"/>
      <c r="Z38399" s="258"/>
    </row>
    <row r="38400" spans="1:26" ht="12.75" customHeight="1" x14ac:dyDescent="0.2">
      <c r="A38400" s="258"/>
      <c r="Z38400" s="258"/>
    </row>
    <row r="38401" spans="1:26" ht="12.75" customHeight="1" x14ac:dyDescent="0.2">
      <c r="A38401" s="258"/>
      <c r="Z38401" s="258"/>
    </row>
    <row r="38402" spans="1:26" ht="12.75" customHeight="1" x14ac:dyDescent="0.2">
      <c r="A38402" s="258"/>
      <c r="Z38402" s="258"/>
    </row>
    <row r="38403" spans="1:26" ht="12.75" customHeight="1" x14ac:dyDescent="0.2">
      <c r="A38403" s="258"/>
      <c r="Z38403" s="258"/>
    </row>
    <row r="38404" spans="1:26" ht="12.75" customHeight="1" x14ac:dyDescent="0.2">
      <c r="A38404" s="258"/>
      <c r="Z38404" s="258"/>
    </row>
    <row r="38405" spans="1:26" ht="12.75" customHeight="1" x14ac:dyDescent="0.2">
      <c r="A38405" s="258"/>
      <c r="Z38405" s="258"/>
    </row>
    <row r="38406" spans="1:26" ht="12.75" customHeight="1" x14ac:dyDescent="0.2">
      <c r="A38406" s="258"/>
      <c r="Z38406" s="258"/>
    </row>
    <row r="38407" spans="1:26" ht="12.75" customHeight="1" x14ac:dyDescent="0.2">
      <c r="A38407" s="258"/>
      <c r="Z38407" s="258"/>
    </row>
    <row r="38408" spans="1:26" ht="12.75" customHeight="1" x14ac:dyDescent="0.2">
      <c r="A38408" s="258"/>
      <c r="Z38408" s="258"/>
    </row>
    <row r="38409" spans="1:26" ht="12.75" customHeight="1" x14ac:dyDescent="0.2">
      <c r="A38409" s="258"/>
      <c r="Z38409" s="258"/>
    </row>
    <row r="38410" spans="1:26" ht="12.75" customHeight="1" x14ac:dyDescent="0.2">
      <c r="A38410" s="258"/>
      <c r="Z38410" s="258"/>
    </row>
    <row r="38411" spans="1:26" ht="12.75" customHeight="1" x14ac:dyDescent="0.2">
      <c r="A38411" s="258"/>
      <c r="Z38411" s="258"/>
    </row>
    <row r="38412" spans="1:26" ht="12.75" customHeight="1" x14ac:dyDescent="0.2">
      <c r="A38412" s="258"/>
      <c r="Z38412" s="258"/>
    </row>
    <row r="38413" spans="1:26" ht="12.75" customHeight="1" x14ac:dyDescent="0.2">
      <c r="A38413" s="258"/>
      <c r="Z38413" s="258"/>
    </row>
    <row r="38414" spans="1:26" ht="12.75" customHeight="1" x14ac:dyDescent="0.2">
      <c r="A38414" s="258"/>
      <c r="Z38414" s="258"/>
    </row>
    <row r="38415" spans="1:26" ht="12.75" customHeight="1" x14ac:dyDescent="0.2">
      <c r="A38415" s="258"/>
      <c r="Z38415" s="258"/>
    </row>
    <row r="38416" spans="1:26" ht="12.75" customHeight="1" x14ac:dyDescent="0.2">
      <c r="A38416" s="258"/>
      <c r="Z38416" s="258"/>
    </row>
    <row r="38417" spans="1:26" ht="12.75" customHeight="1" x14ac:dyDescent="0.2">
      <c r="A38417" s="258"/>
      <c r="Z38417" s="258"/>
    </row>
    <row r="38418" spans="1:26" ht="12.75" customHeight="1" x14ac:dyDescent="0.2">
      <c r="A38418" s="258"/>
      <c r="Z38418" s="258"/>
    </row>
    <row r="38419" spans="1:26" ht="12.75" customHeight="1" x14ac:dyDescent="0.2">
      <c r="A38419" s="258"/>
      <c r="Z38419" s="258"/>
    </row>
    <row r="38420" spans="1:26" ht="12.75" customHeight="1" x14ac:dyDescent="0.2">
      <c r="A38420" s="258"/>
      <c r="Z38420" s="258"/>
    </row>
    <row r="38421" spans="1:26" ht="12.75" customHeight="1" x14ac:dyDescent="0.2">
      <c r="A38421" s="258"/>
      <c r="Z38421" s="258"/>
    </row>
    <row r="38422" spans="1:26" ht="12.75" customHeight="1" x14ac:dyDescent="0.2">
      <c r="A38422" s="258"/>
      <c r="Z38422" s="258"/>
    </row>
    <row r="38423" spans="1:26" ht="12.75" customHeight="1" x14ac:dyDescent="0.2">
      <c r="A38423" s="258"/>
      <c r="Z38423" s="258"/>
    </row>
    <row r="38424" spans="1:26" ht="12.75" customHeight="1" x14ac:dyDescent="0.2">
      <c r="A38424" s="258"/>
      <c r="Z38424" s="258"/>
    </row>
    <row r="38425" spans="1:26" ht="12.75" customHeight="1" x14ac:dyDescent="0.2">
      <c r="A38425" s="258"/>
      <c r="Z38425" s="258"/>
    </row>
    <row r="38426" spans="1:26" ht="12.75" customHeight="1" x14ac:dyDescent="0.2">
      <c r="A38426" s="258"/>
      <c r="Z38426" s="258"/>
    </row>
    <row r="38427" spans="1:26" ht="12.75" customHeight="1" x14ac:dyDescent="0.2">
      <c r="A38427" s="258"/>
      <c r="Z38427" s="258"/>
    </row>
    <row r="38428" spans="1:26" ht="12.75" customHeight="1" x14ac:dyDescent="0.2">
      <c r="A38428" s="258"/>
      <c r="Z38428" s="258"/>
    </row>
    <row r="38429" spans="1:26" ht="12.75" customHeight="1" x14ac:dyDescent="0.2">
      <c r="A38429" s="258"/>
      <c r="Z38429" s="258"/>
    </row>
    <row r="38430" spans="1:26" ht="12.75" customHeight="1" x14ac:dyDescent="0.2">
      <c r="A38430" s="258"/>
      <c r="Z38430" s="258"/>
    </row>
    <row r="38431" spans="1:26" ht="12.75" customHeight="1" x14ac:dyDescent="0.2">
      <c r="A38431" s="258"/>
      <c r="Z38431" s="258"/>
    </row>
    <row r="38432" spans="1:26" ht="12.75" customHeight="1" x14ac:dyDescent="0.2">
      <c r="A38432" s="258"/>
      <c r="Z38432" s="258"/>
    </row>
    <row r="38433" spans="1:26" ht="12.75" customHeight="1" x14ac:dyDescent="0.2">
      <c r="A38433" s="258"/>
      <c r="Z38433" s="258"/>
    </row>
    <row r="38434" spans="1:26" ht="12.75" customHeight="1" x14ac:dyDescent="0.2">
      <c r="A38434" s="258"/>
      <c r="Z38434" s="258"/>
    </row>
    <row r="38435" spans="1:26" ht="12.75" customHeight="1" x14ac:dyDescent="0.2">
      <c r="A38435" s="258"/>
      <c r="Z38435" s="258"/>
    </row>
    <row r="38436" spans="1:26" ht="12.75" customHeight="1" x14ac:dyDescent="0.2">
      <c r="A38436" s="258"/>
      <c r="Z38436" s="258"/>
    </row>
    <row r="38437" spans="1:26" ht="12.75" customHeight="1" x14ac:dyDescent="0.2">
      <c r="A38437" s="258"/>
      <c r="Z38437" s="258"/>
    </row>
    <row r="38438" spans="1:26" ht="12.75" customHeight="1" x14ac:dyDescent="0.2">
      <c r="A38438" s="258"/>
      <c r="Z38438" s="258"/>
    </row>
    <row r="38439" spans="1:26" ht="12.75" customHeight="1" x14ac:dyDescent="0.2">
      <c r="A38439" s="258"/>
      <c r="Z38439" s="258"/>
    </row>
    <row r="38440" spans="1:26" ht="12.75" customHeight="1" x14ac:dyDescent="0.2">
      <c r="A38440" s="258"/>
      <c r="Z38440" s="258"/>
    </row>
    <row r="38441" spans="1:26" ht="12.75" customHeight="1" x14ac:dyDescent="0.2">
      <c r="A38441" s="258"/>
      <c r="Z38441" s="258"/>
    </row>
    <row r="38442" spans="1:26" ht="12.75" customHeight="1" x14ac:dyDescent="0.2">
      <c r="A38442" s="258"/>
      <c r="Z38442" s="258"/>
    </row>
    <row r="38443" spans="1:26" ht="12.75" customHeight="1" x14ac:dyDescent="0.2">
      <c r="A38443" s="258"/>
      <c r="Z38443" s="258"/>
    </row>
    <row r="38444" spans="1:26" ht="12.75" customHeight="1" x14ac:dyDescent="0.2">
      <c r="A38444" s="258"/>
      <c r="Z38444" s="258"/>
    </row>
    <row r="38445" spans="1:26" ht="12.75" customHeight="1" x14ac:dyDescent="0.2">
      <c r="A38445" s="258"/>
      <c r="Z38445" s="258"/>
    </row>
    <row r="38446" spans="1:26" ht="12.75" customHeight="1" x14ac:dyDescent="0.2">
      <c r="A38446" s="258"/>
      <c r="Z38446" s="258"/>
    </row>
    <row r="38447" spans="1:26" ht="12.75" customHeight="1" x14ac:dyDescent="0.2">
      <c r="A38447" s="258"/>
      <c r="Z38447" s="258"/>
    </row>
    <row r="38448" spans="1:26" ht="12.75" customHeight="1" x14ac:dyDescent="0.2">
      <c r="A38448" s="258"/>
      <c r="Z38448" s="258"/>
    </row>
    <row r="38449" spans="1:26" ht="12.75" customHeight="1" x14ac:dyDescent="0.2">
      <c r="A38449" s="258"/>
      <c r="Z38449" s="258"/>
    </row>
    <row r="38450" spans="1:26" ht="12.75" customHeight="1" x14ac:dyDescent="0.2">
      <c r="A38450" s="258"/>
      <c r="Z38450" s="258"/>
    </row>
    <row r="38451" spans="1:26" ht="12.75" customHeight="1" x14ac:dyDescent="0.2">
      <c r="A38451" s="258"/>
      <c r="Z38451" s="258"/>
    </row>
    <row r="38452" spans="1:26" ht="12.75" customHeight="1" x14ac:dyDescent="0.2">
      <c r="A38452" s="258"/>
      <c r="Z38452" s="258"/>
    </row>
    <row r="38453" spans="1:26" ht="12.75" customHeight="1" x14ac:dyDescent="0.2">
      <c r="A38453" s="258"/>
      <c r="Z38453" s="258"/>
    </row>
    <row r="38454" spans="1:26" ht="12.75" customHeight="1" x14ac:dyDescent="0.2">
      <c r="A38454" s="258"/>
      <c r="Z38454" s="258"/>
    </row>
    <row r="38455" spans="1:26" ht="12.75" customHeight="1" x14ac:dyDescent="0.2">
      <c r="A38455" s="258"/>
      <c r="Z38455" s="258"/>
    </row>
    <row r="38456" spans="1:26" ht="12.75" customHeight="1" x14ac:dyDescent="0.2">
      <c r="A38456" s="258"/>
      <c r="Z38456" s="258"/>
    </row>
    <row r="38457" spans="1:26" ht="12.75" customHeight="1" x14ac:dyDescent="0.2">
      <c r="A38457" s="258"/>
      <c r="Z38457" s="258"/>
    </row>
    <row r="38458" spans="1:26" ht="12.75" customHeight="1" x14ac:dyDescent="0.2">
      <c r="A38458" s="258"/>
      <c r="Z38458" s="258"/>
    </row>
    <row r="38459" spans="1:26" ht="12.75" customHeight="1" x14ac:dyDescent="0.2">
      <c r="A38459" s="258"/>
      <c r="Z38459" s="258"/>
    </row>
    <row r="38460" spans="1:26" ht="12.75" customHeight="1" x14ac:dyDescent="0.2">
      <c r="A38460" s="258"/>
      <c r="Z38460" s="258"/>
    </row>
    <row r="38461" spans="1:26" ht="12.75" customHeight="1" x14ac:dyDescent="0.2">
      <c r="A38461" s="258"/>
      <c r="Z38461" s="258"/>
    </row>
    <row r="38462" spans="1:26" ht="12.75" customHeight="1" x14ac:dyDescent="0.2">
      <c r="A38462" s="258"/>
      <c r="Z38462" s="258"/>
    </row>
    <row r="38463" spans="1:26" ht="12.75" customHeight="1" x14ac:dyDescent="0.2">
      <c r="A38463" s="258"/>
      <c r="Z38463" s="258"/>
    </row>
    <row r="38464" spans="1:26" ht="12.75" customHeight="1" x14ac:dyDescent="0.2">
      <c r="A38464" s="258"/>
      <c r="Z38464" s="258"/>
    </row>
    <row r="38465" spans="1:26" ht="12.75" customHeight="1" x14ac:dyDescent="0.2">
      <c r="A38465" s="258"/>
      <c r="Z38465" s="258"/>
    </row>
    <row r="38466" spans="1:26" ht="12.75" customHeight="1" x14ac:dyDescent="0.2">
      <c r="A38466" s="258"/>
      <c r="Z38466" s="258"/>
    </row>
    <row r="38467" spans="1:26" ht="12.75" customHeight="1" x14ac:dyDescent="0.2">
      <c r="A38467" s="258"/>
      <c r="Z38467" s="258"/>
    </row>
    <row r="38468" spans="1:26" ht="12.75" customHeight="1" x14ac:dyDescent="0.2">
      <c r="A38468" s="258"/>
      <c r="Z38468" s="258"/>
    </row>
    <row r="38469" spans="1:26" ht="12.75" customHeight="1" x14ac:dyDescent="0.2">
      <c r="A38469" s="258"/>
      <c r="Z38469" s="258"/>
    </row>
    <row r="38470" spans="1:26" ht="12.75" customHeight="1" x14ac:dyDescent="0.2">
      <c r="A38470" s="258"/>
      <c r="Z38470" s="258"/>
    </row>
    <row r="38471" spans="1:26" ht="12.75" customHeight="1" x14ac:dyDescent="0.2">
      <c r="A38471" s="258"/>
      <c r="Z38471" s="258"/>
    </row>
    <row r="38472" spans="1:26" ht="12.75" customHeight="1" x14ac:dyDescent="0.2">
      <c r="A38472" s="258"/>
      <c r="Z38472" s="258"/>
    </row>
    <row r="38473" spans="1:26" ht="12.75" customHeight="1" x14ac:dyDescent="0.2">
      <c r="A38473" s="258"/>
      <c r="Z38473" s="258"/>
    </row>
    <row r="38474" spans="1:26" ht="12.75" customHeight="1" x14ac:dyDescent="0.2">
      <c r="A38474" s="258"/>
      <c r="Z38474" s="258"/>
    </row>
    <row r="38475" spans="1:26" ht="12.75" customHeight="1" x14ac:dyDescent="0.2">
      <c r="A38475" s="258"/>
      <c r="Z38475" s="258"/>
    </row>
    <row r="38476" spans="1:26" ht="12.75" customHeight="1" x14ac:dyDescent="0.2">
      <c r="A38476" s="258"/>
      <c r="Z38476" s="258"/>
    </row>
    <row r="38477" spans="1:26" ht="12.75" customHeight="1" x14ac:dyDescent="0.2">
      <c r="A38477" s="258"/>
      <c r="Z38477" s="258"/>
    </row>
    <row r="38478" spans="1:26" ht="12.75" customHeight="1" x14ac:dyDescent="0.2">
      <c r="A38478" s="258"/>
      <c r="Z38478" s="258"/>
    </row>
    <row r="38479" spans="1:26" ht="12.75" customHeight="1" x14ac:dyDescent="0.2">
      <c r="A38479" s="258"/>
      <c r="Z38479" s="258"/>
    </row>
    <row r="38480" spans="1:26" ht="12.75" customHeight="1" x14ac:dyDescent="0.2">
      <c r="A38480" s="258"/>
      <c r="Z38480" s="258"/>
    </row>
    <row r="38481" spans="1:26" ht="12.75" customHeight="1" x14ac:dyDescent="0.2">
      <c r="A38481" s="258"/>
      <c r="Z38481" s="258"/>
    </row>
    <row r="38482" spans="1:26" ht="12.75" customHeight="1" x14ac:dyDescent="0.2">
      <c r="A38482" s="258"/>
      <c r="Z38482" s="258"/>
    </row>
    <row r="38483" spans="1:26" ht="12.75" customHeight="1" x14ac:dyDescent="0.2">
      <c r="A38483" s="258"/>
      <c r="Z38483" s="258"/>
    </row>
    <row r="38484" spans="1:26" ht="12.75" customHeight="1" x14ac:dyDescent="0.2">
      <c r="A38484" s="258"/>
      <c r="Z38484" s="258"/>
    </row>
    <row r="38485" spans="1:26" ht="12.75" customHeight="1" x14ac:dyDescent="0.2">
      <c r="A38485" s="258"/>
      <c r="Z38485" s="258"/>
    </row>
    <row r="38486" spans="1:26" ht="12.75" customHeight="1" x14ac:dyDescent="0.2">
      <c r="A38486" s="258"/>
      <c r="Z38486" s="258"/>
    </row>
    <row r="38487" spans="1:26" ht="12.75" customHeight="1" x14ac:dyDescent="0.2">
      <c r="A38487" s="258"/>
      <c r="Z38487" s="258"/>
    </row>
    <row r="38488" spans="1:26" ht="12.75" customHeight="1" x14ac:dyDescent="0.2">
      <c r="A38488" s="258"/>
      <c r="Z38488" s="258"/>
    </row>
    <row r="38489" spans="1:26" ht="12.75" customHeight="1" x14ac:dyDescent="0.2">
      <c r="A38489" s="258"/>
      <c r="Z38489" s="258"/>
    </row>
    <row r="38490" spans="1:26" ht="12.75" customHeight="1" x14ac:dyDescent="0.2">
      <c r="A38490" s="258"/>
      <c r="Z38490" s="258"/>
    </row>
    <row r="38491" spans="1:26" ht="12.75" customHeight="1" x14ac:dyDescent="0.2">
      <c r="A38491" s="258"/>
      <c r="Z38491" s="258"/>
    </row>
    <row r="38492" spans="1:26" ht="12.75" customHeight="1" x14ac:dyDescent="0.2">
      <c r="A38492" s="258"/>
      <c r="Z38492" s="258"/>
    </row>
    <row r="38493" spans="1:26" ht="12.75" customHeight="1" x14ac:dyDescent="0.2">
      <c r="A38493" s="258"/>
      <c r="Z38493" s="258"/>
    </row>
    <row r="38494" spans="1:26" ht="12.75" customHeight="1" x14ac:dyDescent="0.2">
      <c r="A38494" s="258"/>
      <c r="Z38494" s="258"/>
    </row>
    <row r="38495" spans="1:26" ht="12.75" customHeight="1" x14ac:dyDescent="0.2">
      <c r="A38495" s="258"/>
      <c r="Z38495" s="258"/>
    </row>
    <row r="38496" spans="1:26" ht="12.75" customHeight="1" x14ac:dyDescent="0.2">
      <c r="A38496" s="258"/>
      <c r="Z38496" s="258"/>
    </row>
    <row r="38497" spans="1:26" ht="12.75" customHeight="1" x14ac:dyDescent="0.2">
      <c r="A38497" s="258"/>
      <c r="Z38497" s="258"/>
    </row>
    <row r="38498" spans="1:26" ht="12.75" customHeight="1" x14ac:dyDescent="0.2">
      <c r="A38498" s="258"/>
      <c r="Z38498" s="258"/>
    </row>
    <row r="38499" spans="1:26" ht="12.75" customHeight="1" x14ac:dyDescent="0.2">
      <c r="A38499" s="258"/>
      <c r="Z38499" s="258"/>
    </row>
    <row r="38500" spans="1:26" ht="12.75" customHeight="1" x14ac:dyDescent="0.2">
      <c r="A38500" s="258"/>
      <c r="Z38500" s="258"/>
    </row>
    <row r="38501" spans="1:26" ht="12.75" customHeight="1" x14ac:dyDescent="0.2">
      <c r="A38501" s="258"/>
      <c r="Z38501" s="258"/>
    </row>
    <row r="38502" spans="1:26" ht="12.75" customHeight="1" x14ac:dyDescent="0.2">
      <c r="A38502" s="258"/>
      <c r="Z38502" s="258"/>
    </row>
    <row r="38503" spans="1:26" ht="12.75" customHeight="1" x14ac:dyDescent="0.2">
      <c r="A38503" s="258"/>
      <c r="Z38503" s="258"/>
    </row>
    <row r="38504" spans="1:26" ht="12.75" customHeight="1" x14ac:dyDescent="0.2">
      <c r="A38504" s="258"/>
      <c r="Z38504" s="258"/>
    </row>
    <row r="38505" spans="1:26" ht="12.75" customHeight="1" x14ac:dyDescent="0.2">
      <c r="A38505" s="258"/>
      <c r="Z38505" s="258"/>
    </row>
    <row r="38506" spans="1:26" ht="12.75" customHeight="1" x14ac:dyDescent="0.2">
      <c r="A38506" s="258"/>
      <c r="Z38506" s="258"/>
    </row>
    <row r="38507" spans="1:26" ht="12.75" customHeight="1" x14ac:dyDescent="0.2">
      <c r="A38507" s="258"/>
      <c r="Z38507" s="258"/>
    </row>
    <row r="38508" spans="1:26" ht="12.75" customHeight="1" x14ac:dyDescent="0.2">
      <c r="A38508" s="258"/>
      <c r="Z38508" s="258"/>
    </row>
    <row r="38509" spans="1:26" ht="12.75" customHeight="1" x14ac:dyDescent="0.2">
      <c r="A38509" s="258"/>
      <c r="Z38509" s="258"/>
    </row>
    <row r="38510" spans="1:26" ht="12.75" customHeight="1" x14ac:dyDescent="0.2">
      <c r="A38510" s="258"/>
      <c r="Z38510" s="258"/>
    </row>
    <row r="38511" spans="1:26" ht="12.75" customHeight="1" x14ac:dyDescent="0.2">
      <c r="A38511" s="258"/>
      <c r="Z38511" s="258"/>
    </row>
    <row r="38512" spans="1:26" ht="12.75" customHeight="1" x14ac:dyDescent="0.2">
      <c r="A38512" s="258"/>
      <c r="Z38512" s="258"/>
    </row>
    <row r="38513" spans="1:26" ht="12.75" customHeight="1" x14ac:dyDescent="0.2">
      <c r="A38513" s="258"/>
      <c r="Z38513" s="258"/>
    </row>
    <row r="38514" spans="1:26" ht="12.75" customHeight="1" x14ac:dyDescent="0.2">
      <c r="A38514" s="258"/>
      <c r="Z38514" s="258"/>
    </row>
    <row r="38515" spans="1:26" ht="12.75" customHeight="1" x14ac:dyDescent="0.2">
      <c r="A38515" s="258"/>
      <c r="Z38515" s="258"/>
    </row>
    <row r="38516" spans="1:26" ht="12.75" customHeight="1" x14ac:dyDescent="0.2">
      <c r="A38516" s="258"/>
      <c r="Z38516" s="258"/>
    </row>
    <row r="38517" spans="1:26" ht="12.75" customHeight="1" x14ac:dyDescent="0.2">
      <c r="A38517" s="258"/>
      <c r="Z38517" s="258"/>
    </row>
    <row r="38518" spans="1:26" ht="12.75" customHeight="1" x14ac:dyDescent="0.2">
      <c r="A38518" s="258"/>
      <c r="Z38518" s="258"/>
    </row>
    <row r="38519" spans="1:26" ht="12.75" customHeight="1" x14ac:dyDescent="0.2">
      <c r="A38519" s="258"/>
      <c r="Z38519" s="258"/>
    </row>
    <row r="38520" spans="1:26" ht="12.75" customHeight="1" x14ac:dyDescent="0.2">
      <c r="A38520" s="258"/>
      <c r="Z38520" s="258"/>
    </row>
    <row r="38521" spans="1:26" ht="12.75" customHeight="1" x14ac:dyDescent="0.2">
      <c r="A38521" s="258"/>
      <c r="Z38521" s="258"/>
    </row>
    <row r="38522" spans="1:26" ht="12.75" customHeight="1" x14ac:dyDescent="0.2">
      <c r="A38522" s="258"/>
      <c r="Z38522" s="258"/>
    </row>
    <row r="38523" spans="1:26" ht="12.75" customHeight="1" x14ac:dyDescent="0.2">
      <c r="A38523" s="258"/>
      <c r="Z38523" s="258"/>
    </row>
    <row r="38524" spans="1:26" ht="12.75" customHeight="1" x14ac:dyDescent="0.2">
      <c r="A38524" s="258"/>
      <c r="Z38524" s="258"/>
    </row>
    <row r="38525" spans="1:26" ht="12.75" customHeight="1" x14ac:dyDescent="0.2">
      <c r="A38525" s="258"/>
      <c r="Z38525" s="258"/>
    </row>
    <row r="38526" spans="1:26" ht="12.75" customHeight="1" x14ac:dyDescent="0.2">
      <c r="A38526" s="258"/>
      <c r="Z38526" s="258"/>
    </row>
    <row r="38527" spans="1:26" ht="12.75" customHeight="1" x14ac:dyDescent="0.2">
      <c r="A38527" s="258"/>
      <c r="Z38527" s="258"/>
    </row>
    <row r="38528" spans="1:26" ht="12.75" customHeight="1" x14ac:dyDescent="0.2">
      <c r="A38528" s="258"/>
      <c r="Z38528" s="258"/>
    </row>
    <row r="38529" spans="1:26" ht="12.75" customHeight="1" x14ac:dyDescent="0.2">
      <c r="A38529" s="258"/>
      <c r="Z38529" s="258"/>
    </row>
    <row r="38530" spans="1:26" ht="12.75" customHeight="1" x14ac:dyDescent="0.2">
      <c r="A38530" s="258"/>
      <c r="Z38530" s="258"/>
    </row>
    <row r="38531" spans="1:26" ht="12.75" customHeight="1" x14ac:dyDescent="0.2">
      <c r="A38531" s="258"/>
      <c r="Z38531" s="258"/>
    </row>
    <row r="38532" spans="1:26" ht="12.75" customHeight="1" x14ac:dyDescent="0.2">
      <c r="A38532" s="258"/>
      <c r="Z38532" s="258"/>
    </row>
    <row r="38533" spans="1:26" ht="12.75" customHeight="1" x14ac:dyDescent="0.2">
      <c r="A38533" s="258"/>
      <c r="Z38533" s="258"/>
    </row>
    <row r="38534" spans="1:26" ht="12.75" customHeight="1" x14ac:dyDescent="0.2">
      <c r="A38534" s="258"/>
      <c r="Z38534" s="258"/>
    </row>
    <row r="38535" spans="1:26" ht="12.75" customHeight="1" x14ac:dyDescent="0.2">
      <c r="A38535" s="258"/>
      <c r="Z38535" s="258"/>
    </row>
    <row r="38536" spans="1:26" ht="12.75" customHeight="1" x14ac:dyDescent="0.2">
      <c r="A38536" s="258"/>
      <c r="Z38536" s="258"/>
    </row>
    <row r="38537" spans="1:26" ht="12.75" customHeight="1" x14ac:dyDescent="0.2">
      <c r="A38537" s="258"/>
      <c r="Z38537" s="258"/>
    </row>
    <row r="38538" spans="1:26" ht="12.75" customHeight="1" x14ac:dyDescent="0.2">
      <c r="A38538" s="258"/>
      <c r="Z38538" s="258"/>
    </row>
    <row r="38539" spans="1:26" ht="12.75" customHeight="1" x14ac:dyDescent="0.2">
      <c r="A38539" s="258"/>
      <c r="Z38539" s="258"/>
    </row>
    <row r="38540" spans="1:26" ht="12.75" customHeight="1" x14ac:dyDescent="0.2">
      <c r="A38540" s="258"/>
      <c r="Z38540" s="258"/>
    </row>
    <row r="38541" spans="1:26" ht="12.75" customHeight="1" x14ac:dyDescent="0.2">
      <c r="A38541" s="258"/>
      <c r="Z38541" s="258"/>
    </row>
    <row r="38542" spans="1:26" ht="12.75" customHeight="1" x14ac:dyDescent="0.2">
      <c r="A38542" s="258"/>
      <c r="Z38542" s="258"/>
    </row>
    <row r="38543" spans="1:26" ht="12.75" customHeight="1" x14ac:dyDescent="0.2">
      <c r="A38543" s="258"/>
      <c r="Z38543" s="258"/>
    </row>
    <row r="38544" spans="1:26" ht="12.75" customHeight="1" x14ac:dyDescent="0.2">
      <c r="A38544" s="258"/>
      <c r="Z38544" s="258"/>
    </row>
    <row r="38545" spans="1:26" ht="12.75" customHeight="1" x14ac:dyDescent="0.2">
      <c r="A38545" s="258"/>
      <c r="Z38545" s="258"/>
    </row>
    <row r="38546" spans="1:26" ht="12.75" customHeight="1" x14ac:dyDescent="0.2">
      <c r="A38546" s="258"/>
      <c r="Z38546" s="258"/>
    </row>
    <row r="38547" spans="1:26" ht="12.75" customHeight="1" x14ac:dyDescent="0.2">
      <c r="A38547" s="258"/>
      <c r="Z38547" s="258"/>
    </row>
    <row r="38548" spans="1:26" ht="12.75" customHeight="1" x14ac:dyDescent="0.2">
      <c r="A38548" s="258"/>
      <c r="Z38548" s="258"/>
    </row>
    <row r="38549" spans="1:26" ht="12.75" customHeight="1" x14ac:dyDescent="0.2">
      <c r="A38549" s="258"/>
      <c r="Z38549" s="258"/>
    </row>
    <row r="38550" spans="1:26" ht="12.75" customHeight="1" x14ac:dyDescent="0.2">
      <c r="A38550" s="258"/>
      <c r="Z38550" s="258"/>
    </row>
    <row r="38551" spans="1:26" ht="12.75" customHeight="1" x14ac:dyDescent="0.2">
      <c r="A38551" s="258"/>
      <c r="Z38551" s="258"/>
    </row>
    <row r="38552" spans="1:26" ht="12.75" customHeight="1" x14ac:dyDescent="0.2">
      <c r="A38552" s="258"/>
      <c r="Z38552" s="258"/>
    </row>
    <row r="38553" spans="1:26" ht="12.75" customHeight="1" x14ac:dyDescent="0.2">
      <c r="A38553" s="258"/>
      <c r="Z38553" s="258"/>
    </row>
    <row r="38554" spans="1:26" ht="12.75" customHeight="1" x14ac:dyDescent="0.2">
      <c r="A38554" s="258"/>
      <c r="Z38554" s="258"/>
    </row>
    <row r="38555" spans="1:26" ht="12.75" customHeight="1" x14ac:dyDescent="0.2">
      <c r="A38555" s="258"/>
      <c r="Z38555" s="258"/>
    </row>
    <row r="38556" spans="1:26" ht="12.75" customHeight="1" x14ac:dyDescent="0.2">
      <c r="A38556" s="258"/>
      <c r="Z38556" s="258"/>
    </row>
    <row r="38557" spans="1:26" ht="12.75" customHeight="1" x14ac:dyDescent="0.2">
      <c r="A38557" s="258"/>
      <c r="Z38557" s="258"/>
    </row>
    <row r="38558" spans="1:26" ht="12.75" customHeight="1" x14ac:dyDescent="0.2">
      <c r="A38558" s="258"/>
      <c r="Z38558" s="258"/>
    </row>
    <row r="38559" spans="1:26" ht="12.75" customHeight="1" x14ac:dyDescent="0.2">
      <c r="A38559" s="258"/>
      <c r="Z38559" s="258"/>
    </row>
    <row r="38560" spans="1:26" ht="12.75" customHeight="1" x14ac:dyDescent="0.2">
      <c r="A38560" s="258"/>
      <c r="Z38560" s="258"/>
    </row>
    <row r="38561" spans="1:26" ht="12.75" customHeight="1" x14ac:dyDescent="0.2">
      <c r="A38561" s="258"/>
      <c r="Z38561" s="258"/>
    </row>
    <row r="38562" spans="1:26" ht="12.75" customHeight="1" x14ac:dyDescent="0.2">
      <c r="A38562" s="258"/>
      <c r="Z38562" s="258"/>
    </row>
    <row r="38563" spans="1:26" ht="12.75" customHeight="1" x14ac:dyDescent="0.2">
      <c r="A38563" s="258"/>
      <c r="Z38563" s="258"/>
    </row>
    <row r="38564" spans="1:26" ht="12.75" customHeight="1" x14ac:dyDescent="0.2">
      <c r="A38564" s="258"/>
      <c r="Z38564" s="258"/>
    </row>
    <row r="38565" spans="1:26" ht="12.75" customHeight="1" x14ac:dyDescent="0.2">
      <c r="A38565" s="258"/>
      <c r="Z38565" s="258"/>
    </row>
    <row r="38566" spans="1:26" ht="12.75" customHeight="1" x14ac:dyDescent="0.2">
      <c r="A38566" s="258"/>
      <c r="Z38566" s="258"/>
    </row>
    <row r="38567" spans="1:26" ht="12.75" customHeight="1" x14ac:dyDescent="0.2">
      <c r="A38567" s="258"/>
      <c r="Z38567" s="258"/>
    </row>
    <row r="38568" spans="1:26" ht="12.75" customHeight="1" x14ac:dyDescent="0.2">
      <c r="A38568" s="258"/>
      <c r="Z38568" s="258"/>
    </row>
    <row r="38569" spans="1:26" ht="12.75" customHeight="1" x14ac:dyDescent="0.2">
      <c r="A38569" s="258"/>
      <c r="Z38569" s="258"/>
    </row>
    <row r="38570" spans="1:26" ht="12.75" customHeight="1" x14ac:dyDescent="0.2">
      <c r="A38570" s="258"/>
      <c r="Z38570" s="258"/>
    </row>
    <row r="38571" spans="1:26" ht="12.75" customHeight="1" x14ac:dyDescent="0.2">
      <c r="A38571" s="258"/>
      <c r="Z38571" s="258"/>
    </row>
    <row r="38572" spans="1:26" ht="12.75" customHeight="1" x14ac:dyDescent="0.2">
      <c r="A38572" s="258"/>
      <c r="Z38572" s="258"/>
    </row>
    <row r="38573" spans="1:26" ht="12.75" customHeight="1" x14ac:dyDescent="0.2">
      <c r="A38573" s="258"/>
      <c r="Z38573" s="258"/>
    </row>
    <row r="38574" spans="1:26" ht="12.75" customHeight="1" x14ac:dyDescent="0.2">
      <c r="A38574" s="258"/>
      <c r="Z38574" s="258"/>
    </row>
    <row r="38575" spans="1:26" ht="12.75" customHeight="1" x14ac:dyDescent="0.2">
      <c r="A38575" s="258"/>
      <c r="Z38575" s="258"/>
    </row>
    <row r="38576" spans="1:26" ht="12.75" customHeight="1" x14ac:dyDescent="0.2">
      <c r="A38576" s="258"/>
      <c r="Z38576" s="258"/>
    </row>
    <row r="38577" spans="1:26" ht="12.75" customHeight="1" x14ac:dyDescent="0.2">
      <c r="A38577" s="258"/>
      <c r="Z38577" s="258"/>
    </row>
    <row r="38578" spans="1:26" ht="12.75" customHeight="1" x14ac:dyDescent="0.2">
      <c r="A38578" s="258"/>
      <c r="Z38578" s="258"/>
    </row>
    <row r="38579" spans="1:26" ht="12.75" customHeight="1" x14ac:dyDescent="0.2">
      <c r="A38579" s="258"/>
      <c r="Z38579" s="258"/>
    </row>
    <row r="38580" spans="1:26" ht="12.75" customHeight="1" x14ac:dyDescent="0.2">
      <c r="A38580" s="258"/>
      <c r="Z38580" s="258"/>
    </row>
    <row r="38581" spans="1:26" ht="12.75" customHeight="1" x14ac:dyDescent="0.2">
      <c r="A38581" s="258"/>
      <c r="Z38581" s="258"/>
    </row>
    <row r="38582" spans="1:26" ht="12.75" customHeight="1" x14ac:dyDescent="0.2">
      <c r="A38582" s="258"/>
      <c r="Z38582" s="258"/>
    </row>
    <row r="38583" spans="1:26" ht="12.75" customHeight="1" x14ac:dyDescent="0.2">
      <c r="A38583" s="258"/>
      <c r="Z38583" s="258"/>
    </row>
    <row r="38584" spans="1:26" ht="12.75" customHeight="1" x14ac:dyDescent="0.2">
      <c r="A38584" s="258"/>
      <c r="Z38584" s="258"/>
    </row>
    <row r="38585" spans="1:26" ht="12.75" customHeight="1" x14ac:dyDescent="0.2">
      <c r="A38585" s="258"/>
      <c r="Z38585" s="258"/>
    </row>
    <row r="38586" spans="1:26" ht="12.75" customHeight="1" x14ac:dyDescent="0.2">
      <c r="A38586" s="258"/>
      <c r="Z38586" s="258"/>
    </row>
    <row r="38587" spans="1:26" ht="12.75" customHeight="1" x14ac:dyDescent="0.2">
      <c r="A38587" s="258"/>
      <c r="Z38587" s="258"/>
    </row>
    <row r="38588" spans="1:26" ht="12.75" customHeight="1" x14ac:dyDescent="0.2">
      <c r="A38588" s="258"/>
      <c r="Z38588" s="258"/>
    </row>
    <row r="38589" spans="1:26" ht="12.75" customHeight="1" x14ac:dyDescent="0.2">
      <c r="A38589" s="258"/>
      <c r="Z38589" s="258"/>
    </row>
    <row r="38590" spans="1:26" ht="12.75" customHeight="1" x14ac:dyDescent="0.2">
      <c r="A38590" s="258"/>
      <c r="Z38590" s="258"/>
    </row>
    <row r="38591" spans="1:26" ht="12.75" customHeight="1" x14ac:dyDescent="0.2">
      <c r="A38591" s="258"/>
      <c r="Z38591" s="258"/>
    </row>
    <row r="38592" spans="1:26" ht="12.75" customHeight="1" x14ac:dyDescent="0.2">
      <c r="A38592" s="258"/>
      <c r="Z38592" s="258"/>
    </row>
    <row r="38593" spans="1:26" ht="12.75" customHeight="1" x14ac:dyDescent="0.2">
      <c r="A38593" s="258"/>
      <c r="Z38593" s="258"/>
    </row>
    <row r="38594" spans="1:26" ht="12.75" customHeight="1" x14ac:dyDescent="0.2">
      <c r="A38594" s="258"/>
      <c r="Z38594" s="258"/>
    </row>
    <row r="38595" spans="1:26" ht="12.75" customHeight="1" x14ac:dyDescent="0.2">
      <c r="A38595" s="258"/>
      <c r="Z38595" s="258"/>
    </row>
    <row r="38596" spans="1:26" ht="12.75" customHeight="1" x14ac:dyDescent="0.2">
      <c r="A38596" s="258"/>
      <c r="Z38596" s="258"/>
    </row>
    <row r="38597" spans="1:26" ht="12.75" customHeight="1" x14ac:dyDescent="0.2">
      <c r="A38597" s="258"/>
      <c r="Z38597" s="258"/>
    </row>
    <row r="38598" spans="1:26" ht="12.75" customHeight="1" x14ac:dyDescent="0.2">
      <c r="A38598" s="258"/>
      <c r="Z38598" s="258"/>
    </row>
    <row r="38599" spans="1:26" ht="12.75" customHeight="1" x14ac:dyDescent="0.2">
      <c r="A38599" s="258"/>
      <c r="Z38599" s="258"/>
    </row>
    <row r="38600" spans="1:26" ht="12.75" customHeight="1" x14ac:dyDescent="0.2">
      <c r="A38600" s="258"/>
      <c r="Z38600" s="258"/>
    </row>
    <row r="38601" spans="1:26" ht="12.75" customHeight="1" x14ac:dyDescent="0.2">
      <c r="A38601" s="258"/>
      <c r="Z38601" s="258"/>
    </row>
    <row r="38602" spans="1:26" ht="12.75" customHeight="1" x14ac:dyDescent="0.2">
      <c r="A38602" s="258"/>
      <c r="Z38602" s="258"/>
    </row>
    <row r="38603" spans="1:26" ht="12.75" customHeight="1" x14ac:dyDescent="0.2">
      <c r="A38603" s="258"/>
      <c r="Z38603" s="258"/>
    </row>
    <row r="38604" spans="1:26" ht="12.75" customHeight="1" x14ac:dyDescent="0.2">
      <c r="A38604" s="258"/>
      <c r="Z38604" s="258"/>
    </row>
    <row r="38605" spans="1:26" ht="12.75" customHeight="1" x14ac:dyDescent="0.2">
      <c r="A38605" s="258"/>
      <c r="Z38605" s="258"/>
    </row>
    <row r="38606" spans="1:26" ht="12.75" customHeight="1" x14ac:dyDescent="0.2">
      <c r="A38606" s="258"/>
      <c r="Z38606" s="258"/>
    </row>
    <row r="38607" spans="1:26" ht="12.75" customHeight="1" x14ac:dyDescent="0.2">
      <c r="A38607" s="258"/>
      <c r="Z38607" s="258"/>
    </row>
    <row r="38608" spans="1:26" ht="12.75" customHeight="1" x14ac:dyDescent="0.2">
      <c r="A38608" s="258"/>
      <c r="Z38608" s="258"/>
    </row>
    <row r="38609" spans="1:26" ht="12.75" customHeight="1" x14ac:dyDescent="0.2">
      <c r="A38609" s="258"/>
      <c r="Z38609" s="258"/>
    </row>
    <row r="38610" spans="1:26" ht="12.75" customHeight="1" x14ac:dyDescent="0.2">
      <c r="A38610" s="258"/>
      <c r="Z38610" s="258"/>
    </row>
    <row r="38611" spans="1:26" ht="12.75" customHeight="1" x14ac:dyDescent="0.2">
      <c r="A38611" s="258"/>
      <c r="Z38611" s="258"/>
    </row>
    <row r="38612" spans="1:26" ht="12.75" customHeight="1" x14ac:dyDescent="0.2">
      <c r="A38612" s="258"/>
      <c r="Z38612" s="258"/>
    </row>
    <row r="38613" spans="1:26" ht="12.75" customHeight="1" x14ac:dyDescent="0.2">
      <c r="A38613" s="258"/>
      <c r="Z38613" s="258"/>
    </row>
    <row r="38614" spans="1:26" ht="12.75" customHeight="1" x14ac:dyDescent="0.2">
      <c r="A38614" s="258"/>
      <c r="Z38614" s="258"/>
    </row>
    <row r="38615" spans="1:26" ht="12.75" customHeight="1" x14ac:dyDescent="0.2">
      <c r="A38615" s="258"/>
      <c r="Z38615" s="258"/>
    </row>
    <row r="38616" spans="1:26" ht="12.75" customHeight="1" x14ac:dyDescent="0.2">
      <c r="A38616" s="258"/>
      <c r="Z38616" s="258"/>
    </row>
    <row r="38617" spans="1:26" ht="12.75" customHeight="1" x14ac:dyDescent="0.2">
      <c r="A38617" s="258"/>
      <c r="Z38617" s="258"/>
    </row>
    <row r="38618" spans="1:26" ht="12.75" customHeight="1" x14ac:dyDescent="0.2">
      <c r="A38618" s="258"/>
      <c r="Z38618" s="258"/>
    </row>
    <row r="38619" spans="1:26" ht="12.75" customHeight="1" x14ac:dyDescent="0.2">
      <c r="A38619" s="258"/>
      <c r="Z38619" s="258"/>
    </row>
    <row r="38620" spans="1:26" ht="12.75" customHeight="1" x14ac:dyDescent="0.2">
      <c r="A38620" s="258"/>
      <c r="Z38620" s="258"/>
    </row>
    <row r="38621" spans="1:26" ht="12.75" customHeight="1" x14ac:dyDescent="0.2">
      <c r="A38621" s="258"/>
      <c r="Z38621" s="258"/>
    </row>
    <row r="38622" spans="1:26" ht="12.75" customHeight="1" x14ac:dyDescent="0.2">
      <c r="A38622" s="258"/>
      <c r="Z38622" s="258"/>
    </row>
    <row r="38623" spans="1:26" ht="12.75" customHeight="1" x14ac:dyDescent="0.2">
      <c r="A38623" s="258"/>
      <c r="Z38623" s="258"/>
    </row>
    <row r="38624" spans="1:26" ht="12.75" customHeight="1" x14ac:dyDescent="0.2">
      <c r="A38624" s="258"/>
      <c r="Z38624" s="258"/>
    </row>
    <row r="38625" spans="1:26" ht="12.75" customHeight="1" x14ac:dyDescent="0.2">
      <c r="A38625" s="258"/>
      <c r="Z38625" s="258"/>
    </row>
    <row r="38626" spans="1:26" ht="12.75" customHeight="1" x14ac:dyDescent="0.2">
      <c r="A38626" s="258"/>
      <c r="Z38626" s="258"/>
    </row>
    <row r="38627" spans="1:26" ht="12.75" customHeight="1" x14ac:dyDescent="0.2">
      <c r="A38627" s="258"/>
      <c r="Z38627" s="258"/>
    </row>
    <row r="38628" spans="1:26" ht="12.75" customHeight="1" x14ac:dyDescent="0.2">
      <c r="A38628" s="258"/>
      <c r="Z38628" s="258"/>
    </row>
    <row r="38629" spans="1:26" ht="12.75" customHeight="1" x14ac:dyDescent="0.2">
      <c r="A38629" s="258"/>
      <c r="Z38629" s="258"/>
    </row>
    <row r="38630" spans="1:26" ht="12.75" customHeight="1" x14ac:dyDescent="0.2">
      <c r="A38630" s="258"/>
      <c r="Z38630" s="258"/>
    </row>
    <row r="38631" spans="1:26" ht="12.75" customHeight="1" x14ac:dyDescent="0.2">
      <c r="A38631" s="258"/>
      <c r="Z38631" s="258"/>
    </row>
    <row r="38632" spans="1:26" ht="12.75" customHeight="1" x14ac:dyDescent="0.2">
      <c r="A38632" s="258"/>
      <c r="Z38632" s="258"/>
    </row>
    <row r="38633" spans="1:26" ht="12.75" customHeight="1" x14ac:dyDescent="0.2">
      <c r="A38633" s="258"/>
      <c r="Z38633" s="258"/>
    </row>
    <row r="38634" spans="1:26" ht="12.75" customHeight="1" x14ac:dyDescent="0.2">
      <c r="A38634" s="258"/>
      <c r="Z38634" s="258"/>
    </row>
    <row r="38635" spans="1:26" ht="12.75" customHeight="1" x14ac:dyDescent="0.2">
      <c r="A38635" s="258"/>
      <c r="Z38635" s="258"/>
    </row>
    <row r="38636" spans="1:26" ht="12.75" customHeight="1" x14ac:dyDescent="0.2">
      <c r="A38636" s="258"/>
      <c r="Z38636" s="258"/>
    </row>
    <row r="38637" spans="1:26" ht="12.75" customHeight="1" x14ac:dyDescent="0.2">
      <c r="A38637" s="258"/>
      <c r="Z38637" s="258"/>
    </row>
    <row r="38638" spans="1:26" ht="12.75" customHeight="1" x14ac:dyDescent="0.2">
      <c r="A38638" s="258"/>
      <c r="Z38638" s="258"/>
    </row>
    <row r="38639" spans="1:26" ht="12.75" customHeight="1" x14ac:dyDescent="0.2">
      <c r="A38639" s="258"/>
      <c r="Z38639" s="258"/>
    </row>
    <row r="38640" spans="1:26" ht="12.75" customHeight="1" x14ac:dyDescent="0.2">
      <c r="A38640" s="258"/>
      <c r="Z38640" s="258"/>
    </row>
    <row r="38641" spans="1:26" ht="12.75" customHeight="1" x14ac:dyDescent="0.2">
      <c r="A38641" s="258"/>
      <c r="Z38641" s="258"/>
    </row>
    <row r="38642" spans="1:26" ht="12.75" customHeight="1" x14ac:dyDescent="0.2">
      <c r="A38642" s="258"/>
      <c r="Z38642" s="258"/>
    </row>
    <row r="38643" spans="1:26" ht="12.75" customHeight="1" x14ac:dyDescent="0.2">
      <c r="A38643" s="258"/>
      <c r="Z38643" s="258"/>
    </row>
    <row r="38644" spans="1:26" ht="12.75" customHeight="1" x14ac:dyDescent="0.2">
      <c r="A38644" s="258"/>
      <c r="Z38644" s="258"/>
    </row>
    <row r="38645" spans="1:26" ht="12.75" customHeight="1" x14ac:dyDescent="0.2">
      <c r="A38645" s="258"/>
      <c r="Z38645" s="258"/>
    </row>
    <row r="38646" spans="1:26" ht="12.75" customHeight="1" x14ac:dyDescent="0.2">
      <c r="A38646" s="258"/>
      <c r="Z38646" s="258"/>
    </row>
    <row r="38647" spans="1:26" ht="12.75" customHeight="1" x14ac:dyDescent="0.2">
      <c r="A38647" s="258"/>
      <c r="Z38647" s="258"/>
    </row>
    <row r="38648" spans="1:26" ht="12.75" customHeight="1" x14ac:dyDescent="0.2">
      <c r="A38648" s="258"/>
      <c r="Z38648" s="258"/>
    </row>
    <row r="38649" spans="1:26" ht="12.75" customHeight="1" x14ac:dyDescent="0.2">
      <c r="A38649" s="258"/>
      <c r="Z38649" s="258"/>
    </row>
    <row r="38650" spans="1:26" ht="12.75" customHeight="1" x14ac:dyDescent="0.2">
      <c r="A38650" s="258"/>
      <c r="Z38650" s="258"/>
    </row>
    <row r="38651" spans="1:26" ht="12.75" customHeight="1" x14ac:dyDescent="0.2">
      <c r="A38651" s="258"/>
      <c r="Z38651" s="258"/>
    </row>
    <row r="38652" spans="1:26" ht="12.75" customHeight="1" x14ac:dyDescent="0.2">
      <c r="A38652" s="258"/>
      <c r="Z38652" s="258"/>
    </row>
    <row r="38653" spans="1:26" ht="12.75" customHeight="1" x14ac:dyDescent="0.2">
      <c r="A38653" s="258"/>
      <c r="Z38653" s="258"/>
    </row>
    <row r="38654" spans="1:26" ht="12.75" customHeight="1" x14ac:dyDescent="0.2">
      <c r="A38654" s="258"/>
      <c r="Z38654" s="258"/>
    </row>
    <row r="38655" spans="1:26" ht="12.75" customHeight="1" x14ac:dyDescent="0.2">
      <c r="A38655" s="258"/>
      <c r="Z38655" s="258"/>
    </row>
    <row r="38656" spans="1:26" ht="12.75" customHeight="1" x14ac:dyDescent="0.2">
      <c r="A38656" s="258"/>
      <c r="Z38656" s="258"/>
    </row>
    <row r="38657" spans="1:26" ht="12.75" customHeight="1" x14ac:dyDescent="0.2">
      <c r="A38657" s="258"/>
      <c r="Z38657" s="258"/>
    </row>
    <row r="38658" spans="1:26" ht="12.75" customHeight="1" x14ac:dyDescent="0.2">
      <c r="A38658" s="258"/>
      <c r="Z38658" s="258"/>
    </row>
    <row r="38659" spans="1:26" ht="12.75" customHeight="1" x14ac:dyDescent="0.2">
      <c r="A38659" s="258"/>
      <c r="Z38659" s="258"/>
    </row>
    <row r="38660" spans="1:26" ht="12.75" customHeight="1" x14ac:dyDescent="0.2">
      <c r="A38660" s="258"/>
      <c r="Z38660" s="258"/>
    </row>
    <row r="38661" spans="1:26" ht="12.75" customHeight="1" x14ac:dyDescent="0.2">
      <c r="A38661" s="258"/>
      <c r="Z38661" s="258"/>
    </row>
    <row r="38662" spans="1:26" ht="12.75" customHeight="1" x14ac:dyDescent="0.2">
      <c r="A38662" s="258"/>
      <c r="Z38662" s="258"/>
    </row>
    <row r="38663" spans="1:26" ht="12.75" customHeight="1" x14ac:dyDescent="0.2">
      <c r="A38663" s="258"/>
      <c r="Z38663" s="258"/>
    </row>
    <row r="38664" spans="1:26" ht="12.75" customHeight="1" x14ac:dyDescent="0.2">
      <c r="A38664" s="258"/>
      <c r="Z38664" s="258"/>
    </row>
    <row r="38665" spans="1:26" ht="12.75" customHeight="1" x14ac:dyDescent="0.2">
      <c r="A38665" s="258"/>
      <c r="Z38665" s="258"/>
    </row>
    <row r="38666" spans="1:26" ht="12.75" customHeight="1" x14ac:dyDescent="0.2">
      <c r="A38666" s="258"/>
      <c r="Z38666" s="258"/>
    </row>
    <row r="38667" spans="1:26" ht="12.75" customHeight="1" x14ac:dyDescent="0.2">
      <c r="A38667" s="258"/>
      <c r="Z38667" s="258"/>
    </row>
    <row r="38668" spans="1:26" ht="12.75" customHeight="1" x14ac:dyDescent="0.2">
      <c r="A38668" s="258"/>
      <c r="Z38668" s="258"/>
    </row>
    <row r="38669" spans="1:26" ht="12.75" customHeight="1" x14ac:dyDescent="0.2">
      <c r="A38669" s="258"/>
      <c r="Z38669" s="258"/>
    </row>
    <row r="38670" spans="1:26" ht="12.75" customHeight="1" x14ac:dyDescent="0.2">
      <c r="A38670" s="258"/>
      <c r="Z38670" s="258"/>
    </row>
    <row r="38671" spans="1:26" ht="12.75" customHeight="1" x14ac:dyDescent="0.2">
      <c r="A38671" s="258"/>
      <c r="Z38671" s="258"/>
    </row>
    <row r="38672" spans="1:26" ht="12.75" customHeight="1" x14ac:dyDescent="0.2">
      <c r="A38672" s="258"/>
      <c r="Z38672" s="258"/>
    </row>
    <row r="38673" spans="1:26" ht="12.75" customHeight="1" x14ac:dyDescent="0.2">
      <c r="A38673" s="258"/>
      <c r="Z38673" s="258"/>
    </row>
    <row r="38674" spans="1:26" ht="12.75" customHeight="1" x14ac:dyDescent="0.2">
      <c r="A38674" s="258"/>
      <c r="Z38674" s="258"/>
    </row>
    <row r="38675" spans="1:26" ht="12.75" customHeight="1" x14ac:dyDescent="0.2">
      <c r="A38675" s="258"/>
      <c r="Z38675" s="258"/>
    </row>
    <row r="38676" spans="1:26" ht="12.75" customHeight="1" x14ac:dyDescent="0.2">
      <c r="A38676" s="258"/>
      <c r="Z38676" s="258"/>
    </row>
    <row r="38677" spans="1:26" ht="12.75" customHeight="1" x14ac:dyDescent="0.2">
      <c r="A38677" s="258"/>
      <c r="Z38677" s="258"/>
    </row>
    <row r="38678" spans="1:26" ht="12.75" customHeight="1" x14ac:dyDescent="0.2">
      <c r="A38678" s="258"/>
      <c r="Z38678" s="258"/>
    </row>
    <row r="38679" spans="1:26" ht="12.75" customHeight="1" x14ac:dyDescent="0.2">
      <c r="A38679" s="258"/>
      <c r="Z38679" s="258"/>
    </row>
    <row r="38680" spans="1:26" ht="12.75" customHeight="1" x14ac:dyDescent="0.2">
      <c r="A38680" s="258"/>
      <c r="Z38680" s="258"/>
    </row>
    <row r="38681" spans="1:26" ht="12.75" customHeight="1" x14ac:dyDescent="0.2">
      <c r="A38681" s="258"/>
      <c r="Z38681" s="258"/>
    </row>
    <row r="38682" spans="1:26" ht="12.75" customHeight="1" x14ac:dyDescent="0.2">
      <c r="A38682" s="258"/>
      <c r="Z38682" s="258"/>
    </row>
    <row r="38683" spans="1:26" ht="12.75" customHeight="1" x14ac:dyDescent="0.2">
      <c r="A38683" s="258"/>
      <c r="Z38683" s="258"/>
    </row>
    <row r="38684" spans="1:26" ht="12.75" customHeight="1" x14ac:dyDescent="0.2">
      <c r="A38684" s="258"/>
      <c r="Z38684" s="258"/>
    </row>
    <row r="38685" spans="1:26" ht="12.75" customHeight="1" x14ac:dyDescent="0.2">
      <c r="A38685" s="258"/>
      <c r="Z38685" s="258"/>
    </row>
    <row r="38686" spans="1:26" ht="12.75" customHeight="1" x14ac:dyDescent="0.2">
      <c r="A38686" s="258"/>
      <c r="Z38686" s="258"/>
    </row>
    <row r="38687" spans="1:26" ht="12.75" customHeight="1" x14ac:dyDescent="0.2">
      <c r="A38687" s="258"/>
      <c r="Z38687" s="258"/>
    </row>
    <row r="38688" spans="1:26" ht="12.75" customHeight="1" x14ac:dyDescent="0.2">
      <c r="A38688" s="258"/>
      <c r="Z38688" s="258"/>
    </row>
    <row r="38689" spans="1:26" ht="12.75" customHeight="1" x14ac:dyDescent="0.2">
      <c r="A38689" s="258"/>
      <c r="Z38689" s="258"/>
    </row>
    <row r="38690" spans="1:26" ht="12.75" customHeight="1" x14ac:dyDescent="0.2">
      <c r="A38690" s="258"/>
      <c r="Z38690" s="258"/>
    </row>
    <row r="38691" spans="1:26" ht="12.75" customHeight="1" x14ac:dyDescent="0.2">
      <c r="A38691" s="258"/>
      <c r="Z38691" s="258"/>
    </row>
    <row r="38692" spans="1:26" ht="12.75" customHeight="1" x14ac:dyDescent="0.2">
      <c r="A38692" s="258"/>
      <c r="Z38692" s="258"/>
    </row>
    <row r="38693" spans="1:26" ht="12.75" customHeight="1" x14ac:dyDescent="0.2">
      <c r="A38693" s="258"/>
      <c r="Z38693" s="258"/>
    </row>
    <row r="38694" spans="1:26" ht="12.75" customHeight="1" x14ac:dyDescent="0.2">
      <c r="A38694" s="258"/>
      <c r="Z38694" s="258"/>
    </row>
    <row r="38695" spans="1:26" ht="12.75" customHeight="1" x14ac:dyDescent="0.2">
      <c r="A38695" s="258"/>
      <c r="Z38695" s="258"/>
    </row>
    <row r="38696" spans="1:26" ht="12.75" customHeight="1" x14ac:dyDescent="0.2">
      <c r="A38696" s="258"/>
      <c r="Z38696" s="258"/>
    </row>
    <row r="38697" spans="1:26" ht="12.75" customHeight="1" x14ac:dyDescent="0.2">
      <c r="A38697" s="258"/>
      <c r="Z38697" s="258"/>
    </row>
    <row r="38698" spans="1:26" ht="12.75" customHeight="1" x14ac:dyDescent="0.2">
      <c r="A38698" s="258"/>
      <c r="Z38698" s="258"/>
    </row>
    <row r="38699" spans="1:26" ht="12.75" customHeight="1" x14ac:dyDescent="0.2">
      <c r="A38699" s="258"/>
      <c r="Z38699" s="258"/>
    </row>
    <row r="38700" spans="1:26" ht="12.75" customHeight="1" x14ac:dyDescent="0.2">
      <c r="A38700" s="258"/>
      <c r="Z38700" s="258"/>
    </row>
    <row r="38701" spans="1:26" ht="12.75" customHeight="1" x14ac:dyDescent="0.2">
      <c r="A38701" s="258"/>
      <c r="Z38701" s="258"/>
    </row>
    <row r="38702" spans="1:26" ht="12.75" customHeight="1" x14ac:dyDescent="0.2">
      <c r="A38702" s="258"/>
      <c r="Z38702" s="258"/>
    </row>
    <row r="38703" spans="1:26" ht="12.75" customHeight="1" x14ac:dyDescent="0.2">
      <c r="A38703" s="258"/>
      <c r="Z38703" s="258"/>
    </row>
    <row r="38704" spans="1:26" ht="12.75" customHeight="1" x14ac:dyDescent="0.2">
      <c r="A38704" s="258"/>
      <c r="Z38704" s="258"/>
    </row>
    <row r="38705" spans="1:26" ht="12.75" customHeight="1" x14ac:dyDescent="0.2">
      <c r="A38705" s="258"/>
      <c r="Z38705" s="258"/>
    </row>
    <row r="38706" spans="1:26" ht="12.75" customHeight="1" x14ac:dyDescent="0.2">
      <c r="A38706" s="258"/>
      <c r="Z38706" s="258"/>
    </row>
    <row r="38707" spans="1:26" ht="12.75" customHeight="1" x14ac:dyDescent="0.2">
      <c r="A38707" s="258"/>
      <c r="Z38707" s="258"/>
    </row>
    <row r="38708" spans="1:26" ht="12.75" customHeight="1" x14ac:dyDescent="0.2">
      <c r="A38708" s="258"/>
      <c r="Z38708" s="258"/>
    </row>
    <row r="38709" spans="1:26" ht="12.75" customHeight="1" x14ac:dyDescent="0.2">
      <c r="A38709" s="258"/>
      <c r="Z38709" s="258"/>
    </row>
    <row r="38710" spans="1:26" ht="12.75" customHeight="1" x14ac:dyDescent="0.2">
      <c r="A38710" s="258"/>
      <c r="Z38710" s="258"/>
    </row>
    <row r="38711" spans="1:26" ht="12.75" customHeight="1" x14ac:dyDescent="0.2">
      <c r="A38711" s="258"/>
      <c r="Z38711" s="258"/>
    </row>
    <row r="38712" spans="1:26" ht="12.75" customHeight="1" x14ac:dyDescent="0.2">
      <c r="A38712" s="258"/>
      <c r="Z38712" s="258"/>
    </row>
    <row r="38713" spans="1:26" ht="12.75" customHeight="1" x14ac:dyDescent="0.2">
      <c r="A38713" s="258"/>
      <c r="Z38713" s="258"/>
    </row>
    <row r="38714" spans="1:26" ht="12.75" customHeight="1" x14ac:dyDescent="0.2">
      <c r="A38714" s="258"/>
      <c r="Z38714" s="258"/>
    </row>
    <row r="38715" spans="1:26" ht="12.75" customHeight="1" x14ac:dyDescent="0.2">
      <c r="A38715" s="258"/>
      <c r="Z38715" s="258"/>
    </row>
    <row r="38716" spans="1:26" ht="12.75" customHeight="1" x14ac:dyDescent="0.2">
      <c r="A38716" s="258"/>
      <c r="Z38716" s="258"/>
    </row>
    <row r="38717" spans="1:26" ht="12.75" customHeight="1" x14ac:dyDescent="0.2">
      <c r="A38717" s="258"/>
      <c r="Z38717" s="258"/>
    </row>
    <row r="38718" spans="1:26" ht="12.75" customHeight="1" x14ac:dyDescent="0.2">
      <c r="A38718" s="258"/>
      <c r="Z38718" s="258"/>
    </row>
    <row r="38719" spans="1:26" ht="12.75" customHeight="1" x14ac:dyDescent="0.2">
      <c r="A38719" s="258"/>
      <c r="Z38719" s="258"/>
    </row>
    <row r="38720" spans="1:26" ht="12.75" customHeight="1" x14ac:dyDescent="0.2">
      <c r="A38720" s="258"/>
      <c r="Z38720" s="258"/>
    </row>
    <row r="38721" spans="1:26" ht="12.75" customHeight="1" x14ac:dyDescent="0.2">
      <c r="A38721" s="258"/>
      <c r="Z38721" s="258"/>
    </row>
    <row r="38722" spans="1:26" ht="12.75" customHeight="1" x14ac:dyDescent="0.2">
      <c r="A38722" s="258"/>
      <c r="Z38722" s="258"/>
    </row>
    <row r="38723" spans="1:26" ht="12.75" customHeight="1" x14ac:dyDescent="0.2">
      <c r="A38723" s="258"/>
      <c r="Z38723" s="258"/>
    </row>
    <row r="38724" spans="1:26" ht="12.75" customHeight="1" x14ac:dyDescent="0.2">
      <c r="A38724" s="258"/>
      <c r="Z38724" s="258"/>
    </row>
    <row r="38725" spans="1:26" ht="12.75" customHeight="1" x14ac:dyDescent="0.2">
      <c r="A38725" s="258"/>
      <c r="Z38725" s="258"/>
    </row>
    <row r="38726" spans="1:26" ht="12.75" customHeight="1" x14ac:dyDescent="0.2">
      <c r="A38726" s="258"/>
      <c r="Z38726" s="258"/>
    </row>
    <row r="38727" spans="1:26" ht="12.75" customHeight="1" x14ac:dyDescent="0.2">
      <c r="A38727" s="258"/>
      <c r="Z38727" s="258"/>
    </row>
    <row r="38728" spans="1:26" ht="12.75" customHeight="1" x14ac:dyDescent="0.2">
      <c r="A38728" s="258"/>
      <c r="Z38728" s="258"/>
    </row>
    <row r="38729" spans="1:26" ht="12.75" customHeight="1" x14ac:dyDescent="0.2">
      <c r="A38729" s="258"/>
      <c r="Z38729" s="258"/>
    </row>
    <row r="38730" spans="1:26" ht="12.75" customHeight="1" x14ac:dyDescent="0.2">
      <c r="A38730" s="258"/>
      <c r="Z38730" s="258"/>
    </row>
    <row r="38731" spans="1:26" ht="12.75" customHeight="1" x14ac:dyDescent="0.2">
      <c r="A38731" s="258"/>
      <c r="Z38731" s="258"/>
    </row>
    <row r="38732" spans="1:26" ht="12.75" customHeight="1" x14ac:dyDescent="0.2">
      <c r="A38732" s="258"/>
      <c r="Z38732" s="258"/>
    </row>
    <row r="38733" spans="1:26" ht="12.75" customHeight="1" x14ac:dyDescent="0.2">
      <c r="A38733" s="258"/>
      <c r="Z38733" s="258"/>
    </row>
    <row r="38734" spans="1:26" ht="12.75" customHeight="1" x14ac:dyDescent="0.2">
      <c r="A38734" s="258"/>
      <c r="Z38734" s="258"/>
    </row>
    <row r="38735" spans="1:26" ht="12.75" customHeight="1" x14ac:dyDescent="0.2">
      <c r="A38735" s="258"/>
      <c r="Z38735" s="258"/>
    </row>
    <row r="38736" spans="1:26" ht="12.75" customHeight="1" x14ac:dyDescent="0.2">
      <c r="A38736" s="258"/>
      <c r="Z38736" s="258"/>
    </row>
    <row r="38737" spans="1:26" ht="12.75" customHeight="1" x14ac:dyDescent="0.2">
      <c r="A38737" s="258"/>
      <c r="Z38737" s="258"/>
    </row>
    <row r="38738" spans="1:26" ht="12.75" customHeight="1" x14ac:dyDescent="0.2">
      <c r="A38738" s="258"/>
      <c r="Z38738" s="258"/>
    </row>
    <row r="38739" spans="1:26" ht="12.75" customHeight="1" x14ac:dyDescent="0.2">
      <c r="A38739" s="258"/>
      <c r="Z38739" s="258"/>
    </row>
    <row r="38740" spans="1:26" ht="12.75" customHeight="1" x14ac:dyDescent="0.2">
      <c r="A38740" s="258"/>
      <c r="Z38740" s="258"/>
    </row>
    <row r="38741" spans="1:26" ht="12.75" customHeight="1" x14ac:dyDescent="0.2">
      <c r="A38741" s="258"/>
      <c r="Z38741" s="258"/>
    </row>
    <row r="38742" spans="1:26" ht="12.75" customHeight="1" x14ac:dyDescent="0.2">
      <c r="A38742" s="258"/>
      <c r="Z38742" s="258"/>
    </row>
    <row r="38743" spans="1:26" ht="12.75" customHeight="1" x14ac:dyDescent="0.2">
      <c r="A38743" s="258"/>
      <c r="Z38743" s="258"/>
    </row>
    <row r="38744" spans="1:26" ht="12.75" customHeight="1" x14ac:dyDescent="0.2">
      <c r="A38744" s="258"/>
      <c r="Z38744" s="258"/>
    </row>
    <row r="38745" spans="1:26" ht="12.75" customHeight="1" x14ac:dyDescent="0.2">
      <c r="A38745" s="258"/>
      <c r="Z38745" s="258"/>
    </row>
    <row r="38746" spans="1:26" ht="12.75" customHeight="1" x14ac:dyDescent="0.2">
      <c r="A38746" s="258"/>
      <c r="Z38746" s="258"/>
    </row>
    <row r="38747" spans="1:26" ht="12.75" customHeight="1" x14ac:dyDescent="0.2">
      <c r="A38747" s="258"/>
      <c r="Z38747" s="258"/>
    </row>
    <row r="38748" spans="1:26" ht="12.75" customHeight="1" x14ac:dyDescent="0.2">
      <c r="A38748" s="258"/>
      <c r="Z38748" s="258"/>
    </row>
    <row r="38749" spans="1:26" ht="12.75" customHeight="1" x14ac:dyDescent="0.2">
      <c r="A38749" s="258"/>
      <c r="Z38749" s="258"/>
    </row>
    <row r="38750" spans="1:26" ht="12.75" customHeight="1" x14ac:dyDescent="0.2">
      <c r="A38750" s="258"/>
      <c r="Z38750" s="258"/>
    </row>
    <row r="38751" spans="1:26" ht="12.75" customHeight="1" x14ac:dyDescent="0.2">
      <c r="A38751" s="258"/>
      <c r="Z38751" s="258"/>
    </row>
    <row r="38752" spans="1:26" ht="12.75" customHeight="1" x14ac:dyDescent="0.2">
      <c r="A38752" s="258"/>
      <c r="Z38752" s="258"/>
    </row>
    <row r="38753" spans="1:26" ht="12.75" customHeight="1" x14ac:dyDescent="0.2">
      <c r="A38753" s="258"/>
      <c r="Z38753" s="258"/>
    </row>
    <row r="38754" spans="1:26" ht="12.75" customHeight="1" x14ac:dyDescent="0.2">
      <c r="A38754" s="258"/>
      <c r="Z38754" s="258"/>
    </row>
    <row r="38755" spans="1:26" ht="12.75" customHeight="1" x14ac:dyDescent="0.2">
      <c r="A38755" s="258"/>
      <c r="Z38755" s="258"/>
    </row>
    <row r="38756" spans="1:26" ht="12.75" customHeight="1" x14ac:dyDescent="0.2">
      <c r="A38756" s="258"/>
      <c r="Z38756" s="258"/>
    </row>
    <row r="38757" spans="1:26" ht="12.75" customHeight="1" x14ac:dyDescent="0.2">
      <c r="A38757" s="258"/>
      <c r="Z38757" s="258"/>
    </row>
    <row r="38758" spans="1:26" ht="12.75" customHeight="1" x14ac:dyDescent="0.2">
      <c r="A38758" s="258"/>
      <c r="Z38758" s="258"/>
    </row>
    <row r="38759" spans="1:26" ht="12.75" customHeight="1" x14ac:dyDescent="0.2">
      <c r="A38759" s="258"/>
      <c r="Z38759" s="258"/>
    </row>
    <row r="38760" spans="1:26" ht="12.75" customHeight="1" x14ac:dyDescent="0.2">
      <c r="A38760" s="258"/>
      <c r="Z38760" s="258"/>
    </row>
    <row r="38761" spans="1:26" ht="12.75" customHeight="1" x14ac:dyDescent="0.2">
      <c r="A38761" s="258"/>
      <c r="Z38761" s="258"/>
    </row>
    <row r="38762" spans="1:26" ht="12.75" customHeight="1" x14ac:dyDescent="0.2">
      <c r="A38762" s="258"/>
      <c r="Z38762" s="258"/>
    </row>
    <row r="38763" spans="1:26" ht="12.75" customHeight="1" x14ac:dyDescent="0.2">
      <c r="A38763" s="258"/>
      <c r="Z38763" s="258"/>
    </row>
    <row r="38764" spans="1:26" ht="12.75" customHeight="1" x14ac:dyDescent="0.2">
      <c r="A38764" s="258"/>
      <c r="Z38764" s="258"/>
    </row>
    <row r="38765" spans="1:26" ht="12.75" customHeight="1" x14ac:dyDescent="0.2">
      <c r="A38765" s="258"/>
      <c r="Z38765" s="258"/>
    </row>
    <row r="38766" spans="1:26" ht="12.75" customHeight="1" x14ac:dyDescent="0.2">
      <c r="A38766" s="258"/>
      <c r="Z38766" s="258"/>
    </row>
    <row r="38767" spans="1:26" ht="12.75" customHeight="1" x14ac:dyDescent="0.2">
      <c r="A38767" s="258"/>
      <c r="Z38767" s="258"/>
    </row>
    <row r="38768" spans="1:26" ht="12.75" customHeight="1" x14ac:dyDescent="0.2">
      <c r="A38768" s="258"/>
      <c r="Z38768" s="258"/>
    </row>
    <row r="38769" spans="1:26" ht="12.75" customHeight="1" x14ac:dyDescent="0.2">
      <c r="A38769" s="258"/>
      <c r="Z38769" s="258"/>
    </row>
    <row r="38770" spans="1:26" ht="12.75" customHeight="1" x14ac:dyDescent="0.2">
      <c r="A38770" s="258"/>
      <c r="Z38770" s="258"/>
    </row>
    <row r="38771" spans="1:26" ht="12.75" customHeight="1" x14ac:dyDescent="0.2">
      <c r="A38771" s="258"/>
      <c r="Z38771" s="258"/>
    </row>
    <row r="38772" spans="1:26" ht="12.75" customHeight="1" x14ac:dyDescent="0.2">
      <c r="A38772" s="258"/>
      <c r="Z38772" s="258"/>
    </row>
    <row r="38773" spans="1:26" ht="12.75" customHeight="1" x14ac:dyDescent="0.2">
      <c r="A38773" s="258"/>
      <c r="Z38773" s="258"/>
    </row>
    <row r="38774" spans="1:26" ht="12.75" customHeight="1" x14ac:dyDescent="0.2">
      <c r="A38774" s="258"/>
      <c r="Z38774" s="258"/>
    </row>
    <row r="38775" spans="1:26" ht="12.75" customHeight="1" x14ac:dyDescent="0.2">
      <c r="A38775" s="258"/>
      <c r="Z38775" s="258"/>
    </row>
    <row r="38776" spans="1:26" ht="12.75" customHeight="1" x14ac:dyDescent="0.2">
      <c r="A38776" s="258"/>
      <c r="Z38776" s="258"/>
    </row>
    <row r="38777" spans="1:26" ht="12.75" customHeight="1" x14ac:dyDescent="0.2">
      <c r="A38777" s="258"/>
      <c r="Z38777" s="258"/>
    </row>
    <row r="38778" spans="1:26" ht="12.75" customHeight="1" x14ac:dyDescent="0.2">
      <c r="A38778" s="258"/>
      <c r="Z38778" s="258"/>
    </row>
    <row r="38779" spans="1:26" ht="12.75" customHeight="1" x14ac:dyDescent="0.2">
      <c r="A38779" s="258"/>
      <c r="Z38779" s="258"/>
    </row>
    <row r="38780" spans="1:26" ht="12.75" customHeight="1" x14ac:dyDescent="0.2">
      <c r="A38780" s="258"/>
      <c r="Z38780" s="258"/>
    </row>
    <row r="38781" spans="1:26" ht="12.75" customHeight="1" x14ac:dyDescent="0.2">
      <c r="A38781" s="258"/>
      <c r="Z38781" s="258"/>
    </row>
    <row r="38782" spans="1:26" ht="12.75" customHeight="1" x14ac:dyDescent="0.2">
      <c r="A38782" s="258"/>
      <c r="Z38782" s="258"/>
    </row>
    <row r="38783" spans="1:26" ht="12.75" customHeight="1" x14ac:dyDescent="0.2">
      <c r="A38783" s="258"/>
      <c r="Z38783" s="258"/>
    </row>
    <row r="38784" spans="1:26" ht="12.75" customHeight="1" x14ac:dyDescent="0.2">
      <c r="A38784" s="258"/>
      <c r="Z38784" s="258"/>
    </row>
    <row r="38785" spans="1:26" ht="12.75" customHeight="1" x14ac:dyDescent="0.2">
      <c r="A38785" s="258"/>
      <c r="Z38785" s="258"/>
    </row>
    <row r="38786" spans="1:26" ht="12.75" customHeight="1" x14ac:dyDescent="0.2">
      <c r="A38786" s="258"/>
      <c r="Z38786" s="258"/>
    </row>
    <row r="38787" spans="1:26" ht="12.75" customHeight="1" x14ac:dyDescent="0.2">
      <c r="A38787" s="258"/>
      <c r="Z38787" s="258"/>
    </row>
    <row r="38788" spans="1:26" ht="12.75" customHeight="1" x14ac:dyDescent="0.2">
      <c r="A38788" s="258"/>
      <c r="Z38788" s="258"/>
    </row>
    <row r="38789" spans="1:26" ht="12.75" customHeight="1" x14ac:dyDescent="0.2">
      <c r="A38789" s="258"/>
      <c r="Z38789" s="258"/>
    </row>
    <row r="38790" spans="1:26" ht="12.75" customHeight="1" x14ac:dyDescent="0.2">
      <c r="A38790" s="258"/>
      <c r="Z38790" s="258"/>
    </row>
    <row r="38791" spans="1:26" ht="12.75" customHeight="1" x14ac:dyDescent="0.2">
      <c r="A38791" s="258"/>
      <c r="Z38791" s="258"/>
    </row>
    <row r="38792" spans="1:26" ht="12.75" customHeight="1" x14ac:dyDescent="0.2">
      <c r="A38792" s="258"/>
      <c r="Z38792" s="258"/>
    </row>
    <row r="38793" spans="1:26" ht="12.75" customHeight="1" x14ac:dyDescent="0.2">
      <c r="A38793" s="258"/>
      <c r="Z38793" s="258"/>
    </row>
    <row r="38794" spans="1:26" ht="12.75" customHeight="1" x14ac:dyDescent="0.2">
      <c r="A38794" s="258"/>
      <c r="Z38794" s="258"/>
    </row>
    <row r="38795" spans="1:26" ht="12.75" customHeight="1" x14ac:dyDescent="0.2">
      <c r="A38795" s="258"/>
      <c r="Z38795" s="258"/>
    </row>
    <row r="38796" spans="1:26" ht="12.75" customHeight="1" x14ac:dyDescent="0.2">
      <c r="A38796" s="258"/>
      <c r="Z38796" s="258"/>
    </row>
    <row r="38797" spans="1:26" ht="12.75" customHeight="1" x14ac:dyDescent="0.2">
      <c r="A38797" s="258"/>
      <c r="Z38797" s="258"/>
    </row>
    <row r="38798" spans="1:26" ht="12.75" customHeight="1" x14ac:dyDescent="0.2">
      <c r="A38798" s="258"/>
      <c r="Z38798" s="258"/>
    </row>
    <row r="38799" spans="1:26" ht="12.75" customHeight="1" x14ac:dyDescent="0.2">
      <c r="A38799" s="258"/>
      <c r="Z38799" s="258"/>
    </row>
    <row r="38800" spans="1:26" ht="12.75" customHeight="1" x14ac:dyDescent="0.2">
      <c r="A38800" s="258"/>
      <c r="Z38800" s="258"/>
    </row>
    <row r="38801" spans="1:26" ht="12.75" customHeight="1" x14ac:dyDescent="0.2">
      <c r="A38801" s="258"/>
      <c r="Z38801" s="258"/>
    </row>
    <row r="38802" spans="1:26" ht="12.75" customHeight="1" x14ac:dyDescent="0.2">
      <c r="A38802" s="258"/>
      <c r="Z38802" s="258"/>
    </row>
    <row r="38803" spans="1:26" ht="12.75" customHeight="1" x14ac:dyDescent="0.2">
      <c r="A38803" s="258"/>
      <c r="Z38803" s="258"/>
    </row>
    <row r="38804" spans="1:26" ht="12.75" customHeight="1" x14ac:dyDescent="0.2">
      <c r="A38804" s="258"/>
      <c r="Z38804" s="258"/>
    </row>
    <row r="38805" spans="1:26" ht="12.75" customHeight="1" x14ac:dyDescent="0.2">
      <c r="A38805" s="258"/>
      <c r="Z38805" s="258"/>
    </row>
    <row r="38806" spans="1:26" ht="12.75" customHeight="1" x14ac:dyDescent="0.2">
      <c r="A38806" s="258"/>
      <c r="Z38806" s="258"/>
    </row>
    <row r="38807" spans="1:26" ht="12.75" customHeight="1" x14ac:dyDescent="0.2">
      <c r="A38807" s="258"/>
      <c r="Z38807" s="258"/>
    </row>
    <row r="38808" spans="1:26" ht="12.75" customHeight="1" x14ac:dyDescent="0.2">
      <c r="A38808" s="258"/>
      <c r="Z38808" s="258"/>
    </row>
    <row r="38809" spans="1:26" ht="12.75" customHeight="1" x14ac:dyDescent="0.2">
      <c r="A38809" s="258"/>
      <c r="Z38809" s="258"/>
    </row>
    <row r="38810" spans="1:26" ht="12.75" customHeight="1" x14ac:dyDescent="0.2">
      <c r="A38810" s="258"/>
      <c r="Z38810" s="258"/>
    </row>
    <row r="38811" spans="1:26" ht="12.75" customHeight="1" x14ac:dyDescent="0.2">
      <c r="A38811" s="258"/>
      <c r="Z38811" s="258"/>
    </row>
    <row r="38812" spans="1:26" ht="12.75" customHeight="1" x14ac:dyDescent="0.2">
      <c r="A38812" s="258"/>
      <c r="Z38812" s="258"/>
    </row>
    <row r="38813" spans="1:26" ht="12.75" customHeight="1" x14ac:dyDescent="0.2">
      <c r="A38813" s="258"/>
      <c r="Z38813" s="258"/>
    </row>
    <row r="38814" spans="1:26" ht="12.75" customHeight="1" x14ac:dyDescent="0.2">
      <c r="A38814" s="258"/>
      <c r="Z38814" s="258"/>
    </row>
    <row r="38815" spans="1:26" ht="12.75" customHeight="1" x14ac:dyDescent="0.2">
      <c r="A38815" s="258"/>
      <c r="Z38815" s="258"/>
    </row>
    <row r="38816" spans="1:26" ht="12.75" customHeight="1" x14ac:dyDescent="0.2">
      <c r="A38816" s="258"/>
      <c r="Z38816" s="258"/>
    </row>
    <row r="38817" spans="1:26" ht="12.75" customHeight="1" x14ac:dyDescent="0.2">
      <c r="A38817" s="258"/>
      <c r="Z38817" s="258"/>
    </row>
    <row r="38818" spans="1:26" ht="12.75" customHeight="1" x14ac:dyDescent="0.2">
      <c r="A38818" s="258"/>
      <c r="Z38818" s="258"/>
    </row>
    <row r="38819" spans="1:26" ht="12.75" customHeight="1" x14ac:dyDescent="0.2">
      <c r="A38819" s="258"/>
      <c r="Z38819" s="258"/>
    </row>
    <row r="38820" spans="1:26" ht="12.75" customHeight="1" x14ac:dyDescent="0.2">
      <c r="A38820" s="258"/>
      <c r="Z38820" s="258"/>
    </row>
    <row r="38821" spans="1:26" ht="12.75" customHeight="1" x14ac:dyDescent="0.2">
      <c r="A38821" s="258"/>
      <c r="Z38821" s="258"/>
    </row>
    <row r="38822" spans="1:26" ht="12.75" customHeight="1" x14ac:dyDescent="0.2">
      <c r="A38822" s="258"/>
      <c r="Z38822" s="258"/>
    </row>
    <row r="38823" spans="1:26" ht="12.75" customHeight="1" x14ac:dyDescent="0.2">
      <c r="A38823" s="258"/>
      <c r="Z38823" s="258"/>
    </row>
    <row r="38824" spans="1:26" ht="12.75" customHeight="1" x14ac:dyDescent="0.2">
      <c r="A38824" s="258"/>
      <c r="Z38824" s="258"/>
    </row>
    <row r="38825" spans="1:26" ht="12.75" customHeight="1" x14ac:dyDescent="0.2">
      <c r="A38825" s="258"/>
      <c r="Z38825" s="258"/>
    </row>
    <row r="38826" spans="1:26" ht="12.75" customHeight="1" x14ac:dyDescent="0.2">
      <c r="A38826" s="258"/>
      <c r="Z38826" s="258"/>
    </row>
    <row r="38827" spans="1:26" ht="12.75" customHeight="1" x14ac:dyDescent="0.2">
      <c r="A38827" s="258"/>
      <c r="Z38827" s="258"/>
    </row>
    <row r="38828" spans="1:26" ht="12.75" customHeight="1" x14ac:dyDescent="0.2">
      <c r="A38828" s="258"/>
      <c r="Z38828" s="258"/>
    </row>
    <row r="38829" spans="1:26" ht="12.75" customHeight="1" x14ac:dyDescent="0.2">
      <c r="A38829" s="258"/>
      <c r="Z38829" s="258"/>
    </row>
    <row r="38830" spans="1:26" ht="12.75" customHeight="1" x14ac:dyDescent="0.2">
      <c r="A38830" s="258"/>
      <c r="Z38830" s="258"/>
    </row>
    <row r="38831" spans="1:26" ht="12.75" customHeight="1" x14ac:dyDescent="0.2">
      <c r="A38831" s="258"/>
      <c r="Z38831" s="258"/>
    </row>
    <row r="38832" spans="1:26" ht="12.75" customHeight="1" x14ac:dyDescent="0.2">
      <c r="A38832" s="258"/>
      <c r="Z38832" s="258"/>
    </row>
    <row r="38833" spans="1:26" ht="12.75" customHeight="1" x14ac:dyDescent="0.2">
      <c r="A38833" s="258"/>
      <c r="Z38833" s="258"/>
    </row>
    <row r="38834" spans="1:26" ht="12.75" customHeight="1" x14ac:dyDescent="0.2">
      <c r="A38834" s="258"/>
      <c r="Z38834" s="258"/>
    </row>
    <row r="38835" spans="1:26" ht="12.75" customHeight="1" x14ac:dyDescent="0.2">
      <c r="A38835" s="258"/>
      <c r="Z38835" s="258"/>
    </row>
    <row r="38836" spans="1:26" ht="12.75" customHeight="1" x14ac:dyDescent="0.2">
      <c r="A38836" s="258"/>
      <c r="Z38836" s="258"/>
    </row>
    <row r="38837" spans="1:26" ht="12.75" customHeight="1" x14ac:dyDescent="0.2">
      <c r="A38837" s="258"/>
      <c r="Z38837" s="258"/>
    </row>
    <row r="38838" spans="1:26" ht="12.75" customHeight="1" x14ac:dyDescent="0.2">
      <c r="A38838" s="258"/>
      <c r="Z38838" s="258"/>
    </row>
    <row r="38839" spans="1:26" ht="12.75" customHeight="1" x14ac:dyDescent="0.2">
      <c r="A38839" s="258"/>
      <c r="Z38839" s="258"/>
    </row>
    <row r="38840" spans="1:26" ht="12.75" customHeight="1" x14ac:dyDescent="0.2">
      <c r="A38840" s="258"/>
      <c r="Z38840" s="258"/>
    </row>
    <row r="38841" spans="1:26" ht="12.75" customHeight="1" x14ac:dyDescent="0.2">
      <c r="A38841" s="258"/>
      <c r="Z38841" s="258"/>
    </row>
    <row r="38842" spans="1:26" ht="12.75" customHeight="1" x14ac:dyDescent="0.2">
      <c r="A38842" s="258"/>
      <c r="Z38842" s="258"/>
    </row>
    <row r="38843" spans="1:26" ht="12.75" customHeight="1" x14ac:dyDescent="0.2">
      <c r="A38843" s="258"/>
      <c r="Z38843" s="258"/>
    </row>
    <row r="38844" spans="1:26" ht="12.75" customHeight="1" x14ac:dyDescent="0.2">
      <c r="A38844" s="258"/>
      <c r="Z38844" s="258"/>
    </row>
    <row r="38845" spans="1:26" ht="12.75" customHeight="1" x14ac:dyDescent="0.2">
      <c r="A38845" s="258"/>
      <c r="Z38845" s="258"/>
    </row>
    <row r="38846" spans="1:26" ht="12.75" customHeight="1" x14ac:dyDescent="0.2">
      <c r="A38846" s="258"/>
      <c r="Z38846" s="258"/>
    </row>
    <row r="38847" spans="1:26" ht="12.75" customHeight="1" x14ac:dyDescent="0.2">
      <c r="A38847" s="258"/>
      <c r="Z38847" s="258"/>
    </row>
    <row r="38848" spans="1:26" ht="12.75" customHeight="1" x14ac:dyDescent="0.2">
      <c r="A38848" s="258"/>
      <c r="Z38848" s="258"/>
    </row>
    <row r="38849" spans="1:26" ht="12.75" customHeight="1" x14ac:dyDescent="0.2">
      <c r="A38849" s="258"/>
      <c r="Z38849" s="258"/>
    </row>
    <row r="38850" spans="1:26" ht="12.75" customHeight="1" x14ac:dyDescent="0.2">
      <c r="A38850" s="258"/>
      <c r="Z38850" s="258"/>
    </row>
    <row r="38851" spans="1:26" ht="12.75" customHeight="1" x14ac:dyDescent="0.2">
      <c r="A38851" s="258"/>
      <c r="Z38851" s="258"/>
    </row>
    <row r="38852" spans="1:26" ht="12.75" customHeight="1" x14ac:dyDescent="0.2">
      <c r="A38852" s="258"/>
      <c r="Z38852" s="258"/>
    </row>
    <row r="38853" spans="1:26" ht="12.75" customHeight="1" x14ac:dyDescent="0.2">
      <c r="A38853" s="258"/>
      <c r="Z38853" s="258"/>
    </row>
    <row r="38854" spans="1:26" ht="12.75" customHeight="1" x14ac:dyDescent="0.2">
      <c r="A38854" s="258"/>
      <c r="Z38854" s="258"/>
    </row>
    <row r="38855" spans="1:26" ht="12.75" customHeight="1" x14ac:dyDescent="0.2">
      <c r="A38855" s="258"/>
      <c r="Z38855" s="258"/>
    </row>
    <row r="38856" spans="1:26" ht="12.75" customHeight="1" x14ac:dyDescent="0.2">
      <c r="A38856" s="258"/>
      <c r="Z38856" s="258"/>
    </row>
    <row r="38857" spans="1:26" ht="12.75" customHeight="1" x14ac:dyDescent="0.2">
      <c r="A38857" s="258"/>
      <c r="Z38857" s="258"/>
    </row>
    <row r="38858" spans="1:26" ht="12.75" customHeight="1" x14ac:dyDescent="0.2">
      <c r="A38858" s="258"/>
      <c r="Z38858" s="258"/>
    </row>
    <row r="38859" spans="1:26" ht="12.75" customHeight="1" x14ac:dyDescent="0.2">
      <c r="A38859" s="258"/>
      <c r="Z38859" s="258"/>
    </row>
    <row r="38860" spans="1:26" ht="12.75" customHeight="1" x14ac:dyDescent="0.2">
      <c r="A38860" s="258"/>
      <c r="Z38860" s="258"/>
    </row>
    <row r="38861" spans="1:26" ht="12.75" customHeight="1" x14ac:dyDescent="0.2">
      <c r="A38861" s="258"/>
      <c r="Z38861" s="258"/>
    </row>
    <row r="38862" spans="1:26" ht="12.75" customHeight="1" x14ac:dyDescent="0.2">
      <c r="A38862" s="258"/>
      <c r="Z38862" s="258"/>
    </row>
    <row r="38863" spans="1:26" ht="12.75" customHeight="1" x14ac:dyDescent="0.2">
      <c r="A38863" s="258"/>
      <c r="Z38863" s="258"/>
    </row>
    <row r="38864" spans="1:26" ht="12.75" customHeight="1" x14ac:dyDescent="0.2">
      <c r="A38864" s="258"/>
      <c r="Z38864" s="258"/>
    </row>
    <row r="38865" spans="1:26" ht="12.75" customHeight="1" x14ac:dyDescent="0.2">
      <c r="A38865" s="258"/>
      <c r="Z38865" s="258"/>
    </row>
    <row r="38866" spans="1:26" ht="12.75" customHeight="1" x14ac:dyDescent="0.2">
      <c r="A38866" s="258"/>
      <c r="Z38866" s="258"/>
    </row>
    <row r="38867" spans="1:26" ht="12.75" customHeight="1" x14ac:dyDescent="0.2">
      <c r="A38867" s="258"/>
      <c r="Z38867" s="258"/>
    </row>
    <row r="38868" spans="1:26" ht="12.75" customHeight="1" x14ac:dyDescent="0.2">
      <c r="A38868" s="258"/>
      <c r="Z38868" s="258"/>
    </row>
    <row r="38869" spans="1:26" ht="12.75" customHeight="1" x14ac:dyDescent="0.2">
      <c r="A38869" s="258"/>
      <c r="Z38869" s="258"/>
    </row>
    <row r="38870" spans="1:26" ht="12.75" customHeight="1" x14ac:dyDescent="0.2">
      <c r="A38870" s="258"/>
      <c r="Z38870" s="258"/>
    </row>
    <row r="38871" spans="1:26" ht="12.75" customHeight="1" x14ac:dyDescent="0.2">
      <c r="A38871" s="258"/>
      <c r="Z38871" s="258"/>
    </row>
    <row r="38872" spans="1:26" ht="12.75" customHeight="1" x14ac:dyDescent="0.2">
      <c r="A38872" s="258"/>
      <c r="Z38872" s="258"/>
    </row>
    <row r="38873" spans="1:26" ht="12.75" customHeight="1" x14ac:dyDescent="0.2">
      <c r="A38873" s="258"/>
      <c r="Z38873" s="258"/>
    </row>
    <row r="38874" spans="1:26" ht="12.75" customHeight="1" x14ac:dyDescent="0.2">
      <c r="A38874" s="258"/>
      <c r="Z38874" s="258"/>
    </row>
    <row r="38875" spans="1:26" ht="12.75" customHeight="1" x14ac:dyDescent="0.2">
      <c r="A38875" s="258"/>
      <c r="Z38875" s="258"/>
    </row>
    <row r="38876" spans="1:26" ht="12.75" customHeight="1" x14ac:dyDescent="0.2">
      <c r="A38876" s="258"/>
      <c r="Z38876" s="258"/>
    </row>
    <row r="38877" spans="1:26" ht="12.75" customHeight="1" x14ac:dyDescent="0.2">
      <c r="A38877" s="258"/>
      <c r="Z38877" s="258"/>
    </row>
    <row r="38878" spans="1:26" ht="12.75" customHeight="1" x14ac:dyDescent="0.2">
      <c r="A38878" s="258"/>
      <c r="Z38878" s="258"/>
    </row>
    <row r="38879" spans="1:26" ht="12.75" customHeight="1" x14ac:dyDescent="0.2">
      <c r="A38879" s="258"/>
      <c r="Z38879" s="258"/>
    </row>
    <row r="38880" spans="1:26" ht="12.75" customHeight="1" x14ac:dyDescent="0.2">
      <c r="A38880" s="258"/>
      <c r="Z38880" s="258"/>
    </row>
    <row r="38881" spans="1:26" ht="12.75" customHeight="1" x14ac:dyDescent="0.2">
      <c r="A38881" s="258"/>
      <c r="Z38881" s="258"/>
    </row>
    <row r="38882" spans="1:26" ht="12.75" customHeight="1" x14ac:dyDescent="0.2">
      <c r="A38882" s="258"/>
      <c r="Z38882" s="258"/>
    </row>
    <row r="38883" spans="1:26" ht="12.75" customHeight="1" x14ac:dyDescent="0.2">
      <c r="A38883" s="258"/>
      <c r="Z38883" s="258"/>
    </row>
    <row r="38884" spans="1:26" ht="12.75" customHeight="1" x14ac:dyDescent="0.2">
      <c r="A38884" s="258"/>
      <c r="Z38884" s="258"/>
    </row>
    <row r="38885" spans="1:26" ht="12.75" customHeight="1" x14ac:dyDescent="0.2">
      <c r="A38885" s="258"/>
      <c r="Z38885" s="258"/>
    </row>
    <row r="38886" spans="1:26" ht="12.75" customHeight="1" x14ac:dyDescent="0.2">
      <c r="A38886" s="258"/>
      <c r="Z38886" s="258"/>
    </row>
    <row r="38887" spans="1:26" ht="12.75" customHeight="1" x14ac:dyDescent="0.2">
      <c r="A38887" s="258"/>
      <c r="Z38887" s="258"/>
    </row>
    <row r="38888" spans="1:26" ht="12.75" customHeight="1" x14ac:dyDescent="0.2">
      <c r="A38888" s="258"/>
      <c r="Z38888" s="258"/>
    </row>
    <row r="38889" spans="1:26" ht="12.75" customHeight="1" x14ac:dyDescent="0.2">
      <c r="A38889" s="258"/>
      <c r="Z38889" s="258"/>
    </row>
    <row r="38890" spans="1:26" ht="12.75" customHeight="1" x14ac:dyDescent="0.2">
      <c r="A38890" s="258"/>
      <c r="Z38890" s="258"/>
    </row>
    <row r="38891" spans="1:26" ht="12.75" customHeight="1" x14ac:dyDescent="0.2">
      <c r="A38891" s="258"/>
      <c r="Z38891" s="258"/>
    </row>
    <row r="38892" spans="1:26" ht="12.75" customHeight="1" x14ac:dyDescent="0.2">
      <c r="A38892" s="258"/>
      <c r="Z38892" s="258"/>
    </row>
    <row r="38893" spans="1:26" ht="12.75" customHeight="1" x14ac:dyDescent="0.2">
      <c r="A38893" s="258"/>
      <c r="Z38893" s="258"/>
    </row>
    <row r="38894" spans="1:26" ht="12.75" customHeight="1" x14ac:dyDescent="0.2">
      <c r="A38894" s="258"/>
      <c r="Z38894" s="258"/>
    </row>
    <row r="38895" spans="1:26" ht="12.75" customHeight="1" x14ac:dyDescent="0.2">
      <c r="A38895" s="258"/>
      <c r="Z38895" s="258"/>
    </row>
    <row r="38896" spans="1:26" ht="12.75" customHeight="1" x14ac:dyDescent="0.2">
      <c r="A38896" s="258"/>
      <c r="Z38896" s="258"/>
    </row>
    <row r="38897" spans="1:26" ht="12.75" customHeight="1" x14ac:dyDescent="0.2">
      <c r="A38897" s="258"/>
      <c r="Z38897" s="258"/>
    </row>
    <row r="38898" spans="1:26" ht="12.75" customHeight="1" x14ac:dyDescent="0.2">
      <c r="A38898" s="258"/>
      <c r="Z38898" s="258"/>
    </row>
    <row r="38899" spans="1:26" ht="12.75" customHeight="1" x14ac:dyDescent="0.2">
      <c r="A38899" s="258"/>
      <c r="Z38899" s="258"/>
    </row>
    <row r="38900" spans="1:26" ht="12.75" customHeight="1" x14ac:dyDescent="0.2">
      <c r="A38900" s="258"/>
      <c r="Z38900" s="258"/>
    </row>
    <row r="38901" spans="1:26" ht="12.75" customHeight="1" x14ac:dyDescent="0.2">
      <c r="A38901" s="258"/>
      <c r="Z38901" s="258"/>
    </row>
    <row r="38902" spans="1:26" ht="12.75" customHeight="1" x14ac:dyDescent="0.2">
      <c r="A38902" s="258"/>
      <c r="Z38902" s="258"/>
    </row>
    <row r="38903" spans="1:26" ht="12.75" customHeight="1" x14ac:dyDescent="0.2">
      <c r="A38903" s="258"/>
      <c r="Z38903" s="258"/>
    </row>
    <row r="38904" spans="1:26" ht="12.75" customHeight="1" x14ac:dyDescent="0.2">
      <c r="A38904" s="258"/>
      <c r="Z38904" s="258"/>
    </row>
    <row r="38905" spans="1:26" ht="12.75" customHeight="1" x14ac:dyDescent="0.2">
      <c r="A38905" s="258"/>
      <c r="Z38905" s="258"/>
    </row>
    <row r="38906" spans="1:26" ht="12.75" customHeight="1" x14ac:dyDescent="0.2">
      <c r="A38906" s="258"/>
      <c r="Z38906" s="258"/>
    </row>
    <row r="38907" spans="1:26" ht="12.75" customHeight="1" x14ac:dyDescent="0.2">
      <c r="A38907" s="258"/>
      <c r="Z38907" s="258"/>
    </row>
    <row r="38908" spans="1:26" ht="12.75" customHeight="1" x14ac:dyDescent="0.2">
      <c r="A38908" s="258"/>
      <c r="Z38908" s="258"/>
    </row>
    <row r="38909" spans="1:26" ht="12.75" customHeight="1" x14ac:dyDescent="0.2">
      <c r="A38909" s="258"/>
      <c r="Z38909" s="258"/>
    </row>
    <row r="38910" spans="1:26" ht="12.75" customHeight="1" x14ac:dyDescent="0.2">
      <c r="A38910" s="258"/>
      <c r="Z38910" s="258"/>
    </row>
    <row r="38911" spans="1:26" ht="12.75" customHeight="1" x14ac:dyDescent="0.2">
      <c r="A38911" s="258"/>
      <c r="Z38911" s="258"/>
    </row>
    <row r="38912" spans="1:26" ht="12.75" customHeight="1" x14ac:dyDescent="0.2">
      <c r="A38912" s="258"/>
      <c r="Z38912" s="258"/>
    </row>
    <row r="38913" spans="1:26" ht="12.75" customHeight="1" x14ac:dyDescent="0.2">
      <c r="A38913" s="258"/>
      <c r="Z38913" s="258"/>
    </row>
    <row r="38914" spans="1:26" ht="12.75" customHeight="1" x14ac:dyDescent="0.2">
      <c r="A38914" s="258"/>
      <c r="Z38914" s="258"/>
    </row>
    <row r="38915" spans="1:26" ht="12.75" customHeight="1" x14ac:dyDescent="0.2">
      <c r="A38915" s="258"/>
      <c r="Z38915" s="258"/>
    </row>
    <row r="38916" spans="1:26" ht="12.75" customHeight="1" x14ac:dyDescent="0.2">
      <c r="A38916" s="258"/>
      <c r="Z38916" s="258"/>
    </row>
    <row r="38917" spans="1:26" ht="12.75" customHeight="1" x14ac:dyDescent="0.2">
      <c r="A38917" s="258"/>
      <c r="Z38917" s="258"/>
    </row>
    <row r="38918" spans="1:26" ht="12.75" customHeight="1" x14ac:dyDescent="0.2">
      <c r="A38918" s="258"/>
      <c r="Z38918" s="258"/>
    </row>
    <row r="38919" spans="1:26" ht="12.75" customHeight="1" x14ac:dyDescent="0.2">
      <c r="A38919" s="258"/>
      <c r="Z38919" s="258"/>
    </row>
    <row r="38920" spans="1:26" ht="12.75" customHeight="1" x14ac:dyDescent="0.2">
      <c r="A38920" s="258"/>
      <c r="Z38920" s="258"/>
    </row>
    <row r="38921" spans="1:26" ht="12.75" customHeight="1" x14ac:dyDescent="0.2">
      <c r="A38921" s="258"/>
      <c r="Z38921" s="258"/>
    </row>
    <row r="38922" spans="1:26" ht="12.75" customHeight="1" x14ac:dyDescent="0.2">
      <c r="A38922" s="258"/>
      <c r="Z38922" s="258"/>
    </row>
    <row r="38923" spans="1:26" ht="12.75" customHeight="1" x14ac:dyDescent="0.2">
      <c r="A38923" s="258"/>
      <c r="Z38923" s="258"/>
    </row>
    <row r="38924" spans="1:26" ht="12.75" customHeight="1" x14ac:dyDescent="0.2">
      <c r="A38924" s="258"/>
      <c r="Z38924" s="258"/>
    </row>
    <row r="38925" spans="1:26" ht="12.75" customHeight="1" x14ac:dyDescent="0.2">
      <c r="A38925" s="258"/>
      <c r="Z38925" s="258"/>
    </row>
    <row r="38926" spans="1:26" ht="12.75" customHeight="1" x14ac:dyDescent="0.2">
      <c r="A38926" s="258"/>
      <c r="Z38926" s="258"/>
    </row>
    <row r="38927" spans="1:26" ht="12.75" customHeight="1" x14ac:dyDescent="0.2">
      <c r="A38927" s="258"/>
      <c r="Z38927" s="258"/>
    </row>
    <row r="38928" spans="1:26" ht="12.75" customHeight="1" x14ac:dyDescent="0.2">
      <c r="A38928" s="258"/>
      <c r="Z38928" s="258"/>
    </row>
    <row r="38929" spans="1:26" ht="12.75" customHeight="1" x14ac:dyDescent="0.2">
      <c r="A38929" s="258"/>
      <c r="Z38929" s="258"/>
    </row>
    <row r="38930" spans="1:26" ht="12.75" customHeight="1" x14ac:dyDescent="0.2">
      <c r="A38930" s="258"/>
      <c r="Z38930" s="258"/>
    </row>
    <row r="38931" spans="1:26" ht="12.75" customHeight="1" x14ac:dyDescent="0.2">
      <c r="A38931" s="258"/>
      <c r="Z38931" s="258"/>
    </row>
    <row r="38932" spans="1:26" ht="12.75" customHeight="1" x14ac:dyDescent="0.2">
      <c r="A38932" s="258"/>
      <c r="Z38932" s="258"/>
    </row>
    <row r="38933" spans="1:26" ht="12.75" customHeight="1" x14ac:dyDescent="0.2">
      <c r="A38933" s="258"/>
      <c r="Z38933" s="258"/>
    </row>
    <row r="38934" spans="1:26" ht="12.75" customHeight="1" x14ac:dyDescent="0.2">
      <c r="A38934" s="258"/>
      <c r="Z38934" s="258"/>
    </row>
    <row r="38935" spans="1:26" ht="12.75" customHeight="1" x14ac:dyDescent="0.2">
      <c r="A38935" s="258"/>
      <c r="Z38935" s="258"/>
    </row>
    <row r="38936" spans="1:26" ht="12.75" customHeight="1" x14ac:dyDescent="0.2">
      <c r="A38936" s="258"/>
      <c r="Z38936" s="258"/>
    </row>
    <row r="38937" spans="1:26" ht="12.75" customHeight="1" x14ac:dyDescent="0.2">
      <c r="A38937" s="258"/>
      <c r="Z38937" s="258"/>
    </row>
    <row r="38938" spans="1:26" ht="12.75" customHeight="1" x14ac:dyDescent="0.2">
      <c r="A38938" s="258"/>
      <c r="Z38938" s="258"/>
    </row>
    <row r="38939" spans="1:26" ht="12.75" customHeight="1" x14ac:dyDescent="0.2">
      <c r="A38939" s="258"/>
      <c r="Z38939" s="258"/>
    </row>
    <row r="38940" spans="1:26" ht="12.75" customHeight="1" x14ac:dyDescent="0.2">
      <c r="A38940" s="258"/>
      <c r="Z38940" s="258"/>
    </row>
    <row r="38941" spans="1:26" ht="12.75" customHeight="1" x14ac:dyDescent="0.2">
      <c r="A38941" s="258"/>
      <c r="Z38941" s="258"/>
    </row>
    <row r="38942" spans="1:26" ht="12.75" customHeight="1" x14ac:dyDescent="0.2">
      <c r="A38942" s="258"/>
      <c r="Z38942" s="258"/>
    </row>
    <row r="38943" spans="1:26" ht="12.75" customHeight="1" x14ac:dyDescent="0.2">
      <c r="A38943" s="258"/>
      <c r="Z38943" s="258"/>
    </row>
    <row r="38944" spans="1:26" ht="12.75" customHeight="1" x14ac:dyDescent="0.2">
      <c r="A38944" s="258"/>
      <c r="Z38944" s="258"/>
    </row>
    <row r="38945" spans="1:26" ht="12.75" customHeight="1" x14ac:dyDescent="0.2">
      <c r="A38945" s="258"/>
      <c r="Z38945" s="258"/>
    </row>
    <row r="38946" spans="1:26" ht="12.75" customHeight="1" x14ac:dyDescent="0.2">
      <c r="A38946" s="258"/>
      <c r="Z38946" s="258"/>
    </row>
    <row r="38947" spans="1:26" ht="12.75" customHeight="1" x14ac:dyDescent="0.2">
      <c r="A38947" s="258"/>
      <c r="Z38947" s="258"/>
    </row>
    <row r="38948" spans="1:26" ht="12.75" customHeight="1" x14ac:dyDescent="0.2">
      <c r="A38948" s="258"/>
      <c r="Z38948" s="258"/>
    </row>
    <row r="38949" spans="1:26" ht="12.75" customHeight="1" x14ac:dyDescent="0.2">
      <c r="A38949" s="258"/>
      <c r="Z38949" s="258"/>
    </row>
    <row r="38950" spans="1:26" ht="12.75" customHeight="1" x14ac:dyDescent="0.2">
      <c r="A38950" s="258"/>
      <c r="Z38950" s="258"/>
    </row>
    <row r="38951" spans="1:26" ht="12.75" customHeight="1" x14ac:dyDescent="0.2">
      <c r="A38951" s="258"/>
      <c r="Z38951" s="258"/>
    </row>
    <row r="38952" spans="1:26" ht="12.75" customHeight="1" x14ac:dyDescent="0.2">
      <c r="A38952" s="258"/>
      <c r="Z38952" s="258"/>
    </row>
    <row r="38953" spans="1:26" ht="12.75" customHeight="1" x14ac:dyDescent="0.2">
      <c r="A38953" s="258"/>
      <c r="Z38953" s="258"/>
    </row>
    <row r="38954" spans="1:26" ht="12.75" customHeight="1" x14ac:dyDescent="0.2">
      <c r="A38954" s="258"/>
      <c r="Z38954" s="258"/>
    </row>
    <row r="38955" spans="1:26" ht="12.75" customHeight="1" x14ac:dyDescent="0.2">
      <c r="A38955" s="258"/>
      <c r="Z38955" s="258"/>
    </row>
    <row r="38956" spans="1:26" ht="12.75" customHeight="1" x14ac:dyDescent="0.2">
      <c r="A38956" s="258"/>
      <c r="Z38956" s="258"/>
    </row>
    <row r="38957" spans="1:26" ht="12.75" customHeight="1" x14ac:dyDescent="0.2">
      <c r="A38957" s="258"/>
      <c r="Z38957" s="258"/>
    </row>
    <row r="38958" spans="1:26" ht="12.75" customHeight="1" x14ac:dyDescent="0.2">
      <c r="A38958" s="258"/>
      <c r="Z38958" s="258"/>
    </row>
    <row r="38959" spans="1:26" ht="12.75" customHeight="1" x14ac:dyDescent="0.2">
      <c r="A38959" s="258"/>
      <c r="Z38959" s="258"/>
    </row>
    <row r="38960" spans="1:26" ht="12.75" customHeight="1" x14ac:dyDescent="0.2">
      <c r="A38960" s="258"/>
      <c r="Z38960" s="258"/>
    </row>
    <row r="38961" spans="1:26" ht="12.75" customHeight="1" x14ac:dyDescent="0.2">
      <c r="A38961" s="258"/>
      <c r="Z38961" s="258"/>
    </row>
    <row r="38962" spans="1:26" ht="12.75" customHeight="1" x14ac:dyDescent="0.2">
      <c r="A38962" s="258"/>
      <c r="Z38962" s="258"/>
    </row>
    <row r="38963" spans="1:26" ht="12.75" customHeight="1" x14ac:dyDescent="0.2">
      <c r="A38963" s="258"/>
      <c r="Z38963" s="258"/>
    </row>
    <row r="38964" spans="1:26" ht="12.75" customHeight="1" x14ac:dyDescent="0.2">
      <c r="A38964" s="258"/>
      <c r="Z38964" s="258"/>
    </row>
    <row r="38965" spans="1:26" ht="12.75" customHeight="1" x14ac:dyDescent="0.2">
      <c r="A38965" s="258"/>
      <c r="Z38965" s="258"/>
    </row>
    <row r="38966" spans="1:26" ht="12.75" customHeight="1" x14ac:dyDescent="0.2">
      <c r="A38966" s="258"/>
      <c r="Z38966" s="258"/>
    </row>
    <row r="38967" spans="1:26" ht="12.75" customHeight="1" x14ac:dyDescent="0.2">
      <c r="A38967" s="258"/>
      <c r="Z38967" s="258"/>
    </row>
    <row r="38968" spans="1:26" ht="12.75" customHeight="1" x14ac:dyDescent="0.2">
      <c r="A38968" s="258"/>
      <c r="Z38968" s="258"/>
    </row>
    <row r="38969" spans="1:26" ht="12.75" customHeight="1" x14ac:dyDescent="0.2">
      <c r="A38969" s="258"/>
      <c r="Z38969" s="258"/>
    </row>
    <row r="38970" spans="1:26" ht="12.75" customHeight="1" x14ac:dyDescent="0.2">
      <c r="A38970" s="258"/>
      <c r="Z38970" s="258"/>
    </row>
    <row r="38971" spans="1:26" ht="12.75" customHeight="1" x14ac:dyDescent="0.2">
      <c r="A38971" s="258"/>
      <c r="Z38971" s="258"/>
    </row>
    <row r="38972" spans="1:26" ht="12.75" customHeight="1" x14ac:dyDescent="0.2">
      <c r="A38972" s="258"/>
      <c r="Z38972" s="258"/>
    </row>
    <row r="38973" spans="1:26" ht="12.75" customHeight="1" x14ac:dyDescent="0.2">
      <c r="A38973" s="258"/>
      <c r="Z38973" s="258"/>
    </row>
    <row r="38974" spans="1:26" ht="12.75" customHeight="1" x14ac:dyDescent="0.2">
      <c r="A38974" s="258"/>
      <c r="Z38974" s="258"/>
    </row>
    <row r="38975" spans="1:26" ht="12.75" customHeight="1" x14ac:dyDescent="0.2">
      <c r="A38975" s="258"/>
      <c r="Z38975" s="258"/>
    </row>
    <row r="38976" spans="1:26" ht="12.75" customHeight="1" x14ac:dyDescent="0.2">
      <c r="A38976" s="258"/>
      <c r="Z38976" s="258"/>
    </row>
    <row r="38977" spans="1:26" ht="12.75" customHeight="1" x14ac:dyDescent="0.2">
      <c r="A38977" s="258"/>
      <c r="Z38977" s="258"/>
    </row>
    <row r="38978" spans="1:26" ht="12.75" customHeight="1" x14ac:dyDescent="0.2">
      <c r="A38978" s="258"/>
      <c r="Z38978" s="258"/>
    </row>
    <row r="38979" spans="1:26" ht="12.75" customHeight="1" x14ac:dyDescent="0.2">
      <c r="A38979" s="258"/>
      <c r="Z38979" s="258"/>
    </row>
    <row r="38980" spans="1:26" ht="12.75" customHeight="1" x14ac:dyDescent="0.2">
      <c r="A38980" s="258"/>
      <c r="Z38980" s="258"/>
    </row>
    <row r="38981" spans="1:26" ht="12.75" customHeight="1" x14ac:dyDescent="0.2">
      <c r="A38981" s="258"/>
      <c r="Z38981" s="258"/>
    </row>
    <row r="38982" spans="1:26" ht="12.75" customHeight="1" x14ac:dyDescent="0.2">
      <c r="A38982" s="258"/>
      <c r="Z38982" s="258"/>
    </row>
    <row r="38983" spans="1:26" ht="12.75" customHeight="1" x14ac:dyDescent="0.2">
      <c r="A38983" s="258"/>
      <c r="Z38983" s="258"/>
    </row>
    <row r="38984" spans="1:26" ht="12.75" customHeight="1" x14ac:dyDescent="0.2">
      <c r="A38984" s="258"/>
      <c r="Z38984" s="258"/>
    </row>
    <row r="38985" spans="1:26" ht="12.75" customHeight="1" x14ac:dyDescent="0.2">
      <c r="A38985" s="258"/>
      <c r="Z38985" s="258"/>
    </row>
    <row r="38986" spans="1:26" ht="12.75" customHeight="1" x14ac:dyDescent="0.2">
      <c r="A38986" s="258"/>
      <c r="Z38986" s="258"/>
    </row>
    <row r="38987" spans="1:26" ht="12.75" customHeight="1" x14ac:dyDescent="0.2">
      <c r="A38987" s="258"/>
      <c r="Z38987" s="258"/>
    </row>
    <row r="38988" spans="1:26" ht="12.75" customHeight="1" x14ac:dyDescent="0.2">
      <c r="A38988" s="258"/>
      <c r="Z38988" s="258"/>
    </row>
    <row r="38989" spans="1:26" ht="12.75" customHeight="1" x14ac:dyDescent="0.2">
      <c r="A38989" s="258"/>
      <c r="Z38989" s="258"/>
    </row>
    <row r="38990" spans="1:26" ht="12.75" customHeight="1" x14ac:dyDescent="0.2">
      <c r="A38990" s="258"/>
      <c r="Z38990" s="258"/>
    </row>
    <row r="38991" spans="1:26" ht="12.75" customHeight="1" x14ac:dyDescent="0.2">
      <c r="A38991" s="258"/>
      <c r="Z38991" s="258"/>
    </row>
    <row r="38992" spans="1:26" ht="12.75" customHeight="1" x14ac:dyDescent="0.2">
      <c r="A38992" s="258"/>
      <c r="Z38992" s="258"/>
    </row>
    <row r="38993" spans="1:26" ht="12.75" customHeight="1" x14ac:dyDescent="0.2">
      <c r="A38993" s="258"/>
      <c r="Z38993" s="258"/>
    </row>
    <row r="38994" spans="1:26" ht="12.75" customHeight="1" x14ac:dyDescent="0.2">
      <c r="A38994" s="258"/>
      <c r="Z38994" s="258"/>
    </row>
    <row r="38995" spans="1:26" ht="12.75" customHeight="1" x14ac:dyDescent="0.2">
      <c r="A38995" s="258"/>
      <c r="Z38995" s="258"/>
    </row>
    <row r="38996" spans="1:26" ht="12.75" customHeight="1" x14ac:dyDescent="0.2">
      <c r="A38996" s="258"/>
      <c r="Z38996" s="258"/>
    </row>
    <row r="38997" spans="1:26" ht="12.75" customHeight="1" x14ac:dyDescent="0.2">
      <c r="A38997" s="258"/>
      <c r="Z38997" s="258"/>
    </row>
    <row r="38998" spans="1:26" ht="12.75" customHeight="1" x14ac:dyDescent="0.2">
      <c r="A38998" s="258"/>
      <c r="Z38998" s="258"/>
    </row>
    <row r="38999" spans="1:26" ht="12.75" customHeight="1" x14ac:dyDescent="0.2">
      <c r="A38999" s="258"/>
      <c r="Z38999" s="258"/>
    </row>
    <row r="39000" spans="1:26" ht="12.75" customHeight="1" x14ac:dyDescent="0.2">
      <c r="A39000" s="258"/>
      <c r="Z39000" s="258"/>
    </row>
    <row r="39001" spans="1:26" ht="12.75" customHeight="1" x14ac:dyDescent="0.2">
      <c r="A39001" s="258"/>
      <c r="Z39001" s="258"/>
    </row>
    <row r="39002" spans="1:26" ht="12.75" customHeight="1" x14ac:dyDescent="0.2">
      <c r="A39002" s="258"/>
      <c r="Z39002" s="258"/>
    </row>
    <row r="39003" spans="1:26" ht="12.75" customHeight="1" x14ac:dyDescent="0.2">
      <c r="A39003" s="258"/>
      <c r="Z39003" s="258"/>
    </row>
    <row r="39004" spans="1:26" ht="12.75" customHeight="1" x14ac:dyDescent="0.2">
      <c r="A39004" s="258"/>
      <c r="Z39004" s="258"/>
    </row>
    <row r="39005" spans="1:26" ht="12.75" customHeight="1" x14ac:dyDescent="0.2">
      <c r="A39005" s="258"/>
      <c r="Z39005" s="258"/>
    </row>
    <row r="39006" spans="1:26" ht="12.75" customHeight="1" x14ac:dyDescent="0.2">
      <c r="A39006" s="258"/>
      <c r="Z39006" s="258"/>
    </row>
    <row r="39007" spans="1:26" ht="12.75" customHeight="1" x14ac:dyDescent="0.2">
      <c r="A39007" s="258"/>
      <c r="Z39007" s="258"/>
    </row>
    <row r="39008" spans="1:26" ht="12.75" customHeight="1" x14ac:dyDescent="0.2">
      <c r="A39008" s="258"/>
      <c r="Z39008" s="258"/>
    </row>
    <row r="39009" spans="1:26" ht="12.75" customHeight="1" x14ac:dyDescent="0.2">
      <c r="A39009" s="258"/>
      <c r="Z39009" s="258"/>
    </row>
    <row r="39010" spans="1:26" ht="12.75" customHeight="1" x14ac:dyDescent="0.2">
      <c r="A39010" s="258"/>
      <c r="Z39010" s="258"/>
    </row>
    <row r="39011" spans="1:26" ht="12.75" customHeight="1" x14ac:dyDescent="0.2">
      <c r="A39011" s="258"/>
      <c r="Z39011" s="258"/>
    </row>
    <row r="39012" spans="1:26" ht="12.75" customHeight="1" x14ac:dyDescent="0.2">
      <c r="A39012" s="258"/>
      <c r="Z39012" s="258"/>
    </row>
    <row r="39013" spans="1:26" ht="12.75" customHeight="1" x14ac:dyDescent="0.2">
      <c r="A39013" s="258"/>
      <c r="Z39013" s="258"/>
    </row>
    <row r="39014" spans="1:26" ht="12.75" customHeight="1" x14ac:dyDescent="0.2">
      <c r="A39014" s="258"/>
      <c r="Z39014" s="258"/>
    </row>
    <row r="39015" spans="1:26" ht="12.75" customHeight="1" x14ac:dyDescent="0.2">
      <c r="A39015" s="258"/>
      <c r="Z39015" s="258"/>
    </row>
    <row r="39016" spans="1:26" ht="12.75" customHeight="1" x14ac:dyDescent="0.2">
      <c r="A39016" s="258"/>
      <c r="Z39016" s="258"/>
    </row>
    <row r="39017" spans="1:26" ht="12.75" customHeight="1" x14ac:dyDescent="0.2">
      <c r="A39017" s="258"/>
      <c r="Z39017" s="258"/>
    </row>
    <row r="39018" spans="1:26" ht="12.75" customHeight="1" x14ac:dyDescent="0.2">
      <c r="A39018" s="258"/>
      <c r="Z39018" s="258"/>
    </row>
    <row r="39019" spans="1:26" ht="12.75" customHeight="1" x14ac:dyDescent="0.2">
      <c r="A39019" s="258"/>
      <c r="Z39019" s="258"/>
    </row>
    <row r="39020" spans="1:26" ht="12.75" customHeight="1" x14ac:dyDescent="0.2">
      <c r="A39020" s="258"/>
      <c r="Z39020" s="258"/>
    </row>
    <row r="39021" spans="1:26" ht="12.75" customHeight="1" x14ac:dyDescent="0.2">
      <c r="A39021" s="258"/>
      <c r="Z39021" s="258"/>
    </row>
    <row r="39022" spans="1:26" ht="12.75" customHeight="1" x14ac:dyDescent="0.2">
      <c r="A39022" s="258"/>
      <c r="Z39022" s="258"/>
    </row>
    <row r="39023" spans="1:26" ht="12.75" customHeight="1" x14ac:dyDescent="0.2">
      <c r="A39023" s="258"/>
      <c r="Z39023" s="258"/>
    </row>
    <row r="39024" spans="1:26" ht="12.75" customHeight="1" x14ac:dyDescent="0.2">
      <c r="A39024" s="258"/>
      <c r="Z39024" s="258"/>
    </row>
    <row r="39025" spans="1:26" ht="12.75" customHeight="1" x14ac:dyDescent="0.2">
      <c r="A39025" s="258"/>
      <c r="Z39025" s="258"/>
    </row>
    <row r="39026" spans="1:26" ht="12.75" customHeight="1" x14ac:dyDescent="0.2">
      <c r="A39026" s="258"/>
      <c r="Z39026" s="258"/>
    </row>
    <row r="39027" spans="1:26" ht="12.75" customHeight="1" x14ac:dyDescent="0.2">
      <c r="A39027" s="258"/>
      <c r="Z39027" s="258"/>
    </row>
    <row r="39028" spans="1:26" ht="12.75" customHeight="1" x14ac:dyDescent="0.2">
      <c r="A39028" s="258"/>
      <c r="Z39028" s="258"/>
    </row>
    <row r="39029" spans="1:26" ht="12.75" customHeight="1" x14ac:dyDescent="0.2">
      <c r="A39029" s="258"/>
      <c r="Z39029" s="258"/>
    </row>
    <row r="39030" spans="1:26" ht="12.75" customHeight="1" x14ac:dyDescent="0.2">
      <c r="A39030" s="258"/>
      <c r="Z39030" s="258"/>
    </row>
    <row r="39031" spans="1:26" ht="12.75" customHeight="1" x14ac:dyDescent="0.2">
      <c r="A39031" s="258"/>
      <c r="Z39031" s="258"/>
    </row>
    <row r="39032" spans="1:26" ht="12.75" customHeight="1" x14ac:dyDescent="0.2">
      <c r="A39032" s="258"/>
      <c r="Z39032" s="258"/>
    </row>
    <row r="39033" spans="1:26" ht="12.75" customHeight="1" x14ac:dyDescent="0.2">
      <c r="A39033" s="258"/>
      <c r="Z39033" s="258"/>
    </row>
    <row r="39034" spans="1:26" ht="12.75" customHeight="1" x14ac:dyDescent="0.2">
      <c r="A39034" s="258"/>
      <c r="Z39034" s="258"/>
    </row>
    <row r="39035" spans="1:26" ht="12.75" customHeight="1" x14ac:dyDescent="0.2">
      <c r="A39035" s="258"/>
      <c r="Z39035" s="258"/>
    </row>
    <row r="39036" spans="1:26" ht="12.75" customHeight="1" x14ac:dyDescent="0.2">
      <c r="A39036" s="258"/>
      <c r="Z39036" s="258"/>
    </row>
    <row r="39037" spans="1:26" ht="12.75" customHeight="1" x14ac:dyDescent="0.2">
      <c r="A39037" s="258"/>
      <c r="Z39037" s="258"/>
    </row>
    <row r="39038" spans="1:26" ht="12.75" customHeight="1" x14ac:dyDescent="0.2">
      <c r="A39038" s="258"/>
      <c r="Z39038" s="258"/>
    </row>
    <row r="39039" spans="1:26" ht="12.75" customHeight="1" x14ac:dyDescent="0.2">
      <c r="A39039" s="258"/>
      <c r="Z39039" s="258"/>
    </row>
    <row r="39040" spans="1:26" ht="12.75" customHeight="1" x14ac:dyDescent="0.2">
      <c r="A39040" s="258"/>
      <c r="Z39040" s="258"/>
    </row>
    <row r="39041" spans="1:26" ht="12.75" customHeight="1" x14ac:dyDescent="0.2">
      <c r="A39041" s="258"/>
      <c r="Z39041" s="258"/>
    </row>
    <row r="39042" spans="1:26" ht="12.75" customHeight="1" x14ac:dyDescent="0.2">
      <c r="A39042" s="258"/>
      <c r="Z39042" s="258"/>
    </row>
    <row r="39043" spans="1:26" ht="12.75" customHeight="1" x14ac:dyDescent="0.2">
      <c r="A39043" s="258"/>
      <c r="Z39043" s="258"/>
    </row>
    <row r="39044" spans="1:26" ht="12.75" customHeight="1" x14ac:dyDescent="0.2">
      <c r="A39044" s="258"/>
      <c r="Z39044" s="258"/>
    </row>
    <row r="39045" spans="1:26" ht="12.75" customHeight="1" x14ac:dyDescent="0.2">
      <c r="A39045" s="258"/>
      <c r="Z39045" s="258"/>
    </row>
    <row r="39046" spans="1:26" ht="12.75" customHeight="1" x14ac:dyDescent="0.2">
      <c r="A39046" s="258"/>
      <c r="Z39046" s="258"/>
    </row>
    <row r="39047" spans="1:26" ht="12.75" customHeight="1" x14ac:dyDescent="0.2">
      <c r="A39047" s="258"/>
      <c r="Z39047" s="258"/>
    </row>
    <row r="39048" spans="1:26" ht="12.75" customHeight="1" x14ac:dyDescent="0.2">
      <c r="A39048" s="258"/>
      <c r="Z39048" s="258"/>
    </row>
    <row r="39049" spans="1:26" ht="12.75" customHeight="1" x14ac:dyDescent="0.2">
      <c r="A39049" s="258"/>
      <c r="Z39049" s="258"/>
    </row>
    <row r="39050" spans="1:26" ht="12.75" customHeight="1" x14ac:dyDescent="0.2">
      <c r="A39050" s="258"/>
      <c r="Z39050" s="258"/>
    </row>
    <row r="39051" spans="1:26" ht="12.75" customHeight="1" x14ac:dyDescent="0.2">
      <c r="A39051" s="258"/>
      <c r="Z39051" s="258"/>
    </row>
    <row r="39052" spans="1:26" ht="12.75" customHeight="1" x14ac:dyDescent="0.2">
      <c r="A39052" s="258"/>
      <c r="Z39052" s="258"/>
    </row>
    <row r="39053" spans="1:26" ht="12.75" customHeight="1" x14ac:dyDescent="0.2">
      <c r="A39053" s="258"/>
      <c r="Z39053" s="258"/>
    </row>
    <row r="39054" spans="1:26" ht="12.75" customHeight="1" x14ac:dyDescent="0.2">
      <c r="A39054" s="258"/>
      <c r="Z39054" s="258"/>
    </row>
    <row r="39055" spans="1:26" ht="12.75" customHeight="1" x14ac:dyDescent="0.2">
      <c r="A39055" s="258"/>
      <c r="Z39055" s="258"/>
    </row>
    <row r="39056" spans="1:26" ht="12.75" customHeight="1" x14ac:dyDescent="0.2">
      <c r="A39056" s="258"/>
      <c r="Z39056" s="258"/>
    </row>
    <row r="39057" spans="1:26" ht="12.75" customHeight="1" x14ac:dyDescent="0.2">
      <c r="A39057" s="258"/>
      <c r="Z39057" s="258"/>
    </row>
    <row r="39058" spans="1:26" ht="12.75" customHeight="1" x14ac:dyDescent="0.2">
      <c r="A39058" s="258"/>
      <c r="Z39058" s="258"/>
    </row>
    <row r="39059" spans="1:26" ht="12.75" customHeight="1" x14ac:dyDescent="0.2">
      <c r="A39059" s="258"/>
      <c r="Z39059" s="258"/>
    </row>
    <row r="39060" spans="1:26" ht="12.75" customHeight="1" x14ac:dyDescent="0.2">
      <c r="A39060" s="258"/>
      <c r="Z39060" s="258"/>
    </row>
    <row r="39061" spans="1:26" ht="12.75" customHeight="1" x14ac:dyDescent="0.2">
      <c r="A39061" s="258"/>
      <c r="Z39061" s="258"/>
    </row>
    <row r="39062" spans="1:26" ht="12.75" customHeight="1" x14ac:dyDescent="0.2">
      <c r="A39062" s="258"/>
      <c r="Z39062" s="258"/>
    </row>
    <row r="39063" spans="1:26" ht="12.75" customHeight="1" x14ac:dyDescent="0.2">
      <c r="A39063" s="258"/>
      <c r="Z39063" s="258"/>
    </row>
    <row r="39064" spans="1:26" ht="12.75" customHeight="1" x14ac:dyDescent="0.2">
      <c r="A39064" s="258"/>
      <c r="Z39064" s="258"/>
    </row>
    <row r="39065" spans="1:26" ht="12.75" customHeight="1" x14ac:dyDescent="0.2">
      <c r="A39065" s="258"/>
      <c r="Z39065" s="258"/>
    </row>
    <row r="39066" spans="1:26" ht="12.75" customHeight="1" x14ac:dyDescent="0.2">
      <c r="A39066" s="258"/>
      <c r="Z39066" s="258"/>
    </row>
    <row r="39067" spans="1:26" ht="12.75" customHeight="1" x14ac:dyDescent="0.2">
      <c r="A39067" s="258"/>
      <c r="Z39067" s="258"/>
    </row>
    <row r="39068" spans="1:26" ht="12.75" customHeight="1" x14ac:dyDescent="0.2">
      <c r="A39068" s="258"/>
      <c r="Z39068" s="258"/>
    </row>
    <row r="39069" spans="1:26" ht="12.75" customHeight="1" x14ac:dyDescent="0.2">
      <c r="A39069" s="258"/>
      <c r="Z39069" s="258"/>
    </row>
    <row r="39070" spans="1:26" ht="12.75" customHeight="1" x14ac:dyDescent="0.2">
      <c r="A39070" s="258"/>
      <c r="Z39070" s="258"/>
    </row>
    <row r="39071" spans="1:26" ht="12.75" customHeight="1" x14ac:dyDescent="0.2">
      <c r="A39071" s="258"/>
      <c r="Z39071" s="258"/>
    </row>
    <row r="39072" spans="1:26" ht="12.75" customHeight="1" x14ac:dyDescent="0.2">
      <c r="A39072" s="258"/>
      <c r="Z39072" s="258"/>
    </row>
    <row r="39073" spans="1:26" ht="12.75" customHeight="1" x14ac:dyDescent="0.2">
      <c r="A39073" s="258"/>
      <c r="Z39073" s="258"/>
    </row>
    <row r="39074" spans="1:26" ht="12.75" customHeight="1" x14ac:dyDescent="0.2">
      <c r="A39074" s="258"/>
      <c r="Z39074" s="258"/>
    </row>
    <row r="39075" spans="1:26" ht="12.75" customHeight="1" x14ac:dyDescent="0.2">
      <c r="A39075" s="258"/>
      <c r="Z39075" s="258"/>
    </row>
    <row r="39076" spans="1:26" ht="12.75" customHeight="1" x14ac:dyDescent="0.2">
      <c r="A39076" s="258"/>
      <c r="Z39076" s="258"/>
    </row>
    <row r="39077" spans="1:26" ht="12.75" customHeight="1" x14ac:dyDescent="0.2">
      <c r="A39077" s="258"/>
      <c r="Z39077" s="258"/>
    </row>
    <row r="39078" spans="1:26" ht="12.75" customHeight="1" x14ac:dyDescent="0.2">
      <c r="A39078" s="258"/>
      <c r="Z39078" s="258"/>
    </row>
    <row r="39079" spans="1:26" ht="12.75" customHeight="1" x14ac:dyDescent="0.2">
      <c r="A39079" s="258"/>
      <c r="Z39079" s="258"/>
    </row>
    <row r="39080" spans="1:26" ht="12.75" customHeight="1" x14ac:dyDescent="0.2">
      <c r="A39080" s="258"/>
      <c r="Z39080" s="258"/>
    </row>
    <row r="39081" spans="1:26" ht="12.75" customHeight="1" x14ac:dyDescent="0.2">
      <c r="A39081" s="258"/>
      <c r="Z39081" s="258"/>
    </row>
    <row r="39082" spans="1:26" ht="12.75" customHeight="1" x14ac:dyDescent="0.2">
      <c r="A39082" s="258"/>
      <c r="Z39082" s="258"/>
    </row>
    <row r="39083" spans="1:26" ht="12.75" customHeight="1" x14ac:dyDescent="0.2">
      <c r="A39083" s="258"/>
      <c r="Z39083" s="258"/>
    </row>
    <row r="39084" spans="1:26" ht="12.75" customHeight="1" x14ac:dyDescent="0.2">
      <c r="A39084" s="258"/>
      <c r="Z39084" s="258"/>
    </row>
    <row r="39085" spans="1:26" ht="12.75" customHeight="1" x14ac:dyDescent="0.2">
      <c r="A39085" s="258"/>
      <c r="Z39085" s="258"/>
    </row>
    <row r="39086" spans="1:26" ht="12.75" customHeight="1" x14ac:dyDescent="0.2">
      <c r="A39086" s="258"/>
      <c r="Z39086" s="258"/>
    </row>
    <row r="39087" spans="1:26" ht="12.75" customHeight="1" x14ac:dyDescent="0.2">
      <c r="A39087" s="258"/>
      <c r="Z39087" s="258"/>
    </row>
    <row r="39088" spans="1:26" ht="12.75" customHeight="1" x14ac:dyDescent="0.2">
      <c r="A39088" s="258"/>
      <c r="Z39088" s="258"/>
    </row>
    <row r="39089" spans="1:26" ht="12.75" customHeight="1" x14ac:dyDescent="0.2">
      <c r="A39089" s="258"/>
      <c r="Z39089" s="258"/>
    </row>
    <row r="39090" spans="1:26" ht="12.75" customHeight="1" x14ac:dyDescent="0.2">
      <c r="A39090" s="258"/>
      <c r="Z39090" s="258"/>
    </row>
    <row r="39091" spans="1:26" ht="12.75" customHeight="1" x14ac:dyDescent="0.2">
      <c r="A39091" s="258"/>
      <c r="Z39091" s="258"/>
    </row>
    <row r="39092" spans="1:26" ht="12.75" customHeight="1" x14ac:dyDescent="0.2">
      <c r="A39092" s="258"/>
      <c r="Z39092" s="258"/>
    </row>
    <row r="39093" spans="1:26" ht="12.75" customHeight="1" x14ac:dyDescent="0.2">
      <c r="A39093" s="258"/>
      <c r="Z39093" s="258"/>
    </row>
    <row r="39094" spans="1:26" ht="12.75" customHeight="1" x14ac:dyDescent="0.2">
      <c r="A39094" s="258"/>
      <c r="Z39094" s="258"/>
    </row>
    <row r="39095" spans="1:26" ht="12.75" customHeight="1" x14ac:dyDescent="0.2">
      <c r="A39095" s="258"/>
      <c r="Z39095" s="258"/>
    </row>
    <row r="39096" spans="1:26" ht="12.75" customHeight="1" x14ac:dyDescent="0.2">
      <c r="A39096" s="258"/>
      <c r="Z39096" s="258"/>
    </row>
    <row r="39097" spans="1:26" ht="12.75" customHeight="1" x14ac:dyDescent="0.2">
      <c r="A39097" s="258"/>
      <c r="Z39097" s="258"/>
    </row>
    <row r="39098" spans="1:26" ht="12.75" customHeight="1" x14ac:dyDescent="0.2">
      <c r="A39098" s="258"/>
      <c r="Z39098" s="258"/>
    </row>
    <row r="39099" spans="1:26" ht="12.75" customHeight="1" x14ac:dyDescent="0.2">
      <c r="A39099" s="258"/>
      <c r="Z39099" s="258"/>
    </row>
    <row r="39100" spans="1:26" ht="12.75" customHeight="1" x14ac:dyDescent="0.2">
      <c r="A39100" s="258"/>
      <c r="Z39100" s="258"/>
    </row>
    <row r="39101" spans="1:26" ht="12.75" customHeight="1" x14ac:dyDescent="0.2">
      <c r="A39101" s="258"/>
      <c r="Z39101" s="258"/>
    </row>
    <row r="39102" spans="1:26" ht="12.75" customHeight="1" x14ac:dyDescent="0.2">
      <c r="A39102" s="258"/>
      <c r="Z39102" s="258"/>
    </row>
    <row r="39103" spans="1:26" ht="12.75" customHeight="1" x14ac:dyDescent="0.2">
      <c r="A39103" s="258"/>
      <c r="Z39103" s="258"/>
    </row>
    <row r="39104" spans="1:26" ht="12.75" customHeight="1" x14ac:dyDescent="0.2">
      <c r="A39104" s="258"/>
      <c r="Z39104" s="258"/>
    </row>
    <row r="39105" spans="1:26" ht="12.75" customHeight="1" x14ac:dyDescent="0.2">
      <c r="A39105" s="258"/>
      <c r="Z39105" s="258"/>
    </row>
    <row r="39106" spans="1:26" ht="12.75" customHeight="1" x14ac:dyDescent="0.2">
      <c r="A39106" s="258"/>
      <c r="Z39106" s="258"/>
    </row>
    <row r="39107" spans="1:26" ht="12.75" customHeight="1" x14ac:dyDescent="0.2">
      <c r="A39107" s="258"/>
      <c r="Z39107" s="258"/>
    </row>
    <row r="39108" spans="1:26" ht="12.75" customHeight="1" x14ac:dyDescent="0.2">
      <c r="A39108" s="258"/>
      <c r="Z39108" s="258"/>
    </row>
    <row r="39109" spans="1:26" ht="12.75" customHeight="1" x14ac:dyDescent="0.2">
      <c r="A39109" s="258"/>
      <c r="Z39109" s="258"/>
    </row>
    <row r="39110" spans="1:26" ht="12.75" customHeight="1" x14ac:dyDescent="0.2">
      <c r="A39110" s="258"/>
      <c r="Z39110" s="258"/>
    </row>
    <row r="39111" spans="1:26" ht="12.75" customHeight="1" x14ac:dyDescent="0.2">
      <c r="A39111" s="258"/>
      <c r="Z39111" s="258"/>
    </row>
    <row r="39112" spans="1:26" ht="12.75" customHeight="1" x14ac:dyDescent="0.2">
      <c r="A39112" s="258"/>
      <c r="Z39112" s="258"/>
    </row>
    <row r="39113" spans="1:26" ht="12.75" customHeight="1" x14ac:dyDescent="0.2">
      <c r="A39113" s="258"/>
      <c r="Z39113" s="258"/>
    </row>
    <row r="39114" spans="1:26" ht="12.75" customHeight="1" x14ac:dyDescent="0.2">
      <c r="A39114" s="258"/>
      <c r="Z39114" s="258"/>
    </row>
    <row r="39115" spans="1:26" ht="12.75" customHeight="1" x14ac:dyDescent="0.2">
      <c r="A39115" s="258"/>
      <c r="Z39115" s="258"/>
    </row>
    <row r="39116" spans="1:26" ht="12.75" customHeight="1" x14ac:dyDescent="0.2">
      <c r="A39116" s="258"/>
      <c r="Z39116" s="258"/>
    </row>
    <row r="39117" spans="1:26" ht="12.75" customHeight="1" x14ac:dyDescent="0.2">
      <c r="A39117" s="258"/>
      <c r="Z39117" s="258"/>
    </row>
    <row r="39118" spans="1:26" ht="12.75" customHeight="1" x14ac:dyDescent="0.2">
      <c r="A39118" s="258"/>
      <c r="Z39118" s="258"/>
    </row>
    <row r="39119" spans="1:26" ht="12.75" customHeight="1" x14ac:dyDescent="0.2">
      <c r="A39119" s="258"/>
      <c r="Z39119" s="258"/>
    </row>
    <row r="39120" spans="1:26" ht="12.75" customHeight="1" x14ac:dyDescent="0.2">
      <c r="A39120" s="258"/>
      <c r="Z39120" s="258"/>
    </row>
    <row r="39121" spans="1:26" ht="12.75" customHeight="1" x14ac:dyDescent="0.2">
      <c r="A39121" s="258"/>
      <c r="Z39121" s="258"/>
    </row>
    <row r="39122" spans="1:26" ht="12.75" customHeight="1" x14ac:dyDescent="0.2">
      <c r="A39122" s="258"/>
      <c r="Z39122" s="258"/>
    </row>
    <row r="39123" spans="1:26" ht="12.75" customHeight="1" x14ac:dyDescent="0.2">
      <c r="A39123" s="258"/>
      <c r="Z39123" s="258"/>
    </row>
    <row r="39124" spans="1:26" ht="12.75" customHeight="1" x14ac:dyDescent="0.2">
      <c r="A39124" s="258"/>
      <c r="Z39124" s="258"/>
    </row>
    <row r="39125" spans="1:26" ht="12.75" customHeight="1" x14ac:dyDescent="0.2">
      <c r="A39125" s="258"/>
      <c r="Z39125" s="258"/>
    </row>
    <row r="39126" spans="1:26" ht="12.75" customHeight="1" x14ac:dyDescent="0.2">
      <c r="A39126" s="258"/>
      <c r="Z39126" s="258"/>
    </row>
    <row r="39127" spans="1:26" ht="12.75" customHeight="1" x14ac:dyDescent="0.2">
      <c r="A39127" s="258"/>
      <c r="Z39127" s="258"/>
    </row>
    <row r="39128" spans="1:26" ht="12.75" customHeight="1" x14ac:dyDescent="0.2">
      <c r="A39128" s="258"/>
      <c r="Z39128" s="258"/>
    </row>
    <row r="39129" spans="1:26" ht="12.75" customHeight="1" x14ac:dyDescent="0.2">
      <c r="A39129" s="258"/>
      <c r="Z39129" s="258"/>
    </row>
    <row r="39130" spans="1:26" ht="12.75" customHeight="1" x14ac:dyDescent="0.2">
      <c r="A39130" s="258"/>
      <c r="Z39130" s="258"/>
    </row>
    <row r="39131" spans="1:26" ht="12.75" customHeight="1" x14ac:dyDescent="0.2">
      <c r="A39131" s="258"/>
      <c r="Z39131" s="258"/>
    </row>
    <row r="39132" spans="1:26" ht="12.75" customHeight="1" x14ac:dyDescent="0.2">
      <c r="A39132" s="258"/>
      <c r="Z39132" s="258"/>
    </row>
    <row r="39133" spans="1:26" ht="12.75" customHeight="1" x14ac:dyDescent="0.2">
      <c r="A39133" s="258"/>
      <c r="Z39133" s="258"/>
    </row>
    <row r="39134" spans="1:26" ht="12.75" customHeight="1" x14ac:dyDescent="0.2">
      <c r="A39134" s="258"/>
      <c r="Z39134" s="258"/>
    </row>
    <row r="39135" spans="1:26" ht="12.75" customHeight="1" x14ac:dyDescent="0.2">
      <c r="A39135" s="258"/>
      <c r="Z39135" s="258"/>
    </row>
    <row r="39136" spans="1:26" ht="12.75" customHeight="1" x14ac:dyDescent="0.2">
      <c r="A39136" s="258"/>
      <c r="Z39136" s="258"/>
    </row>
    <row r="39137" spans="1:26" ht="12.75" customHeight="1" x14ac:dyDescent="0.2">
      <c r="A39137" s="258"/>
      <c r="Z39137" s="258"/>
    </row>
    <row r="39138" spans="1:26" ht="12.75" customHeight="1" x14ac:dyDescent="0.2">
      <c r="A39138" s="258"/>
      <c r="Z39138" s="258"/>
    </row>
    <row r="39139" spans="1:26" ht="12.75" customHeight="1" x14ac:dyDescent="0.2">
      <c r="A39139" s="258"/>
      <c r="Z39139" s="258"/>
    </row>
    <row r="39140" spans="1:26" ht="12.75" customHeight="1" x14ac:dyDescent="0.2">
      <c r="A39140" s="258"/>
      <c r="Z39140" s="258"/>
    </row>
    <row r="39141" spans="1:26" ht="12.75" customHeight="1" x14ac:dyDescent="0.2">
      <c r="A39141" s="258"/>
      <c r="Z39141" s="258"/>
    </row>
    <row r="39142" spans="1:26" ht="12.75" customHeight="1" x14ac:dyDescent="0.2">
      <c r="A39142" s="258"/>
      <c r="Z39142" s="258"/>
    </row>
    <row r="39143" spans="1:26" ht="12.75" customHeight="1" x14ac:dyDescent="0.2">
      <c r="A39143" s="258"/>
      <c r="Z39143" s="258"/>
    </row>
    <row r="39144" spans="1:26" ht="12.75" customHeight="1" x14ac:dyDescent="0.2">
      <c r="A39144" s="258"/>
      <c r="Z39144" s="258"/>
    </row>
    <row r="39145" spans="1:26" ht="12.75" customHeight="1" x14ac:dyDescent="0.2">
      <c r="A39145" s="258"/>
      <c r="Z39145" s="258"/>
    </row>
    <row r="39146" spans="1:26" ht="12.75" customHeight="1" x14ac:dyDescent="0.2">
      <c r="A39146" s="258"/>
      <c r="Z39146" s="258"/>
    </row>
    <row r="39147" spans="1:26" ht="12.75" customHeight="1" x14ac:dyDescent="0.2">
      <c r="A39147" s="258"/>
      <c r="Z39147" s="258"/>
    </row>
    <row r="39148" spans="1:26" ht="12.75" customHeight="1" x14ac:dyDescent="0.2">
      <c r="A39148" s="258"/>
      <c r="Z39148" s="258"/>
    </row>
    <row r="39149" spans="1:26" ht="12.75" customHeight="1" x14ac:dyDescent="0.2">
      <c r="A39149" s="258"/>
      <c r="Z39149" s="258"/>
    </row>
    <row r="39150" spans="1:26" ht="12.75" customHeight="1" x14ac:dyDescent="0.2">
      <c r="A39150" s="258"/>
      <c r="Z39150" s="258"/>
    </row>
    <row r="39151" spans="1:26" ht="12.75" customHeight="1" x14ac:dyDescent="0.2">
      <c r="A39151" s="258"/>
      <c r="Z39151" s="258"/>
    </row>
    <row r="39152" spans="1:26" ht="12.75" customHeight="1" x14ac:dyDescent="0.2">
      <c r="A39152" s="258"/>
      <c r="Z39152" s="258"/>
    </row>
    <row r="39153" spans="1:26" ht="12.75" customHeight="1" x14ac:dyDescent="0.2">
      <c r="A39153" s="258"/>
      <c r="Z39153" s="258"/>
    </row>
    <row r="39154" spans="1:26" ht="12.75" customHeight="1" x14ac:dyDescent="0.2">
      <c r="A39154" s="258"/>
      <c r="Z39154" s="258"/>
    </row>
    <row r="39155" spans="1:26" ht="12.75" customHeight="1" x14ac:dyDescent="0.2">
      <c r="A39155" s="258"/>
      <c r="Z39155" s="258"/>
    </row>
    <row r="39156" spans="1:26" ht="12.75" customHeight="1" x14ac:dyDescent="0.2">
      <c r="A39156" s="258"/>
      <c r="Z39156" s="258"/>
    </row>
    <row r="39157" spans="1:26" ht="12.75" customHeight="1" x14ac:dyDescent="0.2">
      <c r="A39157" s="258"/>
      <c r="Z39157" s="258"/>
    </row>
    <row r="39158" spans="1:26" ht="12.75" customHeight="1" x14ac:dyDescent="0.2">
      <c r="A39158" s="258"/>
      <c r="Z39158" s="258"/>
    </row>
    <row r="39159" spans="1:26" ht="12.75" customHeight="1" x14ac:dyDescent="0.2">
      <c r="A39159" s="258"/>
      <c r="Z39159" s="258"/>
    </row>
    <row r="39160" spans="1:26" ht="12.75" customHeight="1" x14ac:dyDescent="0.2">
      <c r="A39160" s="258"/>
      <c r="Z39160" s="258"/>
    </row>
    <row r="39161" spans="1:26" ht="12.75" customHeight="1" x14ac:dyDescent="0.2">
      <c r="A39161" s="258"/>
      <c r="Z39161" s="258"/>
    </row>
    <row r="39162" spans="1:26" ht="12.75" customHeight="1" x14ac:dyDescent="0.2">
      <c r="A39162" s="258"/>
      <c r="Z39162" s="258"/>
    </row>
    <row r="39163" spans="1:26" ht="12.75" customHeight="1" x14ac:dyDescent="0.2">
      <c r="A39163" s="258"/>
      <c r="Z39163" s="258"/>
    </row>
    <row r="39164" spans="1:26" ht="12.75" customHeight="1" x14ac:dyDescent="0.2">
      <c r="A39164" s="258"/>
      <c r="Z39164" s="258"/>
    </row>
    <row r="39165" spans="1:26" ht="12.75" customHeight="1" x14ac:dyDescent="0.2">
      <c r="A39165" s="258"/>
      <c r="Z39165" s="258"/>
    </row>
    <row r="39166" spans="1:26" ht="12.75" customHeight="1" x14ac:dyDescent="0.2">
      <c r="A39166" s="258"/>
      <c r="Z39166" s="258"/>
    </row>
    <row r="39167" spans="1:26" ht="12.75" customHeight="1" x14ac:dyDescent="0.2">
      <c r="A39167" s="258"/>
      <c r="Z39167" s="258"/>
    </row>
    <row r="39168" spans="1:26" ht="12.75" customHeight="1" x14ac:dyDescent="0.2">
      <c r="A39168" s="258"/>
      <c r="Z39168" s="258"/>
    </row>
    <row r="39169" spans="1:26" ht="12.75" customHeight="1" x14ac:dyDescent="0.2">
      <c r="A39169" s="258"/>
      <c r="Z39169" s="258"/>
    </row>
    <row r="39170" spans="1:26" ht="12.75" customHeight="1" x14ac:dyDescent="0.2">
      <c r="A39170" s="258"/>
      <c r="Z39170" s="258"/>
    </row>
    <row r="39171" spans="1:26" ht="12.75" customHeight="1" x14ac:dyDescent="0.2">
      <c r="A39171" s="258"/>
      <c r="Z39171" s="258"/>
    </row>
    <row r="39172" spans="1:26" ht="12.75" customHeight="1" x14ac:dyDescent="0.2">
      <c r="A39172" s="258"/>
      <c r="Z39172" s="258"/>
    </row>
    <row r="39173" spans="1:26" ht="12.75" customHeight="1" x14ac:dyDescent="0.2">
      <c r="A39173" s="258"/>
      <c r="Z39173" s="258"/>
    </row>
    <row r="39174" spans="1:26" ht="12.75" customHeight="1" x14ac:dyDescent="0.2">
      <c r="A39174" s="258"/>
      <c r="Z39174" s="258"/>
    </row>
    <row r="39175" spans="1:26" ht="12.75" customHeight="1" x14ac:dyDescent="0.2">
      <c r="A39175" s="258"/>
      <c r="Z39175" s="258"/>
    </row>
    <row r="39176" spans="1:26" ht="12.75" customHeight="1" x14ac:dyDescent="0.2">
      <c r="A39176" s="258"/>
      <c r="Z39176" s="258"/>
    </row>
    <row r="39177" spans="1:26" ht="12.75" customHeight="1" x14ac:dyDescent="0.2">
      <c r="A39177" s="258"/>
      <c r="Z39177" s="258"/>
    </row>
    <row r="39178" spans="1:26" ht="12.75" customHeight="1" x14ac:dyDescent="0.2">
      <c r="A39178" s="258"/>
      <c r="Z39178" s="258"/>
    </row>
    <row r="39179" spans="1:26" ht="12.75" customHeight="1" x14ac:dyDescent="0.2">
      <c r="A39179" s="258"/>
      <c r="Z39179" s="258"/>
    </row>
    <row r="39180" spans="1:26" ht="12.75" customHeight="1" x14ac:dyDescent="0.2">
      <c r="A39180" s="258"/>
      <c r="Z39180" s="258"/>
    </row>
    <row r="39181" spans="1:26" ht="12.75" customHeight="1" x14ac:dyDescent="0.2">
      <c r="A39181" s="258"/>
      <c r="Z39181" s="258"/>
    </row>
    <row r="39182" spans="1:26" ht="12.75" customHeight="1" x14ac:dyDescent="0.2">
      <c r="A39182" s="258"/>
      <c r="Z39182" s="258"/>
    </row>
    <row r="39183" spans="1:26" ht="12.75" customHeight="1" x14ac:dyDescent="0.2">
      <c r="A39183" s="258"/>
      <c r="Z39183" s="258"/>
    </row>
    <row r="39184" spans="1:26" ht="12.75" customHeight="1" x14ac:dyDescent="0.2">
      <c r="A39184" s="258"/>
      <c r="Z39184" s="258"/>
    </row>
    <row r="39185" spans="1:26" ht="12.75" customHeight="1" x14ac:dyDescent="0.2">
      <c r="A39185" s="258"/>
      <c r="Z39185" s="258"/>
    </row>
    <row r="39186" spans="1:26" ht="12.75" customHeight="1" x14ac:dyDescent="0.2">
      <c r="A39186" s="258"/>
      <c r="Z39186" s="258"/>
    </row>
    <row r="39187" spans="1:26" ht="12.75" customHeight="1" x14ac:dyDescent="0.2">
      <c r="A39187" s="258"/>
      <c r="Z39187" s="258"/>
    </row>
    <row r="39188" spans="1:26" ht="12.75" customHeight="1" x14ac:dyDescent="0.2">
      <c r="A39188" s="258"/>
      <c r="Z39188" s="258"/>
    </row>
    <row r="39189" spans="1:26" ht="12.75" customHeight="1" x14ac:dyDescent="0.2">
      <c r="A39189" s="258"/>
      <c r="Z39189" s="258"/>
    </row>
    <row r="39190" spans="1:26" ht="12.75" customHeight="1" x14ac:dyDescent="0.2">
      <c r="A39190" s="258"/>
      <c r="Z39190" s="258"/>
    </row>
    <row r="39191" spans="1:26" ht="12.75" customHeight="1" x14ac:dyDescent="0.2">
      <c r="A39191" s="258"/>
      <c r="Z39191" s="258"/>
    </row>
    <row r="39192" spans="1:26" ht="12.75" customHeight="1" x14ac:dyDescent="0.2">
      <c r="A39192" s="258"/>
      <c r="Z39192" s="258"/>
    </row>
    <row r="39193" spans="1:26" ht="12.75" customHeight="1" x14ac:dyDescent="0.2">
      <c r="A39193" s="258"/>
      <c r="Z39193" s="258"/>
    </row>
    <row r="39194" spans="1:26" ht="12.75" customHeight="1" x14ac:dyDescent="0.2">
      <c r="A39194" s="258"/>
      <c r="Z39194" s="258"/>
    </row>
    <row r="39195" spans="1:26" ht="12.75" customHeight="1" x14ac:dyDescent="0.2">
      <c r="A39195" s="258"/>
      <c r="Z39195" s="258"/>
    </row>
    <row r="39196" spans="1:26" ht="12.75" customHeight="1" x14ac:dyDescent="0.2">
      <c r="A39196" s="258"/>
      <c r="Z39196" s="258"/>
    </row>
    <row r="39197" spans="1:26" ht="12.75" customHeight="1" x14ac:dyDescent="0.2">
      <c r="A39197" s="258"/>
      <c r="Z39197" s="258"/>
    </row>
    <row r="39198" spans="1:26" ht="12.75" customHeight="1" x14ac:dyDescent="0.2">
      <c r="A39198" s="258"/>
      <c r="Z39198" s="258"/>
    </row>
    <row r="39199" spans="1:26" ht="12.75" customHeight="1" x14ac:dyDescent="0.2">
      <c r="A39199" s="258"/>
      <c r="Z39199" s="258"/>
    </row>
    <row r="39200" spans="1:26" ht="12.75" customHeight="1" x14ac:dyDescent="0.2">
      <c r="A39200" s="258"/>
      <c r="Z39200" s="258"/>
    </row>
    <row r="39201" spans="1:26" ht="12.75" customHeight="1" x14ac:dyDescent="0.2">
      <c r="A39201" s="258"/>
      <c r="Z39201" s="258"/>
    </row>
    <row r="39202" spans="1:26" ht="12.75" customHeight="1" x14ac:dyDescent="0.2">
      <c r="A39202" s="258"/>
      <c r="Z39202" s="258"/>
    </row>
    <row r="39203" spans="1:26" ht="12.75" customHeight="1" x14ac:dyDescent="0.2">
      <c r="A39203" s="258"/>
      <c r="Z39203" s="258"/>
    </row>
    <row r="39204" spans="1:26" ht="12.75" customHeight="1" x14ac:dyDescent="0.2">
      <c r="A39204" s="258"/>
      <c r="Z39204" s="258"/>
    </row>
    <row r="39205" spans="1:26" ht="12.75" customHeight="1" x14ac:dyDescent="0.2">
      <c r="A39205" s="258"/>
      <c r="Z39205" s="258"/>
    </row>
    <row r="39206" spans="1:26" ht="12.75" customHeight="1" x14ac:dyDescent="0.2">
      <c r="A39206" s="258"/>
      <c r="Z39206" s="258"/>
    </row>
    <row r="39207" spans="1:26" ht="12.75" customHeight="1" x14ac:dyDescent="0.2">
      <c r="A39207" s="258"/>
      <c r="Z39207" s="258"/>
    </row>
    <row r="39208" spans="1:26" ht="12.75" customHeight="1" x14ac:dyDescent="0.2">
      <c r="A39208" s="258"/>
      <c r="Z39208" s="258"/>
    </row>
    <row r="39209" spans="1:26" ht="12.75" customHeight="1" x14ac:dyDescent="0.2">
      <c r="A39209" s="258"/>
      <c r="Z39209" s="258"/>
    </row>
    <row r="39210" spans="1:26" ht="12.75" customHeight="1" x14ac:dyDescent="0.2">
      <c r="A39210" s="258"/>
      <c r="Z39210" s="258"/>
    </row>
    <row r="39211" spans="1:26" ht="12.75" customHeight="1" x14ac:dyDescent="0.2">
      <c r="A39211" s="258"/>
      <c r="Z39211" s="258"/>
    </row>
    <row r="39212" spans="1:26" ht="12.75" customHeight="1" x14ac:dyDescent="0.2">
      <c r="A39212" s="258"/>
      <c r="Z39212" s="258"/>
    </row>
    <row r="39213" spans="1:26" ht="12.75" customHeight="1" x14ac:dyDescent="0.2">
      <c r="A39213" s="258"/>
      <c r="Z39213" s="258"/>
    </row>
    <row r="39214" spans="1:26" ht="12.75" customHeight="1" x14ac:dyDescent="0.2">
      <c r="A39214" s="258"/>
      <c r="Z39214" s="258"/>
    </row>
    <row r="39215" spans="1:26" ht="12.75" customHeight="1" x14ac:dyDescent="0.2">
      <c r="A39215" s="258"/>
      <c r="Z39215" s="258"/>
    </row>
    <row r="39216" spans="1:26" ht="12.75" customHeight="1" x14ac:dyDescent="0.2">
      <c r="A39216" s="258"/>
      <c r="Z39216" s="258"/>
    </row>
    <row r="39217" spans="1:26" ht="12.75" customHeight="1" x14ac:dyDescent="0.2">
      <c r="A39217" s="258"/>
      <c r="Z39217" s="258"/>
    </row>
    <row r="39218" spans="1:26" ht="12.75" customHeight="1" x14ac:dyDescent="0.2">
      <c r="A39218" s="258"/>
      <c r="Z39218" s="258"/>
    </row>
    <row r="39219" spans="1:26" ht="12.75" customHeight="1" x14ac:dyDescent="0.2">
      <c r="A39219" s="258"/>
      <c r="Z39219" s="258"/>
    </row>
    <row r="39220" spans="1:26" ht="12.75" customHeight="1" x14ac:dyDescent="0.2">
      <c r="A39220" s="258"/>
      <c r="Z39220" s="258"/>
    </row>
    <row r="39221" spans="1:26" ht="12.75" customHeight="1" x14ac:dyDescent="0.2">
      <c r="A39221" s="258"/>
      <c r="Z39221" s="258"/>
    </row>
    <row r="39222" spans="1:26" ht="12.75" customHeight="1" x14ac:dyDescent="0.2">
      <c r="A39222" s="258"/>
      <c r="Z39222" s="258"/>
    </row>
    <row r="39223" spans="1:26" ht="12.75" customHeight="1" x14ac:dyDescent="0.2">
      <c r="A39223" s="258"/>
      <c r="Z39223" s="258"/>
    </row>
    <row r="39224" spans="1:26" ht="12.75" customHeight="1" x14ac:dyDescent="0.2">
      <c r="A39224" s="258"/>
      <c r="Z39224" s="258"/>
    </row>
    <row r="39225" spans="1:26" ht="12.75" customHeight="1" x14ac:dyDescent="0.2">
      <c r="A39225" s="258"/>
      <c r="Z39225" s="258"/>
    </row>
    <row r="39226" spans="1:26" ht="12.75" customHeight="1" x14ac:dyDescent="0.2">
      <c r="A39226" s="258"/>
      <c r="Z39226" s="258"/>
    </row>
    <row r="39227" spans="1:26" ht="12.75" customHeight="1" x14ac:dyDescent="0.2">
      <c r="A39227" s="258"/>
      <c r="Z39227" s="258"/>
    </row>
    <row r="39228" spans="1:26" ht="12.75" customHeight="1" x14ac:dyDescent="0.2">
      <c r="A39228" s="258"/>
      <c r="Z39228" s="258"/>
    </row>
    <row r="39229" spans="1:26" ht="12.75" customHeight="1" x14ac:dyDescent="0.2">
      <c r="A39229" s="258"/>
      <c r="Z39229" s="258"/>
    </row>
    <row r="39230" spans="1:26" ht="12.75" customHeight="1" x14ac:dyDescent="0.2">
      <c r="A39230" s="258"/>
      <c r="Z39230" s="258"/>
    </row>
    <row r="39231" spans="1:26" ht="12.75" customHeight="1" x14ac:dyDescent="0.2">
      <c r="A39231" s="258"/>
      <c r="Z39231" s="258"/>
    </row>
    <row r="39232" spans="1:26" ht="12.75" customHeight="1" x14ac:dyDescent="0.2">
      <c r="A39232" s="258"/>
      <c r="Z39232" s="258"/>
    </row>
    <row r="39233" spans="1:26" ht="12.75" customHeight="1" x14ac:dyDescent="0.2">
      <c r="A39233" s="258"/>
      <c r="Z39233" s="258"/>
    </row>
    <row r="39234" spans="1:26" ht="12.75" customHeight="1" x14ac:dyDescent="0.2">
      <c r="A39234" s="258"/>
      <c r="Z39234" s="258"/>
    </row>
    <row r="39235" spans="1:26" ht="12.75" customHeight="1" x14ac:dyDescent="0.2">
      <c r="A39235" s="258"/>
      <c r="Z39235" s="258"/>
    </row>
    <row r="39236" spans="1:26" ht="12.75" customHeight="1" x14ac:dyDescent="0.2">
      <c r="A39236" s="258"/>
      <c r="Z39236" s="258"/>
    </row>
    <row r="39237" spans="1:26" ht="12.75" customHeight="1" x14ac:dyDescent="0.2">
      <c r="A39237" s="258"/>
      <c r="Z39237" s="258"/>
    </row>
    <row r="39238" spans="1:26" ht="12.75" customHeight="1" x14ac:dyDescent="0.2">
      <c r="A39238" s="258"/>
      <c r="Z39238" s="258"/>
    </row>
    <row r="39239" spans="1:26" ht="12.75" customHeight="1" x14ac:dyDescent="0.2">
      <c r="A39239" s="258"/>
      <c r="Z39239" s="258"/>
    </row>
    <row r="39240" spans="1:26" ht="12.75" customHeight="1" x14ac:dyDescent="0.2">
      <c r="A39240" s="258"/>
      <c r="Z39240" s="258"/>
    </row>
    <row r="39241" spans="1:26" ht="12.75" customHeight="1" x14ac:dyDescent="0.2">
      <c r="A39241" s="258"/>
      <c r="Z39241" s="258"/>
    </row>
    <row r="39242" spans="1:26" ht="12.75" customHeight="1" x14ac:dyDescent="0.2">
      <c r="A39242" s="258"/>
      <c r="Z39242" s="258"/>
    </row>
    <row r="39243" spans="1:26" ht="12.75" customHeight="1" x14ac:dyDescent="0.2">
      <c r="A39243" s="258"/>
      <c r="Z39243" s="258"/>
    </row>
    <row r="39244" spans="1:26" ht="12.75" customHeight="1" x14ac:dyDescent="0.2">
      <c r="A39244" s="258"/>
      <c r="Z39244" s="258"/>
    </row>
    <row r="39245" spans="1:26" ht="12.75" customHeight="1" x14ac:dyDescent="0.2">
      <c r="A39245" s="258"/>
      <c r="Z39245" s="258"/>
    </row>
    <row r="39246" spans="1:26" ht="12.75" customHeight="1" x14ac:dyDescent="0.2">
      <c r="A39246" s="258"/>
      <c r="Z39246" s="258"/>
    </row>
    <row r="39247" spans="1:26" ht="12.75" customHeight="1" x14ac:dyDescent="0.2">
      <c r="A39247" s="258"/>
      <c r="Z39247" s="258"/>
    </row>
    <row r="39248" spans="1:26" ht="12.75" customHeight="1" x14ac:dyDescent="0.2">
      <c r="A39248" s="258"/>
      <c r="Z39248" s="258"/>
    </row>
    <row r="39249" spans="1:26" ht="12.75" customHeight="1" x14ac:dyDescent="0.2">
      <c r="A39249" s="258"/>
      <c r="Z39249" s="258"/>
    </row>
    <row r="39250" spans="1:26" ht="12.75" customHeight="1" x14ac:dyDescent="0.2">
      <c r="A39250" s="258"/>
      <c r="Z39250" s="258"/>
    </row>
    <row r="39251" spans="1:26" ht="12.75" customHeight="1" x14ac:dyDescent="0.2">
      <c r="A39251" s="258"/>
      <c r="Z39251" s="258"/>
    </row>
    <row r="39252" spans="1:26" ht="12.75" customHeight="1" x14ac:dyDescent="0.2">
      <c r="A39252" s="258"/>
      <c r="Z39252" s="258"/>
    </row>
    <row r="39253" spans="1:26" ht="12.75" customHeight="1" x14ac:dyDescent="0.2">
      <c r="A39253" s="258"/>
      <c r="Z39253" s="258"/>
    </row>
    <row r="39254" spans="1:26" ht="12.75" customHeight="1" x14ac:dyDescent="0.2">
      <c r="A39254" s="258"/>
      <c r="Z39254" s="258"/>
    </row>
    <row r="39255" spans="1:26" ht="12.75" customHeight="1" x14ac:dyDescent="0.2">
      <c r="A39255" s="258"/>
      <c r="Z39255" s="258"/>
    </row>
    <row r="39256" spans="1:26" ht="12.75" customHeight="1" x14ac:dyDescent="0.2">
      <c r="A39256" s="258"/>
      <c r="Z39256" s="258"/>
    </row>
    <row r="39257" spans="1:26" ht="12.75" customHeight="1" x14ac:dyDescent="0.2">
      <c r="A39257" s="258"/>
      <c r="Z39257" s="258"/>
    </row>
    <row r="39258" spans="1:26" ht="12.75" customHeight="1" x14ac:dyDescent="0.2">
      <c r="A39258" s="258"/>
      <c r="Z39258" s="258"/>
    </row>
    <row r="39259" spans="1:26" ht="12.75" customHeight="1" x14ac:dyDescent="0.2">
      <c r="A39259" s="258"/>
      <c r="Z39259" s="258"/>
    </row>
    <row r="39260" spans="1:26" ht="12.75" customHeight="1" x14ac:dyDescent="0.2">
      <c r="A39260" s="258"/>
      <c r="Z39260" s="258"/>
    </row>
    <row r="39261" spans="1:26" ht="12.75" customHeight="1" x14ac:dyDescent="0.2">
      <c r="A39261" s="258"/>
      <c r="Z39261" s="258"/>
    </row>
    <row r="39262" spans="1:26" ht="12.75" customHeight="1" x14ac:dyDescent="0.2">
      <c r="A39262" s="258"/>
      <c r="Z39262" s="258"/>
    </row>
    <row r="39263" spans="1:26" ht="12.75" customHeight="1" x14ac:dyDescent="0.2">
      <c r="A39263" s="258"/>
      <c r="Z39263" s="258"/>
    </row>
    <row r="39264" spans="1:26" ht="12.75" customHeight="1" x14ac:dyDescent="0.2">
      <c r="A39264" s="258"/>
      <c r="Z39264" s="258"/>
    </row>
    <row r="39265" spans="1:26" ht="12.75" customHeight="1" x14ac:dyDescent="0.2">
      <c r="A39265" s="258"/>
      <c r="Z39265" s="258"/>
    </row>
    <row r="39266" spans="1:26" ht="12.75" customHeight="1" x14ac:dyDescent="0.2">
      <c r="A39266" s="258"/>
      <c r="Z39266" s="258"/>
    </row>
    <row r="39267" spans="1:26" ht="12.75" customHeight="1" x14ac:dyDescent="0.2">
      <c r="A39267" s="258"/>
      <c r="Z39267" s="258"/>
    </row>
    <row r="39268" spans="1:26" ht="12.75" customHeight="1" x14ac:dyDescent="0.2">
      <c r="A39268" s="258"/>
      <c r="Z39268" s="258"/>
    </row>
    <row r="39269" spans="1:26" ht="12.75" customHeight="1" x14ac:dyDescent="0.2">
      <c r="A39269" s="258"/>
      <c r="Z39269" s="258"/>
    </row>
    <row r="39270" spans="1:26" ht="12.75" customHeight="1" x14ac:dyDescent="0.2">
      <c r="A39270" s="258"/>
      <c r="Z39270" s="258"/>
    </row>
    <row r="39271" spans="1:26" ht="12.75" customHeight="1" x14ac:dyDescent="0.2">
      <c r="A39271" s="258"/>
      <c r="Z39271" s="258"/>
    </row>
    <row r="39272" spans="1:26" ht="12.75" customHeight="1" x14ac:dyDescent="0.2">
      <c r="A39272" s="258"/>
      <c r="Z39272" s="258"/>
    </row>
    <row r="39273" spans="1:26" ht="12.75" customHeight="1" x14ac:dyDescent="0.2">
      <c r="A39273" s="258"/>
      <c r="Z39273" s="258"/>
    </row>
    <row r="39274" spans="1:26" ht="12.75" customHeight="1" x14ac:dyDescent="0.2">
      <c r="A39274" s="258"/>
      <c r="Z39274" s="258"/>
    </row>
    <row r="39275" spans="1:26" ht="12.75" customHeight="1" x14ac:dyDescent="0.2">
      <c r="A39275" s="258"/>
      <c r="Z39275" s="258"/>
    </row>
    <row r="39276" spans="1:26" ht="12.75" customHeight="1" x14ac:dyDescent="0.2">
      <c r="A39276" s="258"/>
      <c r="Z39276" s="258"/>
    </row>
    <row r="39277" spans="1:26" ht="12.75" customHeight="1" x14ac:dyDescent="0.2">
      <c r="A39277" s="258"/>
      <c r="Z39277" s="258"/>
    </row>
    <row r="39278" spans="1:26" ht="12.75" customHeight="1" x14ac:dyDescent="0.2">
      <c r="A39278" s="258"/>
      <c r="Z39278" s="258"/>
    </row>
    <row r="39279" spans="1:26" ht="12.75" customHeight="1" x14ac:dyDescent="0.2">
      <c r="A39279" s="258"/>
      <c r="Z39279" s="258"/>
    </row>
    <row r="39280" spans="1:26" ht="12.75" customHeight="1" x14ac:dyDescent="0.2">
      <c r="A39280" s="258"/>
      <c r="Z39280" s="258"/>
    </row>
    <row r="39281" spans="1:26" ht="12.75" customHeight="1" x14ac:dyDescent="0.2">
      <c r="A39281" s="258"/>
      <c r="Z39281" s="258"/>
    </row>
    <row r="39282" spans="1:26" ht="12.75" customHeight="1" x14ac:dyDescent="0.2">
      <c r="A39282" s="258"/>
      <c r="Z39282" s="258"/>
    </row>
    <row r="39283" spans="1:26" ht="12.75" customHeight="1" x14ac:dyDescent="0.2">
      <c r="A39283" s="258"/>
      <c r="Z39283" s="258"/>
    </row>
    <row r="39284" spans="1:26" ht="12.75" customHeight="1" x14ac:dyDescent="0.2">
      <c r="A39284" s="258"/>
      <c r="Z39284" s="258"/>
    </row>
    <row r="39285" spans="1:26" ht="12.75" customHeight="1" x14ac:dyDescent="0.2">
      <c r="A39285" s="258"/>
      <c r="Z39285" s="258"/>
    </row>
    <row r="39286" spans="1:26" ht="12.75" customHeight="1" x14ac:dyDescent="0.2">
      <c r="A39286" s="258"/>
      <c r="Z39286" s="258"/>
    </row>
    <row r="39287" spans="1:26" ht="12.75" customHeight="1" x14ac:dyDescent="0.2">
      <c r="A39287" s="258"/>
      <c r="Z39287" s="258"/>
    </row>
    <row r="39288" spans="1:26" ht="12.75" customHeight="1" x14ac:dyDescent="0.2">
      <c r="A39288" s="258"/>
      <c r="Z39288" s="258"/>
    </row>
    <row r="39289" spans="1:26" ht="12.75" customHeight="1" x14ac:dyDescent="0.2">
      <c r="A39289" s="258"/>
      <c r="Z39289" s="258"/>
    </row>
    <row r="39290" spans="1:26" ht="12.75" customHeight="1" x14ac:dyDescent="0.2">
      <c r="A39290" s="258"/>
      <c r="Z39290" s="258"/>
    </row>
    <row r="39291" spans="1:26" ht="12.75" customHeight="1" x14ac:dyDescent="0.2">
      <c r="A39291" s="258"/>
      <c r="Z39291" s="258"/>
    </row>
    <row r="39292" spans="1:26" ht="12.75" customHeight="1" x14ac:dyDescent="0.2">
      <c r="A39292" s="258"/>
      <c r="Z39292" s="258"/>
    </row>
    <row r="39293" spans="1:26" ht="12.75" customHeight="1" x14ac:dyDescent="0.2">
      <c r="A39293" s="258"/>
      <c r="Z39293" s="258"/>
    </row>
    <row r="39294" spans="1:26" ht="12.75" customHeight="1" x14ac:dyDescent="0.2">
      <c r="A39294" s="258"/>
      <c r="Z39294" s="258"/>
    </row>
    <row r="39295" spans="1:26" ht="12.75" customHeight="1" x14ac:dyDescent="0.2">
      <c r="A39295" s="258"/>
      <c r="Z39295" s="258"/>
    </row>
    <row r="39296" spans="1:26" ht="12.75" customHeight="1" x14ac:dyDescent="0.2">
      <c r="A39296" s="258"/>
      <c r="Z39296" s="258"/>
    </row>
    <row r="39297" spans="1:26" ht="12.75" customHeight="1" x14ac:dyDescent="0.2">
      <c r="A39297" s="258"/>
      <c r="Z39297" s="258"/>
    </row>
    <row r="39298" spans="1:26" ht="12.75" customHeight="1" x14ac:dyDescent="0.2">
      <c r="A39298" s="258"/>
      <c r="Z39298" s="258"/>
    </row>
    <row r="39299" spans="1:26" ht="12.75" customHeight="1" x14ac:dyDescent="0.2">
      <c r="A39299" s="258"/>
      <c r="Z39299" s="258"/>
    </row>
    <row r="39300" spans="1:26" ht="12.75" customHeight="1" x14ac:dyDescent="0.2">
      <c r="A39300" s="258"/>
      <c r="Z39300" s="258"/>
    </row>
    <row r="39301" spans="1:26" ht="12.75" customHeight="1" x14ac:dyDescent="0.2">
      <c r="A39301" s="258"/>
      <c r="Z39301" s="258"/>
    </row>
    <row r="39302" spans="1:26" ht="12.75" customHeight="1" x14ac:dyDescent="0.2">
      <c r="A39302" s="258"/>
      <c r="Z39302" s="258"/>
    </row>
    <row r="39303" spans="1:26" ht="12.75" customHeight="1" x14ac:dyDescent="0.2">
      <c r="A39303" s="258"/>
      <c r="Z39303" s="258"/>
    </row>
    <row r="39304" spans="1:26" ht="12.75" customHeight="1" x14ac:dyDescent="0.2">
      <c r="A39304" s="258"/>
      <c r="Z39304" s="258"/>
    </row>
    <row r="39305" spans="1:26" ht="12.75" customHeight="1" x14ac:dyDescent="0.2">
      <c r="A39305" s="258"/>
      <c r="Z39305" s="258"/>
    </row>
    <row r="39306" spans="1:26" ht="12.75" customHeight="1" x14ac:dyDescent="0.2">
      <c r="A39306" s="258"/>
      <c r="Z39306" s="258"/>
    </row>
    <row r="39307" spans="1:26" ht="12.75" customHeight="1" x14ac:dyDescent="0.2">
      <c r="A39307" s="258"/>
      <c r="Z39307" s="258"/>
    </row>
    <row r="39308" spans="1:26" ht="12.75" customHeight="1" x14ac:dyDescent="0.2">
      <c r="A39308" s="258"/>
      <c r="Z39308" s="258"/>
    </row>
    <row r="39309" spans="1:26" ht="12.75" customHeight="1" x14ac:dyDescent="0.2">
      <c r="A39309" s="258"/>
      <c r="Z39309" s="258"/>
    </row>
    <row r="39310" spans="1:26" ht="12.75" customHeight="1" x14ac:dyDescent="0.2">
      <c r="A39310" s="258"/>
      <c r="Z39310" s="258"/>
    </row>
    <row r="39311" spans="1:26" ht="12.75" customHeight="1" x14ac:dyDescent="0.2">
      <c r="A39311" s="258"/>
      <c r="Z39311" s="258"/>
    </row>
    <row r="39312" spans="1:26" ht="12.75" customHeight="1" x14ac:dyDescent="0.2">
      <c r="A39312" s="258"/>
      <c r="Z39312" s="258"/>
    </row>
    <row r="39313" spans="1:26" ht="12.75" customHeight="1" x14ac:dyDescent="0.2">
      <c r="A39313" s="258"/>
      <c r="Z39313" s="258"/>
    </row>
    <row r="39314" spans="1:26" ht="12.75" customHeight="1" x14ac:dyDescent="0.2">
      <c r="A39314" s="258"/>
      <c r="Z39314" s="258"/>
    </row>
    <row r="39315" spans="1:26" ht="12.75" customHeight="1" x14ac:dyDescent="0.2">
      <c r="A39315" s="258"/>
      <c r="Z39315" s="258"/>
    </row>
    <row r="39316" spans="1:26" ht="12.75" customHeight="1" x14ac:dyDescent="0.2">
      <c r="A39316" s="258"/>
      <c r="Z39316" s="258"/>
    </row>
    <row r="39317" spans="1:26" ht="12.75" customHeight="1" x14ac:dyDescent="0.2">
      <c r="A39317" s="258"/>
      <c r="Z39317" s="258"/>
    </row>
    <row r="39318" spans="1:26" ht="12.75" customHeight="1" x14ac:dyDescent="0.2">
      <c r="A39318" s="258"/>
      <c r="Z39318" s="258"/>
    </row>
    <row r="39319" spans="1:26" ht="12.75" customHeight="1" x14ac:dyDescent="0.2">
      <c r="A39319" s="258"/>
      <c r="Z39319" s="258"/>
    </row>
    <row r="39320" spans="1:26" ht="12.75" customHeight="1" x14ac:dyDescent="0.2">
      <c r="A39320" s="258"/>
      <c r="Z39320" s="258"/>
    </row>
    <row r="39321" spans="1:26" ht="12.75" customHeight="1" x14ac:dyDescent="0.2">
      <c r="A39321" s="258"/>
      <c r="Z39321" s="258"/>
    </row>
    <row r="39322" spans="1:26" ht="12.75" customHeight="1" x14ac:dyDescent="0.2">
      <c r="A39322" s="258"/>
      <c r="Z39322" s="258"/>
    </row>
    <row r="39323" spans="1:26" ht="12.75" customHeight="1" x14ac:dyDescent="0.2">
      <c r="A39323" s="258"/>
      <c r="Z39323" s="258"/>
    </row>
    <row r="39324" spans="1:26" ht="12.75" customHeight="1" x14ac:dyDescent="0.2">
      <c r="A39324" s="258"/>
      <c r="Z39324" s="258"/>
    </row>
    <row r="39325" spans="1:26" ht="12.75" customHeight="1" x14ac:dyDescent="0.2">
      <c r="A39325" s="258"/>
      <c r="Z39325" s="258"/>
    </row>
    <row r="39326" spans="1:26" ht="12.75" customHeight="1" x14ac:dyDescent="0.2">
      <c r="A39326" s="258"/>
      <c r="Z39326" s="258"/>
    </row>
    <row r="39327" spans="1:26" ht="12.75" customHeight="1" x14ac:dyDescent="0.2">
      <c r="A39327" s="258"/>
      <c r="Z39327" s="258"/>
    </row>
    <row r="39328" spans="1:26" ht="12.75" customHeight="1" x14ac:dyDescent="0.2">
      <c r="A39328" s="258"/>
      <c r="Z39328" s="258"/>
    </row>
    <row r="39329" spans="1:26" ht="12.75" customHeight="1" x14ac:dyDescent="0.2">
      <c r="A39329" s="258"/>
      <c r="Z39329" s="258"/>
    </row>
    <row r="39330" spans="1:26" ht="12.75" customHeight="1" x14ac:dyDescent="0.2">
      <c r="A39330" s="258"/>
      <c r="Z39330" s="258"/>
    </row>
    <row r="39331" spans="1:26" ht="12.75" customHeight="1" x14ac:dyDescent="0.2">
      <c r="A39331" s="258"/>
      <c r="Z39331" s="258"/>
    </row>
    <row r="39332" spans="1:26" ht="12.75" customHeight="1" x14ac:dyDescent="0.2">
      <c r="A39332" s="258"/>
      <c r="Z39332" s="258"/>
    </row>
    <row r="39333" spans="1:26" ht="12.75" customHeight="1" x14ac:dyDescent="0.2">
      <c r="A39333" s="258"/>
      <c r="Z39333" s="258"/>
    </row>
    <row r="39334" spans="1:26" ht="12.75" customHeight="1" x14ac:dyDescent="0.2">
      <c r="A39334" s="258"/>
      <c r="Z39334" s="258"/>
    </row>
    <row r="39335" spans="1:26" ht="12.75" customHeight="1" x14ac:dyDescent="0.2">
      <c r="A39335" s="258"/>
      <c r="Z39335" s="258"/>
    </row>
    <row r="39336" spans="1:26" ht="12.75" customHeight="1" x14ac:dyDescent="0.2">
      <c r="A39336" s="258"/>
      <c r="Z39336" s="258"/>
    </row>
    <row r="39337" spans="1:26" ht="12.75" customHeight="1" x14ac:dyDescent="0.2">
      <c r="A39337" s="258"/>
      <c r="Z39337" s="258"/>
    </row>
    <row r="39338" spans="1:26" ht="12.75" customHeight="1" x14ac:dyDescent="0.2">
      <c r="A39338" s="258"/>
      <c r="Z39338" s="258"/>
    </row>
    <row r="39339" spans="1:26" ht="12.75" customHeight="1" x14ac:dyDescent="0.2">
      <c r="A39339" s="258"/>
      <c r="Z39339" s="258"/>
    </row>
    <row r="39340" spans="1:26" ht="12.75" customHeight="1" x14ac:dyDescent="0.2">
      <c r="A39340" s="258"/>
      <c r="Z39340" s="258"/>
    </row>
    <row r="39341" spans="1:26" ht="12.75" customHeight="1" x14ac:dyDescent="0.2">
      <c r="A39341" s="258"/>
      <c r="Z39341" s="258"/>
    </row>
    <row r="39342" spans="1:26" ht="12.75" customHeight="1" x14ac:dyDescent="0.2">
      <c r="A39342" s="258"/>
      <c r="Z39342" s="258"/>
    </row>
    <row r="39343" spans="1:26" ht="12.75" customHeight="1" x14ac:dyDescent="0.2">
      <c r="A39343" s="258"/>
      <c r="Z39343" s="258"/>
    </row>
    <row r="39344" spans="1:26" ht="12.75" customHeight="1" x14ac:dyDescent="0.2">
      <c r="A39344" s="258"/>
      <c r="Z39344" s="258"/>
    </row>
    <row r="39345" spans="1:26" ht="12.75" customHeight="1" x14ac:dyDescent="0.2">
      <c r="A39345" s="258"/>
      <c r="Z39345" s="258"/>
    </row>
    <row r="39346" spans="1:26" ht="12.75" customHeight="1" x14ac:dyDescent="0.2">
      <c r="A39346" s="258"/>
      <c r="Z39346" s="258"/>
    </row>
    <row r="39347" spans="1:26" ht="12.75" customHeight="1" x14ac:dyDescent="0.2">
      <c r="A39347" s="258"/>
      <c r="Z39347" s="258"/>
    </row>
    <row r="39348" spans="1:26" ht="12.75" customHeight="1" x14ac:dyDescent="0.2">
      <c r="A39348" s="258"/>
      <c r="Z39348" s="258"/>
    </row>
    <row r="39349" spans="1:26" ht="12.75" customHeight="1" x14ac:dyDescent="0.2">
      <c r="A39349" s="258"/>
      <c r="Z39349" s="258"/>
    </row>
    <row r="39350" spans="1:26" ht="12.75" customHeight="1" x14ac:dyDescent="0.2">
      <c r="A39350" s="258"/>
      <c r="Z39350" s="258"/>
    </row>
    <row r="39351" spans="1:26" ht="12.75" customHeight="1" x14ac:dyDescent="0.2">
      <c r="A39351" s="258"/>
      <c r="Z39351" s="258"/>
    </row>
    <row r="39352" spans="1:26" ht="12.75" customHeight="1" x14ac:dyDescent="0.2">
      <c r="A39352" s="258"/>
      <c r="Z39352" s="258"/>
    </row>
    <row r="39353" spans="1:26" ht="12.75" customHeight="1" x14ac:dyDescent="0.2">
      <c r="A39353" s="258"/>
      <c r="Z39353" s="258"/>
    </row>
    <row r="39354" spans="1:26" ht="12.75" customHeight="1" x14ac:dyDescent="0.2">
      <c r="A39354" s="258"/>
      <c r="Z39354" s="258"/>
    </row>
    <row r="39355" spans="1:26" ht="12.75" customHeight="1" x14ac:dyDescent="0.2">
      <c r="A39355" s="258"/>
      <c r="Z39355" s="258"/>
    </row>
    <row r="39356" spans="1:26" ht="12.75" customHeight="1" x14ac:dyDescent="0.2">
      <c r="A39356" s="258"/>
      <c r="Z39356" s="258"/>
    </row>
    <row r="39357" spans="1:26" ht="12.75" customHeight="1" x14ac:dyDescent="0.2">
      <c r="A39357" s="258"/>
      <c r="Z39357" s="258"/>
    </row>
    <row r="39358" spans="1:26" ht="12.75" customHeight="1" x14ac:dyDescent="0.2">
      <c r="A39358" s="258"/>
      <c r="Z39358" s="258"/>
    </row>
    <row r="39359" spans="1:26" ht="12.75" customHeight="1" x14ac:dyDescent="0.2">
      <c r="A39359" s="258"/>
      <c r="Z39359" s="258"/>
    </row>
    <row r="39360" spans="1:26" ht="12.75" customHeight="1" x14ac:dyDescent="0.2">
      <c r="A39360" s="258"/>
      <c r="Z39360" s="258"/>
    </row>
    <row r="39361" spans="1:26" ht="12.75" customHeight="1" x14ac:dyDescent="0.2">
      <c r="A39361" s="258"/>
      <c r="Z39361" s="258"/>
    </row>
    <row r="39362" spans="1:26" ht="12.75" customHeight="1" x14ac:dyDescent="0.2">
      <c r="A39362" s="258"/>
      <c r="Z39362" s="258"/>
    </row>
    <row r="39363" spans="1:26" ht="12.75" customHeight="1" x14ac:dyDescent="0.2">
      <c r="A39363" s="258"/>
      <c r="Z39363" s="258"/>
    </row>
    <row r="39364" spans="1:26" ht="12.75" customHeight="1" x14ac:dyDescent="0.2">
      <c r="A39364" s="258"/>
      <c r="Z39364" s="258"/>
    </row>
    <row r="39365" spans="1:26" ht="12.75" customHeight="1" x14ac:dyDescent="0.2">
      <c r="A39365" s="258"/>
      <c r="Z39365" s="258"/>
    </row>
    <row r="39366" spans="1:26" ht="12.75" customHeight="1" x14ac:dyDescent="0.2">
      <c r="A39366" s="258"/>
      <c r="Z39366" s="258"/>
    </row>
    <row r="39367" spans="1:26" ht="12.75" customHeight="1" x14ac:dyDescent="0.2">
      <c r="A39367" s="258"/>
      <c r="Z39367" s="258"/>
    </row>
    <row r="39368" spans="1:26" ht="12.75" customHeight="1" x14ac:dyDescent="0.2">
      <c r="A39368" s="258"/>
      <c r="Z39368" s="258"/>
    </row>
    <row r="39369" spans="1:26" ht="12.75" customHeight="1" x14ac:dyDescent="0.2">
      <c r="A39369" s="258"/>
      <c r="Z39369" s="258"/>
    </row>
    <row r="39370" spans="1:26" ht="12.75" customHeight="1" x14ac:dyDescent="0.2">
      <c r="A39370" s="258"/>
      <c r="Z39370" s="258"/>
    </row>
    <row r="39371" spans="1:26" ht="12.75" customHeight="1" x14ac:dyDescent="0.2">
      <c r="A39371" s="258"/>
      <c r="Z39371" s="258"/>
    </row>
    <row r="39372" spans="1:26" ht="12.75" customHeight="1" x14ac:dyDescent="0.2">
      <c r="A39372" s="258"/>
      <c r="Z39372" s="258"/>
    </row>
    <row r="39373" spans="1:26" ht="12.75" customHeight="1" x14ac:dyDescent="0.2">
      <c r="A39373" s="258"/>
      <c r="Z39373" s="258"/>
    </row>
    <row r="39374" spans="1:26" ht="12.75" customHeight="1" x14ac:dyDescent="0.2">
      <c r="A39374" s="258"/>
      <c r="Z39374" s="258"/>
    </row>
    <row r="39375" spans="1:26" ht="12.75" customHeight="1" x14ac:dyDescent="0.2">
      <c r="A39375" s="258"/>
      <c r="Z39375" s="258"/>
    </row>
    <row r="39376" spans="1:26" ht="12.75" customHeight="1" x14ac:dyDescent="0.2">
      <c r="A39376" s="258"/>
      <c r="Z39376" s="258"/>
    </row>
    <row r="39377" spans="1:26" ht="12.75" customHeight="1" x14ac:dyDescent="0.2">
      <c r="A39377" s="258"/>
      <c r="Z39377" s="258"/>
    </row>
    <row r="39378" spans="1:26" ht="12.75" customHeight="1" x14ac:dyDescent="0.2">
      <c r="A39378" s="258"/>
      <c r="Z39378" s="258"/>
    </row>
    <row r="39379" spans="1:26" ht="12.75" customHeight="1" x14ac:dyDescent="0.2">
      <c r="A39379" s="258"/>
      <c r="Z39379" s="258"/>
    </row>
    <row r="39380" spans="1:26" ht="12.75" customHeight="1" x14ac:dyDescent="0.2">
      <c r="A39380" s="258"/>
      <c r="Z39380" s="258"/>
    </row>
    <row r="39381" spans="1:26" ht="12.75" customHeight="1" x14ac:dyDescent="0.2">
      <c r="A39381" s="258"/>
      <c r="Z39381" s="258"/>
    </row>
    <row r="39382" spans="1:26" ht="12.75" customHeight="1" x14ac:dyDescent="0.2">
      <c r="A39382" s="258"/>
      <c r="Z39382" s="258"/>
    </row>
    <row r="39383" spans="1:26" ht="12.75" customHeight="1" x14ac:dyDescent="0.2">
      <c r="A39383" s="258"/>
      <c r="Z39383" s="258"/>
    </row>
    <row r="39384" spans="1:26" ht="12.75" customHeight="1" x14ac:dyDescent="0.2">
      <c r="A39384" s="258"/>
      <c r="Z39384" s="258"/>
    </row>
    <row r="39385" spans="1:26" ht="12.75" customHeight="1" x14ac:dyDescent="0.2">
      <c r="A39385" s="258"/>
      <c r="Z39385" s="258"/>
    </row>
    <row r="39386" spans="1:26" ht="12.75" customHeight="1" x14ac:dyDescent="0.2">
      <c r="A39386" s="258"/>
      <c r="Z39386" s="258"/>
    </row>
    <row r="39387" spans="1:26" ht="12.75" customHeight="1" x14ac:dyDescent="0.2">
      <c r="A39387" s="258"/>
      <c r="Z39387" s="258"/>
    </row>
    <row r="39388" spans="1:26" ht="12.75" customHeight="1" x14ac:dyDescent="0.2">
      <c r="A39388" s="258"/>
      <c r="Z39388" s="258"/>
    </row>
    <row r="39389" spans="1:26" ht="12.75" customHeight="1" x14ac:dyDescent="0.2">
      <c r="A39389" s="258"/>
      <c r="Z39389" s="258"/>
    </row>
    <row r="39390" spans="1:26" ht="12.75" customHeight="1" x14ac:dyDescent="0.2">
      <c r="A39390" s="258"/>
      <c r="Z39390" s="258"/>
    </row>
    <row r="39391" spans="1:26" ht="12.75" customHeight="1" x14ac:dyDescent="0.2">
      <c r="A39391" s="258"/>
      <c r="Z39391" s="258"/>
    </row>
    <row r="39392" spans="1:26" ht="12.75" customHeight="1" x14ac:dyDescent="0.2">
      <c r="A39392" s="258"/>
      <c r="Z39392" s="258"/>
    </row>
    <row r="39393" spans="1:26" ht="12.75" customHeight="1" x14ac:dyDescent="0.2">
      <c r="A39393" s="258"/>
      <c r="Z39393" s="258"/>
    </row>
    <row r="39394" spans="1:26" ht="12.75" customHeight="1" x14ac:dyDescent="0.2">
      <c r="A39394" s="258"/>
      <c r="Z39394" s="258"/>
    </row>
    <row r="39395" spans="1:26" ht="12.75" customHeight="1" x14ac:dyDescent="0.2">
      <c r="A39395" s="258"/>
      <c r="Z39395" s="258"/>
    </row>
    <row r="39396" spans="1:26" ht="12.75" customHeight="1" x14ac:dyDescent="0.2">
      <c r="A39396" s="258"/>
      <c r="Z39396" s="258"/>
    </row>
    <row r="39397" spans="1:26" ht="12.75" customHeight="1" x14ac:dyDescent="0.2">
      <c r="A39397" s="258"/>
      <c r="Z39397" s="258"/>
    </row>
    <row r="39398" spans="1:26" ht="12.75" customHeight="1" x14ac:dyDescent="0.2">
      <c r="A39398" s="258"/>
      <c r="Z39398" s="258"/>
    </row>
    <row r="39399" spans="1:26" ht="12.75" customHeight="1" x14ac:dyDescent="0.2">
      <c r="A39399" s="258"/>
      <c r="Z39399" s="258"/>
    </row>
    <row r="39400" spans="1:26" ht="12.75" customHeight="1" x14ac:dyDescent="0.2">
      <c r="A39400" s="258"/>
      <c r="Z39400" s="258"/>
    </row>
    <row r="39401" spans="1:26" ht="12.75" customHeight="1" x14ac:dyDescent="0.2">
      <c r="A39401" s="258"/>
      <c r="Z39401" s="258"/>
    </row>
    <row r="39402" spans="1:26" ht="12.75" customHeight="1" x14ac:dyDescent="0.2">
      <c r="A39402" s="258"/>
      <c r="Z39402" s="258"/>
    </row>
    <row r="39403" spans="1:26" ht="12.75" customHeight="1" x14ac:dyDescent="0.2">
      <c r="A39403" s="258"/>
      <c r="Z39403" s="258"/>
    </row>
    <row r="39404" spans="1:26" ht="12.75" customHeight="1" x14ac:dyDescent="0.2">
      <c r="A39404" s="258"/>
      <c r="Z39404" s="258"/>
    </row>
    <row r="39405" spans="1:26" ht="12.75" customHeight="1" x14ac:dyDescent="0.2">
      <c r="A39405" s="258"/>
      <c r="Z39405" s="258"/>
    </row>
    <row r="39406" spans="1:26" ht="12.75" customHeight="1" x14ac:dyDescent="0.2">
      <c r="A39406" s="258"/>
      <c r="Z39406" s="258"/>
    </row>
    <row r="39407" spans="1:26" ht="12.75" customHeight="1" x14ac:dyDescent="0.2">
      <c r="A39407" s="258"/>
      <c r="Z39407" s="258"/>
    </row>
    <row r="39408" spans="1:26" ht="12.75" customHeight="1" x14ac:dyDescent="0.2">
      <c r="A39408" s="258"/>
      <c r="Z39408" s="258"/>
    </row>
    <row r="39409" spans="1:26" ht="12.75" customHeight="1" x14ac:dyDescent="0.2">
      <c r="A39409" s="258"/>
      <c r="Z39409" s="258"/>
    </row>
    <row r="39410" spans="1:26" ht="12.75" customHeight="1" x14ac:dyDescent="0.2">
      <c r="A39410" s="258"/>
      <c r="Z39410" s="258"/>
    </row>
    <row r="39411" spans="1:26" ht="12.75" customHeight="1" x14ac:dyDescent="0.2">
      <c r="A39411" s="258"/>
      <c r="Z39411" s="258"/>
    </row>
    <row r="39412" spans="1:26" ht="12.75" customHeight="1" x14ac:dyDescent="0.2">
      <c r="A39412" s="258"/>
      <c r="Z39412" s="258"/>
    </row>
    <row r="39413" spans="1:26" ht="12.75" customHeight="1" x14ac:dyDescent="0.2">
      <c r="A39413" s="258"/>
      <c r="Z39413" s="258"/>
    </row>
    <row r="39414" spans="1:26" ht="12.75" customHeight="1" x14ac:dyDescent="0.2">
      <c r="A39414" s="258"/>
      <c r="Z39414" s="258"/>
    </row>
    <row r="39415" spans="1:26" ht="12.75" customHeight="1" x14ac:dyDescent="0.2">
      <c r="A39415" s="258"/>
      <c r="Z39415" s="258"/>
    </row>
    <row r="39416" spans="1:26" ht="12.75" customHeight="1" x14ac:dyDescent="0.2">
      <c r="A39416" s="258"/>
      <c r="Z39416" s="258"/>
    </row>
    <row r="39417" spans="1:26" ht="12.75" customHeight="1" x14ac:dyDescent="0.2">
      <c r="A39417" s="258"/>
      <c r="Z39417" s="258"/>
    </row>
    <row r="39418" spans="1:26" ht="12.75" customHeight="1" x14ac:dyDescent="0.2">
      <c r="A39418" s="258"/>
      <c r="Z39418" s="258"/>
    </row>
    <row r="39419" spans="1:26" ht="12.75" customHeight="1" x14ac:dyDescent="0.2">
      <c r="A39419" s="258"/>
      <c r="Z39419" s="258"/>
    </row>
    <row r="39420" spans="1:26" ht="12.75" customHeight="1" x14ac:dyDescent="0.2">
      <c r="A39420" s="258"/>
      <c r="Z39420" s="258"/>
    </row>
    <row r="39421" spans="1:26" ht="12.75" customHeight="1" x14ac:dyDescent="0.2">
      <c r="A39421" s="258"/>
      <c r="Z39421" s="258"/>
    </row>
    <row r="39422" spans="1:26" ht="12.75" customHeight="1" x14ac:dyDescent="0.2">
      <c r="A39422" s="258"/>
      <c r="Z39422" s="258"/>
    </row>
    <row r="39423" spans="1:26" ht="12.75" customHeight="1" x14ac:dyDescent="0.2">
      <c r="A39423" s="258"/>
      <c r="Z39423" s="258"/>
    </row>
    <row r="39424" spans="1:26" ht="12.75" customHeight="1" x14ac:dyDescent="0.2">
      <c r="A39424" s="258"/>
      <c r="Z39424" s="258"/>
    </row>
    <row r="39425" spans="1:26" ht="12.75" customHeight="1" x14ac:dyDescent="0.2">
      <c r="A39425" s="258"/>
      <c r="Z39425" s="258"/>
    </row>
    <row r="39426" spans="1:26" ht="12.75" customHeight="1" x14ac:dyDescent="0.2">
      <c r="A39426" s="258"/>
      <c r="Z39426" s="258"/>
    </row>
    <row r="39427" spans="1:26" ht="12.75" customHeight="1" x14ac:dyDescent="0.2">
      <c r="A39427" s="258"/>
      <c r="Z39427" s="258"/>
    </row>
    <row r="39428" spans="1:26" ht="12.75" customHeight="1" x14ac:dyDescent="0.2">
      <c r="A39428" s="258"/>
      <c r="Z39428" s="258"/>
    </row>
    <row r="39429" spans="1:26" ht="12.75" customHeight="1" x14ac:dyDescent="0.2">
      <c r="A39429" s="258"/>
      <c r="Z39429" s="258"/>
    </row>
    <row r="39430" spans="1:26" ht="12.75" customHeight="1" x14ac:dyDescent="0.2">
      <c r="A39430" s="258"/>
      <c r="Z39430" s="258"/>
    </row>
    <row r="39431" spans="1:26" ht="12.75" customHeight="1" x14ac:dyDescent="0.2">
      <c r="A39431" s="258"/>
      <c r="Z39431" s="258"/>
    </row>
    <row r="39432" spans="1:26" ht="12.75" customHeight="1" x14ac:dyDescent="0.2">
      <c r="A39432" s="258"/>
      <c r="Z39432" s="258"/>
    </row>
    <row r="39433" spans="1:26" ht="12.75" customHeight="1" x14ac:dyDescent="0.2">
      <c r="A39433" s="258"/>
      <c r="Z39433" s="258"/>
    </row>
    <row r="39434" spans="1:26" ht="12.75" customHeight="1" x14ac:dyDescent="0.2">
      <c r="A39434" s="258"/>
      <c r="Z39434" s="258"/>
    </row>
    <row r="39435" spans="1:26" ht="12.75" customHeight="1" x14ac:dyDescent="0.2">
      <c r="A39435" s="258"/>
      <c r="Z39435" s="258"/>
    </row>
    <row r="39436" spans="1:26" ht="12.75" customHeight="1" x14ac:dyDescent="0.2">
      <c r="A39436" s="258"/>
      <c r="Z39436" s="258"/>
    </row>
    <row r="39437" spans="1:26" ht="12.75" customHeight="1" x14ac:dyDescent="0.2">
      <c r="A39437" s="258"/>
      <c r="Z39437" s="258"/>
    </row>
    <row r="39438" spans="1:26" ht="12.75" customHeight="1" x14ac:dyDescent="0.2">
      <c r="A39438" s="258"/>
      <c r="Z39438" s="258"/>
    </row>
    <row r="39439" spans="1:26" ht="12.75" customHeight="1" x14ac:dyDescent="0.2">
      <c r="A39439" s="258"/>
      <c r="Z39439" s="258"/>
    </row>
    <row r="39440" spans="1:26" ht="12.75" customHeight="1" x14ac:dyDescent="0.2">
      <c r="A39440" s="258"/>
      <c r="Z39440" s="258"/>
    </row>
    <row r="39441" spans="1:26" ht="12.75" customHeight="1" x14ac:dyDescent="0.2">
      <c r="A39441" s="258"/>
      <c r="Z39441" s="258"/>
    </row>
    <row r="39442" spans="1:26" ht="12.75" customHeight="1" x14ac:dyDescent="0.2">
      <c r="A39442" s="258"/>
      <c r="Z39442" s="258"/>
    </row>
    <row r="39443" spans="1:26" ht="12.75" customHeight="1" x14ac:dyDescent="0.2">
      <c r="A39443" s="258"/>
      <c r="Z39443" s="258"/>
    </row>
    <row r="39444" spans="1:26" ht="12.75" customHeight="1" x14ac:dyDescent="0.2">
      <c r="A39444" s="258"/>
      <c r="Z39444" s="258"/>
    </row>
    <row r="39445" spans="1:26" ht="12.75" customHeight="1" x14ac:dyDescent="0.2">
      <c r="A39445" s="258"/>
      <c r="Z39445" s="258"/>
    </row>
    <row r="39446" spans="1:26" ht="12.75" customHeight="1" x14ac:dyDescent="0.2">
      <c r="A39446" s="258"/>
      <c r="Z39446" s="258"/>
    </row>
    <row r="39447" spans="1:26" ht="12.75" customHeight="1" x14ac:dyDescent="0.2">
      <c r="A39447" s="258"/>
      <c r="Z39447" s="258"/>
    </row>
    <row r="39448" spans="1:26" ht="12.75" customHeight="1" x14ac:dyDescent="0.2">
      <c r="A39448" s="258"/>
      <c r="Z39448" s="258"/>
    </row>
    <row r="39449" spans="1:26" ht="12.75" customHeight="1" x14ac:dyDescent="0.2">
      <c r="A39449" s="258"/>
      <c r="Z39449" s="258"/>
    </row>
    <row r="39450" spans="1:26" ht="12.75" customHeight="1" x14ac:dyDescent="0.2">
      <c r="A39450" s="258"/>
      <c r="Z39450" s="258"/>
    </row>
    <row r="39451" spans="1:26" ht="12.75" customHeight="1" x14ac:dyDescent="0.2">
      <c r="A39451" s="258"/>
      <c r="Z39451" s="258"/>
    </row>
    <row r="39452" spans="1:26" ht="12.75" customHeight="1" x14ac:dyDescent="0.2">
      <c r="A39452" s="258"/>
      <c r="Z39452" s="258"/>
    </row>
    <row r="39453" spans="1:26" ht="12.75" customHeight="1" x14ac:dyDescent="0.2">
      <c r="A39453" s="258"/>
      <c r="Z39453" s="258"/>
    </row>
    <row r="39454" spans="1:26" ht="12.75" customHeight="1" x14ac:dyDescent="0.2">
      <c r="A39454" s="258"/>
      <c r="Z39454" s="258"/>
    </row>
    <row r="39455" spans="1:26" ht="12.75" customHeight="1" x14ac:dyDescent="0.2">
      <c r="A39455" s="258"/>
      <c r="Z39455" s="258"/>
    </row>
    <row r="39456" spans="1:26" ht="12.75" customHeight="1" x14ac:dyDescent="0.2">
      <c r="A39456" s="258"/>
      <c r="Z39456" s="258"/>
    </row>
    <row r="39457" spans="1:26" ht="12.75" customHeight="1" x14ac:dyDescent="0.2">
      <c r="A39457" s="258"/>
      <c r="Z39457" s="258"/>
    </row>
    <row r="39458" spans="1:26" ht="12.75" customHeight="1" x14ac:dyDescent="0.2">
      <c r="A39458" s="258"/>
      <c r="Z39458" s="258"/>
    </row>
    <row r="39459" spans="1:26" ht="12.75" customHeight="1" x14ac:dyDescent="0.2">
      <c r="A39459" s="258"/>
      <c r="Z39459" s="258"/>
    </row>
    <row r="39460" spans="1:26" ht="12.75" customHeight="1" x14ac:dyDescent="0.2">
      <c r="A39460" s="258"/>
      <c r="Z39460" s="258"/>
    </row>
    <row r="39461" spans="1:26" ht="12.75" customHeight="1" x14ac:dyDescent="0.2">
      <c r="A39461" s="258"/>
      <c r="Z39461" s="258"/>
    </row>
    <row r="39462" spans="1:26" ht="12.75" customHeight="1" x14ac:dyDescent="0.2">
      <c r="A39462" s="258"/>
      <c r="Z39462" s="258"/>
    </row>
    <row r="39463" spans="1:26" ht="12.75" customHeight="1" x14ac:dyDescent="0.2">
      <c r="A39463" s="258"/>
      <c r="Z39463" s="258"/>
    </row>
    <row r="39464" spans="1:26" ht="12.75" customHeight="1" x14ac:dyDescent="0.2">
      <c r="A39464" s="258"/>
      <c r="Z39464" s="258"/>
    </row>
    <row r="39465" spans="1:26" ht="12.75" customHeight="1" x14ac:dyDescent="0.2">
      <c r="A39465" s="258"/>
      <c r="Z39465" s="258"/>
    </row>
    <row r="39466" spans="1:26" ht="12.75" customHeight="1" x14ac:dyDescent="0.2">
      <c r="A39466" s="258"/>
      <c r="Z39466" s="258"/>
    </row>
    <row r="39467" spans="1:26" ht="12.75" customHeight="1" x14ac:dyDescent="0.2">
      <c r="A39467" s="258"/>
      <c r="Z39467" s="258"/>
    </row>
    <row r="39468" spans="1:26" ht="12.75" customHeight="1" x14ac:dyDescent="0.2">
      <c r="A39468" s="258"/>
      <c r="Z39468" s="258"/>
    </row>
    <row r="39469" spans="1:26" ht="12.75" customHeight="1" x14ac:dyDescent="0.2">
      <c r="A39469" s="258"/>
      <c r="Z39469" s="258"/>
    </row>
    <row r="39470" spans="1:26" ht="12.75" customHeight="1" x14ac:dyDescent="0.2">
      <c r="A39470" s="258"/>
      <c r="Z39470" s="258"/>
    </row>
    <row r="39471" spans="1:26" ht="12.75" customHeight="1" x14ac:dyDescent="0.2">
      <c r="A39471" s="258"/>
      <c r="Z39471" s="258"/>
    </row>
    <row r="39472" spans="1:26" ht="12.75" customHeight="1" x14ac:dyDescent="0.2">
      <c r="A39472" s="258"/>
      <c r="Z39472" s="258"/>
    </row>
    <row r="39473" spans="1:26" ht="12.75" customHeight="1" x14ac:dyDescent="0.2">
      <c r="A39473" s="258"/>
      <c r="Z39473" s="258"/>
    </row>
    <row r="39474" spans="1:26" ht="12.75" customHeight="1" x14ac:dyDescent="0.2">
      <c r="A39474" s="258"/>
      <c r="Z39474" s="258"/>
    </row>
    <row r="39475" spans="1:26" ht="12.75" customHeight="1" x14ac:dyDescent="0.2">
      <c r="A39475" s="258"/>
      <c r="Z39475" s="258"/>
    </row>
    <row r="39476" spans="1:26" ht="12.75" customHeight="1" x14ac:dyDescent="0.2">
      <c r="A39476" s="258"/>
      <c r="Z39476" s="258"/>
    </row>
    <row r="39477" spans="1:26" ht="12.75" customHeight="1" x14ac:dyDescent="0.2">
      <c r="A39477" s="258"/>
      <c r="Z39477" s="258"/>
    </row>
    <row r="39478" spans="1:26" ht="12.75" customHeight="1" x14ac:dyDescent="0.2">
      <c r="A39478" s="258"/>
      <c r="Z39478" s="258"/>
    </row>
    <row r="39479" spans="1:26" ht="12.75" customHeight="1" x14ac:dyDescent="0.2">
      <c r="A39479" s="258"/>
      <c r="Z39479" s="258"/>
    </row>
    <row r="39480" spans="1:26" ht="12.75" customHeight="1" x14ac:dyDescent="0.2">
      <c r="A39480" s="258"/>
      <c r="Z39480" s="258"/>
    </row>
    <row r="39481" spans="1:26" ht="12.75" customHeight="1" x14ac:dyDescent="0.2">
      <c r="A39481" s="258"/>
      <c r="Z39481" s="258"/>
    </row>
    <row r="39482" spans="1:26" ht="12.75" customHeight="1" x14ac:dyDescent="0.2">
      <c r="A39482" s="258"/>
      <c r="Z39482" s="258"/>
    </row>
    <row r="39483" spans="1:26" ht="12.75" customHeight="1" x14ac:dyDescent="0.2">
      <c r="A39483" s="258"/>
      <c r="Z39483" s="258"/>
    </row>
    <row r="39484" spans="1:26" ht="12.75" customHeight="1" x14ac:dyDescent="0.2">
      <c r="A39484" s="258"/>
      <c r="Z39484" s="258"/>
    </row>
    <row r="39485" spans="1:26" ht="12.75" customHeight="1" x14ac:dyDescent="0.2">
      <c r="A39485" s="258"/>
      <c r="Z39485" s="258"/>
    </row>
    <row r="39486" spans="1:26" ht="12.75" customHeight="1" x14ac:dyDescent="0.2">
      <c r="A39486" s="258"/>
      <c r="Z39486" s="258"/>
    </row>
    <row r="39487" spans="1:26" ht="12.75" customHeight="1" x14ac:dyDescent="0.2">
      <c r="A39487" s="258"/>
      <c r="Z39487" s="258"/>
    </row>
    <row r="39488" spans="1:26" ht="12.75" customHeight="1" x14ac:dyDescent="0.2">
      <c r="A39488" s="258"/>
      <c r="Z39488" s="258"/>
    </row>
    <row r="39489" spans="1:26" ht="12.75" customHeight="1" x14ac:dyDescent="0.2">
      <c r="A39489" s="258"/>
      <c r="Z39489" s="258"/>
    </row>
    <row r="39490" spans="1:26" ht="12.75" customHeight="1" x14ac:dyDescent="0.2">
      <c r="A39490" s="258"/>
      <c r="Z39490" s="258"/>
    </row>
    <row r="39491" spans="1:26" ht="12.75" customHeight="1" x14ac:dyDescent="0.2">
      <c r="A39491" s="258"/>
      <c r="Z39491" s="258"/>
    </row>
    <row r="39492" spans="1:26" ht="12.75" customHeight="1" x14ac:dyDescent="0.2">
      <c r="A39492" s="258"/>
      <c r="Z39492" s="258"/>
    </row>
    <row r="39493" spans="1:26" ht="12.75" customHeight="1" x14ac:dyDescent="0.2">
      <c r="A39493" s="258"/>
      <c r="Z39493" s="258"/>
    </row>
    <row r="39494" spans="1:26" ht="12.75" customHeight="1" x14ac:dyDescent="0.2">
      <c r="A39494" s="258"/>
      <c r="Z39494" s="258"/>
    </row>
    <row r="39495" spans="1:26" ht="12.75" customHeight="1" x14ac:dyDescent="0.2">
      <c r="A39495" s="258"/>
      <c r="Z39495" s="258"/>
    </row>
    <row r="39496" spans="1:26" ht="12.75" customHeight="1" x14ac:dyDescent="0.2">
      <c r="A39496" s="258"/>
      <c r="Z39496" s="258"/>
    </row>
    <row r="39497" spans="1:26" ht="12.75" customHeight="1" x14ac:dyDescent="0.2">
      <c r="A39497" s="258"/>
      <c r="Z39497" s="258"/>
    </row>
    <row r="39498" spans="1:26" ht="12.75" customHeight="1" x14ac:dyDescent="0.2">
      <c r="A39498" s="258"/>
      <c r="Z39498" s="258"/>
    </row>
    <row r="39499" spans="1:26" ht="12.75" customHeight="1" x14ac:dyDescent="0.2">
      <c r="A39499" s="258"/>
      <c r="Z39499" s="258"/>
    </row>
    <row r="39500" spans="1:26" ht="12.75" customHeight="1" x14ac:dyDescent="0.2">
      <c r="A39500" s="258"/>
      <c r="Z39500" s="258"/>
    </row>
    <row r="39501" spans="1:26" ht="12.75" customHeight="1" x14ac:dyDescent="0.2">
      <c r="A39501" s="258"/>
      <c r="Z39501" s="258"/>
    </row>
    <row r="39502" spans="1:26" ht="12.75" customHeight="1" x14ac:dyDescent="0.2">
      <c r="A39502" s="258"/>
      <c r="Z39502" s="258"/>
    </row>
    <row r="39503" spans="1:26" ht="12.75" customHeight="1" x14ac:dyDescent="0.2">
      <c r="A39503" s="258"/>
      <c r="Z39503" s="258"/>
    </row>
    <row r="39504" spans="1:26" ht="12.75" customHeight="1" x14ac:dyDescent="0.2">
      <c r="A39504" s="258"/>
      <c r="Z39504" s="258"/>
    </row>
    <row r="39505" spans="1:26" ht="12.75" customHeight="1" x14ac:dyDescent="0.2">
      <c r="A39505" s="258"/>
      <c r="Z39505" s="258"/>
    </row>
    <row r="39506" spans="1:26" ht="12.75" customHeight="1" x14ac:dyDescent="0.2">
      <c r="A39506" s="258"/>
      <c r="Z39506" s="258"/>
    </row>
    <row r="39507" spans="1:26" ht="12.75" customHeight="1" x14ac:dyDescent="0.2">
      <c r="A39507" s="258"/>
      <c r="Z39507" s="258"/>
    </row>
    <row r="39508" spans="1:26" ht="12.75" customHeight="1" x14ac:dyDescent="0.2">
      <c r="A39508" s="258"/>
      <c r="Z39508" s="258"/>
    </row>
    <row r="39509" spans="1:26" ht="12.75" customHeight="1" x14ac:dyDescent="0.2">
      <c r="A39509" s="258"/>
      <c r="Z39509" s="258"/>
    </row>
    <row r="39510" spans="1:26" ht="12.75" customHeight="1" x14ac:dyDescent="0.2">
      <c r="A39510" s="258"/>
      <c r="Z39510" s="258"/>
    </row>
    <row r="39511" spans="1:26" ht="12.75" customHeight="1" x14ac:dyDescent="0.2">
      <c r="A39511" s="258"/>
      <c r="Z39511" s="258"/>
    </row>
    <row r="39512" spans="1:26" ht="12.75" customHeight="1" x14ac:dyDescent="0.2">
      <c r="A39512" s="258"/>
      <c r="Z39512" s="258"/>
    </row>
    <row r="39513" spans="1:26" ht="12.75" customHeight="1" x14ac:dyDescent="0.2">
      <c r="A39513" s="258"/>
      <c r="Z39513" s="258"/>
    </row>
    <row r="39514" spans="1:26" ht="12.75" customHeight="1" x14ac:dyDescent="0.2">
      <c r="A39514" s="258"/>
      <c r="Z39514" s="258"/>
    </row>
    <row r="39515" spans="1:26" ht="12.75" customHeight="1" x14ac:dyDescent="0.2">
      <c r="A39515" s="258"/>
      <c r="Z39515" s="258"/>
    </row>
    <row r="39516" spans="1:26" ht="12.75" customHeight="1" x14ac:dyDescent="0.2">
      <c r="A39516" s="258"/>
      <c r="Z39516" s="258"/>
    </row>
    <row r="39517" spans="1:26" ht="12.75" customHeight="1" x14ac:dyDescent="0.2">
      <c r="A39517" s="258"/>
      <c r="Z39517" s="258"/>
    </row>
    <row r="39518" spans="1:26" ht="12.75" customHeight="1" x14ac:dyDescent="0.2">
      <c r="A39518" s="258"/>
      <c r="Z39518" s="258"/>
    </row>
    <row r="39519" spans="1:26" ht="12.75" customHeight="1" x14ac:dyDescent="0.2">
      <c r="A39519" s="258"/>
      <c r="Z39519" s="258"/>
    </row>
    <row r="39520" spans="1:26" ht="12.75" customHeight="1" x14ac:dyDescent="0.2">
      <c r="A39520" s="258"/>
      <c r="Z39520" s="258"/>
    </row>
    <row r="39521" spans="1:26" ht="12.75" customHeight="1" x14ac:dyDescent="0.2">
      <c r="A39521" s="258"/>
      <c r="Z39521" s="258"/>
    </row>
    <row r="39522" spans="1:26" ht="12.75" customHeight="1" x14ac:dyDescent="0.2">
      <c r="A39522" s="258"/>
      <c r="Z39522" s="258"/>
    </row>
    <row r="39523" spans="1:26" ht="12.75" customHeight="1" x14ac:dyDescent="0.2">
      <c r="A39523" s="258"/>
      <c r="Z39523" s="258"/>
    </row>
    <row r="39524" spans="1:26" ht="12.75" customHeight="1" x14ac:dyDescent="0.2">
      <c r="A39524" s="258"/>
      <c r="Z39524" s="258"/>
    </row>
    <row r="39525" spans="1:26" ht="12.75" customHeight="1" x14ac:dyDescent="0.2">
      <c r="A39525" s="258"/>
      <c r="Z39525" s="258"/>
    </row>
    <row r="39526" spans="1:26" ht="12.75" customHeight="1" x14ac:dyDescent="0.2">
      <c r="A39526" s="258"/>
      <c r="Z39526" s="258"/>
    </row>
    <row r="39527" spans="1:26" ht="12.75" customHeight="1" x14ac:dyDescent="0.2">
      <c r="A39527" s="258"/>
      <c r="Z39527" s="258"/>
    </row>
    <row r="39528" spans="1:26" ht="12.75" customHeight="1" x14ac:dyDescent="0.2">
      <c r="A39528" s="258"/>
      <c r="Z39528" s="258"/>
    </row>
    <row r="39529" spans="1:26" ht="12.75" customHeight="1" x14ac:dyDescent="0.2">
      <c r="A39529" s="258"/>
      <c r="Z39529" s="258"/>
    </row>
    <row r="39530" spans="1:26" ht="12.75" customHeight="1" x14ac:dyDescent="0.2">
      <c r="A39530" s="258"/>
      <c r="Z39530" s="258"/>
    </row>
    <row r="39531" spans="1:26" ht="12.75" customHeight="1" x14ac:dyDescent="0.2">
      <c r="A39531" s="258"/>
      <c r="Z39531" s="258"/>
    </row>
    <row r="39532" spans="1:26" ht="12.75" customHeight="1" x14ac:dyDescent="0.2">
      <c r="A39532" s="258"/>
      <c r="Z39532" s="258"/>
    </row>
    <row r="39533" spans="1:26" ht="12.75" customHeight="1" x14ac:dyDescent="0.2">
      <c r="A39533" s="258"/>
      <c r="Z39533" s="258"/>
    </row>
    <row r="39534" spans="1:26" ht="12.75" customHeight="1" x14ac:dyDescent="0.2">
      <c r="A39534" s="258"/>
      <c r="Z39534" s="258"/>
    </row>
    <row r="39535" spans="1:26" ht="12.75" customHeight="1" x14ac:dyDescent="0.2">
      <c r="A39535" s="258"/>
      <c r="Z39535" s="258"/>
    </row>
    <row r="39536" spans="1:26" ht="12.75" customHeight="1" x14ac:dyDescent="0.2">
      <c r="A39536" s="258"/>
      <c r="Z39536" s="258"/>
    </row>
    <row r="39537" spans="1:26" ht="12.75" customHeight="1" x14ac:dyDescent="0.2">
      <c r="A39537" s="258"/>
      <c r="Z39537" s="258"/>
    </row>
    <row r="39538" spans="1:26" ht="12.75" customHeight="1" x14ac:dyDescent="0.2">
      <c r="A39538" s="258"/>
      <c r="Z39538" s="258"/>
    </row>
    <row r="39539" spans="1:26" ht="12.75" customHeight="1" x14ac:dyDescent="0.2">
      <c r="A39539" s="258"/>
      <c r="Z39539" s="258"/>
    </row>
    <row r="39540" spans="1:26" ht="12.75" customHeight="1" x14ac:dyDescent="0.2">
      <c r="A39540" s="258"/>
      <c r="Z39540" s="258"/>
    </row>
    <row r="39541" spans="1:26" ht="12.75" customHeight="1" x14ac:dyDescent="0.2">
      <c r="A39541" s="258"/>
      <c r="Z39541" s="258"/>
    </row>
    <row r="39542" spans="1:26" ht="12.75" customHeight="1" x14ac:dyDescent="0.2">
      <c r="A39542" s="258"/>
      <c r="Z39542" s="258"/>
    </row>
    <row r="39543" spans="1:26" ht="12.75" customHeight="1" x14ac:dyDescent="0.2">
      <c r="A39543" s="258"/>
      <c r="Z39543" s="258"/>
    </row>
    <row r="39544" spans="1:26" ht="12.75" customHeight="1" x14ac:dyDescent="0.2">
      <c r="A39544" s="258"/>
      <c r="Z39544" s="258"/>
    </row>
    <row r="39545" spans="1:26" ht="12.75" customHeight="1" x14ac:dyDescent="0.2">
      <c r="A39545" s="258"/>
      <c r="Z39545" s="258"/>
    </row>
    <row r="39546" spans="1:26" ht="12.75" customHeight="1" x14ac:dyDescent="0.2">
      <c r="A39546" s="258"/>
      <c r="Z39546" s="258"/>
    </row>
    <row r="39547" spans="1:26" ht="12.75" customHeight="1" x14ac:dyDescent="0.2">
      <c r="A39547" s="258"/>
      <c r="Z39547" s="258"/>
    </row>
    <row r="39548" spans="1:26" ht="12.75" customHeight="1" x14ac:dyDescent="0.2">
      <c r="A39548" s="258"/>
      <c r="Z39548" s="258"/>
    </row>
    <row r="39549" spans="1:26" ht="12.75" customHeight="1" x14ac:dyDescent="0.2">
      <c r="A39549" s="258"/>
      <c r="Z39549" s="258"/>
    </row>
    <row r="39550" spans="1:26" ht="12.75" customHeight="1" x14ac:dyDescent="0.2">
      <c r="A39550" s="258"/>
      <c r="Z39550" s="258"/>
    </row>
    <row r="39551" spans="1:26" ht="12.75" customHeight="1" x14ac:dyDescent="0.2">
      <c r="A39551" s="258"/>
      <c r="Z39551" s="258"/>
    </row>
    <row r="39552" spans="1:26" ht="12.75" customHeight="1" x14ac:dyDescent="0.2">
      <c r="A39552" s="258"/>
      <c r="Z39552" s="258"/>
    </row>
    <row r="39553" spans="1:26" ht="12.75" customHeight="1" x14ac:dyDescent="0.2">
      <c r="A39553" s="258"/>
      <c r="Z39553" s="258"/>
    </row>
    <row r="39554" spans="1:26" ht="12.75" customHeight="1" x14ac:dyDescent="0.2">
      <c r="A39554" s="258"/>
      <c r="Z39554" s="258"/>
    </row>
    <row r="39555" spans="1:26" ht="12.75" customHeight="1" x14ac:dyDescent="0.2">
      <c r="A39555" s="258"/>
      <c r="Z39555" s="258"/>
    </row>
    <row r="39556" spans="1:26" ht="12.75" customHeight="1" x14ac:dyDescent="0.2">
      <c r="A39556" s="258"/>
      <c r="Z39556" s="258"/>
    </row>
    <row r="39557" spans="1:26" ht="12.75" customHeight="1" x14ac:dyDescent="0.2">
      <c r="A39557" s="258"/>
      <c r="Z39557" s="258"/>
    </row>
    <row r="39558" spans="1:26" ht="12.75" customHeight="1" x14ac:dyDescent="0.2">
      <c r="A39558" s="258"/>
      <c r="Z39558" s="258"/>
    </row>
    <row r="39559" spans="1:26" ht="12.75" customHeight="1" x14ac:dyDescent="0.2">
      <c r="A39559" s="258"/>
      <c r="Z39559" s="258"/>
    </row>
    <row r="39560" spans="1:26" ht="12.75" customHeight="1" x14ac:dyDescent="0.2">
      <c r="A39560" s="258"/>
      <c r="Z39560" s="258"/>
    </row>
    <row r="39561" spans="1:26" ht="12.75" customHeight="1" x14ac:dyDescent="0.2">
      <c r="A39561" s="258"/>
      <c r="Z39561" s="258"/>
    </row>
    <row r="39562" spans="1:26" ht="12.75" customHeight="1" x14ac:dyDescent="0.2">
      <c r="A39562" s="258"/>
      <c r="Z39562" s="258"/>
    </row>
    <row r="39563" spans="1:26" ht="12.75" customHeight="1" x14ac:dyDescent="0.2">
      <c r="A39563" s="258"/>
      <c r="Z39563" s="258"/>
    </row>
    <row r="39564" spans="1:26" ht="12.75" customHeight="1" x14ac:dyDescent="0.2">
      <c r="A39564" s="258"/>
      <c r="Z39564" s="258"/>
    </row>
    <row r="39565" spans="1:26" ht="12.75" customHeight="1" x14ac:dyDescent="0.2">
      <c r="A39565" s="258"/>
      <c r="Z39565" s="258"/>
    </row>
    <row r="39566" spans="1:26" ht="12.75" customHeight="1" x14ac:dyDescent="0.2">
      <c r="A39566" s="258"/>
      <c r="Z39566" s="258"/>
    </row>
    <row r="39567" spans="1:26" ht="12.75" customHeight="1" x14ac:dyDescent="0.2">
      <c r="A39567" s="258"/>
      <c r="Z39567" s="258"/>
    </row>
    <row r="39568" spans="1:26" ht="12.75" customHeight="1" x14ac:dyDescent="0.2">
      <c r="A39568" s="258"/>
      <c r="Z39568" s="258"/>
    </row>
    <row r="39569" spans="1:26" ht="12.75" customHeight="1" x14ac:dyDescent="0.2">
      <c r="A39569" s="258"/>
      <c r="Z39569" s="258"/>
    </row>
    <row r="39570" spans="1:26" ht="12.75" customHeight="1" x14ac:dyDescent="0.2">
      <c r="A39570" s="258"/>
      <c r="Z39570" s="258"/>
    </row>
    <row r="39571" spans="1:26" ht="12.75" customHeight="1" x14ac:dyDescent="0.2">
      <c r="A39571" s="258"/>
      <c r="Z39571" s="258"/>
    </row>
    <row r="39572" spans="1:26" ht="12.75" customHeight="1" x14ac:dyDescent="0.2">
      <c r="A39572" s="258"/>
      <c r="Z39572" s="258"/>
    </row>
    <row r="39573" spans="1:26" ht="12.75" customHeight="1" x14ac:dyDescent="0.2">
      <c r="A39573" s="258"/>
      <c r="Z39573" s="258"/>
    </row>
    <row r="39574" spans="1:26" ht="12.75" customHeight="1" x14ac:dyDescent="0.2">
      <c r="A39574" s="258"/>
      <c r="Z39574" s="258"/>
    </row>
    <row r="39575" spans="1:26" ht="12.75" customHeight="1" x14ac:dyDescent="0.2">
      <c r="A39575" s="258"/>
      <c r="Z39575" s="258"/>
    </row>
    <row r="39576" spans="1:26" ht="12.75" customHeight="1" x14ac:dyDescent="0.2">
      <c r="A39576" s="258"/>
      <c r="Z39576" s="258"/>
    </row>
    <row r="39577" spans="1:26" ht="12.75" customHeight="1" x14ac:dyDescent="0.2">
      <c r="A39577" s="258"/>
      <c r="Z39577" s="258"/>
    </row>
    <row r="39578" spans="1:26" ht="12.75" customHeight="1" x14ac:dyDescent="0.2">
      <c r="A39578" s="258"/>
      <c r="Z39578" s="258"/>
    </row>
    <row r="39579" spans="1:26" ht="12.75" customHeight="1" x14ac:dyDescent="0.2">
      <c r="A39579" s="258"/>
      <c r="Z39579" s="258"/>
    </row>
    <row r="39580" spans="1:26" ht="12.75" customHeight="1" x14ac:dyDescent="0.2">
      <c r="A39580" s="258"/>
      <c r="Z39580" s="258"/>
    </row>
    <row r="39581" spans="1:26" ht="12.75" customHeight="1" x14ac:dyDescent="0.2">
      <c r="A39581" s="258"/>
      <c r="Z39581" s="258"/>
    </row>
    <row r="39582" spans="1:26" ht="12.75" customHeight="1" x14ac:dyDescent="0.2">
      <c r="A39582" s="258"/>
      <c r="Z39582" s="258"/>
    </row>
    <row r="39583" spans="1:26" ht="12.75" customHeight="1" x14ac:dyDescent="0.2">
      <c r="A39583" s="258"/>
      <c r="Z39583" s="258"/>
    </row>
    <row r="39584" spans="1:26" ht="12.75" customHeight="1" x14ac:dyDescent="0.2">
      <c r="A39584" s="258"/>
      <c r="Z39584" s="258"/>
    </row>
    <row r="39585" spans="1:26" ht="12.75" customHeight="1" x14ac:dyDescent="0.2">
      <c r="A39585" s="258"/>
      <c r="Z39585" s="258"/>
    </row>
    <row r="39586" spans="1:26" ht="12.75" customHeight="1" x14ac:dyDescent="0.2">
      <c r="A39586" s="258"/>
      <c r="Z39586" s="258"/>
    </row>
    <row r="39587" spans="1:26" ht="12.75" customHeight="1" x14ac:dyDescent="0.2">
      <c r="A39587" s="258"/>
      <c r="Z39587" s="258"/>
    </row>
    <row r="39588" spans="1:26" ht="12.75" customHeight="1" x14ac:dyDescent="0.2">
      <c r="A39588" s="258"/>
      <c r="Z39588" s="258"/>
    </row>
    <row r="39589" spans="1:26" ht="12.75" customHeight="1" x14ac:dyDescent="0.2">
      <c r="A39589" s="258"/>
      <c r="Z39589" s="258"/>
    </row>
    <row r="39590" spans="1:26" ht="12.75" customHeight="1" x14ac:dyDescent="0.2">
      <c r="A39590" s="258"/>
      <c r="Z39590" s="258"/>
    </row>
    <row r="39591" spans="1:26" ht="12.75" customHeight="1" x14ac:dyDescent="0.2">
      <c r="A39591" s="258"/>
      <c r="Z39591" s="258"/>
    </row>
    <row r="39592" spans="1:26" ht="12.75" customHeight="1" x14ac:dyDescent="0.2">
      <c r="A39592" s="258"/>
      <c r="Z39592" s="258"/>
    </row>
    <row r="39593" spans="1:26" ht="12.75" customHeight="1" x14ac:dyDescent="0.2">
      <c r="A39593" s="258"/>
      <c r="Z39593" s="258"/>
    </row>
    <row r="39594" spans="1:26" ht="12.75" customHeight="1" x14ac:dyDescent="0.2">
      <c r="A39594" s="258"/>
      <c r="Z39594" s="258"/>
    </row>
    <row r="39595" spans="1:26" ht="12.75" customHeight="1" x14ac:dyDescent="0.2">
      <c r="A39595" s="258"/>
      <c r="Z39595" s="258"/>
    </row>
    <row r="39596" spans="1:26" ht="12.75" customHeight="1" x14ac:dyDescent="0.2">
      <c r="A39596" s="258"/>
      <c r="Z39596" s="258"/>
    </row>
    <row r="39597" spans="1:26" ht="12.75" customHeight="1" x14ac:dyDescent="0.2">
      <c r="A39597" s="258"/>
      <c r="Z39597" s="258"/>
    </row>
    <row r="39598" spans="1:26" ht="12.75" customHeight="1" x14ac:dyDescent="0.2">
      <c r="A39598" s="258"/>
      <c r="Z39598" s="258"/>
    </row>
    <row r="39599" spans="1:26" ht="12.75" customHeight="1" x14ac:dyDescent="0.2">
      <c r="A39599" s="258"/>
      <c r="Z39599" s="258"/>
    </row>
    <row r="39600" spans="1:26" ht="12.75" customHeight="1" x14ac:dyDescent="0.2">
      <c r="A39600" s="258"/>
      <c r="Z39600" s="258"/>
    </row>
    <row r="39601" spans="1:26" ht="12.75" customHeight="1" x14ac:dyDescent="0.2">
      <c r="A39601" s="258"/>
      <c r="Z39601" s="258"/>
    </row>
    <row r="39602" spans="1:26" ht="12.75" customHeight="1" x14ac:dyDescent="0.2">
      <c r="A39602" s="258"/>
      <c r="Z39602" s="258"/>
    </row>
    <row r="39603" spans="1:26" ht="12.75" customHeight="1" x14ac:dyDescent="0.2">
      <c r="A39603" s="258"/>
      <c r="Z39603" s="258"/>
    </row>
    <row r="39604" spans="1:26" ht="12.75" customHeight="1" x14ac:dyDescent="0.2">
      <c r="A39604" s="258"/>
      <c r="Z39604" s="258"/>
    </row>
    <row r="39605" spans="1:26" ht="12.75" customHeight="1" x14ac:dyDescent="0.2">
      <c r="A39605" s="258"/>
      <c r="Z39605" s="258"/>
    </row>
    <row r="39606" spans="1:26" ht="12.75" customHeight="1" x14ac:dyDescent="0.2">
      <c r="A39606" s="258"/>
      <c r="Z39606" s="258"/>
    </row>
    <row r="39607" spans="1:26" ht="12.75" customHeight="1" x14ac:dyDescent="0.2">
      <c r="A39607" s="258"/>
      <c r="Z39607" s="258"/>
    </row>
    <row r="39608" spans="1:26" ht="12.75" customHeight="1" x14ac:dyDescent="0.2">
      <c r="A39608" s="258"/>
      <c r="Z39608" s="258"/>
    </row>
    <row r="39609" spans="1:26" ht="12.75" customHeight="1" x14ac:dyDescent="0.2">
      <c r="A39609" s="258"/>
      <c r="Z39609" s="258"/>
    </row>
    <row r="39610" spans="1:26" ht="12.75" customHeight="1" x14ac:dyDescent="0.2">
      <c r="A39610" s="258"/>
      <c r="Z39610" s="258"/>
    </row>
    <row r="39611" spans="1:26" ht="12.75" customHeight="1" x14ac:dyDescent="0.2">
      <c r="A39611" s="258"/>
      <c r="Z39611" s="258"/>
    </row>
    <row r="39612" spans="1:26" ht="12.75" customHeight="1" x14ac:dyDescent="0.2">
      <c r="A39612" s="258"/>
      <c r="Z39612" s="258"/>
    </row>
    <row r="39613" spans="1:26" ht="12.75" customHeight="1" x14ac:dyDescent="0.2">
      <c r="A39613" s="258"/>
      <c r="Z39613" s="258"/>
    </row>
    <row r="39614" spans="1:26" ht="12.75" customHeight="1" x14ac:dyDescent="0.2">
      <c r="A39614" s="258"/>
      <c r="Z39614" s="258"/>
    </row>
    <row r="39615" spans="1:26" ht="12.75" customHeight="1" x14ac:dyDescent="0.2">
      <c r="A39615" s="258"/>
      <c r="Z39615" s="258"/>
    </row>
    <row r="39616" spans="1:26" ht="12.75" customHeight="1" x14ac:dyDescent="0.2">
      <c r="A39616" s="258"/>
      <c r="Z39616" s="258"/>
    </row>
    <row r="39617" spans="1:26" ht="12.75" customHeight="1" x14ac:dyDescent="0.2">
      <c r="A39617" s="258"/>
      <c r="Z39617" s="258"/>
    </row>
    <row r="39618" spans="1:26" ht="12.75" customHeight="1" x14ac:dyDescent="0.2">
      <c r="A39618" s="258"/>
      <c r="Z39618" s="258"/>
    </row>
    <row r="39619" spans="1:26" ht="12.75" customHeight="1" x14ac:dyDescent="0.2">
      <c r="A39619" s="258"/>
      <c r="Z39619" s="258"/>
    </row>
    <row r="39620" spans="1:26" ht="12.75" customHeight="1" x14ac:dyDescent="0.2">
      <c r="A39620" s="258"/>
      <c r="Z39620" s="258"/>
    </row>
    <row r="39621" spans="1:26" ht="12.75" customHeight="1" x14ac:dyDescent="0.2">
      <c r="A39621" s="258"/>
      <c r="Z39621" s="258"/>
    </row>
    <row r="39622" spans="1:26" ht="12.75" customHeight="1" x14ac:dyDescent="0.2">
      <c r="A39622" s="258"/>
      <c r="Z39622" s="258"/>
    </row>
    <row r="39623" spans="1:26" ht="12.75" customHeight="1" x14ac:dyDescent="0.2">
      <c r="A39623" s="258"/>
      <c r="Z39623" s="258"/>
    </row>
    <row r="39624" spans="1:26" ht="12.75" customHeight="1" x14ac:dyDescent="0.2">
      <c r="A39624" s="258"/>
      <c r="Z39624" s="258"/>
    </row>
    <row r="39625" spans="1:26" ht="12.75" customHeight="1" x14ac:dyDescent="0.2">
      <c r="A39625" s="258"/>
      <c r="Z39625" s="258"/>
    </row>
    <row r="39626" spans="1:26" ht="12.75" customHeight="1" x14ac:dyDescent="0.2">
      <c r="A39626" s="258"/>
      <c r="Z39626" s="258"/>
    </row>
    <row r="39627" spans="1:26" ht="12.75" customHeight="1" x14ac:dyDescent="0.2">
      <c r="A39627" s="258"/>
      <c r="Z39627" s="258"/>
    </row>
    <row r="39628" spans="1:26" ht="12.75" customHeight="1" x14ac:dyDescent="0.2">
      <c r="A39628" s="258"/>
      <c r="Z39628" s="258"/>
    </row>
    <row r="39629" spans="1:26" ht="12.75" customHeight="1" x14ac:dyDescent="0.2">
      <c r="A39629" s="258"/>
      <c r="Z39629" s="258"/>
    </row>
    <row r="39630" spans="1:26" ht="12.75" customHeight="1" x14ac:dyDescent="0.2">
      <c r="A39630" s="258"/>
      <c r="Z39630" s="258"/>
    </row>
    <row r="39631" spans="1:26" ht="12.75" customHeight="1" x14ac:dyDescent="0.2">
      <c r="A39631" s="258"/>
      <c r="Z39631" s="258"/>
    </row>
    <row r="39632" spans="1:26" ht="12.75" customHeight="1" x14ac:dyDescent="0.2">
      <c r="A39632" s="258"/>
      <c r="Z39632" s="258"/>
    </row>
    <row r="39633" spans="1:26" ht="12.75" customHeight="1" x14ac:dyDescent="0.2">
      <c r="A39633" s="258"/>
      <c r="Z39633" s="258"/>
    </row>
    <row r="39634" spans="1:26" ht="12.75" customHeight="1" x14ac:dyDescent="0.2">
      <c r="A39634" s="258"/>
      <c r="Z39634" s="258"/>
    </row>
    <row r="39635" spans="1:26" ht="12.75" customHeight="1" x14ac:dyDescent="0.2">
      <c r="A39635" s="258"/>
      <c r="Z39635" s="258"/>
    </row>
    <row r="39636" spans="1:26" ht="12.75" customHeight="1" x14ac:dyDescent="0.2">
      <c r="A39636" s="258"/>
      <c r="Z39636" s="258"/>
    </row>
    <row r="39637" spans="1:26" ht="12.75" customHeight="1" x14ac:dyDescent="0.2">
      <c r="A39637" s="258"/>
      <c r="Z39637" s="258"/>
    </row>
    <row r="39638" spans="1:26" ht="12.75" customHeight="1" x14ac:dyDescent="0.2">
      <c r="A39638" s="258"/>
      <c r="Z39638" s="258"/>
    </row>
    <row r="39639" spans="1:26" ht="12.75" customHeight="1" x14ac:dyDescent="0.2">
      <c r="A39639" s="258"/>
      <c r="Z39639" s="258"/>
    </row>
    <row r="39640" spans="1:26" ht="12.75" customHeight="1" x14ac:dyDescent="0.2">
      <c r="A39640" s="258"/>
      <c r="Z39640" s="258"/>
    </row>
    <row r="39641" spans="1:26" ht="12.75" customHeight="1" x14ac:dyDescent="0.2">
      <c r="A39641" s="258"/>
      <c r="Z39641" s="258"/>
    </row>
    <row r="39642" spans="1:26" ht="12.75" customHeight="1" x14ac:dyDescent="0.2">
      <c r="A39642" s="258"/>
      <c r="Z39642" s="258"/>
    </row>
    <row r="39643" spans="1:26" ht="12.75" customHeight="1" x14ac:dyDescent="0.2">
      <c r="A39643" s="258"/>
      <c r="Z39643" s="258"/>
    </row>
    <row r="39644" spans="1:26" ht="12.75" customHeight="1" x14ac:dyDescent="0.2">
      <c r="A39644" s="258"/>
      <c r="Z39644" s="258"/>
    </row>
    <row r="39645" spans="1:26" ht="12.75" customHeight="1" x14ac:dyDescent="0.2">
      <c r="A39645" s="258"/>
      <c r="Z39645" s="258"/>
    </row>
    <row r="39646" spans="1:26" ht="12.75" customHeight="1" x14ac:dyDescent="0.2">
      <c r="A39646" s="258"/>
      <c r="Z39646" s="258"/>
    </row>
    <row r="39647" spans="1:26" ht="12.75" customHeight="1" x14ac:dyDescent="0.2">
      <c r="A39647" s="258"/>
      <c r="Z39647" s="258"/>
    </row>
    <row r="39648" spans="1:26" ht="12.75" customHeight="1" x14ac:dyDescent="0.2">
      <c r="A39648" s="258"/>
      <c r="Z39648" s="258"/>
    </row>
    <row r="39649" spans="1:26" ht="12.75" customHeight="1" x14ac:dyDescent="0.2">
      <c r="A39649" s="258"/>
      <c r="Z39649" s="258"/>
    </row>
    <row r="39650" spans="1:26" ht="12.75" customHeight="1" x14ac:dyDescent="0.2">
      <c r="A39650" s="258"/>
      <c r="Z39650" s="258"/>
    </row>
    <row r="39651" spans="1:26" ht="12.75" customHeight="1" x14ac:dyDescent="0.2">
      <c r="A39651" s="258"/>
      <c r="Z39651" s="258"/>
    </row>
    <row r="39652" spans="1:26" ht="12.75" customHeight="1" x14ac:dyDescent="0.2">
      <c r="A39652" s="258"/>
      <c r="Z39652" s="258"/>
    </row>
    <row r="39653" spans="1:26" ht="12.75" customHeight="1" x14ac:dyDescent="0.2">
      <c r="A39653" s="258"/>
      <c r="Z39653" s="258"/>
    </row>
    <row r="39654" spans="1:26" ht="12.75" customHeight="1" x14ac:dyDescent="0.2">
      <c r="A39654" s="258"/>
      <c r="Z39654" s="258"/>
    </row>
    <row r="39655" spans="1:26" ht="12.75" customHeight="1" x14ac:dyDescent="0.2">
      <c r="A39655" s="258"/>
      <c r="Z39655" s="258"/>
    </row>
    <row r="39656" spans="1:26" ht="12.75" customHeight="1" x14ac:dyDescent="0.2">
      <c r="A39656" s="258"/>
      <c r="Z39656" s="258"/>
    </row>
    <row r="39657" spans="1:26" ht="12.75" customHeight="1" x14ac:dyDescent="0.2">
      <c r="A39657" s="258"/>
      <c r="Z39657" s="258"/>
    </row>
    <row r="39658" spans="1:26" ht="12.75" customHeight="1" x14ac:dyDescent="0.2">
      <c r="A39658" s="258"/>
      <c r="Z39658" s="258"/>
    </row>
    <row r="39659" spans="1:26" ht="12.75" customHeight="1" x14ac:dyDescent="0.2">
      <c r="A39659" s="258"/>
      <c r="Z39659" s="258"/>
    </row>
    <row r="39660" spans="1:26" ht="12.75" customHeight="1" x14ac:dyDescent="0.2">
      <c r="A39660" s="258"/>
      <c r="Z39660" s="258"/>
    </row>
    <row r="39661" spans="1:26" ht="12.75" customHeight="1" x14ac:dyDescent="0.2">
      <c r="A39661" s="258"/>
      <c r="Z39661" s="258"/>
    </row>
    <row r="39662" spans="1:26" ht="12.75" customHeight="1" x14ac:dyDescent="0.2">
      <c r="A39662" s="258"/>
      <c r="Z39662" s="258"/>
    </row>
    <row r="39663" spans="1:26" ht="12.75" customHeight="1" x14ac:dyDescent="0.2">
      <c r="A39663" s="258"/>
      <c r="Z39663" s="258"/>
    </row>
    <row r="39664" spans="1:26" ht="12.75" customHeight="1" x14ac:dyDescent="0.2">
      <c r="A39664" s="258"/>
      <c r="Z39664" s="258"/>
    </row>
    <row r="39665" spans="1:26" ht="12.75" customHeight="1" x14ac:dyDescent="0.2">
      <c r="A39665" s="258"/>
      <c r="Z39665" s="258"/>
    </row>
    <row r="39666" spans="1:26" ht="12.75" customHeight="1" x14ac:dyDescent="0.2">
      <c r="A39666" s="258"/>
      <c r="Z39666" s="258"/>
    </row>
    <row r="39667" spans="1:26" ht="12.75" customHeight="1" x14ac:dyDescent="0.2">
      <c r="A39667" s="258"/>
      <c r="Z39667" s="258"/>
    </row>
    <row r="39668" spans="1:26" ht="12.75" customHeight="1" x14ac:dyDescent="0.2">
      <c r="A39668" s="258"/>
      <c r="Z39668" s="258"/>
    </row>
    <row r="39669" spans="1:26" ht="12.75" customHeight="1" x14ac:dyDescent="0.2">
      <c r="A39669" s="258"/>
      <c r="Z39669" s="258"/>
    </row>
    <row r="39670" spans="1:26" ht="12.75" customHeight="1" x14ac:dyDescent="0.2">
      <c r="A39670" s="258"/>
      <c r="Z39670" s="258"/>
    </row>
    <row r="39671" spans="1:26" ht="12.75" customHeight="1" x14ac:dyDescent="0.2">
      <c r="A39671" s="258"/>
      <c r="Z39671" s="258"/>
    </row>
    <row r="39672" spans="1:26" ht="12.75" customHeight="1" x14ac:dyDescent="0.2">
      <c r="A39672" s="258"/>
      <c r="Z39672" s="258"/>
    </row>
    <row r="39673" spans="1:26" ht="12.75" customHeight="1" x14ac:dyDescent="0.2">
      <c r="A39673" s="258"/>
      <c r="Z39673" s="258"/>
    </row>
    <row r="39674" spans="1:26" ht="12.75" customHeight="1" x14ac:dyDescent="0.2">
      <c r="A39674" s="258"/>
      <c r="Z39674" s="258"/>
    </row>
    <row r="39675" spans="1:26" ht="12.75" customHeight="1" x14ac:dyDescent="0.2">
      <c r="A39675" s="258"/>
      <c r="Z39675" s="258"/>
    </row>
    <row r="39676" spans="1:26" ht="12.75" customHeight="1" x14ac:dyDescent="0.2">
      <c r="A39676" s="258"/>
      <c r="Z39676" s="258"/>
    </row>
    <row r="39677" spans="1:26" ht="12.75" customHeight="1" x14ac:dyDescent="0.2">
      <c r="A39677" s="258"/>
      <c r="Z39677" s="258"/>
    </row>
    <row r="39678" spans="1:26" ht="12.75" customHeight="1" x14ac:dyDescent="0.2">
      <c r="A39678" s="258"/>
      <c r="Z39678" s="258"/>
    </row>
    <row r="39679" spans="1:26" ht="12.75" customHeight="1" x14ac:dyDescent="0.2">
      <c r="A39679" s="258"/>
      <c r="Z39679" s="258"/>
    </row>
    <row r="39680" spans="1:26" ht="12.75" customHeight="1" x14ac:dyDescent="0.2">
      <c r="A39680" s="258"/>
      <c r="Z39680" s="258"/>
    </row>
    <row r="39681" spans="1:26" ht="12.75" customHeight="1" x14ac:dyDescent="0.2">
      <c r="A39681" s="258"/>
      <c r="Z39681" s="258"/>
    </row>
    <row r="39682" spans="1:26" ht="12.75" customHeight="1" x14ac:dyDescent="0.2">
      <c r="A39682" s="258"/>
      <c r="Z39682" s="258"/>
    </row>
    <row r="39683" spans="1:26" ht="12.75" customHeight="1" x14ac:dyDescent="0.2">
      <c r="A39683" s="258"/>
      <c r="Z39683" s="258"/>
    </row>
    <row r="39684" spans="1:26" ht="12.75" customHeight="1" x14ac:dyDescent="0.2">
      <c r="A39684" s="258"/>
      <c r="Z39684" s="258"/>
    </row>
    <row r="39685" spans="1:26" ht="12.75" customHeight="1" x14ac:dyDescent="0.2">
      <c r="A39685" s="258"/>
      <c r="Z39685" s="258"/>
    </row>
    <row r="39686" spans="1:26" ht="12.75" customHeight="1" x14ac:dyDescent="0.2">
      <c r="A39686" s="258"/>
      <c r="Z39686" s="258"/>
    </row>
    <row r="39687" spans="1:26" ht="12.75" customHeight="1" x14ac:dyDescent="0.2">
      <c r="A39687" s="258"/>
      <c r="Z39687" s="258"/>
    </row>
    <row r="39688" spans="1:26" ht="12.75" customHeight="1" x14ac:dyDescent="0.2">
      <c r="A39688" s="258"/>
      <c r="Z39688" s="258"/>
    </row>
    <row r="39689" spans="1:26" ht="12.75" customHeight="1" x14ac:dyDescent="0.2">
      <c r="A39689" s="258"/>
      <c r="Z39689" s="258"/>
    </row>
    <row r="39690" spans="1:26" ht="12.75" customHeight="1" x14ac:dyDescent="0.2">
      <c r="A39690" s="258"/>
      <c r="Z39690" s="258"/>
    </row>
    <row r="39691" spans="1:26" ht="12.75" customHeight="1" x14ac:dyDescent="0.2">
      <c r="A39691" s="258"/>
      <c r="Z39691" s="258"/>
    </row>
    <row r="39692" spans="1:26" ht="12.75" customHeight="1" x14ac:dyDescent="0.2">
      <c r="A39692" s="258"/>
      <c r="Z39692" s="258"/>
    </row>
    <row r="39693" spans="1:26" ht="12.75" customHeight="1" x14ac:dyDescent="0.2">
      <c r="A39693" s="258"/>
      <c r="Z39693" s="258"/>
    </row>
    <row r="39694" spans="1:26" ht="12.75" customHeight="1" x14ac:dyDescent="0.2">
      <c r="A39694" s="258"/>
      <c r="Z39694" s="258"/>
    </row>
    <row r="39695" spans="1:26" ht="12.75" customHeight="1" x14ac:dyDescent="0.2">
      <c r="A39695" s="258"/>
      <c r="Z39695" s="258"/>
    </row>
    <row r="39696" spans="1:26" ht="12.75" customHeight="1" x14ac:dyDescent="0.2">
      <c r="A39696" s="258"/>
      <c r="Z39696" s="258"/>
    </row>
    <row r="39697" spans="1:26" ht="12.75" customHeight="1" x14ac:dyDescent="0.2">
      <c r="A39697" s="258"/>
      <c r="Z39697" s="258"/>
    </row>
    <row r="39698" spans="1:26" ht="12.75" customHeight="1" x14ac:dyDescent="0.2">
      <c r="A39698" s="258"/>
      <c r="Z39698" s="258"/>
    </row>
    <row r="39699" spans="1:26" ht="12.75" customHeight="1" x14ac:dyDescent="0.2">
      <c r="A39699" s="258"/>
      <c r="Z39699" s="258"/>
    </row>
    <row r="39700" spans="1:26" ht="12.75" customHeight="1" x14ac:dyDescent="0.2">
      <c r="A39700" s="258"/>
      <c r="Z39700" s="258"/>
    </row>
    <row r="39701" spans="1:26" ht="12.75" customHeight="1" x14ac:dyDescent="0.2">
      <c r="A39701" s="258"/>
      <c r="Z39701" s="258"/>
    </row>
    <row r="39702" spans="1:26" ht="12.75" customHeight="1" x14ac:dyDescent="0.2">
      <c r="A39702" s="258"/>
      <c r="Z39702" s="258"/>
    </row>
    <row r="39703" spans="1:26" ht="12.75" customHeight="1" x14ac:dyDescent="0.2">
      <c r="A39703" s="258"/>
      <c r="Z39703" s="258"/>
    </row>
    <row r="39704" spans="1:26" ht="12.75" customHeight="1" x14ac:dyDescent="0.2">
      <c r="A39704" s="258"/>
      <c r="Z39704" s="258"/>
    </row>
    <row r="39705" spans="1:26" ht="12.75" customHeight="1" x14ac:dyDescent="0.2">
      <c r="A39705" s="258"/>
      <c r="Z39705" s="258"/>
    </row>
    <row r="39706" spans="1:26" ht="12.75" customHeight="1" x14ac:dyDescent="0.2">
      <c r="A39706" s="258"/>
      <c r="Z39706" s="258"/>
    </row>
    <row r="39707" spans="1:26" ht="12.75" customHeight="1" x14ac:dyDescent="0.2">
      <c r="A39707" s="258"/>
      <c r="Z39707" s="258"/>
    </row>
    <row r="39708" spans="1:26" ht="12.75" customHeight="1" x14ac:dyDescent="0.2">
      <c r="A39708" s="258"/>
      <c r="Z39708" s="258"/>
    </row>
    <row r="39709" spans="1:26" ht="12.75" customHeight="1" x14ac:dyDescent="0.2">
      <c r="A39709" s="258"/>
      <c r="Z39709" s="258"/>
    </row>
    <row r="39710" spans="1:26" ht="12.75" customHeight="1" x14ac:dyDescent="0.2">
      <c r="A39710" s="258"/>
      <c r="Z39710" s="258"/>
    </row>
    <row r="39711" spans="1:26" ht="12.75" customHeight="1" x14ac:dyDescent="0.2">
      <c r="A39711" s="258"/>
      <c r="Z39711" s="258"/>
    </row>
    <row r="39712" spans="1:26" ht="12.75" customHeight="1" x14ac:dyDescent="0.2">
      <c r="A39712" s="258"/>
      <c r="Z39712" s="258"/>
    </row>
    <row r="39713" spans="1:26" ht="12.75" customHeight="1" x14ac:dyDescent="0.2">
      <c r="A39713" s="258"/>
      <c r="Z39713" s="258"/>
    </row>
    <row r="39714" spans="1:26" ht="12.75" customHeight="1" x14ac:dyDescent="0.2">
      <c r="A39714" s="258"/>
      <c r="Z39714" s="258"/>
    </row>
    <row r="39715" spans="1:26" ht="12.75" customHeight="1" x14ac:dyDescent="0.2">
      <c r="A39715" s="258"/>
      <c r="Z39715" s="258"/>
    </row>
    <row r="39716" spans="1:26" ht="12.75" customHeight="1" x14ac:dyDescent="0.2">
      <c r="A39716" s="258"/>
      <c r="Z39716" s="258"/>
    </row>
    <row r="39717" spans="1:26" ht="12.75" customHeight="1" x14ac:dyDescent="0.2">
      <c r="A39717" s="258"/>
      <c r="Z39717" s="258"/>
    </row>
    <row r="39718" spans="1:26" ht="12.75" customHeight="1" x14ac:dyDescent="0.2">
      <c r="A39718" s="258"/>
      <c r="Z39718" s="258"/>
    </row>
    <row r="39719" spans="1:26" ht="12.75" customHeight="1" x14ac:dyDescent="0.2">
      <c r="A39719" s="258"/>
      <c r="Z39719" s="258"/>
    </row>
    <row r="39720" spans="1:26" ht="12.75" customHeight="1" x14ac:dyDescent="0.2">
      <c r="A39720" s="258"/>
      <c r="Z39720" s="258"/>
    </row>
    <row r="39721" spans="1:26" ht="12.75" customHeight="1" x14ac:dyDescent="0.2">
      <c r="A39721" s="258"/>
      <c r="Z39721" s="258"/>
    </row>
    <row r="39722" spans="1:26" ht="12.75" customHeight="1" x14ac:dyDescent="0.2">
      <c r="A39722" s="258"/>
      <c r="Z39722" s="258"/>
    </row>
    <row r="39723" spans="1:26" ht="12.75" customHeight="1" x14ac:dyDescent="0.2">
      <c r="A39723" s="258"/>
      <c r="Z39723" s="258"/>
    </row>
    <row r="39724" spans="1:26" ht="12.75" customHeight="1" x14ac:dyDescent="0.2">
      <c r="A39724" s="258"/>
      <c r="Z39724" s="258"/>
    </row>
    <row r="39725" spans="1:26" ht="12.75" customHeight="1" x14ac:dyDescent="0.2">
      <c r="A39725" s="258"/>
      <c r="Z39725" s="258"/>
    </row>
    <row r="39726" spans="1:26" ht="12.75" customHeight="1" x14ac:dyDescent="0.2">
      <c r="A39726" s="258"/>
      <c r="Z39726" s="258"/>
    </row>
    <row r="39727" spans="1:26" ht="12.75" customHeight="1" x14ac:dyDescent="0.2">
      <c r="A39727" s="258"/>
      <c r="Z39727" s="258"/>
    </row>
    <row r="39728" spans="1:26" ht="12.75" customHeight="1" x14ac:dyDescent="0.2">
      <c r="A39728" s="258"/>
      <c r="Z39728" s="258"/>
    </row>
    <row r="39729" spans="1:26" ht="12.75" customHeight="1" x14ac:dyDescent="0.2">
      <c r="A39729" s="258"/>
      <c r="Z39729" s="258"/>
    </row>
    <row r="39730" spans="1:26" ht="12.75" customHeight="1" x14ac:dyDescent="0.2">
      <c r="A39730" s="258"/>
      <c r="Z39730" s="258"/>
    </row>
    <row r="39731" spans="1:26" ht="12.75" customHeight="1" x14ac:dyDescent="0.2">
      <c r="A39731" s="258"/>
      <c r="Z39731" s="258"/>
    </row>
    <row r="39732" spans="1:26" ht="12.75" customHeight="1" x14ac:dyDescent="0.2">
      <c r="A39732" s="258"/>
      <c r="Z39732" s="258"/>
    </row>
    <row r="39733" spans="1:26" ht="12.75" customHeight="1" x14ac:dyDescent="0.2">
      <c r="A39733" s="258"/>
      <c r="Z39733" s="258"/>
    </row>
    <row r="39734" spans="1:26" ht="12.75" customHeight="1" x14ac:dyDescent="0.2">
      <c r="A39734" s="258"/>
      <c r="Z39734" s="258"/>
    </row>
    <row r="39735" spans="1:26" ht="12.75" customHeight="1" x14ac:dyDescent="0.2">
      <c r="A39735" s="258"/>
      <c r="Z39735" s="258"/>
    </row>
    <row r="39736" spans="1:26" ht="12.75" customHeight="1" x14ac:dyDescent="0.2">
      <c r="A39736" s="258"/>
      <c r="Z39736" s="258"/>
    </row>
    <row r="39737" spans="1:26" ht="12.75" customHeight="1" x14ac:dyDescent="0.2">
      <c r="A39737" s="258"/>
      <c r="Z39737" s="258"/>
    </row>
    <row r="39738" spans="1:26" ht="12.75" customHeight="1" x14ac:dyDescent="0.2">
      <c r="A39738" s="258"/>
      <c r="Z39738" s="258"/>
    </row>
    <row r="39739" spans="1:26" ht="12.75" customHeight="1" x14ac:dyDescent="0.2">
      <c r="A39739" s="258"/>
      <c r="Z39739" s="258"/>
    </row>
    <row r="39740" spans="1:26" ht="12.75" customHeight="1" x14ac:dyDescent="0.2">
      <c r="A39740" s="258"/>
      <c r="Z39740" s="258"/>
    </row>
    <row r="39741" spans="1:26" ht="12.75" customHeight="1" x14ac:dyDescent="0.2">
      <c r="A39741" s="258"/>
      <c r="Z39741" s="258"/>
    </row>
    <row r="39742" spans="1:26" ht="12.75" customHeight="1" x14ac:dyDescent="0.2">
      <c r="A39742" s="258"/>
      <c r="Z39742" s="258"/>
    </row>
    <row r="39743" spans="1:26" ht="12.75" customHeight="1" x14ac:dyDescent="0.2">
      <c r="A39743" s="258"/>
      <c r="Z39743" s="258"/>
    </row>
    <row r="39744" spans="1:26" ht="12.75" customHeight="1" x14ac:dyDescent="0.2">
      <c r="A39744" s="258"/>
      <c r="Z39744" s="258"/>
    </row>
    <row r="39745" spans="1:26" ht="12.75" customHeight="1" x14ac:dyDescent="0.2">
      <c r="A39745" s="258"/>
      <c r="Z39745" s="258"/>
    </row>
    <row r="39746" spans="1:26" ht="12.75" customHeight="1" x14ac:dyDescent="0.2">
      <c r="A39746" s="258"/>
      <c r="Z39746" s="258"/>
    </row>
    <row r="39747" spans="1:26" ht="12.75" customHeight="1" x14ac:dyDescent="0.2">
      <c r="A39747" s="258"/>
      <c r="Z39747" s="258"/>
    </row>
    <row r="39748" spans="1:26" ht="12.75" customHeight="1" x14ac:dyDescent="0.2">
      <c r="A39748" s="258"/>
      <c r="Z39748" s="258"/>
    </row>
    <row r="39749" spans="1:26" ht="12.75" customHeight="1" x14ac:dyDescent="0.2">
      <c r="A39749" s="258"/>
      <c r="Z39749" s="258"/>
    </row>
    <row r="39750" spans="1:26" ht="12.75" customHeight="1" x14ac:dyDescent="0.2">
      <c r="A39750" s="258"/>
      <c r="Z39750" s="258"/>
    </row>
    <row r="39751" spans="1:26" ht="12.75" customHeight="1" x14ac:dyDescent="0.2">
      <c r="A39751" s="258"/>
      <c r="Z39751" s="258"/>
    </row>
    <row r="39752" spans="1:26" ht="12.75" customHeight="1" x14ac:dyDescent="0.2">
      <c r="A39752" s="258"/>
      <c r="Z39752" s="258"/>
    </row>
    <row r="39753" spans="1:26" ht="12.75" customHeight="1" x14ac:dyDescent="0.2">
      <c r="A39753" s="258"/>
      <c r="Z39753" s="258"/>
    </row>
    <row r="39754" spans="1:26" ht="12.75" customHeight="1" x14ac:dyDescent="0.2">
      <c r="A39754" s="258"/>
      <c r="Z39754" s="258"/>
    </row>
    <row r="39755" spans="1:26" ht="12.75" customHeight="1" x14ac:dyDescent="0.2">
      <c r="A39755" s="258"/>
      <c r="Z39755" s="258"/>
    </row>
    <row r="39756" spans="1:26" ht="12.75" customHeight="1" x14ac:dyDescent="0.2">
      <c r="A39756" s="258"/>
      <c r="Z39756" s="258"/>
    </row>
    <row r="39757" spans="1:26" ht="12.75" customHeight="1" x14ac:dyDescent="0.2">
      <c r="A39757" s="258"/>
      <c r="Z39757" s="258"/>
    </row>
    <row r="39758" spans="1:26" ht="12.75" customHeight="1" x14ac:dyDescent="0.2">
      <c r="A39758" s="258"/>
      <c r="Z39758" s="258"/>
    </row>
    <row r="39759" spans="1:26" ht="12.75" customHeight="1" x14ac:dyDescent="0.2">
      <c r="A39759" s="258"/>
      <c r="Z39759" s="258"/>
    </row>
    <row r="39760" spans="1:26" ht="12.75" customHeight="1" x14ac:dyDescent="0.2">
      <c r="A39760" s="258"/>
      <c r="Z39760" s="258"/>
    </row>
    <row r="39761" spans="1:26" ht="12.75" customHeight="1" x14ac:dyDescent="0.2">
      <c r="A39761" s="258"/>
      <c r="Z39761" s="258"/>
    </row>
    <row r="39762" spans="1:26" ht="12.75" customHeight="1" x14ac:dyDescent="0.2">
      <c r="A39762" s="258"/>
      <c r="Z39762" s="258"/>
    </row>
    <row r="39763" spans="1:26" ht="12.75" customHeight="1" x14ac:dyDescent="0.2">
      <c r="A39763" s="258"/>
      <c r="Z39763" s="258"/>
    </row>
    <row r="39764" spans="1:26" ht="12.75" customHeight="1" x14ac:dyDescent="0.2">
      <c r="A39764" s="258"/>
      <c r="Z39764" s="258"/>
    </row>
    <row r="39765" spans="1:26" ht="12.75" customHeight="1" x14ac:dyDescent="0.2">
      <c r="A39765" s="258"/>
      <c r="Z39765" s="258"/>
    </row>
    <row r="39766" spans="1:26" ht="12.75" customHeight="1" x14ac:dyDescent="0.2">
      <c r="A39766" s="258"/>
      <c r="Z39766" s="258"/>
    </row>
    <row r="39767" spans="1:26" ht="12.75" customHeight="1" x14ac:dyDescent="0.2">
      <c r="A39767" s="258"/>
      <c r="Z39767" s="258"/>
    </row>
    <row r="39768" spans="1:26" ht="12.75" customHeight="1" x14ac:dyDescent="0.2">
      <c r="A39768" s="258"/>
      <c r="Z39768" s="258"/>
    </row>
    <row r="39769" spans="1:26" ht="12.75" customHeight="1" x14ac:dyDescent="0.2">
      <c r="A39769" s="258"/>
      <c r="Z39769" s="258"/>
    </row>
    <row r="39770" spans="1:26" ht="12.75" customHeight="1" x14ac:dyDescent="0.2">
      <c r="A39770" s="258"/>
      <c r="Z39770" s="258"/>
    </row>
    <row r="39771" spans="1:26" ht="12.75" customHeight="1" x14ac:dyDescent="0.2">
      <c r="A39771" s="258"/>
      <c r="Z39771" s="258"/>
    </row>
    <row r="39772" spans="1:26" ht="12.75" customHeight="1" x14ac:dyDescent="0.2">
      <c r="A39772" s="258"/>
      <c r="Z39772" s="258"/>
    </row>
    <row r="39773" spans="1:26" ht="12.75" customHeight="1" x14ac:dyDescent="0.2">
      <c r="A39773" s="258"/>
      <c r="Z39773" s="258"/>
    </row>
    <row r="39774" spans="1:26" ht="12.75" customHeight="1" x14ac:dyDescent="0.2">
      <c r="A39774" s="258"/>
      <c r="Z39774" s="258"/>
    </row>
    <row r="39775" spans="1:26" ht="12.75" customHeight="1" x14ac:dyDescent="0.2">
      <c r="A39775" s="258"/>
      <c r="Z39775" s="258"/>
    </row>
    <row r="39776" spans="1:26" ht="12.75" customHeight="1" x14ac:dyDescent="0.2">
      <c r="A39776" s="258"/>
      <c r="Z39776" s="258"/>
    </row>
    <row r="39777" spans="1:26" ht="12.75" customHeight="1" x14ac:dyDescent="0.2">
      <c r="A39777" s="258"/>
      <c r="Z39777" s="258"/>
    </row>
    <row r="39778" spans="1:26" ht="12.75" customHeight="1" x14ac:dyDescent="0.2">
      <c r="A39778" s="258"/>
      <c r="Z39778" s="258"/>
    </row>
    <row r="39779" spans="1:26" ht="12.75" customHeight="1" x14ac:dyDescent="0.2">
      <c r="A39779" s="258"/>
      <c r="Z39779" s="258"/>
    </row>
    <row r="39780" spans="1:26" ht="12.75" customHeight="1" x14ac:dyDescent="0.2">
      <c r="A39780" s="258"/>
      <c r="Z39780" s="258"/>
    </row>
    <row r="39781" spans="1:26" ht="12.75" customHeight="1" x14ac:dyDescent="0.2">
      <c r="A39781" s="258"/>
      <c r="Z39781" s="258"/>
    </row>
    <row r="39782" spans="1:26" ht="12.75" customHeight="1" x14ac:dyDescent="0.2">
      <c r="A39782" s="258"/>
      <c r="Z39782" s="258"/>
    </row>
    <row r="39783" spans="1:26" ht="12.75" customHeight="1" x14ac:dyDescent="0.2">
      <c r="A39783" s="258"/>
      <c r="Z39783" s="258"/>
    </row>
    <row r="39784" spans="1:26" ht="12.75" customHeight="1" x14ac:dyDescent="0.2">
      <c r="A39784" s="258"/>
      <c r="Z39784" s="258"/>
    </row>
    <row r="39785" spans="1:26" ht="12.75" customHeight="1" x14ac:dyDescent="0.2">
      <c r="A39785" s="258"/>
      <c r="Z39785" s="258"/>
    </row>
    <row r="39786" spans="1:26" ht="12.75" customHeight="1" x14ac:dyDescent="0.2">
      <c r="A39786" s="258"/>
      <c r="Z39786" s="258"/>
    </row>
    <row r="39787" spans="1:26" ht="12.75" customHeight="1" x14ac:dyDescent="0.2">
      <c r="A39787" s="258"/>
      <c r="Z39787" s="258"/>
    </row>
    <row r="39788" spans="1:26" ht="12.75" customHeight="1" x14ac:dyDescent="0.2">
      <c r="A39788" s="258"/>
      <c r="Z39788" s="258"/>
    </row>
    <row r="39789" spans="1:26" ht="12.75" customHeight="1" x14ac:dyDescent="0.2">
      <c r="A39789" s="258"/>
      <c r="Z39789" s="258"/>
    </row>
    <row r="39790" spans="1:26" ht="12.75" customHeight="1" x14ac:dyDescent="0.2">
      <c r="A39790" s="258"/>
      <c r="Z39790" s="258"/>
    </row>
    <row r="39791" spans="1:26" ht="12.75" customHeight="1" x14ac:dyDescent="0.2">
      <c r="A39791" s="258"/>
      <c r="Z39791" s="258"/>
    </row>
    <row r="39792" spans="1:26" ht="12.75" customHeight="1" x14ac:dyDescent="0.2">
      <c r="A39792" s="258"/>
      <c r="Z39792" s="258"/>
    </row>
    <row r="39793" spans="1:26" ht="12.75" customHeight="1" x14ac:dyDescent="0.2">
      <c r="A39793" s="258"/>
      <c r="Z39793" s="258"/>
    </row>
    <row r="39794" spans="1:26" ht="12.75" customHeight="1" x14ac:dyDescent="0.2">
      <c r="A39794" s="258"/>
      <c r="Z39794" s="258"/>
    </row>
    <row r="39795" spans="1:26" ht="12.75" customHeight="1" x14ac:dyDescent="0.2">
      <c r="A39795" s="258"/>
      <c r="Z39795" s="258"/>
    </row>
    <row r="39796" spans="1:26" ht="12.75" customHeight="1" x14ac:dyDescent="0.2">
      <c r="A39796" s="258"/>
      <c r="Z39796" s="258"/>
    </row>
    <row r="39797" spans="1:26" ht="12.75" customHeight="1" x14ac:dyDescent="0.2">
      <c r="A39797" s="258"/>
      <c r="Z39797" s="258"/>
    </row>
    <row r="39798" spans="1:26" ht="12.75" customHeight="1" x14ac:dyDescent="0.2">
      <c r="A39798" s="258"/>
      <c r="Z39798" s="258"/>
    </row>
    <row r="39799" spans="1:26" ht="12.75" customHeight="1" x14ac:dyDescent="0.2">
      <c r="A39799" s="258"/>
      <c r="Z39799" s="258"/>
    </row>
    <row r="39800" spans="1:26" ht="12.75" customHeight="1" x14ac:dyDescent="0.2">
      <c r="A39800" s="258"/>
      <c r="Z39800" s="258"/>
    </row>
    <row r="39801" spans="1:26" ht="12.75" customHeight="1" x14ac:dyDescent="0.2">
      <c r="A39801" s="258"/>
      <c r="Z39801" s="258"/>
    </row>
    <row r="39802" spans="1:26" ht="12.75" customHeight="1" x14ac:dyDescent="0.2">
      <c r="A39802" s="258"/>
      <c r="Z39802" s="258"/>
    </row>
    <row r="39803" spans="1:26" ht="12.75" customHeight="1" x14ac:dyDescent="0.2">
      <c r="A39803" s="258"/>
      <c r="Z39803" s="258"/>
    </row>
    <row r="39804" spans="1:26" ht="12.75" customHeight="1" x14ac:dyDescent="0.2">
      <c r="A39804" s="258"/>
      <c r="Z39804" s="258"/>
    </row>
    <row r="39805" spans="1:26" ht="12.75" customHeight="1" x14ac:dyDescent="0.2">
      <c r="A39805" s="258"/>
      <c r="Z39805" s="258"/>
    </row>
    <row r="39806" spans="1:26" ht="12.75" customHeight="1" x14ac:dyDescent="0.2">
      <c r="A39806" s="258"/>
      <c r="Z39806" s="258"/>
    </row>
    <row r="39807" spans="1:26" ht="12.75" customHeight="1" x14ac:dyDescent="0.2">
      <c r="A39807" s="258"/>
      <c r="Z39807" s="258"/>
    </row>
    <row r="39808" spans="1:26" ht="12.75" customHeight="1" x14ac:dyDescent="0.2">
      <c r="A39808" s="258"/>
      <c r="Z39808" s="258"/>
    </row>
    <row r="39809" spans="1:26" ht="12.75" customHeight="1" x14ac:dyDescent="0.2">
      <c r="A39809" s="258"/>
      <c r="Z39809" s="258"/>
    </row>
    <row r="39810" spans="1:26" ht="12.75" customHeight="1" x14ac:dyDescent="0.2">
      <c r="A39810" s="258"/>
      <c r="Z39810" s="258"/>
    </row>
    <row r="39811" spans="1:26" ht="12.75" customHeight="1" x14ac:dyDescent="0.2">
      <c r="A39811" s="258"/>
      <c r="Z39811" s="258"/>
    </row>
    <row r="39812" spans="1:26" ht="12.75" customHeight="1" x14ac:dyDescent="0.2">
      <c r="A39812" s="258"/>
      <c r="Z39812" s="258"/>
    </row>
    <row r="39813" spans="1:26" ht="12.75" customHeight="1" x14ac:dyDescent="0.2">
      <c r="A39813" s="258"/>
      <c r="Z39813" s="258"/>
    </row>
    <row r="39814" spans="1:26" ht="12.75" customHeight="1" x14ac:dyDescent="0.2">
      <c r="A39814" s="258"/>
      <c r="Z39814" s="258"/>
    </row>
    <row r="39815" spans="1:26" ht="12.75" customHeight="1" x14ac:dyDescent="0.2">
      <c r="A39815" s="258"/>
      <c r="Z39815" s="258"/>
    </row>
    <row r="39816" spans="1:26" ht="12.75" customHeight="1" x14ac:dyDescent="0.2">
      <c r="A39816" s="258"/>
      <c r="Z39816" s="258"/>
    </row>
    <row r="39817" spans="1:26" ht="12.75" customHeight="1" x14ac:dyDescent="0.2">
      <c r="A39817" s="258"/>
      <c r="Z39817" s="258"/>
    </row>
    <row r="39818" spans="1:26" ht="12.75" customHeight="1" x14ac:dyDescent="0.2">
      <c r="A39818" s="258"/>
      <c r="Z39818" s="258"/>
    </row>
    <row r="39819" spans="1:26" ht="12.75" customHeight="1" x14ac:dyDescent="0.2">
      <c r="A39819" s="258"/>
      <c r="Z39819" s="258"/>
    </row>
    <row r="39820" spans="1:26" ht="12.75" customHeight="1" x14ac:dyDescent="0.2">
      <c r="A39820" s="258"/>
      <c r="Z39820" s="258"/>
    </row>
    <row r="39821" spans="1:26" ht="12.75" customHeight="1" x14ac:dyDescent="0.2">
      <c r="A39821" s="258"/>
      <c r="Z39821" s="258"/>
    </row>
    <row r="39822" spans="1:26" ht="12.75" customHeight="1" x14ac:dyDescent="0.2">
      <c r="A39822" s="258"/>
      <c r="Z39822" s="258"/>
    </row>
    <row r="39823" spans="1:26" ht="12.75" customHeight="1" x14ac:dyDescent="0.2">
      <c r="A39823" s="258"/>
      <c r="Z39823" s="258"/>
    </row>
    <row r="39824" spans="1:26" ht="12.75" customHeight="1" x14ac:dyDescent="0.2">
      <c r="A39824" s="258"/>
      <c r="Z39824" s="258"/>
    </row>
    <row r="39825" spans="1:26" ht="12.75" customHeight="1" x14ac:dyDescent="0.2">
      <c r="A39825" s="258"/>
      <c r="Z39825" s="258"/>
    </row>
    <row r="39826" spans="1:26" ht="12.75" customHeight="1" x14ac:dyDescent="0.2">
      <c r="A39826" s="258"/>
      <c r="Z39826" s="258"/>
    </row>
    <row r="39827" spans="1:26" ht="12.75" customHeight="1" x14ac:dyDescent="0.2">
      <c r="A39827" s="258"/>
      <c r="Z39827" s="258"/>
    </row>
    <row r="39828" spans="1:26" ht="12.75" customHeight="1" x14ac:dyDescent="0.2">
      <c r="A39828" s="258"/>
      <c r="Z39828" s="258"/>
    </row>
    <row r="39829" spans="1:26" ht="12.75" customHeight="1" x14ac:dyDescent="0.2">
      <c r="A39829" s="258"/>
      <c r="Z39829" s="258"/>
    </row>
    <row r="39830" spans="1:26" ht="12.75" customHeight="1" x14ac:dyDescent="0.2">
      <c r="A39830" s="258"/>
      <c r="Z39830" s="258"/>
    </row>
    <row r="39831" spans="1:26" ht="12.75" customHeight="1" x14ac:dyDescent="0.2">
      <c r="A39831" s="258"/>
      <c r="Z39831" s="258"/>
    </row>
    <row r="39832" spans="1:26" ht="12.75" customHeight="1" x14ac:dyDescent="0.2">
      <c r="A39832" s="258"/>
      <c r="Z39832" s="258"/>
    </row>
    <row r="39833" spans="1:26" ht="12.75" customHeight="1" x14ac:dyDescent="0.2">
      <c r="A39833" s="258"/>
      <c r="Z39833" s="258"/>
    </row>
    <row r="39834" spans="1:26" ht="12.75" customHeight="1" x14ac:dyDescent="0.2">
      <c r="A39834" s="258"/>
      <c r="Z39834" s="258"/>
    </row>
    <row r="39835" spans="1:26" ht="12.75" customHeight="1" x14ac:dyDescent="0.2">
      <c r="A39835" s="258"/>
      <c r="Z39835" s="258"/>
    </row>
    <row r="39836" spans="1:26" ht="12.75" customHeight="1" x14ac:dyDescent="0.2">
      <c r="A39836" s="258"/>
      <c r="Z39836" s="258"/>
    </row>
    <row r="39837" spans="1:26" ht="12.75" customHeight="1" x14ac:dyDescent="0.2">
      <c r="A39837" s="258"/>
      <c r="Z39837" s="258"/>
    </row>
    <row r="39838" spans="1:26" ht="12.75" customHeight="1" x14ac:dyDescent="0.2">
      <c r="A39838" s="258"/>
      <c r="Z39838" s="258"/>
    </row>
    <row r="39839" spans="1:26" ht="12.75" customHeight="1" x14ac:dyDescent="0.2">
      <c r="A39839" s="258"/>
      <c r="Z39839" s="258"/>
    </row>
    <row r="39840" spans="1:26" ht="12.75" customHeight="1" x14ac:dyDescent="0.2">
      <c r="A39840" s="258"/>
      <c r="Z39840" s="258"/>
    </row>
    <row r="39841" spans="1:26" ht="12.75" customHeight="1" x14ac:dyDescent="0.2">
      <c r="A39841" s="258"/>
      <c r="Z39841" s="258"/>
    </row>
    <row r="39842" spans="1:26" ht="12.75" customHeight="1" x14ac:dyDescent="0.2">
      <c r="A39842" s="258"/>
      <c r="Z39842" s="258"/>
    </row>
    <row r="39843" spans="1:26" ht="12.75" customHeight="1" x14ac:dyDescent="0.2">
      <c r="A39843" s="258"/>
      <c r="Z39843" s="258"/>
    </row>
    <row r="39844" spans="1:26" ht="12.75" customHeight="1" x14ac:dyDescent="0.2">
      <c r="A39844" s="258"/>
      <c r="Z39844" s="258"/>
    </row>
    <row r="39845" spans="1:26" ht="12.75" customHeight="1" x14ac:dyDescent="0.2">
      <c r="A39845" s="258"/>
      <c r="Z39845" s="258"/>
    </row>
    <row r="39846" spans="1:26" ht="12.75" customHeight="1" x14ac:dyDescent="0.2">
      <c r="A39846" s="258"/>
      <c r="Z39846" s="258"/>
    </row>
    <row r="39847" spans="1:26" ht="12.75" customHeight="1" x14ac:dyDescent="0.2">
      <c r="A39847" s="258"/>
      <c r="Z39847" s="258"/>
    </row>
    <row r="39848" spans="1:26" ht="12.75" customHeight="1" x14ac:dyDescent="0.2">
      <c r="A39848" s="258"/>
      <c r="Z39848" s="258"/>
    </row>
    <row r="39849" spans="1:26" ht="12.75" customHeight="1" x14ac:dyDescent="0.2">
      <c r="A39849" s="258"/>
      <c r="Z39849" s="258"/>
    </row>
    <row r="39850" spans="1:26" ht="12.75" customHeight="1" x14ac:dyDescent="0.2">
      <c r="A39850" s="258"/>
      <c r="Z39850" s="258"/>
    </row>
    <row r="39851" spans="1:26" ht="12.75" customHeight="1" x14ac:dyDescent="0.2">
      <c r="A39851" s="258"/>
      <c r="Z39851" s="258"/>
    </row>
    <row r="39852" spans="1:26" ht="12.75" customHeight="1" x14ac:dyDescent="0.2">
      <c r="A39852" s="258"/>
      <c r="Z39852" s="258"/>
    </row>
    <row r="39853" spans="1:26" ht="12.75" customHeight="1" x14ac:dyDescent="0.2">
      <c r="A39853" s="258"/>
      <c r="Z39853" s="258"/>
    </row>
    <row r="39854" spans="1:26" ht="12.75" customHeight="1" x14ac:dyDescent="0.2">
      <c r="A39854" s="258"/>
      <c r="Z39854" s="258"/>
    </row>
    <row r="39855" spans="1:26" ht="12.75" customHeight="1" x14ac:dyDescent="0.2">
      <c r="A39855" s="258"/>
      <c r="Z39855" s="258"/>
    </row>
    <row r="39856" spans="1:26" ht="12.75" customHeight="1" x14ac:dyDescent="0.2">
      <c r="A39856" s="258"/>
      <c r="Z39856" s="258"/>
    </row>
    <row r="39857" spans="1:26" ht="12.75" customHeight="1" x14ac:dyDescent="0.2">
      <c r="A39857" s="258"/>
      <c r="Z39857" s="258"/>
    </row>
    <row r="39858" spans="1:26" ht="12.75" customHeight="1" x14ac:dyDescent="0.2">
      <c r="A39858" s="258"/>
      <c r="Z39858" s="258"/>
    </row>
    <row r="39859" spans="1:26" ht="12.75" customHeight="1" x14ac:dyDescent="0.2">
      <c r="A39859" s="258"/>
      <c r="Z39859" s="258"/>
    </row>
    <row r="39860" spans="1:26" ht="12.75" customHeight="1" x14ac:dyDescent="0.2">
      <c r="A39860" s="258"/>
      <c r="Z39860" s="258"/>
    </row>
    <row r="39861" spans="1:26" ht="12.75" customHeight="1" x14ac:dyDescent="0.2">
      <c r="A39861" s="258"/>
      <c r="Z39861" s="258"/>
    </row>
    <row r="39862" spans="1:26" ht="12.75" customHeight="1" x14ac:dyDescent="0.2">
      <c r="A39862" s="258"/>
      <c r="Z39862" s="258"/>
    </row>
    <row r="39863" spans="1:26" ht="12.75" customHeight="1" x14ac:dyDescent="0.2">
      <c r="A39863" s="258"/>
      <c r="Z39863" s="258"/>
    </row>
    <row r="39864" spans="1:26" ht="12.75" customHeight="1" x14ac:dyDescent="0.2">
      <c r="A39864" s="258"/>
      <c r="Z39864" s="258"/>
    </row>
    <row r="39865" spans="1:26" ht="12.75" customHeight="1" x14ac:dyDescent="0.2">
      <c r="A39865" s="258"/>
      <c r="Z39865" s="258"/>
    </row>
    <row r="39866" spans="1:26" ht="12.75" customHeight="1" x14ac:dyDescent="0.2">
      <c r="A39866" s="258"/>
      <c r="Z39866" s="258"/>
    </row>
    <row r="39867" spans="1:26" ht="12.75" customHeight="1" x14ac:dyDescent="0.2">
      <c r="A39867" s="258"/>
      <c r="Z39867" s="258"/>
    </row>
    <row r="39868" spans="1:26" ht="12.75" customHeight="1" x14ac:dyDescent="0.2">
      <c r="A39868" s="258"/>
      <c r="Z39868" s="258"/>
    </row>
    <row r="39869" spans="1:26" ht="12.75" customHeight="1" x14ac:dyDescent="0.2">
      <c r="A39869" s="258"/>
      <c r="Z39869" s="258"/>
    </row>
    <row r="39870" spans="1:26" ht="12.75" customHeight="1" x14ac:dyDescent="0.2">
      <c r="A39870" s="258"/>
      <c r="Z39870" s="258"/>
    </row>
    <row r="39871" spans="1:26" ht="12.75" customHeight="1" x14ac:dyDescent="0.2">
      <c r="A39871" s="258"/>
      <c r="Z39871" s="258"/>
    </row>
    <row r="39872" spans="1:26" ht="12.75" customHeight="1" x14ac:dyDescent="0.2">
      <c r="A39872" s="258"/>
      <c r="Z39872" s="258"/>
    </row>
    <row r="39873" spans="1:26" ht="12.75" customHeight="1" x14ac:dyDescent="0.2">
      <c r="A39873" s="258"/>
      <c r="Z39873" s="258"/>
    </row>
    <row r="39874" spans="1:26" ht="12.75" customHeight="1" x14ac:dyDescent="0.2">
      <c r="A39874" s="258"/>
      <c r="Z39874" s="258"/>
    </row>
    <row r="39875" spans="1:26" ht="12.75" customHeight="1" x14ac:dyDescent="0.2">
      <c r="A39875" s="258"/>
      <c r="Z39875" s="258"/>
    </row>
    <row r="39876" spans="1:26" ht="12.75" customHeight="1" x14ac:dyDescent="0.2">
      <c r="A39876" s="258"/>
      <c r="Z39876" s="258"/>
    </row>
    <row r="39877" spans="1:26" ht="12.75" customHeight="1" x14ac:dyDescent="0.2">
      <c r="A39877" s="258"/>
      <c r="Z39877" s="258"/>
    </row>
    <row r="39878" spans="1:26" ht="12.75" customHeight="1" x14ac:dyDescent="0.2">
      <c r="A39878" s="258"/>
      <c r="Z39878" s="258"/>
    </row>
    <row r="39879" spans="1:26" ht="12.75" customHeight="1" x14ac:dyDescent="0.2">
      <c r="A39879" s="258"/>
      <c r="Z39879" s="258"/>
    </row>
    <row r="39880" spans="1:26" ht="12.75" customHeight="1" x14ac:dyDescent="0.2">
      <c r="A39880" s="258"/>
      <c r="Z39880" s="258"/>
    </row>
    <row r="39881" spans="1:26" ht="12.75" customHeight="1" x14ac:dyDescent="0.2">
      <c r="A39881" s="258"/>
      <c r="Z39881" s="258"/>
    </row>
    <row r="39882" spans="1:26" ht="12.75" customHeight="1" x14ac:dyDescent="0.2">
      <c r="A39882" s="258"/>
      <c r="Z39882" s="258"/>
    </row>
    <row r="39883" spans="1:26" ht="12.75" customHeight="1" x14ac:dyDescent="0.2">
      <c r="A39883" s="258"/>
      <c r="Z39883" s="258"/>
    </row>
    <row r="39884" spans="1:26" ht="12.75" customHeight="1" x14ac:dyDescent="0.2">
      <c r="A39884" s="258"/>
      <c r="Z39884" s="258"/>
    </row>
    <row r="39885" spans="1:26" ht="12.75" customHeight="1" x14ac:dyDescent="0.2">
      <c r="A39885" s="258"/>
      <c r="Z39885" s="258"/>
    </row>
    <row r="39886" spans="1:26" ht="12.75" customHeight="1" x14ac:dyDescent="0.2">
      <c r="A39886" s="258"/>
      <c r="Z39886" s="258"/>
    </row>
    <row r="39887" spans="1:26" ht="12.75" customHeight="1" x14ac:dyDescent="0.2">
      <c r="A39887" s="258"/>
      <c r="Z39887" s="258"/>
    </row>
    <row r="39888" spans="1:26" ht="12.75" customHeight="1" x14ac:dyDescent="0.2">
      <c r="A39888" s="258"/>
      <c r="Z39888" s="258"/>
    </row>
    <row r="39889" spans="1:26" ht="12.75" customHeight="1" x14ac:dyDescent="0.2">
      <c r="A39889" s="258"/>
      <c r="Z39889" s="258"/>
    </row>
    <row r="39890" spans="1:26" ht="12.75" customHeight="1" x14ac:dyDescent="0.2">
      <c r="A39890" s="258"/>
      <c r="Z39890" s="258"/>
    </row>
    <row r="39891" spans="1:26" ht="12.75" customHeight="1" x14ac:dyDescent="0.2">
      <c r="A39891" s="258"/>
      <c r="Z39891" s="258"/>
    </row>
    <row r="39892" spans="1:26" ht="12.75" customHeight="1" x14ac:dyDescent="0.2">
      <c r="A39892" s="258"/>
      <c r="Z39892" s="258"/>
    </row>
    <row r="39893" spans="1:26" ht="12.75" customHeight="1" x14ac:dyDescent="0.2">
      <c r="A39893" s="258"/>
      <c r="Z39893" s="258"/>
    </row>
    <row r="39894" spans="1:26" ht="12.75" customHeight="1" x14ac:dyDescent="0.2">
      <c r="A39894" s="258"/>
      <c r="Z39894" s="258"/>
    </row>
    <row r="39895" spans="1:26" ht="12.75" customHeight="1" x14ac:dyDescent="0.2">
      <c r="A39895" s="258"/>
      <c r="Z39895" s="258"/>
    </row>
    <row r="39896" spans="1:26" ht="12.75" customHeight="1" x14ac:dyDescent="0.2">
      <c r="A39896" s="258"/>
      <c r="Z39896" s="258"/>
    </row>
    <row r="39897" spans="1:26" ht="12.75" customHeight="1" x14ac:dyDescent="0.2">
      <c r="A39897" s="258"/>
      <c r="Z39897" s="258"/>
    </row>
    <row r="39898" spans="1:26" ht="12.75" customHeight="1" x14ac:dyDescent="0.2">
      <c r="A39898" s="258"/>
      <c r="Z39898" s="258"/>
    </row>
    <row r="39899" spans="1:26" ht="12.75" customHeight="1" x14ac:dyDescent="0.2">
      <c r="A39899" s="258"/>
      <c r="Z39899" s="258"/>
    </row>
    <row r="39900" spans="1:26" ht="12.75" customHeight="1" x14ac:dyDescent="0.2">
      <c r="A39900" s="258"/>
      <c r="Z39900" s="258"/>
    </row>
    <row r="39901" spans="1:26" ht="12.75" customHeight="1" x14ac:dyDescent="0.2">
      <c r="A39901" s="258"/>
      <c r="Z39901" s="258"/>
    </row>
    <row r="39902" spans="1:26" ht="12.75" customHeight="1" x14ac:dyDescent="0.2">
      <c r="A39902" s="258"/>
      <c r="Z39902" s="258"/>
    </row>
    <row r="39903" spans="1:26" ht="12.75" customHeight="1" x14ac:dyDescent="0.2">
      <c r="A39903" s="258"/>
      <c r="Z39903" s="258"/>
    </row>
    <row r="39904" spans="1:26" ht="12.75" customHeight="1" x14ac:dyDescent="0.2">
      <c r="A39904" s="258"/>
      <c r="Z39904" s="258"/>
    </row>
    <row r="39905" spans="1:26" ht="12.75" customHeight="1" x14ac:dyDescent="0.2">
      <c r="A39905" s="258"/>
      <c r="Z39905" s="258"/>
    </row>
    <row r="39906" spans="1:26" ht="12.75" customHeight="1" x14ac:dyDescent="0.2">
      <c r="A39906" s="258"/>
      <c r="Z39906" s="258"/>
    </row>
    <row r="39907" spans="1:26" ht="12.75" customHeight="1" x14ac:dyDescent="0.2">
      <c r="A39907" s="258"/>
      <c r="Z39907" s="258"/>
    </row>
    <row r="39908" spans="1:26" ht="12.75" customHeight="1" x14ac:dyDescent="0.2">
      <c r="A39908" s="258"/>
      <c r="Z39908" s="258"/>
    </row>
    <row r="39909" spans="1:26" ht="12.75" customHeight="1" x14ac:dyDescent="0.2">
      <c r="A39909" s="258"/>
      <c r="Z39909" s="258"/>
    </row>
    <row r="39910" spans="1:26" ht="12.75" customHeight="1" x14ac:dyDescent="0.2">
      <c r="A39910" s="258"/>
      <c r="Z39910" s="258"/>
    </row>
    <row r="39911" spans="1:26" ht="12.75" customHeight="1" x14ac:dyDescent="0.2">
      <c r="A39911" s="258"/>
      <c r="Z39911" s="258"/>
    </row>
    <row r="39912" spans="1:26" ht="12.75" customHeight="1" x14ac:dyDescent="0.2">
      <c r="A39912" s="258"/>
      <c r="Z39912" s="258"/>
    </row>
    <row r="39913" spans="1:26" ht="12.75" customHeight="1" x14ac:dyDescent="0.2">
      <c r="A39913" s="258"/>
      <c r="Z39913" s="258"/>
    </row>
    <row r="39914" spans="1:26" ht="12.75" customHeight="1" x14ac:dyDescent="0.2">
      <c r="A39914" s="258"/>
      <c r="Z39914" s="258"/>
    </row>
    <row r="39915" spans="1:26" ht="12.75" customHeight="1" x14ac:dyDescent="0.2">
      <c r="A39915" s="258"/>
      <c r="Z39915" s="258"/>
    </row>
    <row r="39916" spans="1:26" ht="12.75" customHeight="1" x14ac:dyDescent="0.2">
      <c r="A39916" s="258"/>
      <c r="Z39916" s="258"/>
    </row>
    <row r="39917" spans="1:26" ht="12.75" customHeight="1" x14ac:dyDescent="0.2">
      <c r="A39917" s="258"/>
      <c r="Z39917" s="258"/>
    </row>
    <row r="39918" spans="1:26" ht="12.75" customHeight="1" x14ac:dyDescent="0.2">
      <c r="A39918" s="258"/>
      <c r="Z39918" s="258"/>
    </row>
    <row r="39919" spans="1:26" ht="12.75" customHeight="1" x14ac:dyDescent="0.2">
      <c r="A39919" s="258"/>
      <c r="Z39919" s="258"/>
    </row>
    <row r="39920" spans="1:26" ht="12.75" customHeight="1" x14ac:dyDescent="0.2">
      <c r="A39920" s="258"/>
      <c r="Z39920" s="258"/>
    </row>
    <row r="39921" spans="1:26" ht="12.75" customHeight="1" x14ac:dyDescent="0.2">
      <c r="A39921" s="258"/>
      <c r="Z39921" s="258"/>
    </row>
    <row r="39922" spans="1:26" ht="12.75" customHeight="1" x14ac:dyDescent="0.2">
      <c r="A39922" s="258"/>
      <c r="Z39922" s="258"/>
    </row>
    <row r="39923" spans="1:26" ht="12.75" customHeight="1" x14ac:dyDescent="0.2">
      <c r="A39923" s="258"/>
      <c r="Z39923" s="258"/>
    </row>
    <row r="39924" spans="1:26" ht="12.75" customHeight="1" x14ac:dyDescent="0.2">
      <c r="A39924" s="258"/>
      <c r="Z39924" s="258"/>
    </row>
    <row r="39925" spans="1:26" ht="12.75" customHeight="1" x14ac:dyDescent="0.2">
      <c r="A39925" s="258"/>
      <c r="Z39925" s="258"/>
    </row>
    <row r="39926" spans="1:26" ht="12.75" customHeight="1" x14ac:dyDescent="0.2">
      <c r="A39926" s="258"/>
      <c r="Z39926" s="258"/>
    </row>
    <row r="39927" spans="1:26" ht="12.75" customHeight="1" x14ac:dyDescent="0.2">
      <c r="A39927" s="258"/>
      <c r="Z39927" s="258"/>
    </row>
    <row r="39928" spans="1:26" ht="12.75" customHeight="1" x14ac:dyDescent="0.2">
      <c r="A39928" s="258"/>
      <c r="Z39928" s="258"/>
    </row>
    <row r="39929" spans="1:26" ht="12.75" customHeight="1" x14ac:dyDescent="0.2">
      <c r="A39929" s="258"/>
      <c r="Z39929" s="258"/>
    </row>
    <row r="39930" spans="1:26" ht="12.75" customHeight="1" x14ac:dyDescent="0.2">
      <c r="A39930" s="258"/>
      <c r="Z39930" s="258"/>
    </row>
    <row r="39931" spans="1:26" ht="12.75" customHeight="1" x14ac:dyDescent="0.2">
      <c r="A39931" s="258"/>
      <c r="Z39931" s="258"/>
    </row>
    <row r="39932" spans="1:26" ht="12.75" customHeight="1" x14ac:dyDescent="0.2">
      <c r="A39932" s="258"/>
      <c r="Z39932" s="258"/>
    </row>
    <row r="39933" spans="1:26" ht="12.75" customHeight="1" x14ac:dyDescent="0.2">
      <c r="A39933" s="258"/>
      <c r="Z39933" s="258"/>
    </row>
    <row r="39934" spans="1:26" ht="12.75" customHeight="1" x14ac:dyDescent="0.2">
      <c r="A39934" s="258"/>
      <c r="Z39934" s="258"/>
    </row>
    <row r="39935" spans="1:26" ht="12.75" customHeight="1" x14ac:dyDescent="0.2">
      <c r="A39935" s="258"/>
      <c r="Z39935" s="258"/>
    </row>
    <row r="39936" spans="1:26" ht="12.75" customHeight="1" x14ac:dyDescent="0.2">
      <c r="A39936" s="258"/>
      <c r="Z39936" s="258"/>
    </row>
    <row r="39937" spans="1:26" ht="12.75" customHeight="1" x14ac:dyDescent="0.2">
      <c r="A39937" s="258"/>
      <c r="Z39937" s="258"/>
    </row>
    <row r="39938" spans="1:26" ht="12.75" customHeight="1" x14ac:dyDescent="0.2">
      <c r="A39938" s="258"/>
      <c r="Z39938" s="258"/>
    </row>
    <row r="39939" spans="1:26" ht="12.75" customHeight="1" x14ac:dyDescent="0.2">
      <c r="A39939" s="258"/>
      <c r="Z39939" s="258"/>
    </row>
    <row r="39940" spans="1:26" ht="12.75" customHeight="1" x14ac:dyDescent="0.2">
      <c r="A39940" s="258"/>
      <c r="Z39940" s="258"/>
    </row>
    <row r="39941" spans="1:26" ht="12.75" customHeight="1" x14ac:dyDescent="0.2">
      <c r="A39941" s="258"/>
      <c r="Z39941" s="258"/>
    </row>
    <row r="39942" spans="1:26" ht="12.75" customHeight="1" x14ac:dyDescent="0.2">
      <c r="A39942" s="258"/>
      <c r="Z39942" s="258"/>
    </row>
    <row r="39943" spans="1:26" ht="12.75" customHeight="1" x14ac:dyDescent="0.2">
      <c r="A39943" s="258"/>
      <c r="Z39943" s="258"/>
    </row>
    <row r="39944" spans="1:26" ht="12.75" customHeight="1" x14ac:dyDescent="0.2">
      <c r="A39944" s="258"/>
      <c r="Z39944" s="258"/>
    </row>
    <row r="39945" spans="1:26" ht="12.75" customHeight="1" x14ac:dyDescent="0.2">
      <c r="A39945" s="258"/>
      <c r="Z39945" s="258"/>
    </row>
    <row r="39946" spans="1:26" ht="12.75" customHeight="1" x14ac:dyDescent="0.2">
      <c r="A39946" s="258"/>
      <c r="Z39946" s="258"/>
    </row>
    <row r="39947" spans="1:26" ht="12.75" customHeight="1" x14ac:dyDescent="0.2">
      <c r="A39947" s="258"/>
      <c r="Z39947" s="258"/>
    </row>
    <row r="39948" spans="1:26" ht="12.75" customHeight="1" x14ac:dyDescent="0.2">
      <c r="A39948" s="258"/>
      <c r="Z39948" s="258"/>
    </row>
    <row r="39949" spans="1:26" ht="12.75" customHeight="1" x14ac:dyDescent="0.2">
      <c r="A39949" s="258"/>
      <c r="Z39949" s="258"/>
    </row>
    <row r="39950" spans="1:26" ht="12.75" customHeight="1" x14ac:dyDescent="0.2">
      <c r="A39950" s="258"/>
      <c r="Z39950" s="258"/>
    </row>
    <row r="39951" spans="1:26" ht="12.75" customHeight="1" x14ac:dyDescent="0.2">
      <c r="A39951" s="258"/>
      <c r="Z39951" s="258"/>
    </row>
    <row r="39952" spans="1:26" ht="12.75" customHeight="1" x14ac:dyDescent="0.2">
      <c r="A39952" s="258"/>
      <c r="Z39952" s="258"/>
    </row>
    <row r="39953" spans="1:26" ht="12.75" customHeight="1" x14ac:dyDescent="0.2">
      <c r="A39953" s="258"/>
      <c r="Z39953" s="258"/>
    </row>
    <row r="39954" spans="1:26" ht="12.75" customHeight="1" x14ac:dyDescent="0.2">
      <c r="A39954" s="258"/>
      <c r="Z39954" s="258"/>
    </row>
    <row r="39955" spans="1:26" ht="12.75" customHeight="1" x14ac:dyDescent="0.2">
      <c r="A39955" s="258"/>
      <c r="Z39955" s="258"/>
    </row>
    <row r="39956" spans="1:26" ht="12.75" customHeight="1" x14ac:dyDescent="0.2">
      <c r="A39956" s="258"/>
      <c r="Z39956" s="258"/>
    </row>
    <row r="39957" spans="1:26" ht="12.75" customHeight="1" x14ac:dyDescent="0.2">
      <c r="A39957" s="258"/>
      <c r="Z39957" s="258"/>
    </row>
    <row r="39958" spans="1:26" ht="12.75" customHeight="1" x14ac:dyDescent="0.2">
      <c r="A39958" s="258"/>
      <c r="Z39958" s="258"/>
    </row>
    <row r="39959" spans="1:26" ht="12.75" customHeight="1" x14ac:dyDescent="0.2">
      <c r="A39959" s="258"/>
      <c r="Z39959" s="258"/>
    </row>
    <row r="39960" spans="1:26" ht="12.75" customHeight="1" x14ac:dyDescent="0.2">
      <c r="A39960" s="258"/>
      <c r="Z39960" s="258"/>
    </row>
    <row r="39961" spans="1:26" ht="12.75" customHeight="1" x14ac:dyDescent="0.2">
      <c r="A39961" s="258"/>
      <c r="Z39961" s="258"/>
    </row>
    <row r="39962" spans="1:26" ht="12.75" customHeight="1" x14ac:dyDescent="0.2">
      <c r="A39962" s="258"/>
      <c r="Z39962" s="258"/>
    </row>
    <row r="39963" spans="1:26" ht="12.75" customHeight="1" x14ac:dyDescent="0.2">
      <c r="A39963" s="258"/>
      <c r="Z39963" s="258"/>
    </row>
    <row r="39964" spans="1:26" ht="12.75" customHeight="1" x14ac:dyDescent="0.2">
      <c r="A39964" s="258"/>
      <c r="Z39964" s="258"/>
    </row>
    <row r="39965" spans="1:26" ht="12.75" customHeight="1" x14ac:dyDescent="0.2">
      <c r="A39965" s="258"/>
      <c r="Z39965" s="258"/>
    </row>
    <row r="39966" spans="1:26" ht="12.75" customHeight="1" x14ac:dyDescent="0.2">
      <c r="A39966" s="258"/>
      <c r="Z39966" s="258"/>
    </row>
    <row r="39967" spans="1:26" ht="12.75" customHeight="1" x14ac:dyDescent="0.2">
      <c r="A39967" s="258"/>
      <c r="Z39967" s="258"/>
    </row>
    <row r="39968" spans="1:26" ht="12.75" customHeight="1" x14ac:dyDescent="0.2">
      <c r="A39968" s="258"/>
      <c r="Z39968" s="258"/>
    </row>
    <row r="39969" spans="1:26" ht="12.75" customHeight="1" x14ac:dyDescent="0.2">
      <c r="A39969" s="258"/>
      <c r="Z39969" s="258"/>
    </row>
    <row r="39970" spans="1:26" ht="12.75" customHeight="1" x14ac:dyDescent="0.2">
      <c r="A39970" s="258"/>
      <c r="Z39970" s="258"/>
    </row>
    <row r="39971" spans="1:26" ht="12.75" customHeight="1" x14ac:dyDescent="0.2">
      <c r="A39971" s="258"/>
      <c r="Z39971" s="258"/>
    </row>
    <row r="39972" spans="1:26" ht="12.75" customHeight="1" x14ac:dyDescent="0.2">
      <c r="A39972" s="258"/>
      <c r="Z39972" s="258"/>
    </row>
    <row r="39973" spans="1:26" ht="12.75" customHeight="1" x14ac:dyDescent="0.2">
      <c r="A39973" s="258"/>
      <c r="Z39973" s="258"/>
    </row>
    <row r="39974" spans="1:26" ht="12.75" customHeight="1" x14ac:dyDescent="0.2">
      <c r="A39974" s="258"/>
      <c r="Z39974" s="258"/>
    </row>
    <row r="39975" spans="1:26" ht="12.75" customHeight="1" x14ac:dyDescent="0.2">
      <c r="A39975" s="258"/>
      <c r="Z39975" s="258"/>
    </row>
    <row r="39976" spans="1:26" ht="12.75" customHeight="1" x14ac:dyDescent="0.2">
      <c r="A39976" s="258"/>
      <c r="Z39976" s="258"/>
    </row>
    <row r="39977" spans="1:26" ht="12.75" customHeight="1" x14ac:dyDescent="0.2">
      <c r="A39977" s="258"/>
      <c r="Z39977" s="258"/>
    </row>
    <row r="39978" spans="1:26" ht="12.75" customHeight="1" x14ac:dyDescent="0.2">
      <c r="A39978" s="258"/>
      <c r="Z39978" s="258"/>
    </row>
    <row r="39979" spans="1:26" ht="12.75" customHeight="1" x14ac:dyDescent="0.2">
      <c r="A39979" s="258"/>
      <c r="Z39979" s="258"/>
    </row>
    <row r="39980" spans="1:26" ht="12.75" customHeight="1" x14ac:dyDescent="0.2">
      <c r="A39980" s="258"/>
      <c r="Z39980" s="258"/>
    </row>
    <row r="39981" spans="1:26" ht="12.75" customHeight="1" x14ac:dyDescent="0.2">
      <c r="A39981" s="258"/>
      <c r="Z39981" s="258"/>
    </row>
    <row r="39982" spans="1:26" ht="12.75" customHeight="1" x14ac:dyDescent="0.2">
      <c r="A39982" s="258"/>
      <c r="Z39982" s="258"/>
    </row>
    <row r="39983" spans="1:26" ht="12.75" customHeight="1" x14ac:dyDescent="0.2">
      <c r="A39983" s="258"/>
      <c r="Z39983" s="258"/>
    </row>
    <row r="39984" spans="1:26" ht="12.75" customHeight="1" x14ac:dyDescent="0.2">
      <c r="A39984" s="258"/>
      <c r="Z39984" s="258"/>
    </row>
    <row r="39985" spans="1:26" ht="12.75" customHeight="1" x14ac:dyDescent="0.2">
      <c r="A39985" s="258"/>
      <c r="Z39985" s="258"/>
    </row>
    <row r="39986" spans="1:26" ht="12.75" customHeight="1" x14ac:dyDescent="0.2">
      <c r="A39986" s="258"/>
      <c r="Z39986" s="258"/>
    </row>
    <row r="39987" spans="1:26" ht="12.75" customHeight="1" x14ac:dyDescent="0.2">
      <c r="A39987" s="258"/>
      <c r="Z39987" s="258"/>
    </row>
    <row r="39988" spans="1:26" ht="12.75" customHeight="1" x14ac:dyDescent="0.2">
      <c r="A39988" s="258"/>
      <c r="Z39988" s="258"/>
    </row>
    <row r="39989" spans="1:26" ht="12.75" customHeight="1" x14ac:dyDescent="0.2">
      <c r="A39989" s="258"/>
      <c r="Z39989" s="258"/>
    </row>
    <row r="39990" spans="1:26" ht="12.75" customHeight="1" x14ac:dyDescent="0.2">
      <c r="A39990" s="258"/>
      <c r="Z39990" s="258"/>
    </row>
    <row r="39991" spans="1:26" ht="12.75" customHeight="1" x14ac:dyDescent="0.2">
      <c r="A39991" s="258"/>
      <c r="Z39991" s="258"/>
    </row>
    <row r="39992" spans="1:26" ht="12.75" customHeight="1" x14ac:dyDescent="0.2">
      <c r="A39992" s="258"/>
      <c r="Z39992" s="258"/>
    </row>
    <row r="39993" spans="1:26" ht="12.75" customHeight="1" x14ac:dyDescent="0.2">
      <c r="A39993" s="258"/>
      <c r="Z39993" s="258"/>
    </row>
    <row r="39994" spans="1:26" ht="12.75" customHeight="1" x14ac:dyDescent="0.2">
      <c r="A39994" s="258"/>
      <c r="Z39994" s="258"/>
    </row>
    <row r="39995" spans="1:26" ht="12.75" customHeight="1" x14ac:dyDescent="0.2">
      <c r="A39995" s="258"/>
      <c r="Z39995" s="258"/>
    </row>
    <row r="39996" spans="1:26" ht="12.75" customHeight="1" x14ac:dyDescent="0.2">
      <c r="A39996" s="258"/>
      <c r="Z39996" s="258"/>
    </row>
    <row r="39997" spans="1:26" ht="12.75" customHeight="1" x14ac:dyDescent="0.2">
      <c r="A39997" s="258"/>
      <c r="Z39997" s="258"/>
    </row>
    <row r="39998" spans="1:26" ht="12.75" customHeight="1" x14ac:dyDescent="0.2">
      <c r="A39998" s="258"/>
      <c r="Z39998" s="258"/>
    </row>
    <row r="39999" spans="1:26" ht="12.75" customHeight="1" x14ac:dyDescent="0.2">
      <c r="A39999" s="258"/>
      <c r="Z39999" s="258"/>
    </row>
    <row r="40000" spans="1:26" ht="12.75" customHeight="1" x14ac:dyDescent="0.2">
      <c r="A40000" s="258"/>
      <c r="Z40000" s="258"/>
    </row>
    <row r="40001" spans="1:26" ht="12.75" customHeight="1" x14ac:dyDescent="0.2">
      <c r="A40001" s="258"/>
      <c r="Z40001" s="258"/>
    </row>
    <row r="40002" spans="1:26" ht="12.75" customHeight="1" x14ac:dyDescent="0.2">
      <c r="A40002" s="258"/>
      <c r="Z40002" s="258"/>
    </row>
    <row r="40003" spans="1:26" ht="12.75" customHeight="1" x14ac:dyDescent="0.2">
      <c r="A40003" s="258"/>
      <c r="Z40003" s="258"/>
    </row>
    <row r="40004" spans="1:26" ht="12.75" customHeight="1" x14ac:dyDescent="0.2">
      <c r="A40004" s="258"/>
      <c r="Z40004" s="258"/>
    </row>
    <row r="40005" spans="1:26" ht="12.75" customHeight="1" x14ac:dyDescent="0.2">
      <c r="A40005" s="258"/>
      <c r="Z40005" s="258"/>
    </row>
    <row r="40006" spans="1:26" ht="12.75" customHeight="1" x14ac:dyDescent="0.2">
      <c r="A40006" s="258"/>
      <c r="Z40006" s="258"/>
    </row>
    <row r="40007" spans="1:26" ht="12.75" customHeight="1" x14ac:dyDescent="0.2">
      <c r="A40007" s="258"/>
      <c r="Z40007" s="258"/>
    </row>
    <row r="40008" spans="1:26" ht="12.75" customHeight="1" x14ac:dyDescent="0.2">
      <c r="A40008" s="258"/>
      <c r="Z40008" s="258"/>
    </row>
    <row r="40009" spans="1:26" ht="12.75" customHeight="1" x14ac:dyDescent="0.2">
      <c r="A40009" s="258"/>
      <c r="Z40009" s="258"/>
    </row>
    <row r="40010" spans="1:26" ht="12.75" customHeight="1" x14ac:dyDescent="0.2">
      <c r="A40010" s="258"/>
      <c r="Z40010" s="258"/>
    </row>
    <row r="40011" spans="1:26" ht="12.75" customHeight="1" x14ac:dyDescent="0.2">
      <c r="A40011" s="258"/>
      <c r="Z40011" s="258"/>
    </row>
    <row r="40012" spans="1:26" ht="12.75" customHeight="1" x14ac:dyDescent="0.2">
      <c r="A40012" s="258"/>
      <c r="Z40012" s="258"/>
    </row>
    <row r="40013" spans="1:26" ht="12.75" customHeight="1" x14ac:dyDescent="0.2">
      <c r="A40013" s="258"/>
      <c r="Z40013" s="258"/>
    </row>
    <row r="40014" spans="1:26" ht="12.75" customHeight="1" x14ac:dyDescent="0.2">
      <c r="A40014" s="258"/>
      <c r="Z40014" s="258"/>
    </row>
    <row r="40015" spans="1:26" ht="12.75" customHeight="1" x14ac:dyDescent="0.2">
      <c r="A40015" s="258"/>
      <c r="Z40015" s="258"/>
    </row>
    <row r="40016" spans="1:26" ht="12.75" customHeight="1" x14ac:dyDescent="0.2">
      <c r="A40016" s="258"/>
      <c r="Z40016" s="258"/>
    </row>
    <row r="40017" spans="1:26" ht="12.75" customHeight="1" x14ac:dyDescent="0.2">
      <c r="A40017" s="258"/>
      <c r="Z40017" s="258"/>
    </row>
    <row r="40018" spans="1:26" ht="12.75" customHeight="1" x14ac:dyDescent="0.2">
      <c r="A40018" s="258"/>
      <c r="Z40018" s="258"/>
    </row>
    <row r="40019" spans="1:26" ht="12.75" customHeight="1" x14ac:dyDescent="0.2">
      <c r="A40019" s="258"/>
      <c r="Z40019" s="258"/>
    </row>
    <row r="40020" spans="1:26" ht="12.75" customHeight="1" x14ac:dyDescent="0.2">
      <c r="A40020" s="258"/>
      <c r="Z40020" s="258"/>
    </row>
    <row r="40021" spans="1:26" ht="12.75" customHeight="1" x14ac:dyDescent="0.2">
      <c r="A40021" s="258"/>
      <c r="Z40021" s="258"/>
    </row>
    <row r="40022" spans="1:26" ht="12.75" customHeight="1" x14ac:dyDescent="0.2">
      <c r="A40022" s="258"/>
      <c r="Z40022" s="258"/>
    </row>
    <row r="40023" spans="1:26" ht="12.75" customHeight="1" x14ac:dyDescent="0.2">
      <c r="A40023" s="258"/>
      <c r="Z40023" s="258"/>
    </row>
    <row r="40024" spans="1:26" ht="12.75" customHeight="1" x14ac:dyDescent="0.2">
      <c r="A40024" s="258"/>
      <c r="Z40024" s="258"/>
    </row>
    <row r="40025" spans="1:26" ht="12.75" customHeight="1" x14ac:dyDescent="0.2">
      <c r="A40025" s="258"/>
      <c r="Z40025" s="258"/>
    </row>
    <row r="40026" spans="1:26" ht="12.75" customHeight="1" x14ac:dyDescent="0.2">
      <c r="A40026" s="258"/>
      <c r="Z40026" s="258"/>
    </row>
    <row r="40027" spans="1:26" ht="12.75" customHeight="1" x14ac:dyDescent="0.2">
      <c r="A40027" s="258"/>
      <c r="Z40027" s="258"/>
    </row>
    <row r="40028" spans="1:26" ht="12.75" customHeight="1" x14ac:dyDescent="0.2">
      <c r="A40028" s="258"/>
      <c r="Z40028" s="258"/>
    </row>
    <row r="40029" spans="1:26" ht="12.75" customHeight="1" x14ac:dyDescent="0.2">
      <c r="A40029" s="258"/>
      <c r="Z40029" s="258"/>
    </row>
    <row r="40030" spans="1:26" ht="12.75" customHeight="1" x14ac:dyDescent="0.2">
      <c r="A40030" s="258"/>
      <c r="Z40030" s="258"/>
    </row>
    <row r="40031" spans="1:26" ht="12.75" customHeight="1" x14ac:dyDescent="0.2">
      <c r="A40031" s="258"/>
      <c r="Z40031" s="258"/>
    </row>
    <row r="40032" spans="1:26" ht="12.75" customHeight="1" x14ac:dyDescent="0.2">
      <c r="A40032" s="258"/>
      <c r="Z40032" s="258"/>
    </row>
    <row r="40033" spans="1:26" ht="12.75" customHeight="1" x14ac:dyDescent="0.2">
      <c r="A40033" s="258"/>
      <c r="Z40033" s="258"/>
    </row>
    <row r="40034" spans="1:26" ht="12.75" customHeight="1" x14ac:dyDescent="0.2">
      <c r="A40034" s="258"/>
      <c r="Z40034" s="258"/>
    </row>
    <row r="40035" spans="1:26" ht="12.75" customHeight="1" x14ac:dyDescent="0.2">
      <c r="A40035" s="258"/>
      <c r="Z40035" s="258"/>
    </row>
    <row r="40036" spans="1:26" ht="12.75" customHeight="1" x14ac:dyDescent="0.2">
      <c r="A40036" s="258"/>
      <c r="Z40036" s="258"/>
    </row>
    <row r="40037" spans="1:26" ht="12.75" customHeight="1" x14ac:dyDescent="0.2">
      <c r="A40037" s="258"/>
      <c r="Z40037" s="258"/>
    </row>
    <row r="40038" spans="1:26" ht="12.75" customHeight="1" x14ac:dyDescent="0.2">
      <c r="A40038" s="258"/>
      <c r="Z40038" s="258"/>
    </row>
    <row r="40039" spans="1:26" ht="12.75" customHeight="1" x14ac:dyDescent="0.2">
      <c r="A40039" s="258"/>
      <c r="Z40039" s="258"/>
    </row>
    <row r="40040" spans="1:26" ht="12.75" customHeight="1" x14ac:dyDescent="0.2">
      <c r="A40040" s="258"/>
      <c r="Z40040" s="258"/>
    </row>
    <row r="40041" spans="1:26" ht="12.75" customHeight="1" x14ac:dyDescent="0.2">
      <c r="A40041" s="258"/>
      <c r="Z40041" s="258"/>
    </row>
    <row r="40042" spans="1:26" ht="12.75" customHeight="1" x14ac:dyDescent="0.2">
      <c r="A40042" s="258"/>
      <c r="Z40042" s="258"/>
    </row>
    <row r="40043" spans="1:26" ht="12.75" customHeight="1" x14ac:dyDescent="0.2">
      <c r="A40043" s="258"/>
      <c r="Z40043" s="258"/>
    </row>
    <row r="40044" spans="1:26" ht="12.75" customHeight="1" x14ac:dyDescent="0.2">
      <c r="A40044" s="258"/>
      <c r="Z40044" s="258"/>
    </row>
    <row r="40045" spans="1:26" ht="12.75" customHeight="1" x14ac:dyDescent="0.2">
      <c r="A40045" s="258"/>
      <c r="Z40045" s="258"/>
    </row>
    <row r="40046" spans="1:26" ht="12.75" customHeight="1" x14ac:dyDescent="0.2">
      <c r="A40046" s="258"/>
      <c r="Z40046" s="258"/>
    </row>
    <row r="40047" spans="1:26" ht="12.75" customHeight="1" x14ac:dyDescent="0.2">
      <c r="A40047" s="258"/>
      <c r="Z40047" s="258"/>
    </row>
    <row r="40048" spans="1:26" ht="12.75" customHeight="1" x14ac:dyDescent="0.2">
      <c r="A40048" s="258"/>
      <c r="Z40048" s="258"/>
    </row>
    <row r="40049" spans="1:26" ht="12.75" customHeight="1" x14ac:dyDescent="0.2">
      <c r="A40049" s="258"/>
      <c r="Z40049" s="258"/>
    </row>
    <row r="40050" spans="1:26" ht="12.75" customHeight="1" x14ac:dyDescent="0.2">
      <c r="A40050" s="258"/>
      <c r="Z40050" s="258"/>
    </row>
    <row r="40051" spans="1:26" ht="12.75" customHeight="1" x14ac:dyDescent="0.2">
      <c r="A40051" s="258"/>
      <c r="Z40051" s="258"/>
    </row>
    <row r="40052" spans="1:26" ht="12.75" customHeight="1" x14ac:dyDescent="0.2">
      <c r="A40052" s="258"/>
      <c r="Z40052" s="258"/>
    </row>
    <row r="40053" spans="1:26" ht="12.75" customHeight="1" x14ac:dyDescent="0.2">
      <c r="A40053" s="258"/>
      <c r="Z40053" s="258"/>
    </row>
    <row r="40054" spans="1:26" ht="12.75" customHeight="1" x14ac:dyDescent="0.2">
      <c r="A40054" s="258"/>
      <c r="Z40054" s="258"/>
    </row>
    <row r="40055" spans="1:26" ht="12.75" customHeight="1" x14ac:dyDescent="0.2">
      <c r="A40055" s="258"/>
      <c r="Z40055" s="258"/>
    </row>
    <row r="40056" spans="1:26" ht="12.75" customHeight="1" x14ac:dyDescent="0.2">
      <c r="A40056" s="258"/>
      <c r="Z40056" s="258"/>
    </row>
    <row r="40057" spans="1:26" ht="12.75" customHeight="1" x14ac:dyDescent="0.2">
      <c r="A40057" s="258"/>
      <c r="Z40057" s="258"/>
    </row>
    <row r="40058" spans="1:26" ht="12.75" customHeight="1" x14ac:dyDescent="0.2">
      <c r="A40058" s="258"/>
      <c r="Z40058" s="258"/>
    </row>
    <row r="40059" spans="1:26" ht="12.75" customHeight="1" x14ac:dyDescent="0.2">
      <c r="A40059" s="258"/>
      <c r="Z40059" s="258"/>
    </row>
    <row r="40060" spans="1:26" ht="12.75" customHeight="1" x14ac:dyDescent="0.2">
      <c r="A40060" s="258"/>
      <c r="Z40060" s="258"/>
    </row>
    <row r="40061" spans="1:26" ht="12.75" customHeight="1" x14ac:dyDescent="0.2">
      <c r="A40061" s="258"/>
      <c r="Z40061" s="258"/>
    </row>
    <row r="40062" spans="1:26" ht="12.75" customHeight="1" x14ac:dyDescent="0.2">
      <c r="A40062" s="258"/>
      <c r="Z40062" s="258"/>
    </row>
    <row r="40063" spans="1:26" ht="12.75" customHeight="1" x14ac:dyDescent="0.2">
      <c r="A40063" s="258"/>
      <c r="Z40063" s="258"/>
    </row>
    <row r="40064" spans="1:26" ht="12.75" customHeight="1" x14ac:dyDescent="0.2">
      <c r="A40064" s="258"/>
      <c r="Z40064" s="258"/>
    </row>
    <row r="40065" spans="1:26" ht="12.75" customHeight="1" x14ac:dyDescent="0.2">
      <c r="A40065" s="258"/>
      <c r="Z40065" s="258"/>
    </row>
    <row r="40066" spans="1:26" ht="12.75" customHeight="1" x14ac:dyDescent="0.2">
      <c r="A40066" s="258"/>
      <c r="Z40066" s="258"/>
    </row>
    <row r="40067" spans="1:26" ht="12.75" customHeight="1" x14ac:dyDescent="0.2">
      <c r="A40067" s="258"/>
      <c r="Z40067" s="258"/>
    </row>
    <row r="40068" spans="1:26" ht="12.75" customHeight="1" x14ac:dyDescent="0.2">
      <c r="A40068" s="258"/>
      <c r="Z40068" s="258"/>
    </row>
    <row r="40069" spans="1:26" ht="12.75" customHeight="1" x14ac:dyDescent="0.2">
      <c r="A40069" s="258"/>
      <c r="Z40069" s="258"/>
    </row>
    <row r="40070" spans="1:26" ht="12.75" customHeight="1" x14ac:dyDescent="0.2">
      <c r="A40070" s="258"/>
      <c r="Z40070" s="258"/>
    </row>
    <row r="40071" spans="1:26" ht="12.75" customHeight="1" x14ac:dyDescent="0.2">
      <c r="A40071" s="258"/>
      <c r="Z40071" s="258"/>
    </row>
    <row r="40072" spans="1:26" ht="12.75" customHeight="1" x14ac:dyDescent="0.2">
      <c r="A40072" s="258"/>
      <c r="Z40072" s="258"/>
    </row>
    <row r="40073" spans="1:26" ht="12.75" customHeight="1" x14ac:dyDescent="0.2">
      <c r="A40073" s="258"/>
      <c r="Z40073" s="258"/>
    </row>
    <row r="40074" spans="1:26" ht="12.75" customHeight="1" x14ac:dyDescent="0.2">
      <c r="A40074" s="258"/>
      <c r="Z40074" s="258"/>
    </row>
    <row r="40075" spans="1:26" ht="12.75" customHeight="1" x14ac:dyDescent="0.2">
      <c r="A40075" s="258"/>
      <c r="Z40075" s="258"/>
    </row>
    <row r="40076" spans="1:26" ht="12.75" customHeight="1" x14ac:dyDescent="0.2">
      <c r="A40076" s="258"/>
      <c r="Z40076" s="258"/>
    </row>
    <row r="40077" spans="1:26" ht="12.75" customHeight="1" x14ac:dyDescent="0.2">
      <c r="A40077" s="258"/>
      <c r="Z40077" s="258"/>
    </row>
    <row r="40078" spans="1:26" ht="12.75" customHeight="1" x14ac:dyDescent="0.2">
      <c r="A40078" s="258"/>
      <c r="Z40078" s="258"/>
    </row>
    <row r="40079" spans="1:26" ht="12.75" customHeight="1" x14ac:dyDescent="0.2">
      <c r="A40079" s="258"/>
      <c r="Z40079" s="258"/>
    </row>
    <row r="40080" spans="1:26" ht="12.75" customHeight="1" x14ac:dyDescent="0.2">
      <c r="A40080" s="258"/>
      <c r="Z40080" s="258"/>
    </row>
    <row r="40081" spans="1:26" ht="12.75" customHeight="1" x14ac:dyDescent="0.2">
      <c r="A40081" s="258"/>
      <c r="Z40081" s="258"/>
    </row>
    <row r="40082" spans="1:26" ht="12.75" customHeight="1" x14ac:dyDescent="0.2">
      <c r="A40082" s="258"/>
      <c r="Z40082" s="258"/>
    </row>
    <row r="40083" spans="1:26" ht="12.75" customHeight="1" x14ac:dyDescent="0.2">
      <c r="A40083" s="258"/>
      <c r="Z40083" s="258"/>
    </row>
    <row r="40084" spans="1:26" ht="12.75" customHeight="1" x14ac:dyDescent="0.2">
      <c r="A40084" s="258"/>
      <c r="Z40084" s="258"/>
    </row>
    <row r="40085" spans="1:26" ht="12.75" customHeight="1" x14ac:dyDescent="0.2">
      <c r="A40085" s="258"/>
      <c r="Z40085" s="258"/>
    </row>
    <row r="40086" spans="1:26" ht="12.75" customHeight="1" x14ac:dyDescent="0.2">
      <c r="A40086" s="258"/>
      <c r="Z40086" s="258"/>
    </row>
    <row r="40087" spans="1:26" ht="12.75" customHeight="1" x14ac:dyDescent="0.2">
      <c r="A40087" s="258"/>
      <c r="Z40087" s="258"/>
    </row>
    <row r="40088" spans="1:26" ht="12.75" customHeight="1" x14ac:dyDescent="0.2">
      <c r="A40088" s="258"/>
      <c r="Z40088" s="258"/>
    </row>
    <row r="40089" spans="1:26" ht="12.75" customHeight="1" x14ac:dyDescent="0.2">
      <c r="A40089" s="258"/>
      <c r="Z40089" s="258"/>
    </row>
    <row r="40090" spans="1:26" ht="12.75" customHeight="1" x14ac:dyDescent="0.2">
      <c r="A40090" s="258"/>
      <c r="Z40090" s="258"/>
    </row>
    <row r="40091" spans="1:26" ht="12.75" customHeight="1" x14ac:dyDescent="0.2">
      <c r="A40091" s="258"/>
      <c r="Z40091" s="258"/>
    </row>
    <row r="40092" spans="1:26" ht="12.75" customHeight="1" x14ac:dyDescent="0.2">
      <c r="A40092" s="258"/>
      <c r="Z40092" s="258"/>
    </row>
    <row r="40093" spans="1:26" ht="12.75" customHeight="1" x14ac:dyDescent="0.2">
      <c r="A40093" s="258"/>
      <c r="Z40093" s="258"/>
    </row>
    <row r="40094" spans="1:26" ht="12.75" customHeight="1" x14ac:dyDescent="0.2">
      <c r="A40094" s="258"/>
      <c r="Z40094" s="258"/>
    </row>
    <row r="40095" spans="1:26" ht="12.75" customHeight="1" x14ac:dyDescent="0.2">
      <c r="A40095" s="258"/>
      <c r="Z40095" s="258"/>
    </row>
    <row r="40096" spans="1:26" ht="12.75" customHeight="1" x14ac:dyDescent="0.2">
      <c r="A40096" s="258"/>
      <c r="Z40096" s="258"/>
    </row>
    <row r="40097" spans="1:26" ht="12.75" customHeight="1" x14ac:dyDescent="0.2">
      <c r="A40097" s="258"/>
      <c r="Z40097" s="258"/>
    </row>
    <row r="40098" spans="1:26" ht="12.75" customHeight="1" x14ac:dyDescent="0.2">
      <c r="A40098" s="258"/>
      <c r="Z40098" s="258"/>
    </row>
    <row r="40099" spans="1:26" ht="12.75" customHeight="1" x14ac:dyDescent="0.2">
      <c r="A40099" s="258"/>
      <c r="Z40099" s="258"/>
    </row>
    <row r="40100" spans="1:26" ht="12.75" customHeight="1" x14ac:dyDescent="0.2">
      <c r="A40100" s="258"/>
      <c r="Z40100" s="258"/>
    </row>
    <row r="40101" spans="1:26" ht="12.75" customHeight="1" x14ac:dyDescent="0.2">
      <c r="A40101" s="258"/>
      <c r="Z40101" s="258"/>
    </row>
    <row r="40102" spans="1:26" ht="12.75" customHeight="1" x14ac:dyDescent="0.2">
      <c r="A40102" s="258"/>
      <c r="Z40102" s="258"/>
    </row>
    <row r="40103" spans="1:26" ht="12.75" customHeight="1" x14ac:dyDescent="0.2">
      <c r="A40103" s="258"/>
      <c r="Z40103" s="258"/>
    </row>
    <row r="40104" spans="1:26" ht="12.75" customHeight="1" x14ac:dyDescent="0.2">
      <c r="A40104" s="258"/>
      <c r="Z40104" s="258"/>
    </row>
    <row r="40105" spans="1:26" ht="12.75" customHeight="1" x14ac:dyDescent="0.2">
      <c r="A40105" s="258"/>
      <c r="Z40105" s="258"/>
    </row>
    <row r="40106" spans="1:26" ht="12.75" customHeight="1" x14ac:dyDescent="0.2">
      <c r="A40106" s="258"/>
      <c r="Z40106" s="258"/>
    </row>
    <row r="40107" spans="1:26" ht="12.75" customHeight="1" x14ac:dyDescent="0.2">
      <c r="A40107" s="258"/>
      <c r="Z40107" s="258"/>
    </row>
    <row r="40108" spans="1:26" ht="12.75" customHeight="1" x14ac:dyDescent="0.2">
      <c r="A40108" s="258"/>
      <c r="Z40108" s="258"/>
    </row>
    <row r="40109" spans="1:26" ht="12.75" customHeight="1" x14ac:dyDescent="0.2">
      <c r="A40109" s="258"/>
      <c r="Z40109" s="258"/>
    </row>
    <row r="40110" spans="1:26" ht="12.75" customHeight="1" x14ac:dyDescent="0.2">
      <c r="A40110" s="258"/>
      <c r="Z40110" s="258"/>
    </row>
    <row r="40111" spans="1:26" ht="12.75" customHeight="1" x14ac:dyDescent="0.2">
      <c r="A40111" s="258"/>
      <c r="Z40111" s="258"/>
    </row>
    <row r="40112" spans="1:26" ht="12.75" customHeight="1" x14ac:dyDescent="0.2">
      <c r="A40112" s="258"/>
      <c r="Z40112" s="258"/>
    </row>
    <row r="40113" spans="1:26" ht="12.75" customHeight="1" x14ac:dyDescent="0.2">
      <c r="A40113" s="258"/>
      <c r="Z40113" s="258"/>
    </row>
    <row r="40114" spans="1:26" ht="12.75" customHeight="1" x14ac:dyDescent="0.2">
      <c r="A40114" s="258"/>
      <c r="Z40114" s="258"/>
    </row>
    <row r="40115" spans="1:26" ht="12.75" customHeight="1" x14ac:dyDescent="0.2">
      <c r="A40115" s="258"/>
      <c r="Z40115" s="258"/>
    </row>
    <row r="40116" spans="1:26" ht="12.75" customHeight="1" x14ac:dyDescent="0.2">
      <c r="A40116" s="258"/>
      <c r="Z40116" s="258"/>
    </row>
    <row r="40117" spans="1:26" ht="12.75" customHeight="1" x14ac:dyDescent="0.2">
      <c r="A40117" s="258"/>
      <c r="Z40117" s="258"/>
    </row>
    <row r="40118" spans="1:26" ht="12.75" customHeight="1" x14ac:dyDescent="0.2">
      <c r="A40118" s="258"/>
      <c r="Z40118" s="258"/>
    </row>
    <row r="40119" spans="1:26" ht="12.75" customHeight="1" x14ac:dyDescent="0.2">
      <c r="A40119" s="258"/>
      <c r="Z40119" s="258"/>
    </row>
    <row r="40120" spans="1:26" ht="12.75" customHeight="1" x14ac:dyDescent="0.2">
      <c r="A40120" s="258"/>
      <c r="Z40120" s="258"/>
    </row>
    <row r="40121" spans="1:26" ht="12.75" customHeight="1" x14ac:dyDescent="0.2">
      <c r="A40121" s="258"/>
      <c r="Z40121" s="258"/>
    </row>
    <row r="40122" spans="1:26" ht="12.75" customHeight="1" x14ac:dyDescent="0.2">
      <c r="A40122" s="258"/>
      <c r="Z40122" s="258"/>
    </row>
    <row r="40123" spans="1:26" ht="12.75" customHeight="1" x14ac:dyDescent="0.2">
      <c r="A40123" s="258"/>
      <c r="Z40123" s="258"/>
    </row>
    <row r="40124" spans="1:26" ht="12.75" customHeight="1" x14ac:dyDescent="0.2">
      <c r="A40124" s="258"/>
      <c r="Z40124" s="258"/>
    </row>
    <row r="40125" spans="1:26" ht="12.75" customHeight="1" x14ac:dyDescent="0.2">
      <c r="A40125" s="258"/>
      <c r="Z40125" s="258"/>
    </row>
    <row r="40126" spans="1:26" ht="12.75" customHeight="1" x14ac:dyDescent="0.2">
      <c r="A40126" s="258"/>
      <c r="Z40126" s="258"/>
    </row>
    <row r="40127" spans="1:26" ht="12.75" customHeight="1" x14ac:dyDescent="0.2">
      <c r="A40127" s="258"/>
      <c r="Z40127" s="258"/>
    </row>
    <row r="40128" spans="1:26" ht="12.75" customHeight="1" x14ac:dyDescent="0.2">
      <c r="A40128" s="258"/>
      <c r="Z40128" s="258"/>
    </row>
    <row r="40129" spans="1:26" ht="12.75" customHeight="1" x14ac:dyDescent="0.2">
      <c r="A40129" s="258"/>
      <c r="Z40129" s="258"/>
    </row>
    <row r="40130" spans="1:26" ht="12.75" customHeight="1" x14ac:dyDescent="0.2">
      <c r="A40130" s="258"/>
      <c r="Z40130" s="258"/>
    </row>
    <row r="40131" spans="1:26" ht="12.75" customHeight="1" x14ac:dyDescent="0.2">
      <c r="A40131" s="258"/>
      <c r="Z40131" s="258"/>
    </row>
    <row r="40132" spans="1:26" ht="12.75" customHeight="1" x14ac:dyDescent="0.2">
      <c r="A40132" s="258"/>
      <c r="Z40132" s="258"/>
    </row>
    <row r="40133" spans="1:26" ht="12.75" customHeight="1" x14ac:dyDescent="0.2">
      <c r="A40133" s="258"/>
      <c r="Z40133" s="258"/>
    </row>
    <row r="40134" spans="1:26" ht="12.75" customHeight="1" x14ac:dyDescent="0.2">
      <c r="A40134" s="258"/>
      <c r="Z40134" s="258"/>
    </row>
    <row r="40135" spans="1:26" ht="12.75" customHeight="1" x14ac:dyDescent="0.2">
      <c r="A40135" s="258"/>
      <c r="Z40135" s="258"/>
    </row>
    <row r="40136" spans="1:26" ht="12.75" customHeight="1" x14ac:dyDescent="0.2">
      <c r="A40136" s="258"/>
      <c r="Z40136" s="258"/>
    </row>
    <row r="40137" spans="1:26" ht="12.75" customHeight="1" x14ac:dyDescent="0.2">
      <c r="A40137" s="258"/>
      <c r="Z40137" s="258"/>
    </row>
    <row r="40138" spans="1:26" ht="12.75" customHeight="1" x14ac:dyDescent="0.2">
      <c r="A40138" s="258"/>
      <c r="Z40138" s="258"/>
    </row>
    <row r="40139" spans="1:26" ht="12.75" customHeight="1" x14ac:dyDescent="0.2">
      <c r="A40139" s="258"/>
      <c r="Z40139" s="258"/>
    </row>
    <row r="40140" spans="1:26" ht="12.75" customHeight="1" x14ac:dyDescent="0.2">
      <c r="A40140" s="258"/>
      <c r="Z40140" s="258"/>
    </row>
    <row r="40141" spans="1:26" ht="12.75" customHeight="1" x14ac:dyDescent="0.2">
      <c r="A40141" s="258"/>
      <c r="Z40141" s="258"/>
    </row>
    <row r="40142" spans="1:26" ht="12.75" customHeight="1" x14ac:dyDescent="0.2">
      <c r="A40142" s="258"/>
      <c r="Z40142" s="258"/>
    </row>
    <row r="40143" spans="1:26" ht="12.75" customHeight="1" x14ac:dyDescent="0.2">
      <c r="A40143" s="258"/>
      <c r="Z40143" s="258"/>
    </row>
    <row r="40144" spans="1:26" ht="12.75" customHeight="1" x14ac:dyDescent="0.2">
      <c r="A40144" s="258"/>
      <c r="Z40144" s="258"/>
    </row>
    <row r="40145" spans="1:26" ht="12.75" customHeight="1" x14ac:dyDescent="0.2">
      <c r="A40145" s="258"/>
      <c r="Z40145" s="258"/>
    </row>
    <row r="40146" spans="1:26" ht="12.75" customHeight="1" x14ac:dyDescent="0.2">
      <c r="A40146" s="258"/>
      <c r="Z40146" s="258"/>
    </row>
    <row r="40147" spans="1:26" ht="12.75" customHeight="1" x14ac:dyDescent="0.2">
      <c r="A40147" s="258"/>
      <c r="Z40147" s="258"/>
    </row>
    <row r="40148" spans="1:26" ht="12.75" customHeight="1" x14ac:dyDescent="0.2">
      <c r="A40148" s="258"/>
      <c r="Z40148" s="258"/>
    </row>
    <row r="40149" spans="1:26" ht="12.75" customHeight="1" x14ac:dyDescent="0.2">
      <c r="A40149" s="258"/>
      <c r="Z40149" s="258"/>
    </row>
    <row r="40150" spans="1:26" ht="12.75" customHeight="1" x14ac:dyDescent="0.2">
      <c r="A40150" s="258"/>
      <c r="Z40150" s="258"/>
    </row>
    <row r="40151" spans="1:26" ht="12.75" customHeight="1" x14ac:dyDescent="0.2">
      <c r="A40151" s="258"/>
      <c r="Z40151" s="258"/>
    </row>
    <row r="40152" spans="1:26" ht="12.75" customHeight="1" x14ac:dyDescent="0.2">
      <c r="A40152" s="258"/>
      <c r="Z40152" s="258"/>
    </row>
    <row r="40153" spans="1:26" ht="12.75" customHeight="1" x14ac:dyDescent="0.2">
      <c r="A40153" s="258"/>
      <c r="Z40153" s="258"/>
    </row>
    <row r="40154" spans="1:26" ht="12.75" customHeight="1" x14ac:dyDescent="0.2">
      <c r="A40154" s="258"/>
      <c r="Z40154" s="258"/>
    </row>
    <row r="40155" spans="1:26" ht="12.75" customHeight="1" x14ac:dyDescent="0.2">
      <c r="A40155" s="258"/>
      <c r="Z40155" s="258"/>
    </row>
    <row r="40156" spans="1:26" ht="12.75" customHeight="1" x14ac:dyDescent="0.2">
      <c r="A40156" s="258"/>
      <c r="Z40156" s="258"/>
    </row>
    <row r="40157" spans="1:26" ht="12.75" customHeight="1" x14ac:dyDescent="0.2">
      <c r="A40157" s="258"/>
      <c r="Z40157" s="258"/>
    </row>
    <row r="40158" spans="1:26" ht="12.75" customHeight="1" x14ac:dyDescent="0.2">
      <c r="A40158" s="258"/>
      <c r="Z40158" s="258"/>
    </row>
    <row r="40159" spans="1:26" ht="12.75" customHeight="1" x14ac:dyDescent="0.2">
      <c r="A40159" s="258"/>
      <c r="Z40159" s="258"/>
    </row>
    <row r="40160" spans="1:26" ht="12.75" customHeight="1" x14ac:dyDescent="0.2">
      <c r="A40160" s="258"/>
      <c r="Z40160" s="258"/>
    </row>
    <row r="40161" spans="1:26" ht="12.75" customHeight="1" x14ac:dyDescent="0.2">
      <c r="A40161" s="258"/>
      <c r="Z40161" s="258"/>
    </row>
    <row r="40162" spans="1:26" ht="12.75" customHeight="1" x14ac:dyDescent="0.2">
      <c r="A40162" s="258"/>
      <c r="Z40162" s="258"/>
    </row>
    <row r="40163" spans="1:26" ht="12.75" customHeight="1" x14ac:dyDescent="0.2">
      <c r="A40163" s="258"/>
      <c r="Z40163" s="258"/>
    </row>
    <row r="40164" spans="1:26" ht="12.75" customHeight="1" x14ac:dyDescent="0.2">
      <c r="A40164" s="258"/>
      <c r="Z40164" s="258"/>
    </row>
    <row r="40165" spans="1:26" ht="12.75" customHeight="1" x14ac:dyDescent="0.2">
      <c r="A40165" s="258"/>
      <c r="Z40165" s="258"/>
    </row>
    <row r="40166" spans="1:26" ht="12.75" customHeight="1" x14ac:dyDescent="0.2">
      <c r="A40166" s="258"/>
      <c r="Z40166" s="258"/>
    </row>
    <row r="40167" spans="1:26" ht="12.75" customHeight="1" x14ac:dyDescent="0.2">
      <c r="A40167" s="258"/>
      <c r="Z40167" s="258"/>
    </row>
    <row r="40168" spans="1:26" ht="12.75" customHeight="1" x14ac:dyDescent="0.2">
      <c r="A40168" s="258"/>
      <c r="Z40168" s="258"/>
    </row>
    <row r="40169" spans="1:26" ht="12.75" customHeight="1" x14ac:dyDescent="0.2">
      <c r="A40169" s="258"/>
      <c r="Z40169" s="258"/>
    </row>
    <row r="40170" spans="1:26" ht="12.75" customHeight="1" x14ac:dyDescent="0.2">
      <c r="A40170" s="258"/>
      <c r="Z40170" s="258"/>
    </row>
    <row r="40171" spans="1:26" ht="12.75" customHeight="1" x14ac:dyDescent="0.2">
      <c r="A40171" s="258"/>
      <c r="Z40171" s="258"/>
    </row>
    <row r="40172" spans="1:26" ht="12.75" customHeight="1" x14ac:dyDescent="0.2">
      <c r="A40172" s="258"/>
      <c r="Z40172" s="258"/>
    </row>
    <row r="40173" spans="1:26" ht="12.75" customHeight="1" x14ac:dyDescent="0.2">
      <c r="A40173" s="258"/>
      <c r="Z40173" s="258"/>
    </row>
    <row r="40174" spans="1:26" ht="12.75" customHeight="1" x14ac:dyDescent="0.2">
      <c r="A40174" s="258"/>
      <c r="Z40174" s="258"/>
    </row>
    <row r="40175" spans="1:26" ht="12.75" customHeight="1" x14ac:dyDescent="0.2">
      <c r="A40175" s="258"/>
      <c r="Z40175" s="258"/>
    </row>
    <row r="40176" spans="1:26" ht="12.75" customHeight="1" x14ac:dyDescent="0.2">
      <c r="A40176" s="258"/>
      <c r="Z40176" s="258"/>
    </row>
    <row r="40177" spans="1:26" ht="12.75" customHeight="1" x14ac:dyDescent="0.2">
      <c r="A40177" s="258"/>
      <c r="Z40177" s="258"/>
    </row>
    <row r="40178" spans="1:26" ht="12.75" customHeight="1" x14ac:dyDescent="0.2">
      <c r="A40178" s="258"/>
      <c r="Z40178" s="258"/>
    </row>
    <row r="40179" spans="1:26" ht="12.75" customHeight="1" x14ac:dyDescent="0.2">
      <c r="A40179" s="258"/>
      <c r="Z40179" s="258"/>
    </row>
    <row r="40180" spans="1:26" ht="12.75" customHeight="1" x14ac:dyDescent="0.2">
      <c r="A40180" s="258"/>
      <c r="Z40180" s="258"/>
    </row>
    <row r="40181" spans="1:26" ht="12.75" customHeight="1" x14ac:dyDescent="0.2">
      <c r="A40181" s="258"/>
      <c r="Z40181" s="258"/>
    </row>
    <row r="40182" spans="1:26" ht="12.75" customHeight="1" x14ac:dyDescent="0.2">
      <c r="A40182" s="258"/>
      <c r="Z40182" s="258"/>
    </row>
    <row r="40183" spans="1:26" ht="12.75" customHeight="1" x14ac:dyDescent="0.2">
      <c r="A40183" s="258"/>
      <c r="Z40183" s="258"/>
    </row>
    <row r="40184" spans="1:26" ht="12.75" customHeight="1" x14ac:dyDescent="0.2">
      <c r="A40184" s="258"/>
      <c r="Z40184" s="258"/>
    </row>
    <row r="40185" spans="1:26" ht="12.75" customHeight="1" x14ac:dyDescent="0.2">
      <c r="A40185" s="258"/>
      <c r="Z40185" s="258"/>
    </row>
    <row r="40186" spans="1:26" ht="12.75" customHeight="1" x14ac:dyDescent="0.2">
      <c r="A40186" s="258"/>
      <c r="Z40186" s="258"/>
    </row>
    <row r="40187" spans="1:26" ht="12.75" customHeight="1" x14ac:dyDescent="0.2">
      <c r="A40187" s="258"/>
      <c r="Z40187" s="258"/>
    </row>
    <row r="40188" spans="1:26" ht="12.75" customHeight="1" x14ac:dyDescent="0.2">
      <c r="A40188" s="258"/>
      <c r="Z40188" s="258"/>
    </row>
    <row r="40189" spans="1:26" ht="12.75" customHeight="1" x14ac:dyDescent="0.2">
      <c r="A40189" s="258"/>
      <c r="Z40189" s="258"/>
    </row>
    <row r="40190" spans="1:26" ht="12.75" customHeight="1" x14ac:dyDescent="0.2">
      <c r="A40190" s="258"/>
      <c r="Z40190" s="258"/>
    </row>
    <row r="40191" spans="1:26" ht="12.75" customHeight="1" x14ac:dyDescent="0.2">
      <c r="A40191" s="258"/>
      <c r="Z40191" s="258"/>
    </row>
    <row r="40192" spans="1:26" ht="12.75" customHeight="1" x14ac:dyDescent="0.2">
      <c r="A40192" s="258"/>
      <c r="Z40192" s="258"/>
    </row>
    <row r="40193" spans="1:26" ht="12.75" customHeight="1" x14ac:dyDescent="0.2">
      <c r="A40193" s="258"/>
      <c r="Z40193" s="258"/>
    </row>
    <row r="40194" spans="1:26" ht="12.75" customHeight="1" x14ac:dyDescent="0.2">
      <c r="A40194" s="258"/>
      <c r="Z40194" s="258"/>
    </row>
    <row r="40195" spans="1:26" ht="12.75" customHeight="1" x14ac:dyDescent="0.2">
      <c r="A40195" s="258"/>
      <c r="Z40195" s="258"/>
    </row>
    <row r="40196" spans="1:26" ht="12.75" customHeight="1" x14ac:dyDescent="0.2">
      <c r="A40196" s="258"/>
      <c r="Z40196" s="258"/>
    </row>
    <row r="40197" spans="1:26" ht="12.75" customHeight="1" x14ac:dyDescent="0.2">
      <c r="A40197" s="258"/>
      <c r="Z40197" s="258"/>
    </row>
    <row r="40198" spans="1:26" ht="12.75" customHeight="1" x14ac:dyDescent="0.2">
      <c r="A40198" s="258"/>
      <c r="Z40198" s="258"/>
    </row>
    <row r="40199" spans="1:26" ht="12.75" customHeight="1" x14ac:dyDescent="0.2">
      <c r="A40199" s="258"/>
      <c r="Z40199" s="258"/>
    </row>
    <row r="40200" spans="1:26" ht="12.75" customHeight="1" x14ac:dyDescent="0.2">
      <c r="A40200" s="258"/>
      <c r="Z40200" s="258"/>
    </row>
    <row r="40201" spans="1:26" ht="12.75" customHeight="1" x14ac:dyDescent="0.2">
      <c r="A40201" s="258"/>
      <c r="Z40201" s="258"/>
    </row>
    <row r="40202" spans="1:26" ht="12.75" customHeight="1" x14ac:dyDescent="0.2">
      <c r="A40202" s="258"/>
      <c r="Z40202" s="258"/>
    </row>
    <row r="40203" spans="1:26" ht="12.75" customHeight="1" x14ac:dyDescent="0.2">
      <c r="A40203" s="258"/>
      <c r="Z40203" s="258"/>
    </row>
    <row r="40204" spans="1:26" ht="12.75" customHeight="1" x14ac:dyDescent="0.2">
      <c r="A40204" s="258"/>
      <c r="Z40204" s="258"/>
    </row>
    <row r="40205" spans="1:26" ht="12.75" customHeight="1" x14ac:dyDescent="0.2">
      <c r="A40205" s="258"/>
      <c r="Z40205" s="258"/>
    </row>
    <row r="40206" spans="1:26" ht="12.75" customHeight="1" x14ac:dyDescent="0.2">
      <c r="A40206" s="258"/>
      <c r="Z40206" s="258"/>
    </row>
    <row r="40207" spans="1:26" ht="12.75" customHeight="1" x14ac:dyDescent="0.2">
      <c r="A40207" s="258"/>
      <c r="Z40207" s="258"/>
    </row>
    <row r="40208" spans="1:26" ht="12.75" customHeight="1" x14ac:dyDescent="0.2">
      <c r="A40208" s="258"/>
      <c r="Z40208" s="258"/>
    </row>
    <row r="40209" spans="1:26" ht="12.75" customHeight="1" x14ac:dyDescent="0.2">
      <c r="A40209" s="258"/>
      <c r="Z40209" s="258"/>
    </row>
    <row r="40210" spans="1:26" ht="12.75" customHeight="1" x14ac:dyDescent="0.2">
      <c r="A40210" s="258"/>
      <c r="Z40210" s="258"/>
    </row>
    <row r="40211" spans="1:26" ht="12.75" customHeight="1" x14ac:dyDescent="0.2">
      <c r="A40211" s="258"/>
      <c r="Z40211" s="258"/>
    </row>
    <row r="40212" spans="1:26" ht="12.75" customHeight="1" x14ac:dyDescent="0.2">
      <c r="A40212" s="258"/>
      <c r="Z40212" s="258"/>
    </row>
    <row r="40213" spans="1:26" ht="12.75" customHeight="1" x14ac:dyDescent="0.2">
      <c r="A40213" s="258"/>
      <c r="Z40213" s="258"/>
    </row>
    <row r="40214" spans="1:26" ht="12.75" customHeight="1" x14ac:dyDescent="0.2">
      <c r="A40214" s="258"/>
      <c r="Z40214" s="258"/>
    </row>
    <row r="40215" spans="1:26" ht="12.75" customHeight="1" x14ac:dyDescent="0.2">
      <c r="A40215" s="258"/>
      <c r="Z40215" s="258"/>
    </row>
    <row r="40216" spans="1:26" ht="12.75" customHeight="1" x14ac:dyDescent="0.2">
      <c r="A40216" s="258"/>
      <c r="Z40216" s="258"/>
    </row>
    <row r="40217" spans="1:26" ht="12.75" customHeight="1" x14ac:dyDescent="0.2">
      <c r="A40217" s="258"/>
      <c r="Z40217" s="258"/>
    </row>
    <row r="40218" spans="1:26" ht="12.75" customHeight="1" x14ac:dyDescent="0.2">
      <c r="A40218" s="258"/>
      <c r="Z40218" s="258"/>
    </row>
    <row r="40219" spans="1:26" ht="12.75" customHeight="1" x14ac:dyDescent="0.2">
      <c r="A40219" s="258"/>
      <c r="Z40219" s="258"/>
    </row>
    <row r="40220" spans="1:26" ht="12.75" customHeight="1" x14ac:dyDescent="0.2">
      <c r="A40220" s="258"/>
      <c r="Z40220" s="258"/>
    </row>
    <row r="40221" spans="1:26" ht="12.75" customHeight="1" x14ac:dyDescent="0.2">
      <c r="A40221" s="258"/>
      <c r="Z40221" s="258"/>
    </row>
    <row r="40222" spans="1:26" ht="12.75" customHeight="1" x14ac:dyDescent="0.2">
      <c r="A40222" s="258"/>
      <c r="Z40222" s="258"/>
    </row>
    <row r="40223" spans="1:26" ht="12.75" customHeight="1" x14ac:dyDescent="0.2">
      <c r="A40223" s="258"/>
      <c r="Z40223" s="258"/>
    </row>
    <row r="40224" spans="1:26" ht="12.75" customHeight="1" x14ac:dyDescent="0.2">
      <c r="A40224" s="258"/>
      <c r="Z40224" s="258"/>
    </row>
    <row r="40225" spans="1:26" ht="12.75" customHeight="1" x14ac:dyDescent="0.2">
      <c r="A40225" s="258"/>
      <c r="Z40225" s="258"/>
    </row>
    <row r="40226" spans="1:26" ht="12.75" customHeight="1" x14ac:dyDescent="0.2">
      <c r="A40226" s="258"/>
      <c r="Z40226" s="258"/>
    </row>
    <row r="40227" spans="1:26" ht="12.75" customHeight="1" x14ac:dyDescent="0.2">
      <c r="A40227" s="258"/>
      <c r="Z40227" s="258"/>
    </row>
    <row r="40228" spans="1:26" ht="12.75" customHeight="1" x14ac:dyDescent="0.2">
      <c r="A40228" s="258"/>
      <c r="Z40228" s="258"/>
    </row>
    <row r="40229" spans="1:26" ht="12.75" customHeight="1" x14ac:dyDescent="0.2">
      <c r="A40229" s="258"/>
      <c r="Z40229" s="258"/>
    </row>
    <row r="40230" spans="1:26" ht="12.75" customHeight="1" x14ac:dyDescent="0.2">
      <c r="A40230" s="258"/>
      <c r="Z40230" s="258"/>
    </row>
    <row r="40231" spans="1:26" ht="12.75" customHeight="1" x14ac:dyDescent="0.2">
      <c r="A40231" s="258"/>
      <c r="Z40231" s="258"/>
    </row>
    <row r="40232" spans="1:26" ht="12.75" customHeight="1" x14ac:dyDescent="0.2">
      <c r="A40232" s="258"/>
      <c r="Z40232" s="258"/>
    </row>
    <row r="40233" spans="1:26" ht="12.75" customHeight="1" x14ac:dyDescent="0.2">
      <c r="A40233" s="258"/>
      <c r="Z40233" s="258"/>
    </row>
    <row r="40234" spans="1:26" ht="12.75" customHeight="1" x14ac:dyDescent="0.2">
      <c r="A40234" s="258"/>
      <c r="Z40234" s="258"/>
    </row>
    <row r="40235" spans="1:26" ht="12.75" customHeight="1" x14ac:dyDescent="0.2">
      <c r="A40235" s="258"/>
      <c r="Z40235" s="258"/>
    </row>
    <row r="40236" spans="1:26" ht="12.75" customHeight="1" x14ac:dyDescent="0.2">
      <c r="A40236" s="258"/>
      <c r="Z40236" s="258"/>
    </row>
    <row r="40237" spans="1:26" ht="12.75" customHeight="1" x14ac:dyDescent="0.2">
      <c r="A40237" s="258"/>
      <c r="Z40237" s="258"/>
    </row>
    <row r="40238" spans="1:26" ht="12.75" customHeight="1" x14ac:dyDescent="0.2">
      <c r="A40238" s="258"/>
      <c r="Z40238" s="258"/>
    </row>
    <row r="40239" spans="1:26" ht="12.75" customHeight="1" x14ac:dyDescent="0.2">
      <c r="A40239" s="258"/>
      <c r="Z40239" s="258"/>
    </row>
    <row r="40240" spans="1:26" ht="12.75" customHeight="1" x14ac:dyDescent="0.2">
      <c r="A40240" s="258"/>
      <c r="Z40240" s="258"/>
    </row>
    <row r="40241" spans="1:26" ht="12.75" customHeight="1" x14ac:dyDescent="0.2">
      <c r="A40241" s="258"/>
      <c r="Z40241" s="258"/>
    </row>
    <row r="40242" spans="1:26" ht="12.75" customHeight="1" x14ac:dyDescent="0.2">
      <c r="A40242" s="258"/>
      <c r="Z40242" s="258"/>
    </row>
    <row r="40243" spans="1:26" ht="12.75" customHeight="1" x14ac:dyDescent="0.2">
      <c r="A40243" s="258"/>
      <c r="Z40243" s="258"/>
    </row>
    <row r="40244" spans="1:26" ht="12.75" customHeight="1" x14ac:dyDescent="0.2">
      <c r="A40244" s="258"/>
      <c r="Z40244" s="258"/>
    </row>
    <row r="40245" spans="1:26" ht="12.75" customHeight="1" x14ac:dyDescent="0.2">
      <c r="A40245" s="258"/>
      <c r="Z40245" s="258"/>
    </row>
    <row r="40246" spans="1:26" ht="12.75" customHeight="1" x14ac:dyDescent="0.2">
      <c r="A40246" s="258"/>
      <c r="Z40246" s="258"/>
    </row>
    <row r="40247" spans="1:26" ht="12.75" customHeight="1" x14ac:dyDescent="0.2">
      <c r="A40247" s="258"/>
      <c r="Z40247" s="258"/>
    </row>
    <row r="40248" spans="1:26" ht="12.75" customHeight="1" x14ac:dyDescent="0.2">
      <c r="A40248" s="258"/>
      <c r="Z40248" s="258"/>
    </row>
    <row r="40249" spans="1:26" ht="12.75" customHeight="1" x14ac:dyDescent="0.2">
      <c r="A40249" s="258"/>
      <c r="Z40249" s="258"/>
    </row>
    <row r="40250" spans="1:26" ht="12.75" customHeight="1" x14ac:dyDescent="0.2">
      <c r="A40250" s="258"/>
      <c r="Z40250" s="258"/>
    </row>
    <row r="40251" spans="1:26" ht="12.75" customHeight="1" x14ac:dyDescent="0.2">
      <c r="A40251" s="258"/>
      <c r="Z40251" s="258"/>
    </row>
    <row r="40252" spans="1:26" ht="12.75" customHeight="1" x14ac:dyDescent="0.2">
      <c r="A40252" s="258"/>
      <c r="Z40252" s="258"/>
    </row>
    <row r="40253" spans="1:26" ht="12.75" customHeight="1" x14ac:dyDescent="0.2">
      <c r="A40253" s="258"/>
      <c r="Z40253" s="258"/>
    </row>
    <row r="40254" spans="1:26" ht="12.75" customHeight="1" x14ac:dyDescent="0.2">
      <c r="A40254" s="258"/>
      <c r="Z40254" s="258"/>
    </row>
    <row r="40255" spans="1:26" ht="12.75" customHeight="1" x14ac:dyDescent="0.2">
      <c r="A40255" s="258"/>
      <c r="Z40255" s="258"/>
    </row>
    <row r="40256" spans="1:26" ht="12.75" customHeight="1" x14ac:dyDescent="0.2">
      <c r="A40256" s="258"/>
      <c r="Z40256" s="258"/>
    </row>
    <row r="40257" spans="1:26" ht="12.75" customHeight="1" x14ac:dyDescent="0.2">
      <c r="A40257" s="258"/>
      <c r="Z40257" s="258"/>
    </row>
    <row r="40258" spans="1:26" ht="12.75" customHeight="1" x14ac:dyDescent="0.2">
      <c r="A40258" s="258"/>
      <c r="Z40258" s="258"/>
    </row>
    <row r="40259" spans="1:26" ht="12.75" customHeight="1" x14ac:dyDescent="0.2">
      <c r="A40259" s="258"/>
      <c r="Z40259" s="258"/>
    </row>
    <row r="40260" spans="1:26" ht="12.75" customHeight="1" x14ac:dyDescent="0.2">
      <c r="A40260" s="258"/>
      <c r="Z40260" s="258"/>
    </row>
    <row r="40261" spans="1:26" ht="12.75" customHeight="1" x14ac:dyDescent="0.2">
      <c r="A40261" s="258"/>
      <c r="Z40261" s="258"/>
    </row>
    <row r="40262" spans="1:26" ht="12.75" customHeight="1" x14ac:dyDescent="0.2">
      <c r="A40262" s="258"/>
      <c r="Z40262" s="258"/>
    </row>
    <row r="40263" spans="1:26" ht="12.75" customHeight="1" x14ac:dyDescent="0.2">
      <c r="A40263" s="258"/>
      <c r="Z40263" s="258"/>
    </row>
    <row r="40264" spans="1:26" ht="12.75" customHeight="1" x14ac:dyDescent="0.2">
      <c r="A40264" s="258"/>
      <c r="Z40264" s="258"/>
    </row>
    <row r="40265" spans="1:26" ht="12.75" customHeight="1" x14ac:dyDescent="0.2">
      <c r="A40265" s="258"/>
      <c r="Z40265" s="258"/>
    </row>
    <row r="40266" spans="1:26" ht="12.75" customHeight="1" x14ac:dyDescent="0.2">
      <c r="A40266" s="258"/>
      <c r="Z40266" s="258"/>
    </row>
    <row r="40267" spans="1:26" ht="12.75" customHeight="1" x14ac:dyDescent="0.2">
      <c r="A40267" s="258"/>
      <c r="Z40267" s="258"/>
    </row>
    <row r="40268" spans="1:26" ht="12.75" customHeight="1" x14ac:dyDescent="0.2">
      <c r="A40268" s="258"/>
      <c r="Z40268" s="258"/>
    </row>
    <row r="40269" spans="1:26" ht="12.75" customHeight="1" x14ac:dyDescent="0.2">
      <c r="A40269" s="258"/>
      <c r="Z40269" s="258"/>
    </row>
    <row r="40270" spans="1:26" ht="12.75" customHeight="1" x14ac:dyDescent="0.2">
      <c r="A40270" s="258"/>
      <c r="Z40270" s="258"/>
    </row>
    <row r="40271" spans="1:26" ht="12.75" customHeight="1" x14ac:dyDescent="0.2">
      <c r="A40271" s="258"/>
      <c r="Z40271" s="258"/>
    </row>
    <row r="40272" spans="1:26" ht="12.75" customHeight="1" x14ac:dyDescent="0.2">
      <c r="A40272" s="258"/>
      <c r="Z40272" s="258"/>
    </row>
    <row r="40273" spans="1:26" ht="12.75" customHeight="1" x14ac:dyDescent="0.2">
      <c r="A40273" s="258"/>
      <c r="Z40273" s="258"/>
    </row>
    <row r="40274" spans="1:26" ht="12.75" customHeight="1" x14ac:dyDescent="0.2">
      <c r="A40274" s="258"/>
      <c r="Z40274" s="258"/>
    </row>
    <row r="40275" spans="1:26" ht="12.75" customHeight="1" x14ac:dyDescent="0.2">
      <c r="A40275" s="258"/>
      <c r="Z40275" s="258"/>
    </row>
    <row r="40276" spans="1:26" ht="12.75" customHeight="1" x14ac:dyDescent="0.2">
      <c r="A40276" s="258"/>
      <c r="Z40276" s="258"/>
    </row>
    <row r="40277" spans="1:26" ht="12.75" customHeight="1" x14ac:dyDescent="0.2">
      <c r="A40277" s="258"/>
      <c r="Z40277" s="258"/>
    </row>
    <row r="40278" spans="1:26" ht="12.75" customHeight="1" x14ac:dyDescent="0.2">
      <c r="A40278" s="258"/>
      <c r="Z40278" s="258"/>
    </row>
    <row r="40279" spans="1:26" ht="12.75" customHeight="1" x14ac:dyDescent="0.2">
      <c r="A40279" s="258"/>
      <c r="Z40279" s="258"/>
    </row>
    <row r="40280" spans="1:26" ht="12.75" customHeight="1" x14ac:dyDescent="0.2">
      <c r="A40280" s="258"/>
      <c r="Z40280" s="258"/>
    </row>
    <row r="40281" spans="1:26" ht="12.75" customHeight="1" x14ac:dyDescent="0.2">
      <c r="A40281" s="258"/>
      <c r="Z40281" s="258"/>
    </row>
    <row r="40282" spans="1:26" ht="12.75" customHeight="1" x14ac:dyDescent="0.2">
      <c r="A40282" s="258"/>
      <c r="Z40282" s="258"/>
    </row>
    <row r="40283" spans="1:26" ht="12.75" customHeight="1" x14ac:dyDescent="0.2">
      <c r="A40283" s="258"/>
      <c r="Z40283" s="258"/>
    </row>
    <row r="40284" spans="1:26" ht="12.75" customHeight="1" x14ac:dyDescent="0.2">
      <c r="A40284" s="258"/>
      <c r="Z40284" s="258"/>
    </row>
    <row r="40285" spans="1:26" ht="12.75" customHeight="1" x14ac:dyDescent="0.2">
      <c r="A40285" s="258"/>
      <c r="Z40285" s="258"/>
    </row>
    <row r="40286" spans="1:26" ht="12.75" customHeight="1" x14ac:dyDescent="0.2">
      <c r="A40286" s="258"/>
      <c r="Z40286" s="258"/>
    </row>
    <row r="40287" spans="1:26" ht="12.75" customHeight="1" x14ac:dyDescent="0.2">
      <c r="A40287" s="258"/>
      <c r="Z40287" s="258"/>
    </row>
    <row r="40288" spans="1:26" ht="12.75" customHeight="1" x14ac:dyDescent="0.2">
      <c r="A40288" s="258"/>
      <c r="Z40288" s="258"/>
    </row>
    <row r="40289" spans="1:26" ht="12.75" customHeight="1" x14ac:dyDescent="0.2">
      <c r="A40289" s="258"/>
      <c r="Z40289" s="258"/>
    </row>
    <row r="40290" spans="1:26" ht="12.75" customHeight="1" x14ac:dyDescent="0.2">
      <c r="A40290" s="258"/>
      <c r="Z40290" s="258"/>
    </row>
    <row r="40291" spans="1:26" ht="12.75" customHeight="1" x14ac:dyDescent="0.2">
      <c r="A40291" s="258"/>
      <c r="Z40291" s="258"/>
    </row>
    <row r="40292" spans="1:26" ht="12.75" customHeight="1" x14ac:dyDescent="0.2">
      <c r="A40292" s="258"/>
      <c r="Z40292" s="258"/>
    </row>
    <row r="40293" spans="1:26" ht="12.75" customHeight="1" x14ac:dyDescent="0.2">
      <c r="A40293" s="258"/>
      <c r="Z40293" s="258"/>
    </row>
    <row r="40294" spans="1:26" ht="12.75" customHeight="1" x14ac:dyDescent="0.2">
      <c r="A40294" s="258"/>
      <c r="Z40294" s="258"/>
    </row>
    <row r="40295" spans="1:26" ht="12.75" customHeight="1" x14ac:dyDescent="0.2">
      <c r="A40295" s="258"/>
      <c r="Z40295" s="258"/>
    </row>
    <row r="40296" spans="1:26" ht="12.75" customHeight="1" x14ac:dyDescent="0.2">
      <c r="A40296" s="258"/>
      <c r="Z40296" s="258"/>
    </row>
    <row r="40297" spans="1:26" ht="12.75" customHeight="1" x14ac:dyDescent="0.2">
      <c r="A40297" s="258"/>
      <c r="Z40297" s="258"/>
    </row>
    <row r="40298" spans="1:26" ht="12.75" customHeight="1" x14ac:dyDescent="0.2">
      <c r="A40298" s="258"/>
      <c r="Z40298" s="258"/>
    </row>
    <row r="40299" spans="1:26" ht="12.75" customHeight="1" x14ac:dyDescent="0.2">
      <c r="A40299" s="258"/>
      <c r="Z40299" s="258"/>
    </row>
    <row r="40300" spans="1:26" ht="12.75" customHeight="1" x14ac:dyDescent="0.2">
      <c r="A40300" s="258"/>
      <c r="Z40300" s="258"/>
    </row>
    <row r="40301" spans="1:26" ht="12.75" customHeight="1" x14ac:dyDescent="0.2">
      <c r="A40301" s="258"/>
      <c r="Z40301" s="258"/>
    </row>
    <row r="40302" spans="1:26" ht="12.75" customHeight="1" x14ac:dyDescent="0.2">
      <c r="A40302" s="258"/>
      <c r="Z40302" s="258"/>
    </row>
    <row r="40303" spans="1:26" ht="12.75" customHeight="1" x14ac:dyDescent="0.2">
      <c r="A40303" s="258"/>
      <c r="Z40303" s="258"/>
    </row>
    <row r="40304" spans="1:26" ht="12.75" customHeight="1" x14ac:dyDescent="0.2">
      <c r="A40304" s="258"/>
      <c r="Z40304" s="258"/>
    </row>
    <row r="40305" spans="1:26" ht="12.75" customHeight="1" x14ac:dyDescent="0.2">
      <c r="A40305" s="258"/>
      <c r="Z40305" s="258"/>
    </row>
    <row r="40306" spans="1:26" ht="12.75" customHeight="1" x14ac:dyDescent="0.2">
      <c r="A40306" s="258"/>
      <c r="Z40306" s="258"/>
    </row>
    <row r="40307" spans="1:26" ht="12.75" customHeight="1" x14ac:dyDescent="0.2">
      <c r="A40307" s="258"/>
      <c r="Z40307" s="258"/>
    </row>
    <row r="40308" spans="1:26" ht="12.75" customHeight="1" x14ac:dyDescent="0.2">
      <c r="A40308" s="258"/>
      <c r="Z40308" s="258"/>
    </row>
    <row r="40309" spans="1:26" ht="12.75" customHeight="1" x14ac:dyDescent="0.2">
      <c r="A40309" s="258"/>
      <c r="Z40309" s="258"/>
    </row>
    <row r="40310" spans="1:26" ht="12.75" customHeight="1" x14ac:dyDescent="0.2">
      <c r="A40310" s="258"/>
      <c r="Z40310" s="258"/>
    </row>
    <row r="40311" spans="1:26" ht="12.75" customHeight="1" x14ac:dyDescent="0.2">
      <c r="A40311" s="258"/>
      <c r="Z40311" s="258"/>
    </row>
    <row r="40312" spans="1:26" ht="12.75" customHeight="1" x14ac:dyDescent="0.2">
      <c r="A40312" s="258"/>
      <c r="Z40312" s="258"/>
    </row>
    <row r="40313" spans="1:26" ht="12.75" customHeight="1" x14ac:dyDescent="0.2">
      <c r="A40313" s="258"/>
      <c r="Z40313" s="258"/>
    </row>
    <row r="40314" spans="1:26" ht="12.75" customHeight="1" x14ac:dyDescent="0.2">
      <c r="A40314" s="258"/>
      <c r="Z40314" s="258"/>
    </row>
    <row r="40315" spans="1:26" ht="12.75" customHeight="1" x14ac:dyDescent="0.2">
      <c r="A40315" s="258"/>
      <c r="Z40315" s="258"/>
    </row>
    <row r="40316" spans="1:26" ht="12.75" customHeight="1" x14ac:dyDescent="0.2">
      <c r="A40316" s="258"/>
      <c r="Z40316" s="258"/>
    </row>
    <row r="40317" spans="1:26" ht="12.75" customHeight="1" x14ac:dyDescent="0.2">
      <c r="A40317" s="258"/>
      <c r="Z40317" s="258"/>
    </row>
    <row r="40318" spans="1:26" ht="12.75" customHeight="1" x14ac:dyDescent="0.2">
      <c r="A40318" s="258"/>
      <c r="Z40318" s="258"/>
    </row>
    <row r="40319" spans="1:26" ht="12.75" customHeight="1" x14ac:dyDescent="0.2">
      <c r="A40319" s="258"/>
      <c r="Z40319" s="258"/>
    </row>
    <row r="40320" spans="1:26" ht="12.75" customHeight="1" x14ac:dyDescent="0.2">
      <c r="A40320" s="258"/>
      <c r="Z40320" s="258"/>
    </row>
    <row r="40321" spans="1:26" ht="12.75" customHeight="1" x14ac:dyDescent="0.2">
      <c r="A40321" s="258"/>
      <c r="Z40321" s="258"/>
    </row>
    <row r="40322" spans="1:26" ht="12.75" customHeight="1" x14ac:dyDescent="0.2">
      <c r="A40322" s="258"/>
      <c r="Z40322" s="258"/>
    </row>
    <row r="40323" spans="1:26" ht="12.75" customHeight="1" x14ac:dyDescent="0.2">
      <c r="A40323" s="258"/>
      <c r="Z40323" s="258"/>
    </row>
    <row r="40324" spans="1:26" ht="12.75" customHeight="1" x14ac:dyDescent="0.2">
      <c r="A40324" s="258"/>
      <c r="Z40324" s="258"/>
    </row>
    <row r="40325" spans="1:26" ht="12.75" customHeight="1" x14ac:dyDescent="0.2">
      <c r="A40325" s="258"/>
      <c r="Z40325" s="258"/>
    </row>
    <row r="40326" spans="1:26" ht="12.75" customHeight="1" x14ac:dyDescent="0.2">
      <c r="A40326" s="258"/>
      <c r="Z40326" s="258"/>
    </row>
    <row r="40327" spans="1:26" ht="12.75" customHeight="1" x14ac:dyDescent="0.2">
      <c r="A40327" s="258"/>
      <c r="Z40327" s="258"/>
    </row>
    <row r="40328" spans="1:26" ht="12.75" customHeight="1" x14ac:dyDescent="0.2">
      <c r="A40328" s="258"/>
      <c r="Z40328" s="258"/>
    </row>
    <row r="40329" spans="1:26" ht="12.75" customHeight="1" x14ac:dyDescent="0.2">
      <c r="A40329" s="258"/>
      <c r="Z40329" s="258"/>
    </row>
    <row r="40330" spans="1:26" ht="12.75" customHeight="1" x14ac:dyDescent="0.2">
      <c r="A40330" s="258"/>
      <c r="Z40330" s="258"/>
    </row>
    <row r="40331" spans="1:26" ht="12.75" customHeight="1" x14ac:dyDescent="0.2">
      <c r="A40331" s="258"/>
      <c r="Z40331" s="258"/>
    </row>
    <row r="40332" spans="1:26" ht="12.75" customHeight="1" x14ac:dyDescent="0.2">
      <c r="A40332" s="258"/>
      <c r="Z40332" s="258"/>
    </row>
    <row r="40333" spans="1:26" ht="12.75" customHeight="1" x14ac:dyDescent="0.2">
      <c r="A40333" s="258"/>
      <c r="Z40333" s="258"/>
    </row>
    <row r="40334" spans="1:26" ht="12.75" customHeight="1" x14ac:dyDescent="0.2">
      <c r="A40334" s="258"/>
      <c r="Z40334" s="258"/>
    </row>
    <row r="40335" spans="1:26" ht="12.75" customHeight="1" x14ac:dyDescent="0.2">
      <c r="A40335" s="258"/>
      <c r="Z40335" s="258"/>
    </row>
    <row r="40336" spans="1:26" ht="12.75" customHeight="1" x14ac:dyDescent="0.2">
      <c r="A40336" s="258"/>
      <c r="Z40336" s="258"/>
    </row>
    <row r="40337" spans="1:26" ht="12.75" customHeight="1" x14ac:dyDescent="0.2">
      <c r="A40337" s="258"/>
      <c r="Z40337" s="258"/>
    </row>
    <row r="40338" spans="1:26" ht="12.75" customHeight="1" x14ac:dyDescent="0.2">
      <c r="A40338" s="258"/>
      <c r="Z40338" s="258"/>
    </row>
    <row r="40339" spans="1:26" ht="12.75" customHeight="1" x14ac:dyDescent="0.2">
      <c r="A40339" s="258"/>
      <c r="Z40339" s="258"/>
    </row>
    <row r="40340" spans="1:26" ht="12.75" customHeight="1" x14ac:dyDescent="0.2">
      <c r="A40340" s="258"/>
      <c r="Z40340" s="258"/>
    </row>
    <row r="40341" spans="1:26" ht="12.75" customHeight="1" x14ac:dyDescent="0.2">
      <c r="A40341" s="258"/>
      <c r="Z40341" s="258"/>
    </row>
    <row r="40342" spans="1:26" ht="12.75" customHeight="1" x14ac:dyDescent="0.2">
      <c r="A40342" s="258"/>
      <c r="Z40342" s="258"/>
    </row>
    <row r="40343" spans="1:26" ht="12.75" customHeight="1" x14ac:dyDescent="0.2">
      <c r="A40343" s="258"/>
      <c r="Z40343" s="258"/>
    </row>
    <row r="40344" spans="1:26" ht="12.75" customHeight="1" x14ac:dyDescent="0.2">
      <c r="A40344" s="258"/>
      <c r="Z40344" s="258"/>
    </row>
    <row r="40345" spans="1:26" ht="12.75" customHeight="1" x14ac:dyDescent="0.2">
      <c r="A40345" s="258"/>
      <c r="Z40345" s="258"/>
    </row>
    <row r="40346" spans="1:26" ht="12.75" customHeight="1" x14ac:dyDescent="0.2">
      <c r="A40346" s="258"/>
      <c r="Z40346" s="258"/>
    </row>
    <row r="40347" spans="1:26" ht="12.75" customHeight="1" x14ac:dyDescent="0.2">
      <c r="A40347" s="258"/>
      <c r="Z40347" s="258"/>
    </row>
    <row r="40348" spans="1:26" ht="12.75" customHeight="1" x14ac:dyDescent="0.2">
      <c r="A40348" s="258"/>
      <c r="Z40348" s="258"/>
    </row>
    <row r="40349" spans="1:26" ht="12.75" customHeight="1" x14ac:dyDescent="0.2">
      <c r="A40349" s="258"/>
      <c r="Z40349" s="258"/>
    </row>
    <row r="40350" spans="1:26" ht="12.75" customHeight="1" x14ac:dyDescent="0.2">
      <c r="A40350" s="258"/>
      <c r="Z40350" s="258"/>
    </row>
    <row r="40351" spans="1:26" ht="12.75" customHeight="1" x14ac:dyDescent="0.2">
      <c r="A40351" s="258"/>
      <c r="Z40351" s="258"/>
    </row>
    <row r="40352" spans="1:26" ht="12.75" customHeight="1" x14ac:dyDescent="0.2">
      <c r="A40352" s="258"/>
      <c r="Z40352" s="258"/>
    </row>
    <row r="40353" spans="1:26" ht="12.75" customHeight="1" x14ac:dyDescent="0.2">
      <c r="A40353" s="258"/>
      <c r="Z40353" s="258"/>
    </row>
    <row r="40354" spans="1:26" ht="12.75" customHeight="1" x14ac:dyDescent="0.2">
      <c r="A40354" s="258"/>
      <c r="Z40354" s="258"/>
    </row>
    <row r="40355" spans="1:26" ht="12.75" customHeight="1" x14ac:dyDescent="0.2">
      <c r="A40355" s="258"/>
      <c r="Z40355" s="258"/>
    </row>
    <row r="40356" spans="1:26" ht="12.75" customHeight="1" x14ac:dyDescent="0.2">
      <c r="A40356" s="258"/>
      <c r="Z40356" s="258"/>
    </row>
    <row r="40357" spans="1:26" ht="12.75" customHeight="1" x14ac:dyDescent="0.2">
      <c r="A40357" s="258"/>
      <c r="Z40357" s="258"/>
    </row>
    <row r="40358" spans="1:26" ht="12.75" customHeight="1" x14ac:dyDescent="0.2">
      <c r="A40358" s="258"/>
      <c r="Z40358" s="258"/>
    </row>
    <row r="40359" spans="1:26" ht="12.75" customHeight="1" x14ac:dyDescent="0.2">
      <c r="A40359" s="258"/>
      <c r="Z40359" s="258"/>
    </row>
    <row r="40360" spans="1:26" ht="12.75" customHeight="1" x14ac:dyDescent="0.2">
      <c r="A40360" s="258"/>
      <c r="Z40360" s="258"/>
    </row>
    <row r="40361" spans="1:26" ht="12.75" customHeight="1" x14ac:dyDescent="0.2">
      <c r="A40361" s="258"/>
      <c r="Z40361" s="258"/>
    </row>
    <row r="40362" spans="1:26" ht="12.75" customHeight="1" x14ac:dyDescent="0.2">
      <c r="A40362" s="258"/>
      <c r="Z40362" s="258"/>
    </row>
    <row r="40363" spans="1:26" ht="12.75" customHeight="1" x14ac:dyDescent="0.2">
      <c r="A40363" s="258"/>
      <c r="Z40363" s="258"/>
    </row>
    <row r="40364" spans="1:26" ht="12.75" customHeight="1" x14ac:dyDescent="0.2">
      <c r="A40364" s="258"/>
      <c r="Z40364" s="258"/>
    </row>
    <row r="40365" spans="1:26" ht="12.75" customHeight="1" x14ac:dyDescent="0.2">
      <c r="A40365" s="258"/>
      <c r="Z40365" s="258"/>
    </row>
    <row r="40366" spans="1:26" ht="12.75" customHeight="1" x14ac:dyDescent="0.2">
      <c r="A40366" s="258"/>
      <c r="Z40366" s="258"/>
    </row>
    <row r="40367" spans="1:26" ht="12.75" customHeight="1" x14ac:dyDescent="0.2">
      <c r="A40367" s="258"/>
      <c r="Z40367" s="258"/>
    </row>
    <row r="40368" spans="1:26" ht="12.75" customHeight="1" x14ac:dyDescent="0.2">
      <c r="A40368" s="258"/>
      <c r="Z40368" s="258"/>
    </row>
    <row r="40369" spans="1:26" ht="12.75" customHeight="1" x14ac:dyDescent="0.2">
      <c r="A40369" s="258"/>
      <c r="Z40369" s="258"/>
    </row>
    <row r="40370" spans="1:26" ht="12.75" customHeight="1" x14ac:dyDescent="0.2">
      <c r="A40370" s="258"/>
      <c r="Z40370" s="258"/>
    </row>
    <row r="40371" spans="1:26" ht="12.75" customHeight="1" x14ac:dyDescent="0.2">
      <c r="A40371" s="258"/>
      <c r="Z40371" s="258"/>
    </row>
    <row r="40372" spans="1:26" ht="12.75" customHeight="1" x14ac:dyDescent="0.2">
      <c r="A40372" s="258"/>
      <c r="Z40372" s="258"/>
    </row>
    <row r="40373" spans="1:26" ht="12.75" customHeight="1" x14ac:dyDescent="0.2">
      <c r="A40373" s="258"/>
      <c r="Z40373" s="258"/>
    </row>
    <row r="40374" spans="1:26" ht="12.75" customHeight="1" x14ac:dyDescent="0.2">
      <c r="A40374" s="258"/>
      <c r="Z40374" s="258"/>
    </row>
    <row r="40375" spans="1:26" ht="12.75" customHeight="1" x14ac:dyDescent="0.2">
      <c r="A40375" s="258"/>
      <c r="Z40375" s="258"/>
    </row>
    <row r="40376" spans="1:26" ht="12.75" customHeight="1" x14ac:dyDescent="0.2">
      <c r="A40376" s="258"/>
      <c r="Z40376" s="258"/>
    </row>
    <row r="40377" spans="1:26" ht="12.75" customHeight="1" x14ac:dyDescent="0.2">
      <c r="A40377" s="258"/>
      <c r="Z40377" s="258"/>
    </row>
    <row r="40378" spans="1:26" ht="12.75" customHeight="1" x14ac:dyDescent="0.2">
      <c r="A40378" s="258"/>
      <c r="Z40378" s="258"/>
    </row>
    <row r="40379" spans="1:26" ht="12.75" customHeight="1" x14ac:dyDescent="0.2">
      <c r="A40379" s="258"/>
      <c r="Z40379" s="258"/>
    </row>
    <row r="40380" spans="1:26" ht="12.75" customHeight="1" x14ac:dyDescent="0.2">
      <c r="A40380" s="258"/>
      <c r="Z40380" s="258"/>
    </row>
    <row r="40381" spans="1:26" ht="12.75" customHeight="1" x14ac:dyDescent="0.2">
      <c r="A40381" s="258"/>
      <c r="Z40381" s="258"/>
    </row>
    <row r="40382" spans="1:26" ht="12.75" customHeight="1" x14ac:dyDescent="0.2">
      <c r="A40382" s="258"/>
      <c r="Z40382" s="258"/>
    </row>
    <row r="40383" spans="1:26" ht="12.75" customHeight="1" x14ac:dyDescent="0.2">
      <c r="A40383" s="258"/>
      <c r="Z40383" s="258"/>
    </row>
    <row r="40384" spans="1:26" ht="12.75" customHeight="1" x14ac:dyDescent="0.2">
      <c r="A40384" s="258"/>
      <c r="Z40384" s="258"/>
    </row>
    <row r="40385" spans="1:26" ht="12.75" customHeight="1" x14ac:dyDescent="0.2">
      <c r="A40385" s="258"/>
      <c r="Z40385" s="258"/>
    </row>
    <row r="40386" spans="1:26" ht="12.75" customHeight="1" x14ac:dyDescent="0.2">
      <c r="A40386" s="258"/>
      <c r="Z40386" s="258"/>
    </row>
    <row r="40387" spans="1:26" ht="12.75" customHeight="1" x14ac:dyDescent="0.2">
      <c r="A40387" s="258"/>
      <c r="Z40387" s="258"/>
    </row>
    <row r="40388" spans="1:26" ht="12.75" customHeight="1" x14ac:dyDescent="0.2">
      <c r="A40388" s="258"/>
      <c r="Z40388" s="258"/>
    </row>
    <row r="40389" spans="1:26" ht="12.75" customHeight="1" x14ac:dyDescent="0.2">
      <c r="A40389" s="258"/>
      <c r="Z40389" s="258"/>
    </row>
    <row r="40390" spans="1:26" ht="12.75" customHeight="1" x14ac:dyDescent="0.2">
      <c r="A40390" s="258"/>
      <c r="Z40390" s="258"/>
    </row>
    <row r="40391" spans="1:26" ht="12.75" customHeight="1" x14ac:dyDescent="0.2">
      <c r="A40391" s="258"/>
      <c r="Z40391" s="258"/>
    </row>
    <row r="40392" spans="1:26" ht="12.75" customHeight="1" x14ac:dyDescent="0.2">
      <c r="A40392" s="258"/>
      <c r="Z40392" s="258"/>
    </row>
    <row r="40393" spans="1:26" ht="12.75" customHeight="1" x14ac:dyDescent="0.2">
      <c r="A40393" s="258"/>
      <c r="Z40393" s="258"/>
    </row>
    <row r="40394" spans="1:26" ht="12.75" customHeight="1" x14ac:dyDescent="0.2">
      <c r="A40394" s="258"/>
      <c r="Z40394" s="258"/>
    </row>
    <row r="40395" spans="1:26" ht="12.75" customHeight="1" x14ac:dyDescent="0.2">
      <c r="A40395" s="258"/>
      <c r="Z40395" s="258"/>
    </row>
    <row r="40396" spans="1:26" ht="12.75" customHeight="1" x14ac:dyDescent="0.2">
      <c r="A40396" s="258"/>
      <c r="Z40396" s="258"/>
    </row>
    <row r="40397" spans="1:26" ht="12.75" customHeight="1" x14ac:dyDescent="0.2">
      <c r="A40397" s="258"/>
      <c r="Z40397" s="258"/>
    </row>
    <row r="40398" spans="1:26" ht="12.75" customHeight="1" x14ac:dyDescent="0.2">
      <c r="A40398" s="258"/>
      <c r="Z40398" s="258"/>
    </row>
    <row r="40399" spans="1:26" ht="12.75" customHeight="1" x14ac:dyDescent="0.2">
      <c r="A40399" s="258"/>
      <c r="Z40399" s="258"/>
    </row>
    <row r="40400" spans="1:26" ht="12.75" customHeight="1" x14ac:dyDescent="0.2">
      <c r="A40400" s="258"/>
      <c r="Z40400" s="258"/>
    </row>
    <row r="40401" spans="1:26" ht="12.75" customHeight="1" x14ac:dyDescent="0.2">
      <c r="A40401" s="258"/>
      <c r="Z40401" s="258"/>
    </row>
    <row r="40402" spans="1:26" ht="12.75" customHeight="1" x14ac:dyDescent="0.2">
      <c r="A40402" s="258"/>
      <c r="Z40402" s="258"/>
    </row>
    <row r="40403" spans="1:26" ht="12.75" customHeight="1" x14ac:dyDescent="0.2">
      <c r="A40403" s="258"/>
      <c r="Z40403" s="258"/>
    </row>
    <row r="40404" spans="1:26" ht="12.75" customHeight="1" x14ac:dyDescent="0.2">
      <c r="A40404" s="258"/>
      <c r="Z40404" s="258"/>
    </row>
    <row r="40405" spans="1:26" ht="12.75" customHeight="1" x14ac:dyDescent="0.2">
      <c r="A40405" s="258"/>
      <c r="Z40405" s="258"/>
    </row>
    <row r="40406" spans="1:26" ht="12.75" customHeight="1" x14ac:dyDescent="0.2">
      <c r="A40406" s="258"/>
      <c r="Z40406" s="258"/>
    </row>
    <row r="40407" spans="1:26" ht="12.75" customHeight="1" x14ac:dyDescent="0.2">
      <c r="A40407" s="258"/>
      <c r="Z40407" s="258"/>
    </row>
    <row r="40408" spans="1:26" ht="12.75" customHeight="1" x14ac:dyDescent="0.2">
      <c r="A40408" s="258"/>
      <c r="Z40408" s="258"/>
    </row>
    <row r="40409" spans="1:26" ht="12.75" customHeight="1" x14ac:dyDescent="0.2">
      <c r="A40409" s="258"/>
      <c r="Z40409" s="258"/>
    </row>
    <row r="40410" spans="1:26" ht="12.75" customHeight="1" x14ac:dyDescent="0.2">
      <c r="A40410" s="258"/>
      <c r="Z40410" s="258"/>
    </row>
    <row r="40411" spans="1:26" ht="12.75" customHeight="1" x14ac:dyDescent="0.2">
      <c r="A40411" s="258"/>
      <c r="Z40411" s="258"/>
    </row>
    <row r="40412" spans="1:26" ht="12.75" customHeight="1" x14ac:dyDescent="0.2">
      <c r="A40412" s="258"/>
      <c r="Z40412" s="258"/>
    </row>
    <row r="40413" spans="1:26" ht="12.75" customHeight="1" x14ac:dyDescent="0.2">
      <c r="A40413" s="258"/>
      <c r="Z40413" s="258"/>
    </row>
    <row r="40414" spans="1:26" ht="12.75" customHeight="1" x14ac:dyDescent="0.2">
      <c r="A40414" s="258"/>
      <c r="Z40414" s="258"/>
    </row>
    <row r="40415" spans="1:26" ht="12.75" customHeight="1" x14ac:dyDescent="0.2">
      <c r="A40415" s="258"/>
      <c r="Z40415" s="258"/>
    </row>
    <row r="40416" spans="1:26" ht="12.75" customHeight="1" x14ac:dyDescent="0.2">
      <c r="A40416" s="258"/>
      <c r="Z40416" s="258"/>
    </row>
    <row r="40417" spans="1:26" ht="12.75" customHeight="1" x14ac:dyDescent="0.2">
      <c r="A40417" s="258"/>
      <c r="Z40417" s="258"/>
    </row>
    <row r="40418" spans="1:26" ht="12.75" customHeight="1" x14ac:dyDescent="0.2">
      <c r="A40418" s="258"/>
      <c r="Z40418" s="258"/>
    </row>
    <row r="40419" spans="1:26" ht="12.75" customHeight="1" x14ac:dyDescent="0.2">
      <c r="A40419" s="258"/>
      <c r="Z40419" s="258"/>
    </row>
    <row r="40420" spans="1:26" ht="12.75" customHeight="1" x14ac:dyDescent="0.2">
      <c r="A40420" s="258"/>
      <c r="Z40420" s="258"/>
    </row>
    <row r="40421" spans="1:26" ht="12.75" customHeight="1" x14ac:dyDescent="0.2">
      <c r="A40421" s="258"/>
      <c r="Z40421" s="258"/>
    </row>
    <row r="40422" spans="1:26" ht="12.75" customHeight="1" x14ac:dyDescent="0.2">
      <c r="A40422" s="258"/>
      <c r="Z40422" s="258"/>
    </row>
    <row r="40423" spans="1:26" ht="12.75" customHeight="1" x14ac:dyDescent="0.2">
      <c r="A40423" s="258"/>
      <c r="Z40423" s="258"/>
    </row>
    <row r="40424" spans="1:26" ht="12.75" customHeight="1" x14ac:dyDescent="0.2">
      <c r="A40424" s="258"/>
      <c r="Z40424" s="258"/>
    </row>
    <row r="40425" spans="1:26" ht="12.75" customHeight="1" x14ac:dyDescent="0.2">
      <c r="A40425" s="258"/>
      <c r="Z40425" s="258"/>
    </row>
    <row r="40426" spans="1:26" ht="12.75" customHeight="1" x14ac:dyDescent="0.2">
      <c r="A40426" s="258"/>
      <c r="Z40426" s="258"/>
    </row>
    <row r="40427" spans="1:26" ht="12.75" customHeight="1" x14ac:dyDescent="0.2">
      <c r="A40427" s="258"/>
      <c r="Z40427" s="258"/>
    </row>
    <row r="40428" spans="1:26" ht="12.75" customHeight="1" x14ac:dyDescent="0.2">
      <c r="A40428" s="258"/>
      <c r="Z40428" s="258"/>
    </row>
    <row r="40429" spans="1:26" ht="12.75" customHeight="1" x14ac:dyDescent="0.2">
      <c r="A40429" s="258"/>
      <c r="Z40429" s="258"/>
    </row>
    <row r="40430" spans="1:26" ht="12.75" customHeight="1" x14ac:dyDescent="0.2">
      <c r="A40430" s="258"/>
      <c r="Z40430" s="258"/>
    </row>
    <row r="40431" spans="1:26" ht="12.75" customHeight="1" x14ac:dyDescent="0.2">
      <c r="A40431" s="258"/>
      <c r="Z40431" s="258"/>
    </row>
    <row r="40432" spans="1:26" ht="12.75" customHeight="1" x14ac:dyDescent="0.2">
      <c r="A40432" s="258"/>
      <c r="Z40432" s="258"/>
    </row>
    <row r="40433" spans="1:26" ht="12.75" customHeight="1" x14ac:dyDescent="0.2">
      <c r="A40433" s="258"/>
      <c r="Z40433" s="258"/>
    </row>
    <row r="40434" spans="1:26" ht="12.75" customHeight="1" x14ac:dyDescent="0.2">
      <c r="A40434" s="258"/>
      <c r="Z40434" s="258"/>
    </row>
    <row r="40435" spans="1:26" ht="12.75" customHeight="1" x14ac:dyDescent="0.2">
      <c r="A40435" s="258"/>
      <c r="Z40435" s="258"/>
    </row>
    <row r="40436" spans="1:26" ht="12.75" customHeight="1" x14ac:dyDescent="0.2">
      <c r="A40436" s="258"/>
      <c r="Z40436" s="258"/>
    </row>
    <row r="40437" spans="1:26" ht="12.75" customHeight="1" x14ac:dyDescent="0.2">
      <c r="A40437" s="258"/>
      <c r="Z40437" s="258"/>
    </row>
    <row r="40438" spans="1:26" ht="12.75" customHeight="1" x14ac:dyDescent="0.2">
      <c r="A40438" s="258"/>
      <c r="Z40438" s="258"/>
    </row>
    <row r="40439" spans="1:26" ht="12.75" customHeight="1" x14ac:dyDescent="0.2">
      <c r="A40439" s="258"/>
      <c r="Z40439" s="258"/>
    </row>
    <row r="40440" spans="1:26" ht="12.75" customHeight="1" x14ac:dyDescent="0.2">
      <c r="A40440" s="258"/>
      <c r="Z40440" s="258"/>
    </row>
    <row r="40441" spans="1:26" ht="12.75" customHeight="1" x14ac:dyDescent="0.2">
      <c r="A40441" s="258"/>
      <c r="Z40441" s="258"/>
    </row>
    <row r="40442" spans="1:26" ht="12.75" customHeight="1" x14ac:dyDescent="0.2">
      <c r="A40442" s="258"/>
      <c r="Z40442" s="258"/>
    </row>
    <row r="40443" spans="1:26" ht="12.75" customHeight="1" x14ac:dyDescent="0.2">
      <c r="A40443" s="258"/>
      <c r="Z40443" s="258"/>
    </row>
    <row r="40444" spans="1:26" ht="12.75" customHeight="1" x14ac:dyDescent="0.2">
      <c r="A40444" s="258"/>
      <c r="Z40444" s="258"/>
    </row>
    <row r="40445" spans="1:26" ht="12.75" customHeight="1" x14ac:dyDescent="0.2">
      <c r="A40445" s="258"/>
      <c r="Z40445" s="258"/>
    </row>
    <row r="40446" spans="1:26" ht="12.75" customHeight="1" x14ac:dyDescent="0.2">
      <c r="A40446" s="258"/>
      <c r="Z40446" s="258"/>
    </row>
    <row r="40447" spans="1:26" ht="12.75" customHeight="1" x14ac:dyDescent="0.2">
      <c r="A40447" s="258"/>
      <c r="Z40447" s="258"/>
    </row>
    <row r="40448" spans="1:26" ht="12.75" customHeight="1" x14ac:dyDescent="0.2">
      <c r="A40448" s="258"/>
      <c r="Z40448" s="258"/>
    </row>
    <row r="40449" spans="1:26" ht="12.75" customHeight="1" x14ac:dyDescent="0.2">
      <c r="A40449" s="258"/>
      <c r="Z40449" s="258"/>
    </row>
    <row r="40450" spans="1:26" ht="12.75" customHeight="1" x14ac:dyDescent="0.2">
      <c r="A40450" s="258"/>
      <c r="Z40450" s="258"/>
    </row>
    <row r="40451" spans="1:26" ht="12.75" customHeight="1" x14ac:dyDescent="0.2">
      <c r="A40451" s="258"/>
      <c r="Z40451" s="258"/>
    </row>
    <row r="40452" spans="1:26" ht="12.75" customHeight="1" x14ac:dyDescent="0.2">
      <c r="A40452" s="258"/>
      <c r="Z40452" s="258"/>
    </row>
    <row r="40453" spans="1:26" ht="12.75" customHeight="1" x14ac:dyDescent="0.2">
      <c r="A40453" s="258"/>
      <c r="Z40453" s="258"/>
    </row>
    <row r="40454" spans="1:26" ht="12.75" customHeight="1" x14ac:dyDescent="0.2">
      <c r="A40454" s="258"/>
      <c r="Z40454" s="258"/>
    </row>
    <row r="40455" spans="1:26" ht="12.75" customHeight="1" x14ac:dyDescent="0.2">
      <c r="A40455" s="258"/>
      <c r="Z40455" s="258"/>
    </row>
    <row r="40456" spans="1:26" ht="12.75" customHeight="1" x14ac:dyDescent="0.2">
      <c r="A40456" s="258"/>
      <c r="Z40456" s="258"/>
    </row>
    <row r="40457" spans="1:26" ht="12.75" customHeight="1" x14ac:dyDescent="0.2">
      <c r="A40457" s="258"/>
      <c r="Z40457" s="258"/>
    </row>
    <row r="40458" spans="1:26" ht="12.75" customHeight="1" x14ac:dyDescent="0.2">
      <c r="A40458" s="258"/>
      <c r="Z40458" s="258"/>
    </row>
    <row r="40459" spans="1:26" ht="12.75" customHeight="1" x14ac:dyDescent="0.2">
      <c r="A40459" s="258"/>
      <c r="Z40459" s="258"/>
    </row>
    <row r="40460" spans="1:26" ht="12.75" customHeight="1" x14ac:dyDescent="0.2">
      <c r="A40460" s="258"/>
      <c r="Z40460" s="258"/>
    </row>
    <row r="40461" spans="1:26" ht="12.75" customHeight="1" x14ac:dyDescent="0.2">
      <c r="A40461" s="258"/>
      <c r="Z40461" s="258"/>
    </row>
    <row r="40462" spans="1:26" ht="12.75" customHeight="1" x14ac:dyDescent="0.2">
      <c r="A40462" s="258"/>
      <c r="Z40462" s="258"/>
    </row>
    <row r="40463" spans="1:26" ht="12.75" customHeight="1" x14ac:dyDescent="0.2">
      <c r="A40463" s="258"/>
      <c r="Z40463" s="258"/>
    </row>
    <row r="40464" spans="1:26" ht="12.75" customHeight="1" x14ac:dyDescent="0.2">
      <c r="A40464" s="258"/>
      <c r="Z40464" s="258"/>
    </row>
    <row r="40465" spans="1:26" ht="12.75" customHeight="1" x14ac:dyDescent="0.2">
      <c r="A40465" s="258"/>
      <c r="Z40465" s="258"/>
    </row>
    <row r="40466" spans="1:26" ht="12.75" customHeight="1" x14ac:dyDescent="0.2">
      <c r="A40466" s="258"/>
      <c r="Z40466" s="258"/>
    </row>
    <row r="40467" spans="1:26" ht="12.75" customHeight="1" x14ac:dyDescent="0.2">
      <c r="A40467" s="258"/>
      <c r="Z40467" s="258"/>
    </row>
    <row r="40468" spans="1:26" ht="12.75" customHeight="1" x14ac:dyDescent="0.2">
      <c r="A40468" s="258"/>
      <c r="Z40468" s="258"/>
    </row>
    <row r="40469" spans="1:26" ht="12.75" customHeight="1" x14ac:dyDescent="0.2">
      <c r="A40469" s="258"/>
      <c r="Z40469" s="258"/>
    </row>
    <row r="40470" spans="1:26" ht="12.75" customHeight="1" x14ac:dyDescent="0.2">
      <c r="A40470" s="258"/>
      <c r="Z40470" s="258"/>
    </row>
    <row r="40471" spans="1:26" ht="12.75" customHeight="1" x14ac:dyDescent="0.2">
      <c r="A40471" s="258"/>
      <c r="Z40471" s="258"/>
    </row>
    <row r="40472" spans="1:26" ht="12.75" customHeight="1" x14ac:dyDescent="0.2">
      <c r="A40472" s="258"/>
      <c r="Z40472" s="258"/>
    </row>
    <row r="40473" spans="1:26" ht="12.75" customHeight="1" x14ac:dyDescent="0.2">
      <c r="A40473" s="258"/>
      <c r="Z40473" s="258"/>
    </row>
    <row r="40474" spans="1:26" ht="12.75" customHeight="1" x14ac:dyDescent="0.2">
      <c r="A40474" s="258"/>
      <c r="Z40474" s="258"/>
    </row>
    <row r="40475" spans="1:26" ht="12.75" customHeight="1" x14ac:dyDescent="0.2">
      <c r="A40475" s="258"/>
      <c r="Z40475" s="258"/>
    </row>
    <row r="40476" spans="1:26" ht="12.75" customHeight="1" x14ac:dyDescent="0.2">
      <c r="A40476" s="258"/>
      <c r="Z40476" s="258"/>
    </row>
    <row r="40477" spans="1:26" ht="12.75" customHeight="1" x14ac:dyDescent="0.2">
      <c r="A40477" s="258"/>
      <c r="Z40477" s="258"/>
    </row>
    <row r="40478" spans="1:26" ht="12.75" customHeight="1" x14ac:dyDescent="0.2">
      <c r="A40478" s="258"/>
      <c r="Z40478" s="258"/>
    </row>
    <row r="40479" spans="1:26" ht="12.75" customHeight="1" x14ac:dyDescent="0.2">
      <c r="A40479" s="258"/>
      <c r="Z40479" s="258"/>
    </row>
    <row r="40480" spans="1:26" ht="12.75" customHeight="1" x14ac:dyDescent="0.2">
      <c r="A40480" s="258"/>
      <c r="Z40480" s="258"/>
    </row>
    <row r="40481" spans="1:26" ht="12.75" customHeight="1" x14ac:dyDescent="0.2">
      <c r="A40481" s="258"/>
      <c r="Z40481" s="258"/>
    </row>
    <row r="40482" spans="1:26" ht="12.75" customHeight="1" x14ac:dyDescent="0.2">
      <c r="A40482" s="258"/>
      <c r="Z40482" s="258"/>
    </row>
    <row r="40483" spans="1:26" ht="12.75" customHeight="1" x14ac:dyDescent="0.2">
      <c r="A40483" s="258"/>
      <c r="Z40483" s="258"/>
    </row>
    <row r="40484" spans="1:26" ht="12.75" customHeight="1" x14ac:dyDescent="0.2">
      <c r="A40484" s="258"/>
      <c r="Z40484" s="258"/>
    </row>
    <row r="40485" spans="1:26" ht="12.75" customHeight="1" x14ac:dyDescent="0.2">
      <c r="A40485" s="258"/>
      <c r="Z40485" s="258"/>
    </row>
    <row r="40486" spans="1:26" ht="12.75" customHeight="1" x14ac:dyDescent="0.2">
      <c r="A40486" s="258"/>
      <c r="Z40486" s="258"/>
    </row>
    <row r="40487" spans="1:26" ht="12.75" customHeight="1" x14ac:dyDescent="0.2">
      <c r="A40487" s="258"/>
      <c r="Z40487" s="258"/>
    </row>
    <row r="40488" spans="1:26" ht="12.75" customHeight="1" x14ac:dyDescent="0.2">
      <c r="A40488" s="258"/>
      <c r="Z40488" s="258"/>
    </row>
    <row r="40489" spans="1:26" ht="12.75" customHeight="1" x14ac:dyDescent="0.2">
      <c r="A40489" s="258"/>
      <c r="Z40489" s="258"/>
    </row>
    <row r="40490" spans="1:26" ht="12.75" customHeight="1" x14ac:dyDescent="0.2">
      <c r="A40490" s="258"/>
      <c r="Z40490" s="258"/>
    </row>
    <row r="40491" spans="1:26" ht="12.75" customHeight="1" x14ac:dyDescent="0.2">
      <c r="A40491" s="258"/>
      <c r="Z40491" s="258"/>
    </row>
    <row r="40492" spans="1:26" ht="12.75" customHeight="1" x14ac:dyDescent="0.2">
      <c r="A40492" s="258"/>
      <c r="Z40492" s="258"/>
    </row>
    <row r="40493" spans="1:26" ht="12.75" customHeight="1" x14ac:dyDescent="0.2">
      <c r="A40493" s="258"/>
      <c r="Z40493" s="258"/>
    </row>
    <row r="40494" spans="1:26" ht="12.75" customHeight="1" x14ac:dyDescent="0.2">
      <c r="A40494" s="258"/>
      <c r="Z40494" s="258"/>
    </row>
    <row r="40495" spans="1:26" ht="12.75" customHeight="1" x14ac:dyDescent="0.2">
      <c r="A40495" s="258"/>
      <c r="Z40495" s="258"/>
    </row>
    <row r="40496" spans="1:26" ht="12.75" customHeight="1" x14ac:dyDescent="0.2">
      <c r="A40496" s="258"/>
      <c r="Z40496" s="258"/>
    </row>
    <row r="40497" spans="1:26" ht="12.75" customHeight="1" x14ac:dyDescent="0.2">
      <c r="A40497" s="258"/>
      <c r="Z40497" s="258"/>
    </row>
    <row r="40498" spans="1:26" ht="12.75" customHeight="1" x14ac:dyDescent="0.2">
      <c r="A40498" s="258"/>
      <c r="Z40498" s="258"/>
    </row>
    <row r="40499" spans="1:26" ht="12.75" customHeight="1" x14ac:dyDescent="0.2">
      <c r="A40499" s="258"/>
      <c r="Z40499" s="258"/>
    </row>
    <row r="40500" spans="1:26" ht="12.75" customHeight="1" x14ac:dyDescent="0.2">
      <c r="A40500" s="258"/>
      <c r="Z40500" s="258"/>
    </row>
    <row r="40501" spans="1:26" ht="12.75" customHeight="1" x14ac:dyDescent="0.2">
      <c r="A40501" s="258"/>
      <c r="Z40501" s="258"/>
    </row>
    <row r="40502" spans="1:26" ht="12.75" customHeight="1" x14ac:dyDescent="0.2">
      <c r="A40502" s="258"/>
      <c r="Z40502" s="258"/>
    </row>
    <row r="40503" spans="1:26" ht="12.75" customHeight="1" x14ac:dyDescent="0.2">
      <c r="A40503" s="258"/>
      <c r="Z40503" s="258"/>
    </row>
    <row r="40504" spans="1:26" ht="12.75" customHeight="1" x14ac:dyDescent="0.2">
      <c r="A40504" s="258"/>
      <c r="Z40504" s="258"/>
    </row>
    <row r="40505" spans="1:26" ht="12.75" customHeight="1" x14ac:dyDescent="0.2">
      <c r="A40505" s="258"/>
      <c r="Z40505" s="258"/>
    </row>
    <row r="40506" spans="1:26" ht="12.75" customHeight="1" x14ac:dyDescent="0.2">
      <c r="A40506" s="258"/>
      <c r="Z40506" s="258"/>
    </row>
    <row r="40507" spans="1:26" ht="12.75" customHeight="1" x14ac:dyDescent="0.2">
      <c r="A40507" s="258"/>
      <c r="Z40507" s="258"/>
    </row>
    <row r="40508" spans="1:26" ht="12.75" customHeight="1" x14ac:dyDescent="0.2">
      <c r="A40508" s="258"/>
      <c r="Z40508" s="258"/>
    </row>
    <row r="40509" spans="1:26" ht="12.75" customHeight="1" x14ac:dyDescent="0.2">
      <c r="A40509" s="258"/>
      <c r="Z40509" s="258"/>
    </row>
    <row r="40510" spans="1:26" ht="12.75" customHeight="1" x14ac:dyDescent="0.2">
      <c r="A40510" s="258"/>
      <c r="Z40510" s="258"/>
    </row>
    <row r="40511" spans="1:26" ht="12.75" customHeight="1" x14ac:dyDescent="0.2">
      <c r="A40511" s="258"/>
      <c r="Z40511" s="258"/>
    </row>
    <row r="40512" spans="1:26" ht="12.75" customHeight="1" x14ac:dyDescent="0.2">
      <c r="A40512" s="258"/>
      <c r="Z40512" s="258"/>
    </row>
    <row r="40513" spans="1:26" ht="12.75" customHeight="1" x14ac:dyDescent="0.2">
      <c r="A40513" s="258"/>
      <c r="Z40513" s="258"/>
    </row>
    <row r="40514" spans="1:26" ht="12.75" customHeight="1" x14ac:dyDescent="0.2">
      <c r="A40514" s="258"/>
      <c r="Z40514" s="258"/>
    </row>
    <row r="40515" spans="1:26" ht="12.75" customHeight="1" x14ac:dyDescent="0.2">
      <c r="A40515" s="258"/>
      <c r="Z40515" s="258"/>
    </row>
    <row r="40516" spans="1:26" ht="12.75" customHeight="1" x14ac:dyDescent="0.2">
      <c r="A40516" s="258"/>
      <c r="Z40516" s="258"/>
    </row>
    <row r="40517" spans="1:26" ht="12.75" customHeight="1" x14ac:dyDescent="0.2">
      <c r="A40517" s="258"/>
      <c r="Z40517" s="258"/>
    </row>
    <row r="40518" spans="1:26" ht="12.75" customHeight="1" x14ac:dyDescent="0.2">
      <c r="A40518" s="258"/>
      <c r="Z40518" s="258"/>
    </row>
    <row r="40519" spans="1:26" ht="12.75" customHeight="1" x14ac:dyDescent="0.2">
      <c r="A40519" s="258"/>
      <c r="Z40519" s="258"/>
    </row>
    <row r="40520" spans="1:26" ht="12.75" customHeight="1" x14ac:dyDescent="0.2">
      <c r="A40520" s="258"/>
      <c r="Z40520" s="258"/>
    </row>
    <row r="40521" spans="1:26" ht="12.75" customHeight="1" x14ac:dyDescent="0.2">
      <c r="A40521" s="258"/>
      <c r="Z40521" s="258"/>
    </row>
    <row r="40522" spans="1:26" ht="12.75" customHeight="1" x14ac:dyDescent="0.2">
      <c r="A40522" s="258"/>
      <c r="Z40522" s="258"/>
    </row>
    <row r="40523" spans="1:26" ht="12.75" customHeight="1" x14ac:dyDescent="0.2">
      <c r="A40523" s="258"/>
      <c r="Z40523" s="258"/>
    </row>
    <row r="40524" spans="1:26" ht="12.75" customHeight="1" x14ac:dyDescent="0.2">
      <c r="A40524" s="258"/>
      <c r="Z40524" s="258"/>
    </row>
    <row r="40525" spans="1:26" ht="12.75" customHeight="1" x14ac:dyDescent="0.2">
      <c r="A40525" s="258"/>
      <c r="Z40525" s="258"/>
    </row>
    <row r="40526" spans="1:26" ht="12.75" customHeight="1" x14ac:dyDescent="0.2">
      <c r="A40526" s="258"/>
      <c r="Z40526" s="258"/>
    </row>
    <row r="40527" spans="1:26" ht="12.75" customHeight="1" x14ac:dyDescent="0.2">
      <c r="A40527" s="258"/>
      <c r="Z40527" s="258"/>
    </row>
    <row r="40528" spans="1:26" ht="12.75" customHeight="1" x14ac:dyDescent="0.2">
      <c r="A40528" s="258"/>
      <c r="Z40528" s="258"/>
    </row>
    <row r="40529" spans="1:26" ht="12.75" customHeight="1" x14ac:dyDescent="0.2">
      <c r="A40529" s="258"/>
      <c r="Z40529" s="258"/>
    </row>
    <row r="40530" spans="1:26" ht="12.75" customHeight="1" x14ac:dyDescent="0.2">
      <c r="A40530" s="258"/>
      <c r="Z40530" s="258"/>
    </row>
    <row r="40531" spans="1:26" ht="12.75" customHeight="1" x14ac:dyDescent="0.2">
      <c r="A40531" s="258"/>
      <c r="Z40531" s="258"/>
    </row>
    <row r="40532" spans="1:26" ht="12.75" customHeight="1" x14ac:dyDescent="0.2">
      <c r="A40532" s="258"/>
      <c r="Z40532" s="258"/>
    </row>
    <row r="40533" spans="1:26" ht="12.75" customHeight="1" x14ac:dyDescent="0.2">
      <c r="A40533" s="258"/>
      <c r="Z40533" s="258"/>
    </row>
    <row r="40534" spans="1:26" ht="12.75" customHeight="1" x14ac:dyDescent="0.2">
      <c r="A40534" s="258"/>
      <c r="Z40534" s="258"/>
    </row>
    <row r="40535" spans="1:26" ht="12.75" customHeight="1" x14ac:dyDescent="0.2">
      <c r="A40535" s="258"/>
      <c r="Z40535" s="258"/>
    </row>
    <row r="40536" spans="1:26" ht="12.75" customHeight="1" x14ac:dyDescent="0.2">
      <c r="A40536" s="258"/>
      <c r="Z40536" s="258"/>
    </row>
    <row r="40537" spans="1:26" ht="12.75" customHeight="1" x14ac:dyDescent="0.2">
      <c r="A40537" s="258"/>
      <c r="Z40537" s="258"/>
    </row>
    <row r="40538" spans="1:26" ht="12.75" customHeight="1" x14ac:dyDescent="0.2">
      <c r="A40538" s="258"/>
      <c r="Z40538" s="258"/>
    </row>
    <row r="40539" spans="1:26" ht="12.75" customHeight="1" x14ac:dyDescent="0.2">
      <c r="A40539" s="258"/>
      <c r="Z40539" s="258"/>
    </row>
    <row r="40540" spans="1:26" ht="12.75" customHeight="1" x14ac:dyDescent="0.2">
      <c r="A40540" s="258"/>
      <c r="Z40540" s="258"/>
    </row>
    <row r="40541" spans="1:26" ht="12.75" customHeight="1" x14ac:dyDescent="0.2">
      <c r="A40541" s="258"/>
      <c r="Z40541" s="258"/>
    </row>
    <row r="40542" spans="1:26" ht="12.75" customHeight="1" x14ac:dyDescent="0.2">
      <c r="A40542" s="258"/>
      <c r="Z40542" s="258"/>
    </row>
    <row r="40543" spans="1:26" ht="12.75" customHeight="1" x14ac:dyDescent="0.2">
      <c r="A40543" s="258"/>
      <c r="Z40543" s="258"/>
    </row>
    <row r="40544" spans="1:26" ht="12.75" customHeight="1" x14ac:dyDescent="0.2">
      <c r="A40544" s="258"/>
      <c r="Z40544" s="258"/>
    </row>
    <row r="40545" spans="1:26" ht="12.75" customHeight="1" x14ac:dyDescent="0.2">
      <c r="A40545" s="258"/>
      <c r="Z40545" s="258"/>
    </row>
    <row r="40546" spans="1:26" ht="12.75" customHeight="1" x14ac:dyDescent="0.2">
      <c r="A40546" s="258"/>
      <c r="Z40546" s="258"/>
    </row>
    <row r="40547" spans="1:26" ht="12.75" customHeight="1" x14ac:dyDescent="0.2">
      <c r="A40547" s="258"/>
      <c r="Z40547" s="258"/>
    </row>
    <row r="40548" spans="1:26" ht="12.75" customHeight="1" x14ac:dyDescent="0.2">
      <c r="A40548" s="258"/>
      <c r="Z40548" s="258"/>
    </row>
    <row r="40549" spans="1:26" ht="12.75" customHeight="1" x14ac:dyDescent="0.2">
      <c r="A40549" s="258"/>
      <c r="Z40549" s="258"/>
    </row>
    <row r="40550" spans="1:26" ht="12.75" customHeight="1" x14ac:dyDescent="0.2">
      <c r="A40550" s="258"/>
      <c r="Z40550" s="258"/>
    </row>
    <row r="40551" spans="1:26" ht="12.75" customHeight="1" x14ac:dyDescent="0.2">
      <c r="A40551" s="258"/>
      <c r="Z40551" s="258"/>
    </row>
    <row r="40552" spans="1:26" ht="12.75" customHeight="1" x14ac:dyDescent="0.2">
      <c r="A40552" s="258"/>
      <c r="Z40552" s="258"/>
    </row>
    <row r="40553" spans="1:26" ht="12.75" customHeight="1" x14ac:dyDescent="0.2">
      <c r="A40553" s="258"/>
      <c r="Z40553" s="258"/>
    </row>
    <row r="40554" spans="1:26" ht="12.75" customHeight="1" x14ac:dyDescent="0.2">
      <c r="A40554" s="258"/>
      <c r="Z40554" s="258"/>
    </row>
    <row r="40555" spans="1:26" ht="12.75" customHeight="1" x14ac:dyDescent="0.2">
      <c r="A40555" s="258"/>
      <c r="Z40555" s="258"/>
    </row>
    <row r="40556" spans="1:26" ht="12.75" customHeight="1" x14ac:dyDescent="0.2">
      <c r="A40556" s="258"/>
      <c r="Z40556" s="258"/>
    </row>
    <row r="40557" spans="1:26" ht="12.75" customHeight="1" x14ac:dyDescent="0.2">
      <c r="A40557" s="258"/>
      <c r="Z40557" s="258"/>
    </row>
    <row r="40558" spans="1:26" ht="12.75" customHeight="1" x14ac:dyDescent="0.2">
      <c r="A40558" s="258"/>
      <c r="Z40558" s="258"/>
    </row>
    <row r="40559" spans="1:26" ht="12.75" customHeight="1" x14ac:dyDescent="0.2">
      <c r="A40559" s="258"/>
      <c r="Z40559" s="258"/>
    </row>
    <row r="40560" spans="1:26" ht="12.75" customHeight="1" x14ac:dyDescent="0.2">
      <c r="A40560" s="258"/>
      <c r="Z40560" s="258"/>
    </row>
    <row r="40561" spans="1:26" ht="12.75" customHeight="1" x14ac:dyDescent="0.2">
      <c r="A40561" s="258"/>
      <c r="Z40561" s="258"/>
    </row>
    <row r="40562" spans="1:26" ht="12.75" customHeight="1" x14ac:dyDescent="0.2">
      <c r="A40562" s="258"/>
      <c r="Z40562" s="258"/>
    </row>
    <row r="40563" spans="1:26" ht="12.75" customHeight="1" x14ac:dyDescent="0.2">
      <c r="A40563" s="258"/>
      <c r="Z40563" s="258"/>
    </row>
    <row r="40564" spans="1:26" ht="12.75" customHeight="1" x14ac:dyDescent="0.2">
      <c r="A40564" s="258"/>
      <c r="Z40564" s="258"/>
    </row>
    <row r="40565" spans="1:26" ht="12.75" customHeight="1" x14ac:dyDescent="0.2">
      <c r="A40565" s="258"/>
      <c r="Z40565" s="258"/>
    </row>
    <row r="40566" spans="1:26" ht="12.75" customHeight="1" x14ac:dyDescent="0.2">
      <c r="A40566" s="258"/>
      <c r="Z40566" s="258"/>
    </row>
    <row r="40567" spans="1:26" ht="12.75" customHeight="1" x14ac:dyDescent="0.2">
      <c r="A40567" s="258"/>
      <c r="Z40567" s="258"/>
    </row>
    <row r="40568" spans="1:26" ht="12.75" customHeight="1" x14ac:dyDescent="0.2">
      <c r="A40568" s="258"/>
      <c r="Z40568" s="258"/>
    </row>
    <row r="40569" spans="1:26" ht="12.75" customHeight="1" x14ac:dyDescent="0.2">
      <c r="A40569" s="258"/>
      <c r="Z40569" s="258"/>
    </row>
    <row r="40570" spans="1:26" ht="12.75" customHeight="1" x14ac:dyDescent="0.2">
      <c r="A40570" s="258"/>
      <c r="Z40570" s="258"/>
    </row>
    <row r="40571" spans="1:26" ht="12.75" customHeight="1" x14ac:dyDescent="0.2">
      <c r="A40571" s="258"/>
      <c r="Z40571" s="258"/>
    </row>
    <row r="40572" spans="1:26" ht="12.75" customHeight="1" x14ac:dyDescent="0.2">
      <c r="A40572" s="258"/>
      <c r="Z40572" s="258"/>
    </row>
    <row r="40573" spans="1:26" ht="12.75" customHeight="1" x14ac:dyDescent="0.2">
      <c r="A40573" s="258"/>
      <c r="Z40573" s="258"/>
    </row>
    <row r="40574" spans="1:26" ht="12.75" customHeight="1" x14ac:dyDescent="0.2">
      <c r="A40574" s="258"/>
      <c r="Z40574" s="258"/>
    </row>
    <row r="40575" spans="1:26" ht="12.75" customHeight="1" x14ac:dyDescent="0.2">
      <c r="A40575" s="258"/>
      <c r="Z40575" s="258"/>
    </row>
    <row r="40576" spans="1:26" ht="12.75" customHeight="1" x14ac:dyDescent="0.2">
      <c r="A40576" s="258"/>
      <c r="Z40576" s="258"/>
    </row>
    <row r="40577" spans="1:26" ht="12.75" customHeight="1" x14ac:dyDescent="0.2">
      <c r="A40577" s="258"/>
      <c r="Z40577" s="258"/>
    </row>
    <row r="40578" spans="1:26" ht="12.75" customHeight="1" x14ac:dyDescent="0.2">
      <c r="A40578" s="258"/>
      <c r="Z40578" s="258"/>
    </row>
    <row r="40579" spans="1:26" ht="12.75" customHeight="1" x14ac:dyDescent="0.2">
      <c r="A40579" s="258"/>
      <c r="Z40579" s="258"/>
    </row>
    <row r="40580" spans="1:26" ht="12.75" customHeight="1" x14ac:dyDescent="0.2">
      <c r="A40580" s="258"/>
      <c r="Z40580" s="258"/>
    </row>
    <row r="40581" spans="1:26" ht="12.75" customHeight="1" x14ac:dyDescent="0.2">
      <c r="A40581" s="258"/>
      <c r="Z40581" s="258"/>
    </row>
    <row r="40582" spans="1:26" ht="12.75" customHeight="1" x14ac:dyDescent="0.2">
      <c r="A40582" s="258"/>
      <c r="Z40582" s="258"/>
    </row>
    <row r="40583" spans="1:26" ht="12.75" customHeight="1" x14ac:dyDescent="0.2">
      <c r="A40583" s="258"/>
      <c r="Z40583" s="258"/>
    </row>
    <row r="40584" spans="1:26" ht="12.75" customHeight="1" x14ac:dyDescent="0.2">
      <c r="A40584" s="258"/>
      <c r="Z40584" s="258"/>
    </row>
    <row r="40585" spans="1:26" ht="12.75" customHeight="1" x14ac:dyDescent="0.2">
      <c r="A40585" s="258"/>
      <c r="Z40585" s="258"/>
    </row>
    <row r="40586" spans="1:26" ht="12.75" customHeight="1" x14ac:dyDescent="0.2">
      <c r="A40586" s="258"/>
      <c r="Z40586" s="258"/>
    </row>
    <row r="40587" spans="1:26" ht="12.75" customHeight="1" x14ac:dyDescent="0.2">
      <c r="A40587" s="258"/>
      <c r="Z40587" s="258"/>
    </row>
    <row r="40588" spans="1:26" ht="12.75" customHeight="1" x14ac:dyDescent="0.2">
      <c r="A40588" s="258"/>
      <c r="Z40588" s="258"/>
    </row>
    <row r="40589" spans="1:26" ht="12.75" customHeight="1" x14ac:dyDescent="0.2">
      <c r="A40589" s="258"/>
      <c r="Z40589" s="258"/>
    </row>
    <row r="40590" spans="1:26" ht="12.75" customHeight="1" x14ac:dyDescent="0.2">
      <c r="A40590" s="258"/>
      <c r="Z40590" s="258"/>
    </row>
    <row r="40591" spans="1:26" ht="12.75" customHeight="1" x14ac:dyDescent="0.2">
      <c r="A40591" s="258"/>
      <c r="Z40591" s="258"/>
    </row>
    <row r="40592" spans="1:26" ht="12.75" customHeight="1" x14ac:dyDescent="0.2">
      <c r="A40592" s="258"/>
      <c r="Z40592" s="258"/>
    </row>
    <row r="40593" spans="1:26" ht="12.75" customHeight="1" x14ac:dyDescent="0.2">
      <c r="A40593" s="258"/>
      <c r="Z40593" s="258"/>
    </row>
    <row r="40594" spans="1:26" ht="12.75" customHeight="1" x14ac:dyDescent="0.2">
      <c r="A40594" s="258"/>
      <c r="Z40594" s="258"/>
    </row>
    <row r="40595" spans="1:26" ht="12.75" customHeight="1" x14ac:dyDescent="0.2">
      <c r="A40595" s="258"/>
      <c r="Z40595" s="258"/>
    </row>
    <row r="40596" spans="1:26" ht="12.75" customHeight="1" x14ac:dyDescent="0.2">
      <c r="A40596" s="258"/>
      <c r="Z40596" s="258"/>
    </row>
    <row r="40597" spans="1:26" ht="12.75" customHeight="1" x14ac:dyDescent="0.2">
      <c r="A40597" s="258"/>
      <c r="Z40597" s="258"/>
    </row>
    <row r="40598" spans="1:26" ht="12.75" customHeight="1" x14ac:dyDescent="0.2">
      <c r="A40598" s="258"/>
      <c r="Z40598" s="258"/>
    </row>
    <row r="40599" spans="1:26" ht="12.75" customHeight="1" x14ac:dyDescent="0.2">
      <c r="A40599" s="258"/>
      <c r="Z40599" s="258"/>
    </row>
    <row r="40600" spans="1:26" ht="12.75" customHeight="1" x14ac:dyDescent="0.2">
      <c r="A40600" s="258"/>
      <c r="Z40600" s="258"/>
    </row>
    <row r="40601" spans="1:26" ht="12.75" customHeight="1" x14ac:dyDescent="0.2">
      <c r="A40601" s="258"/>
      <c r="Z40601" s="258"/>
    </row>
    <row r="40602" spans="1:26" ht="12.75" customHeight="1" x14ac:dyDescent="0.2">
      <c r="A40602" s="258"/>
      <c r="Z40602" s="258"/>
    </row>
    <row r="40603" spans="1:26" ht="12.75" customHeight="1" x14ac:dyDescent="0.2">
      <c r="A40603" s="258"/>
      <c r="Z40603" s="258"/>
    </row>
    <row r="40604" spans="1:26" ht="12.75" customHeight="1" x14ac:dyDescent="0.2">
      <c r="A40604" s="258"/>
      <c r="Z40604" s="258"/>
    </row>
    <row r="40605" spans="1:26" ht="12.75" customHeight="1" x14ac:dyDescent="0.2">
      <c r="A40605" s="258"/>
      <c r="Z40605" s="258"/>
    </row>
    <row r="40606" spans="1:26" ht="12.75" customHeight="1" x14ac:dyDescent="0.2">
      <c r="A40606" s="258"/>
      <c r="Z40606" s="258"/>
    </row>
    <row r="40607" spans="1:26" ht="12.75" customHeight="1" x14ac:dyDescent="0.2">
      <c r="A40607" s="258"/>
      <c r="Z40607" s="258"/>
    </row>
    <row r="40608" spans="1:26" ht="12.75" customHeight="1" x14ac:dyDescent="0.2">
      <c r="A40608" s="258"/>
      <c r="Z40608" s="258"/>
    </row>
    <row r="40609" spans="1:26" ht="12.75" customHeight="1" x14ac:dyDescent="0.2">
      <c r="A40609" s="258"/>
      <c r="Z40609" s="258"/>
    </row>
    <row r="40610" spans="1:26" ht="12.75" customHeight="1" x14ac:dyDescent="0.2">
      <c r="A40610" s="258"/>
      <c r="Z40610" s="258"/>
    </row>
    <row r="40611" spans="1:26" ht="12.75" customHeight="1" x14ac:dyDescent="0.2">
      <c r="A40611" s="258"/>
      <c r="Z40611" s="258"/>
    </row>
    <row r="40612" spans="1:26" ht="12.75" customHeight="1" x14ac:dyDescent="0.2">
      <c r="A40612" s="258"/>
      <c r="Z40612" s="258"/>
    </row>
    <row r="40613" spans="1:26" ht="12.75" customHeight="1" x14ac:dyDescent="0.2">
      <c r="A40613" s="258"/>
      <c r="Z40613" s="258"/>
    </row>
    <row r="40614" spans="1:26" ht="12.75" customHeight="1" x14ac:dyDescent="0.2">
      <c r="A40614" s="258"/>
      <c r="Z40614" s="258"/>
    </row>
    <row r="40615" spans="1:26" ht="12.75" customHeight="1" x14ac:dyDescent="0.2">
      <c r="A40615" s="258"/>
      <c r="Z40615" s="258"/>
    </row>
    <row r="40616" spans="1:26" ht="12.75" customHeight="1" x14ac:dyDescent="0.2">
      <c r="A40616" s="258"/>
      <c r="Z40616" s="258"/>
    </row>
    <row r="40617" spans="1:26" ht="12.75" customHeight="1" x14ac:dyDescent="0.2">
      <c r="A40617" s="258"/>
      <c r="Z40617" s="258"/>
    </row>
    <row r="40618" spans="1:26" ht="12.75" customHeight="1" x14ac:dyDescent="0.2">
      <c r="A40618" s="258"/>
      <c r="Z40618" s="258"/>
    </row>
    <row r="40619" spans="1:26" ht="12.75" customHeight="1" x14ac:dyDescent="0.2">
      <c r="A40619" s="258"/>
      <c r="Z40619" s="258"/>
    </row>
    <row r="40620" spans="1:26" ht="12.75" customHeight="1" x14ac:dyDescent="0.2">
      <c r="A40620" s="258"/>
      <c r="Z40620" s="258"/>
    </row>
    <row r="40621" spans="1:26" ht="12.75" customHeight="1" x14ac:dyDescent="0.2">
      <c r="A40621" s="258"/>
      <c r="Z40621" s="258"/>
    </row>
    <row r="40622" spans="1:26" ht="12.75" customHeight="1" x14ac:dyDescent="0.2">
      <c r="A40622" s="258"/>
      <c r="Z40622" s="258"/>
    </row>
    <row r="40623" spans="1:26" ht="12.75" customHeight="1" x14ac:dyDescent="0.2">
      <c r="A40623" s="258"/>
      <c r="Z40623" s="258"/>
    </row>
    <row r="40624" spans="1:26" ht="12.75" customHeight="1" x14ac:dyDescent="0.2">
      <c r="A40624" s="258"/>
      <c r="Z40624" s="258"/>
    </row>
    <row r="40625" spans="1:26" ht="12.75" customHeight="1" x14ac:dyDescent="0.2">
      <c r="A40625" s="258"/>
      <c r="Z40625" s="258"/>
    </row>
    <row r="40626" spans="1:26" ht="12.75" customHeight="1" x14ac:dyDescent="0.2">
      <c r="A40626" s="258"/>
      <c r="Z40626" s="258"/>
    </row>
    <row r="40627" spans="1:26" ht="12.75" customHeight="1" x14ac:dyDescent="0.2">
      <c r="A40627" s="258"/>
      <c r="Z40627" s="258"/>
    </row>
    <row r="40628" spans="1:26" ht="12.75" customHeight="1" x14ac:dyDescent="0.2">
      <c r="A40628" s="258"/>
      <c r="Z40628" s="258"/>
    </row>
    <row r="40629" spans="1:26" ht="12.75" customHeight="1" x14ac:dyDescent="0.2">
      <c r="A40629" s="258"/>
      <c r="Z40629" s="258"/>
    </row>
    <row r="40630" spans="1:26" ht="12.75" customHeight="1" x14ac:dyDescent="0.2">
      <c r="A40630" s="258"/>
      <c r="Z40630" s="258"/>
    </row>
    <row r="40631" spans="1:26" ht="12.75" customHeight="1" x14ac:dyDescent="0.2">
      <c r="A40631" s="258"/>
      <c r="Z40631" s="258"/>
    </row>
    <row r="40632" spans="1:26" ht="12.75" customHeight="1" x14ac:dyDescent="0.2">
      <c r="A40632" s="258"/>
      <c r="Z40632" s="258"/>
    </row>
    <row r="40633" spans="1:26" ht="12.75" customHeight="1" x14ac:dyDescent="0.2">
      <c r="A40633" s="258"/>
      <c r="Z40633" s="258"/>
    </row>
    <row r="40634" spans="1:26" ht="12.75" customHeight="1" x14ac:dyDescent="0.2">
      <c r="A40634" s="258"/>
      <c r="Z40634" s="258"/>
    </row>
    <row r="40635" spans="1:26" ht="12.75" customHeight="1" x14ac:dyDescent="0.2">
      <c r="A40635" s="258"/>
      <c r="Z40635" s="258"/>
    </row>
    <row r="40636" spans="1:26" ht="12.75" customHeight="1" x14ac:dyDescent="0.2">
      <c r="A40636" s="258"/>
      <c r="Z40636" s="258"/>
    </row>
    <row r="40637" spans="1:26" ht="12.75" customHeight="1" x14ac:dyDescent="0.2">
      <c r="A40637" s="258"/>
      <c r="Z40637" s="258"/>
    </row>
    <row r="40638" spans="1:26" ht="12.75" customHeight="1" x14ac:dyDescent="0.2">
      <c r="A40638" s="258"/>
      <c r="Z40638" s="258"/>
    </row>
    <row r="40639" spans="1:26" ht="12.75" customHeight="1" x14ac:dyDescent="0.2">
      <c r="A40639" s="258"/>
      <c r="Z40639" s="258"/>
    </row>
    <row r="40640" spans="1:26" ht="12.75" customHeight="1" x14ac:dyDescent="0.2">
      <c r="A40640" s="258"/>
      <c r="Z40640" s="258"/>
    </row>
    <row r="40641" spans="1:26" ht="12.75" customHeight="1" x14ac:dyDescent="0.2">
      <c r="A40641" s="258"/>
      <c r="Z40641" s="258"/>
    </row>
    <row r="40642" spans="1:26" ht="12.75" customHeight="1" x14ac:dyDescent="0.2">
      <c r="A40642" s="258"/>
      <c r="Z40642" s="258"/>
    </row>
    <row r="40643" spans="1:26" ht="12.75" customHeight="1" x14ac:dyDescent="0.2">
      <c r="A40643" s="258"/>
      <c r="Z40643" s="258"/>
    </row>
    <row r="40644" spans="1:26" ht="12.75" customHeight="1" x14ac:dyDescent="0.2">
      <c r="A40644" s="258"/>
      <c r="Z40644" s="258"/>
    </row>
    <row r="40645" spans="1:26" ht="12.75" customHeight="1" x14ac:dyDescent="0.2">
      <c r="A40645" s="258"/>
      <c r="Z40645" s="258"/>
    </row>
    <row r="40646" spans="1:26" ht="12.75" customHeight="1" x14ac:dyDescent="0.2">
      <c r="A40646" s="258"/>
      <c r="Z40646" s="258"/>
    </row>
    <row r="40647" spans="1:26" ht="12.75" customHeight="1" x14ac:dyDescent="0.2">
      <c r="A40647" s="258"/>
      <c r="Z40647" s="258"/>
    </row>
    <row r="40648" spans="1:26" ht="12.75" customHeight="1" x14ac:dyDescent="0.2">
      <c r="A40648" s="258"/>
      <c r="Z40648" s="258"/>
    </row>
    <row r="40649" spans="1:26" ht="12.75" customHeight="1" x14ac:dyDescent="0.2">
      <c r="A40649" s="258"/>
      <c r="Z40649" s="258"/>
    </row>
    <row r="40650" spans="1:26" ht="12.75" customHeight="1" x14ac:dyDescent="0.2">
      <c r="A40650" s="258"/>
      <c r="Z40650" s="258"/>
    </row>
    <row r="40651" spans="1:26" ht="12.75" customHeight="1" x14ac:dyDescent="0.2">
      <c r="A40651" s="258"/>
      <c r="Z40651" s="258"/>
    </row>
    <row r="40652" spans="1:26" ht="12.75" customHeight="1" x14ac:dyDescent="0.2">
      <c r="A40652" s="258"/>
      <c r="Z40652" s="258"/>
    </row>
    <row r="40653" spans="1:26" ht="12.75" customHeight="1" x14ac:dyDescent="0.2">
      <c r="A40653" s="258"/>
      <c r="Z40653" s="258"/>
    </row>
    <row r="40654" spans="1:26" ht="12.75" customHeight="1" x14ac:dyDescent="0.2">
      <c r="A40654" s="258"/>
      <c r="Z40654" s="258"/>
    </row>
    <row r="40655" spans="1:26" ht="12.75" customHeight="1" x14ac:dyDescent="0.2">
      <c r="A40655" s="258"/>
      <c r="Z40655" s="258"/>
    </row>
    <row r="40656" spans="1:26" ht="12.75" customHeight="1" x14ac:dyDescent="0.2">
      <c r="A40656" s="258"/>
      <c r="Z40656" s="258"/>
    </row>
    <row r="40657" spans="1:26" ht="12.75" customHeight="1" x14ac:dyDescent="0.2">
      <c r="A40657" s="258"/>
      <c r="Z40657" s="258"/>
    </row>
    <row r="40658" spans="1:26" ht="12.75" customHeight="1" x14ac:dyDescent="0.2">
      <c r="A40658" s="258"/>
      <c r="Z40658" s="258"/>
    </row>
    <row r="40659" spans="1:26" ht="12.75" customHeight="1" x14ac:dyDescent="0.2">
      <c r="A40659" s="258"/>
      <c r="Z40659" s="258"/>
    </row>
    <row r="40660" spans="1:26" ht="12.75" customHeight="1" x14ac:dyDescent="0.2">
      <c r="A40660" s="258"/>
      <c r="Z40660" s="258"/>
    </row>
    <row r="40661" spans="1:26" ht="12.75" customHeight="1" x14ac:dyDescent="0.2">
      <c r="A40661" s="258"/>
      <c r="Z40661" s="258"/>
    </row>
    <row r="40662" spans="1:26" ht="12.75" customHeight="1" x14ac:dyDescent="0.2">
      <c r="A40662" s="258"/>
      <c r="Z40662" s="258"/>
    </row>
    <row r="40663" spans="1:26" ht="12.75" customHeight="1" x14ac:dyDescent="0.2">
      <c r="A40663" s="258"/>
      <c r="Z40663" s="258"/>
    </row>
    <row r="40664" spans="1:26" ht="12.75" customHeight="1" x14ac:dyDescent="0.2">
      <c r="A40664" s="258"/>
      <c r="Z40664" s="258"/>
    </row>
    <row r="40665" spans="1:26" ht="12.75" customHeight="1" x14ac:dyDescent="0.2">
      <c r="A40665" s="258"/>
      <c r="Z40665" s="258"/>
    </row>
    <row r="40666" spans="1:26" ht="12.75" customHeight="1" x14ac:dyDescent="0.2">
      <c r="A40666" s="258"/>
      <c r="Z40666" s="258"/>
    </row>
    <row r="40667" spans="1:26" ht="12.75" customHeight="1" x14ac:dyDescent="0.2">
      <c r="A40667" s="258"/>
      <c r="Z40667" s="258"/>
    </row>
    <row r="40668" spans="1:26" ht="12.75" customHeight="1" x14ac:dyDescent="0.2">
      <c r="A40668" s="258"/>
      <c r="Z40668" s="258"/>
    </row>
    <row r="40669" spans="1:26" ht="12.75" customHeight="1" x14ac:dyDescent="0.2">
      <c r="A40669" s="258"/>
      <c r="Z40669" s="258"/>
    </row>
    <row r="40670" spans="1:26" ht="12.75" customHeight="1" x14ac:dyDescent="0.2">
      <c r="A40670" s="258"/>
      <c r="Z40670" s="258"/>
    </row>
    <row r="40671" spans="1:26" ht="12.75" customHeight="1" x14ac:dyDescent="0.2">
      <c r="A40671" s="258"/>
      <c r="Z40671" s="258"/>
    </row>
    <row r="40672" spans="1:26" ht="12.75" customHeight="1" x14ac:dyDescent="0.2">
      <c r="A40672" s="258"/>
      <c r="Z40672" s="258"/>
    </row>
    <row r="40673" spans="1:26" ht="12.75" customHeight="1" x14ac:dyDescent="0.2">
      <c r="A40673" s="258"/>
      <c r="Z40673" s="258"/>
    </row>
    <row r="40674" spans="1:26" ht="12.75" customHeight="1" x14ac:dyDescent="0.2">
      <c r="A40674" s="258"/>
      <c r="Z40674" s="258"/>
    </row>
    <row r="40675" spans="1:26" ht="12.75" customHeight="1" x14ac:dyDescent="0.2">
      <c r="A40675" s="258"/>
      <c r="Z40675" s="258"/>
    </row>
    <row r="40676" spans="1:26" ht="12.75" customHeight="1" x14ac:dyDescent="0.2">
      <c r="A40676" s="258"/>
      <c r="Z40676" s="258"/>
    </row>
    <row r="40677" spans="1:26" ht="12.75" customHeight="1" x14ac:dyDescent="0.2">
      <c r="A40677" s="258"/>
      <c r="Z40677" s="258"/>
    </row>
    <row r="40678" spans="1:26" ht="12.75" customHeight="1" x14ac:dyDescent="0.2">
      <c r="A40678" s="258"/>
      <c r="Z40678" s="258"/>
    </row>
    <row r="40679" spans="1:26" ht="12.75" customHeight="1" x14ac:dyDescent="0.2">
      <c r="A40679" s="258"/>
      <c r="Z40679" s="258"/>
    </row>
    <row r="40680" spans="1:26" ht="12.75" customHeight="1" x14ac:dyDescent="0.2">
      <c r="A40680" s="258"/>
      <c r="Z40680" s="258"/>
    </row>
    <row r="40681" spans="1:26" ht="12.75" customHeight="1" x14ac:dyDescent="0.2">
      <c r="A40681" s="258"/>
      <c r="Z40681" s="258"/>
    </row>
    <row r="40682" spans="1:26" ht="12.75" customHeight="1" x14ac:dyDescent="0.2">
      <c r="A40682" s="258"/>
      <c r="Z40682" s="258"/>
    </row>
    <row r="40683" spans="1:26" ht="12.75" customHeight="1" x14ac:dyDescent="0.2">
      <c r="A40683" s="258"/>
      <c r="Z40683" s="258"/>
    </row>
    <row r="40684" spans="1:26" ht="12.75" customHeight="1" x14ac:dyDescent="0.2">
      <c r="A40684" s="258"/>
      <c r="Z40684" s="258"/>
    </row>
    <row r="40685" spans="1:26" ht="12.75" customHeight="1" x14ac:dyDescent="0.2">
      <c r="A40685" s="258"/>
      <c r="Z40685" s="258"/>
    </row>
    <row r="40686" spans="1:26" ht="12.75" customHeight="1" x14ac:dyDescent="0.2">
      <c r="A40686" s="258"/>
      <c r="Z40686" s="258"/>
    </row>
    <row r="40687" spans="1:26" ht="12.75" customHeight="1" x14ac:dyDescent="0.2">
      <c r="A40687" s="258"/>
      <c r="Z40687" s="258"/>
    </row>
    <row r="40688" spans="1:26" ht="12.75" customHeight="1" x14ac:dyDescent="0.2">
      <c r="A40688" s="258"/>
      <c r="Z40688" s="258"/>
    </row>
    <row r="40689" spans="1:26" ht="12.75" customHeight="1" x14ac:dyDescent="0.2">
      <c r="A40689" s="258"/>
      <c r="Z40689" s="258"/>
    </row>
    <row r="40690" spans="1:26" ht="12.75" customHeight="1" x14ac:dyDescent="0.2">
      <c r="A40690" s="258"/>
      <c r="Z40690" s="258"/>
    </row>
    <row r="40691" spans="1:26" ht="12.75" customHeight="1" x14ac:dyDescent="0.2">
      <c r="A40691" s="258"/>
      <c r="Z40691" s="258"/>
    </row>
    <row r="40692" spans="1:26" ht="12.75" customHeight="1" x14ac:dyDescent="0.2">
      <c r="A40692" s="258"/>
      <c r="Z40692" s="258"/>
    </row>
    <row r="40693" spans="1:26" ht="12.75" customHeight="1" x14ac:dyDescent="0.2">
      <c r="A40693" s="258"/>
      <c r="Z40693" s="258"/>
    </row>
    <row r="40694" spans="1:26" ht="12.75" customHeight="1" x14ac:dyDescent="0.2">
      <c r="A40694" s="258"/>
      <c r="Z40694" s="258"/>
    </row>
    <row r="40695" spans="1:26" ht="12.75" customHeight="1" x14ac:dyDescent="0.2">
      <c r="A40695" s="258"/>
      <c r="Z40695" s="258"/>
    </row>
    <row r="40696" spans="1:26" ht="12.75" customHeight="1" x14ac:dyDescent="0.2">
      <c r="A40696" s="258"/>
      <c r="Z40696" s="258"/>
    </row>
    <row r="40697" spans="1:26" ht="12.75" customHeight="1" x14ac:dyDescent="0.2">
      <c r="A40697" s="258"/>
      <c r="Z40697" s="258"/>
    </row>
    <row r="40698" spans="1:26" ht="12.75" customHeight="1" x14ac:dyDescent="0.2">
      <c r="A40698" s="258"/>
      <c r="Z40698" s="258"/>
    </row>
    <row r="40699" spans="1:26" ht="12.75" customHeight="1" x14ac:dyDescent="0.2">
      <c r="A40699" s="258"/>
      <c r="Z40699" s="258"/>
    </row>
    <row r="40700" spans="1:26" ht="12.75" customHeight="1" x14ac:dyDescent="0.2">
      <c r="A40700" s="258"/>
      <c r="Z40700" s="258"/>
    </row>
    <row r="40701" spans="1:26" ht="12.75" customHeight="1" x14ac:dyDescent="0.2">
      <c r="A40701" s="258"/>
      <c r="Z40701" s="258"/>
    </row>
    <row r="40702" spans="1:26" ht="12.75" customHeight="1" x14ac:dyDescent="0.2">
      <c r="A40702" s="258"/>
      <c r="Z40702" s="258"/>
    </row>
    <row r="40703" spans="1:26" ht="12.75" customHeight="1" x14ac:dyDescent="0.2">
      <c r="A40703" s="258"/>
      <c r="Z40703" s="258"/>
    </row>
    <row r="40704" spans="1:26" ht="12.75" customHeight="1" x14ac:dyDescent="0.2">
      <c r="A40704" s="258"/>
      <c r="Z40704" s="258"/>
    </row>
    <row r="40705" spans="1:26" ht="12.75" customHeight="1" x14ac:dyDescent="0.2">
      <c r="A40705" s="258"/>
      <c r="Z40705" s="258"/>
    </row>
    <row r="40706" spans="1:26" ht="12.75" customHeight="1" x14ac:dyDescent="0.2">
      <c r="A40706" s="258"/>
      <c r="Z40706" s="258"/>
    </row>
    <row r="40707" spans="1:26" ht="12.75" customHeight="1" x14ac:dyDescent="0.2">
      <c r="A40707" s="258"/>
      <c r="Z40707" s="258"/>
    </row>
    <row r="40708" spans="1:26" ht="12.75" customHeight="1" x14ac:dyDescent="0.2">
      <c r="A40708" s="258"/>
      <c r="Z40708" s="258"/>
    </row>
    <row r="40709" spans="1:26" ht="12.75" customHeight="1" x14ac:dyDescent="0.2">
      <c r="A40709" s="258"/>
      <c r="Z40709" s="258"/>
    </row>
    <row r="40710" spans="1:26" ht="12.75" customHeight="1" x14ac:dyDescent="0.2">
      <c r="A40710" s="258"/>
      <c r="Z40710" s="258"/>
    </row>
    <row r="40711" spans="1:26" ht="12.75" customHeight="1" x14ac:dyDescent="0.2">
      <c r="A40711" s="258"/>
      <c r="Z40711" s="258"/>
    </row>
    <row r="40712" spans="1:26" ht="12.75" customHeight="1" x14ac:dyDescent="0.2">
      <c r="A40712" s="258"/>
      <c r="Z40712" s="258"/>
    </row>
    <row r="40713" spans="1:26" ht="12.75" customHeight="1" x14ac:dyDescent="0.2">
      <c r="A40713" s="258"/>
      <c r="Z40713" s="258"/>
    </row>
    <row r="40714" spans="1:26" ht="12.75" customHeight="1" x14ac:dyDescent="0.2">
      <c r="A40714" s="258"/>
      <c r="Z40714" s="258"/>
    </row>
    <row r="40715" spans="1:26" ht="12.75" customHeight="1" x14ac:dyDescent="0.2">
      <c r="A40715" s="258"/>
      <c r="Z40715" s="258"/>
    </row>
    <row r="40716" spans="1:26" ht="12.75" customHeight="1" x14ac:dyDescent="0.2">
      <c r="A40716" s="258"/>
      <c r="Z40716" s="258"/>
    </row>
    <row r="40717" spans="1:26" ht="12.75" customHeight="1" x14ac:dyDescent="0.2">
      <c r="A40717" s="258"/>
      <c r="Z40717" s="258"/>
    </row>
    <row r="40718" spans="1:26" ht="12.75" customHeight="1" x14ac:dyDescent="0.2">
      <c r="A40718" s="258"/>
      <c r="Z40718" s="258"/>
    </row>
    <row r="40719" spans="1:26" ht="12.75" customHeight="1" x14ac:dyDescent="0.2">
      <c r="A40719" s="258"/>
      <c r="Z40719" s="258"/>
    </row>
    <row r="40720" spans="1:26" ht="12.75" customHeight="1" x14ac:dyDescent="0.2">
      <c r="A40720" s="258"/>
      <c r="Z40720" s="258"/>
    </row>
    <row r="40721" spans="1:26" ht="12.75" customHeight="1" x14ac:dyDescent="0.2">
      <c r="A40721" s="258"/>
      <c r="Z40721" s="258"/>
    </row>
    <row r="40722" spans="1:26" ht="12.75" customHeight="1" x14ac:dyDescent="0.2">
      <c r="A40722" s="258"/>
      <c r="Z40722" s="258"/>
    </row>
    <row r="40723" spans="1:26" ht="12.75" customHeight="1" x14ac:dyDescent="0.2">
      <c r="A40723" s="258"/>
      <c r="Z40723" s="258"/>
    </row>
    <row r="40724" spans="1:26" ht="12.75" customHeight="1" x14ac:dyDescent="0.2">
      <c r="A40724" s="258"/>
      <c r="Z40724" s="258"/>
    </row>
    <row r="40725" spans="1:26" ht="12.75" customHeight="1" x14ac:dyDescent="0.2">
      <c r="A40725" s="258"/>
      <c r="Z40725" s="258"/>
    </row>
    <row r="40726" spans="1:26" ht="12.75" customHeight="1" x14ac:dyDescent="0.2">
      <c r="A40726" s="258"/>
      <c r="Z40726" s="258"/>
    </row>
    <row r="40727" spans="1:26" ht="12.75" customHeight="1" x14ac:dyDescent="0.2">
      <c r="A40727" s="258"/>
      <c r="Z40727" s="258"/>
    </row>
    <row r="40728" spans="1:26" ht="12.75" customHeight="1" x14ac:dyDescent="0.2">
      <c r="A40728" s="258"/>
      <c r="Z40728" s="258"/>
    </row>
    <row r="40729" spans="1:26" ht="12.75" customHeight="1" x14ac:dyDescent="0.2">
      <c r="A40729" s="258"/>
      <c r="Z40729" s="258"/>
    </row>
    <row r="40730" spans="1:26" ht="12.75" customHeight="1" x14ac:dyDescent="0.2">
      <c r="A40730" s="258"/>
      <c r="Z40730" s="258"/>
    </row>
    <row r="40731" spans="1:26" ht="12.75" customHeight="1" x14ac:dyDescent="0.2">
      <c r="A40731" s="258"/>
      <c r="Z40731" s="258"/>
    </row>
    <row r="40732" spans="1:26" ht="12.75" customHeight="1" x14ac:dyDescent="0.2">
      <c r="A40732" s="258"/>
      <c r="Z40732" s="258"/>
    </row>
    <row r="40733" spans="1:26" ht="12.75" customHeight="1" x14ac:dyDescent="0.2">
      <c r="A40733" s="258"/>
      <c r="Z40733" s="258"/>
    </row>
    <row r="40734" spans="1:26" ht="12.75" customHeight="1" x14ac:dyDescent="0.2">
      <c r="A40734" s="258"/>
      <c r="Z40734" s="258"/>
    </row>
    <row r="40735" spans="1:26" ht="12.75" customHeight="1" x14ac:dyDescent="0.2">
      <c r="A40735" s="258"/>
      <c r="Z40735" s="258"/>
    </row>
    <row r="40736" spans="1:26" ht="12.75" customHeight="1" x14ac:dyDescent="0.2">
      <c r="A40736" s="258"/>
      <c r="Z40736" s="258"/>
    </row>
    <row r="40737" spans="1:26" ht="12.75" customHeight="1" x14ac:dyDescent="0.2">
      <c r="A40737" s="258"/>
      <c r="Z40737" s="258"/>
    </row>
    <row r="40738" spans="1:26" ht="12.75" customHeight="1" x14ac:dyDescent="0.2">
      <c r="A40738" s="258"/>
      <c r="Z40738" s="258"/>
    </row>
    <row r="40739" spans="1:26" ht="12.75" customHeight="1" x14ac:dyDescent="0.2">
      <c r="A40739" s="258"/>
      <c r="Z40739" s="258"/>
    </row>
    <row r="40740" spans="1:26" ht="12.75" customHeight="1" x14ac:dyDescent="0.2">
      <c r="A40740" s="258"/>
      <c r="Z40740" s="258"/>
    </row>
    <row r="40741" spans="1:26" ht="12.75" customHeight="1" x14ac:dyDescent="0.2">
      <c r="A40741" s="258"/>
      <c r="Z40741" s="258"/>
    </row>
    <row r="40742" spans="1:26" ht="12.75" customHeight="1" x14ac:dyDescent="0.2">
      <c r="A40742" s="258"/>
      <c r="Z40742" s="258"/>
    </row>
    <row r="40743" spans="1:26" ht="12.75" customHeight="1" x14ac:dyDescent="0.2">
      <c r="A40743" s="258"/>
      <c r="Z40743" s="258"/>
    </row>
    <row r="40744" spans="1:26" ht="12.75" customHeight="1" x14ac:dyDescent="0.2">
      <c r="A40744" s="258"/>
      <c r="Z40744" s="258"/>
    </row>
    <row r="40745" spans="1:26" ht="12.75" customHeight="1" x14ac:dyDescent="0.2">
      <c r="A40745" s="258"/>
      <c r="Z40745" s="258"/>
    </row>
    <row r="40746" spans="1:26" ht="12.75" customHeight="1" x14ac:dyDescent="0.2">
      <c r="A40746" s="258"/>
      <c r="Z40746" s="258"/>
    </row>
    <row r="40747" spans="1:26" ht="12.75" customHeight="1" x14ac:dyDescent="0.2">
      <c r="A40747" s="258"/>
      <c r="Z40747" s="258"/>
    </row>
    <row r="40748" spans="1:26" ht="12.75" customHeight="1" x14ac:dyDescent="0.2">
      <c r="A40748" s="258"/>
      <c r="Z40748" s="258"/>
    </row>
    <row r="40749" spans="1:26" ht="12.75" customHeight="1" x14ac:dyDescent="0.2">
      <c r="A40749" s="258"/>
      <c r="Z40749" s="258"/>
    </row>
    <row r="40750" spans="1:26" ht="12.75" customHeight="1" x14ac:dyDescent="0.2">
      <c r="A40750" s="258"/>
      <c r="Z40750" s="258"/>
    </row>
    <row r="40751" spans="1:26" ht="12.75" customHeight="1" x14ac:dyDescent="0.2">
      <c r="A40751" s="258"/>
      <c r="Z40751" s="258"/>
    </row>
    <row r="40752" spans="1:26" ht="12.75" customHeight="1" x14ac:dyDescent="0.2">
      <c r="A40752" s="258"/>
      <c r="Z40752" s="258"/>
    </row>
    <row r="40753" spans="1:26" ht="12.75" customHeight="1" x14ac:dyDescent="0.2">
      <c r="A40753" s="258"/>
      <c r="Z40753" s="258"/>
    </row>
    <row r="40754" spans="1:26" ht="12.75" customHeight="1" x14ac:dyDescent="0.2">
      <c r="A40754" s="258"/>
      <c r="Z40754" s="258"/>
    </row>
    <row r="40755" spans="1:26" ht="12.75" customHeight="1" x14ac:dyDescent="0.2">
      <c r="A40755" s="258"/>
      <c r="Z40755" s="258"/>
    </row>
    <row r="40756" spans="1:26" ht="12.75" customHeight="1" x14ac:dyDescent="0.2">
      <c r="A40756" s="258"/>
      <c r="Z40756" s="258"/>
    </row>
    <row r="40757" spans="1:26" ht="12.75" customHeight="1" x14ac:dyDescent="0.2">
      <c r="A40757" s="258"/>
      <c r="Z40757" s="258"/>
    </row>
    <row r="40758" spans="1:26" ht="12.75" customHeight="1" x14ac:dyDescent="0.2">
      <c r="A40758" s="258"/>
      <c r="Z40758" s="258"/>
    </row>
    <row r="40759" spans="1:26" ht="12.75" customHeight="1" x14ac:dyDescent="0.2">
      <c r="A40759" s="258"/>
      <c r="Z40759" s="258"/>
    </row>
    <row r="40760" spans="1:26" ht="12.75" customHeight="1" x14ac:dyDescent="0.2">
      <c r="A40760" s="258"/>
      <c r="Z40760" s="258"/>
    </row>
    <row r="40761" spans="1:26" ht="12.75" customHeight="1" x14ac:dyDescent="0.2">
      <c r="A40761" s="258"/>
      <c r="Z40761" s="258"/>
    </row>
    <row r="40762" spans="1:26" ht="12.75" customHeight="1" x14ac:dyDescent="0.2">
      <c r="A40762" s="258"/>
      <c r="Z40762" s="258"/>
    </row>
    <row r="40763" spans="1:26" ht="12.75" customHeight="1" x14ac:dyDescent="0.2">
      <c r="A40763" s="258"/>
      <c r="Z40763" s="258"/>
    </row>
    <row r="40764" spans="1:26" ht="12.75" customHeight="1" x14ac:dyDescent="0.2">
      <c r="A40764" s="258"/>
      <c r="Z40764" s="258"/>
    </row>
    <row r="40765" spans="1:26" ht="12.75" customHeight="1" x14ac:dyDescent="0.2">
      <c r="A40765" s="258"/>
      <c r="Z40765" s="258"/>
    </row>
    <row r="40766" spans="1:26" ht="12.75" customHeight="1" x14ac:dyDescent="0.2">
      <c r="A40766" s="258"/>
      <c r="Z40766" s="258"/>
    </row>
    <row r="40767" spans="1:26" ht="12.75" customHeight="1" x14ac:dyDescent="0.2">
      <c r="A40767" s="258"/>
      <c r="Z40767" s="258"/>
    </row>
    <row r="40768" spans="1:26" ht="12.75" customHeight="1" x14ac:dyDescent="0.2">
      <c r="A40768" s="258"/>
      <c r="Z40768" s="258"/>
    </row>
    <row r="40769" spans="1:26" ht="12.75" customHeight="1" x14ac:dyDescent="0.2">
      <c r="A40769" s="258"/>
      <c r="Z40769" s="258"/>
    </row>
    <row r="40770" spans="1:26" ht="12.75" customHeight="1" x14ac:dyDescent="0.2">
      <c r="A40770" s="258"/>
      <c r="Z40770" s="258"/>
    </row>
    <row r="40771" spans="1:26" ht="12.75" customHeight="1" x14ac:dyDescent="0.2">
      <c r="A40771" s="258"/>
      <c r="Z40771" s="258"/>
    </row>
    <row r="40772" spans="1:26" ht="12.75" customHeight="1" x14ac:dyDescent="0.2">
      <c r="A40772" s="258"/>
      <c r="Z40772" s="258"/>
    </row>
    <row r="40773" spans="1:26" ht="12.75" customHeight="1" x14ac:dyDescent="0.2">
      <c r="A40773" s="258"/>
      <c r="Z40773" s="258"/>
    </row>
    <row r="40774" spans="1:26" ht="12.75" customHeight="1" x14ac:dyDescent="0.2">
      <c r="A40774" s="258"/>
      <c r="Z40774" s="258"/>
    </row>
    <row r="40775" spans="1:26" ht="12.75" customHeight="1" x14ac:dyDescent="0.2">
      <c r="A40775" s="258"/>
      <c r="Z40775" s="258"/>
    </row>
    <row r="40776" spans="1:26" ht="12.75" customHeight="1" x14ac:dyDescent="0.2">
      <c r="A40776" s="258"/>
      <c r="Z40776" s="258"/>
    </row>
    <row r="40777" spans="1:26" ht="12.75" customHeight="1" x14ac:dyDescent="0.2">
      <c r="A40777" s="258"/>
      <c r="Z40777" s="258"/>
    </row>
    <row r="40778" spans="1:26" ht="12.75" customHeight="1" x14ac:dyDescent="0.2">
      <c r="A40778" s="258"/>
      <c r="Z40778" s="258"/>
    </row>
    <row r="40779" spans="1:26" ht="12.75" customHeight="1" x14ac:dyDescent="0.2">
      <c r="A40779" s="258"/>
      <c r="Z40779" s="258"/>
    </row>
    <row r="40780" spans="1:26" ht="12.75" customHeight="1" x14ac:dyDescent="0.2">
      <c r="A40780" s="258"/>
      <c r="Z40780" s="258"/>
    </row>
    <row r="40781" spans="1:26" ht="12.75" customHeight="1" x14ac:dyDescent="0.2">
      <c r="A40781" s="258"/>
      <c r="Z40781" s="258"/>
    </row>
    <row r="40782" spans="1:26" ht="12.75" customHeight="1" x14ac:dyDescent="0.2">
      <c r="A40782" s="258"/>
      <c r="Z40782" s="258"/>
    </row>
    <row r="40783" spans="1:26" ht="12.75" customHeight="1" x14ac:dyDescent="0.2">
      <c r="A40783" s="258"/>
      <c r="Z40783" s="258"/>
    </row>
    <row r="40784" spans="1:26" ht="12.75" customHeight="1" x14ac:dyDescent="0.2">
      <c r="A40784" s="258"/>
      <c r="Z40784" s="258"/>
    </row>
    <row r="40785" spans="1:26" ht="12.75" customHeight="1" x14ac:dyDescent="0.2">
      <c r="A40785" s="258"/>
      <c r="Z40785" s="258"/>
    </row>
    <row r="40786" spans="1:26" ht="12.75" customHeight="1" x14ac:dyDescent="0.2">
      <c r="A40786" s="258"/>
      <c r="Z40786" s="258"/>
    </row>
    <row r="40787" spans="1:26" ht="12.75" customHeight="1" x14ac:dyDescent="0.2">
      <c r="A40787" s="258"/>
      <c r="Z40787" s="258"/>
    </row>
    <row r="40788" spans="1:26" ht="12.75" customHeight="1" x14ac:dyDescent="0.2">
      <c r="A40788" s="258"/>
      <c r="Z40788" s="258"/>
    </row>
    <row r="40789" spans="1:26" ht="12.75" customHeight="1" x14ac:dyDescent="0.2">
      <c r="A40789" s="258"/>
      <c r="Z40789" s="258"/>
    </row>
    <row r="40790" spans="1:26" ht="12.75" customHeight="1" x14ac:dyDescent="0.2">
      <c r="A40790" s="258"/>
      <c r="Z40790" s="258"/>
    </row>
    <row r="40791" spans="1:26" ht="12.75" customHeight="1" x14ac:dyDescent="0.2">
      <c r="A40791" s="258"/>
      <c r="Z40791" s="258"/>
    </row>
    <row r="40792" spans="1:26" ht="12.75" customHeight="1" x14ac:dyDescent="0.2">
      <c r="A40792" s="258"/>
      <c r="Z40792" s="258"/>
    </row>
    <row r="40793" spans="1:26" ht="12.75" customHeight="1" x14ac:dyDescent="0.2">
      <c r="A40793" s="258"/>
      <c r="Z40793" s="258"/>
    </row>
    <row r="40794" spans="1:26" ht="12.75" customHeight="1" x14ac:dyDescent="0.2">
      <c r="A40794" s="258"/>
      <c r="Z40794" s="258"/>
    </row>
    <row r="40795" spans="1:26" ht="12.75" customHeight="1" x14ac:dyDescent="0.2">
      <c r="A40795" s="258"/>
      <c r="Z40795" s="258"/>
    </row>
    <row r="40796" spans="1:26" ht="12.75" customHeight="1" x14ac:dyDescent="0.2">
      <c r="A40796" s="258"/>
      <c r="Z40796" s="258"/>
    </row>
    <row r="40797" spans="1:26" ht="12.75" customHeight="1" x14ac:dyDescent="0.2">
      <c r="A40797" s="258"/>
      <c r="Z40797" s="258"/>
    </row>
    <row r="40798" spans="1:26" ht="12.75" customHeight="1" x14ac:dyDescent="0.2">
      <c r="A40798" s="258"/>
      <c r="Z40798" s="258"/>
    </row>
    <row r="40799" spans="1:26" ht="12.75" customHeight="1" x14ac:dyDescent="0.2">
      <c r="A40799" s="258"/>
      <c r="Z40799" s="258"/>
    </row>
    <row r="40800" spans="1:26" ht="12.75" customHeight="1" x14ac:dyDescent="0.2">
      <c r="A40800" s="258"/>
      <c r="Z40800" s="258"/>
    </row>
    <row r="40801" spans="1:26" ht="12.75" customHeight="1" x14ac:dyDescent="0.2">
      <c r="A40801" s="258"/>
      <c r="Z40801" s="258"/>
    </row>
    <row r="40802" spans="1:26" ht="12.75" customHeight="1" x14ac:dyDescent="0.2">
      <c r="A40802" s="258"/>
      <c r="Z40802" s="258"/>
    </row>
    <row r="40803" spans="1:26" ht="12.75" customHeight="1" x14ac:dyDescent="0.2">
      <c r="A40803" s="258"/>
      <c r="Z40803" s="258"/>
    </row>
    <row r="40804" spans="1:26" ht="12.75" customHeight="1" x14ac:dyDescent="0.2">
      <c r="A40804" s="258"/>
      <c r="Z40804" s="258"/>
    </row>
    <row r="40805" spans="1:26" ht="12.75" customHeight="1" x14ac:dyDescent="0.2">
      <c r="A40805" s="258"/>
      <c r="Z40805" s="258"/>
    </row>
    <row r="40806" spans="1:26" ht="12.75" customHeight="1" x14ac:dyDescent="0.2">
      <c r="A40806" s="258"/>
      <c r="Z40806" s="258"/>
    </row>
    <row r="40807" spans="1:26" ht="12.75" customHeight="1" x14ac:dyDescent="0.2">
      <c r="A40807" s="258"/>
      <c r="Z40807" s="258"/>
    </row>
    <row r="40808" spans="1:26" ht="12.75" customHeight="1" x14ac:dyDescent="0.2">
      <c r="A40808" s="258"/>
      <c r="Z40808" s="258"/>
    </row>
    <row r="40809" spans="1:26" ht="12.75" customHeight="1" x14ac:dyDescent="0.2">
      <c r="A40809" s="258"/>
      <c r="Z40809" s="258"/>
    </row>
    <row r="40810" spans="1:26" ht="12.75" customHeight="1" x14ac:dyDescent="0.2">
      <c r="A40810" s="258"/>
      <c r="Z40810" s="258"/>
    </row>
    <row r="40811" spans="1:26" ht="12.75" customHeight="1" x14ac:dyDescent="0.2">
      <c r="A40811" s="258"/>
      <c r="Z40811" s="258"/>
    </row>
    <row r="40812" spans="1:26" ht="12.75" customHeight="1" x14ac:dyDescent="0.2">
      <c r="A40812" s="258"/>
      <c r="Z40812" s="258"/>
    </row>
    <row r="40813" spans="1:26" ht="12.75" customHeight="1" x14ac:dyDescent="0.2">
      <c r="A40813" s="258"/>
      <c r="Z40813" s="258"/>
    </row>
    <row r="40814" spans="1:26" ht="12.75" customHeight="1" x14ac:dyDescent="0.2">
      <c r="A40814" s="258"/>
      <c r="Z40814" s="258"/>
    </row>
    <row r="40815" spans="1:26" ht="12.75" customHeight="1" x14ac:dyDescent="0.2">
      <c r="A40815" s="258"/>
      <c r="Z40815" s="258"/>
    </row>
    <row r="40816" spans="1:26" ht="12.75" customHeight="1" x14ac:dyDescent="0.2">
      <c r="A40816" s="258"/>
      <c r="Z40816" s="258"/>
    </row>
    <row r="40817" spans="1:26" ht="12.75" customHeight="1" x14ac:dyDescent="0.2">
      <c r="A40817" s="258"/>
      <c r="Z40817" s="258"/>
    </row>
    <row r="40818" spans="1:26" ht="12.75" customHeight="1" x14ac:dyDescent="0.2">
      <c r="A40818" s="258"/>
      <c r="Z40818" s="258"/>
    </row>
    <row r="40819" spans="1:26" ht="12.75" customHeight="1" x14ac:dyDescent="0.2">
      <c r="A40819" s="258"/>
      <c r="Z40819" s="258"/>
    </row>
    <row r="40820" spans="1:26" ht="12.75" customHeight="1" x14ac:dyDescent="0.2">
      <c r="A40820" s="258"/>
      <c r="Z40820" s="258"/>
    </row>
    <row r="40821" spans="1:26" ht="12.75" customHeight="1" x14ac:dyDescent="0.2">
      <c r="A40821" s="258"/>
      <c r="Z40821" s="258"/>
    </row>
    <row r="40822" spans="1:26" ht="12.75" customHeight="1" x14ac:dyDescent="0.2">
      <c r="A40822" s="258"/>
      <c r="Z40822" s="258"/>
    </row>
    <row r="40823" spans="1:26" ht="12.75" customHeight="1" x14ac:dyDescent="0.2">
      <c r="A40823" s="258"/>
      <c r="Z40823" s="258"/>
    </row>
    <row r="40824" spans="1:26" ht="12.75" customHeight="1" x14ac:dyDescent="0.2">
      <c r="A40824" s="258"/>
      <c r="Z40824" s="258"/>
    </row>
    <row r="40825" spans="1:26" ht="12.75" customHeight="1" x14ac:dyDescent="0.2">
      <c r="A40825" s="258"/>
      <c r="Z40825" s="258"/>
    </row>
    <row r="40826" spans="1:26" ht="12.75" customHeight="1" x14ac:dyDescent="0.2">
      <c r="A40826" s="258"/>
      <c r="Z40826" s="258"/>
    </row>
    <row r="40827" spans="1:26" ht="12.75" customHeight="1" x14ac:dyDescent="0.2">
      <c r="A40827" s="258"/>
      <c r="Z40827" s="258"/>
    </row>
    <row r="40828" spans="1:26" ht="12.75" customHeight="1" x14ac:dyDescent="0.2">
      <c r="A40828" s="258"/>
      <c r="Z40828" s="258"/>
    </row>
    <row r="40829" spans="1:26" ht="12.75" customHeight="1" x14ac:dyDescent="0.2">
      <c r="A40829" s="258"/>
      <c r="Z40829" s="258"/>
    </row>
    <row r="40830" spans="1:26" ht="12.75" customHeight="1" x14ac:dyDescent="0.2">
      <c r="A40830" s="258"/>
      <c r="Z40830" s="258"/>
    </row>
    <row r="40831" spans="1:26" ht="12.75" customHeight="1" x14ac:dyDescent="0.2">
      <c r="A40831" s="258"/>
      <c r="Z40831" s="258"/>
    </row>
    <row r="40832" spans="1:26" ht="12.75" customHeight="1" x14ac:dyDescent="0.2">
      <c r="A40832" s="258"/>
      <c r="Z40832" s="258"/>
    </row>
    <row r="40833" spans="1:26" ht="12.75" customHeight="1" x14ac:dyDescent="0.2">
      <c r="A40833" s="258"/>
      <c r="Z40833" s="258"/>
    </row>
    <row r="40834" spans="1:26" ht="12.75" customHeight="1" x14ac:dyDescent="0.2">
      <c r="A40834" s="258"/>
      <c r="Z40834" s="258"/>
    </row>
    <row r="40835" spans="1:26" ht="12.75" customHeight="1" x14ac:dyDescent="0.2">
      <c r="A40835" s="258"/>
      <c r="Z40835" s="258"/>
    </row>
    <row r="40836" spans="1:26" ht="12.75" customHeight="1" x14ac:dyDescent="0.2">
      <c r="A40836" s="258"/>
      <c r="Z40836" s="258"/>
    </row>
    <row r="40837" spans="1:26" ht="12.75" customHeight="1" x14ac:dyDescent="0.2">
      <c r="A40837" s="258"/>
      <c r="Z40837" s="258"/>
    </row>
    <row r="40838" spans="1:26" ht="12.75" customHeight="1" x14ac:dyDescent="0.2">
      <c r="A40838" s="258"/>
      <c r="Z40838" s="258"/>
    </row>
    <row r="40839" spans="1:26" ht="12.75" customHeight="1" x14ac:dyDescent="0.2">
      <c r="A40839" s="258"/>
      <c r="Z40839" s="258"/>
    </row>
    <row r="40840" spans="1:26" ht="12.75" customHeight="1" x14ac:dyDescent="0.2">
      <c r="A40840" s="258"/>
      <c r="Z40840" s="258"/>
    </row>
    <row r="40841" spans="1:26" ht="12.75" customHeight="1" x14ac:dyDescent="0.2">
      <c r="A40841" s="258"/>
      <c r="Z40841" s="258"/>
    </row>
    <row r="40842" spans="1:26" ht="12.75" customHeight="1" x14ac:dyDescent="0.2">
      <c r="A40842" s="258"/>
      <c r="Z40842" s="258"/>
    </row>
    <row r="40843" spans="1:26" ht="12.75" customHeight="1" x14ac:dyDescent="0.2">
      <c r="A40843" s="258"/>
      <c r="Z40843" s="258"/>
    </row>
    <row r="40844" spans="1:26" ht="12.75" customHeight="1" x14ac:dyDescent="0.2">
      <c r="A40844" s="258"/>
      <c r="Z40844" s="258"/>
    </row>
    <row r="40845" spans="1:26" ht="12.75" customHeight="1" x14ac:dyDescent="0.2">
      <c r="A40845" s="258"/>
      <c r="Z40845" s="258"/>
    </row>
    <row r="40846" spans="1:26" ht="12.75" customHeight="1" x14ac:dyDescent="0.2">
      <c r="A40846" s="258"/>
      <c r="Z40846" s="258"/>
    </row>
    <row r="40847" spans="1:26" ht="12.75" customHeight="1" x14ac:dyDescent="0.2">
      <c r="A40847" s="258"/>
      <c r="Z40847" s="258"/>
    </row>
    <row r="40848" spans="1:26" ht="12.75" customHeight="1" x14ac:dyDescent="0.2">
      <c r="A40848" s="258"/>
      <c r="Z40848" s="258"/>
    </row>
    <row r="40849" spans="1:26" ht="12.75" customHeight="1" x14ac:dyDescent="0.2">
      <c r="A40849" s="258"/>
      <c r="Z40849" s="258"/>
    </row>
    <row r="40850" spans="1:26" ht="12.75" customHeight="1" x14ac:dyDescent="0.2">
      <c r="A40850" s="258"/>
      <c r="Z40850" s="258"/>
    </row>
    <row r="40851" spans="1:26" ht="12.75" customHeight="1" x14ac:dyDescent="0.2">
      <c r="A40851" s="258"/>
      <c r="Z40851" s="258"/>
    </row>
    <row r="40852" spans="1:26" ht="12.75" customHeight="1" x14ac:dyDescent="0.2">
      <c r="A40852" s="258"/>
      <c r="Z40852" s="258"/>
    </row>
    <row r="40853" spans="1:26" ht="12.75" customHeight="1" x14ac:dyDescent="0.2">
      <c r="A40853" s="258"/>
      <c r="Z40853" s="258"/>
    </row>
    <row r="40854" spans="1:26" ht="12.75" customHeight="1" x14ac:dyDescent="0.2">
      <c r="A40854" s="258"/>
      <c r="Z40854" s="258"/>
    </row>
    <row r="40855" spans="1:26" ht="12.75" customHeight="1" x14ac:dyDescent="0.2">
      <c r="A40855" s="258"/>
      <c r="Z40855" s="258"/>
    </row>
    <row r="40856" spans="1:26" ht="12.75" customHeight="1" x14ac:dyDescent="0.2">
      <c r="A40856" s="258"/>
      <c r="Z40856" s="258"/>
    </row>
    <row r="40857" spans="1:26" ht="12.75" customHeight="1" x14ac:dyDescent="0.2">
      <c r="A40857" s="258"/>
      <c r="Z40857" s="258"/>
    </row>
    <row r="40858" spans="1:26" ht="12.75" customHeight="1" x14ac:dyDescent="0.2">
      <c r="A40858" s="258"/>
      <c r="Z40858" s="258"/>
    </row>
    <row r="40859" spans="1:26" ht="12.75" customHeight="1" x14ac:dyDescent="0.2">
      <c r="A40859" s="258"/>
      <c r="Z40859" s="258"/>
    </row>
    <row r="40860" spans="1:26" ht="12.75" customHeight="1" x14ac:dyDescent="0.2">
      <c r="A40860" s="258"/>
      <c r="Z40860" s="258"/>
    </row>
    <row r="40861" spans="1:26" ht="12.75" customHeight="1" x14ac:dyDescent="0.2">
      <c r="A40861" s="258"/>
      <c r="Z40861" s="258"/>
    </row>
    <row r="40862" spans="1:26" ht="12.75" customHeight="1" x14ac:dyDescent="0.2">
      <c r="A40862" s="258"/>
      <c r="Z40862" s="258"/>
    </row>
    <row r="40863" spans="1:26" ht="12.75" customHeight="1" x14ac:dyDescent="0.2">
      <c r="A40863" s="258"/>
      <c r="Z40863" s="258"/>
    </row>
    <row r="40864" spans="1:26" ht="12.75" customHeight="1" x14ac:dyDescent="0.2">
      <c r="A40864" s="258"/>
      <c r="Z40864" s="258"/>
    </row>
    <row r="40865" spans="1:26" ht="12.75" customHeight="1" x14ac:dyDescent="0.2">
      <c r="A40865" s="258"/>
      <c r="Z40865" s="258"/>
    </row>
    <row r="40866" spans="1:26" ht="12.75" customHeight="1" x14ac:dyDescent="0.2">
      <c r="A40866" s="258"/>
      <c r="Z40866" s="258"/>
    </row>
    <row r="40867" spans="1:26" ht="12.75" customHeight="1" x14ac:dyDescent="0.2">
      <c r="A40867" s="258"/>
      <c r="Z40867" s="258"/>
    </row>
    <row r="40868" spans="1:26" ht="12.75" customHeight="1" x14ac:dyDescent="0.2">
      <c r="A40868" s="258"/>
      <c r="Z40868" s="258"/>
    </row>
    <row r="40869" spans="1:26" ht="12.75" customHeight="1" x14ac:dyDescent="0.2">
      <c r="A40869" s="258"/>
      <c r="Z40869" s="258"/>
    </row>
    <row r="40870" spans="1:26" ht="12.75" customHeight="1" x14ac:dyDescent="0.2">
      <c r="A40870" s="258"/>
      <c r="Z40870" s="258"/>
    </row>
    <row r="40871" spans="1:26" ht="12.75" customHeight="1" x14ac:dyDescent="0.2">
      <c r="A40871" s="258"/>
      <c r="Z40871" s="258"/>
    </row>
    <row r="40872" spans="1:26" ht="12.75" customHeight="1" x14ac:dyDescent="0.2">
      <c r="A40872" s="258"/>
      <c r="Z40872" s="258"/>
    </row>
    <row r="40873" spans="1:26" ht="12.75" customHeight="1" x14ac:dyDescent="0.2">
      <c r="A40873" s="258"/>
      <c r="Z40873" s="258"/>
    </row>
    <row r="40874" spans="1:26" ht="12.75" customHeight="1" x14ac:dyDescent="0.2">
      <c r="A40874" s="258"/>
      <c r="Z40874" s="258"/>
    </row>
    <row r="40875" spans="1:26" ht="12.75" customHeight="1" x14ac:dyDescent="0.2">
      <c r="A40875" s="258"/>
      <c r="Z40875" s="258"/>
    </row>
    <row r="40876" spans="1:26" ht="12.75" customHeight="1" x14ac:dyDescent="0.2">
      <c r="A40876" s="258"/>
      <c r="Z40876" s="258"/>
    </row>
    <row r="40877" spans="1:26" ht="12.75" customHeight="1" x14ac:dyDescent="0.2">
      <c r="A40877" s="258"/>
      <c r="Z40877" s="258"/>
    </row>
    <row r="40878" spans="1:26" ht="12.75" customHeight="1" x14ac:dyDescent="0.2">
      <c r="A40878" s="258"/>
      <c r="Z40878" s="258"/>
    </row>
    <row r="40879" spans="1:26" ht="12.75" customHeight="1" x14ac:dyDescent="0.2">
      <c r="A40879" s="258"/>
      <c r="Z40879" s="258"/>
    </row>
    <row r="40880" spans="1:26" ht="12.75" customHeight="1" x14ac:dyDescent="0.2">
      <c r="A40880" s="258"/>
      <c r="Z40880" s="258"/>
    </row>
    <row r="40881" spans="1:26" ht="12.75" customHeight="1" x14ac:dyDescent="0.2">
      <c r="A40881" s="258"/>
      <c r="Z40881" s="258"/>
    </row>
    <row r="40882" spans="1:26" ht="12.75" customHeight="1" x14ac:dyDescent="0.2">
      <c r="A40882" s="258"/>
      <c r="Z40882" s="258"/>
    </row>
    <row r="40883" spans="1:26" ht="12.75" customHeight="1" x14ac:dyDescent="0.2">
      <c r="A40883" s="258"/>
      <c r="Z40883" s="258"/>
    </row>
    <row r="40884" spans="1:26" ht="12.75" customHeight="1" x14ac:dyDescent="0.2">
      <c r="A40884" s="258"/>
      <c r="Z40884" s="258"/>
    </row>
    <row r="40885" spans="1:26" ht="12.75" customHeight="1" x14ac:dyDescent="0.2">
      <c r="A40885" s="258"/>
      <c r="Z40885" s="258"/>
    </row>
    <row r="40886" spans="1:26" ht="12.75" customHeight="1" x14ac:dyDescent="0.2">
      <c r="A40886" s="258"/>
      <c r="Z40886" s="258"/>
    </row>
    <row r="40887" spans="1:26" ht="12.75" customHeight="1" x14ac:dyDescent="0.2">
      <c r="A40887" s="258"/>
      <c r="Z40887" s="258"/>
    </row>
    <row r="40888" spans="1:26" ht="12.75" customHeight="1" x14ac:dyDescent="0.2">
      <c r="A40888" s="258"/>
      <c r="Z40888" s="258"/>
    </row>
    <row r="40889" spans="1:26" ht="12.75" customHeight="1" x14ac:dyDescent="0.2">
      <c r="A40889" s="258"/>
      <c r="Z40889" s="258"/>
    </row>
    <row r="40890" spans="1:26" ht="12.75" customHeight="1" x14ac:dyDescent="0.2">
      <c r="A40890" s="258"/>
      <c r="Z40890" s="258"/>
    </row>
    <row r="40891" spans="1:26" ht="12.75" customHeight="1" x14ac:dyDescent="0.2">
      <c r="A40891" s="258"/>
      <c r="Z40891" s="258"/>
    </row>
    <row r="40892" spans="1:26" ht="12.75" customHeight="1" x14ac:dyDescent="0.2">
      <c r="A40892" s="258"/>
      <c r="Z40892" s="258"/>
    </row>
    <row r="40893" spans="1:26" ht="12.75" customHeight="1" x14ac:dyDescent="0.2">
      <c r="A40893" s="258"/>
      <c r="Z40893" s="258"/>
    </row>
    <row r="40894" spans="1:26" ht="12.75" customHeight="1" x14ac:dyDescent="0.2">
      <c r="A40894" s="258"/>
      <c r="Z40894" s="258"/>
    </row>
    <row r="40895" spans="1:26" ht="12.75" customHeight="1" x14ac:dyDescent="0.2">
      <c r="A40895" s="258"/>
      <c r="Z40895" s="258"/>
    </row>
    <row r="40896" spans="1:26" ht="12.75" customHeight="1" x14ac:dyDescent="0.2">
      <c r="A40896" s="258"/>
      <c r="Z40896" s="258"/>
    </row>
    <row r="40897" spans="1:26" ht="12.75" customHeight="1" x14ac:dyDescent="0.2">
      <c r="A40897" s="258"/>
      <c r="Z40897" s="258"/>
    </row>
    <row r="40898" spans="1:26" ht="12.75" customHeight="1" x14ac:dyDescent="0.2">
      <c r="A40898" s="258"/>
      <c r="Z40898" s="258"/>
    </row>
    <row r="40899" spans="1:26" ht="12.75" customHeight="1" x14ac:dyDescent="0.2">
      <c r="A40899" s="258"/>
      <c r="Z40899" s="258"/>
    </row>
    <row r="40900" spans="1:26" ht="12.75" customHeight="1" x14ac:dyDescent="0.2">
      <c r="A40900" s="258"/>
      <c r="Z40900" s="258"/>
    </row>
    <row r="40901" spans="1:26" ht="12.75" customHeight="1" x14ac:dyDescent="0.2">
      <c r="A40901" s="258"/>
      <c r="Z40901" s="258"/>
    </row>
    <row r="40902" spans="1:26" ht="12.75" customHeight="1" x14ac:dyDescent="0.2">
      <c r="A40902" s="258"/>
      <c r="Z40902" s="258"/>
    </row>
    <row r="40903" spans="1:26" ht="12.75" customHeight="1" x14ac:dyDescent="0.2">
      <c r="A40903" s="258"/>
      <c r="Z40903" s="258"/>
    </row>
    <row r="40904" spans="1:26" ht="12.75" customHeight="1" x14ac:dyDescent="0.2">
      <c r="A40904" s="258"/>
      <c r="Z40904" s="258"/>
    </row>
    <row r="40905" spans="1:26" ht="12.75" customHeight="1" x14ac:dyDescent="0.2">
      <c r="A40905" s="258"/>
      <c r="Z40905" s="258"/>
    </row>
    <row r="40906" spans="1:26" ht="12.75" customHeight="1" x14ac:dyDescent="0.2">
      <c r="A40906" s="258"/>
      <c r="Z40906" s="258"/>
    </row>
    <row r="40907" spans="1:26" ht="12.75" customHeight="1" x14ac:dyDescent="0.2">
      <c r="A40907" s="258"/>
      <c r="Z40907" s="258"/>
    </row>
    <row r="40908" spans="1:26" ht="12.75" customHeight="1" x14ac:dyDescent="0.2">
      <c r="A40908" s="258"/>
      <c r="Z40908" s="258"/>
    </row>
    <row r="40909" spans="1:26" ht="12.75" customHeight="1" x14ac:dyDescent="0.2">
      <c r="A40909" s="258"/>
      <c r="Z40909" s="258"/>
    </row>
    <row r="40910" spans="1:26" ht="12.75" customHeight="1" x14ac:dyDescent="0.2">
      <c r="A40910" s="258"/>
      <c r="Z40910" s="258"/>
    </row>
    <row r="40911" spans="1:26" ht="12.75" customHeight="1" x14ac:dyDescent="0.2">
      <c r="A40911" s="258"/>
      <c r="Z40911" s="258"/>
    </row>
    <row r="40912" spans="1:26" ht="12.75" customHeight="1" x14ac:dyDescent="0.2">
      <c r="A40912" s="258"/>
      <c r="Z40912" s="258"/>
    </row>
    <row r="40913" spans="1:26" ht="12.75" customHeight="1" x14ac:dyDescent="0.2">
      <c r="A40913" s="258"/>
      <c r="Z40913" s="258"/>
    </row>
    <row r="40914" spans="1:26" ht="12.75" customHeight="1" x14ac:dyDescent="0.2">
      <c r="A40914" s="258"/>
      <c r="Z40914" s="258"/>
    </row>
    <row r="40915" spans="1:26" ht="12.75" customHeight="1" x14ac:dyDescent="0.2">
      <c r="A40915" s="258"/>
      <c r="Z40915" s="258"/>
    </row>
    <row r="40916" spans="1:26" ht="12.75" customHeight="1" x14ac:dyDescent="0.2">
      <c r="A40916" s="258"/>
      <c r="Z40916" s="258"/>
    </row>
    <row r="40917" spans="1:26" ht="12.75" customHeight="1" x14ac:dyDescent="0.2">
      <c r="A40917" s="258"/>
      <c r="Z40917" s="258"/>
    </row>
    <row r="40918" spans="1:26" ht="12.75" customHeight="1" x14ac:dyDescent="0.2">
      <c r="A40918" s="258"/>
      <c r="Z40918" s="258"/>
    </row>
    <row r="40919" spans="1:26" ht="12.75" customHeight="1" x14ac:dyDescent="0.2">
      <c r="A40919" s="258"/>
      <c r="Z40919" s="258"/>
    </row>
    <row r="40920" spans="1:26" ht="12.75" customHeight="1" x14ac:dyDescent="0.2">
      <c r="A40920" s="258"/>
      <c r="Z40920" s="258"/>
    </row>
    <row r="40921" spans="1:26" ht="12.75" customHeight="1" x14ac:dyDescent="0.2">
      <c r="A40921" s="258"/>
      <c r="Z40921" s="258"/>
    </row>
    <row r="40922" spans="1:26" ht="12.75" customHeight="1" x14ac:dyDescent="0.2">
      <c r="A40922" s="258"/>
      <c r="Z40922" s="258"/>
    </row>
    <row r="40923" spans="1:26" ht="12.75" customHeight="1" x14ac:dyDescent="0.2">
      <c r="A40923" s="258"/>
      <c r="Z40923" s="258"/>
    </row>
    <row r="40924" spans="1:26" ht="12.75" customHeight="1" x14ac:dyDescent="0.2">
      <c r="A40924" s="258"/>
      <c r="Z40924" s="258"/>
    </row>
    <row r="40925" spans="1:26" ht="12.75" customHeight="1" x14ac:dyDescent="0.2">
      <c r="A40925" s="258"/>
      <c r="Z40925" s="258"/>
    </row>
    <row r="40926" spans="1:26" ht="12.75" customHeight="1" x14ac:dyDescent="0.2">
      <c r="A40926" s="258"/>
      <c r="Z40926" s="258"/>
    </row>
    <row r="40927" spans="1:26" ht="12.75" customHeight="1" x14ac:dyDescent="0.2">
      <c r="A40927" s="258"/>
      <c r="Z40927" s="258"/>
    </row>
    <row r="40928" spans="1:26" ht="12.75" customHeight="1" x14ac:dyDescent="0.2">
      <c r="A40928" s="258"/>
      <c r="Z40928" s="258"/>
    </row>
    <row r="40929" spans="1:26" ht="12.75" customHeight="1" x14ac:dyDescent="0.2">
      <c r="A40929" s="258"/>
      <c r="Z40929" s="258"/>
    </row>
    <row r="40930" spans="1:26" ht="12.75" customHeight="1" x14ac:dyDescent="0.2">
      <c r="A40930" s="258"/>
      <c r="Z40930" s="258"/>
    </row>
    <row r="40931" spans="1:26" ht="12.75" customHeight="1" x14ac:dyDescent="0.2">
      <c r="A40931" s="258"/>
      <c r="Z40931" s="258"/>
    </row>
    <row r="40932" spans="1:26" ht="12.75" customHeight="1" x14ac:dyDescent="0.2">
      <c r="A40932" s="258"/>
      <c r="Z40932" s="258"/>
    </row>
    <row r="40933" spans="1:26" ht="12.75" customHeight="1" x14ac:dyDescent="0.2">
      <c r="A40933" s="258"/>
      <c r="Z40933" s="258"/>
    </row>
    <row r="40934" spans="1:26" ht="12.75" customHeight="1" x14ac:dyDescent="0.2">
      <c r="A40934" s="258"/>
      <c r="Z40934" s="258"/>
    </row>
    <row r="40935" spans="1:26" ht="12.75" customHeight="1" x14ac:dyDescent="0.2">
      <c r="A40935" s="258"/>
      <c r="Z40935" s="258"/>
    </row>
    <row r="40936" spans="1:26" ht="12.75" customHeight="1" x14ac:dyDescent="0.2">
      <c r="A40936" s="258"/>
      <c r="Z40936" s="258"/>
    </row>
    <row r="40937" spans="1:26" ht="12.75" customHeight="1" x14ac:dyDescent="0.2">
      <c r="A40937" s="258"/>
      <c r="Z40937" s="258"/>
    </row>
    <row r="40938" spans="1:26" ht="12.75" customHeight="1" x14ac:dyDescent="0.2">
      <c r="A40938" s="258"/>
      <c r="Z40938" s="258"/>
    </row>
    <row r="40939" spans="1:26" ht="12.75" customHeight="1" x14ac:dyDescent="0.2">
      <c r="A40939" s="258"/>
      <c r="Z40939" s="258"/>
    </row>
    <row r="40940" spans="1:26" ht="12.75" customHeight="1" x14ac:dyDescent="0.2">
      <c r="A40940" s="258"/>
      <c r="Z40940" s="258"/>
    </row>
    <row r="40941" spans="1:26" ht="12.75" customHeight="1" x14ac:dyDescent="0.2">
      <c r="A40941" s="258"/>
      <c r="Z40941" s="258"/>
    </row>
    <row r="40942" spans="1:26" ht="12.75" customHeight="1" x14ac:dyDescent="0.2">
      <c r="A40942" s="258"/>
      <c r="Z40942" s="258"/>
    </row>
    <row r="40943" spans="1:26" ht="12.75" customHeight="1" x14ac:dyDescent="0.2">
      <c r="A40943" s="258"/>
      <c r="Z40943" s="258"/>
    </row>
    <row r="40944" spans="1:26" ht="12.75" customHeight="1" x14ac:dyDescent="0.2">
      <c r="A40944" s="258"/>
      <c r="Z40944" s="258"/>
    </row>
    <row r="40945" spans="1:26" ht="12.75" customHeight="1" x14ac:dyDescent="0.2">
      <c r="A40945" s="258"/>
      <c r="Z40945" s="258"/>
    </row>
    <row r="40946" spans="1:26" ht="12.75" customHeight="1" x14ac:dyDescent="0.2">
      <c r="A40946" s="258"/>
      <c r="Z40946" s="258"/>
    </row>
    <row r="40947" spans="1:26" ht="12.75" customHeight="1" x14ac:dyDescent="0.2">
      <c r="A40947" s="258"/>
      <c r="Z40947" s="258"/>
    </row>
    <row r="40948" spans="1:26" ht="12.75" customHeight="1" x14ac:dyDescent="0.2">
      <c r="A40948" s="258"/>
      <c r="Z40948" s="258"/>
    </row>
    <row r="40949" spans="1:26" ht="12.75" customHeight="1" x14ac:dyDescent="0.2">
      <c r="A40949" s="258"/>
      <c r="Z40949" s="258"/>
    </row>
    <row r="40950" spans="1:26" ht="12.75" customHeight="1" x14ac:dyDescent="0.2">
      <c r="A40950" s="258"/>
      <c r="Z40950" s="258"/>
    </row>
    <row r="40951" spans="1:26" ht="12.75" customHeight="1" x14ac:dyDescent="0.2">
      <c r="A40951" s="258"/>
      <c r="Z40951" s="258"/>
    </row>
    <row r="40952" spans="1:26" ht="12.75" customHeight="1" x14ac:dyDescent="0.2">
      <c r="A40952" s="258"/>
      <c r="Z40952" s="258"/>
    </row>
    <row r="40953" spans="1:26" ht="12.75" customHeight="1" x14ac:dyDescent="0.2">
      <c r="A40953" s="258"/>
      <c r="Z40953" s="258"/>
    </row>
    <row r="40954" spans="1:26" ht="12.75" customHeight="1" x14ac:dyDescent="0.2">
      <c r="A40954" s="258"/>
      <c r="Z40954" s="258"/>
    </row>
    <row r="40955" spans="1:26" ht="12.75" customHeight="1" x14ac:dyDescent="0.2">
      <c r="A40955" s="258"/>
      <c r="Z40955" s="258"/>
    </row>
    <row r="40956" spans="1:26" ht="12.75" customHeight="1" x14ac:dyDescent="0.2">
      <c r="A40956" s="258"/>
      <c r="Z40956" s="258"/>
    </row>
    <row r="40957" spans="1:26" ht="12.75" customHeight="1" x14ac:dyDescent="0.2">
      <c r="A40957" s="258"/>
      <c r="Z40957" s="258"/>
    </row>
    <row r="40958" spans="1:26" ht="12.75" customHeight="1" x14ac:dyDescent="0.2">
      <c r="A40958" s="258"/>
      <c r="Z40958" s="258"/>
    </row>
    <row r="40959" spans="1:26" ht="12.75" customHeight="1" x14ac:dyDescent="0.2">
      <c r="A40959" s="258"/>
      <c r="Z40959" s="258"/>
    </row>
    <row r="40960" spans="1:26" ht="12.75" customHeight="1" x14ac:dyDescent="0.2">
      <c r="A40960" s="258"/>
      <c r="Z40960" s="258"/>
    </row>
    <row r="40961" spans="1:26" ht="12.75" customHeight="1" x14ac:dyDescent="0.2">
      <c r="A40961" s="258"/>
      <c r="Z40961" s="258"/>
    </row>
    <row r="40962" spans="1:26" ht="12.75" customHeight="1" x14ac:dyDescent="0.2">
      <c r="A40962" s="258"/>
      <c r="Z40962" s="258"/>
    </row>
    <row r="40963" spans="1:26" ht="12.75" customHeight="1" x14ac:dyDescent="0.2">
      <c r="A40963" s="258"/>
      <c r="Z40963" s="258"/>
    </row>
    <row r="40964" spans="1:26" ht="12.75" customHeight="1" x14ac:dyDescent="0.2">
      <c r="A40964" s="258"/>
      <c r="Z40964" s="258"/>
    </row>
    <row r="40965" spans="1:26" ht="12.75" customHeight="1" x14ac:dyDescent="0.2">
      <c r="A40965" s="258"/>
      <c r="Z40965" s="258"/>
    </row>
    <row r="40966" spans="1:26" ht="12.75" customHeight="1" x14ac:dyDescent="0.2">
      <c r="A40966" s="258"/>
      <c r="Z40966" s="258"/>
    </row>
    <row r="40967" spans="1:26" ht="12.75" customHeight="1" x14ac:dyDescent="0.2">
      <c r="A40967" s="258"/>
      <c r="Z40967" s="258"/>
    </row>
    <row r="40968" spans="1:26" ht="12.75" customHeight="1" x14ac:dyDescent="0.2">
      <c r="A40968" s="258"/>
      <c r="Z40968" s="258"/>
    </row>
    <row r="40969" spans="1:26" ht="12.75" customHeight="1" x14ac:dyDescent="0.2">
      <c r="A40969" s="258"/>
      <c r="Z40969" s="258"/>
    </row>
    <row r="40970" spans="1:26" ht="12.75" customHeight="1" x14ac:dyDescent="0.2">
      <c r="A40970" s="258"/>
      <c r="Z40970" s="258"/>
    </row>
    <row r="40971" spans="1:26" ht="12.75" customHeight="1" x14ac:dyDescent="0.2">
      <c r="A40971" s="258"/>
      <c r="Z40971" s="258"/>
    </row>
    <row r="40972" spans="1:26" ht="12.75" customHeight="1" x14ac:dyDescent="0.2">
      <c r="A40972" s="258"/>
      <c r="Z40972" s="258"/>
    </row>
    <row r="40973" spans="1:26" ht="12.75" customHeight="1" x14ac:dyDescent="0.2">
      <c r="A40973" s="258"/>
      <c r="Z40973" s="258"/>
    </row>
    <row r="40974" spans="1:26" ht="12.75" customHeight="1" x14ac:dyDescent="0.2">
      <c r="A40974" s="258"/>
      <c r="Z40974" s="258"/>
    </row>
    <row r="40975" spans="1:26" ht="12.75" customHeight="1" x14ac:dyDescent="0.2">
      <c r="A40975" s="258"/>
      <c r="Z40975" s="258"/>
    </row>
    <row r="40976" spans="1:26" ht="12.75" customHeight="1" x14ac:dyDescent="0.2">
      <c r="A40976" s="258"/>
      <c r="Z40976" s="258"/>
    </row>
    <row r="40977" spans="1:26" ht="12.75" customHeight="1" x14ac:dyDescent="0.2">
      <c r="A40977" s="258"/>
      <c r="Z40977" s="258"/>
    </row>
    <row r="40978" spans="1:26" ht="12.75" customHeight="1" x14ac:dyDescent="0.2">
      <c r="A40978" s="258"/>
      <c r="Z40978" s="258"/>
    </row>
    <row r="40979" spans="1:26" ht="12.75" customHeight="1" x14ac:dyDescent="0.2">
      <c r="A40979" s="258"/>
      <c r="Z40979" s="258"/>
    </row>
    <row r="40980" spans="1:26" ht="12.75" customHeight="1" x14ac:dyDescent="0.2">
      <c r="A40980" s="258"/>
      <c r="Z40980" s="258"/>
    </row>
    <row r="40981" spans="1:26" ht="12.75" customHeight="1" x14ac:dyDescent="0.2">
      <c r="A40981" s="258"/>
      <c r="Z40981" s="258"/>
    </row>
    <row r="40982" spans="1:26" ht="12.75" customHeight="1" x14ac:dyDescent="0.2">
      <c r="A40982" s="258"/>
      <c r="Z40982" s="258"/>
    </row>
    <row r="40983" spans="1:26" ht="12.75" customHeight="1" x14ac:dyDescent="0.2">
      <c r="A40983" s="258"/>
      <c r="Z40983" s="258"/>
    </row>
    <row r="40984" spans="1:26" ht="12.75" customHeight="1" x14ac:dyDescent="0.2">
      <c r="A40984" s="258"/>
      <c r="Z40984" s="258"/>
    </row>
    <row r="40985" spans="1:26" ht="12.75" customHeight="1" x14ac:dyDescent="0.2">
      <c r="A40985" s="258"/>
      <c r="Z40985" s="258"/>
    </row>
    <row r="40986" spans="1:26" ht="12.75" customHeight="1" x14ac:dyDescent="0.2">
      <c r="A40986" s="258"/>
      <c r="Z40986" s="258"/>
    </row>
    <row r="40987" spans="1:26" ht="12.75" customHeight="1" x14ac:dyDescent="0.2">
      <c r="A40987" s="258"/>
      <c r="Z40987" s="258"/>
    </row>
    <row r="40988" spans="1:26" ht="12.75" customHeight="1" x14ac:dyDescent="0.2">
      <c r="A40988" s="258"/>
      <c r="Z40988" s="258"/>
    </row>
    <row r="40989" spans="1:26" ht="12.75" customHeight="1" x14ac:dyDescent="0.2">
      <c r="A40989" s="258"/>
      <c r="Z40989" s="258"/>
    </row>
    <row r="40990" spans="1:26" ht="12.75" customHeight="1" x14ac:dyDescent="0.2">
      <c r="A40990" s="258"/>
      <c r="Z40990" s="258"/>
    </row>
    <row r="40991" spans="1:26" ht="12.75" customHeight="1" x14ac:dyDescent="0.2">
      <c r="A40991" s="258"/>
      <c r="Z40991" s="258"/>
    </row>
    <row r="40992" spans="1:26" ht="12.75" customHeight="1" x14ac:dyDescent="0.2">
      <c r="A40992" s="258"/>
      <c r="Z40992" s="258"/>
    </row>
    <row r="40993" spans="1:26" ht="12.75" customHeight="1" x14ac:dyDescent="0.2">
      <c r="A40993" s="258"/>
      <c r="Z40993" s="258"/>
    </row>
    <row r="40994" spans="1:26" ht="12.75" customHeight="1" x14ac:dyDescent="0.2">
      <c r="A40994" s="258"/>
      <c r="Z40994" s="258"/>
    </row>
    <row r="40995" spans="1:26" ht="12.75" customHeight="1" x14ac:dyDescent="0.2">
      <c r="A40995" s="258"/>
      <c r="Z40995" s="258"/>
    </row>
    <row r="40996" spans="1:26" ht="12.75" customHeight="1" x14ac:dyDescent="0.2">
      <c r="A40996" s="258"/>
      <c r="Z40996" s="258"/>
    </row>
    <row r="40997" spans="1:26" ht="12.75" customHeight="1" x14ac:dyDescent="0.2">
      <c r="A40997" s="258"/>
      <c r="Z40997" s="258"/>
    </row>
    <row r="40998" spans="1:26" ht="12.75" customHeight="1" x14ac:dyDescent="0.2">
      <c r="A40998" s="258"/>
      <c r="Z40998" s="258"/>
    </row>
    <row r="40999" spans="1:26" ht="12.75" customHeight="1" x14ac:dyDescent="0.2">
      <c r="A40999" s="258"/>
      <c r="Z40999" s="258"/>
    </row>
    <row r="41000" spans="1:26" ht="12.75" customHeight="1" x14ac:dyDescent="0.2">
      <c r="A41000" s="258"/>
      <c r="Z41000" s="258"/>
    </row>
    <row r="41001" spans="1:26" ht="12.75" customHeight="1" x14ac:dyDescent="0.2">
      <c r="A41001" s="258"/>
      <c r="Z41001" s="258"/>
    </row>
    <row r="41002" spans="1:26" ht="12.75" customHeight="1" x14ac:dyDescent="0.2">
      <c r="A41002" s="258"/>
      <c r="Z41002" s="258"/>
    </row>
    <row r="41003" spans="1:26" ht="12.75" customHeight="1" x14ac:dyDescent="0.2">
      <c r="A41003" s="258"/>
      <c r="Z41003" s="258"/>
    </row>
    <row r="41004" spans="1:26" ht="12.75" customHeight="1" x14ac:dyDescent="0.2">
      <c r="A41004" s="258"/>
      <c r="Z41004" s="258"/>
    </row>
    <row r="41005" spans="1:26" ht="12.75" customHeight="1" x14ac:dyDescent="0.2">
      <c r="A41005" s="258"/>
      <c r="Z41005" s="258"/>
    </row>
    <row r="41006" spans="1:26" ht="12.75" customHeight="1" x14ac:dyDescent="0.2">
      <c r="A41006" s="258"/>
      <c r="Z41006" s="258"/>
    </row>
    <row r="41007" spans="1:26" ht="12.75" customHeight="1" x14ac:dyDescent="0.2">
      <c r="A41007" s="258"/>
      <c r="Z41007" s="258"/>
    </row>
    <row r="41008" spans="1:26" ht="12.75" customHeight="1" x14ac:dyDescent="0.2">
      <c r="A41008" s="258"/>
      <c r="Z41008" s="258"/>
    </row>
    <row r="41009" spans="1:26" ht="12.75" customHeight="1" x14ac:dyDescent="0.2">
      <c r="A41009" s="258"/>
      <c r="Z41009" s="258"/>
    </row>
    <row r="41010" spans="1:26" ht="12.75" customHeight="1" x14ac:dyDescent="0.2">
      <c r="A41010" s="258"/>
      <c r="Z41010" s="258"/>
    </row>
    <row r="41011" spans="1:26" ht="12.75" customHeight="1" x14ac:dyDescent="0.2">
      <c r="A41011" s="258"/>
      <c r="Z41011" s="258"/>
    </row>
    <row r="41012" spans="1:26" ht="12.75" customHeight="1" x14ac:dyDescent="0.2">
      <c r="A41012" s="258"/>
      <c r="Z41012" s="258"/>
    </row>
    <row r="41013" spans="1:26" ht="12.75" customHeight="1" x14ac:dyDescent="0.2">
      <c r="A41013" s="258"/>
      <c r="Z41013" s="258"/>
    </row>
    <row r="41014" spans="1:26" ht="12.75" customHeight="1" x14ac:dyDescent="0.2">
      <c r="A41014" s="258"/>
      <c r="Z41014" s="258"/>
    </row>
    <row r="41015" spans="1:26" ht="12.75" customHeight="1" x14ac:dyDescent="0.2">
      <c r="A41015" s="258"/>
      <c r="Z41015" s="258"/>
    </row>
    <row r="41016" spans="1:26" ht="12.75" customHeight="1" x14ac:dyDescent="0.2">
      <c r="A41016" s="258"/>
      <c r="Z41016" s="258"/>
    </row>
    <row r="41017" spans="1:26" ht="12.75" customHeight="1" x14ac:dyDescent="0.2">
      <c r="A41017" s="258"/>
      <c r="Z41017" s="258"/>
    </row>
    <row r="41018" spans="1:26" ht="12.75" customHeight="1" x14ac:dyDescent="0.2">
      <c r="A41018" s="258"/>
      <c r="Z41018" s="258"/>
    </row>
    <row r="41019" spans="1:26" ht="12.75" customHeight="1" x14ac:dyDescent="0.2">
      <c r="A41019" s="258"/>
      <c r="Z41019" s="258"/>
    </row>
    <row r="41020" spans="1:26" ht="12.75" customHeight="1" x14ac:dyDescent="0.2">
      <c r="A41020" s="258"/>
      <c r="Z41020" s="258"/>
    </row>
    <row r="41021" spans="1:26" ht="12.75" customHeight="1" x14ac:dyDescent="0.2">
      <c r="A41021" s="258"/>
      <c r="Z41021" s="258"/>
    </row>
    <row r="41022" spans="1:26" ht="12.75" customHeight="1" x14ac:dyDescent="0.2">
      <c r="A41022" s="258"/>
      <c r="Z41022" s="258"/>
    </row>
    <row r="41023" spans="1:26" ht="12.75" customHeight="1" x14ac:dyDescent="0.2">
      <c r="A41023" s="258"/>
      <c r="Z41023" s="258"/>
    </row>
    <row r="41024" spans="1:26" ht="12.75" customHeight="1" x14ac:dyDescent="0.2">
      <c r="A41024" s="258"/>
      <c r="Z41024" s="258"/>
    </row>
    <row r="41025" spans="1:26" ht="12.75" customHeight="1" x14ac:dyDescent="0.2">
      <c r="A41025" s="258"/>
      <c r="Z41025" s="258"/>
    </row>
    <row r="41026" spans="1:26" ht="12.75" customHeight="1" x14ac:dyDescent="0.2">
      <c r="A41026" s="258"/>
      <c r="Z41026" s="258"/>
    </row>
    <row r="41027" spans="1:26" ht="12.75" customHeight="1" x14ac:dyDescent="0.2">
      <c r="A41027" s="258"/>
      <c r="Z41027" s="258"/>
    </row>
    <row r="41028" spans="1:26" ht="12.75" customHeight="1" x14ac:dyDescent="0.2">
      <c r="A41028" s="258"/>
      <c r="Z41028" s="258"/>
    </row>
    <row r="41029" spans="1:26" ht="12.75" customHeight="1" x14ac:dyDescent="0.2">
      <c r="A41029" s="258"/>
      <c r="Z41029" s="258"/>
    </row>
    <row r="41030" spans="1:26" ht="12.75" customHeight="1" x14ac:dyDescent="0.2">
      <c r="A41030" s="258"/>
      <c r="Z41030" s="258"/>
    </row>
    <row r="41031" spans="1:26" ht="12.75" customHeight="1" x14ac:dyDescent="0.2">
      <c r="A41031" s="258"/>
      <c r="Z41031" s="258"/>
    </row>
    <row r="41032" spans="1:26" ht="12.75" customHeight="1" x14ac:dyDescent="0.2">
      <c r="A41032" s="258"/>
      <c r="Z41032" s="258"/>
    </row>
    <row r="41033" spans="1:26" ht="12.75" customHeight="1" x14ac:dyDescent="0.2">
      <c r="A41033" s="258"/>
      <c r="Z41033" s="258"/>
    </row>
    <row r="41034" spans="1:26" ht="12.75" customHeight="1" x14ac:dyDescent="0.2">
      <c r="A41034" s="258"/>
      <c r="Z41034" s="258"/>
    </row>
    <row r="41035" spans="1:26" ht="12.75" customHeight="1" x14ac:dyDescent="0.2">
      <c r="A41035" s="258"/>
      <c r="Z41035" s="258"/>
    </row>
    <row r="41036" spans="1:26" ht="12.75" customHeight="1" x14ac:dyDescent="0.2">
      <c r="A41036" s="258"/>
      <c r="Z41036" s="258"/>
    </row>
    <row r="41037" spans="1:26" ht="12.75" customHeight="1" x14ac:dyDescent="0.2">
      <c r="A41037" s="258"/>
      <c r="Z41037" s="258"/>
    </row>
    <row r="41038" spans="1:26" ht="12.75" customHeight="1" x14ac:dyDescent="0.2">
      <c r="A41038" s="258"/>
      <c r="Z41038" s="258"/>
    </row>
    <row r="41039" spans="1:26" ht="12.75" customHeight="1" x14ac:dyDescent="0.2">
      <c r="A41039" s="258"/>
      <c r="Z41039" s="258"/>
    </row>
    <row r="41040" spans="1:26" ht="12.75" customHeight="1" x14ac:dyDescent="0.2">
      <c r="A41040" s="258"/>
      <c r="Z41040" s="258"/>
    </row>
    <row r="41041" spans="1:26" ht="12.75" customHeight="1" x14ac:dyDescent="0.2">
      <c r="A41041" s="258"/>
      <c r="Z41041" s="258"/>
    </row>
    <row r="41042" spans="1:26" ht="12.75" customHeight="1" x14ac:dyDescent="0.2">
      <c r="A41042" s="258"/>
      <c r="Z41042" s="258"/>
    </row>
    <row r="41043" spans="1:26" ht="12.75" customHeight="1" x14ac:dyDescent="0.2">
      <c r="A41043" s="258"/>
      <c r="Z41043" s="258"/>
    </row>
    <row r="41044" spans="1:26" ht="12.75" customHeight="1" x14ac:dyDescent="0.2">
      <c r="A41044" s="258"/>
      <c r="Z41044" s="258"/>
    </row>
    <row r="41045" spans="1:26" ht="12.75" customHeight="1" x14ac:dyDescent="0.2">
      <c r="A41045" s="258"/>
      <c r="Z41045" s="258"/>
    </row>
    <row r="41046" spans="1:26" ht="12.75" customHeight="1" x14ac:dyDescent="0.2">
      <c r="A41046" s="258"/>
      <c r="Z41046" s="258"/>
    </row>
    <row r="41047" spans="1:26" ht="12.75" customHeight="1" x14ac:dyDescent="0.2">
      <c r="A41047" s="258"/>
      <c r="Z41047" s="258"/>
    </row>
    <row r="41048" spans="1:26" ht="12.75" customHeight="1" x14ac:dyDescent="0.2">
      <c r="A41048" s="258"/>
      <c r="Z41048" s="258"/>
    </row>
    <row r="41049" spans="1:26" ht="12.75" customHeight="1" x14ac:dyDescent="0.2">
      <c r="A41049" s="258"/>
      <c r="Z41049" s="258"/>
    </row>
    <row r="41050" spans="1:26" ht="12.75" customHeight="1" x14ac:dyDescent="0.2">
      <c r="A41050" s="258"/>
      <c r="Z41050" s="258"/>
    </row>
    <row r="41051" spans="1:26" ht="12.75" customHeight="1" x14ac:dyDescent="0.2">
      <c r="A41051" s="258"/>
      <c r="Z41051" s="258"/>
    </row>
    <row r="41052" spans="1:26" ht="12.75" customHeight="1" x14ac:dyDescent="0.2">
      <c r="A41052" s="258"/>
      <c r="Z41052" s="258"/>
    </row>
    <row r="41053" spans="1:26" ht="12.75" customHeight="1" x14ac:dyDescent="0.2">
      <c r="A41053" s="258"/>
      <c r="Z41053" s="258"/>
    </row>
    <row r="41054" spans="1:26" ht="12.75" customHeight="1" x14ac:dyDescent="0.2">
      <c r="A41054" s="258"/>
      <c r="Z41054" s="258"/>
    </row>
    <row r="41055" spans="1:26" ht="12.75" customHeight="1" x14ac:dyDescent="0.2">
      <c r="A41055" s="258"/>
      <c r="Z41055" s="258"/>
    </row>
    <row r="41056" spans="1:26" ht="12.75" customHeight="1" x14ac:dyDescent="0.2">
      <c r="A41056" s="258"/>
      <c r="Z41056" s="258"/>
    </row>
    <row r="41057" spans="1:26" ht="12.75" customHeight="1" x14ac:dyDescent="0.2">
      <c r="A41057" s="258"/>
      <c r="Z41057" s="258"/>
    </row>
    <row r="41058" spans="1:26" ht="12.75" customHeight="1" x14ac:dyDescent="0.2">
      <c r="A41058" s="258"/>
      <c r="Z41058" s="258"/>
    </row>
    <row r="41059" spans="1:26" ht="12.75" customHeight="1" x14ac:dyDescent="0.2">
      <c r="A41059" s="258"/>
      <c r="Z41059" s="258"/>
    </row>
    <row r="41060" spans="1:26" ht="12.75" customHeight="1" x14ac:dyDescent="0.2">
      <c r="A41060" s="258"/>
      <c r="Z41060" s="258"/>
    </row>
    <row r="41061" spans="1:26" ht="12.75" customHeight="1" x14ac:dyDescent="0.2">
      <c r="A41061" s="258"/>
      <c r="Z41061" s="258"/>
    </row>
    <row r="41062" spans="1:26" ht="12.75" customHeight="1" x14ac:dyDescent="0.2">
      <c r="A41062" s="258"/>
      <c r="Z41062" s="258"/>
    </row>
    <row r="41063" spans="1:26" ht="12.75" customHeight="1" x14ac:dyDescent="0.2">
      <c r="A41063" s="258"/>
      <c r="Z41063" s="258"/>
    </row>
    <row r="41064" spans="1:26" ht="12.75" customHeight="1" x14ac:dyDescent="0.2">
      <c r="A41064" s="258"/>
      <c r="Z41064" s="258"/>
    </row>
    <row r="41065" spans="1:26" ht="12.75" customHeight="1" x14ac:dyDescent="0.2">
      <c r="A41065" s="258"/>
      <c r="Z41065" s="258"/>
    </row>
    <row r="41066" spans="1:26" ht="12.75" customHeight="1" x14ac:dyDescent="0.2">
      <c r="A41066" s="258"/>
      <c r="Z41066" s="258"/>
    </row>
    <row r="41067" spans="1:26" ht="12.75" customHeight="1" x14ac:dyDescent="0.2">
      <c r="A41067" s="258"/>
      <c r="Z41067" s="258"/>
    </row>
    <row r="41068" spans="1:26" ht="12.75" customHeight="1" x14ac:dyDescent="0.2">
      <c r="A41068" s="258"/>
      <c r="Z41068" s="258"/>
    </row>
    <row r="41069" spans="1:26" ht="12.75" customHeight="1" x14ac:dyDescent="0.2">
      <c r="A41069" s="258"/>
      <c r="Z41069" s="258"/>
    </row>
    <row r="41070" spans="1:26" ht="12.75" customHeight="1" x14ac:dyDescent="0.2">
      <c r="A41070" s="258"/>
      <c r="Z41070" s="258"/>
    </row>
    <row r="41071" spans="1:26" ht="12.75" customHeight="1" x14ac:dyDescent="0.2">
      <c r="A41071" s="258"/>
      <c r="Z41071" s="258"/>
    </row>
    <row r="41072" spans="1:26" ht="12.75" customHeight="1" x14ac:dyDescent="0.2">
      <c r="A41072" s="258"/>
      <c r="Z41072" s="258"/>
    </row>
    <row r="41073" spans="1:26" ht="12.75" customHeight="1" x14ac:dyDescent="0.2">
      <c r="A41073" s="258"/>
      <c r="Z41073" s="258"/>
    </row>
    <row r="41074" spans="1:26" ht="12.75" customHeight="1" x14ac:dyDescent="0.2">
      <c r="A41074" s="258"/>
      <c r="Z41074" s="258"/>
    </row>
    <row r="41075" spans="1:26" ht="12.75" customHeight="1" x14ac:dyDescent="0.2">
      <c r="A41075" s="258"/>
      <c r="Z41075" s="258"/>
    </row>
    <row r="41076" spans="1:26" ht="12.75" customHeight="1" x14ac:dyDescent="0.2">
      <c r="A41076" s="258"/>
      <c r="Z41076" s="258"/>
    </row>
    <row r="41077" spans="1:26" ht="12.75" customHeight="1" x14ac:dyDescent="0.2">
      <c r="A41077" s="258"/>
      <c r="Z41077" s="258"/>
    </row>
    <row r="41078" spans="1:26" ht="12.75" customHeight="1" x14ac:dyDescent="0.2">
      <c r="A41078" s="258"/>
      <c r="Z41078" s="258"/>
    </row>
    <row r="41079" spans="1:26" ht="12.75" customHeight="1" x14ac:dyDescent="0.2">
      <c r="A41079" s="258"/>
      <c r="Z41079" s="258"/>
    </row>
    <row r="41080" spans="1:26" ht="12.75" customHeight="1" x14ac:dyDescent="0.2">
      <c r="A41080" s="258"/>
      <c r="Z41080" s="258"/>
    </row>
    <row r="41081" spans="1:26" ht="12.75" customHeight="1" x14ac:dyDescent="0.2">
      <c r="A41081" s="258"/>
      <c r="Z41081" s="258"/>
    </row>
    <row r="41082" spans="1:26" ht="12.75" customHeight="1" x14ac:dyDescent="0.2">
      <c r="A41082" s="258"/>
      <c r="Z41082" s="258"/>
    </row>
    <row r="41083" spans="1:26" ht="12.75" customHeight="1" x14ac:dyDescent="0.2">
      <c r="A41083" s="258"/>
      <c r="Z41083" s="258"/>
    </row>
    <row r="41084" spans="1:26" ht="12.75" customHeight="1" x14ac:dyDescent="0.2">
      <c r="A41084" s="258"/>
      <c r="Z41084" s="258"/>
    </row>
    <row r="41085" spans="1:26" ht="12.75" customHeight="1" x14ac:dyDescent="0.2">
      <c r="A41085" s="258"/>
      <c r="Z41085" s="258"/>
    </row>
    <row r="41086" spans="1:26" ht="12.75" customHeight="1" x14ac:dyDescent="0.2">
      <c r="A41086" s="258"/>
      <c r="Z41086" s="258"/>
    </row>
    <row r="41087" spans="1:26" ht="12.75" customHeight="1" x14ac:dyDescent="0.2">
      <c r="A41087" s="258"/>
      <c r="Z41087" s="258"/>
    </row>
    <row r="41088" spans="1:26" ht="12.75" customHeight="1" x14ac:dyDescent="0.2">
      <c r="A41088" s="258"/>
      <c r="Z41088" s="258"/>
    </row>
    <row r="41089" spans="1:26" ht="12.75" customHeight="1" x14ac:dyDescent="0.2">
      <c r="A41089" s="258"/>
      <c r="Z41089" s="258"/>
    </row>
    <row r="41090" spans="1:26" ht="12.75" customHeight="1" x14ac:dyDescent="0.2">
      <c r="A41090" s="258"/>
      <c r="Z41090" s="258"/>
    </row>
    <row r="41091" spans="1:26" ht="12.75" customHeight="1" x14ac:dyDescent="0.2">
      <c r="A41091" s="258"/>
      <c r="Z41091" s="258"/>
    </row>
    <row r="41092" spans="1:26" ht="12.75" customHeight="1" x14ac:dyDescent="0.2">
      <c r="A41092" s="258"/>
      <c r="Z41092" s="258"/>
    </row>
    <row r="41093" spans="1:26" ht="12.75" customHeight="1" x14ac:dyDescent="0.2">
      <c r="A41093" s="258"/>
      <c r="Z41093" s="258"/>
    </row>
    <row r="41094" spans="1:26" ht="12.75" customHeight="1" x14ac:dyDescent="0.2">
      <c r="A41094" s="258"/>
      <c r="Z41094" s="258"/>
    </row>
    <row r="41095" spans="1:26" ht="12.75" customHeight="1" x14ac:dyDescent="0.2">
      <c r="A41095" s="258"/>
      <c r="Z41095" s="258"/>
    </row>
    <row r="41096" spans="1:26" ht="12.75" customHeight="1" x14ac:dyDescent="0.2">
      <c r="A41096" s="258"/>
      <c r="Z41096" s="258"/>
    </row>
    <row r="41097" spans="1:26" ht="12.75" customHeight="1" x14ac:dyDescent="0.2">
      <c r="A41097" s="258"/>
      <c r="Z41097" s="258"/>
    </row>
    <row r="41098" spans="1:26" ht="12.75" customHeight="1" x14ac:dyDescent="0.2">
      <c r="A41098" s="258"/>
      <c r="Z41098" s="258"/>
    </row>
    <row r="41099" spans="1:26" ht="12.75" customHeight="1" x14ac:dyDescent="0.2">
      <c r="A41099" s="258"/>
      <c r="Z41099" s="258"/>
    </row>
    <row r="41100" spans="1:26" ht="12.75" customHeight="1" x14ac:dyDescent="0.2">
      <c r="A41100" s="258"/>
      <c r="Z41100" s="258"/>
    </row>
    <row r="41101" spans="1:26" ht="12.75" customHeight="1" x14ac:dyDescent="0.2">
      <c r="A41101" s="258"/>
      <c r="Z41101" s="258"/>
    </row>
    <row r="41102" spans="1:26" ht="12.75" customHeight="1" x14ac:dyDescent="0.2">
      <c r="A41102" s="258"/>
      <c r="Z41102" s="258"/>
    </row>
    <row r="41103" spans="1:26" ht="12.75" customHeight="1" x14ac:dyDescent="0.2">
      <c r="A41103" s="258"/>
      <c r="Z41103" s="258"/>
    </row>
    <row r="41104" spans="1:26" ht="12.75" customHeight="1" x14ac:dyDescent="0.2">
      <c r="A41104" s="258"/>
      <c r="Z41104" s="258"/>
    </row>
    <row r="41105" spans="1:26" ht="12.75" customHeight="1" x14ac:dyDescent="0.2">
      <c r="A41105" s="258"/>
      <c r="Z41105" s="258"/>
    </row>
    <row r="41106" spans="1:26" ht="12.75" customHeight="1" x14ac:dyDescent="0.2">
      <c r="A41106" s="258"/>
      <c r="Z41106" s="258"/>
    </row>
    <row r="41107" spans="1:26" ht="12.75" customHeight="1" x14ac:dyDescent="0.2">
      <c r="A41107" s="258"/>
      <c r="Z41107" s="258"/>
    </row>
    <row r="41108" spans="1:26" ht="12.75" customHeight="1" x14ac:dyDescent="0.2">
      <c r="A41108" s="258"/>
      <c r="Z41108" s="258"/>
    </row>
    <row r="41109" spans="1:26" ht="12.75" customHeight="1" x14ac:dyDescent="0.2">
      <c r="A41109" s="258"/>
      <c r="Z41109" s="258"/>
    </row>
    <row r="41110" spans="1:26" ht="12.75" customHeight="1" x14ac:dyDescent="0.2">
      <c r="A41110" s="258"/>
      <c r="Z41110" s="258"/>
    </row>
    <row r="41111" spans="1:26" ht="12.75" customHeight="1" x14ac:dyDescent="0.2">
      <c r="A41111" s="258"/>
      <c r="Z41111" s="258"/>
    </row>
    <row r="41112" spans="1:26" ht="12.75" customHeight="1" x14ac:dyDescent="0.2">
      <c r="A41112" s="258"/>
      <c r="Z41112" s="258"/>
    </row>
    <row r="41113" spans="1:26" ht="12.75" customHeight="1" x14ac:dyDescent="0.2">
      <c r="A41113" s="258"/>
      <c r="Z41113" s="258"/>
    </row>
    <row r="41114" spans="1:26" ht="12.75" customHeight="1" x14ac:dyDescent="0.2">
      <c r="A41114" s="258"/>
      <c r="Z41114" s="258"/>
    </row>
    <row r="41115" spans="1:26" ht="12.75" customHeight="1" x14ac:dyDescent="0.2">
      <c r="A41115" s="258"/>
      <c r="Z41115" s="258"/>
    </row>
    <row r="41116" spans="1:26" ht="12.75" customHeight="1" x14ac:dyDescent="0.2">
      <c r="A41116" s="258"/>
      <c r="Z41116" s="258"/>
    </row>
    <row r="41117" spans="1:26" ht="12.75" customHeight="1" x14ac:dyDescent="0.2">
      <c r="A41117" s="258"/>
      <c r="Z41117" s="258"/>
    </row>
    <row r="41118" spans="1:26" ht="12.75" customHeight="1" x14ac:dyDescent="0.2">
      <c r="A41118" s="258"/>
      <c r="Z41118" s="258"/>
    </row>
    <row r="41119" spans="1:26" ht="12.75" customHeight="1" x14ac:dyDescent="0.2">
      <c r="A41119" s="258"/>
      <c r="Z41119" s="258"/>
    </row>
    <row r="41120" spans="1:26" ht="12.75" customHeight="1" x14ac:dyDescent="0.2">
      <c r="A41120" s="258"/>
      <c r="Z41120" s="258"/>
    </row>
    <row r="41121" spans="1:26" ht="12.75" customHeight="1" x14ac:dyDescent="0.2">
      <c r="A41121" s="258"/>
      <c r="Z41121" s="258"/>
    </row>
    <row r="41122" spans="1:26" ht="12.75" customHeight="1" x14ac:dyDescent="0.2">
      <c r="A41122" s="258"/>
      <c r="Z41122" s="258"/>
    </row>
    <row r="41123" spans="1:26" ht="12.75" customHeight="1" x14ac:dyDescent="0.2">
      <c r="A41123" s="258"/>
      <c r="Z41123" s="258"/>
    </row>
    <row r="41124" spans="1:26" ht="12.75" customHeight="1" x14ac:dyDescent="0.2">
      <c r="A41124" s="258"/>
      <c r="Z41124" s="258"/>
    </row>
    <row r="41125" spans="1:26" ht="12.75" customHeight="1" x14ac:dyDescent="0.2">
      <c r="A41125" s="258"/>
      <c r="Z41125" s="258"/>
    </row>
    <row r="41126" spans="1:26" ht="12.75" customHeight="1" x14ac:dyDescent="0.2">
      <c r="A41126" s="258"/>
      <c r="Z41126" s="258"/>
    </row>
    <row r="41127" spans="1:26" ht="12.75" customHeight="1" x14ac:dyDescent="0.2">
      <c r="A41127" s="258"/>
      <c r="Z41127" s="258"/>
    </row>
    <row r="41128" spans="1:26" ht="12.75" customHeight="1" x14ac:dyDescent="0.2">
      <c r="A41128" s="258"/>
      <c r="Z41128" s="258"/>
    </row>
    <row r="41129" spans="1:26" ht="12.75" customHeight="1" x14ac:dyDescent="0.2">
      <c r="A41129" s="258"/>
      <c r="Z41129" s="258"/>
    </row>
    <row r="41130" spans="1:26" ht="12.75" customHeight="1" x14ac:dyDescent="0.2">
      <c r="A41130" s="258"/>
      <c r="Z41130" s="258"/>
    </row>
    <row r="41131" spans="1:26" ht="12.75" customHeight="1" x14ac:dyDescent="0.2">
      <c r="A41131" s="258"/>
      <c r="Z41131" s="258"/>
    </row>
    <row r="41132" spans="1:26" ht="12.75" customHeight="1" x14ac:dyDescent="0.2">
      <c r="A41132" s="258"/>
      <c r="Z41132" s="258"/>
    </row>
    <row r="41133" spans="1:26" ht="12.75" customHeight="1" x14ac:dyDescent="0.2">
      <c r="A41133" s="258"/>
      <c r="Z41133" s="258"/>
    </row>
    <row r="41134" spans="1:26" ht="12.75" customHeight="1" x14ac:dyDescent="0.2">
      <c r="A41134" s="258"/>
      <c r="Z41134" s="258"/>
    </row>
    <row r="41135" spans="1:26" ht="12.75" customHeight="1" x14ac:dyDescent="0.2">
      <c r="A41135" s="258"/>
      <c r="Z41135" s="258"/>
    </row>
    <row r="41136" spans="1:26" ht="12.75" customHeight="1" x14ac:dyDescent="0.2">
      <c r="A41136" s="258"/>
      <c r="Z41136" s="258"/>
    </row>
    <row r="41137" spans="1:26" ht="12.75" customHeight="1" x14ac:dyDescent="0.2">
      <c r="A41137" s="258"/>
      <c r="Z41137" s="258"/>
    </row>
    <row r="41138" spans="1:26" ht="12.75" customHeight="1" x14ac:dyDescent="0.2">
      <c r="A41138" s="258"/>
      <c r="Z41138" s="258"/>
    </row>
    <row r="41139" spans="1:26" ht="12.75" customHeight="1" x14ac:dyDescent="0.2">
      <c r="A41139" s="258"/>
      <c r="Z41139" s="258"/>
    </row>
    <row r="41140" spans="1:26" ht="12.75" customHeight="1" x14ac:dyDescent="0.2">
      <c r="A41140" s="258"/>
      <c r="Z41140" s="258"/>
    </row>
    <row r="41141" spans="1:26" ht="12.75" customHeight="1" x14ac:dyDescent="0.2">
      <c r="A41141" s="258"/>
      <c r="Z41141" s="258"/>
    </row>
    <row r="41142" spans="1:26" ht="12.75" customHeight="1" x14ac:dyDescent="0.2">
      <c r="A41142" s="258"/>
      <c r="Z41142" s="258"/>
    </row>
    <row r="41143" spans="1:26" ht="12.75" customHeight="1" x14ac:dyDescent="0.2">
      <c r="A41143" s="258"/>
      <c r="Z41143" s="258"/>
    </row>
    <row r="41144" spans="1:26" ht="12.75" customHeight="1" x14ac:dyDescent="0.2">
      <c r="A41144" s="258"/>
      <c r="Z41144" s="258"/>
    </row>
    <row r="41145" spans="1:26" ht="12.75" customHeight="1" x14ac:dyDescent="0.2">
      <c r="A41145" s="258"/>
      <c r="Z41145" s="258"/>
    </row>
    <row r="41146" spans="1:26" ht="12.75" customHeight="1" x14ac:dyDescent="0.2">
      <c r="A41146" s="258"/>
      <c r="Z41146" s="258"/>
    </row>
    <row r="41147" spans="1:26" ht="12.75" customHeight="1" x14ac:dyDescent="0.2">
      <c r="A41147" s="258"/>
      <c r="Z41147" s="258"/>
    </row>
    <row r="41148" spans="1:26" ht="12.75" customHeight="1" x14ac:dyDescent="0.2">
      <c r="A41148" s="258"/>
      <c r="Z41148" s="258"/>
    </row>
    <row r="41149" spans="1:26" ht="12.75" customHeight="1" x14ac:dyDescent="0.2">
      <c r="A41149" s="258"/>
      <c r="Z41149" s="258"/>
    </row>
    <row r="41150" spans="1:26" ht="12.75" customHeight="1" x14ac:dyDescent="0.2">
      <c r="A41150" s="258"/>
      <c r="Z41150" s="258"/>
    </row>
    <row r="41151" spans="1:26" ht="12.75" customHeight="1" x14ac:dyDescent="0.2">
      <c r="A41151" s="258"/>
      <c r="Z41151" s="258"/>
    </row>
    <row r="41152" spans="1:26" ht="12.75" customHeight="1" x14ac:dyDescent="0.2">
      <c r="A41152" s="258"/>
      <c r="Z41152" s="258"/>
    </row>
    <row r="41153" spans="1:26" ht="12.75" customHeight="1" x14ac:dyDescent="0.2">
      <c r="A41153" s="258"/>
      <c r="Z41153" s="258"/>
    </row>
    <row r="41154" spans="1:26" ht="12.75" customHeight="1" x14ac:dyDescent="0.2">
      <c r="A41154" s="258"/>
      <c r="Z41154" s="258"/>
    </row>
    <row r="41155" spans="1:26" ht="12.75" customHeight="1" x14ac:dyDescent="0.2">
      <c r="A41155" s="258"/>
      <c r="Z41155" s="258"/>
    </row>
    <row r="41156" spans="1:26" ht="12.75" customHeight="1" x14ac:dyDescent="0.2">
      <c r="A41156" s="258"/>
      <c r="Z41156" s="258"/>
    </row>
    <row r="41157" spans="1:26" ht="12.75" customHeight="1" x14ac:dyDescent="0.2">
      <c r="A41157" s="258"/>
      <c r="Z41157" s="258"/>
    </row>
    <row r="41158" spans="1:26" ht="12.75" customHeight="1" x14ac:dyDescent="0.2">
      <c r="A41158" s="258"/>
      <c r="Z41158" s="258"/>
    </row>
    <row r="41159" spans="1:26" ht="12.75" customHeight="1" x14ac:dyDescent="0.2">
      <c r="A41159" s="258"/>
      <c r="Z41159" s="258"/>
    </row>
    <row r="41160" spans="1:26" ht="12.75" customHeight="1" x14ac:dyDescent="0.2">
      <c r="A41160" s="258"/>
      <c r="Z41160" s="258"/>
    </row>
    <row r="41161" spans="1:26" ht="12.75" customHeight="1" x14ac:dyDescent="0.2">
      <c r="A41161" s="258"/>
      <c r="Z41161" s="258"/>
    </row>
    <row r="41162" spans="1:26" ht="12.75" customHeight="1" x14ac:dyDescent="0.2">
      <c r="A41162" s="258"/>
      <c r="Z41162" s="258"/>
    </row>
    <row r="41163" spans="1:26" ht="12.75" customHeight="1" x14ac:dyDescent="0.2">
      <c r="A41163" s="258"/>
      <c r="Z41163" s="258"/>
    </row>
    <row r="41164" spans="1:26" ht="12.75" customHeight="1" x14ac:dyDescent="0.2">
      <c r="A41164" s="258"/>
      <c r="Z41164" s="258"/>
    </row>
    <row r="41165" spans="1:26" ht="12.75" customHeight="1" x14ac:dyDescent="0.2">
      <c r="A41165" s="258"/>
      <c r="Z41165" s="258"/>
    </row>
    <row r="41166" spans="1:26" ht="12.75" customHeight="1" x14ac:dyDescent="0.2">
      <c r="A41166" s="258"/>
      <c r="Z41166" s="258"/>
    </row>
    <row r="41167" spans="1:26" ht="12.75" customHeight="1" x14ac:dyDescent="0.2">
      <c r="A41167" s="258"/>
      <c r="Z41167" s="258"/>
    </row>
    <row r="41168" spans="1:26" ht="12.75" customHeight="1" x14ac:dyDescent="0.2">
      <c r="A41168" s="258"/>
      <c r="Z41168" s="258"/>
    </row>
    <row r="41169" spans="1:26" ht="12.75" customHeight="1" x14ac:dyDescent="0.2">
      <c r="A41169" s="258"/>
      <c r="Z41169" s="258"/>
    </row>
    <row r="41170" spans="1:26" ht="12.75" customHeight="1" x14ac:dyDescent="0.2">
      <c r="A41170" s="258"/>
      <c r="Z41170" s="258"/>
    </row>
    <row r="41171" spans="1:26" ht="12.75" customHeight="1" x14ac:dyDescent="0.2">
      <c r="A41171" s="258"/>
      <c r="Z41171" s="258"/>
    </row>
    <row r="41172" spans="1:26" ht="12.75" customHeight="1" x14ac:dyDescent="0.2">
      <c r="A41172" s="258"/>
      <c r="Z41172" s="258"/>
    </row>
    <row r="41173" spans="1:26" ht="12.75" customHeight="1" x14ac:dyDescent="0.2">
      <c r="A41173" s="258"/>
      <c r="Z41173" s="258"/>
    </row>
    <row r="41174" spans="1:26" ht="12.75" customHeight="1" x14ac:dyDescent="0.2">
      <c r="A41174" s="258"/>
      <c r="Z41174" s="258"/>
    </row>
    <row r="41175" spans="1:26" ht="12.75" customHeight="1" x14ac:dyDescent="0.2">
      <c r="A41175" s="258"/>
      <c r="Z41175" s="258"/>
    </row>
    <row r="41176" spans="1:26" ht="12.75" customHeight="1" x14ac:dyDescent="0.2">
      <c r="A41176" s="258"/>
      <c r="Z41176" s="258"/>
    </row>
    <row r="41177" spans="1:26" ht="12.75" customHeight="1" x14ac:dyDescent="0.2">
      <c r="A41177" s="258"/>
      <c r="Z41177" s="258"/>
    </row>
    <row r="41178" spans="1:26" ht="12.75" customHeight="1" x14ac:dyDescent="0.2">
      <c r="A41178" s="258"/>
      <c r="Z41178" s="258"/>
    </row>
    <row r="41179" spans="1:26" ht="12.75" customHeight="1" x14ac:dyDescent="0.2">
      <c r="A41179" s="258"/>
      <c r="Z41179" s="258"/>
    </row>
    <row r="41180" spans="1:26" ht="12.75" customHeight="1" x14ac:dyDescent="0.2">
      <c r="A41180" s="258"/>
      <c r="Z41180" s="258"/>
    </row>
    <row r="41181" spans="1:26" ht="12.75" customHeight="1" x14ac:dyDescent="0.2">
      <c r="A41181" s="258"/>
      <c r="Z41181" s="258"/>
    </row>
    <row r="41182" spans="1:26" ht="12.75" customHeight="1" x14ac:dyDescent="0.2">
      <c r="A41182" s="258"/>
      <c r="Z41182" s="258"/>
    </row>
    <row r="41183" spans="1:26" ht="12.75" customHeight="1" x14ac:dyDescent="0.2">
      <c r="A41183" s="258"/>
      <c r="Z41183" s="258"/>
    </row>
    <row r="41184" spans="1:26" ht="12.75" customHeight="1" x14ac:dyDescent="0.2">
      <c r="A41184" s="258"/>
      <c r="Z41184" s="258"/>
    </row>
    <row r="41185" spans="1:26" ht="12.75" customHeight="1" x14ac:dyDescent="0.2">
      <c r="A41185" s="258"/>
      <c r="Z41185" s="258"/>
    </row>
    <row r="41186" spans="1:26" ht="12.75" customHeight="1" x14ac:dyDescent="0.2">
      <c r="A41186" s="258"/>
      <c r="Z41186" s="258"/>
    </row>
    <row r="41187" spans="1:26" ht="12.75" customHeight="1" x14ac:dyDescent="0.2">
      <c r="A41187" s="258"/>
      <c r="Z41187" s="258"/>
    </row>
    <row r="41188" spans="1:26" ht="12.75" customHeight="1" x14ac:dyDescent="0.2">
      <c r="A41188" s="258"/>
      <c r="Z41188" s="258"/>
    </row>
    <row r="41189" spans="1:26" ht="12.75" customHeight="1" x14ac:dyDescent="0.2">
      <c r="A41189" s="258"/>
      <c r="Z41189" s="258"/>
    </row>
    <row r="41190" spans="1:26" ht="12.75" customHeight="1" x14ac:dyDescent="0.2">
      <c r="A41190" s="258"/>
      <c r="Z41190" s="258"/>
    </row>
    <row r="41191" spans="1:26" ht="12.75" customHeight="1" x14ac:dyDescent="0.2">
      <c r="A41191" s="258"/>
      <c r="Z41191" s="258"/>
    </row>
    <row r="41192" spans="1:26" ht="12.75" customHeight="1" x14ac:dyDescent="0.2">
      <c r="A41192" s="258"/>
      <c r="Z41192" s="258"/>
    </row>
    <row r="41193" spans="1:26" ht="12.75" customHeight="1" x14ac:dyDescent="0.2">
      <c r="A41193" s="258"/>
      <c r="Z41193" s="258"/>
    </row>
    <row r="41194" spans="1:26" ht="12.75" customHeight="1" x14ac:dyDescent="0.2">
      <c r="A41194" s="258"/>
      <c r="Z41194" s="258"/>
    </row>
    <row r="41195" spans="1:26" ht="12.75" customHeight="1" x14ac:dyDescent="0.2">
      <c r="A41195" s="258"/>
      <c r="Z41195" s="258"/>
    </row>
    <row r="41196" spans="1:26" ht="12.75" customHeight="1" x14ac:dyDescent="0.2">
      <c r="A41196" s="258"/>
      <c r="Z41196" s="258"/>
    </row>
    <row r="41197" spans="1:26" ht="12.75" customHeight="1" x14ac:dyDescent="0.2">
      <c r="A41197" s="258"/>
      <c r="Z41197" s="258"/>
    </row>
    <row r="41198" spans="1:26" ht="12.75" customHeight="1" x14ac:dyDescent="0.2">
      <c r="A41198" s="258"/>
      <c r="Z41198" s="258"/>
    </row>
    <row r="41199" spans="1:26" ht="12.75" customHeight="1" x14ac:dyDescent="0.2">
      <c r="A41199" s="258"/>
      <c r="Z41199" s="258"/>
    </row>
    <row r="41200" spans="1:26" ht="12.75" customHeight="1" x14ac:dyDescent="0.2">
      <c r="A41200" s="258"/>
      <c r="Z41200" s="258"/>
    </row>
    <row r="41201" spans="1:26" ht="12.75" customHeight="1" x14ac:dyDescent="0.2">
      <c r="A41201" s="258"/>
      <c r="Z41201" s="258"/>
    </row>
    <row r="41202" spans="1:26" ht="12.75" customHeight="1" x14ac:dyDescent="0.2">
      <c r="A41202" s="258"/>
      <c r="Z41202" s="258"/>
    </row>
    <row r="41203" spans="1:26" ht="12.75" customHeight="1" x14ac:dyDescent="0.2">
      <c r="A41203" s="258"/>
      <c r="Z41203" s="258"/>
    </row>
    <row r="41204" spans="1:26" ht="12.75" customHeight="1" x14ac:dyDescent="0.2">
      <c r="A41204" s="258"/>
      <c r="Z41204" s="258"/>
    </row>
    <row r="41205" spans="1:26" ht="12.75" customHeight="1" x14ac:dyDescent="0.2">
      <c r="A41205" s="258"/>
      <c r="Z41205" s="258"/>
    </row>
    <row r="41206" spans="1:26" ht="12.75" customHeight="1" x14ac:dyDescent="0.2">
      <c r="A41206" s="258"/>
      <c r="Z41206" s="258"/>
    </row>
    <row r="41207" spans="1:26" ht="12.75" customHeight="1" x14ac:dyDescent="0.2">
      <c r="A41207" s="258"/>
      <c r="Z41207" s="258"/>
    </row>
    <row r="41208" spans="1:26" ht="12.75" customHeight="1" x14ac:dyDescent="0.2">
      <c r="A41208" s="258"/>
      <c r="Z41208" s="258"/>
    </row>
    <row r="41209" spans="1:26" ht="12.75" customHeight="1" x14ac:dyDescent="0.2">
      <c r="A41209" s="258"/>
      <c r="Z41209" s="258"/>
    </row>
    <row r="41210" spans="1:26" ht="12.75" customHeight="1" x14ac:dyDescent="0.2">
      <c r="A41210" s="258"/>
      <c r="Z41210" s="258"/>
    </row>
    <row r="41211" spans="1:26" ht="12.75" customHeight="1" x14ac:dyDescent="0.2">
      <c r="A41211" s="258"/>
      <c r="Z41211" s="258"/>
    </row>
    <row r="41212" spans="1:26" ht="12.75" customHeight="1" x14ac:dyDescent="0.2">
      <c r="A41212" s="258"/>
      <c r="Z41212" s="258"/>
    </row>
    <row r="41213" spans="1:26" ht="12.75" customHeight="1" x14ac:dyDescent="0.2">
      <c r="A41213" s="258"/>
      <c r="Z41213" s="258"/>
    </row>
    <row r="41214" spans="1:26" ht="12.75" customHeight="1" x14ac:dyDescent="0.2">
      <c r="A41214" s="258"/>
      <c r="Z41214" s="258"/>
    </row>
    <row r="41215" spans="1:26" ht="12.75" customHeight="1" x14ac:dyDescent="0.2">
      <c r="A41215" s="258"/>
      <c r="Z41215" s="258"/>
    </row>
    <row r="41216" spans="1:26" ht="12.75" customHeight="1" x14ac:dyDescent="0.2">
      <c r="A41216" s="258"/>
      <c r="Z41216" s="258"/>
    </row>
    <row r="41217" spans="1:26" ht="12.75" customHeight="1" x14ac:dyDescent="0.2">
      <c r="A41217" s="258"/>
      <c r="Z41217" s="258"/>
    </row>
    <row r="41218" spans="1:26" ht="12.75" customHeight="1" x14ac:dyDescent="0.2">
      <c r="A41218" s="258"/>
      <c r="Z41218" s="258"/>
    </row>
    <row r="41219" spans="1:26" ht="12.75" customHeight="1" x14ac:dyDescent="0.2">
      <c r="A41219" s="258"/>
      <c r="Z41219" s="258"/>
    </row>
    <row r="41220" spans="1:26" ht="12.75" customHeight="1" x14ac:dyDescent="0.2">
      <c r="A41220" s="258"/>
      <c r="Z41220" s="258"/>
    </row>
    <row r="41221" spans="1:26" ht="12.75" customHeight="1" x14ac:dyDescent="0.2">
      <c r="A41221" s="258"/>
      <c r="Z41221" s="258"/>
    </row>
    <row r="41222" spans="1:26" ht="12.75" customHeight="1" x14ac:dyDescent="0.2">
      <c r="A41222" s="258"/>
      <c r="Z41222" s="258"/>
    </row>
    <row r="41223" spans="1:26" ht="12.75" customHeight="1" x14ac:dyDescent="0.2">
      <c r="A41223" s="258"/>
      <c r="Z41223" s="258"/>
    </row>
    <row r="41224" spans="1:26" ht="12.75" customHeight="1" x14ac:dyDescent="0.2">
      <c r="A41224" s="258"/>
      <c r="Z41224" s="258"/>
    </row>
    <row r="41225" spans="1:26" ht="12.75" customHeight="1" x14ac:dyDescent="0.2">
      <c r="A41225" s="258"/>
      <c r="Z41225" s="258"/>
    </row>
    <row r="41226" spans="1:26" ht="12.75" customHeight="1" x14ac:dyDescent="0.2">
      <c r="A41226" s="258"/>
      <c r="Z41226" s="258"/>
    </row>
    <row r="41227" spans="1:26" ht="12.75" customHeight="1" x14ac:dyDescent="0.2">
      <c r="A41227" s="258"/>
      <c r="Z41227" s="258"/>
    </row>
    <row r="41228" spans="1:26" ht="12.75" customHeight="1" x14ac:dyDescent="0.2">
      <c r="A41228" s="258"/>
      <c r="Z41228" s="258"/>
    </row>
    <row r="41229" spans="1:26" ht="12.75" customHeight="1" x14ac:dyDescent="0.2">
      <c r="A41229" s="258"/>
      <c r="Z41229" s="258"/>
    </row>
    <row r="41230" spans="1:26" ht="12.75" customHeight="1" x14ac:dyDescent="0.2">
      <c r="A41230" s="258"/>
      <c r="Z41230" s="258"/>
    </row>
    <row r="41231" spans="1:26" ht="12.75" customHeight="1" x14ac:dyDescent="0.2">
      <c r="A41231" s="258"/>
      <c r="Z41231" s="258"/>
    </row>
    <row r="41232" spans="1:26" ht="12.75" customHeight="1" x14ac:dyDescent="0.2">
      <c r="A41232" s="258"/>
      <c r="Z41232" s="258"/>
    </row>
    <row r="41233" spans="1:26" ht="12.75" customHeight="1" x14ac:dyDescent="0.2">
      <c r="A41233" s="258"/>
      <c r="Z41233" s="258"/>
    </row>
    <row r="41234" spans="1:26" ht="12.75" customHeight="1" x14ac:dyDescent="0.2">
      <c r="A41234" s="258"/>
      <c r="Z41234" s="258"/>
    </row>
    <row r="41235" spans="1:26" ht="12.75" customHeight="1" x14ac:dyDescent="0.2">
      <c r="A41235" s="258"/>
      <c r="Z41235" s="258"/>
    </row>
    <row r="41236" spans="1:26" ht="12.75" customHeight="1" x14ac:dyDescent="0.2">
      <c r="A41236" s="258"/>
      <c r="Z41236" s="258"/>
    </row>
    <row r="41237" spans="1:26" ht="12.75" customHeight="1" x14ac:dyDescent="0.2">
      <c r="A41237" s="258"/>
      <c r="Z41237" s="258"/>
    </row>
    <row r="41238" spans="1:26" ht="12.75" customHeight="1" x14ac:dyDescent="0.2">
      <c r="A41238" s="258"/>
      <c r="Z41238" s="258"/>
    </row>
    <row r="41239" spans="1:26" ht="12.75" customHeight="1" x14ac:dyDescent="0.2">
      <c r="A41239" s="258"/>
      <c r="Z41239" s="258"/>
    </row>
    <row r="41240" spans="1:26" ht="12.75" customHeight="1" x14ac:dyDescent="0.2">
      <c r="A41240" s="258"/>
      <c r="Z41240" s="258"/>
    </row>
    <row r="41241" spans="1:26" ht="12.75" customHeight="1" x14ac:dyDescent="0.2">
      <c r="A41241" s="258"/>
      <c r="Z41241" s="258"/>
    </row>
    <row r="41242" spans="1:26" ht="12.75" customHeight="1" x14ac:dyDescent="0.2">
      <c r="A41242" s="258"/>
      <c r="Z41242" s="258"/>
    </row>
    <row r="41243" spans="1:26" ht="12.75" customHeight="1" x14ac:dyDescent="0.2">
      <c r="A41243" s="258"/>
      <c r="Z41243" s="258"/>
    </row>
    <row r="41244" spans="1:26" ht="12.75" customHeight="1" x14ac:dyDescent="0.2">
      <c r="A41244" s="258"/>
      <c r="Z41244" s="258"/>
    </row>
    <row r="41245" spans="1:26" ht="12.75" customHeight="1" x14ac:dyDescent="0.2">
      <c r="A41245" s="258"/>
      <c r="Z41245" s="258"/>
    </row>
    <row r="41246" spans="1:26" ht="12.75" customHeight="1" x14ac:dyDescent="0.2">
      <c r="A41246" s="258"/>
      <c r="Z41246" s="258"/>
    </row>
    <row r="41247" spans="1:26" ht="12.75" customHeight="1" x14ac:dyDescent="0.2">
      <c r="A41247" s="258"/>
      <c r="Z41247" s="258"/>
    </row>
    <row r="41248" spans="1:26" ht="12.75" customHeight="1" x14ac:dyDescent="0.2">
      <c r="A41248" s="258"/>
      <c r="Z41248" s="258"/>
    </row>
    <row r="41249" spans="1:26" ht="12.75" customHeight="1" x14ac:dyDescent="0.2">
      <c r="A41249" s="258"/>
      <c r="Z41249" s="258"/>
    </row>
    <row r="41250" spans="1:26" ht="12.75" customHeight="1" x14ac:dyDescent="0.2">
      <c r="A41250" s="258"/>
      <c r="Z41250" s="258"/>
    </row>
    <row r="41251" spans="1:26" ht="12.75" customHeight="1" x14ac:dyDescent="0.2">
      <c r="A41251" s="258"/>
      <c r="Z41251" s="258"/>
    </row>
    <row r="41252" spans="1:26" ht="12.75" customHeight="1" x14ac:dyDescent="0.2">
      <c r="A41252" s="258"/>
      <c r="Z41252" s="258"/>
    </row>
    <row r="41253" spans="1:26" ht="12.75" customHeight="1" x14ac:dyDescent="0.2">
      <c r="A41253" s="258"/>
      <c r="Z41253" s="258"/>
    </row>
    <row r="41254" spans="1:26" ht="12.75" customHeight="1" x14ac:dyDescent="0.2">
      <c r="A41254" s="258"/>
      <c r="Z41254" s="258"/>
    </row>
    <row r="41255" spans="1:26" ht="12.75" customHeight="1" x14ac:dyDescent="0.2">
      <c r="A41255" s="258"/>
      <c r="Z41255" s="258"/>
    </row>
    <row r="41256" spans="1:26" ht="12.75" customHeight="1" x14ac:dyDescent="0.2">
      <c r="A41256" s="258"/>
      <c r="Z41256" s="258"/>
    </row>
    <row r="41257" spans="1:26" ht="12.75" customHeight="1" x14ac:dyDescent="0.2">
      <c r="A41257" s="258"/>
      <c r="Z41257" s="258"/>
    </row>
    <row r="41258" spans="1:26" ht="12.75" customHeight="1" x14ac:dyDescent="0.2">
      <c r="A41258" s="258"/>
      <c r="Z41258" s="258"/>
    </row>
    <row r="41259" spans="1:26" ht="12.75" customHeight="1" x14ac:dyDescent="0.2">
      <c r="A41259" s="258"/>
      <c r="Z41259" s="258"/>
    </row>
    <row r="41260" spans="1:26" ht="12.75" customHeight="1" x14ac:dyDescent="0.2">
      <c r="A41260" s="258"/>
      <c r="Z41260" s="258"/>
    </row>
    <row r="41261" spans="1:26" ht="12.75" customHeight="1" x14ac:dyDescent="0.2">
      <c r="A41261" s="258"/>
      <c r="Z41261" s="258"/>
    </row>
    <row r="41262" spans="1:26" ht="12.75" customHeight="1" x14ac:dyDescent="0.2">
      <c r="A41262" s="258"/>
      <c r="Z41262" s="258"/>
    </row>
    <row r="41263" spans="1:26" ht="12.75" customHeight="1" x14ac:dyDescent="0.2">
      <c r="A41263" s="258"/>
      <c r="Z41263" s="258"/>
    </row>
    <row r="41264" spans="1:26" ht="12.75" customHeight="1" x14ac:dyDescent="0.2">
      <c r="A41264" s="258"/>
      <c r="Z41264" s="258"/>
    </row>
    <row r="41265" spans="1:26" ht="12.75" customHeight="1" x14ac:dyDescent="0.2">
      <c r="A41265" s="258"/>
      <c r="Z41265" s="258"/>
    </row>
    <row r="41266" spans="1:26" ht="12.75" customHeight="1" x14ac:dyDescent="0.2">
      <c r="A41266" s="258"/>
      <c r="Z41266" s="258"/>
    </row>
    <row r="41267" spans="1:26" ht="12.75" customHeight="1" x14ac:dyDescent="0.2">
      <c r="A41267" s="258"/>
      <c r="Z41267" s="258"/>
    </row>
    <row r="41268" spans="1:26" ht="12.75" customHeight="1" x14ac:dyDescent="0.2">
      <c r="A41268" s="258"/>
      <c r="Z41268" s="258"/>
    </row>
    <row r="41269" spans="1:26" ht="12.75" customHeight="1" x14ac:dyDescent="0.2">
      <c r="A41269" s="258"/>
      <c r="Z41269" s="258"/>
    </row>
    <row r="41270" spans="1:26" ht="12.75" customHeight="1" x14ac:dyDescent="0.2">
      <c r="A41270" s="258"/>
      <c r="Z41270" s="258"/>
    </row>
    <row r="41271" spans="1:26" ht="12.75" customHeight="1" x14ac:dyDescent="0.2">
      <c r="A41271" s="258"/>
      <c r="Z41271" s="258"/>
    </row>
    <row r="41272" spans="1:26" ht="12.75" customHeight="1" x14ac:dyDescent="0.2">
      <c r="A41272" s="258"/>
      <c r="Z41272" s="258"/>
    </row>
    <row r="41273" spans="1:26" ht="12.75" customHeight="1" x14ac:dyDescent="0.2">
      <c r="A41273" s="258"/>
      <c r="Z41273" s="258"/>
    </row>
    <row r="41274" spans="1:26" ht="12.75" customHeight="1" x14ac:dyDescent="0.2">
      <c r="A41274" s="258"/>
      <c r="Z41274" s="258"/>
    </row>
    <row r="41275" spans="1:26" ht="12.75" customHeight="1" x14ac:dyDescent="0.2">
      <c r="A41275" s="258"/>
      <c r="Z41275" s="258"/>
    </row>
    <row r="41276" spans="1:26" ht="12.75" customHeight="1" x14ac:dyDescent="0.2">
      <c r="A41276" s="258"/>
      <c r="Z41276" s="258"/>
    </row>
    <row r="41277" spans="1:26" ht="12.75" customHeight="1" x14ac:dyDescent="0.2">
      <c r="A41277" s="258"/>
      <c r="Z41277" s="258"/>
    </row>
    <row r="41278" spans="1:26" ht="12.75" customHeight="1" x14ac:dyDescent="0.2">
      <c r="A41278" s="258"/>
      <c r="Z41278" s="258"/>
    </row>
    <row r="41279" spans="1:26" ht="12.75" customHeight="1" x14ac:dyDescent="0.2">
      <c r="A41279" s="258"/>
      <c r="Z41279" s="258"/>
    </row>
    <row r="41280" spans="1:26" ht="12.75" customHeight="1" x14ac:dyDescent="0.2">
      <c r="A41280" s="258"/>
      <c r="Z41280" s="258"/>
    </row>
    <row r="41281" spans="1:26" ht="12.75" customHeight="1" x14ac:dyDescent="0.2">
      <c r="A41281" s="258"/>
      <c r="Z41281" s="258"/>
    </row>
    <row r="41282" spans="1:26" ht="12.75" customHeight="1" x14ac:dyDescent="0.2">
      <c r="A41282" s="258"/>
      <c r="Z41282" s="258"/>
    </row>
    <row r="41283" spans="1:26" ht="12.75" customHeight="1" x14ac:dyDescent="0.2">
      <c r="A41283" s="258"/>
      <c r="Z41283" s="258"/>
    </row>
    <row r="41284" spans="1:26" ht="12.75" customHeight="1" x14ac:dyDescent="0.2">
      <c r="A41284" s="258"/>
      <c r="Z41284" s="258"/>
    </row>
    <row r="41285" spans="1:26" ht="12.75" customHeight="1" x14ac:dyDescent="0.2">
      <c r="A41285" s="258"/>
      <c r="Z41285" s="258"/>
    </row>
    <row r="41286" spans="1:26" ht="12.75" customHeight="1" x14ac:dyDescent="0.2">
      <c r="A41286" s="258"/>
      <c r="Z41286" s="258"/>
    </row>
    <row r="41287" spans="1:26" ht="12.75" customHeight="1" x14ac:dyDescent="0.2">
      <c r="A41287" s="258"/>
      <c r="Z41287" s="258"/>
    </row>
    <row r="41288" spans="1:26" ht="12.75" customHeight="1" x14ac:dyDescent="0.2">
      <c r="A41288" s="258"/>
      <c r="Z41288" s="258"/>
    </row>
    <row r="41289" spans="1:26" ht="12.75" customHeight="1" x14ac:dyDescent="0.2">
      <c r="A41289" s="258"/>
      <c r="Z41289" s="258"/>
    </row>
    <row r="41290" spans="1:26" ht="12.75" customHeight="1" x14ac:dyDescent="0.2">
      <c r="A41290" s="258"/>
      <c r="Z41290" s="258"/>
    </row>
    <row r="41291" spans="1:26" ht="12.75" customHeight="1" x14ac:dyDescent="0.2">
      <c r="A41291" s="258"/>
      <c r="Z41291" s="258"/>
    </row>
    <row r="41292" spans="1:26" ht="12.75" customHeight="1" x14ac:dyDescent="0.2">
      <c r="A41292" s="258"/>
      <c r="Z41292" s="258"/>
    </row>
    <row r="41293" spans="1:26" ht="12.75" customHeight="1" x14ac:dyDescent="0.2">
      <c r="A41293" s="258"/>
      <c r="Z41293" s="258"/>
    </row>
    <row r="41294" spans="1:26" ht="12.75" customHeight="1" x14ac:dyDescent="0.2">
      <c r="A41294" s="258"/>
      <c r="Z41294" s="258"/>
    </row>
    <row r="41295" spans="1:26" ht="12.75" customHeight="1" x14ac:dyDescent="0.2">
      <c r="A41295" s="258"/>
      <c r="Z41295" s="258"/>
    </row>
    <row r="41296" spans="1:26" ht="12.75" customHeight="1" x14ac:dyDescent="0.2">
      <c r="A41296" s="258"/>
      <c r="Z41296" s="258"/>
    </row>
    <row r="41297" spans="1:26" ht="12.75" customHeight="1" x14ac:dyDescent="0.2">
      <c r="A41297" s="258"/>
      <c r="Z41297" s="258"/>
    </row>
    <row r="41298" spans="1:26" ht="12.75" customHeight="1" x14ac:dyDescent="0.2">
      <c r="A41298" s="258"/>
      <c r="Z41298" s="258"/>
    </row>
    <row r="41299" spans="1:26" ht="12.75" customHeight="1" x14ac:dyDescent="0.2">
      <c r="A41299" s="258"/>
      <c r="Z41299" s="258"/>
    </row>
    <row r="41300" spans="1:26" ht="12.75" customHeight="1" x14ac:dyDescent="0.2">
      <c r="A41300" s="258"/>
      <c r="Z41300" s="258"/>
    </row>
    <row r="41301" spans="1:26" ht="12.75" customHeight="1" x14ac:dyDescent="0.2">
      <c r="A41301" s="258"/>
      <c r="Z41301" s="258"/>
    </row>
    <row r="41302" spans="1:26" ht="12.75" customHeight="1" x14ac:dyDescent="0.2">
      <c r="A41302" s="258"/>
      <c r="Z41302" s="258"/>
    </row>
    <row r="41303" spans="1:26" ht="12.75" customHeight="1" x14ac:dyDescent="0.2">
      <c r="A41303" s="258"/>
      <c r="Z41303" s="258"/>
    </row>
    <row r="41304" spans="1:26" ht="12.75" customHeight="1" x14ac:dyDescent="0.2">
      <c r="A41304" s="258"/>
      <c r="Z41304" s="258"/>
    </row>
    <row r="41305" spans="1:26" ht="12.75" customHeight="1" x14ac:dyDescent="0.2">
      <c r="A41305" s="258"/>
      <c r="Z41305" s="258"/>
    </row>
    <row r="41306" spans="1:26" ht="12.75" customHeight="1" x14ac:dyDescent="0.2">
      <c r="A41306" s="258"/>
      <c r="Z41306" s="258"/>
    </row>
    <row r="41307" spans="1:26" ht="12.75" customHeight="1" x14ac:dyDescent="0.2">
      <c r="A41307" s="258"/>
      <c r="Z41307" s="258"/>
    </row>
    <row r="41308" spans="1:26" ht="12.75" customHeight="1" x14ac:dyDescent="0.2">
      <c r="A41308" s="258"/>
      <c r="Z41308" s="258"/>
    </row>
    <row r="41309" spans="1:26" ht="12.75" customHeight="1" x14ac:dyDescent="0.2">
      <c r="A41309" s="258"/>
      <c r="Z41309" s="258"/>
    </row>
    <row r="41310" spans="1:26" ht="12.75" customHeight="1" x14ac:dyDescent="0.2">
      <c r="A41310" s="258"/>
      <c r="Z41310" s="258"/>
    </row>
    <row r="41311" spans="1:26" ht="12.75" customHeight="1" x14ac:dyDescent="0.2">
      <c r="A41311" s="258"/>
      <c r="Z41311" s="258"/>
    </row>
    <row r="41312" spans="1:26" ht="12.75" customHeight="1" x14ac:dyDescent="0.2">
      <c r="A41312" s="258"/>
      <c r="Z41312" s="258"/>
    </row>
    <row r="41313" spans="1:26" ht="12.75" customHeight="1" x14ac:dyDescent="0.2">
      <c r="A41313" s="258"/>
      <c r="Z41313" s="258"/>
    </row>
    <row r="41314" spans="1:26" ht="12.75" customHeight="1" x14ac:dyDescent="0.2">
      <c r="A41314" s="258"/>
      <c r="Z41314" s="258"/>
    </row>
    <row r="41315" spans="1:26" ht="12.75" customHeight="1" x14ac:dyDescent="0.2">
      <c r="A41315" s="258"/>
      <c r="Z41315" s="258"/>
    </row>
    <row r="41316" spans="1:26" ht="12.75" customHeight="1" x14ac:dyDescent="0.2">
      <c r="A41316" s="258"/>
      <c r="Z41316" s="258"/>
    </row>
    <row r="41317" spans="1:26" ht="12.75" customHeight="1" x14ac:dyDescent="0.2">
      <c r="A41317" s="258"/>
      <c r="Z41317" s="258"/>
    </row>
    <row r="41318" spans="1:26" ht="12.75" customHeight="1" x14ac:dyDescent="0.2">
      <c r="A41318" s="258"/>
      <c r="Z41318" s="258"/>
    </row>
    <row r="41319" spans="1:26" ht="12.75" customHeight="1" x14ac:dyDescent="0.2">
      <c r="A41319" s="258"/>
      <c r="Z41319" s="258"/>
    </row>
    <row r="41320" spans="1:26" ht="12.75" customHeight="1" x14ac:dyDescent="0.2">
      <c r="A41320" s="258"/>
      <c r="Z41320" s="258"/>
    </row>
    <row r="41321" spans="1:26" ht="12.75" customHeight="1" x14ac:dyDescent="0.2">
      <c r="A41321" s="258"/>
      <c r="Z41321" s="258"/>
    </row>
    <row r="41322" spans="1:26" ht="12.75" customHeight="1" x14ac:dyDescent="0.2">
      <c r="A41322" s="258"/>
      <c r="Z41322" s="258"/>
    </row>
    <row r="41323" spans="1:26" ht="12.75" customHeight="1" x14ac:dyDescent="0.2">
      <c r="A41323" s="258"/>
      <c r="Z41323" s="258"/>
    </row>
    <row r="41324" spans="1:26" ht="12.75" customHeight="1" x14ac:dyDescent="0.2">
      <c r="A41324" s="258"/>
      <c r="Z41324" s="258"/>
    </row>
    <row r="41325" spans="1:26" ht="12.75" customHeight="1" x14ac:dyDescent="0.2">
      <c r="A41325" s="258"/>
      <c r="Z41325" s="258"/>
    </row>
    <row r="41326" spans="1:26" ht="12.75" customHeight="1" x14ac:dyDescent="0.2">
      <c r="A41326" s="258"/>
      <c r="Z41326" s="258"/>
    </row>
    <row r="41327" spans="1:26" ht="12.75" customHeight="1" x14ac:dyDescent="0.2">
      <c r="A41327" s="258"/>
      <c r="Z41327" s="258"/>
    </row>
    <row r="41328" spans="1:26" ht="12.75" customHeight="1" x14ac:dyDescent="0.2">
      <c r="A41328" s="258"/>
      <c r="Z41328" s="258"/>
    </row>
    <row r="41329" spans="1:26" ht="12.75" customHeight="1" x14ac:dyDescent="0.2">
      <c r="A41329" s="258"/>
      <c r="Z41329" s="258"/>
    </row>
    <row r="41330" spans="1:26" ht="12.75" customHeight="1" x14ac:dyDescent="0.2">
      <c r="A41330" s="258"/>
      <c r="Z41330" s="258"/>
    </row>
    <row r="41331" spans="1:26" ht="12.75" customHeight="1" x14ac:dyDescent="0.2">
      <c r="A41331" s="258"/>
      <c r="Z41331" s="258"/>
    </row>
    <row r="41332" spans="1:26" ht="12.75" customHeight="1" x14ac:dyDescent="0.2">
      <c r="A41332" s="258"/>
      <c r="Z41332" s="258"/>
    </row>
    <row r="41333" spans="1:26" ht="12.75" customHeight="1" x14ac:dyDescent="0.2">
      <c r="A41333" s="258"/>
      <c r="Z41333" s="258"/>
    </row>
    <row r="41334" spans="1:26" ht="12.75" customHeight="1" x14ac:dyDescent="0.2">
      <c r="A41334" s="258"/>
      <c r="Z41334" s="258"/>
    </row>
    <row r="41335" spans="1:26" ht="12.75" customHeight="1" x14ac:dyDescent="0.2">
      <c r="A41335" s="258"/>
      <c r="Z41335" s="258"/>
    </row>
    <row r="41336" spans="1:26" ht="12.75" customHeight="1" x14ac:dyDescent="0.2">
      <c r="A41336" s="258"/>
      <c r="Z41336" s="258"/>
    </row>
    <row r="41337" spans="1:26" ht="12.75" customHeight="1" x14ac:dyDescent="0.2">
      <c r="A41337" s="258"/>
      <c r="Z41337" s="258"/>
    </row>
    <row r="41338" spans="1:26" ht="12.75" customHeight="1" x14ac:dyDescent="0.2">
      <c r="A41338" s="258"/>
      <c r="Z41338" s="258"/>
    </row>
    <row r="41339" spans="1:26" ht="12.75" customHeight="1" x14ac:dyDescent="0.2">
      <c r="A41339" s="258"/>
      <c r="Z41339" s="258"/>
    </row>
    <row r="41340" spans="1:26" ht="12.75" customHeight="1" x14ac:dyDescent="0.2">
      <c r="A41340" s="258"/>
      <c r="Z41340" s="258"/>
    </row>
    <row r="41341" spans="1:26" ht="12.75" customHeight="1" x14ac:dyDescent="0.2">
      <c r="A41341" s="258"/>
      <c r="Z41341" s="258"/>
    </row>
    <row r="41342" spans="1:26" ht="12.75" customHeight="1" x14ac:dyDescent="0.2">
      <c r="A41342" s="258"/>
      <c r="Z41342" s="258"/>
    </row>
    <row r="41343" spans="1:26" ht="12.75" customHeight="1" x14ac:dyDescent="0.2">
      <c r="A41343" s="258"/>
      <c r="Z41343" s="258"/>
    </row>
    <row r="41344" spans="1:26" ht="12.75" customHeight="1" x14ac:dyDescent="0.2">
      <c r="A41344" s="258"/>
      <c r="Z41344" s="258"/>
    </row>
    <row r="41345" spans="1:26" ht="12.75" customHeight="1" x14ac:dyDescent="0.2">
      <c r="A41345" s="258"/>
      <c r="Z41345" s="258"/>
    </row>
    <row r="41346" spans="1:26" ht="12.75" customHeight="1" x14ac:dyDescent="0.2">
      <c r="A41346" s="258"/>
      <c r="Z41346" s="258"/>
    </row>
    <row r="41347" spans="1:26" ht="12.75" customHeight="1" x14ac:dyDescent="0.2">
      <c r="A41347" s="258"/>
      <c r="Z41347" s="258"/>
    </row>
    <row r="41348" spans="1:26" ht="12.75" customHeight="1" x14ac:dyDescent="0.2">
      <c r="A41348" s="258"/>
      <c r="Z41348" s="258"/>
    </row>
    <row r="41349" spans="1:26" ht="12.75" customHeight="1" x14ac:dyDescent="0.2">
      <c r="A41349" s="258"/>
      <c r="Z41349" s="258"/>
    </row>
    <row r="41350" spans="1:26" ht="12.75" customHeight="1" x14ac:dyDescent="0.2">
      <c r="A41350" s="258"/>
      <c r="Z41350" s="258"/>
    </row>
    <row r="41351" spans="1:26" ht="12.75" customHeight="1" x14ac:dyDescent="0.2">
      <c r="A41351" s="258"/>
      <c r="Z41351" s="258"/>
    </row>
    <row r="41352" spans="1:26" ht="12.75" customHeight="1" x14ac:dyDescent="0.2">
      <c r="A41352" s="258"/>
      <c r="Z41352" s="258"/>
    </row>
    <row r="41353" spans="1:26" ht="12.75" customHeight="1" x14ac:dyDescent="0.2">
      <c r="A41353" s="258"/>
      <c r="Z41353" s="258"/>
    </row>
    <row r="41354" spans="1:26" ht="12.75" customHeight="1" x14ac:dyDescent="0.2">
      <c r="A41354" s="258"/>
      <c r="Z41354" s="258"/>
    </row>
    <row r="41355" spans="1:26" ht="12.75" customHeight="1" x14ac:dyDescent="0.2">
      <c r="A41355" s="258"/>
      <c r="Z41355" s="258"/>
    </row>
    <row r="41356" spans="1:26" ht="12.75" customHeight="1" x14ac:dyDescent="0.2">
      <c r="A41356" s="258"/>
      <c r="Z41356" s="258"/>
    </row>
    <row r="41357" spans="1:26" ht="12.75" customHeight="1" x14ac:dyDescent="0.2">
      <c r="A41357" s="258"/>
      <c r="Z41357" s="258"/>
    </row>
    <row r="41358" spans="1:26" ht="12.75" customHeight="1" x14ac:dyDescent="0.2">
      <c r="A41358" s="258"/>
      <c r="Z41358" s="258"/>
    </row>
    <row r="41359" spans="1:26" ht="12.75" customHeight="1" x14ac:dyDescent="0.2">
      <c r="A41359" s="258"/>
      <c r="Z41359" s="258"/>
    </row>
    <row r="41360" spans="1:26" ht="12.75" customHeight="1" x14ac:dyDescent="0.2">
      <c r="A41360" s="258"/>
      <c r="Z41360" s="258"/>
    </row>
    <row r="41361" spans="1:26" ht="12.75" customHeight="1" x14ac:dyDescent="0.2">
      <c r="A41361" s="258"/>
      <c r="Z41361" s="258"/>
    </row>
    <row r="41362" spans="1:26" ht="12.75" customHeight="1" x14ac:dyDescent="0.2">
      <c r="A41362" s="258"/>
      <c r="Z41362" s="258"/>
    </row>
    <row r="41363" spans="1:26" ht="12.75" customHeight="1" x14ac:dyDescent="0.2">
      <c r="A41363" s="258"/>
      <c r="Z41363" s="258"/>
    </row>
    <row r="41364" spans="1:26" ht="12.75" customHeight="1" x14ac:dyDescent="0.2">
      <c r="A41364" s="258"/>
      <c r="Z41364" s="258"/>
    </row>
    <row r="41365" spans="1:26" ht="12.75" customHeight="1" x14ac:dyDescent="0.2">
      <c r="A41365" s="258"/>
      <c r="Z41365" s="258"/>
    </row>
    <row r="41366" spans="1:26" ht="12.75" customHeight="1" x14ac:dyDescent="0.2">
      <c r="A41366" s="258"/>
      <c r="Z41366" s="258"/>
    </row>
    <row r="41367" spans="1:26" ht="12.75" customHeight="1" x14ac:dyDescent="0.2">
      <c r="A41367" s="258"/>
      <c r="Z41367" s="258"/>
    </row>
    <row r="41368" spans="1:26" ht="12.75" customHeight="1" x14ac:dyDescent="0.2">
      <c r="A41368" s="258"/>
      <c r="Z41368" s="258"/>
    </row>
    <row r="41369" spans="1:26" ht="12.75" customHeight="1" x14ac:dyDescent="0.2">
      <c r="A41369" s="258"/>
      <c r="Z41369" s="258"/>
    </row>
    <row r="41370" spans="1:26" ht="12.75" customHeight="1" x14ac:dyDescent="0.2">
      <c r="A41370" s="258"/>
      <c r="Z41370" s="258"/>
    </row>
    <row r="41371" spans="1:26" ht="12.75" customHeight="1" x14ac:dyDescent="0.2">
      <c r="A41371" s="258"/>
      <c r="Z41371" s="258"/>
    </row>
    <row r="41372" spans="1:26" ht="12.75" customHeight="1" x14ac:dyDescent="0.2">
      <c r="A41372" s="258"/>
      <c r="Z41372" s="258"/>
    </row>
    <row r="41373" spans="1:26" ht="12.75" customHeight="1" x14ac:dyDescent="0.2">
      <c r="A41373" s="258"/>
      <c r="Z41373" s="258"/>
    </row>
    <row r="41374" spans="1:26" ht="12.75" customHeight="1" x14ac:dyDescent="0.2">
      <c r="A41374" s="258"/>
      <c r="Z41374" s="258"/>
    </row>
    <row r="41375" spans="1:26" ht="12.75" customHeight="1" x14ac:dyDescent="0.2">
      <c r="A41375" s="258"/>
      <c r="Z41375" s="258"/>
    </row>
    <row r="41376" spans="1:26" ht="12.75" customHeight="1" x14ac:dyDescent="0.2">
      <c r="A41376" s="258"/>
      <c r="Z41376" s="258"/>
    </row>
    <row r="41377" spans="1:26" ht="12.75" customHeight="1" x14ac:dyDescent="0.2">
      <c r="A41377" s="258"/>
      <c r="Z41377" s="258"/>
    </row>
    <row r="41378" spans="1:26" ht="12.75" customHeight="1" x14ac:dyDescent="0.2">
      <c r="A41378" s="258"/>
      <c r="Z41378" s="258"/>
    </row>
    <row r="41379" spans="1:26" ht="12.75" customHeight="1" x14ac:dyDescent="0.2">
      <c r="A41379" s="258"/>
      <c r="Z41379" s="258"/>
    </row>
    <row r="41380" spans="1:26" ht="12.75" customHeight="1" x14ac:dyDescent="0.2">
      <c r="A41380" s="258"/>
      <c r="Z41380" s="258"/>
    </row>
    <row r="41381" spans="1:26" ht="12.75" customHeight="1" x14ac:dyDescent="0.2">
      <c r="A41381" s="258"/>
      <c r="Z41381" s="258"/>
    </row>
    <row r="41382" spans="1:26" ht="12.75" customHeight="1" x14ac:dyDescent="0.2">
      <c r="A41382" s="258"/>
      <c r="Z41382" s="258"/>
    </row>
    <row r="41383" spans="1:26" ht="12.75" customHeight="1" x14ac:dyDescent="0.2">
      <c r="A41383" s="258"/>
      <c r="Z41383" s="258"/>
    </row>
    <row r="41384" spans="1:26" ht="12.75" customHeight="1" x14ac:dyDescent="0.2">
      <c r="A41384" s="258"/>
      <c r="Z41384" s="258"/>
    </row>
    <row r="41385" spans="1:26" ht="12.75" customHeight="1" x14ac:dyDescent="0.2">
      <c r="A41385" s="258"/>
      <c r="Z41385" s="258"/>
    </row>
    <row r="41386" spans="1:26" ht="12.75" customHeight="1" x14ac:dyDescent="0.2">
      <c r="A41386" s="258"/>
      <c r="Z41386" s="258"/>
    </row>
    <row r="41387" spans="1:26" ht="12.75" customHeight="1" x14ac:dyDescent="0.2">
      <c r="A41387" s="258"/>
      <c r="Z41387" s="258"/>
    </row>
    <row r="41388" spans="1:26" ht="12.75" customHeight="1" x14ac:dyDescent="0.2">
      <c r="A41388" s="258"/>
      <c r="Z41388" s="258"/>
    </row>
    <row r="41389" spans="1:26" ht="12.75" customHeight="1" x14ac:dyDescent="0.2">
      <c r="A41389" s="258"/>
      <c r="Z41389" s="258"/>
    </row>
    <row r="41390" spans="1:26" ht="12.75" customHeight="1" x14ac:dyDescent="0.2">
      <c r="A41390" s="258"/>
      <c r="Z41390" s="258"/>
    </row>
    <row r="41391" spans="1:26" ht="12.75" customHeight="1" x14ac:dyDescent="0.2">
      <c r="A41391" s="258"/>
      <c r="Z41391" s="258"/>
    </row>
    <row r="41392" spans="1:26" ht="12.75" customHeight="1" x14ac:dyDescent="0.2">
      <c r="A41392" s="258"/>
      <c r="Z41392" s="258"/>
    </row>
    <row r="41393" spans="1:26" ht="12.75" customHeight="1" x14ac:dyDescent="0.2">
      <c r="A41393" s="258"/>
      <c r="Z41393" s="258"/>
    </row>
    <row r="41394" spans="1:26" ht="12.75" customHeight="1" x14ac:dyDescent="0.2">
      <c r="A41394" s="258"/>
      <c r="Z41394" s="258"/>
    </row>
    <row r="41395" spans="1:26" ht="12.75" customHeight="1" x14ac:dyDescent="0.2">
      <c r="A41395" s="258"/>
      <c r="Z41395" s="258"/>
    </row>
    <row r="41396" spans="1:26" ht="12.75" customHeight="1" x14ac:dyDescent="0.2">
      <c r="A41396" s="258"/>
      <c r="Z41396" s="258"/>
    </row>
    <row r="41397" spans="1:26" ht="12.75" customHeight="1" x14ac:dyDescent="0.2">
      <c r="A41397" s="258"/>
      <c r="Z41397" s="258"/>
    </row>
    <row r="41398" spans="1:26" ht="12.75" customHeight="1" x14ac:dyDescent="0.2">
      <c r="A41398" s="258"/>
      <c r="Z41398" s="258"/>
    </row>
    <row r="41399" spans="1:26" ht="12.75" customHeight="1" x14ac:dyDescent="0.2">
      <c r="A41399" s="258"/>
      <c r="Z41399" s="258"/>
    </row>
    <row r="41400" spans="1:26" ht="12.75" customHeight="1" x14ac:dyDescent="0.2">
      <c r="A41400" s="258"/>
      <c r="Z41400" s="258"/>
    </row>
    <row r="41401" spans="1:26" ht="12.75" customHeight="1" x14ac:dyDescent="0.2">
      <c r="A41401" s="258"/>
      <c r="Z41401" s="258"/>
    </row>
    <row r="41402" spans="1:26" ht="12.75" customHeight="1" x14ac:dyDescent="0.2">
      <c r="A41402" s="258"/>
      <c r="Z41402" s="258"/>
    </row>
    <row r="41403" spans="1:26" ht="12.75" customHeight="1" x14ac:dyDescent="0.2">
      <c r="A41403" s="258"/>
      <c r="Z41403" s="258"/>
    </row>
    <row r="41404" spans="1:26" ht="12.75" customHeight="1" x14ac:dyDescent="0.2">
      <c r="A41404" s="258"/>
      <c r="Z41404" s="258"/>
    </row>
    <row r="41405" spans="1:26" ht="12.75" customHeight="1" x14ac:dyDescent="0.2">
      <c r="A41405" s="258"/>
      <c r="Z41405" s="258"/>
    </row>
    <row r="41406" spans="1:26" ht="12.75" customHeight="1" x14ac:dyDescent="0.2">
      <c r="A41406" s="258"/>
      <c r="Z41406" s="258"/>
    </row>
    <row r="41407" spans="1:26" ht="12.75" customHeight="1" x14ac:dyDescent="0.2">
      <c r="A41407" s="258"/>
      <c r="Z41407" s="258"/>
    </row>
    <row r="41408" spans="1:26" ht="12.75" customHeight="1" x14ac:dyDescent="0.2">
      <c r="A41408" s="258"/>
      <c r="Z41408" s="258"/>
    </row>
    <row r="41409" spans="1:26" ht="12.75" customHeight="1" x14ac:dyDescent="0.2">
      <c r="A41409" s="258"/>
      <c r="Z41409" s="258"/>
    </row>
    <row r="41410" spans="1:26" ht="12.75" customHeight="1" x14ac:dyDescent="0.2">
      <c r="A41410" s="258"/>
      <c r="Z41410" s="258"/>
    </row>
    <row r="41411" spans="1:26" ht="12.75" customHeight="1" x14ac:dyDescent="0.2">
      <c r="A41411" s="258"/>
      <c r="Z41411" s="258"/>
    </row>
    <row r="41412" spans="1:26" ht="12.75" customHeight="1" x14ac:dyDescent="0.2">
      <c r="A41412" s="258"/>
      <c r="Z41412" s="258"/>
    </row>
    <row r="41413" spans="1:26" ht="12.75" customHeight="1" x14ac:dyDescent="0.2">
      <c r="A41413" s="258"/>
      <c r="Z41413" s="258"/>
    </row>
    <row r="41414" spans="1:26" ht="12.75" customHeight="1" x14ac:dyDescent="0.2">
      <c r="A41414" s="258"/>
      <c r="Z41414" s="258"/>
    </row>
    <row r="41415" spans="1:26" ht="12.75" customHeight="1" x14ac:dyDescent="0.2">
      <c r="A41415" s="258"/>
      <c r="Z41415" s="258"/>
    </row>
    <row r="41416" spans="1:26" ht="12.75" customHeight="1" x14ac:dyDescent="0.2">
      <c r="A41416" s="258"/>
      <c r="Z41416" s="258"/>
    </row>
    <row r="41417" spans="1:26" ht="12.75" customHeight="1" x14ac:dyDescent="0.2">
      <c r="A41417" s="258"/>
      <c r="Z41417" s="258"/>
    </row>
    <row r="41418" spans="1:26" ht="12.75" customHeight="1" x14ac:dyDescent="0.2">
      <c r="A41418" s="258"/>
      <c r="Z41418" s="258"/>
    </row>
    <row r="41419" spans="1:26" ht="12.75" customHeight="1" x14ac:dyDescent="0.2">
      <c r="A41419" s="258"/>
      <c r="Z41419" s="258"/>
    </row>
    <row r="41420" spans="1:26" ht="12.75" customHeight="1" x14ac:dyDescent="0.2">
      <c r="A41420" s="258"/>
      <c r="Z41420" s="258"/>
    </row>
    <row r="41421" spans="1:26" ht="12.75" customHeight="1" x14ac:dyDescent="0.2">
      <c r="A41421" s="258"/>
      <c r="Z41421" s="258"/>
    </row>
    <row r="41422" spans="1:26" ht="12.75" customHeight="1" x14ac:dyDescent="0.2">
      <c r="A41422" s="258"/>
      <c r="Z41422" s="258"/>
    </row>
    <row r="41423" spans="1:26" ht="12.75" customHeight="1" x14ac:dyDescent="0.2">
      <c r="A41423" s="258"/>
      <c r="Z41423" s="258"/>
    </row>
    <row r="41424" spans="1:26" ht="12.75" customHeight="1" x14ac:dyDescent="0.2">
      <c r="A41424" s="258"/>
      <c r="Z41424" s="258"/>
    </row>
    <row r="41425" spans="1:26" ht="12.75" customHeight="1" x14ac:dyDescent="0.2">
      <c r="A41425" s="258"/>
      <c r="Z41425" s="258"/>
    </row>
    <row r="41426" spans="1:26" ht="12.75" customHeight="1" x14ac:dyDescent="0.2">
      <c r="A41426" s="258"/>
      <c r="Z41426" s="258"/>
    </row>
    <row r="41427" spans="1:26" ht="12.75" customHeight="1" x14ac:dyDescent="0.2">
      <c r="A41427" s="258"/>
      <c r="Z41427" s="258"/>
    </row>
    <row r="41428" spans="1:26" ht="12.75" customHeight="1" x14ac:dyDescent="0.2">
      <c r="A41428" s="258"/>
      <c r="Z41428" s="258"/>
    </row>
    <row r="41429" spans="1:26" ht="12.75" customHeight="1" x14ac:dyDescent="0.2">
      <c r="A41429" s="258"/>
      <c r="Z41429" s="258"/>
    </row>
    <row r="41430" spans="1:26" ht="12.75" customHeight="1" x14ac:dyDescent="0.2">
      <c r="A41430" s="258"/>
      <c r="Z41430" s="258"/>
    </row>
    <row r="41431" spans="1:26" ht="12.75" customHeight="1" x14ac:dyDescent="0.2">
      <c r="A41431" s="258"/>
      <c r="Z41431" s="258"/>
    </row>
    <row r="41432" spans="1:26" ht="12.75" customHeight="1" x14ac:dyDescent="0.2">
      <c r="A41432" s="258"/>
      <c r="Z41432" s="258"/>
    </row>
    <row r="41433" spans="1:26" ht="12.75" customHeight="1" x14ac:dyDescent="0.2">
      <c r="A41433" s="258"/>
      <c r="Z41433" s="258"/>
    </row>
    <row r="41434" spans="1:26" ht="12.75" customHeight="1" x14ac:dyDescent="0.2">
      <c r="A41434" s="258"/>
      <c r="Z41434" s="258"/>
    </row>
    <row r="41435" spans="1:26" ht="12.75" customHeight="1" x14ac:dyDescent="0.2">
      <c r="A41435" s="258"/>
      <c r="Z41435" s="258"/>
    </row>
    <row r="41436" spans="1:26" ht="12.75" customHeight="1" x14ac:dyDescent="0.2">
      <c r="A41436" s="258"/>
      <c r="Z41436" s="258"/>
    </row>
    <row r="41437" spans="1:26" ht="12.75" customHeight="1" x14ac:dyDescent="0.2">
      <c r="A41437" s="258"/>
      <c r="Z41437" s="258"/>
    </row>
    <row r="41438" spans="1:26" ht="12.75" customHeight="1" x14ac:dyDescent="0.2">
      <c r="A41438" s="258"/>
      <c r="Z41438" s="258"/>
    </row>
    <row r="41439" spans="1:26" ht="12.75" customHeight="1" x14ac:dyDescent="0.2">
      <c r="A41439" s="258"/>
      <c r="Z41439" s="258"/>
    </row>
    <row r="41440" spans="1:26" ht="12.75" customHeight="1" x14ac:dyDescent="0.2">
      <c r="A41440" s="258"/>
      <c r="Z41440" s="258"/>
    </row>
    <row r="41441" spans="1:26" ht="12.75" customHeight="1" x14ac:dyDescent="0.2">
      <c r="A41441" s="258"/>
      <c r="Z41441" s="258"/>
    </row>
    <row r="41442" spans="1:26" ht="12.75" customHeight="1" x14ac:dyDescent="0.2">
      <c r="A41442" s="258"/>
      <c r="Z41442" s="258"/>
    </row>
    <row r="41443" spans="1:26" ht="12.75" customHeight="1" x14ac:dyDescent="0.2">
      <c r="A41443" s="258"/>
      <c r="Z41443" s="258"/>
    </row>
    <row r="41444" spans="1:26" ht="12.75" customHeight="1" x14ac:dyDescent="0.2">
      <c r="A41444" s="258"/>
      <c r="Z41444" s="258"/>
    </row>
    <row r="41445" spans="1:26" ht="12.75" customHeight="1" x14ac:dyDescent="0.2">
      <c r="A41445" s="258"/>
      <c r="Z41445" s="258"/>
    </row>
    <row r="41446" spans="1:26" ht="12.75" customHeight="1" x14ac:dyDescent="0.2">
      <c r="A41446" s="258"/>
      <c r="Z41446" s="258"/>
    </row>
    <row r="41447" spans="1:26" ht="12.75" customHeight="1" x14ac:dyDescent="0.2">
      <c r="A41447" s="258"/>
      <c r="Z41447" s="258"/>
    </row>
    <row r="41448" spans="1:26" ht="12.75" customHeight="1" x14ac:dyDescent="0.2">
      <c r="A41448" s="258"/>
      <c r="Z41448" s="258"/>
    </row>
    <row r="41449" spans="1:26" ht="12.75" customHeight="1" x14ac:dyDescent="0.2">
      <c r="A41449" s="258"/>
      <c r="Z41449" s="258"/>
    </row>
    <row r="41450" spans="1:26" ht="12.75" customHeight="1" x14ac:dyDescent="0.2">
      <c r="A41450" s="258"/>
      <c r="Z41450" s="258"/>
    </row>
    <row r="41451" spans="1:26" ht="12.75" customHeight="1" x14ac:dyDescent="0.2">
      <c r="A41451" s="258"/>
      <c r="Z41451" s="258"/>
    </row>
    <row r="41452" spans="1:26" ht="12.75" customHeight="1" x14ac:dyDescent="0.2">
      <c r="A41452" s="258"/>
      <c r="Z41452" s="258"/>
    </row>
    <row r="41453" spans="1:26" ht="12.75" customHeight="1" x14ac:dyDescent="0.2">
      <c r="A41453" s="258"/>
      <c r="Z41453" s="258"/>
    </row>
    <row r="41454" spans="1:26" ht="12.75" customHeight="1" x14ac:dyDescent="0.2">
      <c r="A41454" s="258"/>
      <c r="Z41454" s="258"/>
    </row>
    <row r="41455" spans="1:26" ht="12.75" customHeight="1" x14ac:dyDescent="0.2">
      <c r="A41455" s="258"/>
      <c r="Z41455" s="258"/>
    </row>
    <row r="41456" spans="1:26" ht="12.75" customHeight="1" x14ac:dyDescent="0.2">
      <c r="A41456" s="258"/>
      <c r="Z41456" s="258"/>
    </row>
    <row r="41457" spans="1:26" ht="12.75" customHeight="1" x14ac:dyDescent="0.2">
      <c r="A41457" s="258"/>
      <c r="Z41457" s="258"/>
    </row>
    <row r="41458" spans="1:26" ht="12.75" customHeight="1" x14ac:dyDescent="0.2">
      <c r="A41458" s="258"/>
      <c r="Z41458" s="258"/>
    </row>
    <row r="41459" spans="1:26" ht="12.75" customHeight="1" x14ac:dyDescent="0.2">
      <c r="A41459" s="258"/>
      <c r="Z41459" s="258"/>
    </row>
    <row r="41460" spans="1:26" ht="12.75" customHeight="1" x14ac:dyDescent="0.2">
      <c r="A41460" s="258"/>
      <c r="Z41460" s="258"/>
    </row>
    <row r="41461" spans="1:26" ht="12.75" customHeight="1" x14ac:dyDescent="0.2">
      <c r="A41461" s="258"/>
      <c r="Z41461" s="258"/>
    </row>
    <row r="41462" spans="1:26" ht="12.75" customHeight="1" x14ac:dyDescent="0.2">
      <c r="A41462" s="258"/>
      <c r="Z41462" s="258"/>
    </row>
    <row r="41463" spans="1:26" ht="12.75" customHeight="1" x14ac:dyDescent="0.2">
      <c r="A41463" s="258"/>
      <c r="Z41463" s="258"/>
    </row>
    <row r="41464" spans="1:26" ht="12.75" customHeight="1" x14ac:dyDescent="0.2">
      <c r="A41464" s="258"/>
      <c r="Z41464" s="258"/>
    </row>
    <row r="41465" spans="1:26" ht="12.75" customHeight="1" x14ac:dyDescent="0.2">
      <c r="A41465" s="258"/>
      <c r="Z41465" s="258"/>
    </row>
    <row r="41466" spans="1:26" ht="12.75" customHeight="1" x14ac:dyDescent="0.2">
      <c r="A41466" s="258"/>
      <c r="Z41466" s="258"/>
    </row>
    <row r="41467" spans="1:26" ht="12.75" customHeight="1" x14ac:dyDescent="0.2">
      <c r="A41467" s="258"/>
      <c r="Z41467" s="258"/>
    </row>
    <row r="41468" spans="1:26" ht="12.75" customHeight="1" x14ac:dyDescent="0.2">
      <c r="A41468" s="258"/>
      <c r="Z41468" s="258"/>
    </row>
    <row r="41469" spans="1:26" ht="12.75" customHeight="1" x14ac:dyDescent="0.2">
      <c r="A41469" s="258"/>
      <c r="Z41469" s="258"/>
    </row>
    <row r="41470" spans="1:26" ht="12.75" customHeight="1" x14ac:dyDescent="0.2">
      <c r="A41470" s="258"/>
      <c r="Z41470" s="258"/>
    </row>
    <row r="41471" spans="1:26" ht="12.75" customHeight="1" x14ac:dyDescent="0.2">
      <c r="A41471" s="258"/>
      <c r="Z41471" s="258"/>
    </row>
    <row r="41472" spans="1:26" ht="12.75" customHeight="1" x14ac:dyDescent="0.2">
      <c r="A41472" s="258"/>
      <c r="Z41472" s="258"/>
    </row>
    <row r="41473" spans="1:26" ht="12.75" customHeight="1" x14ac:dyDescent="0.2">
      <c r="A41473" s="258"/>
      <c r="Z41473" s="258"/>
    </row>
    <row r="41474" spans="1:26" ht="12.75" customHeight="1" x14ac:dyDescent="0.2">
      <c r="A41474" s="258"/>
      <c r="Z41474" s="258"/>
    </row>
    <row r="41475" spans="1:26" ht="12.75" customHeight="1" x14ac:dyDescent="0.2">
      <c r="A41475" s="258"/>
      <c r="Z41475" s="258"/>
    </row>
    <row r="41476" spans="1:26" ht="12.75" customHeight="1" x14ac:dyDescent="0.2">
      <c r="A41476" s="258"/>
      <c r="Z41476" s="258"/>
    </row>
    <row r="41477" spans="1:26" ht="12.75" customHeight="1" x14ac:dyDescent="0.2">
      <c r="A41477" s="258"/>
      <c r="Z41477" s="258"/>
    </row>
    <row r="41478" spans="1:26" ht="12.75" customHeight="1" x14ac:dyDescent="0.2">
      <c r="A41478" s="258"/>
      <c r="Z41478" s="258"/>
    </row>
    <row r="41479" spans="1:26" ht="12.75" customHeight="1" x14ac:dyDescent="0.2">
      <c r="A41479" s="258"/>
      <c r="Z41479" s="258"/>
    </row>
    <row r="41480" spans="1:26" ht="12.75" customHeight="1" x14ac:dyDescent="0.2">
      <c r="A41480" s="258"/>
      <c r="Z41480" s="258"/>
    </row>
    <row r="41481" spans="1:26" ht="12.75" customHeight="1" x14ac:dyDescent="0.2">
      <c r="A41481" s="258"/>
      <c r="Z41481" s="258"/>
    </row>
    <row r="41482" spans="1:26" ht="12.75" customHeight="1" x14ac:dyDescent="0.2">
      <c r="A41482" s="258"/>
      <c r="Z41482" s="258"/>
    </row>
    <row r="41483" spans="1:26" ht="12.75" customHeight="1" x14ac:dyDescent="0.2">
      <c r="A41483" s="258"/>
      <c r="Z41483" s="258"/>
    </row>
    <row r="41484" spans="1:26" ht="12.75" customHeight="1" x14ac:dyDescent="0.2">
      <c r="A41484" s="258"/>
      <c r="Z41484" s="258"/>
    </row>
    <row r="41485" spans="1:26" ht="12.75" customHeight="1" x14ac:dyDescent="0.2">
      <c r="A41485" s="258"/>
      <c r="Z41485" s="258"/>
    </row>
    <row r="41486" spans="1:26" ht="12.75" customHeight="1" x14ac:dyDescent="0.2">
      <c r="A41486" s="258"/>
      <c r="Z41486" s="258"/>
    </row>
    <row r="41487" spans="1:26" ht="12.75" customHeight="1" x14ac:dyDescent="0.2">
      <c r="A41487" s="258"/>
      <c r="Z41487" s="258"/>
    </row>
    <row r="41488" spans="1:26" ht="12.75" customHeight="1" x14ac:dyDescent="0.2">
      <c r="A41488" s="258"/>
      <c r="Z41488" s="258"/>
    </row>
    <row r="41489" spans="1:26" ht="12.75" customHeight="1" x14ac:dyDescent="0.2">
      <c r="A41489" s="258"/>
      <c r="Z41489" s="258"/>
    </row>
    <row r="41490" spans="1:26" ht="12.75" customHeight="1" x14ac:dyDescent="0.2">
      <c r="A41490" s="258"/>
      <c r="Z41490" s="258"/>
    </row>
    <row r="41491" spans="1:26" ht="12.75" customHeight="1" x14ac:dyDescent="0.2">
      <c r="A41491" s="258"/>
      <c r="Z41491" s="258"/>
    </row>
    <row r="41492" spans="1:26" ht="12.75" customHeight="1" x14ac:dyDescent="0.2">
      <c r="A41492" s="258"/>
      <c r="Z41492" s="258"/>
    </row>
    <row r="41493" spans="1:26" ht="12.75" customHeight="1" x14ac:dyDescent="0.2">
      <c r="A41493" s="258"/>
      <c r="Z41493" s="258"/>
    </row>
    <row r="41494" spans="1:26" ht="12.75" customHeight="1" x14ac:dyDescent="0.2">
      <c r="A41494" s="258"/>
      <c r="Z41494" s="258"/>
    </row>
    <row r="41495" spans="1:26" ht="12.75" customHeight="1" x14ac:dyDescent="0.2">
      <c r="A41495" s="258"/>
      <c r="Z41495" s="258"/>
    </row>
    <row r="41496" spans="1:26" ht="12.75" customHeight="1" x14ac:dyDescent="0.2">
      <c r="A41496" s="258"/>
      <c r="Z41496" s="258"/>
    </row>
    <row r="41497" spans="1:26" ht="12.75" customHeight="1" x14ac:dyDescent="0.2">
      <c r="A41497" s="258"/>
      <c r="Z41497" s="258"/>
    </row>
    <row r="41498" spans="1:26" ht="12.75" customHeight="1" x14ac:dyDescent="0.2">
      <c r="A41498" s="258"/>
      <c r="Z41498" s="258"/>
    </row>
    <row r="41499" spans="1:26" ht="12.75" customHeight="1" x14ac:dyDescent="0.2">
      <c r="A41499" s="258"/>
      <c r="Z41499" s="258"/>
    </row>
    <row r="41500" spans="1:26" ht="12.75" customHeight="1" x14ac:dyDescent="0.2">
      <c r="A41500" s="258"/>
      <c r="Z41500" s="258"/>
    </row>
    <row r="41501" spans="1:26" ht="12.75" customHeight="1" x14ac:dyDescent="0.2">
      <c r="A41501" s="258"/>
      <c r="Z41501" s="258"/>
    </row>
    <row r="41502" spans="1:26" ht="12.75" customHeight="1" x14ac:dyDescent="0.2">
      <c r="A41502" s="258"/>
      <c r="Z41502" s="258"/>
    </row>
    <row r="41503" spans="1:26" ht="12.75" customHeight="1" x14ac:dyDescent="0.2">
      <c r="A41503" s="258"/>
      <c r="Z41503" s="258"/>
    </row>
    <row r="41504" spans="1:26" ht="12.75" customHeight="1" x14ac:dyDescent="0.2">
      <c r="A41504" s="258"/>
      <c r="Z41504" s="258"/>
    </row>
    <row r="41505" spans="1:26" ht="12.75" customHeight="1" x14ac:dyDescent="0.2">
      <c r="A41505" s="258"/>
      <c r="Z41505" s="258"/>
    </row>
    <row r="41506" spans="1:26" ht="12.75" customHeight="1" x14ac:dyDescent="0.2">
      <c r="A41506" s="258"/>
      <c r="Z41506" s="258"/>
    </row>
    <row r="41507" spans="1:26" ht="12.75" customHeight="1" x14ac:dyDescent="0.2">
      <c r="A41507" s="258"/>
      <c r="Z41507" s="258"/>
    </row>
    <row r="41508" spans="1:26" ht="12.75" customHeight="1" x14ac:dyDescent="0.2">
      <c r="A41508" s="258"/>
      <c r="Z41508" s="258"/>
    </row>
    <row r="41509" spans="1:26" ht="12.75" customHeight="1" x14ac:dyDescent="0.2">
      <c r="A41509" s="258"/>
      <c r="Z41509" s="258"/>
    </row>
    <row r="41510" spans="1:26" ht="12.75" customHeight="1" x14ac:dyDescent="0.2">
      <c r="A41510" s="258"/>
      <c r="Z41510" s="258"/>
    </row>
    <row r="41511" spans="1:26" ht="12.75" customHeight="1" x14ac:dyDescent="0.2">
      <c r="A41511" s="258"/>
      <c r="Z41511" s="258"/>
    </row>
    <row r="41512" spans="1:26" ht="12.75" customHeight="1" x14ac:dyDescent="0.2">
      <c r="A41512" s="258"/>
      <c r="Z41512" s="258"/>
    </row>
    <row r="41513" spans="1:26" ht="12.75" customHeight="1" x14ac:dyDescent="0.2">
      <c r="A41513" s="258"/>
      <c r="Z41513" s="258"/>
    </row>
    <row r="41514" spans="1:26" ht="12.75" customHeight="1" x14ac:dyDescent="0.2">
      <c r="A41514" s="258"/>
      <c r="Z41514" s="258"/>
    </row>
    <row r="41515" spans="1:26" ht="12.75" customHeight="1" x14ac:dyDescent="0.2">
      <c r="A41515" s="258"/>
      <c r="Z41515" s="258"/>
    </row>
    <row r="41516" spans="1:26" ht="12.75" customHeight="1" x14ac:dyDescent="0.2">
      <c r="A41516" s="258"/>
      <c r="Z41516" s="258"/>
    </row>
    <row r="41517" spans="1:26" ht="12.75" customHeight="1" x14ac:dyDescent="0.2">
      <c r="A41517" s="258"/>
      <c r="Z41517" s="258"/>
    </row>
    <row r="41518" spans="1:26" ht="12.75" customHeight="1" x14ac:dyDescent="0.2">
      <c r="A41518" s="258"/>
      <c r="Z41518" s="258"/>
    </row>
    <row r="41519" spans="1:26" ht="12.75" customHeight="1" x14ac:dyDescent="0.2">
      <c r="A41519" s="258"/>
      <c r="Z41519" s="258"/>
    </row>
    <row r="41520" spans="1:26" ht="12.75" customHeight="1" x14ac:dyDescent="0.2">
      <c r="A41520" s="258"/>
      <c r="Z41520" s="258"/>
    </row>
    <row r="41521" spans="1:26" ht="12.75" customHeight="1" x14ac:dyDescent="0.2">
      <c r="A41521" s="258"/>
      <c r="Z41521" s="258"/>
    </row>
    <row r="41522" spans="1:26" ht="12.75" customHeight="1" x14ac:dyDescent="0.2">
      <c r="A41522" s="258"/>
      <c r="Z41522" s="258"/>
    </row>
    <row r="41523" spans="1:26" ht="12.75" customHeight="1" x14ac:dyDescent="0.2">
      <c r="A41523" s="258"/>
      <c r="Z41523" s="258"/>
    </row>
    <row r="41524" spans="1:26" ht="12.75" customHeight="1" x14ac:dyDescent="0.2">
      <c r="A41524" s="258"/>
      <c r="Z41524" s="258"/>
    </row>
    <row r="41525" spans="1:26" ht="12.75" customHeight="1" x14ac:dyDescent="0.2">
      <c r="A41525" s="258"/>
      <c r="Z41525" s="258"/>
    </row>
    <row r="41526" spans="1:26" ht="12.75" customHeight="1" x14ac:dyDescent="0.2">
      <c r="A41526" s="258"/>
      <c r="Z41526" s="258"/>
    </row>
    <row r="41527" spans="1:26" ht="12.75" customHeight="1" x14ac:dyDescent="0.2">
      <c r="A41527" s="258"/>
      <c r="Z41527" s="258"/>
    </row>
    <row r="41528" spans="1:26" ht="12.75" customHeight="1" x14ac:dyDescent="0.2">
      <c r="A41528" s="258"/>
      <c r="Z41528" s="258"/>
    </row>
    <row r="41529" spans="1:26" ht="12.75" customHeight="1" x14ac:dyDescent="0.2">
      <c r="A41529" s="258"/>
      <c r="Z41529" s="258"/>
    </row>
    <row r="41530" spans="1:26" ht="12.75" customHeight="1" x14ac:dyDescent="0.2">
      <c r="A41530" s="258"/>
      <c r="Z41530" s="258"/>
    </row>
    <row r="41531" spans="1:26" ht="12.75" customHeight="1" x14ac:dyDescent="0.2">
      <c r="A41531" s="258"/>
      <c r="Z41531" s="258"/>
    </row>
    <row r="41532" spans="1:26" ht="12.75" customHeight="1" x14ac:dyDescent="0.2">
      <c r="A41532" s="258"/>
      <c r="Z41532" s="258"/>
    </row>
    <row r="41533" spans="1:26" ht="12.75" customHeight="1" x14ac:dyDescent="0.2">
      <c r="A41533" s="258"/>
      <c r="Z41533" s="258"/>
    </row>
    <row r="41534" spans="1:26" ht="12.75" customHeight="1" x14ac:dyDescent="0.2">
      <c r="A41534" s="258"/>
      <c r="Z41534" s="258"/>
    </row>
    <row r="41535" spans="1:26" ht="12.75" customHeight="1" x14ac:dyDescent="0.2">
      <c r="A41535" s="258"/>
      <c r="Z41535" s="258"/>
    </row>
    <row r="41536" spans="1:26" ht="12.75" customHeight="1" x14ac:dyDescent="0.2">
      <c r="A41536" s="258"/>
      <c r="Z41536" s="258"/>
    </row>
    <row r="41537" spans="1:26" ht="12.75" customHeight="1" x14ac:dyDescent="0.2">
      <c r="A41537" s="258"/>
      <c r="Z41537" s="258"/>
    </row>
    <row r="41538" spans="1:26" ht="12.75" customHeight="1" x14ac:dyDescent="0.2">
      <c r="A41538" s="258"/>
      <c r="Z41538" s="258"/>
    </row>
    <row r="41539" spans="1:26" ht="12.75" customHeight="1" x14ac:dyDescent="0.2">
      <c r="A41539" s="258"/>
      <c r="Z41539" s="258"/>
    </row>
    <row r="41540" spans="1:26" ht="12.75" customHeight="1" x14ac:dyDescent="0.2">
      <c r="A41540" s="258"/>
      <c r="Z41540" s="258"/>
    </row>
    <row r="41541" spans="1:26" ht="12.75" customHeight="1" x14ac:dyDescent="0.2">
      <c r="A41541" s="258"/>
      <c r="Z41541" s="258"/>
    </row>
    <row r="41542" spans="1:26" ht="12.75" customHeight="1" x14ac:dyDescent="0.2">
      <c r="A41542" s="258"/>
      <c r="Z41542" s="258"/>
    </row>
    <row r="41543" spans="1:26" ht="12.75" customHeight="1" x14ac:dyDescent="0.2">
      <c r="A41543" s="258"/>
      <c r="Z41543" s="258"/>
    </row>
    <row r="41544" spans="1:26" ht="12.75" customHeight="1" x14ac:dyDescent="0.2">
      <c r="A41544" s="258"/>
      <c r="Z41544" s="258"/>
    </row>
    <row r="41545" spans="1:26" ht="12.75" customHeight="1" x14ac:dyDescent="0.2">
      <c r="A41545" s="258"/>
      <c r="Z41545" s="258"/>
    </row>
    <row r="41546" spans="1:26" ht="12.75" customHeight="1" x14ac:dyDescent="0.2">
      <c r="A41546" s="258"/>
      <c r="Z41546" s="258"/>
    </row>
    <row r="41547" spans="1:26" ht="12.75" customHeight="1" x14ac:dyDescent="0.2">
      <c r="A41547" s="258"/>
      <c r="Z41547" s="258"/>
    </row>
    <row r="41548" spans="1:26" ht="12.75" customHeight="1" x14ac:dyDescent="0.2">
      <c r="A41548" s="258"/>
      <c r="Z41548" s="258"/>
    </row>
    <row r="41549" spans="1:26" ht="12.75" customHeight="1" x14ac:dyDescent="0.2">
      <c r="A41549" s="258"/>
      <c r="Z41549" s="258"/>
    </row>
    <row r="41550" spans="1:26" ht="12.75" customHeight="1" x14ac:dyDescent="0.2">
      <c r="A41550" s="258"/>
      <c r="Z41550" s="258"/>
    </row>
    <row r="41551" spans="1:26" ht="12.75" customHeight="1" x14ac:dyDescent="0.2">
      <c r="A41551" s="258"/>
      <c r="Z41551" s="258"/>
    </row>
    <row r="41552" spans="1:26" ht="12.75" customHeight="1" x14ac:dyDescent="0.2">
      <c r="A41552" s="258"/>
      <c r="Z41552" s="258"/>
    </row>
    <row r="41553" spans="1:26" ht="12.75" customHeight="1" x14ac:dyDescent="0.2">
      <c r="A41553" s="258"/>
      <c r="Z41553" s="258"/>
    </row>
    <row r="41554" spans="1:26" ht="12.75" customHeight="1" x14ac:dyDescent="0.2">
      <c r="A41554" s="258"/>
      <c r="Z41554" s="258"/>
    </row>
    <row r="41555" spans="1:26" ht="12.75" customHeight="1" x14ac:dyDescent="0.2">
      <c r="A41555" s="258"/>
      <c r="Z41555" s="258"/>
    </row>
    <row r="41556" spans="1:26" ht="12.75" customHeight="1" x14ac:dyDescent="0.2">
      <c r="A41556" s="258"/>
      <c r="Z41556" s="258"/>
    </row>
    <row r="41557" spans="1:26" ht="12.75" customHeight="1" x14ac:dyDescent="0.2">
      <c r="A41557" s="258"/>
      <c r="Z41557" s="258"/>
    </row>
    <row r="41558" spans="1:26" ht="12.75" customHeight="1" x14ac:dyDescent="0.2">
      <c r="A41558" s="258"/>
      <c r="Z41558" s="258"/>
    </row>
    <row r="41559" spans="1:26" ht="12.75" customHeight="1" x14ac:dyDescent="0.2">
      <c r="A41559" s="258"/>
      <c r="Z41559" s="258"/>
    </row>
    <row r="41560" spans="1:26" ht="12.75" customHeight="1" x14ac:dyDescent="0.2">
      <c r="A41560" s="258"/>
      <c r="Z41560" s="258"/>
    </row>
    <row r="41561" spans="1:26" ht="12.75" customHeight="1" x14ac:dyDescent="0.2">
      <c r="A41561" s="258"/>
      <c r="Z41561" s="258"/>
    </row>
    <row r="41562" spans="1:26" ht="12.75" customHeight="1" x14ac:dyDescent="0.2">
      <c r="A41562" s="258"/>
      <c r="Z41562" s="258"/>
    </row>
    <row r="41563" spans="1:26" ht="12.75" customHeight="1" x14ac:dyDescent="0.2">
      <c r="A41563" s="258"/>
      <c r="Z41563" s="258"/>
    </row>
    <row r="41564" spans="1:26" ht="12.75" customHeight="1" x14ac:dyDescent="0.2">
      <c r="A41564" s="258"/>
      <c r="Z41564" s="258"/>
    </row>
    <row r="41565" spans="1:26" ht="12.75" customHeight="1" x14ac:dyDescent="0.2">
      <c r="A41565" s="258"/>
      <c r="Z41565" s="258"/>
    </row>
    <row r="41566" spans="1:26" ht="12.75" customHeight="1" x14ac:dyDescent="0.2">
      <c r="A41566" s="258"/>
      <c r="Z41566" s="258"/>
    </row>
    <row r="41567" spans="1:26" ht="12.75" customHeight="1" x14ac:dyDescent="0.2">
      <c r="A41567" s="258"/>
      <c r="Z41567" s="258"/>
    </row>
    <row r="41568" spans="1:26" ht="12.75" customHeight="1" x14ac:dyDescent="0.2">
      <c r="A41568" s="258"/>
      <c r="Z41568" s="258"/>
    </row>
    <row r="41569" spans="1:26" ht="12.75" customHeight="1" x14ac:dyDescent="0.2">
      <c r="A41569" s="258"/>
      <c r="Z41569" s="258"/>
    </row>
    <row r="41570" spans="1:26" ht="12.75" customHeight="1" x14ac:dyDescent="0.2">
      <c r="A41570" s="258"/>
      <c r="Z41570" s="258"/>
    </row>
    <row r="41571" spans="1:26" ht="12.75" customHeight="1" x14ac:dyDescent="0.2">
      <c r="A41571" s="258"/>
      <c r="Z41571" s="258"/>
    </row>
    <row r="41572" spans="1:26" ht="12.75" customHeight="1" x14ac:dyDescent="0.2">
      <c r="A41572" s="258"/>
      <c r="Z41572" s="258"/>
    </row>
    <row r="41573" spans="1:26" ht="12.75" customHeight="1" x14ac:dyDescent="0.2">
      <c r="A41573" s="258"/>
      <c r="Z41573" s="258"/>
    </row>
    <row r="41574" spans="1:26" ht="12.75" customHeight="1" x14ac:dyDescent="0.2">
      <c r="A41574" s="258"/>
      <c r="Z41574" s="258"/>
    </row>
    <row r="41575" spans="1:26" ht="12.75" customHeight="1" x14ac:dyDescent="0.2">
      <c r="A41575" s="258"/>
      <c r="Z41575" s="258"/>
    </row>
    <row r="41576" spans="1:26" ht="12.75" customHeight="1" x14ac:dyDescent="0.2">
      <c r="A41576" s="258"/>
      <c r="Z41576" s="258"/>
    </row>
    <row r="41577" spans="1:26" ht="12.75" customHeight="1" x14ac:dyDescent="0.2">
      <c r="A41577" s="258"/>
      <c r="Z41577" s="258"/>
    </row>
    <row r="41578" spans="1:26" ht="12.75" customHeight="1" x14ac:dyDescent="0.2">
      <c r="A41578" s="258"/>
      <c r="Z41578" s="258"/>
    </row>
    <row r="41579" spans="1:26" ht="12.75" customHeight="1" x14ac:dyDescent="0.2">
      <c r="A41579" s="258"/>
      <c r="Z41579" s="258"/>
    </row>
    <row r="41580" spans="1:26" ht="12.75" customHeight="1" x14ac:dyDescent="0.2">
      <c r="A41580" s="258"/>
      <c r="Z41580" s="258"/>
    </row>
    <row r="41581" spans="1:26" ht="12.75" customHeight="1" x14ac:dyDescent="0.2">
      <c r="A41581" s="258"/>
      <c r="Z41581" s="258"/>
    </row>
    <row r="41582" spans="1:26" ht="12.75" customHeight="1" x14ac:dyDescent="0.2">
      <c r="A41582" s="258"/>
      <c r="Z41582" s="258"/>
    </row>
    <row r="41583" spans="1:26" ht="12.75" customHeight="1" x14ac:dyDescent="0.2">
      <c r="A41583" s="258"/>
      <c r="Z41583" s="258"/>
    </row>
    <row r="41584" spans="1:26" ht="12.75" customHeight="1" x14ac:dyDescent="0.2">
      <c r="A41584" s="258"/>
      <c r="Z41584" s="258"/>
    </row>
    <row r="41585" spans="1:26" ht="12.75" customHeight="1" x14ac:dyDescent="0.2">
      <c r="A41585" s="258"/>
      <c r="Z41585" s="258"/>
    </row>
    <row r="41586" spans="1:26" ht="12.75" customHeight="1" x14ac:dyDescent="0.2">
      <c r="A41586" s="258"/>
      <c r="Z41586" s="258"/>
    </row>
    <row r="41587" spans="1:26" ht="12.75" customHeight="1" x14ac:dyDescent="0.2">
      <c r="A41587" s="258"/>
      <c r="Z41587" s="258"/>
    </row>
    <row r="41588" spans="1:26" ht="12.75" customHeight="1" x14ac:dyDescent="0.2">
      <c r="A41588" s="258"/>
      <c r="Z41588" s="258"/>
    </row>
    <row r="41589" spans="1:26" ht="12.75" customHeight="1" x14ac:dyDescent="0.2">
      <c r="A41589" s="258"/>
      <c r="Z41589" s="258"/>
    </row>
    <row r="41590" spans="1:26" ht="12.75" customHeight="1" x14ac:dyDescent="0.2">
      <c r="A41590" s="258"/>
      <c r="Z41590" s="258"/>
    </row>
    <row r="41591" spans="1:26" ht="12.75" customHeight="1" x14ac:dyDescent="0.2">
      <c r="A41591" s="258"/>
      <c r="Z41591" s="258"/>
    </row>
    <row r="41592" spans="1:26" ht="12.75" customHeight="1" x14ac:dyDescent="0.2">
      <c r="A41592" s="258"/>
      <c r="Z41592" s="258"/>
    </row>
    <row r="41593" spans="1:26" ht="12.75" customHeight="1" x14ac:dyDescent="0.2">
      <c r="A41593" s="258"/>
      <c r="Z41593" s="258"/>
    </row>
    <row r="41594" spans="1:26" ht="12.75" customHeight="1" x14ac:dyDescent="0.2">
      <c r="A41594" s="258"/>
      <c r="Z41594" s="258"/>
    </row>
    <row r="41595" spans="1:26" ht="12.75" customHeight="1" x14ac:dyDescent="0.2">
      <c r="A41595" s="258"/>
      <c r="Z41595" s="258"/>
    </row>
    <row r="41596" spans="1:26" ht="12.75" customHeight="1" x14ac:dyDescent="0.2">
      <c r="A41596" s="258"/>
      <c r="Z41596" s="258"/>
    </row>
    <row r="41597" spans="1:26" ht="12.75" customHeight="1" x14ac:dyDescent="0.2">
      <c r="A41597" s="258"/>
      <c r="Z41597" s="258"/>
    </row>
    <row r="41598" spans="1:26" ht="12.75" customHeight="1" x14ac:dyDescent="0.2">
      <c r="A41598" s="258"/>
      <c r="Z41598" s="258"/>
    </row>
    <row r="41599" spans="1:26" ht="12.75" customHeight="1" x14ac:dyDescent="0.2">
      <c r="A41599" s="258"/>
      <c r="Z41599" s="258"/>
    </row>
    <row r="41600" spans="1:26" ht="12.75" customHeight="1" x14ac:dyDescent="0.2">
      <c r="A41600" s="258"/>
      <c r="Z41600" s="258"/>
    </row>
    <row r="41601" spans="1:26" ht="12.75" customHeight="1" x14ac:dyDescent="0.2">
      <c r="A41601" s="258"/>
      <c r="Z41601" s="258"/>
    </row>
    <row r="41602" spans="1:26" ht="12.75" customHeight="1" x14ac:dyDescent="0.2">
      <c r="A41602" s="258"/>
      <c r="Z41602" s="258"/>
    </row>
    <row r="41603" spans="1:26" ht="12.75" customHeight="1" x14ac:dyDescent="0.2">
      <c r="A41603" s="258"/>
      <c r="Z41603" s="258"/>
    </row>
    <row r="41604" spans="1:26" ht="12.75" customHeight="1" x14ac:dyDescent="0.2">
      <c r="A41604" s="258"/>
      <c r="Z41604" s="258"/>
    </row>
    <row r="41605" spans="1:26" ht="12.75" customHeight="1" x14ac:dyDescent="0.2">
      <c r="A41605" s="258"/>
      <c r="Z41605" s="258"/>
    </row>
    <row r="41606" spans="1:26" ht="12.75" customHeight="1" x14ac:dyDescent="0.2">
      <c r="A41606" s="258"/>
      <c r="Z41606" s="258"/>
    </row>
    <row r="41607" spans="1:26" ht="12.75" customHeight="1" x14ac:dyDescent="0.2">
      <c r="A41607" s="258"/>
      <c r="Z41607" s="258"/>
    </row>
    <row r="41608" spans="1:26" ht="12.75" customHeight="1" x14ac:dyDescent="0.2">
      <c r="A41608" s="258"/>
      <c r="Z41608" s="258"/>
    </row>
    <row r="41609" spans="1:26" ht="12.75" customHeight="1" x14ac:dyDescent="0.2">
      <c r="A41609" s="258"/>
      <c r="Z41609" s="258"/>
    </row>
    <row r="41610" spans="1:26" ht="12.75" customHeight="1" x14ac:dyDescent="0.2">
      <c r="A41610" s="258"/>
      <c r="Z41610" s="258"/>
    </row>
    <row r="41611" spans="1:26" ht="12.75" customHeight="1" x14ac:dyDescent="0.2">
      <c r="A41611" s="258"/>
      <c r="Z41611" s="258"/>
    </row>
    <row r="41612" spans="1:26" ht="12.75" customHeight="1" x14ac:dyDescent="0.2">
      <c r="A41612" s="258"/>
      <c r="Z41612" s="258"/>
    </row>
    <row r="41613" spans="1:26" ht="12.75" customHeight="1" x14ac:dyDescent="0.2">
      <c r="A41613" s="258"/>
      <c r="Z41613" s="258"/>
    </row>
    <row r="41614" spans="1:26" ht="12.75" customHeight="1" x14ac:dyDescent="0.2">
      <c r="A41614" s="258"/>
      <c r="Z41614" s="258"/>
    </row>
    <row r="41615" spans="1:26" ht="12.75" customHeight="1" x14ac:dyDescent="0.2">
      <c r="A41615" s="258"/>
      <c r="Z41615" s="258"/>
    </row>
    <row r="41616" spans="1:26" ht="12.75" customHeight="1" x14ac:dyDescent="0.2">
      <c r="A41616" s="258"/>
      <c r="Z41616" s="258"/>
    </row>
    <row r="41617" spans="1:26" ht="12.75" customHeight="1" x14ac:dyDescent="0.2">
      <c r="A41617" s="258"/>
      <c r="Z41617" s="258"/>
    </row>
    <row r="41618" spans="1:26" ht="12.75" customHeight="1" x14ac:dyDescent="0.2">
      <c r="A41618" s="258"/>
      <c r="Z41618" s="258"/>
    </row>
    <row r="41619" spans="1:26" ht="12.75" customHeight="1" x14ac:dyDescent="0.2">
      <c r="A41619" s="258"/>
      <c r="Z41619" s="258"/>
    </row>
    <row r="41620" spans="1:26" ht="12.75" customHeight="1" x14ac:dyDescent="0.2">
      <c r="A41620" s="258"/>
      <c r="Z41620" s="258"/>
    </row>
    <row r="41621" spans="1:26" ht="12.75" customHeight="1" x14ac:dyDescent="0.2">
      <c r="A41621" s="258"/>
      <c r="Z41621" s="258"/>
    </row>
    <row r="41622" spans="1:26" ht="12.75" customHeight="1" x14ac:dyDescent="0.2">
      <c r="A41622" s="258"/>
      <c r="Z41622" s="258"/>
    </row>
    <row r="41623" spans="1:26" ht="12.75" customHeight="1" x14ac:dyDescent="0.2">
      <c r="A41623" s="258"/>
      <c r="Z41623" s="258"/>
    </row>
    <row r="41624" spans="1:26" ht="12.75" customHeight="1" x14ac:dyDescent="0.2">
      <c r="A41624" s="258"/>
      <c r="Z41624" s="258"/>
    </row>
    <row r="41625" spans="1:26" ht="12.75" customHeight="1" x14ac:dyDescent="0.2">
      <c r="A41625" s="258"/>
      <c r="Z41625" s="258"/>
    </row>
    <row r="41626" spans="1:26" ht="12.75" customHeight="1" x14ac:dyDescent="0.2">
      <c r="A41626" s="258"/>
      <c r="Z41626" s="258"/>
    </row>
    <row r="41627" spans="1:26" ht="12.75" customHeight="1" x14ac:dyDescent="0.2">
      <c r="A41627" s="258"/>
      <c r="Z41627" s="258"/>
    </row>
    <row r="41628" spans="1:26" ht="12.75" customHeight="1" x14ac:dyDescent="0.2">
      <c r="A41628" s="258"/>
      <c r="Z41628" s="258"/>
    </row>
    <row r="41629" spans="1:26" ht="12.75" customHeight="1" x14ac:dyDescent="0.2">
      <c r="A41629" s="258"/>
      <c r="Z41629" s="258"/>
    </row>
    <row r="41630" spans="1:26" ht="12.75" customHeight="1" x14ac:dyDescent="0.2">
      <c r="A41630" s="258"/>
      <c r="Z41630" s="258"/>
    </row>
    <row r="41631" spans="1:26" ht="12.75" customHeight="1" x14ac:dyDescent="0.2">
      <c r="A41631" s="258"/>
      <c r="Z41631" s="258"/>
    </row>
    <row r="41632" spans="1:26" ht="12.75" customHeight="1" x14ac:dyDescent="0.2">
      <c r="A41632" s="258"/>
      <c r="Z41632" s="258"/>
    </row>
    <row r="41633" spans="1:26" ht="12.75" customHeight="1" x14ac:dyDescent="0.2">
      <c r="A41633" s="258"/>
      <c r="Z41633" s="258"/>
    </row>
    <row r="41634" spans="1:26" ht="12.75" customHeight="1" x14ac:dyDescent="0.2">
      <c r="A41634" s="258"/>
      <c r="Z41634" s="258"/>
    </row>
    <row r="41635" spans="1:26" ht="12.75" customHeight="1" x14ac:dyDescent="0.2">
      <c r="A41635" s="258"/>
      <c r="Z41635" s="258"/>
    </row>
    <row r="41636" spans="1:26" ht="12.75" customHeight="1" x14ac:dyDescent="0.2">
      <c r="A41636" s="258"/>
      <c r="Z41636" s="258"/>
    </row>
    <row r="41637" spans="1:26" ht="12.75" customHeight="1" x14ac:dyDescent="0.2">
      <c r="A41637" s="258"/>
      <c r="Z41637" s="258"/>
    </row>
    <row r="41638" spans="1:26" ht="12.75" customHeight="1" x14ac:dyDescent="0.2">
      <c r="A41638" s="258"/>
      <c r="Z41638" s="258"/>
    </row>
    <row r="41639" spans="1:26" ht="12.75" customHeight="1" x14ac:dyDescent="0.2">
      <c r="A41639" s="258"/>
      <c r="Z41639" s="258"/>
    </row>
    <row r="41640" spans="1:26" ht="12.75" customHeight="1" x14ac:dyDescent="0.2">
      <c r="A41640" s="258"/>
      <c r="Z41640" s="258"/>
    </row>
    <row r="41641" spans="1:26" ht="12.75" customHeight="1" x14ac:dyDescent="0.2">
      <c r="A41641" s="258"/>
      <c r="Z41641" s="258"/>
    </row>
    <row r="41642" spans="1:26" ht="12.75" customHeight="1" x14ac:dyDescent="0.2">
      <c r="A41642" s="258"/>
      <c r="Z41642" s="258"/>
    </row>
    <row r="41643" spans="1:26" ht="12.75" customHeight="1" x14ac:dyDescent="0.2">
      <c r="A41643" s="258"/>
      <c r="Z41643" s="258"/>
    </row>
    <row r="41644" spans="1:26" ht="12.75" customHeight="1" x14ac:dyDescent="0.2">
      <c r="A41644" s="258"/>
      <c r="Z41644" s="258"/>
    </row>
    <row r="41645" spans="1:26" ht="12.75" customHeight="1" x14ac:dyDescent="0.2">
      <c r="A41645" s="258"/>
      <c r="Z41645" s="258"/>
    </row>
    <row r="41646" spans="1:26" ht="12.75" customHeight="1" x14ac:dyDescent="0.2">
      <c r="A41646" s="258"/>
      <c r="Z41646" s="258"/>
    </row>
    <row r="41647" spans="1:26" ht="12.75" customHeight="1" x14ac:dyDescent="0.2">
      <c r="A41647" s="258"/>
      <c r="Z41647" s="258"/>
    </row>
    <row r="41648" spans="1:26" ht="12.75" customHeight="1" x14ac:dyDescent="0.2">
      <c r="A41648" s="258"/>
      <c r="Z41648" s="258"/>
    </row>
    <row r="41649" spans="1:26" ht="12.75" customHeight="1" x14ac:dyDescent="0.2">
      <c r="A41649" s="258"/>
      <c r="Z41649" s="258"/>
    </row>
    <row r="41650" spans="1:26" ht="12.75" customHeight="1" x14ac:dyDescent="0.2">
      <c r="A41650" s="258"/>
      <c r="Z41650" s="258"/>
    </row>
    <row r="41651" spans="1:26" ht="12.75" customHeight="1" x14ac:dyDescent="0.2">
      <c r="A41651" s="258"/>
      <c r="Z41651" s="258"/>
    </row>
    <row r="41652" spans="1:26" ht="12.75" customHeight="1" x14ac:dyDescent="0.2">
      <c r="A41652" s="258"/>
      <c r="Z41652" s="258"/>
    </row>
    <row r="41653" spans="1:26" ht="12.75" customHeight="1" x14ac:dyDescent="0.2">
      <c r="A41653" s="258"/>
      <c r="Z41653" s="258"/>
    </row>
    <row r="41654" spans="1:26" ht="12.75" customHeight="1" x14ac:dyDescent="0.2">
      <c r="A41654" s="258"/>
      <c r="Z41654" s="258"/>
    </row>
    <row r="41655" spans="1:26" ht="12.75" customHeight="1" x14ac:dyDescent="0.2">
      <c r="A41655" s="258"/>
      <c r="Z41655" s="258"/>
    </row>
    <row r="41656" spans="1:26" ht="12.75" customHeight="1" x14ac:dyDescent="0.2">
      <c r="A41656" s="258"/>
      <c r="Z41656" s="258"/>
    </row>
    <row r="41657" spans="1:26" ht="12.75" customHeight="1" x14ac:dyDescent="0.2">
      <c r="A41657" s="258"/>
      <c r="Z41657" s="258"/>
    </row>
    <row r="41658" spans="1:26" ht="12.75" customHeight="1" x14ac:dyDescent="0.2">
      <c r="A41658" s="258"/>
      <c r="Z41658" s="258"/>
    </row>
    <row r="41659" spans="1:26" ht="12.75" customHeight="1" x14ac:dyDescent="0.2">
      <c r="A41659" s="258"/>
      <c r="Z41659" s="258"/>
    </row>
    <row r="41660" spans="1:26" ht="12.75" customHeight="1" x14ac:dyDescent="0.2">
      <c r="A41660" s="258"/>
      <c r="Z41660" s="258"/>
    </row>
    <row r="41661" spans="1:26" ht="12.75" customHeight="1" x14ac:dyDescent="0.2">
      <c r="A41661" s="258"/>
      <c r="Z41661" s="258"/>
    </row>
    <row r="41662" spans="1:26" ht="12.75" customHeight="1" x14ac:dyDescent="0.2">
      <c r="A41662" s="258"/>
      <c r="Z41662" s="258"/>
    </row>
    <row r="41663" spans="1:26" ht="12.75" customHeight="1" x14ac:dyDescent="0.2">
      <c r="A41663" s="258"/>
      <c r="Z41663" s="258"/>
    </row>
    <row r="41664" spans="1:26" ht="12.75" customHeight="1" x14ac:dyDescent="0.2">
      <c r="A41664" s="258"/>
      <c r="Z41664" s="258"/>
    </row>
    <row r="41665" spans="1:26" ht="12.75" customHeight="1" x14ac:dyDescent="0.2">
      <c r="A41665" s="258"/>
      <c r="Z41665" s="258"/>
    </row>
    <row r="41666" spans="1:26" ht="12.75" customHeight="1" x14ac:dyDescent="0.2">
      <c r="A41666" s="258"/>
      <c r="Z41666" s="258"/>
    </row>
    <row r="41667" spans="1:26" ht="12.75" customHeight="1" x14ac:dyDescent="0.2">
      <c r="A41667" s="258"/>
      <c r="Z41667" s="258"/>
    </row>
    <row r="41668" spans="1:26" ht="12.75" customHeight="1" x14ac:dyDescent="0.2">
      <c r="A41668" s="258"/>
      <c r="Z41668" s="258"/>
    </row>
    <row r="41669" spans="1:26" ht="12.75" customHeight="1" x14ac:dyDescent="0.2">
      <c r="A41669" s="258"/>
      <c r="Z41669" s="258"/>
    </row>
    <row r="41670" spans="1:26" ht="12.75" customHeight="1" x14ac:dyDescent="0.2">
      <c r="A41670" s="258"/>
      <c r="Z41670" s="258"/>
    </row>
    <row r="41671" spans="1:26" ht="12.75" customHeight="1" x14ac:dyDescent="0.2">
      <c r="A41671" s="258"/>
      <c r="Z41671" s="258"/>
    </row>
    <row r="41672" spans="1:26" ht="12.75" customHeight="1" x14ac:dyDescent="0.2">
      <c r="A41672" s="258"/>
      <c r="Z41672" s="258"/>
    </row>
    <row r="41673" spans="1:26" ht="12.75" customHeight="1" x14ac:dyDescent="0.2">
      <c r="A41673" s="258"/>
      <c r="Z41673" s="258"/>
    </row>
    <row r="41674" spans="1:26" ht="12.75" customHeight="1" x14ac:dyDescent="0.2">
      <c r="A41674" s="258"/>
      <c r="Z41674" s="258"/>
    </row>
    <row r="41675" spans="1:26" ht="12.75" customHeight="1" x14ac:dyDescent="0.2">
      <c r="A41675" s="258"/>
      <c r="Z41675" s="258"/>
    </row>
    <row r="41676" spans="1:26" ht="12.75" customHeight="1" x14ac:dyDescent="0.2">
      <c r="A41676" s="258"/>
      <c r="Z41676" s="258"/>
    </row>
    <row r="41677" spans="1:26" ht="12.75" customHeight="1" x14ac:dyDescent="0.2">
      <c r="A41677" s="258"/>
      <c r="Z41677" s="258"/>
    </row>
    <row r="41678" spans="1:26" ht="12.75" customHeight="1" x14ac:dyDescent="0.2">
      <c r="A41678" s="258"/>
      <c r="Z41678" s="258"/>
    </row>
    <row r="41679" spans="1:26" ht="12.75" customHeight="1" x14ac:dyDescent="0.2">
      <c r="A41679" s="258"/>
      <c r="Z41679" s="258"/>
    </row>
    <row r="41680" spans="1:26" ht="12.75" customHeight="1" x14ac:dyDescent="0.2">
      <c r="A41680" s="258"/>
      <c r="Z41680" s="258"/>
    </row>
    <row r="41681" spans="1:26" ht="12.75" customHeight="1" x14ac:dyDescent="0.2">
      <c r="A41681" s="258"/>
      <c r="Z41681" s="258"/>
    </row>
    <row r="41682" spans="1:26" ht="12.75" customHeight="1" x14ac:dyDescent="0.2">
      <c r="A41682" s="258"/>
      <c r="Z41682" s="258"/>
    </row>
    <row r="41683" spans="1:26" ht="12.75" customHeight="1" x14ac:dyDescent="0.2">
      <c r="A41683" s="258"/>
      <c r="Z41683" s="258"/>
    </row>
    <row r="41684" spans="1:26" ht="12.75" customHeight="1" x14ac:dyDescent="0.2">
      <c r="A41684" s="258"/>
      <c r="Z41684" s="258"/>
    </row>
    <row r="41685" spans="1:26" ht="12.75" customHeight="1" x14ac:dyDescent="0.2">
      <c r="A41685" s="258"/>
      <c r="Z41685" s="258"/>
    </row>
    <row r="41686" spans="1:26" ht="12.75" customHeight="1" x14ac:dyDescent="0.2">
      <c r="A41686" s="258"/>
      <c r="Z41686" s="258"/>
    </row>
    <row r="41687" spans="1:26" ht="12.75" customHeight="1" x14ac:dyDescent="0.2">
      <c r="A41687" s="258"/>
      <c r="Z41687" s="258"/>
    </row>
    <row r="41688" spans="1:26" ht="12.75" customHeight="1" x14ac:dyDescent="0.2">
      <c r="A41688" s="258"/>
      <c r="Z41688" s="258"/>
    </row>
    <row r="41689" spans="1:26" ht="12.75" customHeight="1" x14ac:dyDescent="0.2">
      <c r="A41689" s="258"/>
      <c r="Z41689" s="258"/>
    </row>
    <row r="41690" spans="1:26" ht="12.75" customHeight="1" x14ac:dyDescent="0.2">
      <c r="A41690" s="258"/>
      <c r="Z41690" s="258"/>
    </row>
    <row r="41691" spans="1:26" ht="12.75" customHeight="1" x14ac:dyDescent="0.2">
      <c r="A41691" s="258"/>
      <c r="Z41691" s="258"/>
    </row>
    <row r="41692" spans="1:26" ht="12.75" customHeight="1" x14ac:dyDescent="0.2">
      <c r="A41692" s="258"/>
      <c r="Z41692" s="258"/>
    </row>
    <row r="41693" spans="1:26" ht="12.75" customHeight="1" x14ac:dyDescent="0.2">
      <c r="A41693" s="258"/>
      <c r="Z41693" s="258"/>
    </row>
    <row r="41694" spans="1:26" ht="12.75" customHeight="1" x14ac:dyDescent="0.2">
      <c r="A41694" s="258"/>
      <c r="Z41694" s="258"/>
    </row>
    <row r="41695" spans="1:26" ht="12.75" customHeight="1" x14ac:dyDescent="0.2">
      <c r="A41695" s="258"/>
      <c r="Z41695" s="258"/>
    </row>
    <row r="41696" spans="1:26" ht="12.75" customHeight="1" x14ac:dyDescent="0.2">
      <c r="A41696" s="258"/>
      <c r="Z41696" s="258"/>
    </row>
    <row r="41697" spans="1:26" ht="12.75" customHeight="1" x14ac:dyDescent="0.2">
      <c r="A41697" s="258"/>
      <c r="Z41697" s="258"/>
    </row>
    <row r="41698" spans="1:26" ht="12.75" customHeight="1" x14ac:dyDescent="0.2">
      <c r="A41698" s="258"/>
      <c r="Z41698" s="258"/>
    </row>
    <row r="41699" spans="1:26" ht="12.75" customHeight="1" x14ac:dyDescent="0.2">
      <c r="A41699" s="258"/>
      <c r="Z41699" s="258"/>
    </row>
    <row r="41700" spans="1:26" ht="12.75" customHeight="1" x14ac:dyDescent="0.2">
      <c r="A41700" s="258"/>
      <c r="Z41700" s="258"/>
    </row>
    <row r="41701" spans="1:26" ht="12.75" customHeight="1" x14ac:dyDescent="0.2">
      <c r="A41701" s="258"/>
      <c r="Z41701" s="258"/>
    </row>
    <row r="41702" spans="1:26" ht="12.75" customHeight="1" x14ac:dyDescent="0.2">
      <c r="A41702" s="258"/>
      <c r="Z41702" s="258"/>
    </row>
    <row r="41703" spans="1:26" ht="12.75" customHeight="1" x14ac:dyDescent="0.2">
      <c r="A41703" s="258"/>
      <c r="Z41703" s="258"/>
    </row>
    <row r="41704" spans="1:26" ht="12.75" customHeight="1" x14ac:dyDescent="0.2">
      <c r="A41704" s="258"/>
      <c r="Z41704" s="258"/>
    </row>
    <row r="41705" spans="1:26" ht="12.75" customHeight="1" x14ac:dyDescent="0.2">
      <c r="A41705" s="258"/>
      <c r="Z41705" s="258"/>
    </row>
    <row r="41706" spans="1:26" ht="12.75" customHeight="1" x14ac:dyDescent="0.2">
      <c r="A41706" s="258"/>
      <c r="Z41706" s="258"/>
    </row>
    <row r="41707" spans="1:26" ht="12.75" customHeight="1" x14ac:dyDescent="0.2">
      <c r="A41707" s="258"/>
      <c r="Z41707" s="258"/>
    </row>
    <row r="41708" spans="1:26" ht="12.75" customHeight="1" x14ac:dyDescent="0.2">
      <c r="A41708" s="258"/>
      <c r="Z41708" s="258"/>
    </row>
    <row r="41709" spans="1:26" ht="12.75" customHeight="1" x14ac:dyDescent="0.2">
      <c r="A41709" s="258"/>
      <c r="Z41709" s="258"/>
    </row>
    <row r="41710" spans="1:26" ht="12.75" customHeight="1" x14ac:dyDescent="0.2">
      <c r="A41710" s="258"/>
      <c r="Z41710" s="258"/>
    </row>
    <row r="41711" spans="1:26" ht="12.75" customHeight="1" x14ac:dyDescent="0.2">
      <c r="A41711" s="258"/>
      <c r="Z41711" s="258"/>
    </row>
    <row r="41712" spans="1:26" ht="12.75" customHeight="1" x14ac:dyDescent="0.2">
      <c r="A41712" s="258"/>
      <c r="Z41712" s="258"/>
    </row>
    <row r="41713" spans="1:26" ht="12.75" customHeight="1" x14ac:dyDescent="0.2">
      <c r="A41713" s="258"/>
      <c r="Z41713" s="258"/>
    </row>
    <row r="41714" spans="1:26" ht="12.75" customHeight="1" x14ac:dyDescent="0.2">
      <c r="A41714" s="258"/>
      <c r="Z41714" s="258"/>
    </row>
    <row r="41715" spans="1:26" ht="12.75" customHeight="1" x14ac:dyDescent="0.2">
      <c r="A41715" s="258"/>
      <c r="Z41715" s="258"/>
    </row>
    <row r="41716" spans="1:26" ht="12.75" customHeight="1" x14ac:dyDescent="0.2">
      <c r="A41716" s="258"/>
      <c r="Z41716" s="258"/>
    </row>
    <row r="41717" spans="1:26" ht="12.75" customHeight="1" x14ac:dyDescent="0.2">
      <c r="A41717" s="258"/>
      <c r="Z41717" s="258"/>
    </row>
    <row r="41718" spans="1:26" ht="12.75" customHeight="1" x14ac:dyDescent="0.2">
      <c r="A41718" s="258"/>
      <c r="Z41718" s="258"/>
    </row>
    <row r="41719" spans="1:26" ht="12.75" customHeight="1" x14ac:dyDescent="0.2">
      <c r="A41719" s="258"/>
      <c r="Z41719" s="258"/>
    </row>
    <row r="41720" spans="1:26" ht="12.75" customHeight="1" x14ac:dyDescent="0.2">
      <c r="A41720" s="258"/>
      <c r="Z41720" s="258"/>
    </row>
    <row r="41721" spans="1:26" ht="12.75" customHeight="1" x14ac:dyDescent="0.2">
      <c r="A41721" s="258"/>
      <c r="Z41721" s="258"/>
    </row>
    <row r="41722" spans="1:26" ht="12.75" customHeight="1" x14ac:dyDescent="0.2">
      <c r="A41722" s="258"/>
      <c r="Z41722" s="258"/>
    </row>
    <row r="41723" spans="1:26" ht="12.75" customHeight="1" x14ac:dyDescent="0.2">
      <c r="A41723" s="258"/>
      <c r="Z41723" s="258"/>
    </row>
    <row r="41724" spans="1:26" ht="12.75" customHeight="1" x14ac:dyDescent="0.2">
      <c r="A41724" s="258"/>
      <c r="Z41724" s="258"/>
    </row>
    <row r="41725" spans="1:26" ht="12.75" customHeight="1" x14ac:dyDescent="0.2">
      <c r="A41725" s="258"/>
      <c r="Z41725" s="258"/>
    </row>
    <row r="41726" spans="1:26" ht="12.75" customHeight="1" x14ac:dyDescent="0.2">
      <c r="A41726" s="258"/>
      <c r="Z41726" s="258"/>
    </row>
    <row r="41727" spans="1:26" ht="12.75" customHeight="1" x14ac:dyDescent="0.2">
      <c r="A41727" s="258"/>
      <c r="Z41727" s="258"/>
    </row>
    <row r="41728" spans="1:26" ht="12.75" customHeight="1" x14ac:dyDescent="0.2">
      <c r="A41728" s="258"/>
      <c r="Z41728" s="258"/>
    </row>
    <row r="41729" spans="1:26" ht="12.75" customHeight="1" x14ac:dyDescent="0.2">
      <c r="A41729" s="258"/>
      <c r="Z41729" s="258"/>
    </row>
    <row r="41730" spans="1:26" ht="12.75" customHeight="1" x14ac:dyDescent="0.2">
      <c r="A41730" s="258"/>
      <c r="Z41730" s="258"/>
    </row>
    <row r="41731" spans="1:26" ht="12.75" customHeight="1" x14ac:dyDescent="0.2">
      <c r="A41731" s="258"/>
      <c r="Z41731" s="258"/>
    </row>
    <row r="41732" spans="1:26" ht="12.75" customHeight="1" x14ac:dyDescent="0.2">
      <c r="A41732" s="258"/>
      <c r="Z41732" s="258"/>
    </row>
    <row r="41733" spans="1:26" ht="12.75" customHeight="1" x14ac:dyDescent="0.2">
      <c r="A41733" s="258"/>
      <c r="Z41733" s="258"/>
    </row>
    <row r="41734" spans="1:26" ht="12.75" customHeight="1" x14ac:dyDescent="0.2">
      <c r="A41734" s="258"/>
      <c r="Z41734" s="258"/>
    </row>
    <row r="41735" spans="1:26" ht="12.75" customHeight="1" x14ac:dyDescent="0.2">
      <c r="A41735" s="258"/>
      <c r="Z41735" s="258"/>
    </row>
    <row r="41736" spans="1:26" ht="12.75" customHeight="1" x14ac:dyDescent="0.2">
      <c r="A41736" s="258"/>
      <c r="Z41736" s="258"/>
    </row>
    <row r="41737" spans="1:26" ht="12.75" customHeight="1" x14ac:dyDescent="0.2">
      <c r="A41737" s="258"/>
      <c r="Z41737" s="258"/>
    </row>
    <row r="41738" spans="1:26" ht="12.75" customHeight="1" x14ac:dyDescent="0.2">
      <c r="A41738" s="258"/>
      <c r="Z41738" s="258"/>
    </row>
    <row r="41739" spans="1:26" ht="12.75" customHeight="1" x14ac:dyDescent="0.2">
      <c r="A41739" s="258"/>
      <c r="Z41739" s="258"/>
    </row>
    <row r="41740" spans="1:26" ht="12.75" customHeight="1" x14ac:dyDescent="0.2">
      <c r="A41740" s="258"/>
      <c r="Z41740" s="258"/>
    </row>
    <row r="41741" spans="1:26" ht="12.75" customHeight="1" x14ac:dyDescent="0.2">
      <c r="A41741" s="258"/>
      <c r="Z41741" s="258"/>
    </row>
    <row r="41742" spans="1:26" ht="12.75" customHeight="1" x14ac:dyDescent="0.2">
      <c r="A41742" s="258"/>
      <c r="Z41742" s="258"/>
    </row>
    <row r="41743" spans="1:26" ht="12.75" customHeight="1" x14ac:dyDescent="0.2">
      <c r="A41743" s="258"/>
      <c r="Z41743" s="258"/>
    </row>
    <row r="41744" spans="1:26" ht="12.75" customHeight="1" x14ac:dyDescent="0.2">
      <c r="A41744" s="258"/>
      <c r="Z41744" s="258"/>
    </row>
    <row r="41745" spans="1:26" ht="12.75" customHeight="1" x14ac:dyDescent="0.2">
      <c r="A41745" s="258"/>
      <c r="Z41745" s="258"/>
    </row>
    <row r="41746" spans="1:26" ht="12.75" customHeight="1" x14ac:dyDescent="0.2">
      <c r="A41746" s="258"/>
      <c r="Z41746" s="258"/>
    </row>
    <row r="41747" spans="1:26" ht="12.75" customHeight="1" x14ac:dyDescent="0.2">
      <c r="A41747" s="258"/>
      <c r="Z41747" s="258"/>
    </row>
    <row r="41748" spans="1:26" ht="12.75" customHeight="1" x14ac:dyDescent="0.2">
      <c r="A41748" s="258"/>
      <c r="Z41748" s="258"/>
    </row>
    <row r="41749" spans="1:26" ht="12.75" customHeight="1" x14ac:dyDescent="0.2">
      <c r="A41749" s="258"/>
      <c r="Z41749" s="258"/>
    </row>
    <row r="41750" spans="1:26" ht="12.75" customHeight="1" x14ac:dyDescent="0.2">
      <c r="A41750" s="258"/>
      <c r="Z41750" s="258"/>
    </row>
    <row r="41751" spans="1:26" ht="12.75" customHeight="1" x14ac:dyDescent="0.2">
      <c r="A41751" s="258"/>
      <c r="Z41751" s="258"/>
    </row>
    <row r="41752" spans="1:26" ht="12.75" customHeight="1" x14ac:dyDescent="0.2">
      <c r="A41752" s="258"/>
      <c r="Z41752" s="258"/>
    </row>
    <row r="41753" spans="1:26" ht="12.75" customHeight="1" x14ac:dyDescent="0.2">
      <c r="A41753" s="258"/>
      <c r="Z41753" s="258"/>
    </row>
    <row r="41754" spans="1:26" ht="12.75" customHeight="1" x14ac:dyDescent="0.2">
      <c r="A41754" s="258"/>
      <c r="Z41754" s="258"/>
    </row>
    <row r="41755" spans="1:26" ht="12.75" customHeight="1" x14ac:dyDescent="0.2">
      <c r="A41755" s="258"/>
      <c r="Z41755" s="258"/>
    </row>
    <row r="41756" spans="1:26" ht="12.75" customHeight="1" x14ac:dyDescent="0.2">
      <c r="A41756" s="258"/>
      <c r="Z41756" s="258"/>
    </row>
    <row r="41757" spans="1:26" ht="12.75" customHeight="1" x14ac:dyDescent="0.2">
      <c r="A41757" s="258"/>
      <c r="Z41757" s="258"/>
    </row>
    <row r="41758" spans="1:26" ht="12.75" customHeight="1" x14ac:dyDescent="0.2">
      <c r="A41758" s="258"/>
      <c r="Z41758" s="258"/>
    </row>
    <row r="41759" spans="1:26" ht="12.75" customHeight="1" x14ac:dyDescent="0.2">
      <c r="A41759" s="258"/>
      <c r="Z41759" s="258"/>
    </row>
    <row r="41760" spans="1:26" ht="12.75" customHeight="1" x14ac:dyDescent="0.2">
      <c r="A41760" s="258"/>
      <c r="Z41760" s="258"/>
    </row>
    <row r="41761" spans="1:26" ht="12.75" customHeight="1" x14ac:dyDescent="0.2">
      <c r="A41761" s="258"/>
      <c r="Z41761" s="258"/>
    </row>
    <row r="41762" spans="1:26" ht="12.75" customHeight="1" x14ac:dyDescent="0.2">
      <c r="A41762" s="258"/>
      <c r="Z41762" s="258"/>
    </row>
    <row r="41763" spans="1:26" ht="12.75" customHeight="1" x14ac:dyDescent="0.2">
      <c r="A41763" s="258"/>
      <c r="Z41763" s="258"/>
    </row>
    <row r="41764" spans="1:26" ht="12.75" customHeight="1" x14ac:dyDescent="0.2">
      <c r="A41764" s="258"/>
      <c r="Z41764" s="258"/>
    </row>
    <row r="41765" spans="1:26" ht="12.75" customHeight="1" x14ac:dyDescent="0.2">
      <c r="A41765" s="258"/>
      <c r="Z41765" s="258"/>
    </row>
    <row r="41766" spans="1:26" ht="12.75" customHeight="1" x14ac:dyDescent="0.2">
      <c r="A41766" s="258"/>
      <c r="Z41766" s="258"/>
    </row>
    <row r="41767" spans="1:26" ht="12.75" customHeight="1" x14ac:dyDescent="0.2">
      <c r="A41767" s="258"/>
      <c r="Z41767" s="258"/>
    </row>
    <row r="41768" spans="1:26" ht="12.75" customHeight="1" x14ac:dyDescent="0.2">
      <c r="A41768" s="258"/>
      <c r="Z41768" s="258"/>
    </row>
    <row r="41769" spans="1:26" ht="12.75" customHeight="1" x14ac:dyDescent="0.2">
      <c r="A41769" s="258"/>
      <c r="Z41769" s="258"/>
    </row>
    <row r="41770" spans="1:26" ht="12.75" customHeight="1" x14ac:dyDescent="0.2">
      <c r="A41770" s="258"/>
      <c r="Z41770" s="258"/>
    </row>
    <row r="41771" spans="1:26" ht="12.75" customHeight="1" x14ac:dyDescent="0.2">
      <c r="A41771" s="258"/>
      <c r="Z41771" s="258"/>
    </row>
    <row r="41772" spans="1:26" ht="12.75" customHeight="1" x14ac:dyDescent="0.2">
      <c r="A41772" s="258"/>
      <c r="Z41772" s="258"/>
    </row>
    <row r="41773" spans="1:26" ht="12.75" customHeight="1" x14ac:dyDescent="0.2">
      <c r="A41773" s="258"/>
      <c r="Z41773" s="258"/>
    </row>
    <row r="41774" spans="1:26" ht="12.75" customHeight="1" x14ac:dyDescent="0.2">
      <c r="A41774" s="258"/>
      <c r="Z41774" s="258"/>
    </row>
    <row r="41775" spans="1:26" ht="12.75" customHeight="1" x14ac:dyDescent="0.2">
      <c r="A41775" s="258"/>
      <c r="Z41775" s="258"/>
    </row>
    <row r="41776" spans="1:26" ht="12.75" customHeight="1" x14ac:dyDescent="0.2">
      <c r="A41776" s="258"/>
      <c r="Z41776" s="258"/>
    </row>
    <row r="41777" spans="1:26" ht="12.75" customHeight="1" x14ac:dyDescent="0.2">
      <c r="A41777" s="258"/>
      <c r="Z41777" s="258"/>
    </row>
    <row r="41778" spans="1:26" ht="12.75" customHeight="1" x14ac:dyDescent="0.2">
      <c r="A41778" s="258"/>
      <c r="Z41778" s="258"/>
    </row>
    <row r="41779" spans="1:26" ht="12.75" customHeight="1" x14ac:dyDescent="0.2">
      <c r="A41779" s="258"/>
      <c r="Z41779" s="258"/>
    </row>
    <row r="41780" spans="1:26" ht="12.75" customHeight="1" x14ac:dyDescent="0.2">
      <c r="A41780" s="258"/>
      <c r="Z41780" s="258"/>
    </row>
    <row r="41781" spans="1:26" ht="12.75" customHeight="1" x14ac:dyDescent="0.2">
      <c r="A41781" s="258"/>
      <c r="Z41781" s="258"/>
    </row>
    <row r="41782" spans="1:26" ht="12.75" customHeight="1" x14ac:dyDescent="0.2">
      <c r="A41782" s="258"/>
      <c r="Z41782" s="258"/>
    </row>
    <row r="41783" spans="1:26" ht="12.75" customHeight="1" x14ac:dyDescent="0.2">
      <c r="A41783" s="258"/>
      <c r="Z41783" s="258"/>
    </row>
    <row r="41784" spans="1:26" ht="12.75" customHeight="1" x14ac:dyDescent="0.2">
      <c r="A41784" s="258"/>
      <c r="Z41784" s="258"/>
    </row>
    <row r="41785" spans="1:26" ht="12.75" customHeight="1" x14ac:dyDescent="0.2">
      <c r="A41785" s="258"/>
      <c r="Z41785" s="258"/>
    </row>
    <row r="41786" spans="1:26" ht="12.75" customHeight="1" x14ac:dyDescent="0.2">
      <c r="A41786" s="258"/>
      <c r="Z41786" s="258"/>
    </row>
    <row r="41787" spans="1:26" ht="12.75" customHeight="1" x14ac:dyDescent="0.2">
      <c r="A41787" s="258"/>
      <c r="Z41787" s="258"/>
    </row>
    <row r="41788" spans="1:26" ht="12.75" customHeight="1" x14ac:dyDescent="0.2">
      <c r="A41788" s="258"/>
      <c r="Z41788" s="258"/>
    </row>
    <row r="41789" spans="1:26" ht="12.75" customHeight="1" x14ac:dyDescent="0.2">
      <c r="A41789" s="258"/>
      <c r="Z41789" s="258"/>
    </row>
    <row r="41790" spans="1:26" ht="12.75" customHeight="1" x14ac:dyDescent="0.2">
      <c r="A41790" s="258"/>
      <c r="Z41790" s="258"/>
    </row>
    <row r="41791" spans="1:26" ht="12.75" customHeight="1" x14ac:dyDescent="0.2">
      <c r="A41791" s="258"/>
      <c r="Z41791" s="258"/>
    </row>
    <row r="41792" spans="1:26" ht="12.75" customHeight="1" x14ac:dyDescent="0.2">
      <c r="A41792" s="258"/>
      <c r="Z41792" s="258"/>
    </row>
    <row r="41793" spans="1:26" ht="12.75" customHeight="1" x14ac:dyDescent="0.2">
      <c r="A41793" s="258"/>
      <c r="Z41793" s="258"/>
    </row>
    <row r="41794" spans="1:26" ht="12.75" customHeight="1" x14ac:dyDescent="0.2">
      <c r="A41794" s="258"/>
      <c r="Z41794" s="258"/>
    </row>
    <row r="41795" spans="1:26" ht="12.75" customHeight="1" x14ac:dyDescent="0.2">
      <c r="A41795" s="258"/>
      <c r="Z41795" s="258"/>
    </row>
    <row r="41796" spans="1:26" ht="12.75" customHeight="1" x14ac:dyDescent="0.2">
      <c r="A41796" s="258"/>
      <c r="Z41796" s="258"/>
    </row>
    <row r="41797" spans="1:26" ht="12.75" customHeight="1" x14ac:dyDescent="0.2">
      <c r="A41797" s="258"/>
      <c r="Z41797" s="258"/>
    </row>
    <row r="41798" spans="1:26" ht="12.75" customHeight="1" x14ac:dyDescent="0.2">
      <c r="A41798" s="258"/>
      <c r="Z41798" s="258"/>
    </row>
    <row r="41799" spans="1:26" ht="12.75" customHeight="1" x14ac:dyDescent="0.2">
      <c r="A41799" s="258"/>
      <c r="Z41799" s="258"/>
    </row>
    <row r="41800" spans="1:26" ht="12.75" customHeight="1" x14ac:dyDescent="0.2">
      <c r="A41800" s="258"/>
      <c r="Z41800" s="258"/>
    </row>
    <row r="41801" spans="1:26" ht="12.75" customHeight="1" x14ac:dyDescent="0.2">
      <c r="A41801" s="258"/>
      <c r="Z41801" s="258"/>
    </row>
    <row r="41802" spans="1:26" ht="12.75" customHeight="1" x14ac:dyDescent="0.2">
      <c r="A41802" s="258"/>
      <c r="Z41802" s="258"/>
    </row>
    <row r="41803" spans="1:26" ht="12.75" customHeight="1" x14ac:dyDescent="0.2">
      <c r="A41803" s="258"/>
      <c r="Z41803" s="258"/>
    </row>
    <row r="41804" spans="1:26" ht="12.75" customHeight="1" x14ac:dyDescent="0.2">
      <c r="A41804" s="258"/>
      <c r="Z41804" s="258"/>
    </row>
    <row r="41805" spans="1:26" ht="12.75" customHeight="1" x14ac:dyDescent="0.2">
      <c r="A41805" s="258"/>
      <c r="Z41805" s="258"/>
    </row>
    <row r="41806" spans="1:26" ht="12.75" customHeight="1" x14ac:dyDescent="0.2">
      <c r="A41806" s="258"/>
      <c r="Z41806" s="258"/>
    </row>
    <row r="41807" spans="1:26" ht="12.75" customHeight="1" x14ac:dyDescent="0.2">
      <c r="A41807" s="258"/>
      <c r="Z41807" s="258"/>
    </row>
    <row r="41808" spans="1:26" ht="12.75" customHeight="1" x14ac:dyDescent="0.2">
      <c r="A41808" s="258"/>
      <c r="Z41808" s="258"/>
    </row>
    <row r="41809" spans="1:26" ht="12.75" customHeight="1" x14ac:dyDescent="0.2">
      <c r="A41809" s="258"/>
      <c r="Z41809" s="258"/>
    </row>
    <row r="41810" spans="1:26" ht="12.75" customHeight="1" x14ac:dyDescent="0.2">
      <c r="A41810" s="258"/>
      <c r="Z41810" s="258"/>
    </row>
    <row r="41811" spans="1:26" ht="12.75" customHeight="1" x14ac:dyDescent="0.2">
      <c r="A41811" s="258"/>
      <c r="Z41811" s="258"/>
    </row>
    <row r="41812" spans="1:26" ht="12.75" customHeight="1" x14ac:dyDescent="0.2">
      <c r="A41812" s="258"/>
      <c r="Z41812" s="258"/>
    </row>
    <row r="41813" spans="1:26" ht="12.75" customHeight="1" x14ac:dyDescent="0.2">
      <c r="A41813" s="258"/>
      <c r="Z41813" s="258"/>
    </row>
    <row r="41814" spans="1:26" ht="12.75" customHeight="1" x14ac:dyDescent="0.2">
      <c r="A41814" s="258"/>
      <c r="Z41814" s="258"/>
    </row>
    <row r="41815" spans="1:26" ht="12.75" customHeight="1" x14ac:dyDescent="0.2">
      <c r="A41815" s="258"/>
      <c r="Z41815" s="258"/>
    </row>
    <row r="41816" spans="1:26" ht="12.75" customHeight="1" x14ac:dyDescent="0.2">
      <c r="A41816" s="258"/>
      <c r="Z41816" s="258"/>
    </row>
    <row r="41817" spans="1:26" ht="12.75" customHeight="1" x14ac:dyDescent="0.2">
      <c r="A41817" s="258"/>
      <c r="Z41817" s="258"/>
    </row>
    <row r="41818" spans="1:26" ht="12.75" customHeight="1" x14ac:dyDescent="0.2">
      <c r="A41818" s="258"/>
      <c r="Z41818" s="258"/>
    </row>
    <row r="41819" spans="1:26" ht="12.75" customHeight="1" x14ac:dyDescent="0.2">
      <c r="A41819" s="258"/>
      <c r="Z41819" s="258"/>
    </row>
    <row r="41820" spans="1:26" ht="12.75" customHeight="1" x14ac:dyDescent="0.2">
      <c r="A41820" s="258"/>
      <c r="Z41820" s="258"/>
    </row>
    <row r="41821" spans="1:26" ht="12.75" customHeight="1" x14ac:dyDescent="0.2">
      <c r="A41821" s="258"/>
      <c r="Z41821" s="258"/>
    </row>
    <row r="41822" spans="1:26" ht="12.75" customHeight="1" x14ac:dyDescent="0.2">
      <c r="A41822" s="258"/>
      <c r="Z41822" s="258"/>
    </row>
    <row r="41823" spans="1:26" ht="12.75" customHeight="1" x14ac:dyDescent="0.2">
      <c r="A41823" s="258"/>
      <c r="Z41823" s="258"/>
    </row>
    <row r="41824" spans="1:26" ht="12.75" customHeight="1" x14ac:dyDescent="0.2">
      <c r="A41824" s="258"/>
      <c r="Z41824" s="258"/>
    </row>
    <row r="41825" spans="1:26" ht="12.75" customHeight="1" x14ac:dyDescent="0.2">
      <c r="A41825" s="258"/>
      <c r="Z41825" s="258"/>
    </row>
    <row r="41826" spans="1:26" ht="12.75" customHeight="1" x14ac:dyDescent="0.2">
      <c r="A41826" s="258"/>
      <c r="Z41826" s="258"/>
    </row>
    <row r="41827" spans="1:26" ht="12.75" customHeight="1" x14ac:dyDescent="0.2">
      <c r="A41827" s="258"/>
      <c r="Z41827" s="258"/>
    </row>
    <row r="41828" spans="1:26" ht="12.75" customHeight="1" x14ac:dyDescent="0.2">
      <c r="A41828" s="258"/>
      <c r="Z41828" s="258"/>
    </row>
    <row r="41829" spans="1:26" ht="12.75" customHeight="1" x14ac:dyDescent="0.2">
      <c r="A41829" s="258"/>
      <c r="Z41829" s="258"/>
    </row>
    <row r="41830" spans="1:26" ht="12.75" customHeight="1" x14ac:dyDescent="0.2">
      <c r="A41830" s="258"/>
      <c r="Z41830" s="258"/>
    </row>
    <row r="41831" spans="1:26" ht="12.75" customHeight="1" x14ac:dyDescent="0.2">
      <c r="A41831" s="258"/>
      <c r="Z41831" s="258"/>
    </row>
    <row r="41832" spans="1:26" ht="12.75" customHeight="1" x14ac:dyDescent="0.2">
      <c r="A41832" s="258"/>
      <c r="Z41832" s="258"/>
    </row>
    <row r="41833" spans="1:26" ht="12.75" customHeight="1" x14ac:dyDescent="0.2">
      <c r="A41833" s="258"/>
      <c r="Z41833" s="258"/>
    </row>
    <row r="41834" spans="1:26" ht="12.75" customHeight="1" x14ac:dyDescent="0.2">
      <c r="A41834" s="258"/>
      <c r="Z41834" s="258"/>
    </row>
    <row r="41835" spans="1:26" ht="12.75" customHeight="1" x14ac:dyDescent="0.2">
      <c r="A41835" s="258"/>
      <c r="Z41835" s="258"/>
    </row>
    <row r="41836" spans="1:26" ht="12.75" customHeight="1" x14ac:dyDescent="0.2">
      <c r="A41836" s="258"/>
      <c r="Z41836" s="258"/>
    </row>
    <row r="41837" spans="1:26" ht="12.75" customHeight="1" x14ac:dyDescent="0.2">
      <c r="A41837" s="258"/>
      <c r="Z41837" s="258"/>
    </row>
    <row r="41838" spans="1:26" ht="12.75" customHeight="1" x14ac:dyDescent="0.2">
      <c r="A41838" s="258"/>
      <c r="Z41838" s="258"/>
    </row>
    <row r="41839" spans="1:26" ht="12.75" customHeight="1" x14ac:dyDescent="0.2">
      <c r="A41839" s="258"/>
      <c r="Z41839" s="258"/>
    </row>
    <row r="41840" spans="1:26" ht="12.75" customHeight="1" x14ac:dyDescent="0.2">
      <c r="A41840" s="258"/>
      <c r="Z41840" s="258"/>
    </row>
    <row r="41841" spans="1:26" ht="12.75" customHeight="1" x14ac:dyDescent="0.2">
      <c r="A41841" s="258"/>
      <c r="Z41841" s="258"/>
    </row>
    <row r="41842" spans="1:26" ht="12.75" customHeight="1" x14ac:dyDescent="0.2">
      <c r="A41842" s="258"/>
      <c r="Z41842" s="258"/>
    </row>
    <row r="41843" spans="1:26" ht="12.75" customHeight="1" x14ac:dyDescent="0.2">
      <c r="A41843" s="258"/>
      <c r="Z41843" s="258"/>
    </row>
    <row r="41844" spans="1:26" ht="12.75" customHeight="1" x14ac:dyDescent="0.2">
      <c r="A41844" s="258"/>
      <c r="Z41844" s="258"/>
    </row>
    <row r="41845" spans="1:26" ht="12.75" customHeight="1" x14ac:dyDescent="0.2">
      <c r="A41845" s="258"/>
      <c r="Z41845" s="258"/>
    </row>
    <row r="41846" spans="1:26" ht="12.75" customHeight="1" x14ac:dyDescent="0.2">
      <c r="A41846" s="258"/>
      <c r="Z41846" s="258"/>
    </row>
    <row r="41847" spans="1:26" ht="12.75" customHeight="1" x14ac:dyDescent="0.2">
      <c r="A41847" s="258"/>
      <c r="Z41847" s="258"/>
    </row>
    <row r="41848" spans="1:26" ht="12.75" customHeight="1" x14ac:dyDescent="0.2">
      <c r="A41848" s="258"/>
      <c r="Z41848" s="258"/>
    </row>
    <row r="41849" spans="1:26" ht="12.75" customHeight="1" x14ac:dyDescent="0.2">
      <c r="A41849" s="258"/>
      <c r="Z41849" s="258"/>
    </row>
    <row r="41850" spans="1:26" ht="12.75" customHeight="1" x14ac:dyDescent="0.2">
      <c r="A41850" s="258"/>
      <c r="Z41850" s="258"/>
    </row>
    <row r="41851" spans="1:26" ht="12.75" customHeight="1" x14ac:dyDescent="0.2">
      <c r="A41851" s="258"/>
      <c r="Z41851" s="258"/>
    </row>
    <row r="41852" spans="1:26" ht="12.75" customHeight="1" x14ac:dyDescent="0.2">
      <c r="A41852" s="258"/>
      <c r="Z41852" s="258"/>
    </row>
    <row r="41853" spans="1:26" ht="12.75" customHeight="1" x14ac:dyDescent="0.2">
      <c r="A41853" s="258"/>
      <c r="Z41853" s="258"/>
    </row>
    <row r="41854" spans="1:26" ht="12.75" customHeight="1" x14ac:dyDescent="0.2">
      <c r="A41854" s="258"/>
      <c r="Z41854" s="258"/>
    </row>
    <row r="41855" spans="1:26" ht="12.75" customHeight="1" x14ac:dyDescent="0.2">
      <c r="A41855" s="258"/>
      <c r="Z41855" s="258"/>
    </row>
    <row r="41856" spans="1:26" ht="12.75" customHeight="1" x14ac:dyDescent="0.2">
      <c r="A41856" s="258"/>
      <c r="Z41856" s="258"/>
    </row>
    <row r="41857" spans="1:26" ht="12.75" customHeight="1" x14ac:dyDescent="0.2">
      <c r="A41857" s="258"/>
      <c r="Z41857" s="258"/>
    </row>
    <row r="41858" spans="1:26" ht="12.75" customHeight="1" x14ac:dyDescent="0.2">
      <c r="A41858" s="258"/>
      <c r="Z41858" s="258"/>
    </row>
    <row r="41859" spans="1:26" ht="12.75" customHeight="1" x14ac:dyDescent="0.2">
      <c r="A41859" s="258"/>
      <c r="Z41859" s="258"/>
    </row>
    <row r="41860" spans="1:26" ht="12.75" customHeight="1" x14ac:dyDescent="0.2">
      <c r="A41860" s="258"/>
      <c r="Z41860" s="258"/>
    </row>
    <row r="41861" spans="1:26" ht="12.75" customHeight="1" x14ac:dyDescent="0.2">
      <c r="A41861" s="258"/>
      <c r="Z41861" s="258"/>
    </row>
    <row r="41862" spans="1:26" ht="12.75" customHeight="1" x14ac:dyDescent="0.2">
      <c r="A41862" s="258"/>
      <c r="Z41862" s="258"/>
    </row>
    <row r="41863" spans="1:26" ht="12.75" customHeight="1" x14ac:dyDescent="0.2">
      <c r="A41863" s="258"/>
      <c r="Z41863" s="258"/>
    </row>
    <row r="41864" spans="1:26" ht="12.75" customHeight="1" x14ac:dyDescent="0.2">
      <c r="A41864" s="258"/>
      <c r="Z41864" s="258"/>
    </row>
    <row r="41865" spans="1:26" ht="12.75" customHeight="1" x14ac:dyDescent="0.2">
      <c r="A41865" s="258"/>
      <c r="Z41865" s="258"/>
    </row>
    <row r="41866" spans="1:26" ht="12.75" customHeight="1" x14ac:dyDescent="0.2">
      <c r="A41866" s="258"/>
      <c r="Z41866" s="258"/>
    </row>
    <row r="41867" spans="1:26" ht="12.75" customHeight="1" x14ac:dyDescent="0.2">
      <c r="A41867" s="258"/>
      <c r="Z41867" s="258"/>
    </row>
    <row r="41868" spans="1:26" ht="12.75" customHeight="1" x14ac:dyDescent="0.2">
      <c r="A41868" s="258"/>
      <c r="Z41868" s="258"/>
    </row>
    <row r="41869" spans="1:26" ht="12.75" customHeight="1" x14ac:dyDescent="0.2">
      <c r="A41869" s="258"/>
      <c r="Z41869" s="258"/>
    </row>
    <row r="41870" spans="1:26" ht="12.75" customHeight="1" x14ac:dyDescent="0.2">
      <c r="A41870" s="258"/>
      <c r="Z41870" s="258"/>
    </row>
    <row r="41871" spans="1:26" ht="12.75" customHeight="1" x14ac:dyDescent="0.2">
      <c r="A41871" s="258"/>
      <c r="Z41871" s="258"/>
    </row>
    <row r="41872" spans="1:26" ht="12.75" customHeight="1" x14ac:dyDescent="0.2">
      <c r="A41872" s="258"/>
      <c r="Z41872" s="258"/>
    </row>
    <row r="41873" spans="1:26" ht="12.75" customHeight="1" x14ac:dyDescent="0.2">
      <c r="A41873" s="258"/>
      <c r="Z41873" s="258"/>
    </row>
    <row r="41874" spans="1:26" ht="12.75" customHeight="1" x14ac:dyDescent="0.2">
      <c r="A41874" s="258"/>
      <c r="Z41874" s="258"/>
    </row>
    <row r="41875" spans="1:26" ht="12.75" customHeight="1" x14ac:dyDescent="0.2">
      <c r="A41875" s="258"/>
      <c r="Z41875" s="258"/>
    </row>
    <row r="41876" spans="1:26" ht="12.75" customHeight="1" x14ac:dyDescent="0.2">
      <c r="A41876" s="258"/>
      <c r="Z41876" s="258"/>
    </row>
    <row r="41877" spans="1:26" ht="12.75" customHeight="1" x14ac:dyDescent="0.2">
      <c r="A41877" s="258"/>
      <c r="Z41877" s="258"/>
    </row>
    <row r="41878" spans="1:26" ht="12.75" customHeight="1" x14ac:dyDescent="0.2">
      <c r="A41878" s="258"/>
      <c r="Z41878" s="258"/>
    </row>
    <row r="41879" spans="1:26" ht="12.75" customHeight="1" x14ac:dyDescent="0.2">
      <c r="A41879" s="258"/>
      <c r="Z41879" s="258"/>
    </row>
    <row r="41880" spans="1:26" ht="12.75" customHeight="1" x14ac:dyDescent="0.2">
      <c r="A41880" s="258"/>
      <c r="Z41880" s="258"/>
    </row>
    <row r="41881" spans="1:26" ht="12.75" customHeight="1" x14ac:dyDescent="0.2">
      <c r="A41881" s="258"/>
      <c r="Z41881" s="258"/>
    </row>
    <row r="41882" spans="1:26" ht="12.75" customHeight="1" x14ac:dyDescent="0.2">
      <c r="A41882" s="258"/>
      <c r="Z41882" s="258"/>
    </row>
    <row r="41883" spans="1:26" ht="12.75" customHeight="1" x14ac:dyDescent="0.2">
      <c r="A41883" s="258"/>
      <c r="Z41883" s="258"/>
    </row>
    <row r="41884" spans="1:26" ht="12.75" customHeight="1" x14ac:dyDescent="0.2">
      <c r="A41884" s="258"/>
      <c r="Z41884" s="258"/>
    </row>
    <row r="41885" spans="1:26" ht="12.75" customHeight="1" x14ac:dyDescent="0.2">
      <c r="A41885" s="258"/>
      <c r="Z41885" s="258"/>
    </row>
    <row r="41886" spans="1:26" ht="12.75" customHeight="1" x14ac:dyDescent="0.2">
      <c r="A41886" s="258"/>
      <c r="Z41886" s="258"/>
    </row>
    <row r="41887" spans="1:26" ht="12.75" customHeight="1" x14ac:dyDescent="0.2">
      <c r="A41887" s="258"/>
      <c r="Z41887" s="258"/>
    </row>
    <row r="41888" spans="1:26" ht="12.75" customHeight="1" x14ac:dyDescent="0.2">
      <c r="A41888" s="258"/>
      <c r="Z41888" s="258"/>
    </row>
    <row r="41889" spans="1:26" ht="12.75" customHeight="1" x14ac:dyDescent="0.2">
      <c r="A41889" s="258"/>
      <c r="Z41889" s="258"/>
    </row>
    <row r="41890" spans="1:26" ht="12.75" customHeight="1" x14ac:dyDescent="0.2">
      <c r="A41890" s="258"/>
      <c r="Z41890" s="258"/>
    </row>
    <row r="41891" spans="1:26" ht="12.75" customHeight="1" x14ac:dyDescent="0.2">
      <c r="A41891" s="258"/>
      <c r="Z41891" s="258"/>
    </row>
    <row r="41892" spans="1:26" ht="12.75" customHeight="1" x14ac:dyDescent="0.2">
      <c r="A41892" s="258"/>
      <c r="Z41892" s="258"/>
    </row>
    <row r="41893" spans="1:26" ht="12.75" customHeight="1" x14ac:dyDescent="0.2">
      <c r="A41893" s="258"/>
      <c r="Z41893" s="258"/>
    </row>
    <row r="41894" spans="1:26" ht="12.75" customHeight="1" x14ac:dyDescent="0.2">
      <c r="A41894" s="258"/>
      <c r="Z41894" s="258"/>
    </row>
    <row r="41895" spans="1:26" ht="12.75" customHeight="1" x14ac:dyDescent="0.2">
      <c r="A41895" s="258"/>
      <c r="Z41895" s="258"/>
    </row>
    <row r="41896" spans="1:26" ht="12.75" customHeight="1" x14ac:dyDescent="0.2">
      <c r="A41896" s="258"/>
      <c r="Z41896" s="258"/>
    </row>
    <row r="41897" spans="1:26" ht="12.75" customHeight="1" x14ac:dyDescent="0.2">
      <c r="A41897" s="258"/>
      <c r="Z41897" s="258"/>
    </row>
    <row r="41898" spans="1:26" ht="12.75" customHeight="1" x14ac:dyDescent="0.2">
      <c r="A41898" s="258"/>
      <c r="Z41898" s="258"/>
    </row>
    <row r="41899" spans="1:26" ht="12.75" customHeight="1" x14ac:dyDescent="0.2">
      <c r="A41899" s="258"/>
      <c r="Z41899" s="258"/>
    </row>
    <row r="41900" spans="1:26" ht="12.75" customHeight="1" x14ac:dyDescent="0.2">
      <c r="A41900" s="258"/>
      <c r="Z41900" s="258"/>
    </row>
    <row r="41901" spans="1:26" ht="12.75" customHeight="1" x14ac:dyDescent="0.2">
      <c r="A41901" s="258"/>
      <c r="Z41901" s="258"/>
    </row>
    <row r="41902" spans="1:26" ht="12.75" customHeight="1" x14ac:dyDescent="0.2">
      <c r="A41902" s="258"/>
      <c r="Z41902" s="258"/>
    </row>
    <row r="41903" spans="1:26" ht="12.75" customHeight="1" x14ac:dyDescent="0.2">
      <c r="A41903" s="258"/>
      <c r="Z41903" s="258"/>
    </row>
    <row r="41904" spans="1:26" ht="12.75" customHeight="1" x14ac:dyDescent="0.2">
      <c r="A41904" s="258"/>
      <c r="Z41904" s="258"/>
    </row>
    <row r="41905" spans="1:26" ht="12.75" customHeight="1" x14ac:dyDescent="0.2">
      <c r="A41905" s="258"/>
      <c r="Z41905" s="258"/>
    </row>
    <row r="41906" spans="1:26" ht="12.75" customHeight="1" x14ac:dyDescent="0.2">
      <c r="A41906" s="258"/>
      <c r="Z41906" s="258"/>
    </row>
    <row r="41907" spans="1:26" ht="12.75" customHeight="1" x14ac:dyDescent="0.2">
      <c r="A41907" s="258"/>
      <c r="Z41907" s="258"/>
    </row>
    <row r="41908" spans="1:26" ht="12.75" customHeight="1" x14ac:dyDescent="0.2">
      <c r="A41908" s="258"/>
      <c r="Z41908" s="258"/>
    </row>
    <row r="41909" spans="1:26" ht="12.75" customHeight="1" x14ac:dyDescent="0.2">
      <c r="A41909" s="258"/>
      <c r="Z41909" s="258"/>
    </row>
    <row r="41910" spans="1:26" ht="12.75" customHeight="1" x14ac:dyDescent="0.2">
      <c r="A41910" s="258"/>
      <c r="Z41910" s="258"/>
    </row>
    <row r="41911" spans="1:26" ht="12.75" customHeight="1" x14ac:dyDescent="0.2">
      <c r="A41911" s="258"/>
      <c r="Z41911" s="258"/>
    </row>
    <row r="41912" spans="1:26" ht="12.75" customHeight="1" x14ac:dyDescent="0.2">
      <c r="A41912" s="258"/>
      <c r="Z41912" s="258"/>
    </row>
    <row r="41913" spans="1:26" ht="12.75" customHeight="1" x14ac:dyDescent="0.2">
      <c r="A41913" s="258"/>
      <c r="Z41913" s="258"/>
    </row>
    <row r="41914" spans="1:26" ht="12.75" customHeight="1" x14ac:dyDescent="0.2">
      <c r="A41914" s="258"/>
      <c r="Z41914" s="258"/>
    </row>
    <row r="41915" spans="1:26" ht="12.75" customHeight="1" x14ac:dyDescent="0.2">
      <c r="A41915" s="258"/>
      <c r="Z41915" s="258"/>
    </row>
    <row r="41916" spans="1:26" ht="12.75" customHeight="1" x14ac:dyDescent="0.2">
      <c r="A41916" s="258"/>
      <c r="Z41916" s="258"/>
    </row>
    <row r="41917" spans="1:26" ht="12.75" customHeight="1" x14ac:dyDescent="0.2">
      <c r="A41917" s="258"/>
      <c r="Z41917" s="258"/>
    </row>
    <row r="41918" spans="1:26" ht="12.75" customHeight="1" x14ac:dyDescent="0.2">
      <c r="A41918" s="258"/>
      <c r="Z41918" s="258"/>
    </row>
    <row r="41919" spans="1:26" ht="12.75" customHeight="1" x14ac:dyDescent="0.2">
      <c r="A41919" s="258"/>
      <c r="Z41919" s="258"/>
    </row>
    <row r="41920" spans="1:26" ht="12.75" customHeight="1" x14ac:dyDescent="0.2">
      <c r="A41920" s="258"/>
      <c r="Z41920" s="258"/>
    </row>
    <row r="41921" spans="1:26" ht="12.75" customHeight="1" x14ac:dyDescent="0.2">
      <c r="A41921" s="258"/>
      <c r="Z41921" s="258"/>
    </row>
    <row r="41922" spans="1:26" ht="12.75" customHeight="1" x14ac:dyDescent="0.2">
      <c r="A41922" s="258"/>
      <c r="Z41922" s="258"/>
    </row>
    <row r="41923" spans="1:26" ht="12.75" customHeight="1" x14ac:dyDescent="0.2">
      <c r="A41923" s="258"/>
      <c r="Z41923" s="258"/>
    </row>
    <row r="41924" spans="1:26" ht="12.75" customHeight="1" x14ac:dyDescent="0.2">
      <c r="A41924" s="258"/>
      <c r="Z41924" s="258"/>
    </row>
    <row r="41925" spans="1:26" ht="12.75" customHeight="1" x14ac:dyDescent="0.2">
      <c r="A41925" s="258"/>
      <c r="Z41925" s="258"/>
    </row>
    <row r="41926" spans="1:26" ht="12.75" customHeight="1" x14ac:dyDescent="0.2">
      <c r="A41926" s="258"/>
      <c r="Z41926" s="258"/>
    </row>
    <row r="41927" spans="1:26" ht="12.75" customHeight="1" x14ac:dyDescent="0.2">
      <c r="A41927" s="258"/>
      <c r="Z41927" s="258"/>
    </row>
    <row r="41928" spans="1:26" ht="12.75" customHeight="1" x14ac:dyDescent="0.2">
      <c r="A41928" s="258"/>
      <c r="Z41928" s="258"/>
    </row>
    <row r="41929" spans="1:26" ht="12.75" customHeight="1" x14ac:dyDescent="0.2">
      <c r="A41929" s="258"/>
      <c r="Z41929" s="258"/>
    </row>
    <row r="41930" spans="1:26" ht="12.75" customHeight="1" x14ac:dyDescent="0.2">
      <c r="A41930" s="258"/>
      <c r="Z41930" s="258"/>
    </row>
    <row r="41931" spans="1:26" ht="12.75" customHeight="1" x14ac:dyDescent="0.2">
      <c r="A41931" s="258"/>
      <c r="Z41931" s="258"/>
    </row>
    <row r="41932" spans="1:26" ht="12.75" customHeight="1" x14ac:dyDescent="0.2">
      <c r="A41932" s="258"/>
      <c r="Z41932" s="258"/>
    </row>
    <row r="41933" spans="1:26" ht="12.75" customHeight="1" x14ac:dyDescent="0.2">
      <c r="A41933" s="258"/>
      <c r="Z41933" s="258"/>
    </row>
    <row r="41934" spans="1:26" ht="12.75" customHeight="1" x14ac:dyDescent="0.2">
      <c r="A41934" s="258"/>
      <c r="Z41934" s="258"/>
    </row>
    <row r="41935" spans="1:26" ht="12.75" customHeight="1" x14ac:dyDescent="0.2">
      <c r="A41935" s="258"/>
      <c r="Z41935" s="258"/>
    </row>
    <row r="41936" spans="1:26" ht="12.75" customHeight="1" x14ac:dyDescent="0.2">
      <c r="A41936" s="258"/>
      <c r="Z41936" s="258"/>
    </row>
    <row r="41937" spans="1:26" ht="12.75" customHeight="1" x14ac:dyDescent="0.2">
      <c r="A41937" s="258"/>
      <c r="Z41937" s="258"/>
    </row>
    <row r="41938" spans="1:26" ht="12.75" customHeight="1" x14ac:dyDescent="0.2">
      <c r="A41938" s="258"/>
      <c r="Z41938" s="258"/>
    </row>
    <row r="41939" spans="1:26" ht="12.75" customHeight="1" x14ac:dyDescent="0.2">
      <c r="A41939" s="258"/>
      <c r="Z41939" s="258"/>
    </row>
    <row r="41940" spans="1:26" ht="12.75" customHeight="1" x14ac:dyDescent="0.2">
      <c r="A41940" s="258"/>
      <c r="Z41940" s="258"/>
    </row>
    <row r="41941" spans="1:26" ht="12.75" customHeight="1" x14ac:dyDescent="0.2">
      <c r="A41941" s="258"/>
      <c r="Z41941" s="258"/>
    </row>
    <row r="41942" spans="1:26" ht="12.75" customHeight="1" x14ac:dyDescent="0.2">
      <c r="A41942" s="258"/>
      <c r="Z41942" s="258"/>
    </row>
    <row r="41943" spans="1:26" ht="12.75" customHeight="1" x14ac:dyDescent="0.2">
      <c r="A41943" s="258"/>
      <c r="Z41943" s="258"/>
    </row>
    <row r="41944" spans="1:26" ht="12.75" customHeight="1" x14ac:dyDescent="0.2">
      <c r="A41944" s="258"/>
      <c r="Z41944" s="258"/>
    </row>
    <row r="41945" spans="1:26" ht="12.75" customHeight="1" x14ac:dyDescent="0.2">
      <c r="A41945" s="258"/>
      <c r="Z41945" s="258"/>
    </row>
    <row r="41946" spans="1:26" ht="12.75" customHeight="1" x14ac:dyDescent="0.2">
      <c r="A41946" s="258"/>
      <c r="Z41946" s="258"/>
    </row>
    <row r="41947" spans="1:26" ht="12.75" customHeight="1" x14ac:dyDescent="0.2">
      <c r="A41947" s="258"/>
      <c r="Z41947" s="258"/>
    </row>
    <row r="41948" spans="1:26" ht="12.75" customHeight="1" x14ac:dyDescent="0.2">
      <c r="A41948" s="258"/>
      <c r="Z41948" s="258"/>
    </row>
    <row r="41949" spans="1:26" ht="12.75" customHeight="1" x14ac:dyDescent="0.2">
      <c r="A41949" s="258"/>
      <c r="Z41949" s="258"/>
    </row>
    <row r="41950" spans="1:26" ht="12.75" customHeight="1" x14ac:dyDescent="0.2">
      <c r="A41950" s="258"/>
      <c r="Z41950" s="258"/>
    </row>
    <row r="41951" spans="1:26" ht="12.75" customHeight="1" x14ac:dyDescent="0.2">
      <c r="A41951" s="258"/>
      <c r="Z41951" s="258"/>
    </row>
    <row r="41952" spans="1:26" ht="12.75" customHeight="1" x14ac:dyDescent="0.2">
      <c r="A41952" s="258"/>
      <c r="Z41952" s="258"/>
    </row>
    <row r="41953" spans="1:26" ht="12.75" customHeight="1" x14ac:dyDescent="0.2">
      <c r="A41953" s="258"/>
      <c r="Z41953" s="258"/>
    </row>
    <row r="41954" spans="1:26" ht="12.75" customHeight="1" x14ac:dyDescent="0.2">
      <c r="A41954" s="258"/>
      <c r="Z41954" s="258"/>
    </row>
    <row r="41955" spans="1:26" ht="12.75" customHeight="1" x14ac:dyDescent="0.2">
      <c r="A41955" s="258"/>
      <c r="Z41955" s="258"/>
    </row>
    <row r="41956" spans="1:26" ht="12.75" customHeight="1" x14ac:dyDescent="0.2">
      <c r="A41956" s="258"/>
      <c r="Z41956" s="258"/>
    </row>
    <row r="41957" spans="1:26" ht="12.75" customHeight="1" x14ac:dyDescent="0.2">
      <c r="A41957" s="258"/>
      <c r="Z41957" s="258"/>
    </row>
    <row r="41958" spans="1:26" ht="12.75" customHeight="1" x14ac:dyDescent="0.2">
      <c r="A41958" s="258"/>
      <c r="Z41958" s="258"/>
    </row>
    <row r="41959" spans="1:26" ht="12.75" customHeight="1" x14ac:dyDescent="0.2">
      <c r="A41959" s="258"/>
      <c r="Z41959" s="258"/>
    </row>
    <row r="41960" spans="1:26" ht="12.75" customHeight="1" x14ac:dyDescent="0.2">
      <c r="A41960" s="258"/>
      <c r="Z41960" s="258"/>
    </row>
    <row r="41961" spans="1:26" ht="12.75" customHeight="1" x14ac:dyDescent="0.2">
      <c r="A41961" s="258"/>
      <c r="Z41961" s="258"/>
    </row>
    <row r="41962" spans="1:26" ht="12.75" customHeight="1" x14ac:dyDescent="0.2">
      <c r="A41962" s="258"/>
      <c r="Z41962" s="258"/>
    </row>
    <row r="41963" spans="1:26" ht="12.75" customHeight="1" x14ac:dyDescent="0.2">
      <c r="A41963" s="258"/>
      <c r="Z41963" s="258"/>
    </row>
    <row r="41964" spans="1:26" ht="12.75" customHeight="1" x14ac:dyDescent="0.2">
      <c r="A41964" s="258"/>
      <c r="Z41964" s="258"/>
    </row>
    <row r="41965" spans="1:26" ht="12.75" customHeight="1" x14ac:dyDescent="0.2">
      <c r="A41965" s="258"/>
      <c r="Z41965" s="258"/>
    </row>
    <row r="41966" spans="1:26" ht="12.75" customHeight="1" x14ac:dyDescent="0.2">
      <c r="A41966" s="258"/>
      <c r="Z41966" s="258"/>
    </row>
    <row r="41967" spans="1:26" ht="12.75" customHeight="1" x14ac:dyDescent="0.2">
      <c r="A41967" s="258"/>
      <c r="Z41967" s="258"/>
    </row>
    <row r="41968" spans="1:26" ht="12.75" customHeight="1" x14ac:dyDescent="0.2">
      <c r="A41968" s="258"/>
      <c r="Z41968" s="258"/>
    </row>
    <row r="41969" spans="1:26" ht="12.75" customHeight="1" x14ac:dyDescent="0.2">
      <c r="A41969" s="258"/>
      <c r="Z41969" s="258"/>
    </row>
    <row r="41970" spans="1:26" ht="12.75" customHeight="1" x14ac:dyDescent="0.2">
      <c r="A41970" s="258"/>
      <c r="Z41970" s="258"/>
    </row>
    <row r="41971" spans="1:26" ht="12.75" customHeight="1" x14ac:dyDescent="0.2">
      <c r="A41971" s="258"/>
      <c r="Z41971" s="258"/>
    </row>
    <row r="41972" spans="1:26" ht="12.75" customHeight="1" x14ac:dyDescent="0.2">
      <c r="A41972" s="258"/>
      <c r="Z41972" s="258"/>
    </row>
    <row r="41973" spans="1:26" ht="12.75" customHeight="1" x14ac:dyDescent="0.2">
      <c r="A41973" s="258"/>
      <c r="Z41973" s="258"/>
    </row>
    <row r="41974" spans="1:26" ht="12.75" customHeight="1" x14ac:dyDescent="0.2">
      <c r="A41974" s="258"/>
      <c r="Z41974" s="258"/>
    </row>
    <row r="41975" spans="1:26" ht="12.75" customHeight="1" x14ac:dyDescent="0.2">
      <c r="A41975" s="258"/>
      <c r="Z41975" s="258"/>
    </row>
    <row r="41976" spans="1:26" ht="12.75" customHeight="1" x14ac:dyDescent="0.2">
      <c r="A41976" s="258"/>
      <c r="Z41976" s="258"/>
    </row>
    <row r="41977" spans="1:26" ht="12.75" customHeight="1" x14ac:dyDescent="0.2">
      <c r="A41977" s="258"/>
      <c r="Z41977" s="258"/>
    </row>
    <row r="41978" spans="1:26" ht="12.75" customHeight="1" x14ac:dyDescent="0.2">
      <c r="A41978" s="258"/>
      <c r="Z41978" s="258"/>
    </row>
    <row r="41979" spans="1:26" ht="12.75" customHeight="1" x14ac:dyDescent="0.2">
      <c r="A41979" s="258"/>
      <c r="Z41979" s="258"/>
    </row>
    <row r="41980" spans="1:26" ht="12.75" customHeight="1" x14ac:dyDescent="0.2">
      <c r="A41980" s="258"/>
      <c r="Z41980" s="258"/>
    </row>
    <row r="41981" spans="1:26" ht="12.75" customHeight="1" x14ac:dyDescent="0.2">
      <c r="A41981" s="258"/>
      <c r="Z41981" s="258"/>
    </row>
    <row r="41982" spans="1:26" ht="12.75" customHeight="1" x14ac:dyDescent="0.2">
      <c r="A41982" s="258"/>
      <c r="Z41982" s="258"/>
    </row>
    <row r="41983" spans="1:26" ht="12.75" customHeight="1" x14ac:dyDescent="0.2">
      <c r="A41983" s="258"/>
      <c r="Z41983" s="258"/>
    </row>
    <row r="41984" spans="1:26" ht="12.75" customHeight="1" x14ac:dyDescent="0.2">
      <c r="A41984" s="258"/>
      <c r="Z41984" s="258"/>
    </row>
    <row r="41985" spans="1:26" ht="12.75" customHeight="1" x14ac:dyDescent="0.2">
      <c r="A41985" s="258"/>
      <c r="Z41985" s="258"/>
    </row>
    <row r="41986" spans="1:26" ht="12.75" customHeight="1" x14ac:dyDescent="0.2">
      <c r="A41986" s="258"/>
      <c r="Z41986" s="258"/>
    </row>
    <row r="41987" spans="1:26" ht="12.75" customHeight="1" x14ac:dyDescent="0.2">
      <c r="A41987" s="258"/>
      <c r="Z41987" s="258"/>
    </row>
    <row r="41988" spans="1:26" ht="12.75" customHeight="1" x14ac:dyDescent="0.2">
      <c r="A41988" s="258"/>
      <c r="Z41988" s="258"/>
    </row>
    <row r="41989" spans="1:26" ht="12.75" customHeight="1" x14ac:dyDescent="0.2">
      <c r="A41989" s="258"/>
      <c r="Z41989" s="258"/>
    </row>
    <row r="41990" spans="1:26" ht="12.75" customHeight="1" x14ac:dyDescent="0.2">
      <c r="A41990" s="258"/>
      <c r="Z41990" s="258"/>
    </row>
    <row r="41991" spans="1:26" ht="12.75" customHeight="1" x14ac:dyDescent="0.2">
      <c r="A41991" s="258"/>
      <c r="Z41991" s="258"/>
    </row>
    <row r="41992" spans="1:26" ht="12.75" customHeight="1" x14ac:dyDescent="0.2">
      <c r="A41992" s="258"/>
      <c r="Z41992" s="258"/>
    </row>
    <row r="41993" spans="1:26" ht="12.75" customHeight="1" x14ac:dyDescent="0.2">
      <c r="A41993" s="258"/>
      <c r="Z41993" s="258"/>
    </row>
    <row r="41994" spans="1:26" ht="12.75" customHeight="1" x14ac:dyDescent="0.2">
      <c r="A41994" s="258"/>
      <c r="Z41994" s="258"/>
    </row>
    <row r="41995" spans="1:26" ht="12.75" customHeight="1" x14ac:dyDescent="0.2">
      <c r="A41995" s="258"/>
      <c r="Z41995" s="258"/>
    </row>
    <row r="41996" spans="1:26" ht="12.75" customHeight="1" x14ac:dyDescent="0.2">
      <c r="A41996" s="258"/>
      <c r="Z41996" s="258"/>
    </row>
    <row r="41997" spans="1:26" ht="12.75" customHeight="1" x14ac:dyDescent="0.2">
      <c r="A41997" s="258"/>
      <c r="Z41997" s="258"/>
    </row>
    <row r="41998" spans="1:26" ht="12.75" customHeight="1" x14ac:dyDescent="0.2">
      <c r="A41998" s="258"/>
      <c r="Z41998" s="258"/>
    </row>
    <row r="41999" spans="1:26" ht="12.75" customHeight="1" x14ac:dyDescent="0.2">
      <c r="A41999" s="258"/>
      <c r="Z41999" s="258"/>
    </row>
    <row r="42000" spans="1:26" ht="12.75" customHeight="1" x14ac:dyDescent="0.2">
      <c r="A42000" s="258"/>
      <c r="Z42000" s="258"/>
    </row>
    <row r="42001" spans="1:26" ht="12.75" customHeight="1" x14ac:dyDescent="0.2">
      <c r="A42001" s="258"/>
      <c r="Z42001" s="258"/>
    </row>
    <row r="42002" spans="1:26" ht="12.75" customHeight="1" x14ac:dyDescent="0.2">
      <c r="A42002" s="258"/>
      <c r="Z42002" s="258"/>
    </row>
    <row r="42003" spans="1:26" ht="12.75" customHeight="1" x14ac:dyDescent="0.2">
      <c r="A42003" s="258"/>
      <c r="Z42003" s="258"/>
    </row>
    <row r="42004" spans="1:26" ht="12.75" customHeight="1" x14ac:dyDescent="0.2">
      <c r="A42004" s="258"/>
      <c r="Z42004" s="258"/>
    </row>
    <row r="42005" spans="1:26" ht="12.75" customHeight="1" x14ac:dyDescent="0.2">
      <c r="A42005" s="258"/>
      <c r="Z42005" s="258"/>
    </row>
    <row r="42006" spans="1:26" ht="12.75" customHeight="1" x14ac:dyDescent="0.2">
      <c r="A42006" s="258"/>
      <c r="Z42006" s="258"/>
    </row>
    <row r="42007" spans="1:26" ht="12.75" customHeight="1" x14ac:dyDescent="0.2">
      <c r="A42007" s="258"/>
      <c r="Z42007" s="258"/>
    </row>
    <row r="42008" spans="1:26" ht="12.75" customHeight="1" x14ac:dyDescent="0.2">
      <c r="A42008" s="258"/>
      <c r="Z42008" s="258"/>
    </row>
    <row r="42009" spans="1:26" ht="12.75" customHeight="1" x14ac:dyDescent="0.2">
      <c r="A42009" s="258"/>
      <c r="Z42009" s="258"/>
    </row>
    <row r="42010" spans="1:26" ht="12.75" customHeight="1" x14ac:dyDescent="0.2">
      <c r="A42010" s="258"/>
      <c r="Z42010" s="258"/>
    </row>
    <row r="42011" spans="1:26" ht="12.75" customHeight="1" x14ac:dyDescent="0.2">
      <c r="A42011" s="258"/>
      <c r="Z42011" s="258"/>
    </row>
    <row r="42012" spans="1:26" ht="12.75" customHeight="1" x14ac:dyDescent="0.2">
      <c r="A42012" s="258"/>
      <c r="Z42012" s="258"/>
    </row>
    <row r="42013" spans="1:26" ht="12.75" customHeight="1" x14ac:dyDescent="0.2">
      <c r="A42013" s="258"/>
      <c r="Z42013" s="258"/>
    </row>
    <row r="42014" spans="1:26" ht="12.75" customHeight="1" x14ac:dyDescent="0.2">
      <c r="A42014" s="258"/>
      <c r="Z42014" s="258"/>
    </row>
    <row r="42015" spans="1:26" ht="12.75" customHeight="1" x14ac:dyDescent="0.2">
      <c r="A42015" s="258"/>
      <c r="Z42015" s="258"/>
    </row>
    <row r="42016" spans="1:26" ht="12.75" customHeight="1" x14ac:dyDescent="0.2">
      <c r="A42016" s="258"/>
      <c r="Z42016" s="258"/>
    </row>
    <row r="42017" spans="1:26" ht="12.75" customHeight="1" x14ac:dyDescent="0.2">
      <c r="A42017" s="258"/>
      <c r="Z42017" s="258"/>
    </row>
    <row r="42018" spans="1:26" ht="12.75" customHeight="1" x14ac:dyDescent="0.2">
      <c r="A42018" s="258"/>
      <c r="Z42018" s="258"/>
    </row>
    <row r="42019" spans="1:26" ht="12.75" customHeight="1" x14ac:dyDescent="0.2">
      <c r="A42019" s="258"/>
      <c r="Z42019" s="258"/>
    </row>
    <row r="42020" spans="1:26" ht="12.75" customHeight="1" x14ac:dyDescent="0.2">
      <c r="A42020" s="258"/>
      <c r="Z42020" s="258"/>
    </row>
    <row r="42021" spans="1:26" ht="12.75" customHeight="1" x14ac:dyDescent="0.2">
      <c r="A42021" s="258"/>
      <c r="Z42021" s="258"/>
    </row>
    <row r="42022" spans="1:26" ht="12.75" customHeight="1" x14ac:dyDescent="0.2">
      <c r="A42022" s="258"/>
      <c r="Z42022" s="258"/>
    </row>
    <row r="42023" spans="1:26" ht="12.75" customHeight="1" x14ac:dyDescent="0.2">
      <c r="A42023" s="258"/>
      <c r="Z42023" s="258"/>
    </row>
    <row r="42024" spans="1:26" ht="12.75" customHeight="1" x14ac:dyDescent="0.2">
      <c r="A42024" s="258"/>
      <c r="Z42024" s="258"/>
    </row>
    <row r="42025" spans="1:26" ht="12.75" customHeight="1" x14ac:dyDescent="0.2">
      <c r="A42025" s="258"/>
      <c r="Z42025" s="258"/>
    </row>
    <row r="42026" spans="1:26" ht="12.75" customHeight="1" x14ac:dyDescent="0.2">
      <c r="A42026" s="258"/>
      <c r="Z42026" s="258"/>
    </row>
    <row r="42027" spans="1:26" ht="12.75" customHeight="1" x14ac:dyDescent="0.2">
      <c r="A42027" s="258"/>
      <c r="Z42027" s="258"/>
    </row>
    <row r="42028" spans="1:26" ht="12.75" customHeight="1" x14ac:dyDescent="0.2">
      <c r="A42028" s="258"/>
      <c r="Z42028" s="258"/>
    </row>
    <row r="42029" spans="1:26" ht="12.75" customHeight="1" x14ac:dyDescent="0.2">
      <c r="A42029" s="258"/>
      <c r="Z42029" s="258"/>
    </row>
    <row r="42030" spans="1:26" ht="12.75" customHeight="1" x14ac:dyDescent="0.2">
      <c r="A42030" s="258"/>
      <c r="Z42030" s="258"/>
    </row>
    <row r="42031" spans="1:26" ht="12.75" customHeight="1" x14ac:dyDescent="0.2">
      <c r="A42031" s="258"/>
      <c r="Z42031" s="258"/>
    </row>
    <row r="42032" spans="1:26" ht="12.75" customHeight="1" x14ac:dyDescent="0.2">
      <c r="A42032" s="258"/>
      <c r="Z42032" s="258"/>
    </row>
    <row r="42033" spans="1:26" ht="12.75" customHeight="1" x14ac:dyDescent="0.2">
      <c r="A42033" s="258"/>
      <c r="Z42033" s="258"/>
    </row>
    <row r="42034" spans="1:26" ht="12.75" customHeight="1" x14ac:dyDescent="0.2">
      <c r="A42034" s="258"/>
      <c r="Z42034" s="258"/>
    </row>
    <row r="42035" spans="1:26" ht="12.75" customHeight="1" x14ac:dyDescent="0.2">
      <c r="A42035" s="258"/>
      <c r="Z42035" s="258"/>
    </row>
    <row r="42036" spans="1:26" ht="12.75" customHeight="1" x14ac:dyDescent="0.2">
      <c r="A42036" s="258"/>
      <c r="Z42036" s="258"/>
    </row>
    <row r="42037" spans="1:26" ht="12.75" customHeight="1" x14ac:dyDescent="0.2">
      <c r="A42037" s="258"/>
      <c r="Z42037" s="258"/>
    </row>
    <row r="42038" spans="1:26" ht="12.75" customHeight="1" x14ac:dyDescent="0.2">
      <c r="A42038" s="258"/>
      <c r="Z42038" s="258"/>
    </row>
    <row r="42039" spans="1:26" ht="12.75" customHeight="1" x14ac:dyDescent="0.2">
      <c r="A42039" s="258"/>
      <c r="Z42039" s="258"/>
    </row>
    <row r="42040" spans="1:26" ht="12.75" customHeight="1" x14ac:dyDescent="0.2">
      <c r="A42040" s="258"/>
      <c r="Z42040" s="258"/>
    </row>
    <row r="42041" spans="1:26" ht="12.75" customHeight="1" x14ac:dyDescent="0.2">
      <c r="A42041" s="258"/>
      <c r="Z42041" s="258"/>
    </row>
    <row r="42042" spans="1:26" ht="12.75" customHeight="1" x14ac:dyDescent="0.2">
      <c r="A42042" s="258"/>
      <c r="Z42042" s="258"/>
    </row>
    <row r="42043" spans="1:26" ht="12.75" customHeight="1" x14ac:dyDescent="0.2">
      <c r="A42043" s="258"/>
      <c r="Z42043" s="258"/>
    </row>
    <row r="42044" spans="1:26" ht="12.75" customHeight="1" x14ac:dyDescent="0.2">
      <c r="A42044" s="258"/>
      <c r="Z42044" s="258"/>
    </row>
    <row r="42045" spans="1:26" ht="12.75" customHeight="1" x14ac:dyDescent="0.2">
      <c r="A42045" s="258"/>
      <c r="Z42045" s="258"/>
    </row>
    <row r="42046" spans="1:26" ht="12.75" customHeight="1" x14ac:dyDescent="0.2">
      <c r="A42046" s="258"/>
      <c r="Z42046" s="258"/>
    </row>
    <row r="42047" spans="1:26" ht="12.75" customHeight="1" x14ac:dyDescent="0.2">
      <c r="A42047" s="258"/>
      <c r="Z42047" s="258"/>
    </row>
    <row r="42048" spans="1:26" ht="12.75" customHeight="1" x14ac:dyDescent="0.2">
      <c r="A42048" s="258"/>
      <c r="Z42048" s="258"/>
    </row>
    <row r="42049" spans="1:26" ht="12.75" customHeight="1" x14ac:dyDescent="0.2">
      <c r="A42049" s="258"/>
      <c r="Z42049" s="258"/>
    </row>
    <row r="42050" spans="1:26" ht="12.75" customHeight="1" x14ac:dyDescent="0.2">
      <c r="A42050" s="258"/>
      <c r="Z42050" s="258"/>
    </row>
    <row r="42051" spans="1:26" ht="12.75" customHeight="1" x14ac:dyDescent="0.2">
      <c r="A42051" s="258"/>
      <c r="Z42051" s="258"/>
    </row>
    <row r="42052" spans="1:26" ht="12.75" customHeight="1" x14ac:dyDescent="0.2">
      <c r="A42052" s="258"/>
      <c r="Z42052" s="258"/>
    </row>
    <row r="42053" spans="1:26" ht="12.75" customHeight="1" x14ac:dyDescent="0.2">
      <c r="A42053" s="258"/>
      <c r="Z42053" s="258"/>
    </row>
    <row r="42054" spans="1:26" ht="12.75" customHeight="1" x14ac:dyDescent="0.2">
      <c r="A42054" s="258"/>
      <c r="Z42054" s="258"/>
    </row>
    <row r="42055" spans="1:26" ht="12.75" customHeight="1" x14ac:dyDescent="0.2">
      <c r="A42055" s="258"/>
      <c r="Z42055" s="258"/>
    </row>
    <row r="42056" spans="1:26" ht="12.75" customHeight="1" x14ac:dyDescent="0.2">
      <c r="A42056" s="258"/>
      <c r="Z42056" s="258"/>
    </row>
    <row r="42057" spans="1:26" ht="12.75" customHeight="1" x14ac:dyDescent="0.2">
      <c r="A42057" s="258"/>
      <c r="Z42057" s="258"/>
    </row>
    <row r="42058" spans="1:26" ht="12.75" customHeight="1" x14ac:dyDescent="0.2">
      <c r="A42058" s="258"/>
      <c r="Z42058" s="258"/>
    </row>
    <row r="42059" spans="1:26" ht="12.75" customHeight="1" x14ac:dyDescent="0.2">
      <c r="A42059" s="258"/>
      <c r="Z42059" s="258"/>
    </row>
    <row r="42060" spans="1:26" ht="12.75" customHeight="1" x14ac:dyDescent="0.2">
      <c r="A42060" s="258"/>
      <c r="Z42060" s="258"/>
    </row>
    <row r="42061" spans="1:26" ht="12.75" customHeight="1" x14ac:dyDescent="0.2">
      <c r="A42061" s="258"/>
      <c r="Z42061" s="258"/>
    </row>
    <row r="42062" spans="1:26" ht="12.75" customHeight="1" x14ac:dyDescent="0.2">
      <c r="A42062" s="258"/>
      <c r="Z42062" s="258"/>
    </row>
    <row r="42063" spans="1:26" ht="12.75" customHeight="1" x14ac:dyDescent="0.2">
      <c r="A42063" s="258"/>
      <c r="Z42063" s="258"/>
    </row>
    <row r="42064" spans="1:26" ht="12.75" customHeight="1" x14ac:dyDescent="0.2">
      <c r="A42064" s="258"/>
      <c r="Z42064" s="258"/>
    </row>
    <row r="42065" spans="1:26" ht="12.75" customHeight="1" x14ac:dyDescent="0.2">
      <c r="A42065" s="258"/>
      <c r="Z42065" s="258"/>
    </row>
    <row r="42066" spans="1:26" ht="12.75" customHeight="1" x14ac:dyDescent="0.2">
      <c r="A42066" s="258"/>
      <c r="Z42066" s="258"/>
    </row>
    <row r="42067" spans="1:26" ht="12.75" customHeight="1" x14ac:dyDescent="0.2">
      <c r="A42067" s="258"/>
      <c r="Z42067" s="258"/>
    </row>
    <row r="42068" spans="1:26" ht="12.75" customHeight="1" x14ac:dyDescent="0.2">
      <c r="A42068" s="258"/>
      <c r="Z42068" s="258"/>
    </row>
    <row r="42069" spans="1:26" ht="12.75" customHeight="1" x14ac:dyDescent="0.2">
      <c r="A42069" s="258"/>
      <c r="Z42069" s="258"/>
    </row>
    <row r="42070" spans="1:26" ht="12.75" customHeight="1" x14ac:dyDescent="0.2">
      <c r="A42070" s="258"/>
      <c r="Z42070" s="258"/>
    </row>
    <row r="42071" spans="1:26" ht="12.75" customHeight="1" x14ac:dyDescent="0.2">
      <c r="A42071" s="258"/>
      <c r="Z42071" s="258"/>
    </row>
    <row r="42072" spans="1:26" ht="12.75" customHeight="1" x14ac:dyDescent="0.2">
      <c r="A42072" s="258"/>
      <c r="Z42072" s="258"/>
    </row>
    <row r="42073" spans="1:26" ht="12.75" customHeight="1" x14ac:dyDescent="0.2">
      <c r="A42073" s="258"/>
      <c r="Z42073" s="258"/>
    </row>
    <row r="42074" spans="1:26" ht="12.75" customHeight="1" x14ac:dyDescent="0.2">
      <c r="A42074" s="258"/>
      <c r="Z42074" s="258"/>
    </row>
    <row r="42075" spans="1:26" ht="12.75" customHeight="1" x14ac:dyDescent="0.2">
      <c r="A42075" s="258"/>
      <c r="Z42075" s="258"/>
    </row>
    <row r="42076" spans="1:26" ht="12.75" customHeight="1" x14ac:dyDescent="0.2">
      <c r="A42076" s="258"/>
      <c r="Z42076" s="258"/>
    </row>
    <row r="42077" spans="1:26" ht="12.75" customHeight="1" x14ac:dyDescent="0.2">
      <c r="A42077" s="258"/>
      <c r="Z42077" s="258"/>
    </row>
    <row r="42078" spans="1:26" ht="12.75" customHeight="1" x14ac:dyDescent="0.2">
      <c r="A42078" s="258"/>
      <c r="Z42078" s="258"/>
    </row>
    <row r="42079" spans="1:26" ht="12.75" customHeight="1" x14ac:dyDescent="0.2">
      <c r="A42079" s="258"/>
      <c r="Z42079" s="258"/>
    </row>
    <row r="42080" spans="1:26" ht="12.75" customHeight="1" x14ac:dyDescent="0.2">
      <c r="A42080" s="258"/>
      <c r="Z42080" s="258"/>
    </row>
    <row r="42081" spans="1:26" ht="12.75" customHeight="1" x14ac:dyDescent="0.2">
      <c r="A42081" s="258"/>
      <c r="Z42081" s="258"/>
    </row>
    <row r="42082" spans="1:26" ht="12.75" customHeight="1" x14ac:dyDescent="0.2">
      <c r="A42082" s="258"/>
      <c r="Z42082" s="258"/>
    </row>
    <row r="42083" spans="1:26" ht="12.75" customHeight="1" x14ac:dyDescent="0.2">
      <c r="A42083" s="258"/>
      <c r="Z42083" s="258"/>
    </row>
    <row r="42084" spans="1:26" ht="12.75" customHeight="1" x14ac:dyDescent="0.2">
      <c r="A42084" s="258"/>
      <c r="Z42084" s="258"/>
    </row>
    <row r="42085" spans="1:26" ht="12.75" customHeight="1" x14ac:dyDescent="0.2">
      <c r="A42085" s="258"/>
      <c r="Z42085" s="258"/>
    </row>
    <row r="42086" spans="1:26" ht="12.75" customHeight="1" x14ac:dyDescent="0.2">
      <c r="A42086" s="258"/>
      <c r="Z42086" s="258"/>
    </row>
    <row r="42087" spans="1:26" ht="12.75" customHeight="1" x14ac:dyDescent="0.2">
      <c r="A42087" s="258"/>
      <c r="Z42087" s="258"/>
    </row>
    <row r="42088" spans="1:26" ht="12.75" customHeight="1" x14ac:dyDescent="0.2">
      <c r="A42088" s="258"/>
      <c r="Z42088" s="258"/>
    </row>
    <row r="42089" spans="1:26" ht="12.75" customHeight="1" x14ac:dyDescent="0.2">
      <c r="A42089" s="258"/>
      <c r="Z42089" s="258"/>
    </row>
    <row r="42090" spans="1:26" ht="12.75" customHeight="1" x14ac:dyDescent="0.2">
      <c r="A42090" s="258"/>
      <c r="Z42090" s="258"/>
    </row>
    <row r="42091" spans="1:26" ht="12.75" customHeight="1" x14ac:dyDescent="0.2">
      <c r="A42091" s="258"/>
      <c r="Z42091" s="258"/>
    </row>
    <row r="42092" spans="1:26" ht="12.75" customHeight="1" x14ac:dyDescent="0.2">
      <c r="A42092" s="258"/>
      <c r="Z42092" s="258"/>
    </row>
    <row r="42093" spans="1:26" ht="12.75" customHeight="1" x14ac:dyDescent="0.2">
      <c r="A42093" s="258"/>
      <c r="Z42093" s="258"/>
    </row>
    <row r="42094" spans="1:26" ht="12.75" customHeight="1" x14ac:dyDescent="0.2">
      <c r="A42094" s="258"/>
      <c r="Z42094" s="258"/>
    </row>
    <row r="42095" spans="1:26" ht="12.75" customHeight="1" x14ac:dyDescent="0.2">
      <c r="A42095" s="258"/>
      <c r="Z42095" s="258"/>
    </row>
    <row r="42096" spans="1:26" ht="12.75" customHeight="1" x14ac:dyDescent="0.2">
      <c r="A42096" s="258"/>
      <c r="Z42096" s="258"/>
    </row>
    <row r="42097" spans="1:26" ht="12.75" customHeight="1" x14ac:dyDescent="0.2">
      <c r="A42097" s="258"/>
      <c r="Z42097" s="258"/>
    </row>
    <row r="42098" spans="1:26" ht="12.75" customHeight="1" x14ac:dyDescent="0.2">
      <c r="A42098" s="258"/>
      <c r="Z42098" s="258"/>
    </row>
    <row r="42099" spans="1:26" ht="12.75" customHeight="1" x14ac:dyDescent="0.2">
      <c r="A42099" s="258"/>
      <c r="Z42099" s="258"/>
    </row>
    <row r="42100" spans="1:26" ht="12.75" customHeight="1" x14ac:dyDescent="0.2">
      <c r="A42100" s="258"/>
      <c r="Z42100" s="258"/>
    </row>
    <row r="42101" spans="1:26" ht="12.75" customHeight="1" x14ac:dyDescent="0.2">
      <c r="A42101" s="258"/>
      <c r="Z42101" s="258"/>
    </row>
    <row r="42102" spans="1:26" ht="12.75" customHeight="1" x14ac:dyDescent="0.2">
      <c r="A42102" s="258"/>
      <c r="Z42102" s="258"/>
    </row>
    <row r="42103" spans="1:26" ht="12.75" customHeight="1" x14ac:dyDescent="0.2">
      <c r="A42103" s="258"/>
      <c r="Z42103" s="258"/>
    </row>
    <row r="42104" spans="1:26" ht="12.75" customHeight="1" x14ac:dyDescent="0.2">
      <c r="A42104" s="258"/>
      <c r="Z42104" s="258"/>
    </row>
    <row r="42105" spans="1:26" ht="12.75" customHeight="1" x14ac:dyDescent="0.2">
      <c r="A42105" s="258"/>
      <c r="Z42105" s="258"/>
    </row>
    <row r="42106" spans="1:26" ht="12.75" customHeight="1" x14ac:dyDescent="0.2">
      <c r="A42106" s="258"/>
      <c r="Z42106" s="258"/>
    </row>
    <row r="42107" spans="1:26" ht="12.75" customHeight="1" x14ac:dyDescent="0.2">
      <c r="A42107" s="258"/>
      <c r="Z42107" s="258"/>
    </row>
    <row r="42108" spans="1:26" ht="12.75" customHeight="1" x14ac:dyDescent="0.2">
      <c r="A42108" s="258"/>
      <c r="Z42108" s="258"/>
    </row>
    <row r="42109" spans="1:26" ht="12.75" customHeight="1" x14ac:dyDescent="0.2">
      <c r="A42109" s="258"/>
      <c r="Z42109" s="258"/>
    </row>
    <row r="42110" spans="1:26" ht="12.75" customHeight="1" x14ac:dyDescent="0.2">
      <c r="A42110" s="258"/>
      <c r="Z42110" s="258"/>
    </row>
    <row r="42111" spans="1:26" ht="12.75" customHeight="1" x14ac:dyDescent="0.2">
      <c r="A42111" s="258"/>
      <c r="Z42111" s="258"/>
    </row>
    <row r="42112" spans="1:26" ht="12.75" customHeight="1" x14ac:dyDescent="0.2">
      <c r="A42112" s="258"/>
      <c r="Z42112" s="258"/>
    </row>
    <row r="42113" spans="1:26" ht="12.75" customHeight="1" x14ac:dyDescent="0.2">
      <c r="A42113" s="258"/>
      <c r="Z42113" s="258"/>
    </row>
    <row r="42114" spans="1:26" ht="12.75" customHeight="1" x14ac:dyDescent="0.2">
      <c r="A42114" s="258"/>
      <c r="Z42114" s="258"/>
    </row>
    <row r="42115" spans="1:26" ht="12.75" customHeight="1" x14ac:dyDescent="0.2">
      <c r="A42115" s="258"/>
      <c r="Z42115" s="258"/>
    </row>
    <row r="42116" spans="1:26" ht="12.75" customHeight="1" x14ac:dyDescent="0.2">
      <c r="A42116" s="258"/>
      <c r="Z42116" s="258"/>
    </row>
    <row r="42117" spans="1:26" ht="12.75" customHeight="1" x14ac:dyDescent="0.2">
      <c r="A42117" s="258"/>
      <c r="Z42117" s="258"/>
    </row>
    <row r="42118" spans="1:26" ht="12.75" customHeight="1" x14ac:dyDescent="0.2">
      <c r="A42118" s="258"/>
      <c r="Z42118" s="258"/>
    </row>
    <row r="42119" spans="1:26" ht="12.75" customHeight="1" x14ac:dyDescent="0.2">
      <c r="A42119" s="258"/>
      <c r="Z42119" s="258"/>
    </row>
    <row r="42120" spans="1:26" ht="12.75" customHeight="1" x14ac:dyDescent="0.2">
      <c r="A42120" s="258"/>
      <c r="Z42120" s="258"/>
    </row>
    <row r="42121" spans="1:26" ht="12.75" customHeight="1" x14ac:dyDescent="0.2">
      <c r="A42121" s="258"/>
      <c r="Z42121" s="258"/>
    </row>
    <row r="42122" spans="1:26" ht="12.75" customHeight="1" x14ac:dyDescent="0.2">
      <c r="A42122" s="258"/>
      <c r="Z42122" s="258"/>
    </row>
    <row r="42123" spans="1:26" ht="12.75" customHeight="1" x14ac:dyDescent="0.2">
      <c r="A42123" s="258"/>
      <c r="Z42123" s="258"/>
    </row>
    <row r="42124" spans="1:26" ht="12.75" customHeight="1" x14ac:dyDescent="0.2">
      <c r="A42124" s="258"/>
      <c r="Z42124" s="258"/>
    </row>
    <row r="42125" spans="1:26" ht="12.75" customHeight="1" x14ac:dyDescent="0.2">
      <c r="A42125" s="258"/>
      <c r="Z42125" s="258"/>
    </row>
    <row r="42126" spans="1:26" ht="12.75" customHeight="1" x14ac:dyDescent="0.2">
      <c r="A42126" s="258"/>
      <c r="Z42126" s="258"/>
    </row>
    <row r="42127" spans="1:26" ht="12.75" customHeight="1" x14ac:dyDescent="0.2">
      <c r="A42127" s="258"/>
      <c r="Z42127" s="258"/>
    </row>
    <row r="42128" spans="1:26" ht="12.75" customHeight="1" x14ac:dyDescent="0.2">
      <c r="A42128" s="258"/>
      <c r="Z42128" s="258"/>
    </row>
    <row r="42129" spans="1:26" ht="12.75" customHeight="1" x14ac:dyDescent="0.2">
      <c r="A42129" s="258"/>
      <c r="Z42129" s="258"/>
    </row>
    <row r="42130" spans="1:26" ht="12.75" customHeight="1" x14ac:dyDescent="0.2">
      <c r="A42130" s="258"/>
      <c r="Z42130" s="258"/>
    </row>
    <row r="42131" spans="1:26" ht="12.75" customHeight="1" x14ac:dyDescent="0.2">
      <c r="A42131" s="258"/>
      <c r="Z42131" s="258"/>
    </row>
    <row r="42132" spans="1:26" ht="12.75" customHeight="1" x14ac:dyDescent="0.2">
      <c r="A42132" s="258"/>
      <c r="Z42132" s="258"/>
    </row>
    <row r="42133" spans="1:26" ht="12.75" customHeight="1" x14ac:dyDescent="0.2">
      <c r="A42133" s="258"/>
      <c r="Z42133" s="258"/>
    </row>
    <row r="42134" spans="1:26" ht="12.75" customHeight="1" x14ac:dyDescent="0.2">
      <c r="A42134" s="258"/>
      <c r="Z42134" s="258"/>
    </row>
    <row r="42135" spans="1:26" ht="12.75" customHeight="1" x14ac:dyDescent="0.2">
      <c r="A42135" s="258"/>
      <c r="Z42135" s="258"/>
    </row>
    <row r="42136" spans="1:26" ht="12.75" customHeight="1" x14ac:dyDescent="0.2">
      <c r="A42136" s="258"/>
      <c r="Z42136" s="258"/>
    </row>
    <row r="42137" spans="1:26" ht="12.75" customHeight="1" x14ac:dyDescent="0.2">
      <c r="A42137" s="258"/>
      <c r="Z42137" s="258"/>
    </row>
    <row r="42138" spans="1:26" ht="12.75" customHeight="1" x14ac:dyDescent="0.2">
      <c r="A42138" s="258"/>
      <c r="Z42138" s="258"/>
    </row>
    <row r="42139" spans="1:26" ht="12.75" customHeight="1" x14ac:dyDescent="0.2">
      <c r="A42139" s="258"/>
      <c r="Z42139" s="258"/>
    </row>
    <row r="42140" spans="1:26" ht="12.75" customHeight="1" x14ac:dyDescent="0.2">
      <c r="A42140" s="258"/>
      <c r="Z42140" s="258"/>
    </row>
    <row r="42141" spans="1:26" ht="12.75" customHeight="1" x14ac:dyDescent="0.2">
      <c r="A42141" s="258"/>
      <c r="Z42141" s="258"/>
    </row>
    <row r="42142" spans="1:26" ht="12.75" customHeight="1" x14ac:dyDescent="0.2">
      <c r="A42142" s="258"/>
      <c r="Z42142" s="258"/>
    </row>
    <row r="42143" spans="1:26" ht="12.75" customHeight="1" x14ac:dyDescent="0.2">
      <c r="A42143" s="258"/>
      <c r="Z42143" s="258"/>
    </row>
    <row r="42144" spans="1:26" ht="12.75" customHeight="1" x14ac:dyDescent="0.2">
      <c r="A42144" s="258"/>
      <c r="Z42144" s="258"/>
    </row>
    <row r="42145" spans="1:26" ht="12.75" customHeight="1" x14ac:dyDescent="0.2">
      <c r="A42145" s="258"/>
      <c r="Z42145" s="258"/>
    </row>
    <row r="42146" spans="1:26" ht="12.75" customHeight="1" x14ac:dyDescent="0.2">
      <c r="A42146" s="258"/>
      <c r="Z42146" s="258"/>
    </row>
    <row r="42147" spans="1:26" ht="12.75" customHeight="1" x14ac:dyDescent="0.2">
      <c r="A42147" s="258"/>
      <c r="Z42147" s="258"/>
    </row>
    <row r="42148" spans="1:26" ht="12.75" customHeight="1" x14ac:dyDescent="0.2">
      <c r="A42148" s="258"/>
      <c r="Z42148" s="258"/>
    </row>
    <row r="42149" spans="1:26" ht="12.75" customHeight="1" x14ac:dyDescent="0.2">
      <c r="A42149" s="258"/>
      <c r="Z42149" s="258"/>
    </row>
    <row r="42150" spans="1:26" ht="12.75" customHeight="1" x14ac:dyDescent="0.2">
      <c r="A42150" s="258"/>
      <c r="Z42150" s="258"/>
    </row>
    <row r="42151" spans="1:26" ht="12.75" customHeight="1" x14ac:dyDescent="0.2">
      <c r="A42151" s="258"/>
      <c r="Z42151" s="258"/>
    </row>
    <row r="42152" spans="1:26" ht="12.75" customHeight="1" x14ac:dyDescent="0.2">
      <c r="A42152" s="258"/>
      <c r="Z42152" s="258"/>
    </row>
    <row r="42153" spans="1:26" ht="12.75" customHeight="1" x14ac:dyDescent="0.2">
      <c r="A42153" s="258"/>
      <c r="Z42153" s="258"/>
    </row>
    <row r="42154" spans="1:26" ht="12.75" customHeight="1" x14ac:dyDescent="0.2">
      <c r="A42154" s="258"/>
      <c r="Z42154" s="258"/>
    </row>
    <row r="42155" spans="1:26" ht="12.75" customHeight="1" x14ac:dyDescent="0.2">
      <c r="A42155" s="258"/>
      <c r="Z42155" s="258"/>
    </row>
    <row r="42156" spans="1:26" ht="12.75" customHeight="1" x14ac:dyDescent="0.2">
      <c r="A42156" s="258"/>
      <c r="Z42156" s="258"/>
    </row>
    <row r="42157" spans="1:26" ht="12.75" customHeight="1" x14ac:dyDescent="0.2">
      <c r="A42157" s="258"/>
      <c r="Z42157" s="258"/>
    </row>
    <row r="42158" spans="1:26" ht="12.75" customHeight="1" x14ac:dyDescent="0.2">
      <c r="A42158" s="258"/>
      <c r="Z42158" s="258"/>
    </row>
    <row r="42159" spans="1:26" ht="12.75" customHeight="1" x14ac:dyDescent="0.2">
      <c r="A42159" s="258"/>
      <c r="Z42159" s="258"/>
    </row>
    <row r="42160" spans="1:26" ht="12.75" customHeight="1" x14ac:dyDescent="0.2">
      <c r="A42160" s="258"/>
      <c r="Z42160" s="258"/>
    </row>
    <row r="42161" spans="1:26" ht="12.75" customHeight="1" x14ac:dyDescent="0.2">
      <c r="A42161" s="258"/>
      <c r="Z42161" s="258"/>
    </row>
    <row r="42162" spans="1:26" ht="12.75" customHeight="1" x14ac:dyDescent="0.2">
      <c r="A42162" s="258"/>
      <c r="Z42162" s="258"/>
    </row>
    <row r="42163" spans="1:26" ht="12.75" customHeight="1" x14ac:dyDescent="0.2">
      <c r="A42163" s="258"/>
      <c r="Z42163" s="258"/>
    </row>
    <row r="42164" spans="1:26" ht="12.75" customHeight="1" x14ac:dyDescent="0.2">
      <c r="A42164" s="258"/>
      <c r="Z42164" s="258"/>
    </row>
    <row r="42165" spans="1:26" ht="12.75" customHeight="1" x14ac:dyDescent="0.2">
      <c r="A42165" s="258"/>
      <c r="Z42165" s="258"/>
    </row>
    <row r="42166" spans="1:26" ht="12.75" customHeight="1" x14ac:dyDescent="0.2">
      <c r="A42166" s="258"/>
      <c r="Z42166" s="258"/>
    </row>
    <row r="42167" spans="1:26" ht="12.75" customHeight="1" x14ac:dyDescent="0.2">
      <c r="A42167" s="258"/>
      <c r="Z42167" s="258"/>
    </row>
    <row r="42168" spans="1:26" ht="12.75" customHeight="1" x14ac:dyDescent="0.2">
      <c r="A42168" s="258"/>
      <c r="Z42168" s="258"/>
    </row>
    <row r="42169" spans="1:26" ht="12.75" customHeight="1" x14ac:dyDescent="0.2">
      <c r="A42169" s="258"/>
      <c r="Z42169" s="258"/>
    </row>
    <row r="42170" spans="1:26" ht="12.75" customHeight="1" x14ac:dyDescent="0.2">
      <c r="A42170" s="258"/>
      <c r="Z42170" s="258"/>
    </row>
    <row r="42171" spans="1:26" ht="12.75" customHeight="1" x14ac:dyDescent="0.2">
      <c r="A42171" s="258"/>
      <c r="Z42171" s="258"/>
    </row>
    <row r="42172" spans="1:26" ht="12.75" customHeight="1" x14ac:dyDescent="0.2">
      <c r="A42172" s="258"/>
      <c r="Z42172" s="258"/>
    </row>
    <row r="42173" spans="1:26" ht="12.75" customHeight="1" x14ac:dyDescent="0.2">
      <c r="A42173" s="258"/>
      <c r="Z42173" s="258"/>
    </row>
    <row r="42174" spans="1:26" ht="12.75" customHeight="1" x14ac:dyDescent="0.2">
      <c r="A42174" s="258"/>
      <c r="Z42174" s="258"/>
    </row>
    <row r="42175" spans="1:26" ht="12.75" customHeight="1" x14ac:dyDescent="0.2">
      <c r="A42175" s="258"/>
      <c r="Z42175" s="258"/>
    </row>
    <row r="42176" spans="1:26" ht="12.75" customHeight="1" x14ac:dyDescent="0.2">
      <c r="A42176" s="258"/>
      <c r="Z42176" s="258"/>
    </row>
    <row r="42177" spans="1:26" ht="12.75" customHeight="1" x14ac:dyDescent="0.2">
      <c r="A42177" s="258"/>
      <c r="Z42177" s="258"/>
    </row>
    <row r="42178" spans="1:26" ht="12.75" customHeight="1" x14ac:dyDescent="0.2">
      <c r="A42178" s="258"/>
      <c r="Z42178" s="258"/>
    </row>
    <row r="42179" spans="1:26" ht="12.75" customHeight="1" x14ac:dyDescent="0.2">
      <c r="A42179" s="258"/>
      <c r="Z42179" s="258"/>
    </row>
    <row r="42180" spans="1:26" ht="12.75" customHeight="1" x14ac:dyDescent="0.2">
      <c r="A42180" s="258"/>
      <c r="Z42180" s="258"/>
    </row>
    <row r="42181" spans="1:26" ht="12.75" customHeight="1" x14ac:dyDescent="0.2">
      <c r="A42181" s="258"/>
      <c r="Z42181" s="258"/>
    </row>
    <row r="42182" spans="1:26" ht="12.75" customHeight="1" x14ac:dyDescent="0.2">
      <c r="A42182" s="258"/>
      <c r="Z42182" s="258"/>
    </row>
    <row r="42183" spans="1:26" ht="12.75" customHeight="1" x14ac:dyDescent="0.2">
      <c r="A42183" s="258"/>
      <c r="Z42183" s="258"/>
    </row>
    <row r="42184" spans="1:26" ht="12.75" customHeight="1" x14ac:dyDescent="0.2">
      <c r="A42184" s="258"/>
      <c r="Z42184" s="258"/>
    </row>
    <row r="42185" spans="1:26" ht="12.75" customHeight="1" x14ac:dyDescent="0.2">
      <c r="A42185" s="258"/>
      <c r="Z42185" s="258"/>
    </row>
    <row r="42186" spans="1:26" ht="12.75" customHeight="1" x14ac:dyDescent="0.2">
      <c r="A42186" s="258"/>
      <c r="Z42186" s="258"/>
    </row>
    <row r="42187" spans="1:26" ht="12.75" customHeight="1" x14ac:dyDescent="0.2">
      <c r="A42187" s="258"/>
      <c r="Z42187" s="258"/>
    </row>
    <row r="42188" spans="1:26" ht="12.75" customHeight="1" x14ac:dyDescent="0.2">
      <c r="A42188" s="258"/>
      <c r="Z42188" s="258"/>
    </row>
    <row r="42189" spans="1:26" ht="12.75" customHeight="1" x14ac:dyDescent="0.2">
      <c r="A42189" s="258"/>
      <c r="Z42189" s="258"/>
    </row>
    <row r="42190" spans="1:26" ht="12.75" customHeight="1" x14ac:dyDescent="0.2">
      <c r="A42190" s="258"/>
      <c r="Z42190" s="258"/>
    </row>
    <row r="42191" spans="1:26" ht="12.75" customHeight="1" x14ac:dyDescent="0.2">
      <c r="A42191" s="258"/>
      <c r="Z42191" s="258"/>
    </row>
    <row r="42192" spans="1:26" ht="12.75" customHeight="1" x14ac:dyDescent="0.2">
      <c r="A42192" s="258"/>
      <c r="Z42192" s="258"/>
    </row>
    <row r="42193" spans="1:26" ht="12.75" customHeight="1" x14ac:dyDescent="0.2">
      <c r="A42193" s="258"/>
      <c r="Z42193" s="258"/>
    </row>
    <row r="42194" spans="1:26" ht="12.75" customHeight="1" x14ac:dyDescent="0.2">
      <c r="A42194" s="258"/>
      <c r="Z42194" s="258"/>
    </row>
    <row r="42195" spans="1:26" ht="12.75" customHeight="1" x14ac:dyDescent="0.2">
      <c r="A42195" s="258"/>
      <c r="Z42195" s="258"/>
    </row>
    <row r="42196" spans="1:26" ht="12.75" customHeight="1" x14ac:dyDescent="0.2">
      <c r="A42196" s="258"/>
      <c r="Z42196" s="258"/>
    </row>
    <row r="42197" spans="1:26" ht="12.75" customHeight="1" x14ac:dyDescent="0.2">
      <c r="A42197" s="258"/>
      <c r="Z42197" s="258"/>
    </row>
    <row r="42198" spans="1:26" ht="12.75" customHeight="1" x14ac:dyDescent="0.2">
      <c r="A42198" s="258"/>
      <c r="Z42198" s="258"/>
    </row>
    <row r="42199" spans="1:26" ht="12.75" customHeight="1" x14ac:dyDescent="0.2">
      <c r="A42199" s="258"/>
      <c r="Z42199" s="258"/>
    </row>
    <row r="42200" spans="1:26" ht="12.75" customHeight="1" x14ac:dyDescent="0.2">
      <c r="A42200" s="258"/>
      <c r="Z42200" s="258"/>
    </row>
    <row r="42201" spans="1:26" ht="12.75" customHeight="1" x14ac:dyDescent="0.2">
      <c r="A42201" s="258"/>
      <c r="Z42201" s="258"/>
    </row>
    <row r="42202" spans="1:26" ht="12.75" customHeight="1" x14ac:dyDescent="0.2">
      <c r="A42202" s="258"/>
      <c r="Z42202" s="258"/>
    </row>
    <row r="42203" spans="1:26" ht="12.75" customHeight="1" x14ac:dyDescent="0.2">
      <c r="A42203" s="258"/>
      <c r="Z42203" s="258"/>
    </row>
    <row r="42204" spans="1:26" ht="12.75" customHeight="1" x14ac:dyDescent="0.2">
      <c r="A42204" s="258"/>
      <c r="Z42204" s="258"/>
    </row>
    <row r="42205" spans="1:26" ht="12.75" customHeight="1" x14ac:dyDescent="0.2">
      <c r="A42205" s="258"/>
      <c r="Z42205" s="258"/>
    </row>
    <row r="42206" spans="1:26" ht="12.75" customHeight="1" x14ac:dyDescent="0.2">
      <c r="A42206" s="258"/>
      <c r="Z42206" s="258"/>
    </row>
    <row r="42207" spans="1:26" ht="12.75" customHeight="1" x14ac:dyDescent="0.2">
      <c r="A42207" s="258"/>
      <c r="Z42207" s="258"/>
    </row>
    <row r="42208" spans="1:26" ht="12.75" customHeight="1" x14ac:dyDescent="0.2">
      <c r="A42208" s="258"/>
      <c r="Z42208" s="258"/>
    </row>
    <row r="42209" spans="1:26" ht="12.75" customHeight="1" x14ac:dyDescent="0.2">
      <c r="A42209" s="258"/>
      <c r="Z42209" s="258"/>
    </row>
    <row r="42210" spans="1:26" ht="12.75" customHeight="1" x14ac:dyDescent="0.2">
      <c r="A42210" s="258"/>
      <c r="Z42210" s="258"/>
    </row>
    <row r="42211" spans="1:26" ht="12.75" customHeight="1" x14ac:dyDescent="0.2">
      <c r="A42211" s="258"/>
      <c r="Z42211" s="258"/>
    </row>
    <row r="42212" spans="1:26" ht="12.75" customHeight="1" x14ac:dyDescent="0.2">
      <c r="A42212" s="258"/>
      <c r="Z42212" s="258"/>
    </row>
    <row r="42213" spans="1:26" ht="12.75" customHeight="1" x14ac:dyDescent="0.2">
      <c r="A42213" s="258"/>
      <c r="Z42213" s="258"/>
    </row>
    <row r="42214" spans="1:26" ht="12.75" customHeight="1" x14ac:dyDescent="0.2">
      <c r="A42214" s="258"/>
      <c r="Z42214" s="258"/>
    </row>
    <row r="42215" spans="1:26" ht="12.75" customHeight="1" x14ac:dyDescent="0.2">
      <c r="A42215" s="258"/>
      <c r="Z42215" s="258"/>
    </row>
    <row r="42216" spans="1:26" ht="12.75" customHeight="1" x14ac:dyDescent="0.2">
      <c r="A42216" s="258"/>
      <c r="Z42216" s="258"/>
    </row>
    <row r="42217" spans="1:26" ht="12.75" customHeight="1" x14ac:dyDescent="0.2">
      <c r="A42217" s="258"/>
      <c r="Z42217" s="258"/>
    </row>
    <row r="42218" spans="1:26" ht="12.75" customHeight="1" x14ac:dyDescent="0.2">
      <c r="A42218" s="258"/>
      <c r="Z42218" s="258"/>
    </row>
    <row r="42219" spans="1:26" ht="12.75" customHeight="1" x14ac:dyDescent="0.2">
      <c r="A42219" s="258"/>
      <c r="Z42219" s="258"/>
    </row>
    <row r="42220" spans="1:26" ht="12.75" customHeight="1" x14ac:dyDescent="0.2">
      <c r="A42220" s="258"/>
      <c r="Z42220" s="258"/>
    </row>
    <row r="42221" spans="1:26" ht="12.75" customHeight="1" x14ac:dyDescent="0.2">
      <c r="A42221" s="258"/>
      <c r="Z42221" s="258"/>
    </row>
    <row r="42222" spans="1:26" ht="12.75" customHeight="1" x14ac:dyDescent="0.2">
      <c r="A42222" s="258"/>
      <c r="Z42222" s="258"/>
    </row>
    <row r="42223" spans="1:26" ht="12.75" customHeight="1" x14ac:dyDescent="0.2">
      <c r="A42223" s="258"/>
      <c r="Z42223" s="258"/>
    </row>
    <row r="42224" spans="1:26" ht="12.75" customHeight="1" x14ac:dyDescent="0.2">
      <c r="A42224" s="258"/>
      <c r="Z42224" s="258"/>
    </row>
    <row r="42225" spans="1:26" ht="12.75" customHeight="1" x14ac:dyDescent="0.2">
      <c r="A42225" s="258"/>
      <c r="Z42225" s="258"/>
    </row>
    <row r="42226" spans="1:26" ht="12.75" customHeight="1" x14ac:dyDescent="0.2">
      <c r="A42226" s="258"/>
      <c r="Z42226" s="258"/>
    </row>
    <row r="42227" spans="1:26" ht="12.75" customHeight="1" x14ac:dyDescent="0.2">
      <c r="A42227" s="258"/>
      <c r="Z42227" s="258"/>
    </row>
    <row r="42228" spans="1:26" ht="12.75" customHeight="1" x14ac:dyDescent="0.2">
      <c r="A42228" s="258"/>
      <c r="Z42228" s="258"/>
    </row>
    <row r="42229" spans="1:26" ht="12.75" customHeight="1" x14ac:dyDescent="0.2">
      <c r="A42229" s="258"/>
      <c r="Z42229" s="258"/>
    </row>
    <row r="42230" spans="1:26" ht="12.75" customHeight="1" x14ac:dyDescent="0.2">
      <c r="A42230" s="258"/>
      <c r="Z42230" s="258"/>
    </row>
    <row r="42231" spans="1:26" ht="12.75" customHeight="1" x14ac:dyDescent="0.2">
      <c r="A42231" s="258"/>
      <c r="Z42231" s="258"/>
    </row>
    <row r="42232" spans="1:26" ht="12.75" customHeight="1" x14ac:dyDescent="0.2">
      <c r="A42232" s="258"/>
      <c r="Z42232" s="258"/>
    </row>
    <row r="42233" spans="1:26" ht="12.75" customHeight="1" x14ac:dyDescent="0.2">
      <c r="A42233" s="258"/>
      <c r="Z42233" s="258"/>
    </row>
    <row r="42234" spans="1:26" ht="12.75" customHeight="1" x14ac:dyDescent="0.2">
      <c r="A42234" s="258"/>
      <c r="Z42234" s="258"/>
    </row>
    <row r="42235" spans="1:26" ht="12.75" customHeight="1" x14ac:dyDescent="0.2">
      <c r="A42235" s="258"/>
      <c r="Z42235" s="258"/>
    </row>
    <row r="42236" spans="1:26" ht="12.75" customHeight="1" x14ac:dyDescent="0.2">
      <c r="A42236" s="258"/>
      <c r="Z42236" s="258"/>
    </row>
    <row r="42237" spans="1:26" ht="12.75" customHeight="1" x14ac:dyDescent="0.2">
      <c r="A42237" s="258"/>
      <c r="Z42237" s="258"/>
    </row>
    <row r="42238" spans="1:26" ht="12.75" customHeight="1" x14ac:dyDescent="0.2">
      <c r="A42238" s="258"/>
      <c r="Z42238" s="258"/>
    </row>
    <row r="42239" spans="1:26" ht="12.75" customHeight="1" x14ac:dyDescent="0.2">
      <c r="A42239" s="258"/>
      <c r="Z42239" s="258"/>
    </row>
    <row r="42240" spans="1:26" ht="12.75" customHeight="1" x14ac:dyDescent="0.2">
      <c r="A42240" s="258"/>
      <c r="Z42240" s="258"/>
    </row>
    <row r="42241" spans="1:26" ht="12.75" customHeight="1" x14ac:dyDescent="0.2">
      <c r="A42241" s="258"/>
      <c r="Z42241" s="258"/>
    </row>
    <row r="42242" spans="1:26" ht="12.75" customHeight="1" x14ac:dyDescent="0.2">
      <c r="A42242" s="258"/>
      <c r="Z42242" s="258"/>
    </row>
    <row r="42243" spans="1:26" ht="12.75" customHeight="1" x14ac:dyDescent="0.2">
      <c r="A42243" s="258"/>
      <c r="Z42243" s="258"/>
    </row>
    <row r="42244" spans="1:26" ht="12.75" customHeight="1" x14ac:dyDescent="0.2">
      <c r="A42244" s="258"/>
      <c r="Z42244" s="258"/>
    </row>
    <row r="42245" spans="1:26" ht="12.75" customHeight="1" x14ac:dyDescent="0.2">
      <c r="A42245" s="258"/>
      <c r="Z42245" s="258"/>
    </row>
    <row r="42246" spans="1:26" ht="12.75" customHeight="1" x14ac:dyDescent="0.2">
      <c r="A42246" s="258"/>
      <c r="Z42246" s="258"/>
    </row>
    <row r="42247" spans="1:26" ht="12.75" customHeight="1" x14ac:dyDescent="0.2">
      <c r="A42247" s="258"/>
      <c r="Z42247" s="258"/>
    </row>
    <row r="42248" spans="1:26" ht="12.75" customHeight="1" x14ac:dyDescent="0.2">
      <c r="A42248" s="258"/>
      <c r="Z42248" s="258"/>
    </row>
    <row r="42249" spans="1:26" ht="12.75" customHeight="1" x14ac:dyDescent="0.2">
      <c r="A42249" s="258"/>
      <c r="Z42249" s="258"/>
    </row>
    <row r="42250" spans="1:26" ht="12.75" customHeight="1" x14ac:dyDescent="0.2">
      <c r="A42250" s="258"/>
      <c r="Z42250" s="258"/>
    </row>
    <row r="42251" spans="1:26" ht="12.75" customHeight="1" x14ac:dyDescent="0.2">
      <c r="A42251" s="258"/>
      <c r="Z42251" s="258"/>
    </row>
    <row r="42252" spans="1:26" ht="12.75" customHeight="1" x14ac:dyDescent="0.2">
      <c r="A42252" s="258"/>
      <c r="Z42252" s="258"/>
    </row>
    <row r="42253" spans="1:26" ht="12.75" customHeight="1" x14ac:dyDescent="0.2">
      <c r="A42253" s="258"/>
      <c r="Z42253" s="258"/>
    </row>
    <row r="42254" spans="1:26" ht="12.75" customHeight="1" x14ac:dyDescent="0.2">
      <c r="A42254" s="258"/>
      <c r="Z42254" s="258"/>
    </row>
    <row r="42255" spans="1:26" ht="12.75" customHeight="1" x14ac:dyDescent="0.2">
      <c r="A42255" s="258"/>
      <c r="Z42255" s="258"/>
    </row>
    <row r="42256" spans="1:26" ht="12.75" customHeight="1" x14ac:dyDescent="0.2">
      <c r="A42256" s="258"/>
      <c r="Z42256" s="258"/>
    </row>
    <row r="42257" spans="1:26" ht="12.75" customHeight="1" x14ac:dyDescent="0.2">
      <c r="A42257" s="258"/>
      <c r="Z42257" s="258"/>
    </row>
    <row r="42258" spans="1:26" ht="12.75" customHeight="1" x14ac:dyDescent="0.2">
      <c r="A42258" s="258"/>
      <c r="Z42258" s="258"/>
    </row>
    <row r="42259" spans="1:26" ht="12.75" customHeight="1" x14ac:dyDescent="0.2">
      <c r="A42259" s="258"/>
      <c r="Z42259" s="258"/>
    </row>
    <row r="42260" spans="1:26" ht="12.75" customHeight="1" x14ac:dyDescent="0.2">
      <c r="A42260" s="258"/>
      <c r="Z42260" s="258"/>
    </row>
    <row r="42261" spans="1:26" ht="12.75" customHeight="1" x14ac:dyDescent="0.2">
      <c r="A42261" s="258"/>
      <c r="Z42261" s="258"/>
    </row>
    <row r="42262" spans="1:26" ht="12.75" customHeight="1" x14ac:dyDescent="0.2">
      <c r="A42262" s="258"/>
      <c r="Z42262" s="258"/>
    </row>
    <row r="42263" spans="1:26" ht="12.75" customHeight="1" x14ac:dyDescent="0.2">
      <c r="A42263" s="258"/>
      <c r="Z42263" s="258"/>
    </row>
    <row r="42264" spans="1:26" ht="12.75" customHeight="1" x14ac:dyDescent="0.2">
      <c r="A42264" s="258"/>
      <c r="Z42264" s="258"/>
    </row>
    <row r="42265" spans="1:26" ht="12.75" customHeight="1" x14ac:dyDescent="0.2">
      <c r="A42265" s="258"/>
      <c r="Z42265" s="258"/>
    </row>
    <row r="42266" spans="1:26" ht="12.75" customHeight="1" x14ac:dyDescent="0.2">
      <c r="A42266" s="258"/>
      <c r="Z42266" s="258"/>
    </row>
    <row r="42267" spans="1:26" ht="12.75" customHeight="1" x14ac:dyDescent="0.2">
      <c r="A42267" s="258"/>
      <c r="Z42267" s="258"/>
    </row>
    <row r="42268" spans="1:26" ht="12.75" customHeight="1" x14ac:dyDescent="0.2">
      <c r="A42268" s="258"/>
      <c r="Z42268" s="258"/>
    </row>
    <row r="42269" spans="1:26" ht="12.75" customHeight="1" x14ac:dyDescent="0.2">
      <c r="A42269" s="258"/>
      <c r="Z42269" s="258"/>
    </row>
    <row r="42270" spans="1:26" ht="12.75" customHeight="1" x14ac:dyDescent="0.2">
      <c r="A42270" s="258"/>
      <c r="Z42270" s="258"/>
    </row>
    <row r="42271" spans="1:26" ht="12.75" customHeight="1" x14ac:dyDescent="0.2">
      <c r="A42271" s="258"/>
      <c r="Z42271" s="258"/>
    </row>
    <row r="42272" spans="1:26" ht="12.75" customHeight="1" x14ac:dyDescent="0.2">
      <c r="A42272" s="258"/>
      <c r="Z42272" s="258"/>
    </row>
    <row r="42273" spans="1:26" ht="12.75" customHeight="1" x14ac:dyDescent="0.2">
      <c r="A42273" s="258"/>
      <c r="Z42273" s="258"/>
    </row>
    <row r="42274" spans="1:26" ht="12.75" customHeight="1" x14ac:dyDescent="0.2">
      <c r="A42274" s="258"/>
      <c r="Z42274" s="258"/>
    </row>
    <row r="42275" spans="1:26" ht="12.75" customHeight="1" x14ac:dyDescent="0.2">
      <c r="A42275" s="258"/>
      <c r="Z42275" s="258"/>
    </row>
    <row r="42276" spans="1:26" ht="12.75" customHeight="1" x14ac:dyDescent="0.2">
      <c r="A42276" s="258"/>
      <c r="Z42276" s="258"/>
    </row>
    <row r="42277" spans="1:26" ht="12.75" customHeight="1" x14ac:dyDescent="0.2">
      <c r="A42277" s="258"/>
      <c r="Z42277" s="258"/>
    </row>
    <row r="42278" spans="1:26" ht="12.75" customHeight="1" x14ac:dyDescent="0.2">
      <c r="A42278" s="258"/>
      <c r="Z42278" s="258"/>
    </row>
    <row r="42279" spans="1:26" ht="12.75" customHeight="1" x14ac:dyDescent="0.2">
      <c r="A42279" s="258"/>
      <c r="Z42279" s="258"/>
    </row>
    <row r="42280" spans="1:26" ht="12.75" customHeight="1" x14ac:dyDescent="0.2">
      <c r="A42280" s="258"/>
      <c r="Z42280" s="258"/>
    </row>
    <row r="42281" spans="1:26" ht="12.75" customHeight="1" x14ac:dyDescent="0.2">
      <c r="A42281" s="258"/>
      <c r="Z42281" s="258"/>
    </row>
    <row r="42282" spans="1:26" ht="12.75" customHeight="1" x14ac:dyDescent="0.2">
      <c r="A42282" s="258"/>
      <c r="Z42282" s="258"/>
    </row>
    <row r="42283" spans="1:26" ht="12.75" customHeight="1" x14ac:dyDescent="0.2">
      <c r="A42283" s="258"/>
      <c r="Z42283" s="258"/>
    </row>
    <row r="42284" spans="1:26" ht="12.75" customHeight="1" x14ac:dyDescent="0.2">
      <c r="A42284" s="258"/>
      <c r="Z42284" s="258"/>
    </row>
    <row r="42285" spans="1:26" ht="12.75" customHeight="1" x14ac:dyDescent="0.2">
      <c r="A42285" s="258"/>
      <c r="Z42285" s="258"/>
    </row>
    <row r="42286" spans="1:26" ht="12.75" customHeight="1" x14ac:dyDescent="0.2">
      <c r="A42286" s="258"/>
      <c r="Z42286" s="258"/>
    </row>
    <row r="42287" spans="1:26" ht="12.75" customHeight="1" x14ac:dyDescent="0.2">
      <c r="A42287" s="258"/>
      <c r="Z42287" s="258"/>
    </row>
    <row r="42288" spans="1:26" ht="12.75" customHeight="1" x14ac:dyDescent="0.2">
      <c r="A42288" s="258"/>
      <c r="Z42288" s="258"/>
    </row>
    <row r="42289" spans="1:26" ht="12.75" customHeight="1" x14ac:dyDescent="0.2">
      <c r="A42289" s="258"/>
      <c r="Z42289" s="258"/>
    </row>
    <row r="42290" spans="1:26" ht="12.75" customHeight="1" x14ac:dyDescent="0.2">
      <c r="A42290" s="258"/>
      <c r="Z42290" s="258"/>
    </row>
    <row r="42291" spans="1:26" ht="12.75" customHeight="1" x14ac:dyDescent="0.2">
      <c r="A42291" s="258"/>
      <c r="Z42291" s="258"/>
    </row>
    <row r="42292" spans="1:26" ht="12.75" customHeight="1" x14ac:dyDescent="0.2">
      <c r="A42292" s="258"/>
      <c r="Z42292" s="258"/>
    </row>
    <row r="42293" spans="1:26" ht="12.75" customHeight="1" x14ac:dyDescent="0.2">
      <c r="A42293" s="258"/>
      <c r="Z42293" s="258"/>
    </row>
    <row r="42294" spans="1:26" ht="12.75" customHeight="1" x14ac:dyDescent="0.2">
      <c r="A42294" s="258"/>
      <c r="Z42294" s="258"/>
    </row>
    <row r="42295" spans="1:26" ht="12.75" customHeight="1" x14ac:dyDescent="0.2">
      <c r="A42295" s="258"/>
      <c r="Z42295" s="258"/>
    </row>
    <row r="42296" spans="1:26" ht="12.75" customHeight="1" x14ac:dyDescent="0.2">
      <c r="A42296" s="258"/>
      <c r="Z42296" s="258"/>
    </row>
    <row r="42297" spans="1:26" ht="12.75" customHeight="1" x14ac:dyDescent="0.2">
      <c r="A42297" s="258"/>
      <c r="Z42297" s="258"/>
    </row>
    <row r="42298" spans="1:26" ht="12.75" customHeight="1" x14ac:dyDescent="0.2">
      <c r="A42298" s="258"/>
      <c r="Z42298" s="258"/>
    </row>
    <row r="42299" spans="1:26" ht="12.75" customHeight="1" x14ac:dyDescent="0.2">
      <c r="A42299" s="258"/>
      <c r="Z42299" s="258"/>
    </row>
    <row r="42300" spans="1:26" ht="12.75" customHeight="1" x14ac:dyDescent="0.2">
      <c r="A42300" s="258"/>
      <c r="Z42300" s="258"/>
    </row>
    <row r="42301" spans="1:26" ht="12.75" customHeight="1" x14ac:dyDescent="0.2">
      <c r="A42301" s="258"/>
      <c r="Z42301" s="258"/>
    </row>
    <row r="42302" spans="1:26" ht="12.75" customHeight="1" x14ac:dyDescent="0.2">
      <c r="A42302" s="258"/>
      <c r="Z42302" s="258"/>
    </row>
    <row r="42303" spans="1:26" ht="12.75" customHeight="1" x14ac:dyDescent="0.2">
      <c r="A42303" s="258"/>
      <c r="Z42303" s="258"/>
    </row>
    <row r="42304" spans="1:26" ht="12.75" customHeight="1" x14ac:dyDescent="0.2">
      <c r="A42304" s="258"/>
      <c r="Z42304" s="258"/>
    </row>
    <row r="42305" spans="1:26" ht="12.75" customHeight="1" x14ac:dyDescent="0.2">
      <c r="A42305" s="258"/>
      <c r="Z42305" s="258"/>
    </row>
    <row r="42306" spans="1:26" ht="12.75" customHeight="1" x14ac:dyDescent="0.2">
      <c r="A42306" s="258"/>
      <c r="Z42306" s="258"/>
    </row>
    <row r="42307" spans="1:26" ht="12.75" customHeight="1" x14ac:dyDescent="0.2">
      <c r="A42307" s="258"/>
      <c r="Z42307" s="258"/>
    </row>
    <row r="42308" spans="1:26" ht="12.75" customHeight="1" x14ac:dyDescent="0.2">
      <c r="A42308" s="258"/>
      <c r="Z42308" s="258"/>
    </row>
    <row r="42309" spans="1:26" ht="12.75" customHeight="1" x14ac:dyDescent="0.2">
      <c r="A42309" s="258"/>
      <c r="Z42309" s="258"/>
    </row>
    <row r="42310" spans="1:26" ht="12.75" customHeight="1" x14ac:dyDescent="0.2">
      <c r="A42310" s="258"/>
      <c r="Z42310" s="258"/>
    </row>
    <row r="42311" spans="1:26" ht="12.75" customHeight="1" x14ac:dyDescent="0.2">
      <c r="A42311" s="258"/>
      <c r="Z42311" s="258"/>
    </row>
    <row r="42312" spans="1:26" ht="12.75" customHeight="1" x14ac:dyDescent="0.2">
      <c r="A42312" s="258"/>
      <c r="Z42312" s="258"/>
    </row>
    <row r="42313" spans="1:26" ht="12.75" customHeight="1" x14ac:dyDescent="0.2">
      <c r="A42313" s="258"/>
      <c r="Z42313" s="258"/>
    </row>
    <row r="42314" spans="1:26" ht="12.75" customHeight="1" x14ac:dyDescent="0.2">
      <c r="A42314" s="258"/>
      <c r="Z42314" s="258"/>
    </row>
    <row r="42315" spans="1:26" ht="12.75" customHeight="1" x14ac:dyDescent="0.2">
      <c r="A42315" s="258"/>
      <c r="Z42315" s="258"/>
    </row>
    <row r="42316" spans="1:26" ht="12.75" customHeight="1" x14ac:dyDescent="0.2">
      <c r="A42316" s="258"/>
      <c r="Z42316" s="258"/>
    </row>
    <row r="42317" spans="1:26" ht="12.75" customHeight="1" x14ac:dyDescent="0.2">
      <c r="A42317" s="258"/>
      <c r="Z42317" s="258"/>
    </row>
    <row r="42318" spans="1:26" ht="12.75" customHeight="1" x14ac:dyDescent="0.2">
      <c r="A42318" s="258"/>
      <c r="Z42318" s="258"/>
    </row>
    <row r="42319" spans="1:26" ht="12.75" customHeight="1" x14ac:dyDescent="0.2">
      <c r="A42319" s="258"/>
      <c r="Z42319" s="258"/>
    </row>
    <row r="42320" spans="1:26" ht="12.75" customHeight="1" x14ac:dyDescent="0.2">
      <c r="A42320" s="258"/>
      <c r="Z42320" s="258"/>
    </row>
    <row r="42321" spans="1:26" ht="12.75" customHeight="1" x14ac:dyDescent="0.2">
      <c r="A42321" s="258"/>
      <c r="Z42321" s="258"/>
    </row>
    <row r="42322" spans="1:26" ht="12.75" customHeight="1" x14ac:dyDescent="0.2">
      <c r="A42322" s="258"/>
      <c r="Z42322" s="258"/>
    </row>
    <row r="42323" spans="1:26" ht="12.75" customHeight="1" x14ac:dyDescent="0.2">
      <c r="A42323" s="258"/>
      <c r="Z42323" s="258"/>
    </row>
    <row r="42324" spans="1:26" ht="12.75" customHeight="1" x14ac:dyDescent="0.2">
      <c r="A42324" s="258"/>
      <c r="Z42324" s="258"/>
    </row>
    <row r="42325" spans="1:26" ht="12.75" customHeight="1" x14ac:dyDescent="0.2">
      <c r="A42325" s="258"/>
      <c r="Z42325" s="258"/>
    </row>
    <row r="42326" spans="1:26" ht="12.75" customHeight="1" x14ac:dyDescent="0.2">
      <c r="A42326" s="258"/>
      <c r="Z42326" s="258"/>
    </row>
    <row r="42327" spans="1:26" ht="12.75" customHeight="1" x14ac:dyDescent="0.2">
      <c r="A42327" s="258"/>
      <c r="Z42327" s="258"/>
    </row>
    <row r="42328" spans="1:26" ht="12.75" customHeight="1" x14ac:dyDescent="0.2">
      <c r="A42328" s="258"/>
      <c r="Z42328" s="258"/>
    </row>
    <row r="42329" spans="1:26" ht="12.75" customHeight="1" x14ac:dyDescent="0.2">
      <c r="A42329" s="258"/>
      <c r="Z42329" s="258"/>
    </row>
    <row r="42330" spans="1:26" ht="12.75" customHeight="1" x14ac:dyDescent="0.2">
      <c r="A42330" s="258"/>
      <c r="Z42330" s="258"/>
    </row>
    <row r="42331" spans="1:26" ht="12.75" customHeight="1" x14ac:dyDescent="0.2">
      <c r="A42331" s="258"/>
      <c r="Z42331" s="258"/>
    </row>
    <row r="42332" spans="1:26" ht="12.75" customHeight="1" x14ac:dyDescent="0.2">
      <c r="A42332" s="258"/>
      <c r="Z42332" s="258"/>
    </row>
    <row r="42333" spans="1:26" ht="12.75" customHeight="1" x14ac:dyDescent="0.2">
      <c r="A42333" s="258"/>
      <c r="Z42333" s="258"/>
    </row>
    <row r="42334" spans="1:26" ht="12.75" customHeight="1" x14ac:dyDescent="0.2">
      <c r="A42334" s="258"/>
      <c r="Z42334" s="258"/>
    </row>
    <row r="42335" spans="1:26" ht="12.75" customHeight="1" x14ac:dyDescent="0.2">
      <c r="A42335" s="258"/>
      <c r="Z42335" s="258"/>
    </row>
    <row r="42336" spans="1:26" ht="12.75" customHeight="1" x14ac:dyDescent="0.2">
      <c r="A42336" s="258"/>
      <c r="Z42336" s="258"/>
    </row>
    <row r="42337" spans="1:26" ht="12.75" customHeight="1" x14ac:dyDescent="0.2">
      <c r="A42337" s="258"/>
      <c r="Z42337" s="258"/>
    </row>
    <row r="42338" spans="1:26" ht="12.75" customHeight="1" x14ac:dyDescent="0.2">
      <c r="A42338" s="258"/>
      <c r="Z42338" s="258"/>
    </row>
    <row r="42339" spans="1:26" ht="12.75" customHeight="1" x14ac:dyDescent="0.2">
      <c r="A42339" s="258"/>
      <c r="Z42339" s="258"/>
    </row>
    <row r="42340" spans="1:26" ht="12.75" customHeight="1" x14ac:dyDescent="0.2">
      <c r="A42340" s="258"/>
      <c r="Z42340" s="258"/>
    </row>
    <row r="42341" spans="1:26" ht="12.75" customHeight="1" x14ac:dyDescent="0.2">
      <c r="A42341" s="258"/>
      <c r="Z42341" s="258"/>
    </row>
    <row r="42342" spans="1:26" ht="12.75" customHeight="1" x14ac:dyDescent="0.2">
      <c r="A42342" s="258"/>
      <c r="Z42342" s="258"/>
    </row>
    <row r="42343" spans="1:26" ht="12.75" customHeight="1" x14ac:dyDescent="0.2">
      <c r="A42343" s="258"/>
      <c r="Z42343" s="258"/>
    </row>
    <row r="42344" spans="1:26" ht="12.75" customHeight="1" x14ac:dyDescent="0.2">
      <c r="A42344" s="258"/>
      <c r="Z42344" s="258"/>
    </row>
    <row r="42345" spans="1:26" ht="12.75" customHeight="1" x14ac:dyDescent="0.2">
      <c r="A42345" s="258"/>
      <c r="Z42345" s="258"/>
    </row>
    <row r="42346" spans="1:26" ht="12.75" customHeight="1" x14ac:dyDescent="0.2">
      <c r="A42346" s="258"/>
      <c r="Z42346" s="258"/>
    </row>
    <row r="42347" spans="1:26" ht="12.75" customHeight="1" x14ac:dyDescent="0.2">
      <c r="A42347" s="258"/>
      <c r="Z42347" s="258"/>
    </row>
    <row r="42348" spans="1:26" ht="12.75" customHeight="1" x14ac:dyDescent="0.2">
      <c r="A42348" s="258"/>
      <c r="Z42348" s="258"/>
    </row>
    <row r="42349" spans="1:26" ht="12.75" customHeight="1" x14ac:dyDescent="0.2">
      <c r="A42349" s="258"/>
      <c r="Z42349" s="258"/>
    </row>
    <row r="42350" spans="1:26" ht="12.75" customHeight="1" x14ac:dyDescent="0.2">
      <c r="A42350" s="258"/>
      <c r="Z42350" s="258"/>
    </row>
    <row r="42351" spans="1:26" ht="12.75" customHeight="1" x14ac:dyDescent="0.2">
      <c r="A42351" s="258"/>
      <c r="Z42351" s="258"/>
    </row>
    <row r="42352" spans="1:26" ht="12.75" customHeight="1" x14ac:dyDescent="0.2">
      <c r="A42352" s="258"/>
      <c r="Z42352" s="258"/>
    </row>
    <row r="42353" spans="1:26" ht="12.75" customHeight="1" x14ac:dyDescent="0.2">
      <c r="A42353" s="258"/>
      <c r="Z42353" s="258"/>
    </row>
    <row r="42354" spans="1:26" ht="12.75" customHeight="1" x14ac:dyDescent="0.2">
      <c r="A42354" s="258"/>
      <c r="Z42354" s="258"/>
    </row>
    <row r="42355" spans="1:26" ht="12.75" customHeight="1" x14ac:dyDescent="0.2">
      <c r="A42355" s="258"/>
      <c r="Z42355" s="258"/>
    </row>
    <row r="42356" spans="1:26" ht="12.75" customHeight="1" x14ac:dyDescent="0.2">
      <c r="A42356" s="258"/>
      <c r="Z42356" s="258"/>
    </row>
    <row r="42357" spans="1:26" ht="12.75" customHeight="1" x14ac:dyDescent="0.2">
      <c r="A42357" s="258"/>
      <c r="Z42357" s="258"/>
    </row>
    <row r="42358" spans="1:26" ht="12.75" customHeight="1" x14ac:dyDescent="0.2">
      <c r="A42358" s="258"/>
      <c r="Z42358" s="258"/>
    </row>
    <row r="42359" spans="1:26" ht="12.75" customHeight="1" x14ac:dyDescent="0.2">
      <c r="A42359" s="258"/>
      <c r="Z42359" s="258"/>
    </row>
    <row r="42360" spans="1:26" ht="12.75" customHeight="1" x14ac:dyDescent="0.2">
      <c r="A42360" s="258"/>
      <c r="Z42360" s="258"/>
    </row>
    <row r="42361" spans="1:26" ht="12.75" customHeight="1" x14ac:dyDescent="0.2">
      <c r="A42361" s="258"/>
      <c r="Z42361" s="258"/>
    </row>
    <row r="42362" spans="1:26" ht="12.75" customHeight="1" x14ac:dyDescent="0.2">
      <c r="A42362" s="258"/>
      <c r="Z42362" s="258"/>
    </row>
    <row r="42363" spans="1:26" ht="12.75" customHeight="1" x14ac:dyDescent="0.2">
      <c r="A42363" s="258"/>
      <c r="Z42363" s="258"/>
    </row>
    <row r="42364" spans="1:26" ht="12.75" customHeight="1" x14ac:dyDescent="0.2">
      <c r="A42364" s="258"/>
      <c r="Z42364" s="258"/>
    </row>
    <row r="42365" spans="1:26" ht="12.75" customHeight="1" x14ac:dyDescent="0.2">
      <c r="A42365" s="258"/>
      <c r="Z42365" s="258"/>
    </row>
    <row r="42366" spans="1:26" ht="12.75" customHeight="1" x14ac:dyDescent="0.2">
      <c r="A42366" s="258"/>
      <c r="Z42366" s="258"/>
    </row>
    <row r="42367" spans="1:26" ht="12.75" customHeight="1" x14ac:dyDescent="0.2">
      <c r="A42367" s="258"/>
      <c r="Z42367" s="258"/>
    </row>
    <row r="42368" spans="1:26" ht="12.75" customHeight="1" x14ac:dyDescent="0.2">
      <c r="A42368" s="258"/>
      <c r="Z42368" s="258"/>
    </row>
    <row r="42369" spans="1:26" ht="12.75" customHeight="1" x14ac:dyDescent="0.2">
      <c r="A42369" s="258"/>
      <c r="Z42369" s="258"/>
    </row>
    <row r="42370" spans="1:26" ht="12.75" customHeight="1" x14ac:dyDescent="0.2">
      <c r="A42370" s="258"/>
      <c r="Z42370" s="258"/>
    </row>
    <row r="42371" spans="1:26" ht="12.75" customHeight="1" x14ac:dyDescent="0.2">
      <c r="A42371" s="258"/>
      <c r="Z42371" s="258"/>
    </row>
    <row r="42372" spans="1:26" ht="12.75" customHeight="1" x14ac:dyDescent="0.2">
      <c r="A42372" s="258"/>
      <c r="Z42372" s="258"/>
    </row>
    <row r="42373" spans="1:26" ht="12.75" customHeight="1" x14ac:dyDescent="0.2">
      <c r="A42373" s="258"/>
      <c r="Z42373" s="258"/>
    </row>
    <row r="42374" spans="1:26" ht="12.75" customHeight="1" x14ac:dyDescent="0.2">
      <c r="A42374" s="258"/>
      <c r="Z42374" s="258"/>
    </row>
    <row r="42375" spans="1:26" ht="12.75" customHeight="1" x14ac:dyDescent="0.2">
      <c r="A42375" s="258"/>
      <c r="Z42375" s="258"/>
    </row>
    <row r="42376" spans="1:26" ht="12.75" customHeight="1" x14ac:dyDescent="0.2">
      <c r="A42376" s="258"/>
      <c r="Z42376" s="258"/>
    </row>
    <row r="42377" spans="1:26" ht="12.75" customHeight="1" x14ac:dyDescent="0.2">
      <c r="A42377" s="258"/>
      <c r="Z42377" s="258"/>
    </row>
    <row r="42378" spans="1:26" ht="12.75" customHeight="1" x14ac:dyDescent="0.2">
      <c r="A42378" s="258"/>
      <c r="Z42378" s="258"/>
    </row>
    <row r="42379" spans="1:26" ht="12.75" customHeight="1" x14ac:dyDescent="0.2">
      <c r="A42379" s="258"/>
      <c r="Z42379" s="258"/>
    </row>
    <row r="42380" spans="1:26" ht="12.75" customHeight="1" x14ac:dyDescent="0.2">
      <c r="A42380" s="258"/>
      <c r="Z42380" s="258"/>
    </row>
    <row r="42381" spans="1:26" ht="12.75" customHeight="1" x14ac:dyDescent="0.2">
      <c r="A42381" s="258"/>
      <c r="Z42381" s="258"/>
    </row>
    <row r="42382" spans="1:26" ht="12.75" customHeight="1" x14ac:dyDescent="0.2">
      <c r="A42382" s="258"/>
      <c r="Z42382" s="258"/>
    </row>
    <row r="42383" spans="1:26" ht="12.75" customHeight="1" x14ac:dyDescent="0.2">
      <c r="A42383" s="258"/>
      <c r="Z42383" s="258"/>
    </row>
    <row r="42384" spans="1:26" ht="12.75" customHeight="1" x14ac:dyDescent="0.2">
      <c r="A42384" s="258"/>
      <c r="Z42384" s="258"/>
    </row>
    <row r="42385" spans="1:26" ht="12.75" customHeight="1" x14ac:dyDescent="0.2">
      <c r="A42385" s="258"/>
      <c r="Z42385" s="258"/>
    </row>
    <row r="42386" spans="1:26" ht="12.75" customHeight="1" x14ac:dyDescent="0.2">
      <c r="A42386" s="258"/>
      <c r="Z42386" s="258"/>
    </row>
    <row r="42387" spans="1:26" ht="12.75" customHeight="1" x14ac:dyDescent="0.2">
      <c r="A42387" s="258"/>
      <c r="Z42387" s="258"/>
    </row>
    <row r="42388" spans="1:26" ht="12.75" customHeight="1" x14ac:dyDescent="0.2">
      <c r="A42388" s="258"/>
      <c r="Z42388" s="258"/>
    </row>
    <row r="42389" spans="1:26" ht="12.75" customHeight="1" x14ac:dyDescent="0.2">
      <c r="A42389" s="258"/>
      <c r="Z42389" s="258"/>
    </row>
    <row r="42390" spans="1:26" ht="12.75" customHeight="1" x14ac:dyDescent="0.2">
      <c r="A42390" s="258"/>
      <c r="Z42390" s="258"/>
    </row>
    <row r="42391" spans="1:26" ht="12.75" customHeight="1" x14ac:dyDescent="0.2">
      <c r="A42391" s="258"/>
      <c r="Z42391" s="258"/>
    </row>
    <row r="42392" spans="1:26" ht="12.75" customHeight="1" x14ac:dyDescent="0.2">
      <c r="A42392" s="258"/>
      <c r="Z42392" s="258"/>
    </row>
    <row r="42393" spans="1:26" ht="12.75" customHeight="1" x14ac:dyDescent="0.2">
      <c r="A42393" s="258"/>
      <c r="Z42393" s="258"/>
    </row>
    <row r="42394" spans="1:26" ht="12.75" customHeight="1" x14ac:dyDescent="0.2">
      <c r="A42394" s="258"/>
      <c r="Z42394" s="258"/>
    </row>
    <row r="42395" spans="1:26" ht="12.75" customHeight="1" x14ac:dyDescent="0.2">
      <c r="A42395" s="258"/>
      <c r="Z42395" s="258"/>
    </row>
    <row r="42396" spans="1:26" ht="12.75" customHeight="1" x14ac:dyDescent="0.2">
      <c r="A42396" s="258"/>
      <c r="Z42396" s="258"/>
    </row>
    <row r="42397" spans="1:26" ht="12.75" customHeight="1" x14ac:dyDescent="0.2">
      <c r="A42397" s="258"/>
      <c r="Z42397" s="258"/>
    </row>
    <row r="42398" spans="1:26" ht="12.75" customHeight="1" x14ac:dyDescent="0.2">
      <c r="A42398" s="258"/>
      <c r="Z42398" s="258"/>
    </row>
    <row r="42399" spans="1:26" ht="12.75" customHeight="1" x14ac:dyDescent="0.2">
      <c r="A42399" s="258"/>
      <c r="Z42399" s="258"/>
    </row>
    <row r="42400" spans="1:26" ht="12.75" customHeight="1" x14ac:dyDescent="0.2">
      <c r="A42400" s="258"/>
      <c r="Z42400" s="258"/>
    </row>
    <row r="42401" spans="1:26" ht="12.75" customHeight="1" x14ac:dyDescent="0.2">
      <c r="A42401" s="258"/>
      <c r="Z42401" s="258"/>
    </row>
    <row r="42402" spans="1:26" ht="12.75" customHeight="1" x14ac:dyDescent="0.2">
      <c r="A42402" s="258"/>
      <c r="Z42402" s="258"/>
    </row>
    <row r="42403" spans="1:26" ht="12.75" customHeight="1" x14ac:dyDescent="0.2">
      <c r="A42403" s="258"/>
      <c r="Z42403" s="258"/>
    </row>
    <row r="42404" spans="1:26" ht="12.75" customHeight="1" x14ac:dyDescent="0.2">
      <c r="A42404" s="258"/>
      <c r="Z42404" s="258"/>
    </row>
    <row r="42405" spans="1:26" ht="12.75" customHeight="1" x14ac:dyDescent="0.2">
      <c r="A42405" s="258"/>
      <c r="Z42405" s="258"/>
    </row>
    <row r="42406" spans="1:26" ht="12.75" customHeight="1" x14ac:dyDescent="0.2">
      <c r="A42406" s="258"/>
      <c r="Z42406" s="258"/>
    </row>
    <row r="42407" spans="1:26" ht="12.75" customHeight="1" x14ac:dyDescent="0.2">
      <c r="A42407" s="258"/>
      <c r="Z42407" s="258"/>
    </row>
    <row r="42408" spans="1:26" ht="12.75" customHeight="1" x14ac:dyDescent="0.2">
      <c r="A42408" s="258"/>
      <c r="Z42408" s="258"/>
    </row>
    <row r="42409" spans="1:26" ht="12.75" customHeight="1" x14ac:dyDescent="0.2">
      <c r="A42409" s="258"/>
      <c r="Z42409" s="258"/>
    </row>
    <row r="42410" spans="1:26" ht="12.75" customHeight="1" x14ac:dyDescent="0.2">
      <c r="A42410" s="258"/>
      <c r="Z42410" s="258"/>
    </row>
    <row r="42411" spans="1:26" ht="12.75" customHeight="1" x14ac:dyDescent="0.2">
      <c r="A42411" s="258"/>
      <c r="Z42411" s="258"/>
    </row>
    <row r="42412" spans="1:26" ht="12.75" customHeight="1" x14ac:dyDescent="0.2">
      <c r="A42412" s="258"/>
      <c r="Z42412" s="258"/>
    </row>
    <row r="42413" spans="1:26" ht="12.75" customHeight="1" x14ac:dyDescent="0.2">
      <c r="A42413" s="258"/>
      <c r="Z42413" s="258"/>
    </row>
    <row r="42414" spans="1:26" ht="12.75" customHeight="1" x14ac:dyDescent="0.2">
      <c r="A42414" s="258"/>
      <c r="Z42414" s="258"/>
    </row>
    <row r="42415" spans="1:26" ht="12.75" customHeight="1" x14ac:dyDescent="0.2">
      <c r="A42415" s="258"/>
      <c r="Z42415" s="258"/>
    </row>
    <row r="42416" spans="1:26" ht="12.75" customHeight="1" x14ac:dyDescent="0.2">
      <c r="A42416" s="258"/>
      <c r="Z42416" s="258"/>
    </row>
    <row r="42417" spans="1:26" ht="12.75" customHeight="1" x14ac:dyDescent="0.2">
      <c r="A42417" s="258"/>
      <c r="Z42417" s="258"/>
    </row>
    <row r="42418" spans="1:26" ht="12.75" customHeight="1" x14ac:dyDescent="0.2">
      <c r="A42418" s="258"/>
      <c r="Z42418" s="258"/>
    </row>
    <row r="42419" spans="1:26" ht="12.75" customHeight="1" x14ac:dyDescent="0.2">
      <c r="A42419" s="258"/>
      <c r="Z42419" s="258"/>
    </row>
    <row r="42420" spans="1:26" ht="12.75" customHeight="1" x14ac:dyDescent="0.2">
      <c r="A42420" s="258"/>
      <c r="Z42420" s="258"/>
    </row>
    <row r="42421" spans="1:26" ht="12.75" customHeight="1" x14ac:dyDescent="0.2">
      <c r="A42421" s="258"/>
      <c r="Z42421" s="258"/>
    </row>
    <row r="42422" spans="1:26" ht="12.75" customHeight="1" x14ac:dyDescent="0.2">
      <c r="A42422" s="258"/>
      <c r="Z42422" s="258"/>
    </row>
    <row r="42423" spans="1:26" ht="12.75" customHeight="1" x14ac:dyDescent="0.2">
      <c r="A42423" s="258"/>
      <c r="Z42423" s="258"/>
    </row>
    <row r="42424" spans="1:26" ht="12.75" customHeight="1" x14ac:dyDescent="0.2">
      <c r="A42424" s="258"/>
      <c r="Z42424" s="258"/>
    </row>
    <row r="42425" spans="1:26" ht="12.75" customHeight="1" x14ac:dyDescent="0.2">
      <c r="A42425" s="258"/>
      <c r="Z42425" s="258"/>
    </row>
    <row r="42426" spans="1:26" ht="12.75" customHeight="1" x14ac:dyDescent="0.2">
      <c r="A42426" s="258"/>
      <c r="Z42426" s="258"/>
    </row>
    <row r="42427" spans="1:26" ht="12.75" customHeight="1" x14ac:dyDescent="0.2">
      <c r="A42427" s="258"/>
      <c r="Z42427" s="258"/>
    </row>
    <row r="42428" spans="1:26" ht="12.75" customHeight="1" x14ac:dyDescent="0.2">
      <c r="A42428" s="258"/>
      <c r="Z42428" s="258"/>
    </row>
    <row r="42429" spans="1:26" ht="12.75" customHeight="1" x14ac:dyDescent="0.2">
      <c r="A42429" s="258"/>
      <c r="Z42429" s="258"/>
    </row>
    <row r="42430" spans="1:26" ht="12.75" customHeight="1" x14ac:dyDescent="0.2">
      <c r="A42430" s="258"/>
      <c r="Z42430" s="258"/>
    </row>
    <row r="42431" spans="1:26" ht="12.75" customHeight="1" x14ac:dyDescent="0.2">
      <c r="A42431" s="258"/>
      <c r="Z42431" s="258"/>
    </row>
    <row r="42432" spans="1:26" ht="12.75" customHeight="1" x14ac:dyDescent="0.2">
      <c r="A42432" s="258"/>
      <c r="Z42432" s="258"/>
    </row>
    <row r="42433" spans="1:26" ht="12.75" customHeight="1" x14ac:dyDescent="0.2">
      <c r="A42433" s="258"/>
      <c r="Z42433" s="258"/>
    </row>
    <row r="42434" spans="1:26" ht="12.75" customHeight="1" x14ac:dyDescent="0.2">
      <c r="A42434" s="258"/>
      <c r="Z42434" s="258"/>
    </row>
    <row r="42435" spans="1:26" ht="12.75" customHeight="1" x14ac:dyDescent="0.2">
      <c r="A42435" s="258"/>
      <c r="Z42435" s="258"/>
    </row>
    <row r="42436" spans="1:26" ht="12.75" customHeight="1" x14ac:dyDescent="0.2">
      <c r="A42436" s="258"/>
      <c r="Z42436" s="258"/>
    </row>
    <row r="42437" spans="1:26" ht="12.75" customHeight="1" x14ac:dyDescent="0.2">
      <c r="A42437" s="258"/>
      <c r="Z42437" s="258"/>
    </row>
    <row r="42438" spans="1:26" ht="12.75" customHeight="1" x14ac:dyDescent="0.2">
      <c r="A42438" s="258"/>
      <c r="Z42438" s="258"/>
    </row>
    <row r="42439" spans="1:26" ht="12.75" customHeight="1" x14ac:dyDescent="0.2">
      <c r="A42439" s="258"/>
      <c r="Z42439" s="258"/>
    </row>
    <row r="42440" spans="1:26" ht="12.75" customHeight="1" x14ac:dyDescent="0.2">
      <c r="A42440" s="258"/>
      <c r="Z42440" s="258"/>
    </row>
    <row r="42441" spans="1:26" ht="12.75" customHeight="1" x14ac:dyDescent="0.2">
      <c r="A42441" s="258"/>
      <c r="Z42441" s="258"/>
    </row>
    <row r="42442" spans="1:26" ht="12.75" customHeight="1" x14ac:dyDescent="0.2">
      <c r="A42442" s="258"/>
      <c r="Z42442" s="258"/>
    </row>
    <row r="42443" spans="1:26" ht="12.75" customHeight="1" x14ac:dyDescent="0.2">
      <c r="A42443" s="258"/>
      <c r="Z42443" s="258"/>
    </row>
    <row r="42444" spans="1:26" ht="12.75" customHeight="1" x14ac:dyDescent="0.2">
      <c r="A42444" s="258"/>
      <c r="Z42444" s="258"/>
    </row>
    <row r="42445" spans="1:26" ht="12.75" customHeight="1" x14ac:dyDescent="0.2">
      <c r="A42445" s="258"/>
      <c r="Z42445" s="258"/>
    </row>
    <row r="42446" spans="1:26" ht="12.75" customHeight="1" x14ac:dyDescent="0.2">
      <c r="A42446" s="258"/>
      <c r="Z42446" s="258"/>
    </row>
    <row r="42447" spans="1:26" ht="12.75" customHeight="1" x14ac:dyDescent="0.2">
      <c r="A42447" s="258"/>
      <c r="Z42447" s="258"/>
    </row>
    <row r="42448" spans="1:26" ht="12.75" customHeight="1" x14ac:dyDescent="0.2">
      <c r="A42448" s="258"/>
      <c r="Z42448" s="258"/>
    </row>
    <row r="42449" spans="1:26" ht="12.75" customHeight="1" x14ac:dyDescent="0.2">
      <c r="A42449" s="258"/>
      <c r="Z42449" s="258"/>
    </row>
    <row r="42450" spans="1:26" ht="12.75" customHeight="1" x14ac:dyDescent="0.2">
      <c r="A42450" s="258"/>
      <c r="Z42450" s="258"/>
    </row>
    <row r="42451" spans="1:26" ht="12.75" customHeight="1" x14ac:dyDescent="0.2">
      <c r="A42451" s="258"/>
      <c r="Z42451" s="258"/>
    </row>
    <row r="42452" spans="1:26" ht="12.75" customHeight="1" x14ac:dyDescent="0.2">
      <c r="A42452" s="258"/>
      <c r="Z42452" s="258"/>
    </row>
    <row r="42453" spans="1:26" ht="12.75" customHeight="1" x14ac:dyDescent="0.2">
      <c r="A42453" s="258"/>
      <c r="Z42453" s="258"/>
    </row>
    <row r="42454" spans="1:26" ht="12.75" customHeight="1" x14ac:dyDescent="0.2">
      <c r="A42454" s="258"/>
      <c r="Z42454" s="258"/>
    </row>
    <row r="42455" spans="1:26" ht="12.75" customHeight="1" x14ac:dyDescent="0.2">
      <c r="A42455" s="258"/>
      <c r="Z42455" s="258"/>
    </row>
    <row r="42456" spans="1:26" ht="12.75" customHeight="1" x14ac:dyDescent="0.2">
      <c r="A42456" s="258"/>
      <c r="Z42456" s="258"/>
    </row>
    <row r="42457" spans="1:26" ht="12.75" customHeight="1" x14ac:dyDescent="0.2">
      <c r="A42457" s="258"/>
      <c r="Z42457" s="258"/>
    </row>
    <row r="42458" spans="1:26" ht="12.75" customHeight="1" x14ac:dyDescent="0.2">
      <c r="A42458" s="258"/>
      <c r="Z42458" s="258"/>
    </row>
    <row r="42459" spans="1:26" ht="12.75" customHeight="1" x14ac:dyDescent="0.2">
      <c r="A42459" s="258"/>
      <c r="Z42459" s="258"/>
    </row>
    <row r="42460" spans="1:26" ht="12.75" customHeight="1" x14ac:dyDescent="0.2">
      <c r="A42460" s="258"/>
      <c r="Z42460" s="258"/>
    </row>
    <row r="42461" spans="1:26" ht="12.75" customHeight="1" x14ac:dyDescent="0.2">
      <c r="A42461" s="258"/>
      <c r="Z42461" s="258"/>
    </row>
    <row r="42462" spans="1:26" ht="12.75" customHeight="1" x14ac:dyDescent="0.2">
      <c r="A42462" s="258"/>
      <c r="Z42462" s="258"/>
    </row>
    <row r="42463" spans="1:26" ht="12.75" customHeight="1" x14ac:dyDescent="0.2">
      <c r="A42463" s="258"/>
      <c r="Z42463" s="258"/>
    </row>
    <row r="42464" spans="1:26" ht="12.75" customHeight="1" x14ac:dyDescent="0.2">
      <c r="A42464" s="258"/>
      <c r="Z42464" s="258"/>
    </row>
    <row r="42465" spans="1:26" ht="12.75" customHeight="1" x14ac:dyDescent="0.2">
      <c r="A42465" s="258"/>
      <c r="Z42465" s="258"/>
    </row>
    <row r="42466" spans="1:26" ht="12.75" customHeight="1" x14ac:dyDescent="0.2">
      <c r="A42466" s="258"/>
      <c r="Z42466" s="258"/>
    </row>
    <row r="42467" spans="1:26" ht="12.75" customHeight="1" x14ac:dyDescent="0.2">
      <c r="A42467" s="258"/>
      <c r="Z42467" s="258"/>
    </row>
    <row r="42468" spans="1:26" ht="12.75" customHeight="1" x14ac:dyDescent="0.2">
      <c r="A42468" s="258"/>
      <c r="Z42468" s="258"/>
    </row>
    <row r="42469" spans="1:26" ht="12.75" customHeight="1" x14ac:dyDescent="0.2">
      <c r="A42469" s="258"/>
      <c r="Z42469" s="258"/>
    </row>
    <row r="42470" spans="1:26" ht="12.75" customHeight="1" x14ac:dyDescent="0.2">
      <c r="A42470" s="258"/>
      <c r="Z42470" s="258"/>
    </row>
    <row r="42471" spans="1:26" ht="12.75" customHeight="1" x14ac:dyDescent="0.2">
      <c r="A42471" s="258"/>
      <c r="Z42471" s="258"/>
    </row>
    <row r="42472" spans="1:26" ht="12.75" customHeight="1" x14ac:dyDescent="0.2">
      <c r="A42472" s="258"/>
      <c r="Z42472" s="258"/>
    </row>
    <row r="42473" spans="1:26" ht="12.75" customHeight="1" x14ac:dyDescent="0.2">
      <c r="A42473" s="258"/>
      <c r="Z42473" s="258"/>
    </row>
    <row r="42474" spans="1:26" ht="12.75" customHeight="1" x14ac:dyDescent="0.2">
      <c r="A42474" s="258"/>
      <c r="Z42474" s="258"/>
    </row>
    <row r="42475" spans="1:26" ht="12.75" customHeight="1" x14ac:dyDescent="0.2">
      <c r="A42475" s="258"/>
      <c r="Z42475" s="258"/>
    </row>
    <row r="42476" spans="1:26" ht="12.75" customHeight="1" x14ac:dyDescent="0.2">
      <c r="A42476" s="258"/>
      <c r="Z42476" s="258"/>
    </row>
    <row r="42477" spans="1:26" ht="12.75" customHeight="1" x14ac:dyDescent="0.2">
      <c r="A42477" s="258"/>
      <c r="Z42477" s="258"/>
    </row>
    <row r="42478" spans="1:26" ht="12.75" customHeight="1" x14ac:dyDescent="0.2">
      <c r="A42478" s="258"/>
      <c r="Z42478" s="258"/>
    </row>
    <row r="42479" spans="1:26" ht="12.75" customHeight="1" x14ac:dyDescent="0.2">
      <c r="A42479" s="258"/>
      <c r="Z42479" s="258"/>
    </row>
    <row r="42480" spans="1:26" ht="12.75" customHeight="1" x14ac:dyDescent="0.2">
      <c r="A42480" s="258"/>
      <c r="Z42480" s="258"/>
    </row>
    <row r="42481" spans="1:26" ht="12.75" customHeight="1" x14ac:dyDescent="0.2">
      <c r="A42481" s="258"/>
      <c r="Z42481" s="258"/>
    </row>
    <row r="42482" spans="1:26" ht="12.75" customHeight="1" x14ac:dyDescent="0.2">
      <c r="A42482" s="258"/>
      <c r="Z42482" s="258"/>
    </row>
    <row r="42483" spans="1:26" ht="12.75" customHeight="1" x14ac:dyDescent="0.2">
      <c r="A42483" s="258"/>
      <c r="Z42483" s="258"/>
    </row>
    <row r="42484" spans="1:26" ht="12.75" customHeight="1" x14ac:dyDescent="0.2">
      <c r="A42484" s="258"/>
      <c r="Z42484" s="258"/>
    </row>
    <row r="42485" spans="1:26" ht="12.75" customHeight="1" x14ac:dyDescent="0.2">
      <c r="A42485" s="258"/>
      <c r="Z42485" s="258"/>
    </row>
    <row r="42486" spans="1:26" ht="12.75" customHeight="1" x14ac:dyDescent="0.2">
      <c r="A42486" s="258"/>
      <c r="Z42486" s="258"/>
    </row>
    <row r="42487" spans="1:26" ht="12.75" customHeight="1" x14ac:dyDescent="0.2">
      <c r="A42487" s="258"/>
      <c r="Z42487" s="258"/>
    </row>
    <row r="42488" spans="1:26" ht="12.75" customHeight="1" x14ac:dyDescent="0.2">
      <c r="A42488" s="258"/>
      <c r="Z42488" s="258"/>
    </row>
    <row r="42489" spans="1:26" ht="12.75" customHeight="1" x14ac:dyDescent="0.2">
      <c r="A42489" s="258"/>
      <c r="Z42489" s="258"/>
    </row>
    <row r="42490" spans="1:26" ht="12.75" customHeight="1" x14ac:dyDescent="0.2">
      <c r="A42490" s="258"/>
      <c r="Z42490" s="258"/>
    </row>
    <row r="42491" spans="1:26" ht="12.75" customHeight="1" x14ac:dyDescent="0.2">
      <c r="A42491" s="258"/>
      <c r="Z42491" s="258"/>
    </row>
    <row r="42492" spans="1:26" ht="12.75" customHeight="1" x14ac:dyDescent="0.2">
      <c r="A42492" s="258"/>
      <c r="Z42492" s="258"/>
    </row>
    <row r="42493" spans="1:26" ht="12.75" customHeight="1" x14ac:dyDescent="0.2">
      <c r="A42493" s="258"/>
      <c r="Z42493" s="258"/>
    </row>
    <row r="42494" spans="1:26" ht="12.75" customHeight="1" x14ac:dyDescent="0.2">
      <c r="A42494" s="258"/>
      <c r="Z42494" s="258"/>
    </row>
    <row r="42495" spans="1:26" ht="12.75" customHeight="1" x14ac:dyDescent="0.2">
      <c r="A42495" s="258"/>
      <c r="Z42495" s="258"/>
    </row>
    <row r="42496" spans="1:26" ht="12.75" customHeight="1" x14ac:dyDescent="0.2">
      <c r="A42496" s="258"/>
      <c r="Z42496" s="258"/>
    </row>
    <row r="42497" spans="1:26" ht="12.75" customHeight="1" x14ac:dyDescent="0.2">
      <c r="A42497" s="258"/>
      <c r="Z42497" s="258"/>
    </row>
    <row r="42498" spans="1:26" ht="12.75" customHeight="1" x14ac:dyDescent="0.2">
      <c r="A42498" s="258"/>
      <c r="Z42498" s="258"/>
    </row>
    <row r="42499" spans="1:26" ht="12.75" customHeight="1" x14ac:dyDescent="0.2">
      <c r="A42499" s="258"/>
      <c r="Z42499" s="258"/>
    </row>
    <row r="42500" spans="1:26" ht="12.75" customHeight="1" x14ac:dyDescent="0.2">
      <c r="A42500" s="258"/>
      <c r="Z42500" s="258"/>
    </row>
    <row r="42501" spans="1:26" ht="12.75" customHeight="1" x14ac:dyDescent="0.2">
      <c r="A42501" s="258"/>
      <c r="Z42501" s="258"/>
    </row>
    <row r="42502" spans="1:26" ht="12.75" customHeight="1" x14ac:dyDescent="0.2">
      <c r="A42502" s="258"/>
      <c r="Z42502" s="258"/>
    </row>
    <row r="42503" spans="1:26" ht="12.75" customHeight="1" x14ac:dyDescent="0.2">
      <c r="A42503" s="258"/>
      <c r="Z42503" s="258"/>
    </row>
    <row r="42504" spans="1:26" ht="12.75" customHeight="1" x14ac:dyDescent="0.2">
      <c r="A42504" s="258"/>
      <c r="Z42504" s="258"/>
    </row>
    <row r="42505" spans="1:26" ht="12.75" customHeight="1" x14ac:dyDescent="0.2">
      <c r="A42505" s="258"/>
      <c r="Z42505" s="258"/>
    </row>
    <row r="42506" spans="1:26" ht="12.75" customHeight="1" x14ac:dyDescent="0.2">
      <c r="A42506" s="258"/>
      <c r="Z42506" s="258"/>
    </row>
    <row r="42507" spans="1:26" ht="12.75" customHeight="1" x14ac:dyDescent="0.2">
      <c r="A42507" s="258"/>
      <c r="Z42507" s="258"/>
    </row>
    <row r="42508" spans="1:26" ht="12.75" customHeight="1" x14ac:dyDescent="0.2">
      <c r="A42508" s="258"/>
      <c r="Z42508" s="258"/>
    </row>
    <row r="42509" spans="1:26" ht="12.75" customHeight="1" x14ac:dyDescent="0.2">
      <c r="A42509" s="258"/>
      <c r="Z42509" s="258"/>
    </row>
    <row r="42510" spans="1:26" ht="12.75" customHeight="1" x14ac:dyDescent="0.2">
      <c r="A42510" s="258"/>
      <c r="Z42510" s="258"/>
    </row>
    <row r="42511" spans="1:26" ht="12.75" customHeight="1" x14ac:dyDescent="0.2">
      <c r="A42511" s="258"/>
      <c r="Z42511" s="258"/>
    </row>
    <row r="42512" spans="1:26" ht="12.75" customHeight="1" x14ac:dyDescent="0.2">
      <c r="A42512" s="258"/>
      <c r="Z42512" s="258"/>
    </row>
    <row r="42513" spans="1:26" ht="12.75" customHeight="1" x14ac:dyDescent="0.2">
      <c r="A42513" s="258"/>
      <c r="Z42513" s="258"/>
    </row>
    <row r="42514" spans="1:26" ht="12.75" customHeight="1" x14ac:dyDescent="0.2">
      <c r="A42514" s="258"/>
      <c r="Z42514" s="258"/>
    </row>
    <row r="42515" spans="1:26" ht="12.75" customHeight="1" x14ac:dyDescent="0.2">
      <c r="A42515" s="258"/>
      <c r="Z42515" s="258"/>
    </row>
    <row r="42516" spans="1:26" ht="12.75" customHeight="1" x14ac:dyDescent="0.2">
      <c r="A42516" s="258"/>
      <c r="Z42516" s="258"/>
    </row>
    <row r="42517" spans="1:26" ht="12.75" customHeight="1" x14ac:dyDescent="0.2">
      <c r="A42517" s="258"/>
      <c r="Z42517" s="258"/>
    </row>
    <row r="42518" spans="1:26" ht="12.75" customHeight="1" x14ac:dyDescent="0.2">
      <c r="A42518" s="258"/>
      <c r="Z42518" s="258"/>
    </row>
    <row r="42519" spans="1:26" ht="12.75" customHeight="1" x14ac:dyDescent="0.2">
      <c r="A42519" s="258"/>
      <c r="Z42519" s="258"/>
    </row>
    <row r="42520" spans="1:26" ht="12.75" customHeight="1" x14ac:dyDescent="0.2">
      <c r="A42520" s="258"/>
      <c r="Z42520" s="258"/>
    </row>
    <row r="42521" spans="1:26" ht="12.75" customHeight="1" x14ac:dyDescent="0.2">
      <c r="A42521" s="258"/>
      <c r="Z42521" s="258"/>
    </row>
    <row r="42522" spans="1:26" ht="12.75" customHeight="1" x14ac:dyDescent="0.2">
      <c r="A42522" s="258"/>
      <c r="Z42522" s="258"/>
    </row>
    <row r="42523" spans="1:26" ht="12.75" customHeight="1" x14ac:dyDescent="0.2">
      <c r="A42523" s="258"/>
      <c r="Z42523" s="258"/>
    </row>
    <row r="42524" spans="1:26" ht="12.75" customHeight="1" x14ac:dyDescent="0.2">
      <c r="A42524" s="258"/>
      <c r="Z42524" s="258"/>
    </row>
    <row r="42525" spans="1:26" ht="12.75" customHeight="1" x14ac:dyDescent="0.2">
      <c r="A42525" s="258"/>
      <c r="Z42525" s="258"/>
    </row>
    <row r="42526" spans="1:26" ht="12.75" customHeight="1" x14ac:dyDescent="0.2">
      <c r="A42526" s="258"/>
      <c r="Z42526" s="258"/>
    </row>
    <row r="42527" spans="1:26" ht="12.75" customHeight="1" x14ac:dyDescent="0.2">
      <c r="A42527" s="258"/>
      <c r="Z42527" s="258"/>
    </row>
    <row r="42528" spans="1:26" ht="12.75" customHeight="1" x14ac:dyDescent="0.2">
      <c r="A42528" s="258"/>
      <c r="Z42528" s="258"/>
    </row>
    <row r="42529" spans="1:26" ht="12.75" customHeight="1" x14ac:dyDescent="0.2">
      <c r="A42529" s="258"/>
      <c r="Z42529" s="258"/>
    </row>
    <row r="42530" spans="1:26" ht="12.75" customHeight="1" x14ac:dyDescent="0.2">
      <c r="A42530" s="258"/>
      <c r="Z42530" s="258"/>
    </row>
    <row r="42531" spans="1:26" ht="12.75" customHeight="1" x14ac:dyDescent="0.2">
      <c r="A42531" s="258"/>
      <c r="Z42531" s="258"/>
    </row>
    <row r="42532" spans="1:26" ht="12.75" customHeight="1" x14ac:dyDescent="0.2">
      <c r="A42532" s="258"/>
      <c r="Z42532" s="258"/>
    </row>
    <row r="42533" spans="1:26" ht="12.75" customHeight="1" x14ac:dyDescent="0.2">
      <c r="A42533" s="258"/>
      <c r="Z42533" s="258"/>
    </row>
    <row r="42534" spans="1:26" ht="12.75" customHeight="1" x14ac:dyDescent="0.2">
      <c r="A42534" s="258"/>
      <c r="Z42534" s="258"/>
    </row>
    <row r="42535" spans="1:26" ht="12.75" customHeight="1" x14ac:dyDescent="0.2">
      <c r="A42535" s="258"/>
      <c r="Z42535" s="258"/>
    </row>
    <row r="42536" spans="1:26" ht="12.75" customHeight="1" x14ac:dyDescent="0.2">
      <c r="A42536" s="258"/>
      <c r="Z42536" s="258"/>
    </row>
    <row r="42537" spans="1:26" ht="12.75" customHeight="1" x14ac:dyDescent="0.2">
      <c r="A42537" s="258"/>
      <c r="Z42537" s="258"/>
    </row>
    <row r="42538" spans="1:26" ht="12.75" customHeight="1" x14ac:dyDescent="0.2">
      <c r="A42538" s="258"/>
      <c r="Z42538" s="258"/>
    </row>
    <row r="42539" spans="1:26" ht="12.75" customHeight="1" x14ac:dyDescent="0.2">
      <c r="A42539" s="258"/>
      <c r="Z42539" s="258"/>
    </row>
    <row r="42540" spans="1:26" ht="12.75" customHeight="1" x14ac:dyDescent="0.2">
      <c r="A42540" s="258"/>
      <c r="Z42540" s="258"/>
    </row>
    <row r="42541" spans="1:26" ht="12.75" customHeight="1" x14ac:dyDescent="0.2">
      <c r="A42541" s="258"/>
      <c r="Z42541" s="258"/>
    </row>
    <row r="42542" spans="1:26" ht="12.75" customHeight="1" x14ac:dyDescent="0.2">
      <c r="A42542" s="258"/>
      <c r="Z42542" s="258"/>
    </row>
    <row r="42543" spans="1:26" ht="12.75" customHeight="1" x14ac:dyDescent="0.2">
      <c r="A42543" s="258"/>
      <c r="Z42543" s="258"/>
    </row>
    <row r="42544" spans="1:26" ht="12.75" customHeight="1" x14ac:dyDescent="0.2">
      <c r="A42544" s="258"/>
      <c r="Z42544" s="258"/>
    </row>
    <row r="42545" spans="1:26" ht="12.75" customHeight="1" x14ac:dyDescent="0.2">
      <c r="A42545" s="258"/>
      <c r="Z42545" s="258"/>
    </row>
    <row r="42546" spans="1:26" ht="12.75" customHeight="1" x14ac:dyDescent="0.2">
      <c r="A42546" s="258"/>
      <c r="Z42546" s="258"/>
    </row>
    <row r="42547" spans="1:26" ht="12.75" customHeight="1" x14ac:dyDescent="0.2">
      <c r="A42547" s="258"/>
      <c r="Z42547" s="258"/>
    </row>
    <row r="42548" spans="1:26" ht="12.75" customHeight="1" x14ac:dyDescent="0.2">
      <c r="A42548" s="258"/>
      <c r="Z42548" s="258"/>
    </row>
    <row r="42549" spans="1:26" ht="12.75" customHeight="1" x14ac:dyDescent="0.2">
      <c r="A42549" s="258"/>
      <c r="Z42549" s="258"/>
    </row>
    <row r="42550" spans="1:26" ht="12.75" customHeight="1" x14ac:dyDescent="0.2">
      <c r="A42550" s="258"/>
      <c r="Z42550" s="258"/>
    </row>
    <row r="42551" spans="1:26" ht="12.75" customHeight="1" x14ac:dyDescent="0.2">
      <c r="A42551" s="258"/>
      <c r="Z42551" s="258"/>
    </row>
    <row r="42552" spans="1:26" ht="12.75" customHeight="1" x14ac:dyDescent="0.2">
      <c r="A42552" s="258"/>
      <c r="Z42552" s="258"/>
    </row>
    <row r="42553" spans="1:26" ht="12.75" customHeight="1" x14ac:dyDescent="0.2">
      <c r="A42553" s="258"/>
      <c r="Z42553" s="258"/>
    </row>
    <row r="42554" spans="1:26" ht="12.75" customHeight="1" x14ac:dyDescent="0.2">
      <c r="A42554" s="258"/>
      <c r="Z42554" s="258"/>
    </row>
    <row r="42555" spans="1:26" ht="12.75" customHeight="1" x14ac:dyDescent="0.2">
      <c r="A42555" s="258"/>
      <c r="Z42555" s="258"/>
    </row>
    <row r="42556" spans="1:26" ht="12.75" customHeight="1" x14ac:dyDescent="0.2">
      <c r="A42556" s="258"/>
      <c r="Z42556" s="258"/>
    </row>
    <row r="42557" spans="1:26" ht="12.75" customHeight="1" x14ac:dyDescent="0.2">
      <c r="A42557" s="258"/>
      <c r="Z42557" s="258"/>
    </row>
    <row r="42558" spans="1:26" ht="12.75" customHeight="1" x14ac:dyDescent="0.2">
      <c r="A42558" s="258"/>
      <c r="Z42558" s="258"/>
    </row>
    <row r="42559" spans="1:26" ht="12.75" customHeight="1" x14ac:dyDescent="0.2">
      <c r="A42559" s="258"/>
      <c r="Z42559" s="258"/>
    </row>
    <row r="42560" spans="1:26" ht="12.75" customHeight="1" x14ac:dyDescent="0.2">
      <c r="A42560" s="258"/>
      <c r="Z42560" s="258"/>
    </row>
    <row r="42561" spans="1:26" ht="12.75" customHeight="1" x14ac:dyDescent="0.2">
      <c r="A42561" s="258"/>
      <c r="Z42561" s="258"/>
    </row>
    <row r="42562" spans="1:26" ht="12.75" customHeight="1" x14ac:dyDescent="0.2">
      <c r="A42562" s="258"/>
      <c r="Z42562" s="258"/>
    </row>
    <row r="42563" spans="1:26" ht="12.75" customHeight="1" x14ac:dyDescent="0.2">
      <c r="A42563" s="258"/>
      <c r="Z42563" s="258"/>
    </row>
    <row r="42564" spans="1:26" ht="12.75" customHeight="1" x14ac:dyDescent="0.2">
      <c r="A42564" s="258"/>
      <c r="Z42564" s="258"/>
    </row>
    <row r="42565" spans="1:26" ht="12.75" customHeight="1" x14ac:dyDescent="0.2">
      <c r="A42565" s="258"/>
      <c r="Z42565" s="258"/>
    </row>
    <row r="42566" spans="1:26" ht="12.75" customHeight="1" x14ac:dyDescent="0.2">
      <c r="A42566" s="258"/>
      <c r="Z42566" s="258"/>
    </row>
    <row r="42567" spans="1:26" ht="12.75" customHeight="1" x14ac:dyDescent="0.2">
      <c r="A42567" s="258"/>
      <c r="Z42567" s="258"/>
    </row>
    <row r="42568" spans="1:26" ht="12.75" customHeight="1" x14ac:dyDescent="0.2">
      <c r="A42568" s="258"/>
      <c r="Z42568" s="258"/>
    </row>
    <row r="42569" spans="1:26" ht="12.75" customHeight="1" x14ac:dyDescent="0.2">
      <c r="A42569" s="258"/>
      <c r="Z42569" s="258"/>
    </row>
    <row r="42570" spans="1:26" ht="12.75" customHeight="1" x14ac:dyDescent="0.2">
      <c r="A42570" s="258"/>
      <c r="Z42570" s="258"/>
    </row>
    <row r="42571" spans="1:26" ht="12.75" customHeight="1" x14ac:dyDescent="0.2">
      <c r="A42571" s="258"/>
      <c r="Z42571" s="258"/>
    </row>
    <row r="42572" spans="1:26" ht="12.75" customHeight="1" x14ac:dyDescent="0.2">
      <c r="A42572" s="258"/>
      <c r="Z42572" s="258"/>
    </row>
    <row r="42573" spans="1:26" ht="12.75" customHeight="1" x14ac:dyDescent="0.2">
      <c r="A42573" s="258"/>
      <c r="Z42573" s="258"/>
    </row>
    <row r="42574" spans="1:26" ht="12.75" customHeight="1" x14ac:dyDescent="0.2">
      <c r="A42574" s="258"/>
      <c r="Z42574" s="258"/>
    </row>
    <row r="42575" spans="1:26" ht="12.75" customHeight="1" x14ac:dyDescent="0.2">
      <c r="A42575" s="258"/>
      <c r="Z42575" s="258"/>
    </row>
    <row r="42576" spans="1:26" ht="12.75" customHeight="1" x14ac:dyDescent="0.2">
      <c r="A42576" s="258"/>
      <c r="Z42576" s="258"/>
    </row>
    <row r="42577" spans="1:26" ht="12.75" customHeight="1" x14ac:dyDescent="0.2">
      <c r="A42577" s="258"/>
      <c r="Z42577" s="258"/>
    </row>
    <row r="42578" spans="1:26" ht="12.75" customHeight="1" x14ac:dyDescent="0.2">
      <c r="A42578" s="258"/>
      <c r="Z42578" s="258"/>
    </row>
    <row r="42579" spans="1:26" ht="12.75" customHeight="1" x14ac:dyDescent="0.2">
      <c r="A42579" s="258"/>
      <c r="Z42579" s="258"/>
    </row>
    <row r="42580" spans="1:26" ht="12.75" customHeight="1" x14ac:dyDescent="0.2">
      <c r="A42580" s="258"/>
      <c r="Z42580" s="258"/>
    </row>
    <row r="42581" spans="1:26" ht="12.75" customHeight="1" x14ac:dyDescent="0.2">
      <c r="A42581" s="258"/>
      <c r="Z42581" s="258"/>
    </row>
    <row r="42582" spans="1:26" ht="12.75" customHeight="1" x14ac:dyDescent="0.2">
      <c r="A42582" s="258"/>
      <c r="Z42582" s="258"/>
    </row>
    <row r="42583" spans="1:26" ht="12.75" customHeight="1" x14ac:dyDescent="0.2">
      <c r="A42583" s="258"/>
      <c r="Z42583" s="258"/>
    </row>
    <row r="42584" spans="1:26" ht="12.75" customHeight="1" x14ac:dyDescent="0.2">
      <c r="A42584" s="258"/>
      <c r="Z42584" s="258"/>
    </row>
    <row r="42585" spans="1:26" ht="12.75" customHeight="1" x14ac:dyDescent="0.2">
      <c r="A42585" s="258"/>
      <c r="Z42585" s="258"/>
    </row>
    <row r="42586" spans="1:26" ht="12.75" customHeight="1" x14ac:dyDescent="0.2">
      <c r="A42586" s="258"/>
      <c r="Z42586" s="258"/>
    </row>
    <row r="42587" spans="1:26" ht="12.75" customHeight="1" x14ac:dyDescent="0.2">
      <c r="A42587" s="258"/>
      <c r="Z42587" s="258"/>
    </row>
    <row r="42588" spans="1:26" ht="12.75" customHeight="1" x14ac:dyDescent="0.2">
      <c r="A42588" s="258"/>
      <c r="Z42588" s="258"/>
    </row>
    <row r="42589" spans="1:26" ht="12.75" customHeight="1" x14ac:dyDescent="0.2">
      <c r="A42589" s="258"/>
      <c r="Z42589" s="258"/>
    </row>
    <row r="42590" spans="1:26" ht="12.75" customHeight="1" x14ac:dyDescent="0.2">
      <c r="A42590" s="258"/>
      <c r="Z42590" s="258"/>
    </row>
    <row r="42591" spans="1:26" ht="12.75" customHeight="1" x14ac:dyDescent="0.2">
      <c r="A42591" s="258"/>
      <c r="Z42591" s="258"/>
    </row>
    <row r="42592" spans="1:26" ht="12.75" customHeight="1" x14ac:dyDescent="0.2">
      <c r="A42592" s="258"/>
      <c r="Z42592" s="258"/>
    </row>
    <row r="42593" spans="1:26" ht="12.75" customHeight="1" x14ac:dyDescent="0.2">
      <c r="A42593" s="258"/>
      <c r="Z42593" s="258"/>
    </row>
    <row r="42594" spans="1:26" ht="12.75" customHeight="1" x14ac:dyDescent="0.2">
      <c r="A42594" s="258"/>
      <c r="Z42594" s="258"/>
    </row>
    <row r="42595" spans="1:26" ht="12.75" customHeight="1" x14ac:dyDescent="0.2">
      <c r="A42595" s="258"/>
      <c r="Z42595" s="258"/>
    </row>
    <row r="42596" spans="1:26" ht="12.75" customHeight="1" x14ac:dyDescent="0.2">
      <c r="A42596" s="258"/>
      <c r="Z42596" s="258"/>
    </row>
    <row r="42597" spans="1:26" ht="12.75" customHeight="1" x14ac:dyDescent="0.2">
      <c r="A42597" s="258"/>
      <c r="Z42597" s="258"/>
    </row>
    <row r="42598" spans="1:26" ht="12.75" customHeight="1" x14ac:dyDescent="0.2">
      <c r="A42598" s="258"/>
      <c r="Z42598" s="258"/>
    </row>
    <row r="42599" spans="1:26" ht="12.75" customHeight="1" x14ac:dyDescent="0.2">
      <c r="A42599" s="258"/>
      <c r="Z42599" s="258"/>
    </row>
    <row r="42600" spans="1:26" ht="12.75" customHeight="1" x14ac:dyDescent="0.2">
      <c r="A42600" s="258"/>
      <c r="Z42600" s="258"/>
    </row>
    <row r="42601" spans="1:26" ht="12.75" customHeight="1" x14ac:dyDescent="0.2">
      <c r="A42601" s="258"/>
      <c r="Z42601" s="258"/>
    </row>
    <row r="42602" spans="1:26" ht="12.75" customHeight="1" x14ac:dyDescent="0.2">
      <c r="A42602" s="258"/>
      <c r="Z42602" s="258"/>
    </row>
    <row r="42603" spans="1:26" ht="12.75" customHeight="1" x14ac:dyDescent="0.2">
      <c r="A42603" s="258"/>
      <c r="Z42603" s="258"/>
    </row>
    <row r="42604" spans="1:26" ht="12.75" customHeight="1" x14ac:dyDescent="0.2">
      <c r="A42604" s="258"/>
      <c r="Z42604" s="258"/>
    </row>
    <row r="42605" spans="1:26" ht="12.75" customHeight="1" x14ac:dyDescent="0.2">
      <c r="A42605" s="258"/>
      <c r="Z42605" s="258"/>
    </row>
    <row r="42606" spans="1:26" ht="12.75" customHeight="1" x14ac:dyDescent="0.2">
      <c r="A42606" s="258"/>
      <c r="Z42606" s="258"/>
    </row>
    <row r="42607" spans="1:26" ht="12.75" customHeight="1" x14ac:dyDescent="0.2">
      <c r="A42607" s="258"/>
      <c r="Z42607" s="258"/>
    </row>
    <row r="42608" spans="1:26" ht="12.75" customHeight="1" x14ac:dyDescent="0.2">
      <c r="A42608" s="258"/>
      <c r="Z42608" s="258"/>
    </row>
    <row r="42609" spans="1:26" ht="12.75" customHeight="1" x14ac:dyDescent="0.2">
      <c r="A42609" s="258"/>
      <c r="Z42609" s="258"/>
    </row>
    <row r="42610" spans="1:26" ht="12.75" customHeight="1" x14ac:dyDescent="0.2">
      <c r="A42610" s="258"/>
      <c r="Z42610" s="258"/>
    </row>
    <row r="42611" spans="1:26" ht="12.75" customHeight="1" x14ac:dyDescent="0.2">
      <c r="A42611" s="258"/>
      <c r="Z42611" s="258"/>
    </row>
    <row r="42612" spans="1:26" ht="12.75" customHeight="1" x14ac:dyDescent="0.2">
      <c r="A42612" s="258"/>
      <c r="Z42612" s="258"/>
    </row>
    <row r="42613" spans="1:26" ht="12.75" customHeight="1" x14ac:dyDescent="0.2">
      <c r="A42613" s="258"/>
      <c r="Z42613" s="258"/>
    </row>
    <row r="42614" spans="1:26" ht="12.75" customHeight="1" x14ac:dyDescent="0.2">
      <c r="A42614" s="258"/>
      <c r="Z42614" s="258"/>
    </row>
    <row r="42615" spans="1:26" ht="12.75" customHeight="1" x14ac:dyDescent="0.2">
      <c r="A42615" s="258"/>
      <c r="Z42615" s="258"/>
    </row>
    <row r="42616" spans="1:26" ht="12.75" customHeight="1" x14ac:dyDescent="0.2">
      <c r="A42616" s="258"/>
      <c r="Z42616" s="258"/>
    </row>
    <row r="42617" spans="1:26" ht="12.75" customHeight="1" x14ac:dyDescent="0.2">
      <c r="A42617" s="258"/>
      <c r="Z42617" s="258"/>
    </row>
    <row r="42618" spans="1:26" ht="12.75" customHeight="1" x14ac:dyDescent="0.2">
      <c r="A42618" s="258"/>
      <c r="Z42618" s="258"/>
    </row>
    <row r="42619" spans="1:26" ht="12.75" customHeight="1" x14ac:dyDescent="0.2">
      <c r="A42619" s="258"/>
      <c r="Z42619" s="258"/>
    </row>
    <row r="42620" spans="1:26" ht="12.75" customHeight="1" x14ac:dyDescent="0.2">
      <c r="A42620" s="258"/>
      <c r="Z42620" s="258"/>
    </row>
    <row r="42621" spans="1:26" ht="12.75" customHeight="1" x14ac:dyDescent="0.2">
      <c r="A42621" s="258"/>
      <c r="Z42621" s="258"/>
    </row>
    <row r="42622" spans="1:26" ht="12.75" customHeight="1" x14ac:dyDescent="0.2">
      <c r="A42622" s="258"/>
      <c r="Z42622" s="258"/>
    </row>
    <row r="42623" spans="1:26" ht="12.75" customHeight="1" x14ac:dyDescent="0.2">
      <c r="A42623" s="258"/>
      <c r="Z42623" s="258"/>
    </row>
    <row r="42624" spans="1:26" ht="12.75" customHeight="1" x14ac:dyDescent="0.2">
      <c r="A42624" s="258"/>
      <c r="Z42624" s="258"/>
    </row>
    <row r="42625" spans="1:26" ht="12.75" customHeight="1" x14ac:dyDescent="0.2">
      <c r="A42625" s="258"/>
      <c r="Z42625" s="258"/>
    </row>
    <row r="42626" spans="1:26" ht="12.75" customHeight="1" x14ac:dyDescent="0.2">
      <c r="A42626" s="258"/>
      <c r="Z42626" s="258"/>
    </row>
    <row r="42627" spans="1:26" ht="12.75" customHeight="1" x14ac:dyDescent="0.2">
      <c r="A42627" s="258"/>
      <c r="Z42627" s="258"/>
    </row>
    <row r="42628" spans="1:26" ht="12.75" customHeight="1" x14ac:dyDescent="0.2">
      <c r="A42628" s="258"/>
      <c r="Z42628" s="258"/>
    </row>
    <row r="42629" spans="1:26" ht="12.75" customHeight="1" x14ac:dyDescent="0.2">
      <c r="A42629" s="258"/>
      <c r="Z42629" s="258"/>
    </row>
    <row r="42630" spans="1:26" ht="12.75" customHeight="1" x14ac:dyDescent="0.2">
      <c r="A42630" s="258"/>
      <c r="Z42630" s="258"/>
    </row>
    <row r="42631" spans="1:26" ht="12.75" customHeight="1" x14ac:dyDescent="0.2">
      <c r="A42631" s="258"/>
      <c r="Z42631" s="258"/>
    </row>
    <row r="42632" spans="1:26" ht="12.75" customHeight="1" x14ac:dyDescent="0.2">
      <c r="A42632" s="258"/>
      <c r="Z42632" s="258"/>
    </row>
    <row r="42633" spans="1:26" ht="12.75" customHeight="1" x14ac:dyDescent="0.2">
      <c r="A42633" s="258"/>
      <c r="Z42633" s="258"/>
    </row>
    <row r="42634" spans="1:26" ht="12.75" customHeight="1" x14ac:dyDescent="0.2">
      <c r="A42634" s="258"/>
      <c r="Z42634" s="258"/>
    </row>
    <row r="42635" spans="1:26" ht="12.75" customHeight="1" x14ac:dyDescent="0.2">
      <c r="A42635" s="258"/>
      <c r="Z42635" s="258"/>
    </row>
    <row r="42636" spans="1:26" ht="12.75" customHeight="1" x14ac:dyDescent="0.2">
      <c r="A42636" s="258"/>
      <c r="Z42636" s="258"/>
    </row>
    <row r="42637" spans="1:26" ht="12.75" customHeight="1" x14ac:dyDescent="0.2">
      <c r="A42637" s="258"/>
      <c r="Z42637" s="258"/>
    </row>
    <row r="42638" spans="1:26" ht="12.75" customHeight="1" x14ac:dyDescent="0.2">
      <c r="A42638" s="258"/>
      <c r="Z42638" s="258"/>
    </row>
    <row r="42639" spans="1:26" ht="12.75" customHeight="1" x14ac:dyDescent="0.2">
      <c r="A42639" s="258"/>
      <c r="Z42639" s="258"/>
    </row>
    <row r="42640" spans="1:26" ht="12.75" customHeight="1" x14ac:dyDescent="0.2">
      <c r="A42640" s="258"/>
      <c r="Z42640" s="258"/>
    </row>
    <row r="42641" spans="1:26" ht="12.75" customHeight="1" x14ac:dyDescent="0.2">
      <c r="A42641" s="258"/>
      <c r="Z42641" s="258"/>
    </row>
    <row r="42642" spans="1:26" ht="12.75" customHeight="1" x14ac:dyDescent="0.2">
      <c r="A42642" s="258"/>
      <c r="Z42642" s="258"/>
    </row>
    <row r="42643" spans="1:26" ht="12.75" customHeight="1" x14ac:dyDescent="0.2">
      <c r="A42643" s="258"/>
      <c r="Z42643" s="258"/>
    </row>
    <row r="42644" spans="1:26" ht="12.75" customHeight="1" x14ac:dyDescent="0.2">
      <c r="A42644" s="258"/>
      <c r="Z42644" s="258"/>
    </row>
    <row r="42645" spans="1:26" ht="12.75" customHeight="1" x14ac:dyDescent="0.2">
      <c r="A42645" s="258"/>
      <c r="Z42645" s="258"/>
    </row>
    <row r="42646" spans="1:26" ht="12.75" customHeight="1" x14ac:dyDescent="0.2">
      <c r="A42646" s="258"/>
      <c r="Z42646" s="258"/>
    </row>
    <row r="42647" spans="1:26" ht="12.75" customHeight="1" x14ac:dyDescent="0.2">
      <c r="A42647" s="258"/>
      <c r="Z42647" s="258"/>
    </row>
    <row r="42648" spans="1:26" ht="12.75" customHeight="1" x14ac:dyDescent="0.2">
      <c r="A42648" s="258"/>
      <c r="Z42648" s="258"/>
    </row>
    <row r="42649" spans="1:26" ht="12.75" customHeight="1" x14ac:dyDescent="0.2">
      <c r="A42649" s="258"/>
      <c r="Z42649" s="258"/>
    </row>
    <row r="42650" spans="1:26" ht="12.75" customHeight="1" x14ac:dyDescent="0.2">
      <c r="A42650" s="258"/>
      <c r="Z42650" s="258"/>
    </row>
    <row r="42651" spans="1:26" ht="12.75" customHeight="1" x14ac:dyDescent="0.2">
      <c r="A42651" s="258"/>
      <c r="Z42651" s="258"/>
    </row>
    <row r="42652" spans="1:26" ht="12.75" customHeight="1" x14ac:dyDescent="0.2">
      <c r="A42652" s="258"/>
      <c r="Z42652" s="258"/>
    </row>
    <row r="42653" spans="1:26" ht="12.75" customHeight="1" x14ac:dyDescent="0.2">
      <c r="A42653" s="258"/>
      <c r="Z42653" s="258"/>
    </row>
    <row r="42654" spans="1:26" ht="12.75" customHeight="1" x14ac:dyDescent="0.2">
      <c r="A42654" s="258"/>
      <c r="Z42654" s="258"/>
    </row>
    <row r="42655" spans="1:26" ht="12.75" customHeight="1" x14ac:dyDescent="0.2">
      <c r="A42655" s="258"/>
      <c r="Z42655" s="258"/>
    </row>
    <row r="42656" spans="1:26" ht="12.75" customHeight="1" x14ac:dyDescent="0.2">
      <c r="A42656" s="258"/>
      <c r="Z42656" s="258"/>
    </row>
    <row r="42657" spans="1:26" ht="12.75" customHeight="1" x14ac:dyDescent="0.2">
      <c r="A42657" s="258"/>
      <c r="Z42657" s="258"/>
    </row>
    <row r="42658" spans="1:26" ht="12.75" customHeight="1" x14ac:dyDescent="0.2">
      <c r="A42658" s="258"/>
      <c r="Z42658" s="258"/>
    </row>
    <row r="42659" spans="1:26" ht="12.75" customHeight="1" x14ac:dyDescent="0.2">
      <c r="A42659" s="258"/>
      <c r="Z42659" s="258"/>
    </row>
    <row r="42660" spans="1:26" ht="12.75" customHeight="1" x14ac:dyDescent="0.2">
      <c r="A42660" s="258"/>
      <c r="Z42660" s="258"/>
    </row>
    <row r="42661" spans="1:26" ht="12.75" customHeight="1" x14ac:dyDescent="0.2">
      <c r="A42661" s="258"/>
      <c r="Z42661" s="258"/>
    </row>
    <row r="42662" spans="1:26" ht="12.75" customHeight="1" x14ac:dyDescent="0.2">
      <c r="A42662" s="258"/>
      <c r="Z42662" s="258"/>
    </row>
    <row r="42663" spans="1:26" ht="12.75" customHeight="1" x14ac:dyDescent="0.2">
      <c r="A42663" s="258"/>
      <c r="Z42663" s="258"/>
    </row>
    <row r="42664" spans="1:26" ht="12.75" customHeight="1" x14ac:dyDescent="0.2">
      <c r="A42664" s="258"/>
      <c r="Z42664" s="258"/>
    </row>
    <row r="42665" spans="1:26" ht="12.75" customHeight="1" x14ac:dyDescent="0.2">
      <c r="A42665" s="258"/>
      <c r="Z42665" s="258"/>
    </row>
    <row r="42666" spans="1:26" ht="12.75" customHeight="1" x14ac:dyDescent="0.2">
      <c r="A42666" s="258"/>
      <c r="Z42666" s="258"/>
    </row>
    <row r="42667" spans="1:26" ht="12.75" customHeight="1" x14ac:dyDescent="0.2">
      <c r="A42667" s="258"/>
      <c r="Z42667" s="258"/>
    </row>
    <row r="42668" spans="1:26" ht="12.75" customHeight="1" x14ac:dyDescent="0.2">
      <c r="A42668" s="258"/>
      <c r="Z42668" s="258"/>
    </row>
    <row r="42669" spans="1:26" ht="12.75" customHeight="1" x14ac:dyDescent="0.2">
      <c r="A42669" s="258"/>
      <c r="Z42669" s="258"/>
    </row>
    <row r="42670" spans="1:26" ht="12.75" customHeight="1" x14ac:dyDescent="0.2">
      <c r="A42670" s="258"/>
      <c r="Z42670" s="258"/>
    </row>
    <row r="42671" spans="1:26" ht="12.75" customHeight="1" x14ac:dyDescent="0.2">
      <c r="A42671" s="258"/>
      <c r="Z42671" s="258"/>
    </row>
    <row r="42672" spans="1:26" ht="12.75" customHeight="1" x14ac:dyDescent="0.2">
      <c r="A42672" s="258"/>
      <c r="Z42672" s="258"/>
    </row>
    <row r="42673" spans="1:26" ht="12.75" customHeight="1" x14ac:dyDescent="0.2">
      <c r="A42673" s="258"/>
      <c r="Z42673" s="258"/>
    </row>
    <row r="42674" spans="1:26" ht="12.75" customHeight="1" x14ac:dyDescent="0.2">
      <c r="A42674" s="258"/>
      <c r="Z42674" s="258"/>
    </row>
    <row r="42675" spans="1:26" ht="12.75" customHeight="1" x14ac:dyDescent="0.2">
      <c r="A42675" s="258"/>
      <c r="Z42675" s="258"/>
    </row>
    <row r="42676" spans="1:26" ht="12.75" customHeight="1" x14ac:dyDescent="0.2">
      <c r="A42676" s="258"/>
      <c r="Z42676" s="258"/>
    </row>
    <row r="42677" spans="1:26" ht="12.75" customHeight="1" x14ac:dyDescent="0.2">
      <c r="A42677" s="258"/>
      <c r="Z42677" s="258"/>
    </row>
    <row r="42678" spans="1:26" ht="12.75" customHeight="1" x14ac:dyDescent="0.2">
      <c r="A42678" s="258"/>
      <c r="Z42678" s="258"/>
    </row>
    <row r="42679" spans="1:26" ht="12.75" customHeight="1" x14ac:dyDescent="0.2">
      <c r="A42679" s="258"/>
      <c r="Z42679" s="258"/>
    </row>
    <row r="42680" spans="1:26" ht="12.75" customHeight="1" x14ac:dyDescent="0.2">
      <c r="A42680" s="258"/>
      <c r="Z42680" s="258"/>
    </row>
    <row r="42681" spans="1:26" ht="12.75" customHeight="1" x14ac:dyDescent="0.2">
      <c r="A42681" s="258"/>
      <c r="Z42681" s="258"/>
    </row>
    <row r="42682" spans="1:26" ht="12.75" customHeight="1" x14ac:dyDescent="0.2">
      <c r="A42682" s="258"/>
      <c r="Z42682" s="258"/>
    </row>
    <row r="42683" spans="1:26" ht="12.75" customHeight="1" x14ac:dyDescent="0.2">
      <c r="A42683" s="258"/>
      <c r="Z42683" s="258"/>
    </row>
    <row r="42684" spans="1:26" ht="12.75" customHeight="1" x14ac:dyDescent="0.2">
      <c r="A42684" s="258"/>
      <c r="Z42684" s="258"/>
    </row>
    <row r="42685" spans="1:26" ht="12.75" customHeight="1" x14ac:dyDescent="0.2">
      <c r="A42685" s="258"/>
      <c r="Z42685" s="258"/>
    </row>
    <row r="42686" spans="1:26" ht="12.75" customHeight="1" x14ac:dyDescent="0.2">
      <c r="A42686" s="258"/>
      <c r="Z42686" s="258"/>
    </row>
    <row r="42687" spans="1:26" ht="12.75" customHeight="1" x14ac:dyDescent="0.2">
      <c r="A42687" s="258"/>
      <c r="Z42687" s="258"/>
    </row>
    <row r="42688" spans="1:26" ht="12.75" customHeight="1" x14ac:dyDescent="0.2">
      <c r="A42688" s="258"/>
      <c r="Z42688" s="258"/>
    </row>
    <row r="42689" spans="1:26" ht="12.75" customHeight="1" x14ac:dyDescent="0.2">
      <c r="A42689" s="258"/>
      <c r="Z42689" s="258"/>
    </row>
    <row r="42690" spans="1:26" ht="12.75" customHeight="1" x14ac:dyDescent="0.2">
      <c r="A42690" s="258"/>
      <c r="Z42690" s="258"/>
    </row>
    <row r="42691" spans="1:26" ht="12.75" customHeight="1" x14ac:dyDescent="0.2">
      <c r="A42691" s="258"/>
      <c r="Z42691" s="258"/>
    </row>
    <row r="42692" spans="1:26" ht="12.75" customHeight="1" x14ac:dyDescent="0.2">
      <c r="A42692" s="258"/>
      <c r="Z42692" s="258"/>
    </row>
    <row r="42693" spans="1:26" ht="12.75" customHeight="1" x14ac:dyDescent="0.2">
      <c r="A42693" s="258"/>
      <c r="Z42693" s="258"/>
    </row>
    <row r="42694" spans="1:26" ht="12.75" customHeight="1" x14ac:dyDescent="0.2">
      <c r="A42694" s="258"/>
      <c r="Z42694" s="258"/>
    </row>
    <row r="42695" spans="1:26" ht="12.75" customHeight="1" x14ac:dyDescent="0.2">
      <c r="A42695" s="258"/>
      <c r="Z42695" s="258"/>
    </row>
    <row r="42696" spans="1:26" ht="12.75" customHeight="1" x14ac:dyDescent="0.2">
      <c r="A42696" s="258"/>
      <c r="Z42696" s="258"/>
    </row>
    <row r="42697" spans="1:26" ht="12.75" customHeight="1" x14ac:dyDescent="0.2">
      <c r="A42697" s="258"/>
      <c r="Z42697" s="258"/>
    </row>
    <row r="42698" spans="1:26" ht="12.75" customHeight="1" x14ac:dyDescent="0.2">
      <c r="A42698" s="258"/>
      <c r="Z42698" s="258"/>
    </row>
    <row r="42699" spans="1:26" ht="12.75" customHeight="1" x14ac:dyDescent="0.2">
      <c r="A42699" s="258"/>
      <c r="Z42699" s="258"/>
    </row>
    <row r="42700" spans="1:26" ht="12.75" customHeight="1" x14ac:dyDescent="0.2">
      <c r="A42700" s="258"/>
      <c r="Z42700" s="258"/>
    </row>
    <row r="42701" spans="1:26" ht="12.75" customHeight="1" x14ac:dyDescent="0.2">
      <c r="A42701" s="258"/>
      <c r="Z42701" s="258"/>
    </row>
    <row r="42702" spans="1:26" ht="12.75" customHeight="1" x14ac:dyDescent="0.2">
      <c r="A42702" s="258"/>
      <c r="Z42702" s="258"/>
    </row>
    <row r="42703" spans="1:26" ht="12.75" customHeight="1" x14ac:dyDescent="0.2">
      <c r="A42703" s="258"/>
      <c r="Z42703" s="258"/>
    </row>
    <row r="42704" spans="1:26" ht="12.75" customHeight="1" x14ac:dyDescent="0.2">
      <c r="A42704" s="258"/>
      <c r="Z42704" s="258"/>
    </row>
    <row r="42705" spans="1:26" ht="12.75" customHeight="1" x14ac:dyDescent="0.2">
      <c r="A42705" s="258"/>
      <c r="Z42705" s="258"/>
    </row>
    <row r="42706" spans="1:26" ht="12.75" customHeight="1" x14ac:dyDescent="0.2">
      <c r="A42706" s="258"/>
      <c r="Z42706" s="258"/>
    </row>
    <row r="42707" spans="1:26" ht="12.75" customHeight="1" x14ac:dyDescent="0.2">
      <c r="A42707" s="258"/>
      <c r="Z42707" s="258"/>
    </row>
    <row r="42708" spans="1:26" ht="12.75" customHeight="1" x14ac:dyDescent="0.2">
      <c r="A42708" s="258"/>
      <c r="Z42708" s="258"/>
    </row>
    <row r="42709" spans="1:26" ht="12.75" customHeight="1" x14ac:dyDescent="0.2">
      <c r="A42709" s="258"/>
      <c r="Z42709" s="258"/>
    </row>
    <row r="42710" spans="1:26" ht="12.75" customHeight="1" x14ac:dyDescent="0.2">
      <c r="A42710" s="258"/>
      <c r="Z42710" s="258"/>
    </row>
    <row r="42711" spans="1:26" ht="12.75" customHeight="1" x14ac:dyDescent="0.2">
      <c r="A42711" s="258"/>
      <c r="Z42711" s="258"/>
    </row>
    <row r="42712" spans="1:26" ht="12.75" customHeight="1" x14ac:dyDescent="0.2">
      <c r="A42712" s="258"/>
      <c r="Z42712" s="258"/>
    </row>
    <row r="42713" spans="1:26" ht="12.75" customHeight="1" x14ac:dyDescent="0.2">
      <c r="A42713" s="258"/>
      <c r="Z42713" s="258"/>
    </row>
    <row r="42714" spans="1:26" ht="12.75" customHeight="1" x14ac:dyDescent="0.2">
      <c r="A42714" s="258"/>
      <c r="Z42714" s="258"/>
    </row>
    <row r="42715" spans="1:26" ht="12.75" customHeight="1" x14ac:dyDescent="0.2">
      <c r="A42715" s="258"/>
      <c r="Z42715" s="258"/>
    </row>
    <row r="42716" spans="1:26" ht="12.75" customHeight="1" x14ac:dyDescent="0.2">
      <c r="A42716" s="258"/>
      <c r="Z42716" s="258"/>
    </row>
    <row r="42717" spans="1:26" ht="12.75" customHeight="1" x14ac:dyDescent="0.2">
      <c r="A42717" s="258"/>
      <c r="Z42717" s="258"/>
    </row>
    <row r="42718" spans="1:26" ht="12.75" customHeight="1" x14ac:dyDescent="0.2">
      <c r="A42718" s="258"/>
      <c r="Z42718" s="258"/>
    </row>
    <row r="42719" spans="1:26" ht="12.75" customHeight="1" x14ac:dyDescent="0.2">
      <c r="A42719" s="258"/>
      <c r="Z42719" s="258"/>
    </row>
    <row r="42720" spans="1:26" ht="12.75" customHeight="1" x14ac:dyDescent="0.2">
      <c r="A42720" s="258"/>
      <c r="Z42720" s="258"/>
    </row>
    <row r="42721" spans="1:26" ht="12.75" customHeight="1" x14ac:dyDescent="0.2">
      <c r="A42721" s="258"/>
      <c r="Z42721" s="258"/>
    </row>
    <row r="42722" spans="1:26" ht="12.75" customHeight="1" x14ac:dyDescent="0.2">
      <c r="A42722" s="258"/>
      <c r="Z42722" s="258"/>
    </row>
    <row r="42723" spans="1:26" ht="12.75" customHeight="1" x14ac:dyDescent="0.2">
      <c r="A42723" s="258"/>
      <c r="Z42723" s="258"/>
    </row>
    <row r="42724" spans="1:26" ht="12.75" customHeight="1" x14ac:dyDescent="0.2">
      <c r="A42724" s="258"/>
      <c r="Z42724" s="258"/>
    </row>
    <row r="42725" spans="1:26" ht="12.75" customHeight="1" x14ac:dyDescent="0.2">
      <c r="A42725" s="258"/>
      <c r="Z42725" s="258"/>
    </row>
    <row r="42726" spans="1:26" ht="12.75" customHeight="1" x14ac:dyDescent="0.2">
      <c r="A42726" s="258"/>
      <c r="Z42726" s="258"/>
    </row>
    <row r="42727" spans="1:26" ht="12.75" customHeight="1" x14ac:dyDescent="0.2">
      <c r="A42727" s="258"/>
      <c r="Z42727" s="258"/>
    </row>
    <row r="42728" spans="1:26" ht="12.75" customHeight="1" x14ac:dyDescent="0.2">
      <c r="A42728" s="258"/>
      <c r="Z42728" s="258"/>
    </row>
    <row r="42729" spans="1:26" ht="12.75" customHeight="1" x14ac:dyDescent="0.2">
      <c r="A42729" s="258"/>
      <c r="Z42729" s="258"/>
    </row>
    <row r="42730" spans="1:26" ht="12.75" customHeight="1" x14ac:dyDescent="0.2">
      <c r="A42730" s="258"/>
      <c r="Z42730" s="258"/>
    </row>
    <row r="42731" spans="1:26" ht="12.75" customHeight="1" x14ac:dyDescent="0.2">
      <c r="A42731" s="258"/>
      <c r="Z42731" s="258"/>
    </row>
    <row r="42732" spans="1:26" ht="12.75" customHeight="1" x14ac:dyDescent="0.2">
      <c r="A42732" s="258"/>
      <c r="Z42732" s="258"/>
    </row>
    <row r="42733" spans="1:26" ht="12.75" customHeight="1" x14ac:dyDescent="0.2">
      <c r="A42733" s="258"/>
      <c r="Z42733" s="258"/>
    </row>
    <row r="42734" spans="1:26" ht="12.75" customHeight="1" x14ac:dyDescent="0.2">
      <c r="A42734" s="258"/>
      <c r="Z42734" s="258"/>
    </row>
    <row r="42735" spans="1:26" ht="12.75" customHeight="1" x14ac:dyDescent="0.2">
      <c r="A42735" s="258"/>
      <c r="Z42735" s="258"/>
    </row>
    <row r="42736" spans="1:26" ht="12.75" customHeight="1" x14ac:dyDescent="0.2">
      <c r="A42736" s="258"/>
      <c r="Z42736" s="258"/>
    </row>
    <row r="42737" spans="1:26" ht="12.75" customHeight="1" x14ac:dyDescent="0.2">
      <c r="A42737" s="258"/>
      <c r="Z42737" s="258"/>
    </row>
    <row r="42738" spans="1:26" ht="12.75" customHeight="1" x14ac:dyDescent="0.2">
      <c r="A42738" s="258"/>
      <c r="Z42738" s="258"/>
    </row>
    <row r="42739" spans="1:26" ht="12.75" customHeight="1" x14ac:dyDescent="0.2">
      <c r="A42739" s="258"/>
      <c r="Z42739" s="258"/>
    </row>
    <row r="42740" spans="1:26" ht="12.75" customHeight="1" x14ac:dyDescent="0.2">
      <c r="A42740" s="258"/>
      <c r="Z42740" s="258"/>
    </row>
    <row r="42741" spans="1:26" ht="12.75" customHeight="1" x14ac:dyDescent="0.2">
      <c r="A42741" s="258"/>
      <c r="Z42741" s="258"/>
    </row>
    <row r="42742" spans="1:26" ht="12.75" customHeight="1" x14ac:dyDescent="0.2">
      <c r="A42742" s="258"/>
      <c r="Z42742" s="258"/>
    </row>
    <row r="42743" spans="1:26" ht="12.75" customHeight="1" x14ac:dyDescent="0.2">
      <c r="A42743" s="258"/>
      <c r="Z42743" s="258"/>
    </row>
    <row r="42744" spans="1:26" ht="12.75" customHeight="1" x14ac:dyDescent="0.2">
      <c r="A42744" s="258"/>
      <c r="Z42744" s="258"/>
    </row>
    <row r="42745" spans="1:26" ht="12.75" customHeight="1" x14ac:dyDescent="0.2">
      <c r="A42745" s="258"/>
      <c r="Z42745" s="258"/>
    </row>
    <row r="42746" spans="1:26" ht="12.75" customHeight="1" x14ac:dyDescent="0.2">
      <c r="A42746" s="258"/>
      <c r="Z42746" s="258"/>
    </row>
    <row r="42747" spans="1:26" ht="12.75" customHeight="1" x14ac:dyDescent="0.2">
      <c r="A42747" s="258"/>
      <c r="Z42747" s="258"/>
    </row>
    <row r="42748" spans="1:26" ht="12.75" customHeight="1" x14ac:dyDescent="0.2">
      <c r="A42748" s="258"/>
      <c r="Z42748" s="258"/>
    </row>
    <row r="42749" spans="1:26" ht="12.75" customHeight="1" x14ac:dyDescent="0.2">
      <c r="A42749" s="258"/>
      <c r="Z42749" s="258"/>
    </row>
    <row r="42750" spans="1:26" ht="12.75" customHeight="1" x14ac:dyDescent="0.2">
      <c r="A42750" s="258"/>
      <c r="Z42750" s="258"/>
    </row>
    <row r="42751" spans="1:26" ht="12.75" customHeight="1" x14ac:dyDescent="0.2">
      <c r="A42751" s="258"/>
      <c r="Z42751" s="258"/>
    </row>
    <row r="42752" spans="1:26" ht="12.75" customHeight="1" x14ac:dyDescent="0.2">
      <c r="A42752" s="258"/>
      <c r="Z42752" s="258"/>
    </row>
    <row r="42753" spans="1:26" ht="12.75" customHeight="1" x14ac:dyDescent="0.2">
      <c r="A42753" s="258"/>
      <c r="Z42753" s="258"/>
    </row>
    <row r="42754" spans="1:26" ht="12.75" customHeight="1" x14ac:dyDescent="0.2">
      <c r="A42754" s="258"/>
      <c r="Z42754" s="258"/>
    </row>
    <row r="42755" spans="1:26" ht="12.75" customHeight="1" x14ac:dyDescent="0.2">
      <c r="A42755" s="258"/>
      <c r="Z42755" s="258"/>
    </row>
    <row r="42756" spans="1:26" ht="12.75" customHeight="1" x14ac:dyDescent="0.2">
      <c r="A42756" s="258"/>
      <c r="Z42756" s="258"/>
    </row>
    <row r="42757" spans="1:26" ht="12.75" customHeight="1" x14ac:dyDescent="0.2">
      <c r="A42757" s="258"/>
      <c r="Z42757" s="258"/>
    </row>
    <row r="42758" spans="1:26" ht="12.75" customHeight="1" x14ac:dyDescent="0.2">
      <c r="A42758" s="258"/>
      <c r="Z42758" s="258"/>
    </row>
    <row r="42759" spans="1:26" ht="12.75" customHeight="1" x14ac:dyDescent="0.2">
      <c r="A42759" s="258"/>
      <c r="Z42759" s="258"/>
    </row>
    <row r="42760" spans="1:26" ht="12.75" customHeight="1" x14ac:dyDescent="0.2">
      <c r="A42760" s="258"/>
      <c r="Z42760" s="258"/>
    </row>
    <row r="42761" spans="1:26" ht="12.75" customHeight="1" x14ac:dyDescent="0.2">
      <c r="A42761" s="258"/>
      <c r="Z42761" s="258"/>
    </row>
    <row r="42762" spans="1:26" ht="12.75" customHeight="1" x14ac:dyDescent="0.2">
      <c r="A42762" s="258"/>
      <c r="Z42762" s="258"/>
    </row>
    <row r="42763" spans="1:26" ht="12.75" customHeight="1" x14ac:dyDescent="0.2">
      <c r="A42763" s="258"/>
      <c r="Z42763" s="258"/>
    </row>
    <row r="42764" spans="1:26" ht="12.75" customHeight="1" x14ac:dyDescent="0.2">
      <c r="A42764" s="258"/>
      <c r="Z42764" s="258"/>
    </row>
    <row r="42765" spans="1:26" ht="12.75" customHeight="1" x14ac:dyDescent="0.2">
      <c r="A42765" s="258"/>
      <c r="Z42765" s="258"/>
    </row>
    <row r="42766" spans="1:26" ht="12.75" customHeight="1" x14ac:dyDescent="0.2">
      <c r="A42766" s="258"/>
      <c r="Z42766" s="258"/>
    </row>
    <row r="42767" spans="1:26" ht="12.75" customHeight="1" x14ac:dyDescent="0.2">
      <c r="A42767" s="258"/>
      <c r="Z42767" s="258"/>
    </row>
    <row r="42768" spans="1:26" ht="12.75" customHeight="1" x14ac:dyDescent="0.2">
      <c r="A42768" s="258"/>
      <c r="Z42768" s="258"/>
    </row>
    <row r="42769" spans="1:26" ht="12.75" customHeight="1" x14ac:dyDescent="0.2">
      <c r="A42769" s="258"/>
      <c r="Z42769" s="258"/>
    </row>
    <row r="42770" spans="1:26" ht="12.75" customHeight="1" x14ac:dyDescent="0.2">
      <c r="A42770" s="258"/>
      <c r="Z42770" s="258"/>
    </row>
    <row r="42771" spans="1:26" ht="12.75" customHeight="1" x14ac:dyDescent="0.2">
      <c r="A42771" s="258"/>
      <c r="Z42771" s="258"/>
    </row>
    <row r="42772" spans="1:26" ht="12.75" customHeight="1" x14ac:dyDescent="0.2">
      <c r="A42772" s="258"/>
      <c r="Z42772" s="258"/>
    </row>
    <row r="42773" spans="1:26" ht="12.75" customHeight="1" x14ac:dyDescent="0.2">
      <c r="A42773" s="258"/>
      <c r="Z42773" s="258"/>
    </row>
    <row r="42774" spans="1:26" ht="12.75" customHeight="1" x14ac:dyDescent="0.2">
      <c r="A42774" s="258"/>
      <c r="Z42774" s="258"/>
    </row>
    <row r="42775" spans="1:26" ht="12.75" customHeight="1" x14ac:dyDescent="0.2">
      <c r="A42775" s="258"/>
      <c r="Z42775" s="258"/>
    </row>
    <row r="42776" spans="1:26" ht="12.75" customHeight="1" x14ac:dyDescent="0.2">
      <c r="A42776" s="258"/>
      <c r="Z42776" s="258"/>
    </row>
    <row r="42777" spans="1:26" ht="12.75" customHeight="1" x14ac:dyDescent="0.2">
      <c r="A42777" s="258"/>
      <c r="Z42777" s="258"/>
    </row>
    <row r="42778" spans="1:26" ht="12.75" customHeight="1" x14ac:dyDescent="0.2">
      <c r="A42778" s="258"/>
      <c r="Z42778" s="258"/>
    </row>
    <row r="42779" spans="1:26" ht="12.75" customHeight="1" x14ac:dyDescent="0.2">
      <c r="A42779" s="258"/>
      <c r="Z42779" s="258"/>
    </row>
    <row r="42780" spans="1:26" ht="12.75" customHeight="1" x14ac:dyDescent="0.2">
      <c r="A42780" s="258"/>
      <c r="Z42780" s="258"/>
    </row>
    <row r="42781" spans="1:26" ht="12.75" customHeight="1" x14ac:dyDescent="0.2">
      <c r="A42781" s="258"/>
      <c r="Z42781" s="258"/>
    </row>
    <row r="42782" spans="1:26" ht="12.75" customHeight="1" x14ac:dyDescent="0.2">
      <c r="A42782" s="258"/>
      <c r="Z42782" s="258"/>
    </row>
    <row r="42783" spans="1:26" ht="12.75" customHeight="1" x14ac:dyDescent="0.2">
      <c r="A42783" s="258"/>
      <c r="Z42783" s="258"/>
    </row>
    <row r="42784" spans="1:26" ht="12.75" customHeight="1" x14ac:dyDescent="0.2">
      <c r="A42784" s="258"/>
      <c r="Z42784" s="258"/>
    </row>
    <row r="42785" spans="1:26" ht="12.75" customHeight="1" x14ac:dyDescent="0.2">
      <c r="A42785" s="258"/>
      <c r="Z42785" s="258"/>
    </row>
    <row r="42786" spans="1:26" ht="12.75" customHeight="1" x14ac:dyDescent="0.2">
      <c r="A42786" s="258"/>
      <c r="Z42786" s="258"/>
    </row>
    <row r="42787" spans="1:26" ht="12.75" customHeight="1" x14ac:dyDescent="0.2">
      <c r="A42787" s="258"/>
      <c r="Z42787" s="258"/>
    </row>
    <row r="42788" spans="1:26" ht="12.75" customHeight="1" x14ac:dyDescent="0.2">
      <c r="A42788" s="258"/>
      <c r="Z42788" s="258"/>
    </row>
    <row r="42789" spans="1:26" ht="12.75" customHeight="1" x14ac:dyDescent="0.2">
      <c r="A42789" s="258"/>
      <c r="Z42789" s="258"/>
    </row>
    <row r="42790" spans="1:26" ht="12.75" customHeight="1" x14ac:dyDescent="0.2">
      <c r="A42790" s="258"/>
      <c r="Z42790" s="258"/>
    </row>
    <row r="42791" spans="1:26" ht="12.75" customHeight="1" x14ac:dyDescent="0.2">
      <c r="A42791" s="258"/>
      <c r="Z42791" s="258"/>
    </row>
    <row r="42792" spans="1:26" ht="12.75" customHeight="1" x14ac:dyDescent="0.2">
      <c r="A42792" s="258"/>
      <c r="Z42792" s="258"/>
    </row>
    <row r="42793" spans="1:26" ht="12.75" customHeight="1" x14ac:dyDescent="0.2">
      <c r="A42793" s="258"/>
      <c r="Z42793" s="258"/>
    </row>
    <row r="42794" spans="1:26" ht="12.75" customHeight="1" x14ac:dyDescent="0.2">
      <c r="A42794" s="258"/>
      <c r="Z42794" s="258"/>
    </row>
    <row r="42795" spans="1:26" ht="12.75" customHeight="1" x14ac:dyDescent="0.2">
      <c r="A42795" s="258"/>
      <c r="Z42795" s="258"/>
    </row>
    <row r="42796" spans="1:26" ht="12.75" customHeight="1" x14ac:dyDescent="0.2">
      <c r="A42796" s="258"/>
      <c r="Z42796" s="258"/>
    </row>
    <row r="42797" spans="1:26" ht="12.75" customHeight="1" x14ac:dyDescent="0.2">
      <c r="A42797" s="258"/>
      <c r="Z42797" s="258"/>
    </row>
    <row r="42798" spans="1:26" ht="12.75" customHeight="1" x14ac:dyDescent="0.2">
      <c r="A42798" s="258"/>
      <c r="Z42798" s="258"/>
    </row>
    <row r="42799" spans="1:26" ht="12.75" customHeight="1" x14ac:dyDescent="0.2">
      <c r="A42799" s="258"/>
      <c r="Z42799" s="258"/>
    </row>
    <row r="42800" spans="1:26" ht="12.75" customHeight="1" x14ac:dyDescent="0.2">
      <c r="A42800" s="258"/>
      <c r="Z42800" s="258"/>
    </row>
    <row r="42801" spans="1:26" ht="12.75" customHeight="1" x14ac:dyDescent="0.2">
      <c r="A42801" s="258"/>
      <c r="Z42801" s="258"/>
    </row>
    <row r="42802" spans="1:26" ht="12.75" customHeight="1" x14ac:dyDescent="0.2">
      <c r="A42802" s="258"/>
      <c r="Z42802" s="258"/>
    </row>
    <row r="42803" spans="1:26" ht="12.75" customHeight="1" x14ac:dyDescent="0.2">
      <c r="A42803" s="258"/>
      <c r="Z42803" s="258"/>
    </row>
    <row r="42804" spans="1:26" ht="12.75" customHeight="1" x14ac:dyDescent="0.2">
      <c r="A42804" s="258"/>
      <c r="Z42804" s="258"/>
    </row>
    <row r="42805" spans="1:26" ht="12.75" customHeight="1" x14ac:dyDescent="0.2">
      <c r="A42805" s="258"/>
      <c r="Z42805" s="258"/>
    </row>
    <row r="42806" spans="1:26" ht="12.75" customHeight="1" x14ac:dyDescent="0.2">
      <c r="A42806" s="258"/>
      <c r="Z42806" s="258"/>
    </row>
    <row r="42807" spans="1:26" ht="12.75" customHeight="1" x14ac:dyDescent="0.2">
      <c r="A42807" s="258"/>
      <c r="Z42807" s="258"/>
    </row>
    <row r="42808" spans="1:26" ht="12.75" customHeight="1" x14ac:dyDescent="0.2">
      <c r="A42808" s="258"/>
      <c r="Z42808" s="258"/>
    </row>
    <row r="42809" spans="1:26" ht="12.75" customHeight="1" x14ac:dyDescent="0.2">
      <c r="A42809" s="258"/>
      <c r="Z42809" s="258"/>
    </row>
    <row r="42810" spans="1:26" ht="12.75" customHeight="1" x14ac:dyDescent="0.2">
      <c r="A42810" s="258"/>
      <c r="Z42810" s="258"/>
    </row>
    <row r="42811" spans="1:26" ht="12.75" customHeight="1" x14ac:dyDescent="0.2">
      <c r="A42811" s="258"/>
      <c r="Z42811" s="258"/>
    </row>
    <row r="42812" spans="1:26" ht="12.75" customHeight="1" x14ac:dyDescent="0.2">
      <c r="A42812" s="258"/>
      <c r="Z42812" s="258"/>
    </row>
    <row r="42813" spans="1:26" ht="12.75" customHeight="1" x14ac:dyDescent="0.2">
      <c r="A42813" s="258"/>
      <c r="Z42813" s="258"/>
    </row>
    <row r="42814" spans="1:26" ht="12.75" customHeight="1" x14ac:dyDescent="0.2">
      <c r="A42814" s="258"/>
      <c r="Z42814" s="258"/>
    </row>
    <row r="42815" spans="1:26" ht="12.75" customHeight="1" x14ac:dyDescent="0.2">
      <c r="A42815" s="258"/>
      <c r="Z42815" s="258"/>
    </row>
    <row r="42816" spans="1:26" ht="12.75" customHeight="1" x14ac:dyDescent="0.2">
      <c r="A42816" s="258"/>
      <c r="Z42816" s="258"/>
    </row>
    <row r="42817" spans="1:26" ht="12.75" customHeight="1" x14ac:dyDescent="0.2">
      <c r="A42817" s="258"/>
      <c r="Z42817" s="258"/>
    </row>
    <row r="42818" spans="1:26" ht="12.75" customHeight="1" x14ac:dyDescent="0.2">
      <c r="A42818" s="258"/>
      <c r="Z42818" s="258"/>
    </row>
    <row r="42819" spans="1:26" ht="12.75" customHeight="1" x14ac:dyDescent="0.2">
      <c r="A42819" s="258"/>
      <c r="Z42819" s="258"/>
    </row>
    <row r="42820" spans="1:26" ht="12.75" customHeight="1" x14ac:dyDescent="0.2">
      <c r="A42820" s="258"/>
      <c r="Z42820" s="258"/>
    </row>
    <row r="42821" spans="1:26" ht="12.75" customHeight="1" x14ac:dyDescent="0.2">
      <c r="A42821" s="258"/>
      <c r="Z42821" s="258"/>
    </row>
    <row r="42822" spans="1:26" ht="12.75" customHeight="1" x14ac:dyDescent="0.2">
      <c r="A42822" s="258"/>
      <c r="Z42822" s="258"/>
    </row>
    <row r="42823" spans="1:26" ht="12.75" customHeight="1" x14ac:dyDescent="0.2">
      <c r="A42823" s="258"/>
      <c r="Z42823" s="258"/>
    </row>
    <row r="42824" spans="1:26" ht="12.75" customHeight="1" x14ac:dyDescent="0.2">
      <c r="A42824" s="258"/>
      <c r="Z42824" s="258"/>
    </row>
    <row r="42825" spans="1:26" ht="12.75" customHeight="1" x14ac:dyDescent="0.2">
      <c r="A42825" s="258"/>
      <c r="Z42825" s="258"/>
    </row>
    <row r="42826" spans="1:26" ht="12.75" customHeight="1" x14ac:dyDescent="0.2">
      <c r="A42826" s="258"/>
      <c r="Z42826" s="258"/>
    </row>
    <row r="42827" spans="1:26" ht="12.75" customHeight="1" x14ac:dyDescent="0.2">
      <c r="A42827" s="258"/>
      <c r="Z42827" s="258"/>
    </row>
    <row r="42828" spans="1:26" ht="12.75" customHeight="1" x14ac:dyDescent="0.2">
      <c r="A42828" s="258"/>
      <c r="Z42828" s="258"/>
    </row>
    <row r="42829" spans="1:26" ht="12.75" customHeight="1" x14ac:dyDescent="0.2">
      <c r="A42829" s="258"/>
      <c r="Z42829" s="258"/>
    </row>
    <row r="42830" spans="1:26" ht="12.75" customHeight="1" x14ac:dyDescent="0.2">
      <c r="A42830" s="258"/>
      <c r="Z42830" s="258"/>
    </row>
    <row r="42831" spans="1:26" ht="12.75" customHeight="1" x14ac:dyDescent="0.2">
      <c r="A42831" s="258"/>
      <c r="Z42831" s="258"/>
    </row>
    <row r="42832" spans="1:26" ht="12.75" customHeight="1" x14ac:dyDescent="0.2">
      <c r="A42832" s="258"/>
      <c r="Z42832" s="258"/>
    </row>
    <row r="42833" spans="1:26" ht="12.75" customHeight="1" x14ac:dyDescent="0.2">
      <c r="A42833" s="258"/>
      <c r="Z42833" s="258"/>
    </row>
    <row r="42834" spans="1:26" ht="12.75" customHeight="1" x14ac:dyDescent="0.2">
      <c r="A42834" s="258"/>
      <c r="Z42834" s="258"/>
    </row>
    <row r="42835" spans="1:26" ht="12.75" customHeight="1" x14ac:dyDescent="0.2">
      <c r="A42835" s="258"/>
      <c r="Z42835" s="258"/>
    </row>
    <row r="42836" spans="1:26" ht="12.75" customHeight="1" x14ac:dyDescent="0.2">
      <c r="A42836" s="258"/>
      <c r="Z42836" s="258"/>
    </row>
    <row r="42837" spans="1:26" ht="12.75" customHeight="1" x14ac:dyDescent="0.2">
      <c r="A42837" s="258"/>
      <c r="Z42837" s="258"/>
    </row>
    <row r="42838" spans="1:26" ht="12.75" customHeight="1" x14ac:dyDescent="0.2">
      <c r="A42838" s="258"/>
      <c r="Z42838" s="258"/>
    </row>
    <row r="42839" spans="1:26" ht="12.75" customHeight="1" x14ac:dyDescent="0.2">
      <c r="A42839" s="258"/>
      <c r="Z42839" s="258"/>
    </row>
    <row r="42840" spans="1:26" ht="12.75" customHeight="1" x14ac:dyDescent="0.2">
      <c r="A42840" s="258"/>
      <c r="Z42840" s="258"/>
    </row>
    <row r="42841" spans="1:26" ht="12.75" customHeight="1" x14ac:dyDescent="0.2">
      <c r="A42841" s="258"/>
      <c r="Z42841" s="258"/>
    </row>
    <row r="42842" spans="1:26" ht="12.75" customHeight="1" x14ac:dyDescent="0.2">
      <c r="A42842" s="258"/>
      <c r="Z42842" s="258"/>
    </row>
    <row r="42843" spans="1:26" ht="12.75" customHeight="1" x14ac:dyDescent="0.2">
      <c r="A42843" s="258"/>
      <c r="Z42843" s="258"/>
    </row>
    <row r="42844" spans="1:26" ht="12.75" customHeight="1" x14ac:dyDescent="0.2">
      <c r="A42844" s="258"/>
      <c r="Z42844" s="258"/>
    </row>
    <row r="42845" spans="1:26" ht="12.75" customHeight="1" x14ac:dyDescent="0.2">
      <c r="A42845" s="258"/>
      <c r="Z42845" s="258"/>
    </row>
    <row r="42846" spans="1:26" ht="12.75" customHeight="1" x14ac:dyDescent="0.2">
      <c r="A42846" s="258"/>
      <c r="Z42846" s="258"/>
    </row>
    <row r="42847" spans="1:26" ht="12.75" customHeight="1" x14ac:dyDescent="0.2">
      <c r="A42847" s="258"/>
      <c r="Z42847" s="258"/>
    </row>
    <row r="42848" spans="1:26" ht="12.75" customHeight="1" x14ac:dyDescent="0.2">
      <c r="A42848" s="258"/>
      <c r="Z42848" s="258"/>
    </row>
    <row r="42849" spans="1:26" ht="12.75" customHeight="1" x14ac:dyDescent="0.2">
      <c r="A42849" s="258"/>
      <c r="Z42849" s="258"/>
    </row>
    <row r="42850" spans="1:26" ht="12.75" customHeight="1" x14ac:dyDescent="0.2">
      <c r="A42850" s="258"/>
      <c r="Z42850" s="258"/>
    </row>
    <row r="42851" spans="1:26" ht="12.75" customHeight="1" x14ac:dyDescent="0.2">
      <c r="A42851" s="258"/>
      <c r="Z42851" s="258"/>
    </row>
    <row r="42852" spans="1:26" ht="12.75" customHeight="1" x14ac:dyDescent="0.2">
      <c r="A42852" s="258"/>
      <c r="Z42852" s="258"/>
    </row>
    <row r="42853" spans="1:26" ht="12.75" customHeight="1" x14ac:dyDescent="0.2">
      <c r="A42853" s="258"/>
      <c r="Z42853" s="258"/>
    </row>
    <row r="42854" spans="1:26" ht="12.75" customHeight="1" x14ac:dyDescent="0.2">
      <c r="A42854" s="258"/>
      <c r="Z42854" s="258"/>
    </row>
    <row r="42855" spans="1:26" ht="12.75" customHeight="1" x14ac:dyDescent="0.2">
      <c r="A42855" s="258"/>
      <c r="Z42855" s="258"/>
    </row>
    <row r="42856" spans="1:26" ht="12.75" customHeight="1" x14ac:dyDescent="0.2">
      <c r="A42856" s="258"/>
      <c r="Z42856" s="258"/>
    </row>
    <row r="42857" spans="1:26" ht="12.75" customHeight="1" x14ac:dyDescent="0.2">
      <c r="A42857" s="258"/>
      <c r="Z42857" s="258"/>
    </row>
    <row r="42858" spans="1:26" ht="12.75" customHeight="1" x14ac:dyDescent="0.2">
      <c r="A42858" s="258"/>
      <c r="Z42858" s="258"/>
    </row>
    <row r="42859" spans="1:26" ht="12.75" customHeight="1" x14ac:dyDescent="0.2">
      <c r="A42859" s="258"/>
      <c r="Z42859" s="258"/>
    </row>
    <row r="42860" spans="1:26" ht="12.75" customHeight="1" x14ac:dyDescent="0.2">
      <c r="A42860" s="258"/>
      <c r="Z42860" s="258"/>
    </row>
    <row r="42861" spans="1:26" ht="12.75" customHeight="1" x14ac:dyDescent="0.2">
      <c r="A42861" s="258"/>
      <c r="Z42861" s="258"/>
    </row>
    <row r="42862" spans="1:26" ht="12.75" customHeight="1" x14ac:dyDescent="0.2">
      <c r="A42862" s="258"/>
      <c r="Z42862" s="258"/>
    </row>
    <row r="42863" spans="1:26" ht="12.75" customHeight="1" x14ac:dyDescent="0.2">
      <c r="A42863" s="258"/>
      <c r="Z42863" s="258"/>
    </row>
    <row r="42864" spans="1:26" ht="12.75" customHeight="1" x14ac:dyDescent="0.2">
      <c r="A42864" s="258"/>
      <c r="Z42864" s="258"/>
    </row>
    <row r="42865" spans="1:26" ht="12.75" customHeight="1" x14ac:dyDescent="0.2">
      <c r="A42865" s="258"/>
      <c r="Z42865" s="258"/>
    </row>
    <row r="42866" spans="1:26" ht="12.75" customHeight="1" x14ac:dyDescent="0.2">
      <c r="A42866" s="258"/>
      <c r="Z42866" s="258"/>
    </row>
    <row r="42867" spans="1:26" ht="12.75" customHeight="1" x14ac:dyDescent="0.2">
      <c r="A42867" s="258"/>
      <c r="Z42867" s="258"/>
    </row>
    <row r="42868" spans="1:26" ht="12.75" customHeight="1" x14ac:dyDescent="0.2">
      <c r="A42868" s="258"/>
      <c r="Z42868" s="258"/>
    </row>
    <row r="42869" spans="1:26" ht="12.75" customHeight="1" x14ac:dyDescent="0.2">
      <c r="A42869" s="258"/>
      <c r="Z42869" s="258"/>
    </row>
    <row r="42870" spans="1:26" ht="12.75" customHeight="1" x14ac:dyDescent="0.2">
      <c r="A42870" s="258"/>
      <c r="Z42870" s="258"/>
    </row>
    <row r="42871" spans="1:26" ht="12.75" customHeight="1" x14ac:dyDescent="0.2">
      <c r="A42871" s="258"/>
      <c r="Z42871" s="258"/>
    </row>
    <row r="42872" spans="1:26" ht="12.75" customHeight="1" x14ac:dyDescent="0.2">
      <c r="A42872" s="258"/>
      <c r="Z42872" s="258"/>
    </row>
    <row r="42873" spans="1:26" ht="12.75" customHeight="1" x14ac:dyDescent="0.2">
      <c r="A42873" s="258"/>
      <c r="Z42873" s="258"/>
    </row>
    <row r="42874" spans="1:26" ht="12.75" customHeight="1" x14ac:dyDescent="0.2">
      <c r="A42874" s="258"/>
      <c r="Z42874" s="258"/>
    </row>
    <row r="42875" spans="1:26" ht="12.75" customHeight="1" x14ac:dyDescent="0.2">
      <c r="A42875" s="258"/>
      <c r="Z42875" s="258"/>
    </row>
    <row r="42876" spans="1:26" ht="12.75" customHeight="1" x14ac:dyDescent="0.2">
      <c r="A42876" s="258"/>
      <c r="Z42876" s="258"/>
    </row>
    <row r="42877" spans="1:26" ht="12.75" customHeight="1" x14ac:dyDescent="0.2">
      <c r="A42877" s="258"/>
      <c r="Z42877" s="258"/>
    </row>
    <row r="42878" spans="1:26" ht="12.75" customHeight="1" x14ac:dyDescent="0.2">
      <c r="A42878" s="258"/>
      <c r="Z42878" s="258"/>
    </row>
    <row r="42879" spans="1:26" ht="12.75" customHeight="1" x14ac:dyDescent="0.2">
      <c r="A42879" s="258"/>
      <c r="Z42879" s="258"/>
    </row>
    <row r="42880" spans="1:26" ht="12.75" customHeight="1" x14ac:dyDescent="0.2">
      <c r="A42880" s="258"/>
      <c r="Z42880" s="258"/>
    </row>
    <row r="42881" spans="1:26" ht="12.75" customHeight="1" x14ac:dyDescent="0.2">
      <c r="A42881" s="258"/>
      <c r="Z42881" s="258"/>
    </row>
    <row r="42882" spans="1:26" ht="12.75" customHeight="1" x14ac:dyDescent="0.2">
      <c r="A42882" s="258"/>
      <c r="Z42882" s="258"/>
    </row>
    <row r="42883" spans="1:26" ht="12.75" customHeight="1" x14ac:dyDescent="0.2">
      <c r="A42883" s="258"/>
      <c r="Z42883" s="258"/>
    </row>
    <row r="42884" spans="1:26" ht="12.75" customHeight="1" x14ac:dyDescent="0.2">
      <c r="A42884" s="258"/>
      <c r="Z42884" s="258"/>
    </row>
    <row r="42885" spans="1:26" ht="12.75" customHeight="1" x14ac:dyDescent="0.2">
      <c r="A42885" s="258"/>
      <c r="Z42885" s="258"/>
    </row>
    <row r="42886" spans="1:26" ht="12.75" customHeight="1" x14ac:dyDescent="0.2">
      <c r="A42886" s="258"/>
      <c r="Z42886" s="258"/>
    </row>
    <row r="42887" spans="1:26" ht="12.75" customHeight="1" x14ac:dyDescent="0.2">
      <c r="A42887" s="258"/>
      <c r="Z42887" s="258"/>
    </row>
    <row r="42888" spans="1:26" ht="12.75" customHeight="1" x14ac:dyDescent="0.2">
      <c r="A42888" s="258"/>
      <c r="Z42888" s="258"/>
    </row>
    <row r="42889" spans="1:26" ht="12.75" customHeight="1" x14ac:dyDescent="0.2">
      <c r="A42889" s="258"/>
      <c r="Z42889" s="258"/>
    </row>
    <row r="42890" spans="1:26" ht="12.75" customHeight="1" x14ac:dyDescent="0.2">
      <c r="A42890" s="258"/>
      <c r="Z42890" s="258"/>
    </row>
    <row r="42891" spans="1:26" ht="12.75" customHeight="1" x14ac:dyDescent="0.2">
      <c r="A42891" s="258"/>
      <c r="Z42891" s="258"/>
    </row>
    <row r="42892" spans="1:26" ht="12.75" customHeight="1" x14ac:dyDescent="0.2">
      <c r="A42892" s="258"/>
      <c r="Z42892" s="258"/>
    </row>
    <row r="42893" spans="1:26" ht="12.75" customHeight="1" x14ac:dyDescent="0.2">
      <c r="A42893" s="258"/>
      <c r="Z42893" s="258"/>
    </row>
    <row r="42894" spans="1:26" ht="12.75" customHeight="1" x14ac:dyDescent="0.2">
      <c r="A42894" s="258"/>
      <c r="Z42894" s="258"/>
    </row>
    <row r="42895" spans="1:26" ht="12.75" customHeight="1" x14ac:dyDescent="0.2">
      <c r="A42895" s="258"/>
      <c r="Z42895" s="258"/>
    </row>
    <row r="42896" spans="1:26" ht="12.75" customHeight="1" x14ac:dyDescent="0.2">
      <c r="A42896" s="258"/>
      <c r="Z42896" s="258"/>
    </row>
    <row r="42897" spans="1:26" ht="12.75" customHeight="1" x14ac:dyDescent="0.2">
      <c r="A42897" s="258"/>
      <c r="Z42897" s="258"/>
    </row>
    <row r="42898" spans="1:26" ht="12.75" customHeight="1" x14ac:dyDescent="0.2">
      <c r="A42898" s="258"/>
      <c r="Z42898" s="258"/>
    </row>
    <row r="42899" spans="1:26" ht="12.75" customHeight="1" x14ac:dyDescent="0.2">
      <c r="A42899" s="258"/>
      <c r="Z42899" s="258"/>
    </row>
    <row r="42900" spans="1:26" ht="12.75" customHeight="1" x14ac:dyDescent="0.2">
      <c r="A42900" s="258"/>
      <c r="Z42900" s="258"/>
    </row>
    <row r="42901" spans="1:26" ht="12.75" customHeight="1" x14ac:dyDescent="0.2">
      <c r="A42901" s="258"/>
      <c r="Z42901" s="258"/>
    </row>
    <row r="42902" spans="1:26" ht="12.75" customHeight="1" x14ac:dyDescent="0.2">
      <c r="A42902" s="258"/>
      <c r="Z42902" s="258"/>
    </row>
    <row r="42903" spans="1:26" ht="12.75" customHeight="1" x14ac:dyDescent="0.2">
      <c r="A42903" s="258"/>
      <c r="Z42903" s="258"/>
    </row>
    <row r="42904" spans="1:26" ht="12.75" customHeight="1" x14ac:dyDescent="0.2">
      <c r="A42904" s="258"/>
      <c r="Z42904" s="258"/>
    </row>
    <row r="42905" spans="1:26" ht="12.75" customHeight="1" x14ac:dyDescent="0.2">
      <c r="A42905" s="258"/>
      <c r="Z42905" s="258"/>
    </row>
    <row r="42906" spans="1:26" ht="12.75" customHeight="1" x14ac:dyDescent="0.2">
      <c r="A42906" s="258"/>
      <c r="Z42906" s="258"/>
    </row>
    <row r="42907" spans="1:26" ht="12.75" customHeight="1" x14ac:dyDescent="0.2">
      <c r="A42907" s="258"/>
      <c r="Z42907" s="258"/>
    </row>
    <row r="42908" spans="1:26" ht="12.75" customHeight="1" x14ac:dyDescent="0.2">
      <c r="A42908" s="258"/>
      <c r="Z42908" s="258"/>
    </row>
    <row r="42909" spans="1:26" ht="12.75" customHeight="1" x14ac:dyDescent="0.2">
      <c r="A42909" s="258"/>
      <c r="Z42909" s="258"/>
    </row>
    <row r="42910" spans="1:26" ht="12.75" customHeight="1" x14ac:dyDescent="0.2">
      <c r="A42910" s="258"/>
      <c r="Z42910" s="258"/>
    </row>
    <row r="42911" spans="1:26" ht="12.75" customHeight="1" x14ac:dyDescent="0.2">
      <c r="A42911" s="258"/>
      <c r="Z42911" s="258"/>
    </row>
    <row r="42912" spans="1:26" ht="12.75" customHeight="1" x14ac:dyDescent="0.2">
      <c r="A42912" s="258"/>
      <c r="Z42912" s="258"/>
    </row>
    <row r="42913" spans="1:26" ht="12.75" customHeight="1" x14ac:dyDescent="0.2">
      <c r="A42913" s="258"/>
      <c r="Z42913" s="258"/>
    </row>
    <row r="42914" spans="1:26" ht="12.75" customHeight="1" x14ac:dyDescent="0.2">
      <c r="A42914" s="258"/>
      <c r="Z42914" s="258"/>
    </row>
    <row r="42915" spans="1:26" ht="12.75" customHeight="1" x14ac:dyDescent="0.2">
      <c r="A42915" s="258"/>
      <c r="Z42915" s="258"/>
    </row>
    <row r="42916" spans="1:26" ht="12.75" customHeight="1" x14ac:dyDescent="0.2">
      <c r="A42916" s="258"/>
      <c r="Z42916" s="258"/>
    </row>
    <row r="42917" spans="1:26" ht="12.75" customHeight="1" x14ac:dyDescent="0.2">
      <c r="A42917" s="258"/>
      <c r="Z42917" s="258"/>
    </row>
    <row r="42918" spans="1:26" ht="12.75" customHeight="1" x14ac:dyDescent="0.2">
      <c r="A42918" s="258"/>
      <c r="Z42918" s="258"/>
    </row>
    <row r="42919" spans="1:26" ht="12.75" customHeight="1" x14ac:dyDescent="0.2">
      <c r="A42919" s="258"/>
      <c r="Z42919" s="258"/>
    </row>
    <row r="42920" spans="1:26" ht="12.75" customHeight="1" x14ac:dyDescent="0.2">
      <c r="A42920" s="258"/>
      <c r="Z42920" s="258"/>
    </row>
    <row r="42921" spans="1:26" ht="12.75" customHeight="1" x14ac:dyDescent="0.2">
      <c r="A42921" s="258"/>
      <c r="Z42921" s="258"/>
    </row>
    <row r="42922" spans="1:26" ht="12.75" customHeight="1" x14ac:dyDescent="0.2">
      <c r="A42922" s="258"/>
      <c r="Z42922" s="258"/>
    </row>
    <row r="42923" spans="1:26" ht="12.75" customHeight="1" x14ac:dyDescent="0.2">
      <c r="A42923" s="258"/>
      <c r="Z42923" s="258"/>
    </row>
    <row r="42924" spans="1:26" ht="12.75" customHeight="1" x14ac:dyDescent="0.2">
      <c r="A42924" s="258"/>
      <c r="Z42924" s="258"/>
    </row>
    <row r="42925" spans="1:26" ht="12.75" customHeight="1" x14ac:dyDescent="0.2">
      <c r="A42925" s="258"/>
      <c r="Z42925" s="258"/>
    </row>
    <row r="42926" spans="1:26" ht="12.75" customHeight="1" x14ac:dyDescent="0.2">
      <c r="A42926" s="258"/>
      <c r="Z42926" s="258"/>
    </row>
    <row r="42927" spans="1:26" ht="12.75" customHeight="1" x14ac:dyDescent="0.2">
      <c r="A42927" s="258"/>
      <c r="Z42927" s="258"/>
    </row>
    <row r="42928" spans="1:26" ht="12.75" customHeight="1" x14ac:dyDescent="0.2">
      <c r="A42928" s="258"/>
      <c r="Z42928" s="258"/>
    </row>
    <row r="42929" spans="1:26" ht="12.75" customHeight="1" x14ac:dyDescent="0.2">
      <c r="A42929" s="258"/>
      <c r="Z42929" s="258"/>
    </row>
    <row r="42930" spans="1:26" ht="12.75" customHeight="1" x14ac:dyDescent="0.2">
      <c r="A42930" s="258"/>
      <c r="Z42930" s="258"/>
    </row>
    <row r="42931" spans="1:26" ht="12.75" customHeight="1" x14ac:dyDescent="0.2">
      <c r="A42931" s="258"/>
      <c r="Z42931" s="258"/>
    </row>
    <row r="42932" spans="1:26" ht="12.75" customHeight="1" x14ac:dyDescent="0.2">
      <c r="A42932" s="258"/>
      <c r="Z42932" s="258"/>
    </row>
    <row r="42933" spans="1:26" ht="12.75" customHeight="1" x14ac:dyDescent="0.2">
      <c r="A42933" s="258"/>
      <c r="Z42933" s="258"/>
    </row>
    <row r="42934" spans="1:26" ht="12.75" customHeight="1" x14ac:dyDescent="0.2">
      <c r="A42934" s="258"/>
      <c r="Z42934" s="258"/>
    </row>
    <row r="42935" spans="1:26" ht="12.75" customHeight="1" x14ac:dyDescent="0.2">
      <c r="A42935" s="258"/>
      <c r="Z42935" s="258"/>
    </row>
    <row r="42936" spans="1:26" ht="12.75" customHeight="1" x14ac:dyDescent="0.2">
      <c r="A42936" s="258"/>
      <c r="Z42936" s="258"/>
    </row>
    <row r="42937" spans="1:26" ht="12.75" customHeight="1" x14ac:dyDescent="0.2">
      <c r="A42937" s="258"/>
      <c r="Z42937" s="258"/>
    </row>
    <row r="42938" spans="1:26" ht="12.75" customHeight="1" x14ac:dyDescent="0.2">
      <c r="A42938" s="258"/>
      <c r="Z42938" s="258"/>
    </row>
    <row r="42939" spans="1:26" ht="12.75" customHeight="1" x14ac:dyDescent="0.2">
      <c r="A42939" s="258"/>
      <c r="Z42939" s="258"/>
    </row>
    <row r="42940" spans="1:26" ht="12.75" customHeight="1" x14ac:dyDescent="0.2">
      <c r="A42940" s="258"/>
      <c r="Z42940" s="258"/>
    </row>
    <row r="42941" spans="1:26" ht="12.75" customHeight="1" x14ac:dyDescent="0.2">
      <c r="A42941" s="258"/>
      <c r="Z42941" s="258"/>
    </row>
    <row r="42942" spans="1:26" ht="12.75" customHeight="1" x14ac:dyDescent="0.2">
      <c r="A42942" s="258"/>
      <c r="Z42942" s="258"/>
    </row>
    <row r="42943" spans="1:26" ht="12.75" customHeight="1" x14ac:dyDescent="0.2">
      <c r="A42943" s="258"/>
      <c r="Z42943" s="258"/>
    </row>
    <row r="42944" spans="1:26" ht="12.75" customHeight="1" x14ac:dyDescent="0.2">
      <c r="A42944" s="258"/>
      <c r="Z42944" s="258"/>
    </row>
    <row r="42945" spans="1:26" ht="12.75" customHeight="1" x14ac:dyDescent="0.2">
      <c r="A42945" s="258"/>
      <c r="Z42945" s="258"/>
    </row>
    <row r="42946" spans="1:26" ht="12.75" customHeight="1" x14ac:dyDescent="0.2">
      <c r="A42946" s="258"/>
      <c r="Z42946" s="258"/>
    </row>
    <row r="42947" spans="1:26" ht="12.75" customHeight="1" x14ac:dyDescent="0.2">
      <c r="A42947" s="258"/>
      <c r="Z42947" s="258"/>
    </row>
    <row r="42948" spans="1:26" ht="12.75" customHeight="1" x14ac:dyDescent="0.2">
      <c r="A42948" s="258"/>
      <c r="Z42948" s="258"/>
    </row>
    <row r="42949" spans="1:26" ht="12.75" customHeight="1" x14ac:dyDescent="0.2">
      <c r="A42949" s="258"/>
      <c r="Z42949" s="258"/>
    </row>
    <row r="42950" spans="1:26" ht="12.75" customHeight="1" x14ac:dyDescent="0.2">
      <c r="A42950" s="258"/>
      <c r="Z42950" s="258"/>
    </row>
    <row r="42951" spans="1:26" ht="12.75" customHeight="1" x14ac:dyDescent="0.2">
      <c r="A42951" s="258"/>
      <c r="Z42951" s="258"/>
    </row>
    <row r="42952" spans="1:26" ht="12.75" customHeight="1" x14ac:dyDescent="0.2">
      <c r="A42952" s="258"/>
      <c r="Z42952" s="258"/>
    </row>
    <row r="42953" spans="1:26" ht="12.75" customHeight="1" x14ac:dyDescent="0.2">
      <c r="A42953" s="258"/>
      <c r="Z42953" s="258"/>
    </row>
    <row r="42954" spans="1:26" ht="12.75" customHeight="1" x14ac:dyDescent="0.2">
      <c r="A42954" s="258"/>
      <c r="Z42954" s="258"/>
    </row>
    <row r="42955" spans="1:26" ht="12.75" customHeight="1" x14ac:dyDescent="0.2">
      <c r="A42955" s="258"/>
      <c r="Z42955" s="258"/>
    </row>
    <row r="42956" spans="1:26" ht="12.75" customHeight="1" x14ac:dyDescent="0.2">
      <c r="A42956" s="258"/>
      <c r="Z42956" s="258"/>
    </row>
    <row r="42957" spans="1:26" ht="12.75" customHeight="1" x14ac:dyDescent="0.2">
      <c r="A42957" s="258"/>
      <c r="Z42957" s="258"/>
    </row>
    <row r="42958" spans="1:26" ht="12.75" customHeight="1" x14ac:dyDescent="0.2">
      <c r="A42958" s="258"/>
      <c r="Z42958" s="258"/>
    </row>
    <row r="42959" spans="1:26" ht="12.75" customHeight="1" x14ac:dyDescent="0.2">
      <c r="A42959" s="258"/>
      <c r="Z42959" s="258"/>
    </row>
    <row r="42960" spans="1:26" ht="12.75" customHeight="1" x14ac:dyDescent="0.2">
      <c r="A42960" s="258"/>
      <c r="Z42960" s="258"/>
    </row>
    <row r="42961" spans="1:26" ht="12.75" customHeight="1" x14ac:dyDescent="0.2">
      <c r="A42961" s="258"/>
      <c r="Z42961" s="258"/>
    </row>
    <row r="42962" spans="1:26" ht="12.75" customHeight="1" x14ac:dyDescent="0.2">
      <c r="A42962" s="258"/>
      <c r="Z42962" s="258"/>
    </row>
    <row r="42963" spans="1:26" ht="12.75" customHeight="1" x14ac:dyDescent="0.2">
      <c r="A42963" s="258"/>
      <c r="Z42963" s="258"/>
    </row>
    <row r="42964" spans="1:26" ht="12.75" customHeight="1" x14ac:dyDescent="0.2">
      <c r="A42964" s="258"/>
      <c r="Z42964" s="258"/>
    </row>
    <row r="42965" spans="1:26" ht="12.75" customHeight="1" x14ac:dyDescent="0.2">
      <c r="A42965" s="258"/>
      <c r="Z42965" s="258"/>
    </row>
    <row r="42966" spans="1:26" ht="12.75" customHeight="1" x14ac:dyDescent="0.2">
      <c r="A42966" s="258"/>
      <c r="Z42966" s="258"/>
    </row>
    <row r="42967" spans="1:26" ht="12.75" customHeight="1" x14ac:dyDescent="0.2">
      <c r="A42967" s="258"/>
      <c r="Z42967" s="258"/>
    </row>
    <row r="42968" spans="1:26" ht="12.75" customHeight="1" x14ac:dyDescent="0.2">
      <c r="A42968" s="258"/>
      <c r="Z42968" s="258"/>
    </row>
    <row r="42969" spans="1:26" ht="12.75" customHeight="1" x14ac:dyDescent="0.2">
      <c r="A42969" s="258"/>
      <c r="Z42969" s="258"/>
    </row>
    <row r="42970" spans="1:26" ht="12.75" customHeight="1" x14ac:dyDescent="0.2">
      <c r="A42970" s="258"/>
      <c r="Z42970" s="258"/>
    </row>
    <row r="42971" spans="1:26" ht="12.75" customHeight="1" x14ac:dyDescent="0.2">
      <c r="A42971" s="258"/>
      <c r="Z42971" s="258"/>
    </row>
    <row r="42972" spans="1:26" ht="12.75" customHeight="1" x14ac:dyDescent="0.2">
      <c r="A42972" s="258"/>
      <c r="Z42972" s="258"/>
    </row>
    <row r="42973" spans="1:26" ht="12.75" customHeight="1" x14ac:dyDescent="0.2">
      <c r="A42973" s="258"/>
      <c r="Z42973" s="258"/>
    </row>
    <row r="42974" spans="1:26" ht="12.75" customHeight="1" x14ac:dyDescent="0.2">
      <c r="A42974" s="258"/>
      <c r="Z42974" s="258"/>
    </row>
    <row r="42975" spans="1:26" ht="12.75" customHeight="1" x14ac:dyDescent="0.2">
      <c r="A42975" s="258"/>
      <c r="Z42975" s="258"/>
    </row>
    <row r="42976" spans="1:26" ht="12.75" customHeight="1" x14ac:dyDescent="0.2">
      <c r="A42976" s="258"/>
      <c r="Z42976" s="258"/>
    </row>
    <row r="42977" spans="1:26" ht="12.75" customHeight="1" x14ac:dyDescent="0.2">
      <c r="A42977" s="258"/>
      <c r="Z42977" s="258"/>
    </row>
    <row r="42978" spans="1:26" ht="12.75" customHeight="1" x14ac:dyDescent="0.2">
      <c r="A42978" s="258"/>
      <c r="Z42978" s="258"/>
    </row>
    <row r="42979" spans="1:26" ht="12.75" customHeight="1" x14ac:dyDescent="0.2">
      <c r="A42979" s="258"/>
      <c r="Z42979" s="258"/>
    </row>
    <row r="42980" spans="1:26" ht="12.75" customHeight="1" x14ac:dyDescent="0.2">
      <c r="A42980" s="258"/>
      <c r="Z42980" s="258"/>
    </row>
    <row r="42981" spans="1:26" ht="12.75" customHeight="1" x14ac:dyDescent="0.2">
      <c r="A42981" s="258"/>
      <c r="Z42981" s="258"/>
    </row>
    <row r="42982" spans="1:26" ht="12.75" customHeight="1" x14ac:dyDescent="0.2">
      <c r="A42982" s="258"/>
      <c r="Z42982" s="258"/>
    </row>
    <row r="42983" spans="1:26" ht="12.75" customHeight="1" x14ac:dyDescent="0.2">
      <c r="A42983" s="258"/>
      <c r="Z42983" s="258"/>
    </row>
    <row r="42984" spans="1:26" ht="12.75" customHeight="1" x14ac:dyDescent="0.2">
      <c r="A42984" s="258"/>
      <c r="Z42984" s="258"/>
    </row>
    <row r="42985" spans="1:26" ht="12.75" customHeight="1" x14ac:dyDescent="0.2">
      <c r="A42985" s="258"/>
      <c r="Z42985" s="258"/>
    </row>
    <row r="42986" spans="1:26" ht="12.75" customHeight="1" x14ac:dyDescent="0.2">
      <c r="A42986" s="258"/>
      <c r="Z42986" s="258"/>
    </row>
    <row r="42987" spans="1:26" ht="12.75" customHeight="1" x14ac:dyDescent="0.2">
      <c r="A42987" s="258"/>
      <c r="Z42987" s="258"/>
    </row>
    <row r="42988" spans="1:26" ht="12.75" customHeight="1" x14ac:dyDescent="0.2">
      <c r="A42988" s="258"/>
      <c r="Z42988" s="258"/>
    </row>
    <row r="42989" spans="1:26" ht="12.75" customHeight="1" x14ac:dyDescent="0.2">
      <c r="A42989" s="258"/>
      <c r="Z42989" s="258"/>
    </row>
    <row r="42990" spans="1:26" ht="12.75" customHeight="1" x14ac:dyDescent="0.2">
      <c r="A42990" s="258"/>
      <c r="Z42990" s="258"/>
    </row>
    <row r="42991" spans="1:26" ht="12.75" customHeight="1" x14ac:dyDescent="0.2">
      <c r="A42991" s="258"/>
      <c r="Z42991" s="258"/>
    </row>
    <row r="42992" spans="1:26" ht="12.75" customHeight="1" x14ac:dyDescent="0.2">
      <c r="A42992" s="258"/>
      <c r="Z42992" s="258"/>
    </row>
    <row r="42993" spans="1:26" ht="12.75" customHeight="1" x14ac:dyDescent="0.2">
      <c r="A42993" s="258"/>
      <c r="Z42993" s="258"/>
    </row>
    <row r="42994" spans="1:26" ht="12.75" customHeight="1" x14ac:dyDescent="0.2">
      <c r="A42994" s="258"/>
      <c r="Z42994" s="258"/>
    </row>
    <row r="42995" spans="1:26" ht="12.75" customHeight="1" x14ac:dyDescent="0.2">
      <c r="A42995" s="258"/>
      <c r="Z42995" s="258"/>
    </row>
    <row r="42996" spans="1:26" ht="12.75" customHeight="1" x14ac:dyDescent="0.2">
      <c r="A42996" s="258"/>
      <c r="Z42996" s="258"/>
    </row>
    <row r="42997" spans="1:26" ht="12.75" customHeight="1" x14ac:dyDescent="0.2">
      <c r="A42997" s="258"/>
      <c r="Z42997" s="258"/>
    </row>
    <row r="42998" spans="1:26" ht="12.75" customHeight="1" x14ac:dyDescent="0.2">
      <c r="A42998" s="258"/>
      <c r="Z42998" s="258"/>
    </row>
    <row r="42999" spans="1:26" ht="12.75" customHeight="1" x14ac:dyDescent="0.2">
      <c r="A42999" s="258"/>
      <c r="Z42999" s="258"/>
    </row>
    <row r="43000" spans="1:26" ht="12.75" customHeight="1" x14ac:dyDescent="0.2">
      <c r="A43000" s="258"/>
      <c r="Z43000" s="258"/>
    </row>
    <row r="43001" spans="1:26" ht="12.75" customHeight="1" x14ac:dyDescent="0.2">
      <c r="A43001" s="258"/>
      <c r="Z43001" s="258"/>
    </row>
    <row r="43002" spans="1:26" ht="12.75" customHeight="1" x14ac:dyDescent="0.2">
      <c r="A43002" s="258"/>
      <c r="Z43002" s="258"/>
    </row>
    <row r="43003" spans="1:26" ht="12.75" customHeight="1" x14ac:dyDescent="0.2">
      <c r="A43003" s="258"/>
      <c r="Z43003" s="258"/>
    </row>
    <row r="43004" spans="1:26" ht="12.75" customHeight="1" x14ac:dyDescent="0.2">
      <c r="A43004" s="258"/>
      <c r="Z43004" s="258"/>
    </row>
    <row r="43005" spans="1:26" ht="12.75" customHeight="1" x14ac:dyDescent="0.2">
      <c r="A43005" s="258"/>
      <c r="Z43005" s="258"/>
    </row>
    <row r="43006" spans="1:26" ht="12.75" customHeight="1" x14ac:dyDescent="0.2">
      <c r="A43006" s="258"/>
      <c r="Z43006" s="258"/>
    </row>
    <row r="43007" spans="1:26" ht="12.75" customHeight="1" x14ac:dyDescent="0.2">
      <c r="A43007" s="258"/>
      <c r="Z43007" s="258"/>
    </row>
    <row r="43008" spans="1:26" ht="12.75" customHeight="1" x14ac:dyDescent="0.2">
      <c r="A43008" s="258"/>
      <c r="Z43008" s="258"/>
    </row>
    <row r="43009" spans="1:26" ht="12.75" customHeight="1" x14ac:dyDescent="0.2">
      <c r="A43009" s="258"/>
      <c r="Z43009" s="258"/>
    </row>
    <row r="43010" spans="1:26" ht="12.75" customHeight="1" x14ac:dyDescent="0.2">
      <c r="A43010" s="258"/>
      <c r="Z43010" s="258"/>
    </row>
    <row r="43011" spans="1:26" ht="12.75" customHeight="1" x14ac:dyDescent="0.2">
      <c r="A43011" s="258"/>
      <c r="Z43011" s="258"/>
    </row>
    <row r="43012" spans="1:26" ht="12.75" customHeight="1" x14ac:dyDescent="0.2">
      <c r="A43012" s="258"/>
      <c r="Z43012" s="258"/>
    </row>
    <row r="43013" spans="1:26" ht="12.75" customHeight="1" x14ac:dyDescent="0.2">
      <c r="A43013" s="258"/>
      <c r="Z43013" s="258"/>
    </row>
    <row r="43014" spans="1:26" ht="12.75" customHeight="1" x14ac:dyDescent="0.2">
      <c r="A43014" s="258"/>
      <c r="Z43014" s="258"/>
    </row>
    <row r="43015" spans="1:26" ht="12.75" customHeight="1" x14ac:dyDescent="0.2">
      <c r="A43015" s="258"/>
      <c r="Z43015" s="258"/>
    </row>
    <row r="43016" spans="1:26" ht="12.75" customHeight="1" x14ac:dyDescent="0.2">
      <c r="A43016" s="258"/>
      <c r="Z43016" s="258"/>
    </row>
    <row r="43017" spans="1:26" ht="12.75" customHeight="1" x14ac:dyDescent="0.2">
      <c r="A43017" s="258"/>
      <c r="Z43017" s="258"/>
    </row>
    <row r="43018" spans="1:26" ht="12.75" customHeight="1" x14ac:dyDescent="0.2">
      <c r="A43018" s="258"/>
      <c r="Z43018" s="258"/>
    </row>
    <row r="43019" spans="1:26" ht="12.75" customHeight="1" x14ac:dyDescent="0.2">
      <c r="A43019" s="258"/>
      <c r="Z43019" s="258"/>
    </row>
    <row r="43020" spans="1:26" ht="12.75" customHeight="1" x14ac:dyDescent="0.2">
      <c r="A43020" s="258"/>
      <c r="Z43020" s="258"/>
    </row>
    <row r="43021" spans="1:26" ht="12.75" customHeight="1" x14ac:dyDescent="0.2">
      <c r="A43021" s="258"/>
      <c r="Z43021" s="258"/>
    </row>
    <row r="43022" spans="1:26" ht="12.75" customHeight="1" x14ac:dyDescent="0.2">
      <c r="A43022" s="258"/>
      <c r="Z43022" s="258"/>
    </row>
    <row r="43023" spans="1:26" ht="12.75" customHeight="1" x14ac:dyDescent="0.2">
      <c r="A43023" s="258"/>
      <c r="Z43023" s="258"/>
    </row>
    <row r="43024" spans="1:26" ht="12.75" customHeight="1" x14ac:dyDescent="0.2">
      <c r="A43024" s="258"/>
      <c r="Z43024" s="258"/>
    </row>
    <row r="43025" spans="1:26" ht="12.75" customHeight="1" x14ac:dyDescent="0.2">
      <c r="A43025" s="258"/>
      <c r="Z43025" s="258"/>
    </row>
    <row r="43026" spans="1:26" ht="12.75" customHeight="1" x14ac:dyDescent="0.2">
      <c r="A43026" s="258"/>
      <c r="Z43026" s="258"/>
    </row>
    <row r="43027" spans="1:26" ht="12.75" customHeight="1" x14ac:dyDescent="0.2">
      <c r="A43027" s="258"/>
      <c r="Z43027" s="258"/>
    </row>
    <row r="43028" spans="1:26" ht="12.75" customHeight="1" x14ac:dyDescent="0.2">
      <c r="A43028" s="258"/>
      <c r="Z43028" s="258"/>
    </row>
    <row r="43029" spans="1:26" ht="12.75" customHeight="1" x14ac:dyDescent="0.2">
      <c r="A43029" s="258"/>
      <c r="Z43029" s="258"/>
    </row>
    <row r="43030" spans="1:26" ht="12.75" customHeight="1" x14ac:dyDescent="0.2">
      <c r="A43030" s="258"/>
      <c r="Z43030" s="258"/>
    </row>
    <row r="43031" spans="1:26" ht="12.75" customHeight="1" x14ac:dyDescent="0.2">
      <c r="A43031" s="258"/>
      <c r="Z43031" s="258"/>
    </row>
    <row r="43032" spans="1:26" ht="12.75" customHeight="1" x14ac:dyDescent="0.2">
      <c r="A43032" s="258"/>
      <c r="Z43032" s="258"/>
    </row>
    <row r="43033" spans="1:26" ht="12.75" customHeight="1" x14ac:dyDescent="0.2">
      <c r="A43033" s="258"/>
      <c r="Z43033" s="258"/>
    </row>
    <row r="43034" spans="1:26" ht="12.75" customHeight="1" x14ac:dyDescent="0.2">
      <c r="A43034" s="258"/>
      <c r="Z43034" s="258"/>
    </row>
    <row r="43035" spans="1:26" ht="12.75" customHeight="1" x14ac:dyDescent="0.2">
      <c r="A43035" s="258"/>
      <c r="Z43035" s="258"/>
    </row>
    <row r="43036" spans="1:26" ht="12.75" customHeight="1" x14ac:dyDescent="0.2">
      <c r="A43036" s="258"/>
      <c r="Z43036" s="258"/>
    </row>
    <row r="43037" spans="1:26" ht="12.75" customHeight="1" x14ac:dyDescent="0.2">
      <c r="A43037" s="258"/>
      <c r="Z43037" s="258"/>
    </row>
    <row r="43038" spans="1:26" ht="12.75" customHeight="1" x14ac:dyDescent="0.2">
      <c r="A43038" s="258"/>
      <c r="Z43038" s="258"/>
    </row>
    <row r="43039" spans="1:26" ht="12.75" customHeight="1" x14ac:dyDescent="0.2">
      <c r="A43039" s="258"/>
      <c r="Z43039" s="258"/>
    </row>
    <row r="43040" spans="1:26" ht="12.75" customHeight="1" x14ac:dyDescent="0.2">
      <c r="A43040" s="258"/>
      <c r="Z43040" s="258"/>
    </row>
    <row r="43041" spans="1:26" ht="12.75" customHeight="1" x14ac:dyDescent="0.2">
      <c r="A43041" s="258"/>
      <c r="Z43041" s="258"/>
    </row>
    <row r="43042" spans="1:26" ht="12.75" customHeight="1" x14ac:dyDescent="0.2">
      <c r="A43042" s="258"/>
      <c r="Z43042" s="258"/>
    </row>
    <row r="43043" spans="1:26" ht="12.75" customHeight="1" x14ac:dyDescent="0.2">
      <c r="A43043" s="258"/>
      <c r="Z43043" s="258"/>
    </row>
    <row r="43044" spans="1:26" ht="12.75" customHeight="1" x14ac:dyDescent="0.2">
      <c r="A43044" s="258"/>
      <c r="Z43044" s="258"/>
    </row>
    <row r="43045" spans="1:26" ht="12.75" customHeight="1" x14ac:dyDescent="0.2">
      <c r="A43045" s="258"/>
      <c r="Z43045" s="258"/>
    </row>
    <row r="43046" spans="1:26" ht="12.75" customHeight="1" x14ac:dyDescent="0.2">
      <c r="A43046" s="258"/>
      <c r="Z43046" s="258"/>
    </row>
    <row r="43047" spans="1:26" ht="12.75" customHeight="1" x14ac:dyDescent="0.2">
      <c r="A43047" s="258"/>
      <c r="Z43047" s="258"/>
    </row>
    <row r="43048" spans="1:26" ht="12.75" customHeight="1" x14ac:dyDescent="0.2">
      <c r="A43048" s="258"/>
      <c r="Z43048" s="258"/>
    </row>
    <row r="43049" spans="1:26" ht="12.75" customHeight="1" x14ac:dyDescent="0.2">
      <c r="A43049" s="258"/>
      <c r="Z43049" s="258"/>
    </row>
    <row r="43050" spans="1:26" ht="12.75" customHeight="1" x14ac:dyDescent="0.2">
      <c r="A43050" s="258"/>
      <c r="Z43050" s="258"/>
    </row>
    <row r="43051" spans="1:26" ht="12.75" customHeight="1" x14ac:dyDescent="0.2">
      <c r="A43051" s="258"/>
      <c r="Z43051" s="258"/>
    </row>
    <row r="43052" spans="1:26" ht="12.75" customHeight="1" x14ac:dyDescent="0.2">
      <c r="A43052" s="258"/>
      <c r="Z43052" s="258"/>
    </row>
    <row r="43053" spans="1:26" ht="12.75" customHeight="1" x14ac:dyDescent="0.2">
      <c r="A43053" s="258"/>
      <c r="Z43053" s="258"/>
    </row>
    <row r="43054" spans="1:26" ht="12.75" customHeight="1" x14ac:dyDescent="0.2">
      <c r="A43054" s="258"/>
      <c r="Z43054" s="258"/>
    </row>
    <row r="43055" spans="1:26" ht="12.75" customHeight="1" x14ac:dyDescent="0.2">
      <c r="A43055" s="258"/>
      <c r="Z43055" s="258"/>
    </row>
    <row r="43056" spans="1:26" ht="12.75" customHeight="1" x14ac:dyDescent="0.2">
      <c r="A43056" s="258"/>
      <c r="Z43056" s="258"/>
    </row>
    <row r="43057" spans="1:26" ht="12.75" customHeight="1" x14ac:dyDescent="0.2">
      <c r="A43057" s="258"/>
      <c r="Z43057" s="258"/>
    </row>
    <row r="43058" spans="1:26" ht="12.75" customHeight="1" x14ac:dyDescent="0.2">
      <c r="A43058" s="258"/>
      <c r="Z43058" s="258"/>
    </row>
    <row r="43059" spans="1:26" ht="12.75" customHeight="1" x14ac:dyDescent="0.2">
      <c r="A43059" s="258"/>
      <c r="Z43059" s="258"/>
    </row>
    <row r="43060" spans="1:26" ht="12.75" customHeight="1" x14ac:dyDescent="0.2">
      <c r="A43060" s="258"/>
      <c r="Z43060" s="258"/>
    </row>
    <row r="43061" spans="1:26" ht="12.75" customHeight="1" x14ac:dyDescent="0.2">
      <c r="A43061" s="258"/>
      <c r="Z43061" s="258"/>
    </row>
    <row r="43062" spans="1:26" ht="12.75" customHeight="1" x14ac:dyDescent="0.2">
      <c r="A43062" s="258"/>
      <c r="Z43062" s="258"/>
    </row>
    <row r="43063" spans="1:26" ht="12.75" customHeight="1" x14ac:dyDescent="0.2">
      <c r="A43063" s="258"/>
      <c r="Z43063" s="258"/>
    </row>
    <row r="43064" spans="1:26" ht="12.75" customHeight="1" x14ac:dyDescent="0.2">
      <c r="A43064" s="258"/>
      <c r="Z43064" s="258"/>
    </row>
    <row r="43065" spans="1:26" ht="12.75" customHeight="1" x14ac:dyDescent="0.2">
      <c r="A43065" s="258"/>
      <c r="Z43065" s="258"/>
    </row>
    <row r="43066" spans="1:26" ht="12.75" customHeight="1" x14ac:dyDescent="0.2">
      <c r="A43066" s="258"/>
      <c r="Z43066" s="258"/>
    </row>
    <row r="43067" spans="1:26" ht="12.75" customHeight="1" x14ac:dyDescent="0.2">
      <c r="A43067" s="258"/>
      <c r="Z43067" s="258"/>
    </row>
    <row r="43068" spans="1:26" ht="12.75" customHeight="1" x14ac:dyDescent="0.2">
      <c r="A43068" s="258"/>
      <c r="Z43068" s="258"/>
    </row>
    <row r="43069" spans="1:26" ht="12.75" customHeight="1" x14ac:dyDescent="0.2">
      <c r="A43069" s="258"/>
      <c r="Z43069" s="258"/>
    </row>
    <row r="43070" spans="1:26" ht="12.75" customHeight="1" x14ac:dyDescent="0.2">
      <c r="A43070" s="258"/>
      <c r="Z43070" s="258"/>
    </row>
    <row r="43071" spans="1:26" ht="12.75" customHeight="1" x14ac:dyDescent="0.2">
      <c r="A43071" s="258"/>
      <c r="Z43071" s="258"/>
    </row>
    <row r="43072" spans="1:26" ht="12.75" customHeight="1" x14ac:dyDescent="0.2">
      <c r="A43072" s="258"/>
      <c r="Z43072" s="258"/>
    </row>
    <row r="43073" spans="1:26" ht="12.75" customHeight="1" x14ac:dyDescent="0.2">
      <c r="A43073" s="258"/>
      <c r="Z43073" s="258"/>
    </row>
    <row r="43074" spans="1:26" ht="12.75" customHeight="1" x14ac:dyDescent="0.2">
      <c r="A43074" s="258"/>
      <c r="Z43074" s="258"/>
    </row>
    <row r="43075" spans="1:26" ht="12.75" customHeight="1" x14ac:dyDescent="0.2">
      <c r="A43075" s="258"/>
      <c r="Z43075" s="258"/>
    </row>
    <row r="43076" spans="1:26" ht="12.75" customHeight="1" x14ac:dyDescent="0.2">
      <c r="A43076" s="258"/>
      <c r="Z43076" s="258"/>
    </row>
    <row r="43077" spans="1:26" ht="12.75" customHeight="1" x14ac:dyDescent="0.2">
      <c r="A43077" s="258"/>
      <c r="Z43077" s="258"/>
    </row>
    <row r="43078" spans="1:26" ht="12.75" customHeight="1" x14ac:dyDescent="0.2">
      <c r="A43078" s="258"/>
      <c r="Z43078" s="258"/>
    </row>
    <row r="43079" spans="1:26" ht="12.75" customHeight="1" x14ac:dyDescent="0.2">
      <c r="A43079" s="258"/>
      <c r="Z43079" s="258"/>
    </row>
    <row r="43080" spans="1:26" ht="12.75" customHeight="1" x14ac:dyDescent="0.2">
      <c r="A43080" s="258"/>
      <c r="Z43080" s="258"/>
    </row>
    <row r="43081" spans="1:26" ht="12.75" customHeight="1" x14ac:dyDescent="0.2">
      <c r="A43081" s="258"/>
      <c r="Z43081" s="258"/>
    </row>
    <row r="43082" spans="1:26" ht="12.75" customHeight="1" x14ac:dyDescent="0.2">
      <c r="A43082" s="258"/>
      <c r="Z43082" s="258"/>
    </row>
    <row r="43083" spans="1:26" ht="12.75" customHeight="1" x14ac:dyDescent="0.2">
      <c r="A43083" s="258"/>
      <c r="Z43083" s="258"/>
    </row>
    <row r="43084" spans="1:26" ht="12.75" customHeight="1" x14ac:dyDescent="0.2">
      <c r="A43084" s="258"/>
      <c r="Z43084" s="258"/>
    </row>
    <row r="43085" spans="1:26" ht="12.75" customHeight="1" x14ac:dyDescent="0.2">
      <c r="A43085" s="258"/>
      <c r="Z43085" s="258"/>
    </row>
    <row r="43086" spans="1:26" ht="12.75" customHeight="1" x14ac:dyDescent="0.2">
      <c r="A43086" s="258"/>
      <c r="Z43086" s="258"/>
    </row>
    <row r="43087" spans="1:26" ht="12.75" customHeight="1" x14ac:dyDescent="0.2">
      <c r="A43087" s="258"/>
      <c r="Z43087" s="258"/>
    </row>
    <row r="43088" spans="1:26" ht="12.75" customHeight="1" x14ac:dyDescent="0.2">
      <c r="A43088" s="258"/>
      <c r="Z43088" s="258"/>
    </row>
    <row r="43089" spans="1:26" ht="12.75" customHeight="1" x14ac:dyDescent="0.2">
      <c r="A43089" s="258"/>
      <c r="Z43089" s="258"/>
    </row>
    <row r="43090" spans="1:26" ht="12.75" customHeight="1" x14ac:dyDescent="0.2">
      <c r="A43090" s="258"/>
      <c r="Z43090" s="258"/>
    </row>
    <row r="43091" spans="1:26" ht="12.75" customHeight="1" x14ac:dyDescent="0.2">
      <c r="A43091" s="258"/>
      <c r="Z43091" s="258"/>
    </row>
    <row r="43092" spans="1:26" ht="12.75" customHeight="1" x14ac:dyDescent="0.2">
      <c r="A43092" s="258"/>
      <c r="Z43092" s="258"/>
    </row>
    <row r="43093" spans="1:26" ht="12.75" customHeight="1" x14ac:dyDescent="0.2">
      <c r="A43093" s="258"/>
      <c r="Z43093" s="258"/>
    </row>
    <row r="43094" spans="1:26" ht="12.75" customHeight="1" x14ac:dyDescent="0.2">
      <c r="A43094" s="258"/>
      <c r="Z43094" s="258"/>
    </row>
    <row r="43095" spans="1:26" ht="12.75" customHeight="1" x14ac:dyDescent="0.2">
      <c r="A43095" s="258"/>
      <c r="Z43095" s="258"/>
    </row>
    <row r="43096" spans="1:26" ht="12.75" customHeight="1" x14ac:dyDescent="0.2">
      <c r="A43096" s="258"/>
      <c r="Z43096" s="258"/>
    </row>
    <row r="43097" spans="1:26" ht="12.75" customHeight="1" x14ac:dyDescent="0.2">
      <c r="A43097" s="258"/>
      <c r="Z43097" s="258"/>
    </row>
    <row r="43098" spans="1:26" ht="12.75" customHeight="1" x14ac:dyDescent="0.2">
      <c r="A43098" s="258"/>
      <c r="Z43098" s="258"/>
    </row>
    <row r="43099" spans="1:26" ht="12.75" customHeight="1" x14ac:dyDescent="0.2">
      <c r="A43099" s="258"/>
      <c r="Z43099" s="258"/>
    </row>
    <row r="43100" spans="1:26" ht="12.75" customHeight="1" x14ac:dyDescent="0.2">
      <c r="A43100" s="258"/>
      <c r="Z43100" s="258"/>
    </row>
    <row r="43101" spans="1:26" ht="12.75" customHeight="1" x14ac:dyDescent="0.2">
      <c r="A43101" s="258"/>
      <c r="Z43101" s="258"/>
    </row>
    <row r="43102" spans="1:26" ht="12.75" customHeight="1" x14ac:dyDescent="0.2">
      <c r="A43102" s="258"/>
      <c r="Z43102" s="258"/>
    </row>
    <row r="43103" spans="1:26" ht="12.75" customHeight="1" x14ac:dyDescent="0.2">
      <c r="A43103" s="258"/>
      <c r="Z43103" s="258"/>
    </row>
    <row r="43104" spans="1:26" ht="12.75" customHeight="1" x14ac:dyDescent="0.2">
      <c r="A43104" s="258"/>
      <c r="Z43104" s="258"/>
    </row>
    <row r="43105" spans="1:26" ht="12.75" customHeight="1" x14ac:dyDescent="0.2">
      <c r="A43105" s="258"/>
      <c r="Z43105" s="258"/>
    </row>
    <row r="43106" spans="1:26" ht="12.75" customHeight="1" x14ac:dyDescent="0.2">
      <c r="A43106" s="258"/>
      <c r="Z43106" s="258"/>
    </row>
    <row r="43107" spans="1:26" ht="12.75" customHeight="1" x14ac:dyDescent="0.2">
      <c r="A43107" s="258"/>
      <c r="Z43107" s="258"/>
    </row>
    <row r="43108" spans="1:26" ht="12.75" customHeight="1" x14ac:dyDescent="0.2">
      <c r="A43108" s="258"/>
      <c r="Z43108" s="258"/>
    </row>
    <row r="43109" spans="1:26" ht="12.75" customHeight="1" x14ac:dyDescent="0.2">
      <c r="A43109" s="258"/>
      <c r="Z43109" s="258"/>
    </row>
    <row r="43110" spans="1:26" ht="12.75" customHeight="1" x14ac:dyDescent="0.2">
      <c r="A43110" s="258"/>
      <c r="Z43110" s="258"/>
    </row>
    <row r="43111" spans="1:26" ht="12.75" customHeight="1" x14ac:dyDescent="0.2">
      <c r="A43111" s="258"/>
      <c r="Z43111" s="258"/>
    </row>
    <row r="43112" spans="1:26" ht="12.75" customHeight="1" x14ac:dyDescent="0.2">
      <c r="A43112" s="258"/>
      <c r="Z43112" s="258"/>
    </row>
    <row r="43113" spans="1:26" ht="12.75" customHeight="1" x14ac:dyDescent="0.2">
      <c r="A43113" s="258"/>
      <c r="Z43113" s="258"/>
    </row>
    <row r="43114" spans="1:26" ht="12.75" customHeight="1" x14ac:dyDescent="0.2">
      <c r="A43114" s="258"/>
      <c r="Z43114" s="258"/>
    </row>
    <row r="43115" spans="1:26" ht="12.75" customHeight="1" x14ac:dyDescent="0.2">
      <c r="A43115" s="258"/>
      <c r="Z43115" s="258"/>
    </row>
    <row r="43116" spans="1:26" ht="12.75" customHeight="1" x14ac:dyDescent="0.2">
      <c r="A43116" s="258"/>
      <c r="Z43116" s="258"/>
    </row>
    <row r="43117" spans="1:26" ht="12.75" customHeight="1" x14ac:dyDescent="0.2">
      <c r="A43117" s="258"/>
      <c r="Z43117" s="258"/>
    </row>
    <row r="43118" spans="1:26" ht="12.75" customHeight="1" x14ac:dyDescent="0.2">
      <c r="A43118" s="258"/>
      <c r="Z43118" s="258"/>
    </row>
    <row r="43119" spans="1:26" ht="12.75" customHeight="1" x14ac:dyDescent="0.2">
      <c r="A43119" s="258"/>
      <c r="Z43119" s="258"/>
    </row>
    <row r="43120" spans="1:26" ht="12.75" customHeight="1" x14ac:dyDescent="0.2">
      <c r="A43120" s="258"/>
      <c r="Z43120" s="258"/>
    </row>
    <row r="43121" spans="1:26" ht="12.75" customHeight="1" x14ac:dyDescent="0.2">
      <c r="A43121" s="258"/>
      <c r="Z43121" s="258"/>
    </row>
    <row r="43122" spans="1:26" ht="12.75" customHeight="1" x14ac:dyDescent="0.2">
      <c r="A43122" s="258"/>
      <c r="Z43122" s="258"/>
    </row>
    <row r="43123" spans="1:26" ht="12.75" customHeight="1" x14ac:dyDescent="0.2">
      <c r="A43123" s="258"/>
      <c r="Z43123" s="258"/>
    </row>
    <row r="43124" spans="1:26" ht="12.75" customHeight="1" x14ac:dyDescent="0.2">
      <c r="A43124" s="258"/>
      <c r="Z43124" s="258"/>
    </row>
    <row r="43125" spans="1:26" ht="12.75" customHeight="1" x14ac:dyDescent="0.2">
      <c r="A43125" s="258"/>
      <c r="Z43125" s="258"/>
    </row>
    <row r="43126" spans="1:26" ht="12.75" customHeight="1" x14ac:dyDescent="0.2">
      <c r="A43126" s="258"/>
      <c r="Z43126" s="258"/>
    </row>
    <row r="43127" spans="1:26" ht="12.75" customHeight="1" x14ac:dyDescent="0.2">
      <c r="A43127" s="258"/>
      <c r="Z43127" s="258"/>
    </row>
    <row r="43128" spans="1:26" ht="12.75" customHeight="1" x14ac:dyDescent="0.2">
      <c r="A43128" s="258"/>
      <c r="Z43128" s="258"/>
    </row>
    <row r="43129" spans="1:26" ht="12.75" customHeight="1" x14ac:dyDescent="0.2">
      <c r="A43129" s="258"/>
      <c r="Z43129" s="258"/>
    </row>
    <row r="43130" spans="1:26" ht="12.75" customHeight="1" x14ac:dyDescent="0.2">
      <c r="A43130" s="258"/>
      <c r="Z43130" s="258"/>
    </row>
    <row r="43131" spans="1:26" ht="12.75" customHeight="1" x14ac:dyDescent="0.2">
      <c r="A43131" s="258"/>
      <c r="Z43131" s="258"/>
    </row>
    <row r="43132" spans="1:26" ht="12.75" customHeight="1" x14ac:dyDescent="0.2">
      <c r="A43132" s="258"/>
      <c r="Z43132" s="258"/>
    </row>
    <row r="43133" spans="1:26" ht="12.75" customHeight="1" x14ac:dyDescent="0.2">
      <c r="A43133" s="258"/>
      <c r="Z43133" s="258"/>
    </row>
    <row r="43134" spans="1:26" ht="12.75" customHeight="1" x14ac:dyDescent="0.2">
      <c r="A43134" s="258"/>
      <c r="Z43134" s="258"/>
    </row>
    <row r="43135" spans="1:26" ht="12.75" customHeight="1" x14ac:dyDescent="0.2">
      <c r="A43135" s="258"/>
      <c r="Z43135" s="258"/>
    </row>
    <row r="43136" spans="1:26" ht="12.75" customHeight="1" x14ac:dyDescent="0.2">
      <c r="A43136" s="258"/>
      <c r="Z43136" s="258"/>
    </row>
    <row r="43137" spans="1:26" ht="12.75" customHeight="1" x14ac:dyDescent="0.2">
      <c r="A43137" s="258"/>
      <c r="Z43137" s="258"/>
    </row>
    <row r="43138" spans="1:26" ht="12.75" customHeight="1" x14ac:dyDescent="0.2">
      <c r="A43138" s="258"/>
      <c r="Z43138" s="258"/>
    </row>
    <row r="43139" spans="1:26" ht="12.75" customHeight="1" x14ac:dyDescent="0.2">
      <c r="A43139" s="258"/>
      <c r="Z43139" s="258"/>
    </row>
    <row r="43140" spans="1:26" ht="12.75" customHeight="1" x14ac:dyDescent="0.2">
      <c r="A43140" s="258"/>
      <c r="Z43140" s="258"/>
    </row>
    <row r="43141" spans="1:26" ht="12.75" customHeight="1" x14ac:dyDescent="0.2">
      <c r="A43141" s="258"/>
      <c r="Z43141" s="258"/>
    </row>
    <row r="43142" spans="1:26" ht="12.75" customHeight="1" x14ac:dyDescent="0.2">
      <c r="A43142" s="258"/>
      <c r="Z43142" s="258"/>
    </row>
    <row r="43143" spans="1:26" ht="12.75" customHeight="1" x14ac:dyDescent="0.2">
      <c r="A43143" s="258"/>
      <c r="Z43143" s="258"/>
    </row>
    <row r="43144" spans="1:26" ht="12.75" customHeight="1" x14ac:dyDescent="0.2">
      <c r="A43144" s="258"/>
      <c r="Z43144" s="258"/>
    </row>
    <row r="43145" spans="1:26" ht="12.75" customHeight="1" x14ac:dyDescent="0.2">
      <c r="A43145" s="258"/>
      <c r="Z43145" s="258"/>
    </row>
    <row r="43146" spans="1:26" ht="12.75" customHeight="1" x14ac:dyDescent="0.2">
      <c r="A43146" s="258"/>
      <c r="Z43146" s="258"/>
    </row>
    <row r="43147" spans="1:26" ht="12.75" customHeight="1" x14ac:dyDescent="0.2">
      <c r="A43147" s="258"/>
      <c r="Z43147" s="258"/>
    </row>
    <row r="43148" spans="1:26" ht="12.75" customHeight="1" x14ac:dyDescent="0.2">
      <c r="A43148" s="258"/>
      <c r="Z43148" s="258"/>
    </row>
    <row r="43149" spans="1:26" ht="12.75" customHeight="1" x14ac:dyDescent="0.2">
      <c r="A43149" s="258"/>
      <c r="Z43149" s="258"/>
    </row>
    <row r="43150" spans="1:26" ht="12.75" customHeight="1" x14ac:dyDescent="0.2">
      <c r="A43150" s="258"/>
      <c r="Z43150" s="258"/>
    </row>
    <row r="43151" spans="1:26" ht="12.75" customHeight="1" x14ac:dyDescent="0.2">
      <c r="A43151" s="258"/>
      <c r="Z43151" s="258"/>
    </row>
    <row r="43152" spans="1:26" ht="12.75" customHeight="1" x14ac:dyDescent="0.2">
      <c r="A43152" s="258"/>
      <c r="Z43152" s="258"/>
    </row>
    <row r="43153" spans="1:26" ht="12.75" customHeight="1" x14ac:dyDescent="0.2">
      <c r="A43153" s="258"/>
      <c r="Z43153" s="258"/>
    </row>
    <row r="43154" spans="1:26" ht="12.75" customHeight="1" x14ac:dyDescent="0.2">
      <c r="A43154" s="258"/>
      <c r="Z43154" s="258"/>
    </row>
    <row r="43155" spans="1:26" ht="12.75" customHeight="1" x14ac:dyDescent="0.2">
      <c r="A43155" s="258"/>
      <c r="Z43155" s="258"/>
    </row>
    <row r="43156" spans="1:26" ht="12.75" customHeight="1" x14ac:dyDescent="0.2">
      <c r="A43156" s="258"/>
      <c r="Z43156" s="258"/>
    </row>
    <row r="43157" spans="1:26" ht="12.75" customHeight="1" x14ac:dyDescent="0.2">
      <c r="A43157" s="258"/>
      <c r="Z43157" s="258"/>
    </row>
    <row r="43158" spans="1:26" ht="12.75" customHeight="1" x14ac:dyDescent="0.2">
      <c r="A43158" s="258"/>
      <c r="Z43158" s="258"/>
    </row>
    <row r="43159" spans="1:26" ht="12.75" customHeight="1" x14ac:dyDescent="0.2">
      <c r="A43159" s="258"/>
      <c r="Z43159" s="258"/>
    </row>
    <row r="43160" spans="1:26" ht="12.75" customHeight="1" x14ac:dyDescent="0.2">
      <c r="A43160" s="258"/>
      <c r="Z43160" s="258"/>
    </row>
    <row r="43161" spans="1:26" ht="12.75" customHeight="1" x14ac:dyDescent="0.2">
      <c r="A43161" s="258"/>
      <c r="Z43161" s="258"/>
    </row>
    <row r="43162" spans="1:26" ht="12.75" customHeight="1" x14ac:dyDescent="0.2">
      <c r="A43162" s="258"/>
      <c r="Z43162" s="258"/>
    </row>
    <row r="43163" spans="1:26" ht="12.75" customHeight="1" x14ac:dyDescent="0.2">
      <c r="A43163" s="258"/>
      <c r="Z43163" s="258"/>
    </row>
    <row r="43164" spans="1:26" ht="12.75" customHeight="1" x14ac:dyDescent="0.2">
      <c r="A43164" s="258"/>
      <c r="Z43164" s="258"/>
    </row>
    <row r="43165" spans="1:26" ht="12.75" customHeight="1" x14ac:dyDescent="0.2">
      <c r="A43165" s="258"/>
      <c r="Z43165" s="258"/>
    </row>
    <row r="43166" spans="1:26" ht="12.75" customHeight="1" x14ac:dyDescent="0.2">
      <c r="A43166" s="258"/>
      <c r="Z43166" s="258"/>
    </row>
    <row r="43167" spans="1:26" ht="12.75" customHeight="1" x14ac:dyDescent="0.2">
      <c r="A43167" s="258"/>
      <c r="Z43167" s="258"/>
    </row>
    <row r="43168" spans="1:26" ht="12.75" customHeight="1" x14ac:dyDescent="0.2">
      <c r="A43168" s="258"/>
      <c r="Z43168" s="258"/>
    </row>
    <row r="43169" spans="1:26" ht="12.75" customHeight="1" x14ac:dyDescent="0.2">
      <c r="A43169" s="258"/>
      <c r="Z43169" s="258"/>
    </row>
    <row r="43170" spans="1:26" ht="12.75" customHeight="1" x14ac:dyDescent="0.2">
      <c r="A43170" s="258"/>
      <c r="Z43170" s="258"/>
    </row>
    <row r="43171" spans="1:26" ht="12.75" customHeight="1" x14ac:dyDescent="0.2">
      <c r="A43171" s="258"/>
      <c r="Z43171" s="258"/>
    </row>
    <row r="43172" spans="1:26" ht="12.75" customHeight="1" x14ac:dyDescent="0.2">
      <c r="A43172" s="258"/>
      <c r="Z43172" s="258"/>
    </row>
    <row r="43173" spans="1:26" ht="12.75" customHeight="1" x14ac:dyDescent="0.2">
      <c r="A43173" s="258"/>
      <c r="Z43173" s="258"/>
    </row>
    <row r="43174" spans="1:26" ht="12.75" customHeight="1" x14ac:dyDescent="0.2">
      <c r="A43174" s="258"/>
      <c r="Z43174" s="258"/>
    </row>
    <row r="43175" spans="1:26" ht="12.75" customHeight="1" x14ac:dyDescent="0.2">
      <c r="A43175" s="258"/>
      <c r="Z43175" s="258"/>
    </row>
    <row r="43176" spans="1:26" ht="12.75" customHeight="1" x14ac:dyDescent="0.2">
      <c r="A43176" s="258"/>
      <c r="Z43176" s="258"/>
    </row>
    <row r="43177" spans="1:26" ht="12.75" customHeight="1" x14ac:dyDescent="0.2">
      <c r="A43177" s="258"/>
      <c r="Z43177" s="258"/>
    </row>
    <row r="43178" spans="1:26" ht="12.75" customHeight="1" x14ac:dyDescent="0.2">
      <c r="A43178" s="258"/>
      <c r="Z43178" s="258"/>
    </row>
    <row r="43179" spans="1:26" ht="12.75" customHeight="1" x14ac:dyDescent="0.2">
      <c r="A43179" s="258"/>
      <c r="Z43179" s="258"/>
    </row>
    <row r="43180" spans="1:26" ht="12.75" customHeight="1" x14ac:dyDescent="0.2">
      <c r="A43180" s="258"/>
      <c r="Z43180" s="258"/>
    </row>
    <row r="43181" spans="1:26" ht="12.75" customHeight="1" x14ac:dyDescent="0.2">
      <c r="A43181" s="258"/>
      <c r="Z43181" s="258"/>
    </row>
    <row r="43182" spans="1:26" ht="12.75" customHeight="1" x14ac:dyDescent="0.2">
      <c r="A43182" s="258"/>
      <c r="Z43182" s="258"/>
    </row>
    <row r="43183" spans="1:26" ht="12.75" customHeight="1" x14ac:dyDescent="0.2">
      <c r="A43183" s="258"/>
      <c r="Z43183" s="258"/>
    </row>
    <row r="43184" spans="1:26" ht="12.75" customHeight="1" x14ac:dyDescent="0.2">
      <c r="A43184" s="258"/>
      <c r="Z43184" s="258"/>
    </row>
    <row r="43185" spans="1:26" ht="12.75" customHeight="1" x14ac:dyDescent="0.2">
      <c r="A43185" s="258"/>
      <c r="Z43185" s="258"/>
    </row>
    <row r="43186" spans="1:26" ht="12.75" customHeight="1" x14ac:dyDescent="0.2">
      <c r="A43186" s="258"/>
      <c r="Z43186" s="258"/>
    </row>
    <row r="43187" spans="1:26" ht="12.75" customHeight="1" x14ac:dyDescent="0.2">
      <c r="A43187" s="258"/>
      <c r="Z43187" s="258"/>
    </row>
    <row r="43188" spans="1:26" ht="12.75" customHeight="1" x14ac:dyDescent="0.2">
      <c r="A43188" s="258"/>
      <c r="Z43188" s="258"/>
    </row>
    <row r="43189" spans="1:26" ht="12.75" customHeight="1" x14ac:dyDescent="0.2">
      <c r="A43189" s="258"/>
      <c r="Z43189" s="258"/>
    </row>
    <row r="43190" spans="1:26" ht="12.75" customHeight="1" x14ac:dyDescent="0.2">
      <c r="A43190" s="258"/>
      <c r="Z43190" s="258"/>
    </row>
    <row r="43191" spans="1:26" ht="12.75" customHeight="1" x14ac:dyDescent="0.2">
      <c r="A43191" s="258"/>
      <c r="Z43191" s="258"/>
    </row>
    <row r="43192" spans="1:26" ht="12.75" customHeight="1" x14ac:dyDescent="0.2">
      <c r="A43192" s="258"/>
      <c r="Z43192" s="258"/>
    </row>
    <row r="43193" spans="1:26" ht="12.75" customHeight="1" x14ac:dyDescent="0.2">
      <c r="A43193" s="258"/>
      <c r="Z43193" s="258"/>
    </row>
    <row r="43194" spans="1:26" ht="12.75" customHeight="1" x14ac:dyDescent="0.2">
      <c r="A43194" s="258"/>
      <c r="Z43194" s="258"/>
    </row>
    <row r="43195" spans="1:26" ht="12.75" customHeight="1" x14ac:dyDescent="0.2">
      <c r="A43195" s="258"/>
      <c r="Z43195" s="258"/>
    </row>
    <row r="43196" spans="1:26" ht="12.75" customHeight="1" x14ac:dyDescent="0.2">
      <c r="A43196" s="258"/>
      <c r="Z43196" s="258"/>
    </row>
    <row r="43197" spans="1:26" ht="12.75" customHeight="1" x14ac:dyDescent="0.2">
      <c r="A43197" s="258"/>
      <c r="Z43197" s="258"/>
    </row>
    <row r="43198" spans="1:26" ht="12.75" customHeight="1" x14ac:dyDescent="0.2">
      <c r="A43198" s="258"/>
      <c r="Z43198" s="258"/>
    </row>
    <row r="43199" spans="1:26" ht="12.75" customHeight="1" x14ac:dyDescent="0.2">
      <c r="A43199" s="258"/>
      <c r="Z43199" s="258"/>
    </row>
    <row r="43200" spans="1:26" ht="12.75" customHeight="1" x14ac:dyDescent="0.2">
      <c r="A43200" s="258"/>
      <c r="Z43200" s="258"/>
    </row>
    <row r="43201" spans="1:26" ht="12.75" customHeight="1" x14ac:dyDescent="0.2">
      <c r="A43201" s="258"/>
      <c r="Z43201" s="258"/>
    </row>
    <row r="43202" spans="1:26" ht="12.75" customHeight="1" x14ac:dyDescent="0.2">
      <c r="A43202" s="258"/>
      <c r="Z43202" s="258"/>
    </row>
    <row r="43203" spans="1:26" ht="12.75" customHeight="1" x14ac:dyDescent="0.2">
      <c r="A43203" s="258"/>
      <c r="Z43203" s="258"/>
    </row>
    <row r="43204" spans="1:26" ht="12.75" customHeight="1" x14ac:dyDescent="0.2">
      <c r="A43204" s="258"/>
      <c r="Z43204" s="258"/>
    </row>
    <row r="43205" spans="1:26" ht="12.75" customHeight="1" x14ac:dyDescent="0.2">
      <c r="A43205" s="258"/>
      <c r="Z43205" s="258"/>
    </row>
    <row r="43206" spans="1:26" ht="12.75" customHeight="1" x14ac:dyDescent="0.2">
      <c r="A43206" s="258"/>
      <c r="Z43206" s="258"/>
    </row>
    <row r="43207" spans="1:26" ht="12.75" customHeight="1" x14ac:dyDescent="0.2">
      <c r="A43207" s="258"/>
      <c r="Z43207" s="258"/>
    </row>
    <row r="43208" spans="1:26" ht="12.75" customHeight="1" x14ac:dyDescent="0.2">
      <c r="A43208" s="258"/>
      <c r="Z43208" s="258"/>
    </row>
    <row r="43209" spans="1:26" ht="12.75" customHeight="1" x14ac:dyDescent="0.2">
      <c r="A43209" s="258"/>
      <c r="Z43209" s="258"/>
    </row>
    <row r="43210" spans="1:26" ht="12.75" customHeight="1" x14ac:dyDescent="0.2">
      <c r="A43210" s="258"/>
      <c r="Z43210" s="258"/>
    </row>
    <row r="43211" spans="1:26" ht="12.75" customHeight="1" x14ac:dyDescent="0.2">
      <c r="A43211" s="258"/>
      <c r="Z43211" s="258"/>
    </row>
    <row r="43212" spans="1:26" ht="12.75" customHeight="1" x14ac:dyDescent="0.2">
      <c r="A43212" s="258"/>
      <c r="Z43212" s="258"/>
    </row>
    <row r="43213" spans="1:26" ht="12.75" customHeight="1" x14ac:dyDescent="0.2">
      <c r="A43213" s="258"/>
      <c r="Z43213" s="258"/>
    </row>
    <row r="43214" spans="1:26" ht="12.75" customHeight="1" x14ac:dyDescent="0.2">
      <c r="A43214" s="258"/>
      <c r="Z43214" s="258"/>
    </row>
    <row r="43215" spans="1:26" ht="12.75" customHeight="1" x14ac:dyDescent="0.2">
      <c r="A43215" s="258"/>
      <c r="Z43215" s="258"/>
    </row>
    <row r="43216" spans="1:26" ht="12.75" customHeight="1" x14ac:dyDescent="0.2">
      <c r="A43216" s="258"/>
      <c r="Z43216" s="258"/>
    </row>
    <row r="43217" spans="1:26" ht="12.75" customHeight="1" x14ac:dyDescent="0.2">
      <c r="A43217" s="258"/>
      <c r="Z43217" s="258"/>
    </row>
    <row r="43218" spans="1:26" ht="12.75" customHeight="1" x14ac:dyDescent="0.2">
      <c r="A43218" s="258"/>
      <c r="Z43218" s="258"/>
    </row>
    <row r="43219" spans="1:26" ht="12.75" customHeight="1" x14ac:dyDescent="0.2">
      <c r="A43219" s="258"/>
      <c r="Z43219" s="258"/>
    </row>
    <row r="43220" spans="1:26" ht="12.75" customHeight="1" x14ac:dyDescent="0.2">
      <c r="A43220" s="258"/>
      <c r="Z43220" s="258"/>
    </row>
    <row r="43221" spans="1:26" ht="12.75" customHeight="1" x14ac:dyDescent="0.2">
      <c r="A43221" s="258"/>
      <c r="Z43221" s="258"/>
    </row>
    <row r="43222" spans="1:26" ht="12.75" customHeight="1" x14ac:dyDescent="0.2">
      <c r="A43222" s="258"/>
      <c r="Z43222" s="258"/>
    </row>
    <row r="43223" spans="1:26" ht="12.75" customHeight="1" x14ac:dyDescent="0.2">
      <c r="A43223" s="258"/>
      <c r="Z43223" s="258"/>
    </row>
    <row r="43224" spans="1:26" ht="12.75" customHeight="1" x14ac:dyDescent="0.2">
      <c r="A43224" s="258"/>
      <c r="Z43224" s="258"/>
    </row>
    <row r="43225" spans="1:26" ht="12.75" customHeight="1" x14ac:dyDescent="0.2">
      <c r="A43225" s="258"/>
      <c r="Z43225" s="258"/>
    </row>
    <row r="43226" spans="1:26" ht="12.75" customHeight="1" x14ac:dyDescent="0.2">
      <c r="A43226" s="258"/>
      <c r="Z43226" s="258"/>
    </row>
    <row r="43227" spans="1:26" ht="12.75" customHeight="1" x14ac:dyDescent="0.2">
      <c r="A43227" s="258"/>
      <c r="Z43227" s="258"/>
    </row>
    <row r="43228" spans="1:26" ht="12.75" customHeight="1" x14ac:dyDescent="0.2">
      <c r="A43228" s="258"/>
      <c r="Z43228" s="258"/>
    </row>
    <row r="43229" spans="1:26" ht="12.75" customHeight="1" x14ac:dyDescent="0.2">
      <c r="A43229" s="258"/>
      <c r="Z43229" s="258"/>
    </row>
    <row r="43230" spans="1:26" ht="12.75" customHeight="1" x14ac:dyDescent="0.2">
      <c r="A43230" s="258"/>
      <c r="Z43230" s="258"/>
    </row>
    <row r="43231" spans="1:26" ht="12.75" customHeight="1" x14ac:dyDescent="0.2">
      <c r="A43231" s="258"/>
      <c r="Z43231" s="258"/>
    </row>
    <row r="43232" spans="1:26" ht="12.75" customHeight="1" x14ac:dyDescent="0.2">
      <c r="A43232" s="258"/>
      <c r="Z43232" s="258"/>
    </row>
    <row r="43233" spans="1:26" ht="12.75" customHeight="1" x14ac:dyDescent="0.2">
      <c r="A43233" s="258"/>
      <c r="Z43233" s="258"/>
    </row>
    <row r="43234" spans="1:26" ht="12.75" customHeight="1" x14ac:dyDescent="0.2">
      <c r="A43234" s="258"/>
      <c r="Z43234" s="258"/>
    </row>
    <row r="43235" spans="1:26" ht="12.75" customHeight="1" x14ac:dyDescent="0.2">
      <c r="A43235" s="258"/>
      <c r="Z43235" s="258"/>
    </row>
    <row r="43236" spans="1:26" ht="12.75" customHeight="1" x14ac:dyDescent="0.2">
      <c r="A43236" s="258"/>
      <c r="Z43236" s="258"/>
    </row>
    <row r="43237" spans="1:26" ht="12.75" customHeight="1" x14ac:dyDescent="0.2">
      <c r="A43237" s="258"/>
      <c r="Z43237" s="258"/>
    </row>
    <row r="43238" spans="1:26" ht="12.75" customHeight="1" x14ac:dyDescent="0.2">
      <c r="A43238" s="258"/>
      <c r="Z43238" s="258"/>
    </row>
    <row r="43239" spans="1:26" ht="12.75" customHeight="1" x14ac:dyDescent="0.2">
      <c r="A43239" s="258"/>
      <c r="Z43239" s="258"/>
    </row>
    <row r="43240" spans="1:26" ht="12.75" customHeight="1" x14ac:dyDescent="0.2">
      <c r="A43240" s="258"/>
      <c r="Z43240" s="258"/>
    </row>
    <row r="43241" spans="1:26" ht="12.75" customHeight="1" x14ac:dyDescent="0.2">
      <c r="A43241" s="258"/>
      <c r="Z43241" s="258"/>
    </row>
    <row r="43242" spans="1:26" ht="12.75" customHeight="1" x14ac:dyDescent="0.2">
      <c r="A43242" s="258"/>
      <c r="Z43242" s="258"/>
    </row>
    <row r="43243" spans="1:26" ht="12.75" customHeight="1" x14ac:dyDescent="0.2">
      <c r="A43243" s="258"/>
      <c r="Z43243" s="258"/>
    </row>
    <row r="43244" spans="1:26" ht="12.75" customHeight="1" x14ac:dyDescent="0.2">
      <c r="A43244" s="258"/>
      <c r="Z43244" s="258"/>
    </row>
    <row r="43245" spans="1:26" ht="12.75" customHeight="1" x14ac:dyDescent="0.2">
      <c r="A43245" s="258"/>
      <c r="Z43245" s="258"/>
    </row>
    <row r="43246" spans="1:26" ht="12.75" customHeight="1" x14ac:dyDescent="0.2">
      <c r="A43246" s="258"/>
      <c r="Z43246" s="258"/>
    </row>
    <row r="43247" spans="1:26" ht="12.75" customHeight="1" x14ac:dyDescent="0.2">
      <c r="A43247" s="258"/>
      <c r="Z43247" s="258"/>
    </row>
    <row r="43248" spans="1:26" ht="12.75" customHeight="1" x14ac:dyDescent="0.2">
      <c r="A43248" s="258"/>
      <c r="Z43248" s="258"/>
    </row>
    <row r="43249" spans="1:26" ht="12.75" customHeight="1" x14ac:dyDescent="0.2">
      <c r="A43249" s="258"/>
      <c r="Z43249" s="258"/>
    </row>
    <row r="43250" spans="1:26" ht="12.75" customHeight="1" x14ac:dyDescent="0.2">
      <c r="A43250" s="258"/>
      <c r="Z43250" s="258"/>
    </row>
    <row r="43251" spans="1:26" ht="12.75" customHeight="1" x14ac:dyDescent="0.2">
      <c r="A43251" s="258"/>
      <c r="Z43251" s="258"/>
    </row>
    <row r="43252" spans="1:26" ht="12.75" customHeight="1" x14ac:dyDescent="0.2">
      <c r="A43252" s="258"/>
      <c r="Z43252" s="258"/>
    </row>
    <row r="43253" spans="1:26" ht="12.75" customHeight="1" x14ac:dyDescent="0.2">
      <c r="A43253" s="258"/>
      <c r="Z43253" s="258"/>
    </row>
    <row r="43254" spans="1:26" ht="12.75" customHeight="1" x14ac:dyDescent="0.2">
      <c r="A43254" s="258"/>
      <c r="Z43254" s="258"/>
    </row>
    <row r="43255" spans="1:26" ht="12.75" customHeight="1" x14ac:dyDescent="0.2">
      <c r="A43255" s="258"/>
      <c r="Z43255" s="258"/>
    </row>
    <row r="43256" spans="1:26" ht="12.75" customHeight="1" x14ac:dyDescent="0.2">
      <c r="A43256" s="258"/>
      <c r="Z43256" s="258"/>
    </row>
    <row r="43257" spans="1:26" ht="12.75" customHeight="1" x14ac:dyDescent="0.2">
      <c r="A43257" s="258"/>
      <c r="Z43257" s="258"/>
    </row>
    <row r="43258" spans="1:26" ht="12.75" customHeight="1" x14ac:dyDescent="0.2">
      <c r="A43258" s="258"/>
      <c r="Z43258" s="258"/>
    </row>
    <row r="43259" spans="1:26" ht="12.75" customHeight="1" x14ac:dyDescent="0.2">
      <c r="A43259" s="258"/>
      <c r="Z43259" s="258"/>
    </row>
    <row r="43260" spans="1:26" ht="12.75" customHeight="1" x14ac:dyDescent="0.2">
      <c r="A43260" s="258"/>
      <c r="Z43260" s="258"/>
    </row>
    <row r="43261" spans="1:26" ht="12.75" customHeight="1" x14ac:dyDescent="0.2">
      <c r="A43261" s="258"/>
      <c r="Z43261" s="258"/>
    </row>
    <row r="43262" spans="1:26" ht="12.75" customHeight="1" x14ac:dyDescent="0.2">
      <c r="A43262" s="258"/>
      <c r="Z43262" s="258"/>
    </row>
    <row r="43263" spans="1:26" ht="12.75" customHeight="1" x14ac:dyDescent="0.2">
      <c r="A43263" s="258"/>
      <c r="Z43263" s="258"/>
    </row>
    <row r="43264" spans="1:26" ht="12.75" customHeight="1" x14ac:dyDescent="0.2">
      <c r="A43264" s="258"/>
      <c r="Z43264" s="258"/>
    </row>
    <row r="43265" spans="1:26" ht="12.75" customHeight="1" x14ac:dyDescent="0.2">
      <c r="A43265" s="258"/>
      <c r="Z43265" s="258"/>
    </row>
    <row r="43266" spans="1:26" ht="12.75" customHeight="1" x14ac:dyDescent="0.2">
      <c r="A43266" s="258"/>
      <c r="Z43266" s="258"/>
    </row>
    <row r="43267" spans="1:26" ht="12.75" customHeight="1" x14ac:dyDescent="0.2">
      <c r="A43267" s="258"/>
      <c r="Z43267" s="258"/>
    </row>
    <row r="43268" spans="1:26" ht="12.75" customHeight="1" x14ac:dyDescent="0.2">
      <c r="A43268" s="258"/>
      <c r="Z43268" s="258"/>
    </row>
    <row r="43269" spans="1:26" ht="12.75" customHeight="1" x14ac:dyDescent="0.2">
      <c r="A43269" s="258"/>
      <c r="Z43269" s="258"/>
    </row>
    <row r="43270" spans="1:26" ht="12.75" customHeight="1" x14ac:dyDescent="0.2">
      <c r="A43270" s="258"/>
      <c r="Z43270" s="258"/>
    </row>
    <row r="43271" spans="1:26" ht="12.75" customHeight="1" x14ac:dyDescent="0.2">
      <c r="A43271" s="258"/>
      <c r="Z43271" s="258"/>
    </row>
    <row r="43272" spans="1:26" ht="12.75" customHeight="1" x14ac:dyDescent="0.2">
      <c r="A43272" s="258"/>
      <c r="Z43272" s="258"/>
    </row>
    <row r="43273" spans="1:26" ht="12.75" customHeight="1" x14ac:dyDescent="0.2">
      <c r="A43273" s="258"/>
      <c r="Z43273" s="258"/>
    </row>
    <row r="43274" spans="1:26" ht="12.75" customHeight="1" x14ac:dyDescent="0.2">
      <c r="A43274" s="258"/>
      <c r="Z43274" s="258"/>
    </row>
    <row r="43275" spans="1:26" ht="12.75" customHeight="1" x14ac:dyDescent="0.2">
      <c r="A43275" s="258"/>
      <c r="Z43275" s="258"/>
    </row>
    <row r="43276" spans="1:26" ht="12.75" customHeight="1" x14ac:dyDescent="0.2">
      <c r="A43276" s="258"/>
      <c r="Z43276" s="258"/>
    </row>
    <row r="43277" spans="1:26" ht="12.75" customHeight="1" x14ac:dyDescent="0.2">
      <c r="A43277" s="258"/>
      <c r="Z43277" s="258"/>
    </row>
    <row r="43278" spans="1:26" ht="12.75" customHeight="1" x14ac:dyDescent="0.2">
      <c r="A43278" s="258"/>
      <c r="Z43278" s="258"/>
    </row>
    <row r="43279" spans="1:26" ht="12.75" customHeight="1" x14ac:dyDescent="0.2">
      <c r="A43279" s="258"/>
      <c r="Z43279" s="258"/>
    </row>
    <row r="43280" spans="1:26" ht="12.75" customHeight="1" x14ac:dyDescent="0.2">
      <c r="A43280" s="258"/>
      <c r="Z43280" s="258"/>
    </row>
    <row r="43281" spans="1:26" ht="12.75" customHeight="1" x14ac:dyDescent="0.2">
      <c r="A43281" s="258"/>
      <c r="Z43281" s="258"/>
    </row>
    <row r="43282" spans="1:26" ht="12.75" customHeight="1" x14ac:dyDescent="0.2">
      <c r="A43282" s="258"/>
      <c r="Z43282" s="258"/>
    </row>
    <row r="43283" spans="1:26" ht="12.75" customHeight="1" x14ac:dyDescent="0.2">
      <c r="A43283" s="258"/>
      <c r="Z43283" s="258"/>
    </row>
    <row r="43284" spans="1:26" ht="12.75" customHeight="1" x14ac:dyDescent="0.2">
      <c r="A43284" s="258"/>
      <c r="Z43284" s="258"/>
    </row>
    <row r="43285" spans="1:26" ht="12.75" customHeight="1" x14ac:dyDescent="0.2">
      <c r="A43285" s="258"/>
      <c r="Z43285" s="258"/>
    </row>
    <row r="43286" spans="1:26" ht="12.75" customHeight="1" x14ac:dyDescent="0.2">
      <c r="A43286" s="258"/>
      <c r="Z43286" s="258"/>
    </row>
    <row r="43287" spans="1:26" ht="12.75" customHeight="1" x14ac:dyDescent="0.2">
      <c r="A43287" s="258"/>
      <c r="Z43287" s="258"/>
    </row>
    <row r="43288" spans="1:26" ht="12.75" customHeight="1" x14ac:dyDescent="0.2">
      <c r="A43288" s="258"/>
      <c r="Z43288" s="258"/>
    </row>
    <row r="43289" spans="1:26" ht="12.75" customHeight="1" x14ac:dyDescent="0.2">
      <c r="A43289" s="258"/>
      <c r="Z43289" s="258"/>
    </row>
    <row r="43290" spans="1:26" ht="12.75" customHeight="1" x14ac:dyDescent="0.2">
      <c r="A43290" s="258"/>
      <c r="Z43290" s="258"/>
    </row>
    <row r="43291" spans="1:26" ht="12.75" customHeight="1" x14ac:dyDescent="0.2">
      <c r="A43291" s="258"/>
      <c r="Z43291" s="258"/>
    </row>
    <row r="43292" spans="1:26" ht="12.75" customHeight="1" x14ac:dyDescent="0.2">
      <c r="A43292" s="258"/>
      <c r="Z43292" s="258"/>
    </row>
    <row r="43293" spans="1:26" ht="12.75" customHeight="1" x14ac:dyDescent="0.2">
      <c r="A43293" s="258"/>
      <c r="Z43293" s="258"/>
    </row>
    <row r="43294" spans="1:26" ht="12.75" customHeight="1" x14ac:dyDescent="0.2">
      <c r="A43294" s="258"/>
      <c r="Z43294" s="258"/>
    </row>
    <row r="43295" spans="1:26" ht="12.75" customHeight="1" x14ac:dyDescent="0.2">
      <c r="A43295" s="258"/>
      <c r="Z43295" s="258"/>
    </row>
    <row r="43296" spans="1:26" ht="12.75" customHeight="1" x14ac:dyDescent="0.2">
      <c r="A43296" s="258"/>
      <c r="Z43296" s="258"/>
    </row>
    <row r="43297" spans="1:26" ht="12.75" customHeight="1" x14ac:dyDescent="0.2">
      <c r="A43297" s="258"/>
      <c r="Z43297" s="258"/>
    </row>
    <row r="43298" spans="1:26" ht="12.75" customHeight="1" x14ac:dyDescent="0.2">
      <c r="A43298" s="258"/>
      <c r="Z43298" s="258"/>
    </row>
    <row r="43299" spans="1:26" ht="12.75" customHeight="1" x14ac:dyDescent="0.2">
      <c r="A43299" s="258"/>
      <c r="Z43299" s="258"/>
    </row>
    <row r="43300" spans="1:26" ht="12.75" customHeight="1" x14ac:dyDescent="0.2">
      <c r="A43300" s="258"/>
      <c r="Z43300" s="258"/>
    </row>
    <row r="43301" spans="1:26" ht="12.75" customHeight="1" x14ac:dyDescent="0.2">
      <c r="A43301" s="258"/>
      <c r="Z43301" s="258"/>
    </row>
    <row r="43302" spans="1:26" ht="12.75" customHeight="1" x14ac:dyDescent="0.2">
      <c r="A43302" s="258"/>
      <c r="Z43302" s="258"/>
    </row>
    <row r="43303" spans="1:26" ht="12.75" customHeight="1" x14ac:dyDescent="0.2">
      <c r="A43303" s="258"/>
      <c r="Z43303" s="258"/>
    </row>
    <row r="43304" spans="1:26" ht="12.75" customHeight="1" x14ac:dyDescent="0.2">
      <c r="A43304" s="258"/>
      <c r="Z43304" s="258"/>
    </row>
    <row r="43305" spans="1:26" ht="12.75" customHeight="1" x14ac:dyDescent="0.2">
      <c r="A43305" s="258"/>
      <c r="Z43305" s="258"/>
    </row>
    <row r="43306" spans="1:26" ht="12.75" customHeight="1" x14ac:dyDescent="0.2">
      <c r="A43306" s="258"/>
      <c r="Z43306" s="258"/>
    </row>
    <row r="43307" spans="1:26" ht="12.75" customHeight="1" x14ac:dyDescent="0.2">
      <c r="A43307" s="258"/>
      <c r="Z43307" s="258"/>
    </row>
    <row r="43308" spans="1:26" ht="12.75" customHeight="1" x14ac:dyDescent="0.2">
      <c r="A43308" s="258"/>
      <c r="Z43308" s="258"/>
    </row>
    <row r="43309" spans="1:26" ht="12.75" customHeight="1" x14ac:dyDescent="0.2">
      <c r="A43309" s="258"/>
      <c r="Z43309" s="258"/>
    </row>
    <row r="43310" spans="1:26" ht="12.75" customHeight="1" x14ac:dyDescent="0.2">
      <c r="A43310" s="258"/>
      <c r="Z43310" s="258"/>
    </row>
    <row r="43311" spans="1:26" ht="12.75" customHeight="1" x14ac:dyDescent="0.2">
      <c r="A43311" s="258"/>
      <c r="Z43311" s="258"/>
    </row>
    <row r="43312" spans="1:26" ht="12.75" customHeight="1" x14ac:dyDescent="0.2">
      <c r="A43312" s="258"/>
      <c r="Z43312" s="258"/>
    </row>
    <row r="43313" spans="1:26" ht="12.75" customHeight="1" x14ac:dyDescent="0.2">
      <c r="A43313" s="258"/>
      <c r="Z43313" s="258"/>
    </row>
    <row r="43314" spans="1:26" ht="12.75" customHeight="1" x14ac:dyDescent="0.2">
      <c r="A43314" s="258"/>
      <c r="Z43314" s="258"/>
    </row>
    <row r="43315" spans="1:26" ht="12.75" customHeight="1" x14ac:dyDescent="0.2">
      <c r="A43315" s="258"/>
      <c r="Z43315" s="258"/>
    </row>
    <row r="43316" spans="1:26" ht="12.75" customHeight="1" x14ac:dyDescent="0.2">
      <c r="A43316" s="258"/>
      <c r="Z43316" s="258"/>
    </row>
    <row r="43317" spans="1:26" ht="12.75" customHeight="1" x14ac:dyDescent="0.2">
      <c r="A43317" s="258"/>
      <c r="Z43317" s="258"/>
    </row>
    <row r="43318" spans="1:26" ht="12.75" customHeight="1" x14ac:dyDescent="0.2">
      <c r="A43318" s="258"/>
      <c r="Z43318" s="258"/>
    </row>
    <row r="43319" spans="1:26" ht="12.75" customHeight="1" x14ac:dyDescent="0.2">
      <c r="A43319" s="258"/>
      <c r="Z43319" s="258"/>
    </row>
    <row r="43320" spans="1:26" ht="12.75" customHeight="1" x14ac:dyDescent="0.2">
      <c r="A43320" s="258"/>
      <c r="Z43320" s="258"/>
    </row>
    <row r="43321" spans="1:26" ht="12.75" customHeight="1" x14ac:dyDescent="0.2">
      <c r="A43321" s="258"/>
      <c r="Z43321" s="258"/>
    </row>
    <row r="43322" spans="1:26" ht="12.75" customHeight="1" x14ac:dyDescent="0.2">
      <c r="A43322" s="258"/>
      <c r="Z43322" s="258"/>
    </row>
    <row r="43323" spans="1:26" ht="12.75" customHeight="1" x14ac:dyDescent="0.2">
      <c r="A43323" s="258"/>
      <c r="Z43323" s="258"/>
    </row>
    <row r="43324" spans="1:26" ht="12.75" customHeight="1" x14ac:dyDescent="0.2">
      <c r="A43324" s="258"/>
      <c r="Z43324" s="258"/>
    </row>
    <row r="43325" spans="1:26" ht="12.75" customHeight="1" x14ac:dyDescent="0.2">
      <c r="A43325" s="258"/>
      <c r="Z43325" s="258"/>
    </row>
    <row r="43326" spans="1:26" ht="12.75" customHeight="1" x14ac:dyDescent="0.2">
      <c r="A43326" s="258"/>
      <c r="Z43326" s="258"/>
    </row>
    <row r="43327" spans="1:26" ht="12.75" customHeight="1" x14ac:dyDescent="0.2">
      <c r="A43327" s="258"/>
      <c r="Z43327" s="258"/>
    </row>
    <row r="43328" spans="1:26" ht="12.75" customHeight="1" x14ac:dyDescent="0.2">
      <c r="A43328" s="258"/>
      <c r="Z43328" s="258"/>
    </row>
    <row r="43329" spans="1:26" ht="12.75" customHeight="1" x14ac:dyDescent="0.2">
      <c r="A43329" s="258"/>
      <c r="Z43329" s="258"/>
    </row>
    <row r="43330" spans="1:26" ht="12.75" customHeight="1" x14ac:dyDescent="0.2">
      <c r="A43330" s="258"/>
      <c r="Z43330" s="258"/>
    </row>
    <row r="43331" spans="1:26" ht="12.75" customHeight="1" x14ac:dyDescent="0.2">
      <c r="A43331" s="258"/>
      <c r="Z43331" s="258"/>
    </row>
    <row r="43332" spans="1:26" ht="12.75" customHeight="1" x14ac:dyDescent="0.2">
      <c r="A43332" s="258"/>
      <c r="Z43332" s="258"/>
    </row>
    <row r="43333" spans="1:26" ht="12.75" customHeight="1" x14ac:dyDescent="0.2">
      <c r="A43333" s="258"/>
      <c r="Z43333" s="258"/>
    </row>
    <row r="43334" spans="1:26" ht="12.75" customHeight="1" x14ac:dyDescent="0.2">
      <c r="A43334" s="258"/>
      <c r="Z43334" s="258"/>
    </row>
    <row r="43335" spans="1:26" ht="12.75" customHeight="1" x14ac:dyDescent="0.2">
      <c r="A43335" s="258"/>
      <c r="Z43335" s="258"/>
    </row>
    <row r="43336" spans="1:26" ht="12.75" customHeight="1" x14ac:dyDescent="0.2">
      <c r="A43336" s="258"/>
      <c r="Z43336" s="258"/>
    </row>
    <row r="43337" spans="1:26" ht="12.75" customHeight="1" x14ac:dyDescent="0.2">
      <c r="A43337" s="258"/>
      <c r="Z43337" s="258"/>
    </row>
    <row r="43338" spans="1:26" ht="12.75" customHeight="1" x14ac:dyDescent="0.2">
      <c r="A43338" s="258"/>
      <c r="Z43338" s="258"/>
    </row>
    <row r="43339" spans="1:26" ht="12.75" customHeight="1" x14ac:dyDescent="0.2">
      <c r="A43339" s="258"/>
      <c r="Z43339" s="258"/>
    </row>
    <row r="43340" spans="1:26" ht="12.75" customHeight="1" x14ac:dyDescent="0.2">
      <c r="A43340" s="258"/>
      <c r="Z43340" s="258"/>
    </row>
    <row r="43341" spans="1:26" ht="12.75" customHeight="1" x14ac:dyDescent="0.2">
      <c r="A43341" s="258"/>
      <c r="Z43341" s="258"/>
    </row>
    <row r="43342" spans="1:26" ht="12.75" customHeight="1" x14ac:dyDescent="0.2">
      <c r="A43342" s="258"/>
      <c r="Z43342" s="258"/>
    </row>
    <row r="43343" spans="1:26" ht="12.75" customHeight="1" x14ac:dyDescent="0.2">
      <c r="A43343" s="258"/>
      <c r="Z43343" s="258"/>
    </row>
    <row r="43344" spans="1:26" ht="12.75" customHeight="1" x14ac:dyDescent="0.2">
      <c r="A43344" s="258"/>
      <c r="Z43344" s="258"/>
    </row>
    <row r="43345" spans="1:26" ht="12.75" customHeight="1" x14ac:dyDescent="0.2">
      <c r="A43345" s="258"/>
      <c r="Z43345" s="258"/>
    </row>
    <row r="43346" spans="1:26" ht="12.75" customHeight="1" x14ac:dyDescent="0.2">
      <c r="A43346" s="258"/>
      <c r="Z43346" s="258"/>
    </row>
    <row r="43347" spans="1:26" ht="12.75" customHeight="1" x14ac:dyDescent="0.2">
      <c r="A43347" s="258"/>
      <c r="Z43347" s="258"/>
    </row>
    <row r="43348" spans="1:26" ht="12.75" customHeight="1" x14ac:dyDescent="0.2">
      <c r="A43348" s="258"/>
      <c r="Z43348" s="258"/>
    </row>
    <row r="43349" spans="1:26" ht="12.75" customHeight="1" x14ac:dyDescent="0.2">
      <c r="A43349" s="258"/>
      <c r="Z43349" s="258"/>
    </row>
    <row r="43350" spans="1:26" ht="12.75" customHeight="1" x14ac:dyDescent="0.2">
      <c r="A43350" s="258"/>
      <c r="Z43350" s="258"/>
    </row>
    <row r="43351" spans="1:26" ht="12.75" customHeight="1" x14ac:dyDescent="0.2">
      <c r="A43351" s="258"/>
      <c r="Z43351" s="258"/>
    </row>
    <row r="43352" spans="1:26" ht="12.75" customHeight="1" x14ac:dyDescent="0.2">
      <c r="A43352" s="258"/>
      <c r="Z43352" s="258"/>
    </row>
    <row r="43353" spans="1:26" ht="12.75" customHeight="1" x14ac:dyDescent="0.2">
      <c r="A43353" s="258"/>
      <c r="Z43353" s="258"/>
    </row>
    <row r="43354" spans="1:26" ht="12.75" customHeight="1" x14ac:dyDescent="0.2">
      <c r="A43354" s="258"/>
      <c r="Z43354" s="258"/>
    </row>
    <row r="43355" spans="1:26" ht="12.75" customHeight="1" x14ac:dyDescent="0.2">
      <c r="A43355" s="258"/>
      <c r="Z43355" s="258"/>
    </row>
    <row r="43356" spans="1:26" ht="12.75" customHeight="1" x14ac:dyDescent="0.2">
      <c r="A43356" s="258"/>
      <c r="Z43356" s="258"/>
    </row>
    <row r="43357" spans="1:26" ht="12.75" customHeight="1" x14ac:dyDescent="0.2">
      <c r="A43357" s="258"/>
      <c r="Z43357" s="258"/>
    </row>
    <row r="43358" spans="1:26" ht="12.75" customHeight="1" x14ac:dyDescent="0.2">
      <c r="A43358" s="258"/>
      <c r="Z43358" s="258"/>
    </row>
    <row r="43359" spans="1:26" ht="12.75" customHeight="1" x14ac:dyDescent="0.2">
      <c r="A43359" s="258"/>
      <c r="Z43359" s="258"/>
    </row>
    <row r="43360" spans="1:26" ht="12.75" customHeight="1" x14ac:dyDescent="0.2">
      <c r="A43360" s="258"/>
      <c r="Z43360" s="258"/>
    </row>
    <row r="43361" spans="1:26" ht="12.75" customHeight="1" x14ac:dyDescent="0.2">
      <c r="A43361" s="258"/>
      <c r="Z43361" s="258"/>
    </row>
    <row r="43362" spans="1:26" ht="12.75" customHeight="1" x14ac:dyDescent="0.2">
      <c r="A43362" s="258"/>
      <c r="Z43362" s="258"/>
    </row>
    <row r="43363" spans="1:26" ht="12.75" customHeight="1" x14ac:dyDescent="0.2">
      <c r="A43363" s="258"/>
      <c r="Z43363" s="258"/>
    </row>
    <row r="43364" spans="1:26" ht="12.75" customHeight="1" x14ac:dyDescent="0.2">
      <c r="A43364" s="258"/>
      <c r="Z43364" s="258"/>
    </row>
    <row r="43365" spans="1:26" ht="12.75" customHeight="1" x14ac:dyDescent="0.2">
      <c r="A43365" s="258"/>
      <c r="Z43365" s="258"/>
    </row>
    <row r="43366" spans="1:26" ht="12.75" customHeight="1" x14ac:dyDescent="0.2">
      <c r="A43366" s="258"/>
      <c r="Z43366" s="258"/>
    </row>
    <row r="43367" spans="1:26" ht="12.75" customHeight="1" x14ac:dyDescent="0.2">
      <c r="A43367" s="258"/>
      <c r="Z43367" s="258"/>
    </row>
    <row r="43368" spans="1:26" ht="12.75" customHeight="1" x14ac:dyDescent="0.2">
      <c r="A43368" s="258"/>
      <c r="Z43368" s="258"/>
    </row>
    <row r="43369" spans="1:26" ht="12.75" customHeight="1" x14ac:dyDescent="0.2">
      <c r="A43369" s="258"/>
      <c r="Z43369" s="258"/>
    </row>
    <row r="43370" spans="1:26" ht="12.75" customHeight="1" x14ac:dyDescent="0.2">
      <c r="A43370" s="258"/>
      <c r="Z43370" s="258"/>
    </row>
    <row r="43371" spans="1:26" ht="12.75" customHeight="1" x14ac:dyDescent="0.2">
      <c r="A43371" s="258"/>
      <c r="Z43371" s="258"/>
    </row>
    <row r="43372" spans="1:26" ht="12.75" customHeight="1" x14ac:dyDescent="0.2">
      <c r="A43372" s="258"/>
      <c r="Z43372" s="258"/>
    </row>
    <row r="43373" spans="1:26" ht="12.75" customHeight="1" x14ac:dyDescent="0.2">
      <c r="A43373" s="258"/>
      <c r="Z43373" s="258"/>
    </row>
    <row r="43374" spans="1:26" ht="12.75" customHeight="1" x14ac:dyDescent="0.2">
      <c r="A43374" s="258"/>
      <c r="Z43374" s="258"/>
    </row>
    <row r="43375" spans="1:26" ht="12.75" customHeight="1" x14ac:dyDescent="0.2">
      <c r="A43375" s="258"/>
      <c r="Z43375" s="258"/>
    </row>
    <row r="43376" spans="1:26" ht="12.75" customHeight="1" x14ac:dyDescent="0.2">
      <c r="A43376" s="258"/>
      <c r="Z43376" s="258"/>
    </row>
    <row r="43377" spans="1:26" ht="12.75" customHeight="1" x14ac:dyDescent="0.2">
      <c r="A43377" s="258"/>
      <c r="Z43377" s="258"/>
    </row>
    <row r="43378" spans="1:26" ht="12.75" customHeight="1" x14ac:dyDescent="0.2">
      <c r="A43378" s="258"/>
      <c r="Z43378" s="258"/>
    </row>
    <row r="43379" spans="1:26" ht="12.75" customHeight="1" x14ac:dyDescent="0.2">
      <c r="A43379" s="258"/>
      <c r="Z43379" s="258"/>
    </row>
    <row r="43380" spans="1:26" ht="12.75" customHeight="1" x14ac:dyDescent="0.2">
      <c r="A43380" s="258"/>
      <c r="Z43380" s="258"/>
    </row>
    <row r="43381" spans="1:26" ht="12.75" customHeight="1" x14ac:dyDescent="0.2">
      <c r="A43381" s="258"/>
      <c r="Z43381" s="258"/>
    </row>
    <row r="43382" spans="1:26" ht="12.75" customHeight="1" x14ac:dyDescent="0.2">
      <c r="A43382" s="258"/>
      <c r="Z43382" s="258"/>
    </row>
    <row r="43383" spans="1:26" ht="12.75" customHeight="1" x14ac:dyDescent="0.2">
      <c r="A43383" s="258"/>
      <c r="Z43383" s="258"/>
    </row>
    <row r="43384" spans="1:26" ht="12.75" customHeight="1" x14ac:dyDescent="0.2">
      <c r="A43384" s="258"/>
      <c r="Z43384" s="258"/>
    </row>
    <row r="43385" spans="1:26" ht="12.75" customHeight="1" x14ac:dyDescent="0.2">
      <c r="A43385" s="258"/>
      <c r="Z43385" s="258"/>
    </row>
    <row r="43386" spans="1:26" ht="12.75" customHeight="1" x14ac:dyDescent="0.2">
      <c r="A43386" s="258"/>
      <c r="Z43386" s="258"/>
    </row>
    <row r="43387" spans="1:26" ht="12.75" customHeight="1" x14ac:dyDescent="0.2">
      <c r="A43387" s="258"/>
      <c r="Z43387" s="258"/>
    </row>
    <row r="43388" spans="1:26" ht="12.75" customHeight="1" x14ac:dyDescent="0.2">
      <c r="A43388" s="258"/>
      <c r="Z43388" s="258"/>
    </row>
    <row r="43389" spans="1:26" ht="12.75" customHeight="1" x14ac:dyDescent="0.2">
      <c r="A43389" s="258"/>
      <c r="Z43389" s="258"/>
    </row>
    <row r="43390" spans="1:26" ht="12.75" customHeight="1" x14ac:dyDescent="0.2">
      <c r="A43390" s="258"/>
      <c r="Z43390" s="258"/>
    </row>
    <row r="43391" spans="1:26" ht="12.75" customHeight="1" x14ac:dyDescent="0.2">
      <c r="A43391" s="258"/>
      <c r="Z43391" s="258"/>
    </row>
    <row r="43392" spans="1:26" ht="12.75" customHeight="1" x14ac:dyDescent="0.2">
      <c r="A43392" s="258"/>
      <c r="Z43392" s="258"/>
    </row>
    <row r="43393" spans="1:26" ht="12.75" customHeight="1" x14ac:dyDescent="0.2">
      <c r="A43393" s="258"/>
      <c r="Z43393" s="258"/>
    </row>
    <row r="43394" spans="1:26" ht="12.75" customHeight="1" x14ac:dyDescent="0.2">
      <c r="A43394" s="258"/>
      <c r="Z43394" s="258"/>
    </row>
    <row r="43395" spans="1:26" ht="12.75" customHeight="1" x14ac:dyDescent="0.2">
      <c r="A43395" s="258"/>
      <c r="Z43395" s="258"/>
    </row>
    <row r="43396" spans="1:26" ht="12.75" customHeight="1" x14ac:dyDescent="0.2">
      <c r="A43396" s="258"/>
      <c r="Z43396" s="258"/>
    </row>
    <row r="43397" spans="1:26" ht="12.75" customHeight="1" x14ac:dyDescent="0.2">
      <c r="A43397" s="258"/>
      <c r="Z43397" s="258"/>
    </row>
    <row r="43398" spans="1:26" ht="12.75" customHeight="1" x14ac:dyDescent="0.2">
      <c r="A43398" s="258"/>
      <c r="Z43398" s="258"/>
    </row>
    <row r="43399" spans="1:26" ht="12.75" customHeight="1" x14ac:dyDescent="0.2">
      <c r="A43399" s="258"/>
      <c r="Z43399" s="258"/>
    </row>
    <row r="43400" spans="1:26" ht="12.75" customHeight="1" x14ac:dyDescent="0.2">
      <c r="A43400" s="258"/>
      <c r="Z43400" s="258"/>
    </row>
    <row r="43401" spans="1:26" ht="12.75" customHeight="1" x14ac:dyDescent="0.2">
      <c r="A43401" s="258"/>
      <c r="Z43401" s="258"/>
    </row>
    <row r="43402" spans="1:26" ht="12.75" customHeight="1" x14ac:dyDescent="0.2">
      <c r="A43402" s="258"/>
      <c r="Z43402" s="258"/>
    </row>
    <row r="43403" spans="1:26" ht="12.75" customHeight="1" x14ac:dyDescent="0.2">
      <c r="A43403" s="258"/>
      <c r="Z43403" s="258"/>
    </row>
    <row r="43404" spans="1:26" ht="12.75" customHeight="1" x14ac:dyDescent="0.2">
      <c r="A43404" s="258"/>
      <c r="Z43404" s="258"/>
    </row>
    <row r="43405" spans="1:26" ht="12.75" customHeight="1" x14ac:dyDescent="0.2">
      <c r="A43405" s="258"/>
      <c r="Z43405" s="258"/>
    </row>
    <row r="43406" spans="1:26" ht="12.75" customHeight="1" x14ac:dyDescent="0.2">
      <c r="A43406" s="258"/>
      <c r="Z43406" s="258"/>
    </row>
    <row r="43407" spans="1:26" ht="12.75" customHeight="1" x14ac:dyDescent="0.2">
      <c r="A43407" s="258"/>
      <c r="Z43407" s="258"/>
    </row>
    <row r="43408" spans="1:26" ht="12.75" customHeight="1" x14ac:dyDescent="0.2">
      <c r="A43408" s="258"/>
      <c r="Z43408" s="258"/>
    </row>
    <row r="43409" spans="1:26" ht="12.75" customHeight="1" x14ac:dyDescent="0.2">
      <c r="A43409" s="258"/>
      <c r="Z43409" s="258"/>
    </row>
    <row r="43410" spans="1:26" ht="12.75" customHeight="1" x14ac:dyDescent="0.2">
      <c r="A43410" s="258"/>
      <c r="Z43410" s="258"/>
    </row>
    <row r="43411" spans="1:26" ht="12.75" customHeight="1" x14ac:dyDescent="0.2">
      <c r="A43411" s="258"/>
      <c r="Z43411" s="258"/>
    </row>
    <row r="43412" spans="1:26" ht="12.75" customHeight="1" x14ac:dyDescent="0.2">
      <c r="A43412" s="258"/>
      <c r="Z43412" s="258"/>
    </row>
    <row r="43413" spans="1:26" ht="12.75" customHeight="1" x14ac:dyDescent="0.2">
      <c r="A43413" s="258"/>
      <c r="Z43413" s="258"/>
    </row>
    <row r="43414" spans="1:26" ht="12.75" customHeight="1" x14ac:dyDescent="0.2">
      <c r="A43414" s="258"/>
      <c r="Z43414" s="258"/>
    </row>
    <row r="43415" spans="1:26" ht="12.75" customHeight="1" x14ac:dyDescent="0.2">
      <c r="A43415" s="258"/>
      <c r="Z43415" s="258"/>
    </row>
    <row r="43416" spans="1:26" ht="12.75" customHeight="1" x14ac:dyDescent="0.2">
      <c r="A43416" s="258"/>
      <c r="Z43416" s="258"/>
    </row>
    <row r="43417" spans="1:26" ht="12.75" customHeight="1" x14ac:dyDescent="0.2">
      <c r="A43417" s="258"/>
      <c r="Z43417" s="258"/>
    </row>
    <row r="43418" spans="1:26" ht="12.75" customHeight="1" x14ac:dyDescent="0.2">
      <c r="A43418" s="258"/>
      <c r="Z43418" s="258"/>
    </row>
    <row r="43419" spans="1:26" ht="12.75" customHeight="1" x14ac:dyDescent="0.2">
      <c r="A43419" s="258"/>
      <c r="Z43419" s="258"/>
    </row>
    <row r="43420" spans="1:26" ht="12.75" customHeight="1" x14ac:dyDescent="0.2">
      <c r="A43420" s="258"/>
      <c r="Z43420" s="258"/>
    </row>
    <row r="43421" spans="1:26" ht="12.75" customHeight="1" x14ac:dyDescent="0.2">
      <c r="A43421" s="258"/>
      <c r="Z43421" s="258"/>
    </row>
    <row r="43422" spans="1:26" ht="12.75" customHeight="1" x14ac:dyDescent="0.2">
      <c r="A43422" s="258"/>
      <c r="Z43422" s="258"/>
    </row>
    <row r="43423" spans="1:26" ht="12.75" customHeight="1" x14ac:dyDescent="0.2">
      <c r="A43423" s="258"/>
      <c r="Z43423" s="258"/>
    </row>
    <row r="43424" spans="1:26" ht="12.75" customHeight="1" x14ac:dyDescent="0.2">
      <c r="A43424" s="258"/>
      <c r="Z43424" s="258"/>
    </row>
    <row r="43425" spans="1:26" ht="12.75" customHeight="1" x14ac:dyDescent="0.2">
      <c r="A43425" s="258"/>
      <c r="Z43425" s="258"/>
    </row>
    <row r="43426" spans="1:26" ht="12.75" customHeight="1" x14ac:dyDescent="0.2">
      <c r="A43426" s="258"/>
      <c r="Z43426" s="258"/>
    </row>
    <row r="43427" spans="1:26" ht="12.75" customHeight="1" x14ac:dyDescent="0.2">
      <c r="A43427" s="258"/>
      <c r="Z43427" s="258"/>
    </row>
    <row r="43428" spans="1:26" ht="12.75" customHeight="1" x14ac:dyDescent="0.2">
      <c r="A43428" s="258"/>
      <c r="Z43428" s="258"/>
    </row>
    <row r="43429" spans="1:26" ht="12.75" customHeight="1" x14ac:dyDescent="0.2">
      <c r="A43429" s="258"/>
      <c r="Z43429" s="258"/>
    </row>
    <row r="43430" spans="1:26" ht="12.75" customHeight="1" x14ac:dyDescent="0.2">
      <c r="A43430" s="258"/>
      <c r="Z43430" s="258"/>
    </row>
    <row r="43431" spans="1:26" ht="12.75" customHeight="1" x14ac:dyDescent="0.2">
      <c r="A43431" s="258"/>
      <c r="Z43431" s="258"/>
    </row>
    <row r="43432" spans="1:26" ht="12.75" customHeight="1" x14ac:dyDescent="0.2">
      <c r="A43432" s="258"/>
      <c r="Z43432" s="258"/>
    </row>
    <row r="43433" spans="1:26" ht="12.75" customHeight="1" x14ac:dyDescent="0.2">
      <c r="A43433" s="258"/>
      <c r="Z43433" s="258"/>
    </row>
    <row r="43434" spans="1:26" ht="12.75" customHeight="1" x14ac:dyDescent="0.2">
      <c r="A43434" s="258"/>
      <c r="Z43434" s="258"/>
    </row>
    <row r="43435" spans="1:26" ht="12.75" customHeight="1" x14ac:dyDescent="0.2">
      <c r="A43435" s="258"/>
      <c r="Z43435" s="258"/>
    </row>
    <row r="43436" spans="1:26" ht="12.75" customHeight="1" x14ac:dyDescent="0.2">
      <c r="A43436" s="258"/>
      <c r="Z43436" s="258"/>
    </row>
    <row r="43437" spans="1:26" ht="12.75" customHeight="1" x14ac:dyDescent="0.2">
      <c r="A43437" s="258"/>
      <c r="Z43437" s="258"/>
    </row>
    <row r="43438" spans="1:26" ht="12.75" customHeight="1" x14ac:dyDescent="0.2">
      <c r="A43438" s="258"/>
      <c r="Z43438" s="258"/>
    </row>
    <row r="43439" spans="1:26" ht="12.75" customHeight="1" x14ac:dyDescent="0.2">
      <c r="A43439" s="258"/>
      <c r="Z43439" s="258"/>
    </row>
    <row r="43440" spans="1:26" ht="12.75" customHeight="1" x14ac:dyDescent="0.2">
      <c r="A43440" s="258"/>
      <c r="Z43440" s="258"/>
    </row>
    <row r="43441" spans="1:26" ht="12.75" customHeight="1" x14ac:dyDescent="0.2">
      <c r="A43441" s="258"/>
      <c r="Z43441" s="258"/>
    </row>
    <row r="43442" spans="1:26" ht="12.75" customHeight="1" x14ac:dyDescent="0.2">
      <c r="A43442" s="258"/>
      <c r="Z43442" s="258"/>
    </row>
    <row r="43443" spans="1:26" ht="12.75" customHeight="1" x14ac:dyDescent="0.2">
      <c r="A43443" s="258"/>
      <c r="Z43443" s="258"/>
    </row>
    <row r="43444" spans="1:26" ht="12.75" customHeight="1" x14ac:dyDescent="0.2">
      <c r="A43444" s="258"/>
      <c r="Z43444" s="258"/>
    </row>
    <row r="43445" spans="1:26" ht="12.75" customHeight="1" x14ac:dyDescent="0.2">
      <c r="A43445" s="258"/>
      <c r="Z43445" s="258"/>
    </row>
    <row r="43446" spans="1:26" ht="12.75" customHeight="1" x14ac:dyDescent="0.2">
      <c r="A43446" s="258"/>
      <c r="Z43446" s="258"/>
    </row>
    <row r="43447" spans="1:26" ht="12.75" customHeight="1" x14ac:dyDescent="0.2">
      <c r="A43447" s="258"/>
      <c r="Z43447" s="258"/>
    </row>
    <row r="43448" spans="1:26" ht="12.75" customHeight="1" x14ac:dyDescent="0.2">
      <c r="A43448" s="258"/>
      <c r="Z43448" s="258"/>
    </row>
    <row r="43449" spans="1:26" ht="12.75" customHeight="1" x14ac:dyDescent="0.2">
      <c r="A43449" s="258"/>
      <c r="Z43449" s="258"/>
    </row>
    <row r="43450" spans="1:26" ht="12.75" customHeight="1" x14ac:dyDescent="0.2">
      <c r="A43450" s="258"/>
      <c r="Z43450" s="258"/>
    </row>
    <row r="43451" spans="1:26" ht="12.75" customHeight="1" x14ac:dyDescent="0.2">
      <c r="A43451" s="258"/>
      <c r="Z43451" s="258"/>
    </row>
    <row r="43452" spans="1:26" ht="12.75" customHeight="1" x14ac:dyDescent="0.2">
      <c r="A43452" s="258"/>
      <c r="Z43452" s="258"/>
    </row>
    <row r="43453" spans="1:26" ht="12.75" customHeight="1" x14ac:dyDescent="0.2">
      <c r="A43453" s="258"/>
      <c r="Z43453" s="258"/>
    </row>
    <row r="43454" spans="1:26" ht="12.75" customHeight="1" x14ac:dyDescent="0.2">
      <c r="A43454" s="258"/>
      <c r="Z43454" s="258"/>
    </row>
    <row r="43455" spans="1:26" ht="12.75" customHeight="1" x14ac:dyDescent="0.2">
      <c r="A43455" s="258"/>
      <c r="Z43455" s="258"/>
    </row>
    <row r="43456" spans="1:26" ht="12.75" customHeight="1" x14ac:dyDescent="0.2">
      <c r="A43456" s="258"/>
      <c r="Z43456" s="258"/>
    </row>
    <row r="43457" spans="1:26" ht="12.75" customHeight="1" x14ac:dyDescent="0.2">
      <c r="A43457" s="258"/>
      <c r="Z43457" s="258"/>
    </row>
    <row r="43458" spans="1:26" ht="12.75" customHeight="1" x14ac:dyDescent="0.2">
      <c r="A43458" s="258"/>
      <c r="Z43458" s="258"/>
    </row>
    <row r="43459" spans="1:26" ht="12.75" customHeight="1" x14ac:dyDescent="0.2">
      <c r="A43459" s="258"/>
      <c r="Z43459" s="258"/>
    </row>
    <row r="43460" spans="1:26" ht="12.75" customHeight="1" x14ac:dyDescent="0.2">
      <c r="A43460" s="258"/>
      <c r="Z43460" s="258"/>
    </row>
    <row r="43461" spans="1:26" ht="12.75" customHeight="1" x14ac:dyDescent="0.2">
      <c r="A43461" s="258"/>
      <c r="Z43461" s="258"/>
    </row>
    <row r="43462" spans="1:26" ht="12.75" customHeight="1" x14ac:dyDescent="0.2">
      <c r="A43462" s="258"/>
      <c r="Z43462" s="258"/>
    </row>
    <row r="43463" spans="1:26" ht="12.75" customHeight="1" x14ac:dyDescent="0.2">
      <c r="A43463" s="258"/>
      <c r="Z43463" s="258"/>
    </row>
    <row r="43464" spans="1:26" ht="12.75" customHeight="1" x14ac:dyDescent="0.2">
      <c r="A43464" s="258"/>
      <c r="Z43464" s="258"/>
    </row>
    <row r="43465" spans="1:26" ht="12.75" customHeight="1" x14ac:dyDescent="0.2">
      <c r="A43465" s="258"/>
      <c r="Z43465" s="258"/>
    </row>
    <row r="43466" spans="1:26" ht="12.75" customHeight="1" x14ac:dyDescent="0.2">
      <c r="A43466" s="258"/>
      <c r="Z43466" s="258"/>
    </row>
    <row r="43467" spans="1:26" ht="12.75" customHeight="1" x14ac:dyDescent="0.2">
      <c r="A43467" s="258"/>
      <c r="Z43467" s="258"/>
    </row>
    <row r="43468" spans="1:26" ht="12.75" customHeight="1" x14ac:dyDescent="0.2">
      <c r="A43468" s="258"/>
      <c r="Z43468" s="258"/>
    </row>
    <row r="43469" spans="1:26" ht="12.75" customHeight="1" x14ac:dyDescent="0.2">
      <c r="A43469" s="258"/>
      <c r="Z43469" s="258"/>
    </row>
    <row r="43470" spans="1:26" ht="12.75" customHeight="1" x14ac:dyDescent="0.2">
      <c r="A43470" s="258"/>
      <c r="Z43470" s="258"/>
    </row>
    <row r="43471" spans="1:26" ht="12.75" customHeight="1" x14ac:dyDescent="0.2">
      <c r="A43471" s="258"/>
      <c r="Z43471" s="258"/>
    </row>
    <row r="43472" spans="1:26" ht="12.75" customHeight="1" x14ac:dyDescent="0.2">
      <c r="A43472" s="258"/>
      <c r="Z43472" s="258"/>
    </row>
    <row r="43473" spans="1:26" ht="12.75" customHeight="1" x14ac:dyDescent="0.2">
      <c r="A43473" s="258"/>
      <c r="Z43473" s="258"/>
    </row>
    <row r="43474" spans="1:26" ht="12.75" customHeight="1" x14ac:dyDescent="0.2">
      <c r="A43474" s="258"/>
      <c r="Z43474" s="258"/>
    </row>
    <row r="43475" spans="1:26" ht="12.75" customHeight="1" x14ac:dyDescent="0.2">
      <c r="A43475" s="258"/>
      <c r="Z43475" s="258"/>
    </row>
    <row r="43476" spans="1:26" ht="12.75" customHeight="1" x14ac:dyDescent="0.2">
      <c r="A43476" s="258"/>
      <c r="Z43476" s="258"/>
    </row>
    <row r="43477" spans="1:26" ht="12.75" customHeight="1" x14ac:dyDescent="0.2">
      <c r="A43477" s="258"/>
      <c r="Z43477" s="258"/>
    </row>
    <row r="43478" spans="1:26" ht="12.75" customHeight="1" x14ac:dyDescent="0.2">
      <c r="A43478" s="258"/>
      <c r="Z43478" s="258"/>
    </row>
    <row r="43479" spans="1:26" ht="12.75" customHeight="1" x14ac:dyDescent="0.2">
      <c r="A43479" s="258"/>
      <c r="Z43479" s="258"/>
    </row>
    <row r="43480" spans="1:26" ht="12.75" customHeight="1" x14ac:dyDescent="0.2">
      <c r="A43480" s="258"/>
      <c r="Z43480" s="258"/>
    </row>
    <row r="43481" spans="1:26" ht="12.75" customHeight="1" x14ac:dyDescent="0.2">
      <c r="A43481" s="258"/>
      <c r="Z43481" s="258"/>
    </row>
    <row r="43482" spans="1:26" ht="12.75" customHeight="1" x14ac:dyDescent="0.2">
      <c r="A43482" s="258"/>
      <c r="Z43482" s="258"/>
    </row>
    <row r="43483" spans="1:26" ht="12.75" customHeight="1" x14ac:dyDescent="0.2">
      <c r="A43483" s="258"/>
      <c r="Z43483" s="258"/>
    </row>
    <row r="43484" spans="1:26" ht="12.75" customHeight="1" x14ac:dyDescent="0.2">
      <c r="A43484" s="258"/>
      <c r="Z43484" s="258"/>
    </row>
    <row r="43485" spans="1:26" ht="12.75" customHeight="1" x14ac:dyDescent="0.2">
      <c r="A43485" s="258"/>
      <c r="Z43485" s="258"/>
    </row>
    <row r="43486" spans="1:26" ht="12.75" customHeight="1" x14ac:dyDescent="0.2">
      <c r="A43486" s="258"/>
      <c r="Z43486" s="258"/>
    </row>
    <row r="43487" spans="1:26" ht="12.75" customHeight="1" x14ac:dyDescent="0.2">
      <c r="A43487" s="258"/>
      <c r="Z43487" s="258"/>
    </row>
    <row r="43488" spans="1:26" ht="12.75" customHeight="1" x14ac:dyDescent="0.2">
      <c r="A43488" s="258"/>
      <c r="Z43488" s="258"/>
    </row>
    <row r="43489" spans="1:26" ht="12.75" customHeight="1" x14ac:dyDescent="0.2">
      <c r="A43489" s="258"/>
      <c r="Z43489" s="258"/>
    </row>
    <row r="43490" spans="1:26" ht="12.75" customHeight="1" x14ac:dyDescent="0.2">
      <c r="A43490" s="258"/>
      <c r="Z43490" s="258"/>
    </row>
    <row r="43491" spans="1:26" ht="12.75" customHeight="1" x14ac:dyDescent="0.2">
      <c r="A43491" s="258"/>
      <c r="Z43491" s="258"/>
    </row>
    <row r="43492" spans="1:26" ht="12.75" customHeight="1" x14ac:dyDescent="0.2">
      <c r="A43492" s="258"/>
      <c r="Z43492" s="258"/>
    </row>
    <row r="43493" spans="1:26" ht="12.75" customHeight="1" x14ac:dyDescent="0.2">
      <c r="A43493" s="258"/>
      <c r="Z43493" s="258"/>
    </row>
    <row r="43494" spans="1:26" ht="12.75" customHeight="1" x14ac:dyDescent="0.2">
      <c r="A43494" s="258"/>
      <c r="Z43494" s="258"/>
    </row>
    <row r="43495" spans="1:26" ht="12.75" customHeight="1" x14ac:dyDescent="0.2">
      <c r="A43495" s="258"/>
      <c r="Z43495" s="258"/>
    </row>
    <row r="43496" spans="1:26" ht="12.75" customHeight="1" x14ac:dyDescent="0.2">
      <c r="A43496" s="258"/>
      <c r="Z43496" s="258"/>
    </row>
    <row r="43497" spans="1:26" ht="12.75" customHeight="1" x14ac:dyDescent="0.2">
      <c r="A43497" s="258"/>
      <c r="Z43497" s="258"/>
    </row>
    <row r="43498" spans="1:26" ht="12.75" customHeight="1" x14ac:dyDescent="0.2">
      <c r="A43498" s="258"/>
      <c r="Z43498" s="258"/>
    </row>
    <row r="43499" spans="1:26" ht="12.75" customHeight="1" x14ac:dyDescent="0.2">
      <c r="A43499" s="258"/>
      <c r="Z43499" s="258"/>
    </row>
    <row r="43500" spans="1:26" ht="12.75" customHeight="1" x14ac:dyDescent="0.2">
      <c r="A43500" s="258"/>
      <c r="Z43500" s="258"/>
    </row>
    <row r="43501" spans="1:26" ht="12.75" customHeight="1" x14ac:dyDescent="0.2">
      <c r="A43501" s="258"/>
      <c r="Z43501" s="258"/>
    </row>
    <row r="43502" spans="1:26" ht="12.75" customHeight="1" x14ac:dyDescent="0.2">
      <c r="A43502" s="258"/>
      <c r="Z43502" s="258"/>
    </row>
    <row r="43503" spans="1:26" ht="12.75" customHeight="1" x14ac:dyDescent="0.2">
      <c r="A43503" s="258"/>
      <c r="Z43503" s="258"/>
    </row>
    <row r="43504" spans="1:26" ht="12.75" customHeight="1" x14ac:dyDescent="0.2">
      <c r="A43504" s="258"/>
      <c r="Z43504" s="258"/>
    </row>
    <row r="43505" spans="1:26" ht="12.75" customHeight="1" x14ac:dyDescent="0.2">
      <c r="A43505" s="258"/>
      <c r="Z43505" s="258"/>
    </row>
    <row r="43506" spans="1:26" ht="12.75" customHeight="1" x14ac:dyDescent="0.2">
      <c r="A43506" s="258"/>
      <c r="Z43506" s="258"/>
    </row>
    <row r="43507" spans="1:26" ht="12.75" customHeight="1" x14ac:dyDescent="0.2">
      <c r="A43507" s="258"/>
      <c r="Z43507" s="258"/>
    </row>
    <row r="43508" spans="1:26" ht="12.75" customHeight="1" x14ac:dyDescent="0.2">
      <c r="A43508" s="258"/>
      <c r="Z43508" s="258"/>
    </row>
    <row r="43509" spans="1:26" ht="12.75" customHeight="1" x14ac:dyDescent="0.2">
      <c r="A43509" s="258"/>
      <c r="Z43509" s="258"/>
    </row>
    <row r="43510" spans="1:26" ht="12.75" customHeight="1" x14ac:dyDescent="0.2">
      <c r="A43510" s="258"/>
      <c r="Z43510" s="258"/>
    </row>
    <row r="43511" spans="1:26" ht="12.75" customHeight="1" x14ac:dyDescent="0.2">
      <c r="A43511" s="258"/>
      <c r="Z43511" s="258"/>
    </row>
    <row r="43512" spans="1:26" ht="12.75" customHeight="1" x14ac:dyDescent="0.2">
      <c r="A43512" s="258"/>
      <c r="Z43512" s="258"/>
    </row>
    <row r="43513" spans="1:26" ht="12.75" customHeight="1" x14ac:dyDescent="0.2">
      <c r="A43513" s="258"/>
      <c r="Z43513" s="258"/>
    </row>
    <row r="43514" spans="1:26" ht="12.75" customHeight="1" x14ac:dyDescent="0.2">
      <c r="A43514" s="258"/>
      <c r="Z43514" s="258"/>
    </row>
    <row r="43515" spans="1:26" ht="12.75" customHeight="1" x14ac:dyDescent="0.2">
      <c r="A43515" s="258"/>
      <c r="Z43515" s="258"/>
    </row>
    <row r="43516" spans="1:26" ht="12.75" customHeight="1" x14ac:dyDescent="0.2">
      <c r="A43516" s="258"/>
      <c r="Z43516" s="258"/>
    </row>
    <row r="43517" spans="1:26" ht="12.75" customHeight="1" x14ac:dyDescent="0.2">
      <c r="A43517" s="258"/>
      <c r="Z43517" s="258"/>
    </row>
    <row r="43518" spans="1:26" ht="12.75" customHeight="1" x14ac:dyDescent="0.2">
      <c r="A43518" s="258"/>
      <c r="Z43518" s="258"/>
    </row>
    <row r="43519" spans="1:26" ht="12.75" customHeight="1" x14ac:dyDescent="0.2">
      <c r="A43519" s="258"/>
      <c r="Z43519" s="258"/>
    </row>
    <row r="43520" spans="1:26" ht="12.75" customHeight="1" x14ac:dyDescent="0.2">
      <c r="A43520" s="258"/>
      <c r="Z43520" s="258"/>
    </row>
    <row r="43521" spans="1:26" ht="12.75" customHeight="1" x14ac:dyDescent="0.2">
      <c r="A43521" s="258"/>
      <c r="Z43521" s="258"/>
    </row>
    <row r="43522" spans="1:26" ht="12.75" customHeight="1" x14ac:dyDescent="0.2">
      <c r="A43522" s="258"/>
      <c r="Z43522" s="258"/>
    </row>
    <row r="43523" spans="1:26" ht="12.75" customHeight="1" x14ac:dyDescent="0.2">
      <c r="A43523" s="258"/>
      <c r="Z43523" s="258"/>
    </row>
    <row r="43524" spans="1:26" ht="12.75" customHeight="1" x14ac:dyDescent="0.2">
      <c r="A43524" s="258"/>
      <c r="Z43524" s="258"/>
    </row>
    <row r="43525" spans="1:26" ht="12.75" customHeight="1" x14ac:dyDescent="0.2">
      <c r="A43525" s="258"/>
      <c r="Z43525" s="258"/>
    </row>
    <row r="43526" spans="1:26" ht="12.75" customHeight="1" x14ac:dyDescent="0.2">
      <c r="A43526" s="258"/>
      <c r="Z43526" s="258"/>
    </row>
    <row r="43527" spans="1:26" ht="12.75" customHeight="1" x14ac:dyDescent="0.2">
      <c r="A43527" s="258"/>
      <c r="Z43527" s="258"/>
    </row>
    <row r="43528" spans="1:26" ht="12.75" customHeight="1" x14ac:dyDescent="0.2">
      <c r="A43528" s="258"/>
      <c r="Z43528" s="258"/>
    </row>
    <row r="43529" spans="1:26" ht="12.75" customHeight="1" x14ac:dyDescent="0.2">
      <c r="A43529" s="258"/>
      <c r="Z43529" s="258"/>
    </row>
    <row r="43530" spans="1:26" ht="12.75" customHeight="1" x14ac:dyDescent="0.2">
      <c r="A43530" s="258"/>
      <c r="Z43530" s="258"/>
    </row>
    <row r="43531" spans="1:26" ht="12.75" customHeight="1" x14ac:dyDescent="0.2">
      <c r="A43531" s="258"/>
      <c r="Z43531" s="258"/>
    </row>
    <row r="43532" spans="1:26" ht="12.75" customHeight="1" x14ac:dyDescent="0.2">
      <c r="A43532" s="258"/>
      <c r="Z43532" s="258"/>
    </row>
    <row r="43533" spans="1:26" ht="12.75" customHeight="1" x14ac:dyDescent="0.2">
      <c r="A43533" s="258"/>
      <c r="Z43533" s="258"/>
    </row>
    <row r="43534" spans="1:26" ht="12.75" customHeight="1" x14ac:dyDescent="0.2">
      <c r="A43534" s="258"/>
      <c r="Z43534" s="258"/>
    </row>
    <row r="43535" spans="1:26" ht="12.75" customHeight="1" x14ac:dyDescent="0.2">
      <c r="A43535" s="258"/>
      <c r="Z43535" s="258"/>
    </row>
    <row r="43536" spans="1:26" ht="12.75" customHeight="1" x14ac:dyDescent="0.2">
      <c r="A43536" s="258"/>
      <c r="Z43536" s="258"/>
    </row>
    <row r="43537" spans="1:26" ht="12.75" customHeight="1" x14ac:dyDescent="0.2">
      <c r="A43537" s="258"/>
      <c r="Z43537" s="258"/>
    </row>
    <row r="43538" spans="1:26" ht="12.75" customHeight="1" x14ac:dyDescent="0.2">
      <c r="A43538" s="258"/>
      <c r="Z43538" s="258"/>
    </row>
    <row r="43539" spans="1:26" ht="12.75" customHeight="1" x14ac:dyDescent="0.2">
      <c r="A43539" s="258"/>
      <c r="Z43539" s="258"/>
    </row>
    <row r="43540" spans="1:26" ht="12.75" customHeight="1" x14ac:dyDescent="0.2">
      <c r="A43540" s="258"/>
      <c r="Z43540" s="258"/>
    </row>
    <row r="43541" spans="1:26" ht="12.75" customHeight="1" x14ac:dyDescent="0.2">
      <c r="A43541" s="258"/>
      <c r="Z43541" s="258"/>
    </row>
    <row r="43542" spans="1:26" ht="12.75" customHeight="1" x14ac:dyDescent="0.2">
      <c r="A43542" s="258"/>
      <c r="Z43542" s="258"/>
    </row>
    <row r="43543" spans="1:26" ht="12.75" customHeight="1" x14ac:dyDescent="0.2">
      <c r="A43543" s="258"/>
      <c r="Z43543" s="258"/>
    </row>
    <row r="43544" spans="1:26" ht="12.75" customHeight="1" x14ac:dyDescent="0.2">
      <c r="A43544" s="258"/>
      <c r="Z43544" s="258"/>
    </row>
    <row r="43545" spans="1:26" ht="12.75" customHeight="1" x14ac:dyDescent="0.2">
      <c r="A43545" s="258"/>
      <c r="Z43545" s="258"/>
    </row>
    <row r="43546" spans="1:26" ht="12.75" customHeight="1" x14ac:dyDescent="0.2">
      <c r="A43546" s="258"/>
      <c r="Z43546" s="258"/>
    </row>
    <row r="43547" spans="1:26" ht="12.75" customHeight="1" x14ac:dyDescent="0.2">
      <c r="A43547" s="258"/>
      <c r="Z43547" s="258"/>
    </row>
    <row r="43548" spans="1:26" ht="12.75" customHeight="1" x14ac:dyDescent="0.2">
      <c r="A43548" s="258"/>
      <c r="Z43548" s="258"/>
    </row>
    <row r="43549" spans="1:26" ht="12.75" customHeight="1" x14ac:dyDescent="0.2">
      <c r="A43549" s="258"/>
      <c r="Z43549" s="258"/>
    </row>
    <row r="43550" spans="1:26" ht="12.75" customHeight="1" x14ac:dyDescent="0.2">
      <c r="A43550" s="258"/>
      <c r="Z43550" s="258"/>
    </row>
    <row r="43551" spans="1:26" ht="12.75" customHeight="1" x14ac:dyDescent="0.2">
      <c r="A43551" s="258"/>
      <c r="Z43551" s="258"/>
    </row>
    <row r="43552" spans="1:26" ht="12.75" customHeight="1" x14ac:dyDescent="0.2">
      <c r="A43552" s="258"/>
      <c r="Z43552" s="258"/>
    </row>
    <row r="43553" spans="1:26" ht="12.75" customHeight="1" x14ac:dyDescent="0.2">
      <c r="A43553" s="258"/>
      <c r="Z43553" s="258"/>
    </row>
    <row r="43554" spans="1:26" ht="12.75" customHeight="1" x14ac:dyDescent="0.2">
      <c r="A43554" s="258"/>
      <c r="Z43554" s="258"/>
    </row>
    <row r="43555" spans="1:26" ht="12.75" customHeight="1" x14ac:dyDescent="0.2">
      <c r="A43555" s="258"/>
      <c r="Z43555" s="258"/>
    </row>
    <row r="43556" spans="1:26" ht="12.75" customHeight="1" x14ac:dyDescent="0.2">
      <c r="A43556" s="258"/>
      <c r="Z43556" s="258"/>
    </row>
    <row r="43557" spans="1:26" ht="12.75" customHeight="1" x14ac:dyDescent="0.2">
      <c r="A43557" s="258"/>
      <c r="Z43557" s="258"/>
    </row>
    <row r="43558" spans="1:26" ht="12.75" customHeight="1" x14ac:dyDescent="0.2">
      <c r="A43558" s="258"/>
      <c r="Z43558" s="258"/>
    </row>
    <row r="43559" spans="1:26" ht="12.75" customHeight="1" x14ac:dyDescent="0.2">
      <c r="A43559" s="258"/>
      <c r="Z43559" s="258"/>
    </row>
    <row r="43560" spans="1:26" ht="12.75" customHeight="1" x14ac:dyDescent="0.2">
      <c r="A43560" s="258"/>
      <c r="Z43560" s="258"/>
    </row>
    <row r="43561" spans="1:26" ht="12.75" customHeight="1" x14ac:dyDescent="0.2">
      <c r="A43561" s="258"/>
      <c r="Z43561" s="258"/>
    </row>
    <row r="43562" spans="1:26" ht="12.75" customHeight="1" x14ac:dyDescent="0.2">
      <c r="A43562" s="258"/>
      <c r="Z43562" s="258"/>
    </row>
    <row r="43563" spans="1:26" ht="12.75" customHeight="1" x14ac:dyDescent="0.2">
      <c r="A43563" s="258"/>
      <c r="Z43563" s="258"/>
    </row>
    <row r="43564" spans="1:26" ht="12.75" customHeight="1" x14ac:dyDescent="0.2">
      <c r="A43564" s="258"/>
      <c r="Z43564" s="258"/>
    </row>
    <row r="43565" spans="1:26" ht="12.75" customHeight="1" x14ac:dyDescent="0.2">
      <c r="A43565" s="258"/>
      <c r="Z43565" s="258"/>
    </row>
    <row r="43566" spans="1:26" ht="12.75" customHeight="1" x14ac:dyDescent="0.2">
      <c r="A43566" s="258"/>
      <c r="Z43566" s="258"/>
    </row>
    <row r="43567" spans="1:26" ht="12.75" customHeight="1" x14ac:dyDescent="0.2">
      <c r="A43567" s="258"/>
      <c r="Z43567" s="258"/>
    </row>
    <row r="43568" spans="1:26" ht="12.75" customHeight="1" x14ac:dyDescent="0.2">
      <c r="A43568" s="258"/>
      <c r="Z43568" s="258"/>
    </row>
    <row r="43569" spans="1:26" ht="12.75" customHeight="1" x14ac:dyDescent="0.2">
      <c r="A43569" s="258"/>
      <c r="Z43569" s="258"/>
    </row>
    <row r="43570" spans="1:26" ht="12.75" customHeight="1" x14ac:dyDescent="0.2">
      <c r="A43570" s="258"/>
      <c r="Z43570" s="258"/>
    </row>
    <row r="43571" spans="1:26" ht="12.75" customHeight="1" x14ac:dyDescent="0.2">
      <c r="A43571" s="258"/>
      <c r="Z43571" s="258"/>
    </row>
    <row r="43572" spans="1:26" ht="12.75" customHeight="1" x14ac:dyDescent="0.2">
      <c r="A43572" s="258"/>
      <c r="Z43572" s="258"/>
    </row>
    <row r="43573" spans="1:26" ht="12.75" customHeight="1" x14ac:dyDescent="0.2">
      <c r="A43573" s="258"/>
      <c r="Z43573" s="258"/>
    </row>
    <row r="43574" spans="1:26" ht="12.75" customHeight="1" x14ac:dyDescent="0.2">
      <c r="A43574" s="258"/>
      <c r="Z43574" s="258"/>
    </row>
    <row r="43575" spans="1:26" ht="12.75" customHeight="1" x14ac:dyDescent="0.2">
      <c r="A43575" s="258"/>
      <c r="Z43575" s="258"/>
    </row>
    <row r="43576" spans="1:26" ht="12.75" customHeight="1" x14ac:dyDescent="0.2">
      <c r="A43576" s="258"/>
      <c r="Z43576" s="258"/>
    </row>
    <row r="43577" spans="1:26" ht="12.75" customHeight="1" x14ac:dyDescent="0.2">
      <c r="A43577" s="258"/>
      <c r="Z43577" s="258"/>
    </row>
    <row r="43578" spans="1:26" ht="12.75" customHeight="1" x14ac:dyDescent="0.2">
      <c r="A43578" s="258"/>
      <c r="Z43578" s="258"/>
    </row>
    <row r="43579" spans="1:26" ht="12.75" customHeight="1" x14ac:dyDescent="0.2">
      <c r="A43579" s="258"/>
      <c r="Z43579" s="258"/>
    </row>
    <row r="43580" spans="1:26" ht="12.75" customHeight="1" x14ac:dyDescent="0.2">
      <c r="A43580" s="258"/>
      <c r="Z43580" s="258"/>
    </row>
    <row r="43581" spans="1:26" ht="12.75" customHeight="1" x14ac:dyDescent="0.2">
      <c r="A43581" s="258"/>
      <c r="Z43581" s="258"/>
    </row>
    <row r="43582" spans="1:26" ht="12.75" customHeight="1" x14ac:dyDescent="0.2">
      <c r="A43582" s="258"/>
      <c r="Z43582" s="258"/>
    </row>
    <row r="43583" spans="1:26" ht="12.75" customHeight="1" x14ac:dyDescent="0.2">
      <c r="A43583" s="258"/>
      <c r="Z43583" s="258"/>
    </row>
    <row r="43584" spans="1:26" ht="12.75" customHeight="1" x14ac:dyDescent="0.2">
      <c r="A43584" s="258"/>
      <c r="Z43584" s="258"/>
    </row>
    <row r="43585" spans="1:26" ht="12.75" customHeight="1" x14ac:dyDescent="0.2">
      <c r="A43585" s="258"/>
      <c r="Z43585" s="258"/>
    </row>
    <row r="43586" spans="1:26" ht="12.75" customHeight="1" x14ac:dyDescent="0.2">
      <c r="A43586" s="258"/>
      <c r="Z43586" s="258"/>
    </row>
    <row r="43587" spans="1:26" ht="12.75" customHeight="1" x14ac:dyDescent="0.2">
      <c r="A43587" s="258"/>
      <c r="Z43587" s="258"/>
    </row>
    <row r="43588" spans="1:26" ht="12.75" customHeight="1" x14ac:dyDescent="0.2">
      <c r="A43588" s="258"/>
      <c r="Z43588" s="258"/>
    </row>
    <row r="43589" spans="1:26" ht="12.75" customHeight="1" x14ac:dyDescent="0.2">
      <c r="A43589" s="258"/>
      <c r="Z43589" s="258"/>
    </row>
    <row r="43590" spans="1:26" ht="12.75" customHeight="1" x14ac:dyDescent="0.2">
      <c r="A43590" s="258"/>
      <c r="Z43590" s="258"/>
    </row>
    <row r="43591" spans="1:26" ht="12.75" customHeight="1" x14ac:dyDescent="0.2">
      <c r="A43591" s="258"/>
      <c r="Z43591" s="258"/>
    </row>
    <row r="43592" spans="1:26" ht="12.75" customHeight="1" x14ac:dyDescent="0.2">
      <c r="A43592" s="258"/>
      <c r="Z43592" s="258"/>
    </row>
    <row r="43593" spans="1:26" ht="12.75" customHeight="1" x14ac:dyDescent="0.2">
      <c r="A43593" s="258"/>
      <c r="Z43593" s="258"/>
    </row>
    <row r="43594" spans="1:26" ht="12.75" customHeight="1" x14ac:dyDescent="0.2">
      <c r="A43594" s="258"/>
      <c r="Z43594" s="258"/>
    </row>
    <row r="43595" spans="1:26" ht="12.75" customHeight="1" x14ac:dyDescent="0.2">
      <c r="A43595" s="258"/>
      <c r="Z43595" s="258"/>
    </row>
    <row r="43596" spans="1:26" ht="12.75" customHeight="1" x14ac:dyDescent="0.2">
      <c r="A43596" s="258"/>
      <c r="Z43596" s="258"/>
    </row>
    <row r="43597" spans="1:26" ht="12.75" customHeight="1" x14ac:dyDescent="0.2">
      <c r="A43597" s="258"/>
      <c r="Z43597" s="258"/>
    </row>
    <row r="43598" spans="1:26" ht="12.75" customHeight="1" x14ac:dyDescent="0.2">
      <c r="A43598" s="258"/>
      <c r="Z43598" s="258"/>
    </row>
    <row r="43599" spans="1:26" ht="12.75" customHeight="1" x14ac:dyDescent="0.2">
      <c r="A43599" s="258"/>
      <c r="Z43599" s="258"/>
    </row>
    <row r="43600" spans="1:26" ht="12.75" customHeight="1" x14ac:dyDescent="0.2">
      <c r="A43600" s="258"/>
      <c r="Z43600" s="258"/>
    </row>
    <row r="43601" spans="1:26" ht="12.75" customHeight="1" x14ac:dyDescent="0.2">
      <c r="A43601" s="258"/>
      <c r="Z43601" s="258"/>
    </row>
    <row r="43602" spans="1:26" ht="12.75" customHeight="1" x14ac:dyDescent="0.2">
      <c r="A43602" s="258"/>
      <c r="Z43602" s="258"/>
    </row>
    <row r="43603" spans="1:26" ht="12.75" customHeight="1" x14ac:dyDescent="0.2">
      <c r="A43603" s="258"/>
      <c r="Z43603" s="258"/>
    </row>
    <row r="43604" spans="1:26" ht="12.75" customHeight="1" x14ac:dyDescent="0.2">
      <c r="A43604" s="258"/>
      <c r="Z43604" s="258"/>
    </row>
    <row r="43605" spans="1:26" ht="12.75" customHeight="1" x14ac:dyDescent="0.2">
      <c r="A43605" s="258"/>
      <c r="Z43605" s="258"/>
    </row>
    <row r="43606" spans="1:26" ht="12.75" customHeight="1" x14ac:dyDescent="0.2">
      <c r="A43606" s="258"/>
      <c r="Z43606" s="258"/>
    </row>
    <row r="43607" spans="1:26" ht="12.75" customHeight="1" x14ac:dyDescent="0.2">
      <c r="A43607" s="258"/>
      <c r="Z43607" s="258"/>
    </row>
    <row r="43608" spans="1:26" ht="12.75" customHeight="1" x14ac:dyDescent="0.2">
      <c r="A43608" s="258"/>
      <c r="Z43608" s="258"/>
    </row>
    <row r="43609" spans="1:26" ht="12.75" customHeight="1" x14ac:dyDescent="0.2">
      <c r="A43609" s="258"/>
      <c r="Z43609" s="258"/>
    </row>
    <row r="43610" spans="1:26" ht="12.75" customHeight="1" x14ac:dyDescent="0.2">
      <c r="A43610" s="258"/>
      <c r="Z43610" s="258"/>
    </row>
    <row r="43611" spans="1:26" ht="12.75" customHeight="1" x14ac:dyDescent="0.2">
      <c r="A43611" s="258"/>
      <c r="Z43611" s="258"/>
    </row>
    <row r="43612" spans="1:26" ht="12.75" customHeight="1" x14ac:dyDescent="0.2">
      <c r="A43612" s="258"/>
      <c r="Z43612" s="258"/>
    </row>
    <row r="43613" spans="1:26" ht="12.75" customHeight="1" x14ac:dyDescent="0.2">
      <c r="A43613" s="258"/>
      <c r="Z43613" s="258"/>
    </row>
    <row r="43614" spans="1:26" ht="12.75" customHeight="1" x14ac:dyDescent="0.2">
      <c r="A43614" s="258"/>
      <c r="Z43614" s="258"/>
    </row>
    <row r="43615" spans="1:26" ht="12.75" customHeight="1" x14ac:dyDescent="0.2">
      <c r="A43615" s="258"/>
      <c r="Z43615" s="258"/>
    </row>
    <row r="43616" spans="1:26" ht="12.75" customHeight="1" x14ac:dyDescent="0.2">
      <c r="A43616" s="258"/>
      <c r="Z43616" s="258"/>
    </row>
    <row r="43617" spans="1:26" ht="12.75" customHeight="1" x14ac:dyDescent="0.2">
      <c r="A43617" s="258"/>
      <c r="Z43617" s="258"/>
    </row>
    <row r="43618" spans="1:26" ht="12.75" customHeight="1" x14ac:dyDescent="0.2">
      <c r="A43618" s="258"/>
      <c r="Z43618" s="258"/>
    </row>
    <row r="43619" spans="1:26" ht="12.75" customHeight="1" x14ac:dyDescent="0.2">
      <c r="A43619" s="258"/>
      <c r="Z43619" s="258"/>
    </row>
    <row r="43620" spans="1:26" ht="12.75" customHeight="1" x14ac:dyDescent="0.2">
      <c r="A43620" s="258"/>
      <c r="Z43620" s="258"/>
    </row>
    <row r="43621" spans="1:26" ht="12.75" customHeight="1" x14ac:dyDescent="0.2">
      <c r="A43621" s="258"/>
      <c r="Z43621" s="258"/>
    </row>
    <row r="43622" spans="1:26" ht="12.75" customHeight="1" x14ac:dyDescent="0.2">
      <c r="A43622" s="258"/>
      <c r="Z43622" s="258"/>
    </row>
    <row r="43623" spans="1:26" ht="12.75" customHeight="1" x14ac:dyDescent="0.2">
      <c r="A43623" s="258"/>
      <c r="Z43623" s="258"/>
    </row>
    <row r="43624" spans="1:26" ht="12.75" customHeight="1" x14ac:dyDescent="0.2">
      <c r="A43624" s="258"/>
      <c r="Z43624" s="258"/>
    </row>
    <row r="43625" spans="1:26" ht="12.75" customHeight="1" x14ac:dyDescent="0.2">
      <c r="A43625" s="258"/>
      <c r="Z43625" s="258"/>
    </row>
    <row r="43626" spans="1:26" ht="12.75" customHeight="1" x14ac:dyDescent="0.2">
      <c r="A43626" s="258"/>
      <c r="Z43626" s="258"/>
    </row>
    <row r="43627" spans="1:26" ht="12.75" customHeight="1" x14ac:dyDescent="0.2">
      <c r="A43627" s="258"/>
      <c r="Z43627" s="258"/>
    </row>
    <row r="43628" spans="1:26" ht="12.75" customHeight="1" x14ac:dyDescent="0.2">
      <c r="A43628" s="258"/>
      <c r="Z43628" s="258"/>
    </row>
    <row r="43629" spans="1:26" ht="12.75" customHeight="1" x14ac:dyDescent="0.2">
      <c r="A43629" s="258"/>
      <c r="Z43629" s="258"/>
    </row>
    <row r="43630" spans="1:26" ht="12.75" customHeight="1" x14ac:dyDescent="0.2">
      <c r="A43630" s="258"/>
      <c r="Z43630" s="258"/>
    </row>
    <row r="43631" spans="1:26" ht="12.75" customHeight="1" x14ac:dyDescent="0.2">
      <c r="A43631" s="258"/>
      <c r="Z43631" s="258"/>
    </row>
    <row r="43632" spans="1:26" ht="12.75" customHeight="1" x14ac:dyDescent="0.2">
      <c r="A43632" s="258"/>
      <c r="Z43632" s="258"/>
    </row>
    <row r="43633" spans="1:26" ht="12.75" customHeight="1" x14ac:dyDescent="0.2">
      <c r="A43633" s="258"/>
      <c r="Z43633" s="258"/>
    </row>
    <row r="43634" spans="1:26" ht="12.75" customHeight="1" x14ac:dyDescent="0.2">
      <c r="A43634" s="258"/>
      <c r="Z43634" s="258"/>
    </row>
    <row r="43635" spans="1:26" ht="12.75" customHeight="1" x14ac:dyDescent="0.2">
      <c r="A43635" s="258"/>
      <c r="Z43635" s="258"/>
    </row>
    <row r="43636" spans="1:26" ht="12.75" customHeight="1" x14ac:dyDescent="0.2">
      <c r="A43636" s="258"/>
      <c r="Z43636" s="258"/>
    </row>
    <row r="43637" spans="1:26" ht="12.75" customHeight="1" x14ac:dyDescent="0.2">
      <c r="A43637" s="258"/>
      <c r="Z43637" s="258"/>
    </row>
    <row r="43638" spans="1:26" ht="12.75" customHeight="1" x14ac:dyDescent="0.2">
      <c r="A43638" s="258"/>
      <c r="Z43638" s="258"/>
    </row>
    <row r="43639" spans="1:26" ht="12.75" customHeight="1" x14ac:dyDescent="0.2">
      <c r="A43639" s="258"/>
      <c r="Z43639" s="258"/>
    </row>
    <row r="43640" spans="1:26" ht="12.75" customHeight="1" x14ac:dyDescent="0.2">
      <c r="A43640" s="258"/>
      <c r="Z43640" s="258"/>
    </row>
    <row r="43641" spans="1:26" ht="12.75" customHeight="1" x14ac:dyDescent="0.2">
      <c r="A43641" s="258"/>
      <c r="Z43641" s="258"/>
    </row>
    <row r="43642" spans="1:26" ht="12.75" customHeight="1" x14ac:dyDescent="0.2">
      <c r="A43642" s="258"/>
      <c r="Z43642" s="258"/>
    </row>
    <row r="43643" spans="1:26" ht="12.75" customHeight="1" x14ac:dyDescent="0.2">
      <c r="A43643" s="258"/>
      <c r="Z43643" s="258"/>
    </row>
    <row r="43644" spans="1:26" ht="12.75" customHeight="1" x14ac:dyDescent="0.2">
      <c r="A43644" s="258"/>
      <c r="Z43644" s="258"/>
    </row>
    <row r="43645" spans="1:26" ht="12.75" customHeight="1" x14ac:dyDescent="0.2">
      <c r="A43645" s="258"/>
      <c r="Z43645" s="258"/>
    </row>
    <row r="43646" spans="1:26" ht="12.75" customHeight="1" x14ac:dyDescent="0.2">
      <c r="A43646" s="258"/>
      <c r="Z43646" s="258"/>
    </row>
    <row r="43647" spans="1:26" ht="12.75" customHeight="1" x14ac:dyDescent="0.2">
      <c r="A43647" s="258"/>
      <c r="Z43647" s="258"/>
    </row>
    <row r="43648" spans="1:26" ht="12.75" customHeight="1" x14ac:dyDescent="0.2">
      <c r="A43648" s="258"/>
      <c r="Z43648" s="258"/>
    </row>
    <row r="43649" spans="1:26" ht="12.75" customHeight="1" x14ac:dyDescent="0.2">
      <c r="A43649" s="258"/>
      <c r="Z43649" s="258"/>
    </row>
    <row r="43650" spans="1:26" ht="12.75" customHeight="1" x14ac:dyDescent="0.2">
      <c r="A43650" s="258"/>
      <c r="Z43650" s="258"/>
    </row>
    <row r="43651" spans="1:26" ht="12.75" customHeight="1" x14ac:dyDescent="0.2">
      <c r="A43651" s="258"/>
      <c r="Z43651" s="258"/>
    </row>
    <row r="43652" spans="1:26" ht="12.75" customHeight="1" x14ac:dyDescent="0.2">
      <c r="A43652" s="258"/>
      <c r="Z43652" s="258"/>
    </row>
    <row r="43653" spans="1:26" ht="12.75" customHeight="1" x14ac:dyDescent="0.2">
      <c r="A43653" s="258"/>
      <c r="Z43653" s="258"/>
    </row>
    <row r="43654" spans="1:26" ht="12.75" customHeight="1" x14ac:dyDescent="0.2">
      <c r="A43654" s="258"/>
      <c r="Z43654" s="258"/>
    </row>
    <row r="43655" spans="1:26" ht="12.75" customHeight="1" x14ac:dyDescent="0.2">
      <c r="A43655" s="258"/>
      <c r="Z43655" s="258"/>
    </row>
    <row r="43656" spans="1:26" ht="12.75" customHeight="1" x14ac:dyDescent="0.2">
      <c r="A43656" s="258"/>
      <c r="Z43656" s="258"/>
    </row>
    <row r="43657" spans="1:26" ht="12.75" customHeight="1" x14ac:dyDescent="0.2">
      <c r="A43657" s="258"/>
      <c r="Z43657" s="258"/>
    </row>
    <row r="43658" spans="1:26" ht="12.75" customHeight="1" x14ac:dyDescent="0.2">
      <c r="A43658" s="258"/>
      <c r="Z43658" s="258"/>
    </row>
    <row r="43659" spans="1:26" ht="12.75" customHeight="1" x14ac:dyDescent="0.2">
      <c r="A43659" s="258"/>
      <c r="Z43659" s="258"/>
    </row>
    <row r="43660" spans="1:26" ht="12.75" customHeight="1" x14ac:dyDescent="0.2">
      <c r="A43660" s="258"/>
      <c r="Z43660" s="258"/>
    </row>
    <row r="43661" spans="1:26" ht="12.75" customHeight="1" x14ac:dyDescent="0.2">
      <c r="A43661" s="258"/>
      <c r="Z43661" s="258"/>
    </row>
    <row r="43662" spans="1:26" ht="12.75" customHeight="1" x14ac:dyDescent="0.2">
      <c r="A43662" s="258"/>
      <c r="Z43662" s="258"/>
    </row>
    <row r="43663" spans="1:26" ht="12.75" customHeight="1" x14ac:dyDescent="0.2">
      <c r="A43663" s="258"/>
      <c r="Z43663" s="258"/>
    </row>
    <row r="43664" spans="1:26" ht="12.75" customHeight="1" x14ac:dyDescent="0.2">
      <c r="A43664" s="258"/>
      <c r="Z43664" s="258"/>
    </row>
    <row r="43665" spans="1:26" ht="12.75" customHeight="1" x14ac:dyDescent="0.2">
      <c r="A43665" s="258"/>
      <c r="Z43665" s="258"/>
    </row>
    <row r="43666" spans="1:26" ht="12.75" customHeight="1" x14ac:dyDescent="0.2">
      <c r="A43666" s="258"/>
      <c r="Z43666" s="258"/>
    </row>
    <row r="43667" spans="1:26" ht="12.75" customHeight="1" x14ac:dyDescent="0.2">
      <c r="A43667" s="258"/>
      <c r="Z43667" s="258"/>
    </row>
    <row r="43668" spans="1:26" ht="12.75" customHeight="1" x14ac:dyDescent="0.2">
      <c r="A43668" s="258"/>
      <c r="Z43668" s="258"/>
    </row>
    <row r="43669" spans="1:26" ht="12.75" customHeight="1" x14ac:dyDescent="0.2">
      <c r="A43669" s="258"/>
      <c r="Z43669" s="258"/>
    </row>
    <row r="43670" spans="1:26" ht="12.75" customHeight="1" x14ac:dyDescent="0.2">
      <c r="A43670" s="258"/>
      <c r="Z43670" s="258"/>
    </row>
    <row r="43671" spans="1:26" ht="12.75" customHeight="1" x14ac:dyDescent="0.2">
      <c r="A43671" s="258"/>
      <c r="Z43671" s="258"/>
    </row>
    <row r="43672" spans="1:26" ht="12.75" customHeight="1" x14ac:dyDescent="0.2">
      <c r="A43672" s="258"/>
      <c r="Z43672" s="258"/>
    </row>
    <row r="43673" spans="1:26" ht="12.75" customHeight="1" x14ac:dyDescent="0.2">
      <c r="A43673" s="258"/>
      <c r="Z43673" s="258"/>
    </row>
    <row r="43674" spans="1:26" ht="12.75" customHeight="1" x14ac:dyDescent="0.2">
      <c r="A43674" s="258"/>
      <c r="Z43674" s="258"/>
    </row>
    <row r="43675" spans="1:26" ht="12.75" customHeight="1" x14ac:dyDescent="0.2">
      <c r="A43675" s="258"/>
      <c r="Z43675" s="258"/>
    </row>
    <row r="43676" spans="1:26" ht="12.75" customHeight="1" x14ac:dyDescent="0.2">
      <c r="A43676" s="258"/>
      <c r="Z43676" s="258"/>
    </row>
    <row r="43677" spans="1:26" ht="12.75" customHeight="1" x14ac:dyDescent="0.2">
      <c r="A43677" s="258"/>
      <c r="Z43677" s="258"/>
    </row>
    <row r="43678" spans="1:26" ht="12.75" customHeight="1" x14ac:dyDescent="0.2">
      <c r="A43678" s="258"/>
      <c r="Z43678" s="258"/>
    </row>
    <row r="43679" spans="1:26" ht="12.75" customHeight="1" x14ac:dyDescent="0.2">
      <c r="A43679" s="258"/>
      <c r="Z43679" s="258"/>
    </row>
    <row r="43680" spans="1:26" ht="12.75" customHeight="1" x14ac:dyDescent="0.2">
      <c r="A43680" s="258"/>
      <c r="Z43680" s="258"/>
    </row>
    <row r="43681" spans="1:26" ht="12.75" customHeight="1" x14ac:dyDescent="0.2">
      <c r="A43681" s="258"/>
      <c r="Z43681" s="258"/>
    </row>
    <row r="43682" spans="1:26" ht="12.75" customHeight="1" x14ac:dyDescent="0.2">
      <c r="A43682" s="258"/>
      <c r="Z43682" s="258"/>
    </row>
    <row r="43683" spans="1:26" ht="12.75" customHeight="1" x14ac:dyDescent="0.2">
      <c r="A43683" s="258"/>
      <c r="Z43683" s="258"/>
    </row>
    <row r="43684" spans="1:26" ht="12.75" customHeight="1" x14ac:dyDescent="0.2">
      <c r="A43684" s="258"/>
      <c r="Z43684" s="258"/>
    </row>
    <row r="43685" spans="1:26" ht="12.75" customHeight="1" x14ac:dyDescent="0.2">
      <c r="A43685" s="258"/>
      <c r="Z43685" s="258"/>
    </row>
    <row r="43686" spans="1:26" ht="12.75" customHeight="1" x14ac:dyDescent="0.2">
      <c r="A43686" s="258"/>
      <c r="Z43686" s="258"/>
    </row>
    <row r="43687" spans="1:26" ht="12.75" customHeight="1" x14ac:dyDescent="0.2">
      <c r="A43687" s="258"/>
      <c r="Z43687" s="258"/>
    </row>
    <row r="43688" spans="1:26" ht="12.75" customHeight="1" x14ac:dyDescent="0.2">
      <c r="A43688" s="258"/>
      <c r="Z43688" s="258"/>
    </row>
    <row r="43689" spans="1:26" ht="12.75" customHeight="1" x14ac:dyDescent="0.2">
      <c r="A43689" s="258"/>
      <c r="Z43689" s="258"/>
    </row>
    <row r="43690" spans="1:26" ht="12.75" customHeight="1" x14ac:dyDescent="0.2">
      <c r="A43690" s="258"/>
      <c r="Z43690" s="258"/>
    </row>
    <row r="43691" spans="1:26" ht="12.75" customHeight="1" x14ac:dyDescent="0.2">
      <c r="A43691" s="258"/>
      <c r="Z43691" s="258"/>
    </row>
    <row r="43692" spans="1:26" ht="12.75" customHeight="1" x14ac:dyDescent="0.2">
      <c r="A43692" s="258"/>
      <c r="Z43692" s="258"/>
    </row>
    <row r="43693" spans="1:26" ht="12.75" customHeight="1" x14ac:dyDescent="0.2">
      <c r="A43693" s="258"/>
      <c r="Z43693" s="258"/>
    </row>
    <row r="43694" spans="1:26" ht="12.75" customHeight="1" x14ac:dyDescent="0.2">
      <c r="A43694" s="258"/>
      <c r="Z43694" s="258"/>
    </row>
    <row r="43695" spans="1:26" ht="12.75" customHeight="1" x14ac:dyDescent="0.2">
      <c r="A43695" s="258"/>
      <c r="Z43695" s="258"/>
    </row>
    <row r="43696" spans="1:26" ht="12.75" customHeight="1" x14ac:dyDescent="0.2">
      <c r="A43696" s="258"/>
      <c r="Z43696" s="258"/>
    </row>
    <row r="43697" spans="1:26" ht="12.75" customHeight="1" x14ac:dyDescent="0.2">
      <c r="A43697" s="258"/>
      <c r="Z43697" s="258"/>
    </row>
    <row r="43698" spans="1:26" ht="12.75" customHeight="1" x14ac:dyDescent="0.2">
      <c r="A43698" s="258"/>
      <c r="Z43698" s="258"/>
    </row>
    <row r="43699" spans="1:26" ht="12.75" customHeight="1" x14ac:dyDescent="0.2">
      <c r="A43699" s="258"/>
      <c r="Z43699" s="258"/>
    </row>
    <row r="43700" spans="1:26" ht="12.75" customHeight="1" x14ac:dyDescent="0.2">
      <c r="A43700" s="258"/>
      <c r="Z43700" s="258"/>
    </row>
    <row r="43701" spans="1:26" ht="12.75" customHeight="1" x14ac:dyDescent="0.2">
      <c r="A43701" s="258"/>
      <c r="Z43701" s="258"/>
    </row>
    <row r="43702" spans="1:26" ht="12.75" customHeight="1" x14ac:dyDescent="0.2">
      <c r="A43702" s="258"/>
      <c r="Z43702" s="258"/>
    </row>
    <row r="43703" spans="1:26" ht="12.75" customHeight="1" x14ac:dyDescent="0.2">
      <c r="A43703" s="258"/>
      <c r="Z43703" s="258"/>
    </row>
    <row r="43704" spans="1:26" ht="12.75" customHeight="1" x14ac:dyDescent="0.2">
      <c r="A43704" s="258"/>
      <c r="Z43704" s="258"/>
    </row>
    <row r="43705" spans="1:26" ht="12.75" customHeight="1" x14ac:dyDescent="0.2">
      <c r="A43705" s="258"/>
      <c r="Z43705" s="258"/>
    </row>
    <row r="43706" spans="1:26" ht="12.75" customHeight="1" x14ac:dyDescent="0.2">
      <c r="A43706" s="258"/>
      <c r="Z43706" s="258"/>
    </row>
    <row r="43707" spans="1:26" ht="12.75" customHeight="1" x14ac:dyDescent="0.2">
      <c r="A43707" s="258"/>
      <c r="Z43707" s="258"/>
    </row>
    <row r="43708" spans="1:26" ht="12.75" customHeight="1" x14ac:dyDescent="0.2">
      <c r="A43708" s="258"/>
      <c r="Z43708" s="258"/>
    </row>
    <row r="43709" spans="1:26" ht="12.75" customHeight="1" x14ac:dyDescent="0.2">
      <c r="A43709" s="258"/>
      <c r="Z43709" s="258"/>
    </row>
    <row r="43710" spans="1:26" ht="12.75" customHeight="1" x14ac:dyDescent="0.2">
      <c r="A43710" s="258"/>
      <c r="Z43710" s="258"/>
    </row>
    <row r="43711" spans="1:26" ht="12.75" customHeight="1" x14ac:dyDescent="0.2">
      <c r="A43711" s="258"/>
      <c r="Z43711" s="258"/>
    </row>
    <row r="43712" spans="1:26" ht="12.75" customHeight="1" x14ac:dyDescent="0.2">
      <c r="A43712" s="258"/>
      <c r="Z43712" s="258"/>
    </row>
    <row r="43713" spans="1:26" ht="12.75" customHeight="1" x14ac:dyDescent="0.2">
      <c r="A43713" s="258"/>
      <c r="Z43713" s="258"/>
    </row>
    <row r="43714" spans="1:26" ht="12.75" customHeight="1" x14ac:dyDescent="0.2">
      <c r="A43714" s="258"/>
      <c r="Z43714" s="258"/>
    </row>
    <row r="43715" spans="1:26" ht="12.75" customHeight="1" x14ac:dyDescent="0.2">
      <c r="A43715" s="258"/>
      <c r="Z43715" s="258"/>
    </row>
    <row r="43716" spans="1:26" ht="12.75" customHeight="1" x14ac:dyDescent="0.2">
      <c r="A43716" s="258"/>
      <c r="Z43716" s="258"/>
    </row>
    <row r="43717" spans="1:26" ht="12.75" customHeight="1" x14ac:dyDescent="0.2">
      <c r="A43717" s="258"/>
      <c r="Z43717" s="258"/>
    </row>
    <row r="43718" spans="1:26" ht="12.75" customHeight="1" x14ac:dyDescent="0.2">
      <c r="A43718" s="258"/>
      <c r="Z43718" s="258"/>
    </row>
    <row r="43719" spans="1:26" ht="12.75" customHeight="1" x14ac:dyDescent="0.2">
      <c r="A43719" s="258"/>
      <c r="Z43719" s="258"/>
    </row>
    <row r="43720" spans="1:26" ht="12.75" customHeight="1" x14ac:dyDescent="0.2">
      <c r="A43720" s="258"/>
      <c r="Z43720" s="258"/>
    </row>
    <row r="43721" spans="1:26" ht="12.75" customHeight="1" x14ac:dyDescent="0.2">
      <c r="A43721" s="258"/>
      <c r="Z43721" s="258"/>
    </row>
    <row r="43722" spans="1:26" ht="12.75" customHeight="1" x14ac:dyDescent="0.2">
      <c r="A43722" s="258"/>
      <c r="Z43722" s="258"/>
    </row>
    <row r="43723" spans="1:26" ht="12.75" customHeight="1" x14ac:dyDescent="0.2">
      <c r="A43723" s="258"/>
      <c r="Z43723" s="258"/>
    </row>
    <row r="43724" spans="1:26" ht="12.75" customHeight="1" x14ac:dyDescent="0.2">
      <c r="A43724" s="258"/>
      <c r="Z43724" s="258"/>
    </row>
    <row r="43725" spans="1:26" ht="12.75" customHeight="1" x14ac:dyDescent="0.2">
      <c r="A43725" s="258"/>
      <c r="Z43725" s="258"/>
    </row>
    <row r="43726" spans="1:26" ht="12.75" customHeight="1" x14ac:dyDescent="0.2">
      <c r="A43726" s="258"/>
      <c r="Z43726" s="258"/>
    </row>
    <row r="43727" spans="1:26" ht="12.75" customHeight="1" x14ac:dyDescent="0.2">
      <c r="A43727" s="258"/>
      <c r="Z43727" s="258"/>
    </row>
    <row r="43728" spans="1:26" ht="12.75" customHeight="1" x14ac:dyDescent="0.2">
      <c r="A43728" s="258"/>
      <c r="Z43728" s="258"/>
    </row>
    <row r="43729" spans="1:26" ht="12.75" customHeight="1" x14ac:dyDescent="0.2">
      <c r="A43729" s="258"/>
      <c r="Z43729" s="258"/>
    </row>
    <row r="43730" spans="1:26" ht="12.75" customHeight="1" x14ac:dyDescent="0.2">
      <c r="A43730" s="258"/>
      <c r="Z43730" s="258"/>
    </row>
    <row r="43731" spans="1:26" ht="12.75" customHeight="1" x14ac:dyDescent="0.2">
      <c r="A43731" s="258"/>
      <c r="Z43731" s="258"/>
    </row>
    <row r="43732" spans="1:26" ht="12.75" customHeight="1" x14ac:dyDescent="0.2">
      <c r="A43732" s="258"/>
      <c r="Z43732" s="258"/>
    </row>
    <row r="43733" spans="1:26" ht="12.75" customHeight="1" x14ac:dyDescent="0.2">
      <c r="A43733" s="258"/>
      <c r="Z43733" s="258"/>
    </row>
    <row r="43734" spans="1:26" ht="12.75" customHeight="1" x14ac:dyDescent="0.2">
      <c r="A43734" s="258"/>
      <c r="Z43734" s="258"/>
    </row>
    <row r="43735" spans="1:26" ht="12.75" customHeight="1" x14ac:dyDescent="0.2">
      <c r="A43735" s="258"/>
      <c r="Z43735" s="258"/>
    </row>
    <row r="43736" spans="1:26" ht="12.75" customHeight="1" x14ac:dyDescent="0.2">
      <c r="A43736" s="258"/>
      <c r="Z43736" s="258"/>
    </row>
    <row r="43737" spans="1:26" ht="12.75" customHeight="1" x14ac:dyDescent="0.2">
      <c r="A43737" s="258"/>
      <c r="Z43737" s="258"/>
    </row>
    <row r="43738" spans="1:26" ht="12.75" customHeight="1" x14ac:dyDescent="0.2">
      <c r="A43738" s="258"/>
      <c r="Z43738" s="258"/>
    </row>
    <row r="43739" spans="1:26" ht="12.75" customHeight="1" x14ac:dyDescent="0.2">
      <c r="A43739" s="258"/>
      <c r="Z43739" s="258"/>
    </row>
    <row r="43740" spans="1:26" ht="12.75" customHeight="1" x14ac:dyDescent="0.2">
      <c r="A43740" s="258"/>
      <c r="Z43740" s="258"/>
    </row>
    <row r="43741" spans="1:26" ht="12.75" customHeight="1" x14ac:dyDescent="0.2">
      <c r="A43741" s="258"/>
      <c r="Z43741" s="258"/>
    </row>
    <row r="43742" spans="1:26" ht="12.75" customHeight="1" x14ac:dyDescent="0.2">
      <c r="A43742" s="258"/>
      <c r="Z43742" s="258"/>
    </row>
    <row r="43743" spans="1:26" ht="12.75" customHeight="1" x14ac:dyDescent="0.2">
      <c r="A43743" s="258"/>
      <c r="Z43743" s="258"/>
    </row>
    <row r="43744" spans="1:26" ht="12.75" customHeight="1" x14ac:dyDescent="0.2">
      <c r="A43744" s="258"/>
      <c r="Z43744" s="258"/>
    </row>
    <row r="43745" spans="1:26" ht="12.75" customHeight="1" x14ac:dyDescent="0.2">
      <c r="A43745" s="258"/>
      <c r="Z43745" s="258"/>
    </row>
    <row r="43746" spans="1:26" ht="12.75" customHeight="1" x14ac:dyDescent="0.2">
      <c r="A43746" s="258"/>
      <c r="Z43746" s="258"/>
    </row>
    <row r="43747" spans="1:26" ht="12.75" customHeight="1" x14ac:dyDescent="0.2">
      <c r="A43747" s="258"/>
      <c r="Z43747" s="258"/>
    </row>
    <row r="43748" spans="1:26" ht="12.75" customHeight="1" x14ac:dyDescent="0.2">
      <c r="A43748" s="258"/>
      <c r="Z43748" s="258"/>
    </row>
    <row r="43749" spans="1:26" ht="12.75" customHeight="1" x14ac:dyDescent="0.2">
      <c r="A43749" s="258"/>
      <c r="Z43749" s="258"/>
    </row>
    <row r="43750" spans="1:26" ht="12.75" customHeight="1" x14ac:dyDescent="0.2">
      <c r="A43750" s="258"/>
      <c r="Z43750" s="258"/>
    </row>
    <row r="43751" spans="1:26" ht="12.75" customHeight="1" x14ac:dyDescent="0.2">
      <c r="A43751" s="258"/>
      <c r="Z43751" s="258"/>
    </row>
    <row r="43752" spans="1:26" ht="12.75" customHeight="1" x14ac:dyDescent="0.2">
      <c r="A43752" s="258"/>
      <c r="Z43752" s="258"/>
    </row>
    <row r="43753" spans="1:26" ht="12.75" customHeight="1" x14ac:dyDescent="0.2">
      <c r="A43753" s="258"/>
      <c r="Z43753" s="258"/>
    </row>
    <row r="43754" spans="1:26" ht="12.75" customHeight="1" x14ac:dyDescent="0.2">
      <c r="A43754" s="258"/>
      <c r="Z43754" s="258"/>
    </row>
    <row r="43755" spans="1:26" ht="12.75" customHeight="1" x14ac:dyDescent="0.2">
      <c r="A43755" s="258"/>
      <c r="Z43755" s="258"/>
    </row>
    <row r="43756" spans="1:26" ht="12.75" customHeight="1" x14ac:dyDescent="0.2">
      <c r="A43756" s="258"/>
      <c r="Z43756" s="258"/>
    </row>
    <row r="43757" spans="1:26" ht="12.75" customHeight="1" x14ac:dyDescent="0.2">
      <c r="A43757" s="258"/>
      <c r="Z43757" s="258"/>
    </row>
    <row r="43758" spans="1:26" ht="12.75" customHeight="1" x14ac:dyDescent="0.2">
      <c r="A43758" s="258"/>
      <c r="Z43758" s="258"/>
    </row>
    <row r="43759" spans="1:26" ht="12.75" customHeight="1" x14ac:dyDescent="0.2">
      <c r="A43759" s="258"/>
      <c r="Z43759" s="258"/>
    </row>
    <row r="43760" spans="1:26" ht="12.75" customHeight="1" x14ac:dyDescent="0.2">
      <c r="A43760" s="258"/>
      <c r="Z43760" s="258"/>
    </row>
    <row r="43761" spans="1:26" ht="12.75" customHeight="1" x14ac:dyDescent="0.2">
      <c r="A43761" s="258"/>
      <c r="Z43761" s="258"/>
    </row>
    <row r="43762" spans="1:26" ht="12.75" customHeight="1" x14ac:dyDescent="0.2">
      <c r="A43762" s="258"/>
      <c r="Z43762" s="258"/>
    </row>
    <row r="43763" spans="1:26" ht="12.75" customHeight="1" x14ac:dyDescent="0.2">
      <c r="A43763" s="258"/>
      <c r="Z43763" s="258"/>
    </row>
    <row r="43764" spans="1:26" ht="12.75" customHeight="1" x14ac:dyDescent="0.2">
      <c r="A43764" s="258"/>
      <c r="Z43764" s="258"/>
    </row>
    <row r="43765" spans="1:26" ht="12.75" customHeight="1" x14ac:dyDescent="0.2">
      <c r="A43765" s="258"/>
      <c r="Z43765" s="258"/>
    </row>
    <row r="43766" spans="1:26" ht="12.75" customHeight="1" x14ac:dyDescent="0.2">
      <c r="A43766" s="258"/>
      <c r="Z43766" s="258"/>
    </row>
    <row r="43767" spans="1:26" ht="12.75" customHeight="1" x14ac:dyDescent="0.2">
      <c r="A43767" s="258"/>
      <c r="Z43767" s="258"/>
    </row>
    <row r="43768" spans="1:26" ht="12.75" customHeight="1" x14ac:dyDescent="0.2">
      <c r="A43768" s="258"/>
      <c r="Z43768" s="258"/>
    </row>
    <row r="43769" spans="1:26" ht="12.75" customHeight="1" x14ac:dyDescent="0.2">
      <c r="A43769" s="258"/>
      <c r="Z43769" s="258"/>
    </row>
    <row r="43770" spans="1:26" ht="12.75" customHeight="1" x14ac:dyDescent="0.2">
      <c r="A43770" s="258"/>
      <c r="Z43770" s="258"/>
    </row>
    <row r="43771" spans="1:26" ht="12.75" customHeight="1" x14ac:dyDescent="0.2">
      <c r="A43771" s="258"/>
      <c r="Z43771" s="258"/>
    </row>
    <row r="43772" spans="1:26" ht="12.75" customHeight="1" x14ac:dyDescent="0.2">
      <c r="A43772" s="258"/>
      <c r="Z43772" s="258"/>
    </row>
    <row r="43773" spans="1:26" ht="12.75" customHeight="1" x14ac:dyDescent="0.2">
      <c r="A43773" s="258"/>
      <c r="Z43773" s="258"/>
    </row>
    <row r="43774" spans="1:26" ht="12.75" customHeight="1" x14ac:dyDescent="0.2">
      <c r="A43774" s="258"/>
      <c r="Z43774" s="258"/>
    </row>
    <row r="43775" spans="1:26" ht="12.75" customHeight="1" x14ac:dyDescent="0.2">
      <c r="A43775" s="258"/>
      <c r="Z43775" s="258"/>
    </row>
    <row r="43776" spans="1:26" ht="12.75" customHeight="1" x14ac:dyDescent="0.2">
      <c r="A43776" s="258"/>
      <c r="Z43776" s="258"/>
    </row>
    <row r="43777" spans="1:26" ht="12.75" customHeight="1" x14ac:dyDescent="0.2">
      <c r="A43777" s="258"/>
      <c r="Z43777" s="258"/>
    </row>
    <row r="43778" spans="1:26" ht="12.75" customHeight="1" x14ac:dyDescent="0.2">
      <c r="A43778" s="258"/>
      <c r="Z43778" s="258"/>
    </row>
    <row r="43779" spans="1:26" ht="12.75" customHeight="1" x14ac:dyDescent="0.2">
      <c r="A43779" s="258"/>
      <c r="Z43779" s="258"/>
    </row>
    <row r="43780" spans="1:26" ht="12.75" customHeight="1" x14ac:dyDescent="0.2">
      <c r="A43780" s="258"/>
      <c r="Z43780" s="258"/>
    </row>
    <row r="43781" spans="1:26" ht="12.75" customHeight="1" x14ac:dyDescent="0.2">
      <c r="A43781" s="258"/>
      <c r="Z43781" s="258"/>
    </row>
    <row r="43782" spans="1:26" ht="12.75" customHeight="1" x14ac:dyDescent="0.2">
      <c r="A43782" s="258"/>
      <c r="Z43782" s="258"/>
    </row>
    <row r="43783" spans="1:26" ht="12.75" customHeight="1" x14ac:dyDescent="0.2">
      <c r="A43783" s="258"/>
      <c r="Z43783" s="258"/>
    </row>
    <row r="43784" spans="1:26" ht="12.75" customHeight="1" x14ac:dyDescent="0.2">
      <c r="A43784" s="258"/>
      <c r="Z43784" s="258"/>
    </row>
    <row r="43785" spans="1:26" ht="12.75" customHeight="1" x14ac:dyDescent="0.2">
      <c r="A43785" s="258"/>
      <c r="Z43785" s="258"/>
    </row>
    <row r="43786" spans="1:26" ht="12.75" customHeight="1" x14ac:dyDescent="0.2">
      <c r="A43786" s="258"/>
      <c r="Z43786" s="258"/>
    </row>
    <row r="43787" spans="1:26" ht="12.75" customHeight="1" x14ac:dyDescent="0.2">
      <c r="A43787" s="258"/>
      <c r="Z43787" s="258"/>
    </row>
    <row r="43788" spans="1:26" ht="12.75" customHeight="1" x14ac:dyDescent="0.2">
      <c r="A43788" s="258"/>
      <c r="Z43788" s="258"/>
    </row>
    <row r="43789" spans="1:26" ht="12.75" customHeight="1" x14ac:dyDescent="0.2">
      <c r="A43789" s="258"/>
      <c r="Z43789" s="258"/>
    </row>
    <row r="43790" spans="1:26" ht="12.75" customHeight="1" x14ac:dyDescent="0.2">
      <c r="A43790" s="258"/>
      <c r="Z43790" s="258"/>
    </row>
    <row r="43791" spans="1:26" ht="12.75" customHeight="1" x14ac:dyDescent="0.2">
      <c r="A43791" s="258"/>
      <c r="Z43791" s="258"/>
    </row>
    <row r="43792" spans="1:26" ht="12.75" customHeight="1" x14ac:dyDescent="0.2">
      <c r="A43792" s="258"/>
      <c r="Z43792" s="258"/>
    </row>
    <row r="43793" spans="1:26" ht="12.75" customHeight="1" x14ac:dyDescent="0.2">
      <c r="A43793" s="258"/>
      <c r="Z43793" s="258"/>
    </row>
    <row r="43794" spans="1:26" ht="12.75" customHeight="1" x14ac:dyDescent="0.2">
      <c r="A43794" s="258"/>
      <c r="Z43794" s="258"/>
    </row>
    <row r="43795" spans="1:26" ht="12.75" customHeight="1" x14ac:dyDescent="0.2">
      <c r="A43795" s="258"/>
      <c r="Z43795" s="258"/>
    </row>
    <row r="43796" spans="1:26" ht="12.75" customHeight="1" x14ac:dyDescent="0.2">
      <c r="A43796" s="258"/>
      <c r="Z43796" s="258"/>
    </row>
    <row r="43797" spans="1:26" ht="12.75" customHeight="1" x14ac:dyDescent="0.2">
      <c r="A43797" s="258"/>
      <c r="Z43797" s="258"/>
    </row>
    <row r="43798" spans="1:26" ht="12.75" customHeight="1" x14ac:dyDescent="0.2">
      <c r="A43798" s="258"/>
      <c r="Z43798" s="258"/>
    </row>
    <row r="43799" spans="1:26" ht="12.75" customHeight="1" x14ac:dyDescent="0.2">
      <c r="A43799" s="258"/>
      <c r="Z43799" s="258"/>
    </row>
    <row r="43800" spans="1:26" ht="12.75" customHeight="1" x14ac:dyDescent="0.2">
      <c r="A43800" s="258"/>
      <c r="Z43800" s="258"/>
    </row>
    <row r="43801" spans="1:26" ht="12.75" customHeight="1" x14ac:dyDescent="0.2">
      <c r="A43801" s="258"/>
      <c r="Z43801" s="258"/>
    </row>
    <row r="43802" spans="1:26" ht="12.75" customHeight="1" x14ac:dyDescent="0.2">
      <c r="A43802" s="258"/>
      <c r="Z43802" s="258"/>
    </row>
    <row r="43803" spans="1:26" ht="12.75" customHeight="1" x14ac:dyDescent="0.2">
      <c r="A43803" s="258"/>
      <c r="Z43803" s="258"/>
    </row>
    <row r="43804" spans="1:26" ht="12.75" customHeight="1" x14ac:dyDescent="0.2">
      <c r="A43804" s="258"/>
      <c r="Z43804" s="258"/>
    </row>
    <row r="43805" spans="1:26" ht="12.75" customHeight="1" x14ac:dyDescent="0.2">
      <c r="A43805" s="258"/>
      <c r="Z43805" s="258"/>
    </row>
    <row r="43806" spans="1:26" ht="12.75" customHeight="1" x14ac:dyDescent="0.2">
      <c r="A43806" s="258"/>
      <c r="Z43806" s="258"/>
    </row>
    <row r="43807" spans="1:26" ht="12.75" customHeight="1" x14ac:dyDescent="0.2">
      <c r="A43807" s="258"/>
      <c r="Z43807" s="258"/>
    </row>
    <row r="43808" spans="1:26" ht="12.75" customHeight="1" x14ac:dyDescent="0.2">
      <c r="A43808" s="258"/>
      <c r="Z43808" s="258"/>
    </row>
    <row r="43809" spans="1:26" ht="12.75" customHeight="1" x14ac:dyDescent="0.2">
      <c r="A43809" s="258"/>
      <c r="Z43809" s="258"/>
    </row>
    <row r="43810" spans="1:26" ht="12.75" customHeight="1" x14ac:dyDescent="0.2">
      <c r="A43810" s="258"/>
      <c r="Z43810" s="258"/>
    </row>
    <row r="43811" spans="1:26" ht="12.75" customHeight="1" x14ac:dyDescent="0.2">
      <c r="A43811" s="258"/>
      <c r="Z43811" s="258"/>
    </row>
    <row r="43812" spans="1:26" ht="12.75" customHeight="1" x14ac:dyDescent="0.2">
      <c r="A43812" s="258"/>
      <c r="Z43812" s="258"/>
    </row>
    <row r="43813" spans="1:26" ht="12.75" customHeight="1" x14ac:dyDescent="0.2">
      <c r="A43813" s="258"/>
      <c r="Z43813" s="258"/>
    </row>
    <row r="43814" spans="1:26" ht="12.75" customHeight="1" x14ac:dyDescent="0.2">
      <c r="A43814" s="258"/>
      <c r="Z43814" s="258"/>
    </row>
    <row r="43815" spans="1:26" ht="12.75" customHeight="1" x14ac:dyDescent="0.2">
      <c r="A43815" s="258"/>
      <c r="Z43815" s="258"/>
    </row>
    <row r="43816" spans="1:26" ht="12.75" customHeight="1" x14ac:dyDescent="0.2">
      <c r="A43816" s="258"/>
      <c r="Z43816" s="258"/>
    </row>
    <row r="43817" spans="1:26" ht="12.75" customHeight="1" x14ac:dyDescent="0.2">
      <c r="A43817" s="258"/>
      <c r="Z43817" s="258"/>
    </row>
    <row r="43818" spans="1:26" ht="12.75" customHeight="1" x14ac:dyDescent="0.2">
      <c r="A43818" s="258"/>
      <c r="Z43818" s="258"/>
    </row>
    <row r="43819" spans="1:26" ht="12.75" customHeight="1" x14ac:dyDescent="0.2">
      <c r="A43819" s="258"/>
      <c r="Z43819" s="258"/>
    </row>
    <row r="43820" spans="1:26" ht="12.75" customHeight="1" x14ac:dyDescent="0.2">
      <c r="A43820" s="258"/>
      <c r="Z43820" s="258"/>
    </row>
    <row r="43821" spans="1:26" ht="12.75" customHeight="1" x14ac:dyDescent="0.2">
      <c r="A43821" s="258"/>
      <c r="Z43821" s="258"/>
    </row>
    <row r="43822" spans="1:26" ht="12.75" customHeight="1" x14ac:dyDescent="0.2">
      <c r="A43822" s="258"/>
      <c r="Z43822" s="258"/>
    </row>
    <row r="43823" spans="1:26" ht="12.75" customHeight="1" x14ac:dyDescent="0.2">
      <c r="A43823" s="258"/>
      <c r="Z43823" s="258"/>
    </row>
    <row r="43824" spans="1:26" ht="12.75" customHeight="1" x14ac:dyDescent="0.2">
      <c r="A43824" s="258"/>
      <c r="Z43824" s="258"/>
    </row>
    <row r="43825" spans="1:26" ht="12.75" customHeight="1" x14ac:dyDescent="0.2">
      <c r="A43825" s="258"/>
      <c r="Z43825" s="258"/>
    </row>
    <row r="43826" spans="1:26" ht="12.75" customHeight="1" x14ac:dyDescent="0.2">
      <c r="A43826" s="258"/>
      <c r="Z43826" s="258"/>
    </row>
    <row r="43827" spans="1:26" ht="12.75" customHeight="1" x14ac:dyDescent="0.2">
      <c r="A43827" s="258"/>
      <c r="Z43827" s="258"/>
    </row>
    <row r="43828" spans="1:26" ht="12.75" customHeight="1" x14ac:dyDescent="0.2">
      <c r="A43828" s="258"/>
      <c r="Z43828" s="258"/>
    </row>
    <row r="43829" spans="1:26" ht="12.75" customHeight="1" x14ac:dyDescent="0.2">
      <c r="A43829" s="258"/>
      <c r="Z43829" s="258"/>
    </row>
    <row r="43830" spans="1:26" ht="12.75" customHeight="1" x14ac:dyDescent="0.2">
      <c r="A43830" s="258"/>
      <c r="Z43830" s="258"/>
    </row>
    <row r="43831" spans="1:26" ht="12.75" customHeight="1" x14ac:dyDescent="0.2">
      <c r="A43831" s="258"/>
      <c r="Z43831" s="258"/>
    </row>
    <row r="43832" spans="1:26" ht="12.75" customHeight="1" x14ac:dyDescent="0.2">
      <c r="A43832" s="258"/>
      <c r="Z43832" s="258"/>
    </row>
    <row r="43833" spans="1:26" ht="12.75" customHeight="1" x14ac:dyDescent="0.2">
      <c r="A43833" s="258"/>
      <c r="Z43833" s="258"/>
    </row>
    <row r="43834" spans="1:26" ht="12.75" customHeight="1" x14ac:dyDescent="0.2">
      <c r="A43834" s="258"/>
      <c r="Z43834" s="258"/>
    </row>
    <row r="43835" spans="1:26" ht="12.75" customHeight="1" x14ac:dyDescent="0.2">
      <c r="A43835" s="258"/>
      <c r="Z43835" s="258"/>
    </row>
    <row r="43836" spans="1:26" ht="12.75" customHeight="1" x14ac:dyDescent="0.2">
      <c r="A43836" s="258"/>
      <c r="Z43836" s="258"/>
    </row>
    <row r="43837" spans="1:26" ht="12.75" customHeight="1" x14ac:dyDescent="0.2">
      <c r="A43837" s="258"/>
      <c r="Z43837" s="258"/>
    </row>
    <row r="43838" spans="1:26" ht="12.75" customHeight="1" x14ac:dyDescent="0.2">
      <c r="A43838" s="258"/>
      <c r="Z43838" s="258"/>
    </row>
    <row r="43839" spans="1:26" ht="12.75" customHeight="1" x14ac:dyDescent="0.2">
      <c r="A43839" s="258"/>
      <c r="Z43839" s="258"/>
    </row>
    <row r="43840" spans="1:26" ht="12.75" customHeight="1" x14ac:dyDescent="0.2">
      <c r="A43840" s="258"/>
      <c r="Z43840" s="258"/>
    </row>
    <row r="43841" spans="1:26" ht="12.75" customHeight="1" x14ac:dyDescent="0.2">
      <c r="A43841" s="258"/>
      <c r="Z43841" s="258"/>
    </row>
    <row r="43842" spans="1:26" ht="12.75" customHeight="1" x14ac:dyDescent="0.2">
      <c r="A43842" s="258"/>
      <c r="Z43842" s="258"/>
    </row>
    <row r="43843" spans="1:26" ht="12.75" customHeight="1" x14ac:dyDescent="0.2">
      <c r="A43843" s="258"/>
      <c r="Z43843" s="258"/>
    </row>
    <row r="43844" spans="1:26" ht="12.75" customHeight="1" x14ac:dyDescent="0.2">
      <c r="A43844" s="258"/>
      <c r="Z43844" s="258"/>
    </row>
    <row r="43845" spans="1:26" ht="12.75" customHeight="1" x14ac:dyDescent="0.2">
      <c r="A43845" s="258"/>
      <c r="Z43845" s="258"/>
    </row>
    <row r="43846" spans="1:26" ht="12.75" customHeight="1" x14ac:dyDescent="0.2">
      <c r="A43846" s="258"/>
      <c r="Z43846" s="258"/>
    </row>
    <row r="43847" spans="1:26" ht="12.75" customHeight="1" x14ac:dyDescent="0.2">
      <c r="A43847" s="258"/>
      <c r="Z43847" s="258"/>
    </row>
    <row r="43848" spans="1:26" ht="12.75" customHeight="1" x14ac:dyDescent="0.2">
      <c r="A43848" s="258"/>
      <c r="Z43848" s="258"/>
    </row>
    <row r="43849" spans="1:26" ht="12.75" customHeight="1" x14ac:dyDescent="0.2">
      <c r="A43849" s="258"/>
      <c r="Z43849" s="258"/>
    </row>
    <row r="43850" spans="1:26" ht="12.75" customHeight="1" x14ac:dyDescent="0.2">
      <c r="A43850" s="258"/>
      <c r="Z43850" s="258"/>
    </row>
    <row r="43851" spans="1:26" ht="12.75" customHeight="1" x14ac:dyDescent="0.2">
      <c r="A43851" s="258"/>
      <c r="Z43851" s="258"/>
    </row>
    <row r="43852" spans="1:26" ht="12.75" customHeight="1" x14ac:dyDescent="0.2">
      <c r="A43852" s="258"/>
      <c r="Z43852" s="258"/>
    </row>
    <row r="43853" spans="1:26" ht="12.75" customHeight="1" x14ac:dyDescent="0.2">
      <c r="A43853" s="258"/>
      <c r="Z43853" s="258"/>
    </row>
    <row r="43854" spans="1:26" ht="12.75" customHeight="1" x14ac:dyDescent="0.2">
      <c r="A43854" s="258"/>
      <c r="Z43854" s="258"/>
    </row>
    <row r="43855" spans="1:26" ht="12.75" customHeight="1" x14ac:dyDescent="0.2">
      <c r="A43855" s="258"/>
      <c r="Z43855" s="258"/>
    </row>
    <row r="43856" spans="1:26" ht="12.75" customHeight="1" x14ac:dyDescent="0.2">
      <c r="A43856" s="258"/>
      <c r="Z43856" s="258"/>
    </row>
    <row r="43857" spans="1:26" ht="12.75" customHeight="1" x14ac:dyDescent="0.2">
      <c r="A43857" s="258"/>
      <c r="Z43857" s="258"/>
    </row>
    <row r="43858" spans="1:26" ht="12.75" customHeight="1" x14ac:dyDescent="0.2">
      <c r="A43858" s="258"/>
      <c r="Z43858" s="258"/>
    </row>
    <row r="43859" spans="1:26" ht="12.75" customHeight="1" x14ac:dyDescent="0.2">
      <c r="A43859" s="258"/>
      <c r="Z43859" s="258"/>
    </row>
    <row r="43860" spans="1:26" ht="12.75" customHeight="1" x14ac:dyDescent="0.2">
      <c r="A43860" s="258"/>
      <c r="Z43860" s="258"/>
    </row>
    <row r="43861" spans="1:26" ht="12.75" customHeight="1" x14ac:dyDescent="0.2">
      <c r="A43861" s="258"/>
      <c r="Z43861" s="258"/>
    </row>
    <row r="43862" spans="1:26" ht="12.75" customHeight="1" x14ac:dyDescent="0.2">
      <c r="A43862" s="258"/>
      <c r="Z43862" s="258"/>
    </row>
    <row r="43863" spans="1:26" ht="12.75" customHeight="1" x14ac:dyDescent="0.2">
      <c r="A43863" s="258"/>
      <c r="Z43863" s="258"/>
    </row>
    <row r="43864" spans="1:26" ht="12.75" customHeight="1" x14ac:dyDescent="0.2">
      <c r="A43864" s="258"/>
      <c r="Z43864" s="258"/>
    </row>
    <row r="43865" spans="1:26" ht="12.75" customHeight="1" x14ac:dyDescent="0.2">
      <c r="A43865" s="258"/>
      <c r="Z43865" s="258"/>
    </row>
    <row r="43866" spans="1:26" ht="12.75" customHeight="1" x14ac:dyDescent="0.2">
      <c r="A43866" s="258"/>
      <c r="Z43866" s="258"/>
    </row>
    <row r="43867" spans="1:26" ht="12.75" customHeight="1" x14ac:dyDescent="0.2">
      <c r="A43867" s="258"/>
      <c r="Z43867" s="258"/>
    </row>
    <row r="43868" spans="1:26" ht="12.75" customHeight="1" x14ac:dyDescent="0.2">
      <c r="A43868" s="258"/>
      <c r="Z43868" s="258"/>
    </row>
    <row r="43869" spans="1:26" ht="12.75" customHeight="1" x14ac:dyDescent="0.2">
      <c r="A43869" s="258"/>
      <c r="Z43869" s="258"/>
    </row>
    <row r="43870" spans="1:26" ht="12.75" customHeight="1" x14ac:dyDescent="0.2">
      <c r="A43870" s="258"/>
      <c r="Z43870" s="258"/>
    </row>
    <row r="43871" spans="1:26" ht="12.75" customHeight="1" x14ac:dyDescent="0.2">
      <c r="A43871" s="258"/>
      <c r="Z43871" s="258"/>
    </row>
    <row r="43872" spans="1:26" ht="12.75" customHeight="1" x14ac:dyDescent="0.2">
      <c r="A43872" s="258"/>
      <c r="Z43872" s="258"/>
    </row>
    <row r="43873" spans="1:26" ht="12.75" customHeight="1" x14ac:dyDescent="0.2">
      <c r="A43873" s="258"/>
      <c r="Z43873" s="258"/>
    </row>
    <row r="43874" spans="1:26" ht="12.75" customHeight="1" x14ac:dyDescent="0.2">
      <c r="A43874" s="258"/>
      <c r="Z43874" s="258"/>
    </row>
    <row r="43875" spans="1:26" ht="12.75" customHeight="1" x14ac:dyDescent="0.2">
      <c r="A43875" s="258"/>
      <c r="Z43875" s="258"/>
    </row>
    <row r="43876" spans="1:26" ht="12.75" customHeight="1" x14ac:dyDescent="0.2">
      <c r="A43876" s="258"/>
      <c r="Z43876" s="258"/>
    </row>
    <row r="43877" spans="1:26" ht="12.75" customHeight="1" x14ac:dyDescent="0.2">
      <c r="A43877" s="258"/>
      <c r="Z43877" s="258"/>
    </row>
    <row r="43878" spans="1:26" ht="12.75" customHeight="1" x14ac:dyDescent="0.2">
      <c r="A43878" s="258"/>
      <c r="Z43878" s="258"/>
    </row>
    <row r="43879" spans="1:26" ht="12.75" customHeight="1" x14ac:dyDescent="0.2">
      <c r="A43879" s="258"/>
      <c r="Z43879" s="258"/>
    </row>
    <row r="43880" spans="1:26" ht="12.75" customHeight="1" x14ac:dyDescent="0.2">
      <c r="A43880" s="258"/>
      <c r="Z43880" s="258"/>
    </row>
    <row r="43881" spans="1:26" ht="12.75" customHeight="1" x14ac:dyDescent="0.2">
      <c r="A43881" s="258"/>
      <c r="Z43881" s="258"/>
    </row>
    <row r="43882" spans="1:26" ht="12.75" customHeight="1" x14ac:dyDescent="0.2">
      <c r="A43882" s="258"/>
      <c r="Z43882" s="258"/>
    </row>
    <row r="43883" spans="1:26" ht="12.75" customHeight="1" x14ac:dyDescent="0.2">
      <c r="A43883" s="258"/>
      <c r="Z43883" s="258"/>
    </row>
    <row r="43884" spans="1:26" ht="12.75" customHeight="1" x14ac:dyDescent="0.2">
      <c r="A43884" s="258"/>
      <c r="Z43884" s="258"/>
    </row>
    <row r="43885" spans="1:26" ht="12.75" customHeight="1" x14ac:dyDescent="0.2">
      <c r="A43885" s="258"/>
      <c r="Z43885" s="258"/>
    </row>
    <row r="43886" spans="1:26" ht="12.75" customHeight="1" x14ac:dyDescent="0.2">
      <c r="A43886" s="258"/>
      <c r="Z43886" s="258"/>
    </row>
    <row r="43887" spans="1:26" ht="12.75" customHeight="1" x14ac:dyDescent="0.2">
      <c r="A43887" s="258"/>
      <c r="Z43887" s="258"/>
    </row>
    <row r="43888" spans="1:26" ht="12.75" customHeight="1" x14ac:dyDescent="0.2">
      <c r="A43888" s="258"/>
      <c r="Z43888" s="258"/>
    </row>
    <row r="43889" spans="1:26" ht="12.75" customHeight="1" x14ac:dyDescent="0.2">
      <c r="A43889" s="258"/>
      <c r="Z43889" s="258"/>
    </row>
    <row r="43890" spans="1:26" ht="12.75" customHeight="1" x14ac:dyDescent="0.2">
      <c r="A43890" s="258"/>
      <c r="Z43890" s="258"/>
    </row>
    <row r="43891" spans="1:26" ht="12.75" customHeight="1" x14ac:dyDescent="0.2">
      <c r="A43891" s="258"/>
      <c r="Z43891" s="258"/>
    </row>
    <row r="43892" spans="1:26" ht="12.75" customHeight="1" x14ac:dyDescent="0.2">
      <c r="A43892" s="258"/>
      <c r="Z43892" s="258"/>
    </row>
    <row r="43893" spans="1:26" ht="12.75" customHeight="1" x14ac:dyDescent="0.2">
      <c r="A43893" s="258"/>
      <c r="Z43893" s="258"/>
    </row>
    <row r="43894" spans="1:26" ht="12.75" customHeight="1" x14ac:dyDescent="0.2">
      <c r="A43894" s="258"/>
      <c r="Z43894" s="258"/>
    </row>
    <row r="43895" spans="1:26" ht="12.75" customHeight="1" x14ac:dyDescent="0.2">
      <c r="A43895" s="258"/>
      <c r="Z43895" s="258"/>
    </row>
    <row r="43896" spans="1:26" ht="12.75" customHeight="1" x14ac:dyDescent="0.2">
      <c r="A43896" s="258"/>
      <c r="Z43896" s="258"/>
    </row>
    <row r="43897" spans="1:26" ht="12.75" customHeight="1" x14ac:dyDescent="0.2">
      <c r="A43897" s="258"/>
      <c r="Z43897" s="258"/>
    </row>
    <row r="43898" spans="1:26" ht="12.75" customHeight="1" x14ac:dyDescent="0.2">
      <c r="A43898" s="258"/>
      <c r="Z43898" s="258"/>
    </row>
    <row r="43899" spans="1:26" ht="12.75" customHeight="1" x14ac:dyDescent="0.2">
      <c r="A43899" s="258"/>
      <c r="Z43899" s="258"/>
    </row>
    <row r="43900" spans="1:26" ht="12.75" customHeight="1" x14ac:dyDescent="0.2">
      <c r="A43900" s="258"/>
      <c r="Z43900" s="258"/>
    </row>
    <row r="43901" spans="1:26" ht="12.75" customHeight="1" x14ac:dyDescent="0.2">
      <c r="A43901" s="258"/>
      <c r="Z43901" s="258"/>
    </row>
    <row r="43902" spans="1:26" ht="12.75" customHeight="1" x14ac:dyDescent="0.2">
      <c r="A43902" s="258"/>
      <c r="Z43902" s="258"/>
    </row>
    <row r="43903" spans="1:26" ht="12.75" customHeight="1" x14ac:dyDescent="0.2">
      <c r="A43903" s="258"/>
      <c r="Z43903" s="258"/>
    </row>
    <row r="43904" spans="1:26" ht="12.75" customHeight="1" x14ac:dyDescent="0.2">
      <c r="A43904" s="258"/>
      <c r="Z43904" s="258"/>
    </row>
    <row r="43905" spans="1:26" ht="12.75" customHeight="1" x14ac:dyDescent="0.2">
      <c r="A43905" s="258"/>
      <c r="Z43905" s="258"/>
    </row>
    <row r="43906" spans="1:26" ht="12.75" customHeight="1" x14ac:dyDescent="0.2">
      <c r="A43906" s="258"/>
      <c r="Z43906" s="258"/>
    </row>
    <row r="43907" spans="1:26" ht="12.75" customHeight="1" x14ac:dyDescent="0.2">
      <c r="A43907" s="258"/>
      <c r="Z43907" s="258"/>
    </row>
    <row r="43908" spans="1:26" ht="12.75" customHeight="1" x14ac:dyDescent="0.2">
      <c r="A43908" s="258"/>
      <c r="Z43908" s="258"/>
    </row>
    <row r="43909" spans="1:26" ht="12.75" customHeight="1" x14ac:dyDescent="0.2">
      <c r="A43909" s="258"/>
      <c r="Z43909" s="258"/>
    </row>
    <row r="43910" spans="1:26" ht="12.75" customHeight="1" x14ac:dyDescent="0.2">
      <c r="A43910" s="258"/>
      <c r="Z43910" s="258"/>
    </row>
    <row r="43911" spans="1:26" ht="12.75" customHeight="1" x14ac:dyDescent="0.2">
      <c r="A43911" s="258"/>
      <c r="Z43911" s="258"/>
    </row>
    <row r="43912" spans="1:26" ht="12.75" customHeight="1" x14ac:dyDescent="0.2">
      <c r="A43912" s="258"/>
      <c r="Z43912" s="258"/>
    </row>
    <row r="43913" spans="1:26" ht="12.75" customHeight="1" x14ac:dyDescent="0.2">
      <c r="A43913" s="258"/>
      <c r="Z43913" s="258"/>
    </row>
    <row r="43914" spans="1:26" ht="12.75" customHeight="1" x14ac:dyDescent="0.2">
      <c r="A43914" s="258"/>
      <c r="Z43914" s="258"/>
    </row>
    <row r="43915" spans="1:26" ht="12.75" customHeight="1" x14ac:dyDescent="0.2">
      <c r="A43915" s="258"/>
      <c r="Z43915" s="258"/>
    </row>
    <row r="43916" spans="1:26" ht="12.75" customHeight="1" x14ac:dyDescent="0.2">
      <c r="A43916" s="258"/>
      <c r="Z43916" s="258"/>
    </row>
    <row r="43917" spans="1:26" ht="12.75" customHeight="1" x14ac:dyDescent="0.2">
      <c r="A43917" s="258"/>
      <c r="Z43917" s="258"/>
    </row>
    <row r="43918" spans="1:26" ht="12.75" customHeight="1" x14ac:dyDescent="0.2">
      <c r="A43918" s="258"/>
      <c r="Z43918" s="258"/>
    </row>
    <row r="43919" spans="1:26" ht="12.75" customHeight="1" x14ac:dyDescent="0.2">
      <c r="A43919" s="258"/>
      <c r="Z43919" s="258"/>
    </row>
    <row r="43920" spans="1:26" ht="12.75" customHeight="1" x14ac:dyDescent="0.2">
      <c r="A43920" s="258"/>
      <c r="Z43920" s="258"/>
    </row>
    <row r="43921" spans="1:26" ht="12.75" customHeight="1" x14ac:dyDescent="0.2">
      <c r="A43921" s="258"/>
      <c r="Z43921" s="258"/>
    </row>
    <row r="43922" spans="1:26" ht="12.75" customHeight="1" x14ac:dyDescent="0.2">
      <c r="A43922" s="258"/>
      <c r="Z43922" s="258"/>
    </row>
    <row r="43923" spans="1:26" ht="12.75" customHeight="1" x14ac:dyDescent="0.2">
      <c r="A43923" s="258"/>
      <c r="Z43923" s="258"/>
    </row>
    <row r="43924" spans="1:26" ht="12.75" customHeight="1" x14ac:dyDescent="0.2">
      <c r="A43924" s="258"/>
      <c r="Z43924" s="258"/>
    </row>
    <row r="43925" spans="1:26" ht="12.75" customHeight="1" x14ac:dyDescent="0.2">
      <c r="A43925" s="258"/>
      <c r="Z43925" s="258"/>
    </row>
    <row r="43926" spans="1:26" ht="12.75" customHeight="1" x14ac:dyDescent="0.2">
      <c r="A43926" s="258"/>
      <c r="Z43926" s="258"/>
    </row>
    <row r="43927" spans="1:26" ht="12.75" customHeight="1" x14ac:dyDescent="0.2">
      <c r="A43927" s="258"/>
      <c r="Z43927" s="258"/>
    </row>
    <row r="43928" spans="1:26" ht="12.75" customHeight="1" x14ac:dyDescent="0.2">
      <c r="A43928" s="258"/>
      <c r="Z43928" s="258"/>
    </row>
    <row r="43929" spans="1:26" ht="12.75" customHeight="1" x14ac:dyDescent="0.2">
      <c r="A43929" s="258"/>
      <c r="Z43929" s="258"/>
    </row>
    <row r="43930" spans="1:26" ht="12.75" customHeight="1" x14ac:dyDescent="0.2">
      <c r="A43930" s="258"/>
      <c r="Z43930" s="258"/>
    </row>
    <row r="43931" spans="1:26" ht="12.75" customHeight="1" x14ac:dyDescent="0.2">
      <c r="A43931" s="258"/>
      <c r="Z43931" s="258"/>
    </row>
    <row r="43932" spans="1:26" ht="12.75" customHeight="1" x14ac:dyDescent="0.2">
      <c r="A43932" s="258"/>
      <c r="Z43932" s="258"/>
    </row>
    <row r="43933" spans="1:26" ht="12.75" customHeight="1" x14ac:dyDescent="0.2">
      <c r="A43933" s="258"/>
      <c r="Z43933" s="258"/>
    </row>
    <row r="43934" spans="1:26" ht="12.75" customHeight="1" x14ac:dyDescent="0.2">
      <c r="A43934" s="258"/>
      <c r="Z43934" s="258"/>
    </row>
    <row r="43935" spans="1:26" ht="12.75" customHeight="1" x14ac:dyDescent="0.2">
      <c r="A43935" s="258"/>
      <c r="Z43935" s="258"/>
    </row>
    <row r="43936" spans="1:26" ht="12.75" customHeight="1" x14ac:dyDescent="0.2">
      <c r="A43936" s="258"/>
      <c r="Z43936" s="258"/>
    </row>
    <row r="43937" spans="1:26" ht="12.75" customHeight="1" x14ac:dyDescent="0.2">
      <c r="A43937" s="258"/>
      <c r="Z43937" s="258"/>
    </row>
    <row r="43938" spans="1:26" ht="12.75" customHeight="1" x14ac:dyDescent="0.2">
      <c r="A43938" s="258"/>
      <c r="Z43938" s="258"/>
    </row>
    <row r="43939" spans="1:26" ht="12.75" customHeight="1" x14ac:dyDescent="0.2">
      <c r="A43939" s="258"/>
      <c r="Z43939" s="258"/>
    </row>
    <row r="43940" spans="1:26" ht="12.75" customHeight="1" x14ac:dyDescent="0.2">
      <c r="A43940" s="258"/>
      <c r="Z43940" s="258"/>
    </row>
    <row r="43941" spans="1:26" ht="12.75" customHeight="1" x14ac:dyDescent="0.2">
      <c r="A43941" s="258"/>
      <c r="Z43941" s="258"/>
    </row>
    <row r="43942" spans="1:26" ht="12.75" customHeight="1" x14ac:dyDescent="0.2">
      <c r="A43942" s="258"/>
      <c r="Z43942" s="258"/>
    </row>
    <row r="43943" spans="1:26" ht="12.75" customHeight="1" x14ac:dyDescent="0.2">
      <c r="A43943" s="258"/>
      <c r="Z43943" s="258"/>
    </row>
    <row r="43944" spans="1:26" ht="12.75" customHeight="1" x14ac:dyDescent="0.2">
      <c r="A43944" s="258"/>
      <c r="Z43944" s="258"/>
    </row>
    <row r="43945" spans="1:26" ht="12.75" customHeight="1" x14ac:dyDescent="0.2">
      <c r="A43945" s="258"/>
      <c r="Z43945" s="258"/>
    </row>
    <row r="43946" spans="1:26" ht="12.75" customHeight="1" x14ac:dyDescent="0.2">
      <c r="A43946" s="258"/>
      <c r="Z43946" s="258"/>
    </row>
    <row r="43947" spans="1:26" ht="12.75" customHeight="1" x14ac:dyDescent="0.2">
      <c r="A43947" s="258"/>
      <c r="Z43947" s="258"/>
    </row>
    <row r="43948" spans="1:26" ht="12.75" customHeight="1" x14ac:dyDescent="0.2">
      <c r="A43948" s="258"/>
      <c r="Z43948" s="258"/>
    </row>
    <row r="43949" spans="1:26" ht="12.75" customHeight="1" x14ac:dyDescent="0.2">
      <c r="A43949" s="258"/>
      <c r="Z43949" s="258"/>
    </row>
    <row r="43950" spans="1:26" ht="12.75" customHeight="1" x14ac:dyDescent="0.2">
      <c r="A43950" s="258"/>
      <c r="Z43950" s="258"/>
    </row>
    <row r="43951" spans="1:26" ht="12.75" customHeight="1" x14ac:dyDescent="0.2">
      <c r="A43951" s="258"/>
      <c r="Z43951" s="258"/>
    </row>
    <row r="43952" spans="1:26" ht="12.75" customHeight="1" x14ac:dyDescent="0.2">
      <c r="A43952" s="258"/>
      <c r="Z43952" s="258"/>
    </row>
    <row r="43953" spans="1:26" ht="12.75" customHeight="1" x14ac:dyDescent="0.2">
      <c r="A43953" s="258"/>
      <c r="Z43953" s="258"/>
    </row>
    <row r="43954" spans="1:26" ht="12.75" customHeight="1" x14ac:dyDescent="0.2">
      <c r="A43954" s="258"/>
      <c r="Z43954" s="258"/>
    </row>
    <row r="43955" spans="1:26" ht="12.75" customHeight="1" x14ac:dyDescent="0.2">
      <c r="A43955" s="258"/>
      <c r="Z43955" s="258"/>
    </row>
    <row r="43956" spans="1:26" ht="12.75" customHeight="1" x14ac:dyDescent="0.2">
      <c r="A43956" s="258"/>
      <c r="Z43956" s="258"/>
    </row>
    <row r="43957" spans="1:26" ht="12.75" customHeight="1" x14ac:dyDescent="0.2">
      <c r="A43957" s="258"/>
      <c r="Z43957" s="258"/>
    </row>
    <row r="43958" spans="1:26" ht="12.75" customHeight="1" x14ac:dyDescent="0.2">
      <c r="A43958" s="258"/>
      <c r="Z43958" s="258"/>
    </row>
    <row r="43959" spans="1:26" ht="12.75" customHeight="1" x14ac:dyDescent="0.2">
      <c r="A43959" s="258"/>
      <c r="Z43959" s="258"/>
    </row>
    <row r="43960" spans="1:26" ht="12.75" customHeight="1" x14ac:dyDescent="0.2">
      <c r="A43960" s="258"/>
      <c r="Z43960" s="258"/>
    </row>
    <row r="43961" spans="1:26" ht="12.75" customHeight="1" x14ac:dyDescent="0.2">
      <c r="A43961" s="258"/>
      <c r="Z43961" s="258"/>
    </row>
    <row r="43962" spans="1:26" ht="12.75" customHeight="1" x14ac:dyDescent="0.2">
      <c r="A43962" s="258"/>
      <c r="Z43962" s="258"/>
    </row>
    <row r="43963" spans="1:26" ht="12.75" customHeight="1" x14ac:dyDescent="0.2">
      <c r="A43963" s="258"/>
      <c r="Z43963" s="258"/>
    </row>
    <row r="43964" spans="1:26" ht="12.75" customHeight="1" x14ac:dyDescent="0.2">
      <c r="A43964" s="258"/>
      <c r="Z43964" s="258"/>
    </row>
    <row r="43965" spans="1:26" ht="12.75" customHeight="1" x14ac:dyDescent="0.2">
      <c r="A43965" s="258"/>
      <c r="Z43965" s="258"/>
    </row>
    <row r="43966" spans="1:26" ht="12.75" customHeight="1" x14ac:dyDescent="0.2">
      <c r="A43966" s="258"/>
      <c r="Z43966" s="258"/>
    </row>
    <row r="43967" spans="1:26" ht="12.75" customHeight="1" x14ac:dyDescent="0.2">
      <c r="A43967" s="258"/>
      <c r="Z43967" s="258"/>
    </row>
    <row r="43968" spans="1:26" ht="12.75" customHeight="1" x14ac:dyDescent="0.2">
      <c r="A43968" s="258"/>
      <c r="Z43968" s="258"/>
    </row>
    <row r="43969" spans="1:26" ht="12.75" customHeight="1" x14ac:dyDescent="0.2">
      <c r="A43969" s="258"/>
      <c r="Z43969" s="258"/>
    </row>
    <row r="43970" spans="1:26" ht="12.75" customHeight="1" x14ac:dyDescent="0.2">
      <c r="A43970" s="258"/>
      <c r="Z43970" s="258"/>
    </row>
    <row r="43971" spans="1:26" ht="12.75" customHeight="1" x14ac:dyDescent="0.2">
      <c r="A43971" s="258"/>
      <c r="Z43971" s="258"/>
    </row>
    <row r="43972" spans="1:26" ht="12.75" customHeight="1" x14ac:dyDescent="0.2">
      <c r="A43972" s="258"/>
      <c r="Z43972" s="258"/>
    </row>
    <row r="43973" spans="1:26" ht="12.75" customHeight="1" x14ac:dyDescent="0.2">
      <c r="A43973" s="258"/>
      <c r="Z43973" s="258"/>
    </row>
    <row r="43974" spans="1:26" ht="12.75" customHeight="1" x14ac:dyDescent="0.2">
      <c r="A43974" s="258"/>
      <c r="Z43974" s="258"/>
    </row>
    <row r="43975" spans="1:26" ht="12.75" customHeight="1" x14ac:dyDescent="0.2">
      <c r="A43975" s="258"/>
      <c r="Z43975" s="258"/>
    </row>
    <row r="43976" spans="1:26" ht="12.75" customHeight="1" x14ac:dyDescent="0.2">
      <c r="A43976" s="258"/>
      <c r="Z43976" s="258"/>
    </row>
    <row r="43977" spans="1:26" ht="12.75" customHeight="1" x14ac:dyDescent="0.2">
      <c r="A43977" s="258"/>
      <c r="Z43977" s="258"/>
    </row>
    <row r="43978" spans="1:26" ht="12.75" customHeight="1" x14ac:dyDescent="0.2">
      <c r="A43978" s="258"/>
      <c r="Z43978" s="258"/>
    </row>
    <row r="43979" spans="1:26" ht="12.75" customHeight="1" x14ac:dyDescent="0.2">
      <c r="A43979" s="258"/>
      <c r="Z43979" s="258"/>
    </row>
    <row r="43980" spans="1:26" ht="12.75" customHeight="1" x14ac:dyDescent="0.2">
      <c r="A43980" s="258"/>
      <c r="Z43980" s="258"/>
    </row>
    <row r="43981" spans="1:26" ht="12.75" customHeight="1" x14ac:dyDescent="0.2">
      <c r="A43981" s="258"/>
      <c r="Z43981" s="258"/>
    </row>
    <row r="43982" spans="1:26" ht="12.75" customHeight="1" x14ac:dyDescent="0.2">
      <c r="A43982" s="258"/>
      <c r="Z43982" s="258"/>
    </row>
    <row r="43983" spans="1:26" ht="12.75" customHeight="1" x14ac:dyDescent="0.2">
      <c r="A43983" s="258"/>
      <c r="Z43983" s="258"/>
    </row>
    <row r="43984" spans="1:26" ht="12.75" customHeight="1" x14ac:dyDescent="0.2">
      <c r="A43984" s="258"/>
      <c r="Z43984" s="258"/>
    </row>
    <row r="43985" spans="1:26" ht="12.75" customHeight="1" x14ac:dyDescent="0.2">
      <c r="A43985" s="258"/>
      <c r="Z43985" s="258"/>
    </row>
    <row r="43986" spans="1:26" ht="12.75" customHeight="1" x14ac:dyDescent="0.2">
      <c r="A43986" s="258"/>
      <c r="Z43986" s="258"/>
    </row>
    <row r="43987" spans="1:26" ht="12.75" customHeight="1" x14ac:dyDescent="0.2">
      <c r="A43987" s="258"/>
      <c r="Z43987" s="258"/>
    </row>
    <row r="43988" spans="1:26" ht="12.75" customHeight="1" x14ac:dyDescent="0.2">
      <c r="A43988" s="258"/>
      <c r="Z43988" s="258"/>
    </row>
    <row r="43989" spans="1:26" ht="12.75" customHeight="1" x14ac:dyDescent="0.2">
      <c r="A43989" s="258"/>
      <c r="Z43989" s="258"/>
    </row>
    <row r="43990" spans="1:26" ht="12.75" customHeight="1" x14ac:dyDescent="0.2">
      <c r="A43990" s="258"/>
      <c r="Z43990" s="258"/>
    </row>
    <row r="43991" spans="1:26" ht="12.75" customHeight="1" x14ac:dyDescent="0.2">
      <c r="A43991" s="258"/>
      <c r="Z43991" s="258"/>
    </row>
    <row r="43992" spans="1:26" ht="12.75" customHeight="1" x14ac:dyDescent="0.2">
      <c r="A43992" s="258"/>
      <c r="Z43992" s="258"/>
    </row>
    <row r="43993" spans="1:26" ht="12.75" customHeight="1" x14ac:dyDescent="0.2">
      <c r="A43993" s="258"/>
      <c r="Z43993" s="258"/>
    </row>
    <row r="43994" spans="1:26" ht="12.75" customHeight="1" x14ac:dyDescent="0.2">
      <c r="A43994" s="258"/>
      <c r="Z43994" s="258"/>
    </row>
    <row r="43995" spans="1:26" ht="12.75" customHeight="1" x14ac:dyDescent="0.2">
      <c r="A43995" s="258"/>
      <c r="Z43995" s="258"/>
    </row>
    <row r="43996" spans="1:26" ht="12.75" customHeight="1" x14ac:dyDescent="0.2">
      <c r="A43996" s="258"/>
      <c r="Z43996" s="258"/>
    </row>
    <row r="43997" spans="1:26" ht="12.75" customHeight="1" x14ac:dyDescent="0.2">
      <c r="A43997" s="258"/>
      <c r="Z43997" s="258"/>
    </row>
    <row r="43998" spans="1:26" ht="12.75" customHeight="1" x14ac:dyDescent="0.2">
      <c r="A43998" s="258"/>
      <c r="Z43998" s="258"/>
    </row>
    <row r="43999" spans="1:26" ht="12.75" customHeight="1" x14ac:dyDescent="0.2">
      <c r="A43999" s="258"/>
      <c r="Z43999" s="258"/>
    </row>
    <row r="44000" spans="1:26" ht="12.75" customHeight="1" x14ac:dyDescent="0.2">
      <c r="A44000" s="258"/>
      <c r="Z44000" s="258"/>
    </row>
    <row r="44001" spans="1:26" ht="12.75" customHeight="1" x14ac:dyDescent="0.2">
      <c r="A44001" s="258"/>
      <c r="Z44001" s="258"/>
    </row>
    <row r="44002" spans="1:26" ht="12.75" customHeight="1" x14ac:dyDescent="0.2">
      <c r="A44002" s="258"/>
      <c r="Z44002" s="258"/>
    </row>
    <row r="44003" spans="1:26" ht="12.75" customHeight="1" x14ac:dyDescent="0.2">
      <c r="A44003" s="258"/>
      <c r="Z44003" s="258"/>
    </row>
    <row r="44004" spans="1:26" ht="12.75" customHeight="1" x14ac:dyDescent="0.2">
      <c r="A44004" s="258"/>
      <c r="Z44004" s="258"/>
    </row>
    <row r="44005" spans="1:26" ht="12.75" customHeight="1" x14ac:dyDescent="0.2">
      <c r="A44005" s="258"/>
      <c r="Z44005" s="258"/>
    </row>
    <row r="44006" spans="1:26" ht="12.75" customHeight="1" x14ac:dyDescent="0.2">
      <c r="A44006" s="258"/>
      <c r="Z44006" s="258"/>
    </row>
    <row r="44007" spans="1:26" ht="12.75" customHeight="1" x14ac:dyDescent="0.2">
      <c r="A44007" s="258"/>
      <c r="Z44007" s="258"/>
    </row>
    <row r="44008" spans="1:26" ht="12.75" customHeight="1" x14ac:dyDescent="0.2">
      <c r="A44008" s="258"/>
      <c r="Z44008" s="258"/>
    </row>
    <row r="44009" spans="1:26" ht="12.75" customHeight="1" x14ac:dyDescent="0.2">
      <c r="A44009" s="258"/>
      <c r="Z44009" s="258"/>
    </row>
    <row r="44010" spans="1:26" ht="12.75" customHeight="1" x14ac:dyDescent="0.2">
      <c r="A44010" s="258"/>
      <c r="Z44010" s="258"/>
    </row>
    <row r="44011" spans="1:26" ht="12.75" customHeight="1" x14ac:dyDescent="0.2">
      <c r="A44011" s="258"/>
      <c r="Z44011" s="258"/>
    </row>
    <row r="44012" spans="1:26" ht="12.75" customHeight="1" x14ac:dyDescent="0.2">
      <c r="A44012" s="258"/>
      <c r="Z44012" s="258"/>
    </row>
    <row r="44013" spans="1:26" ht="12.75" customHeight="1" x14ac:dyDescent="0.2">
      <c r="A44013" s="258"/>
      <c r="Z44013" s="258"/>
    </row>
    <row r="44014" spans="1:26" ht="12.75" customHeight="1" x14ac:dyDescent="0.2">
      <c r="A44014" s="258"/>
      <c r="Z44014" s="258"/>
    </row>
    <row r="44015" spans="1:26" ht="12.75" customHeight="1" x14ac:dyDescent="0.2">
      <c r="A44015" s="258"/>
      <c r="Z44015" s="258"/>
    </row>
    <row r="44016" spans="1:26" ht="12.75" customHeight="1" x14ac:dyDescent="0.2">
      <c r="A44016" s="258"/>
      <c r="Z44016" s="258"/>
    </row>
    <row r="44017" spans="1:26" ht="12.75" customHeight="1" x14ac:dyDescent="0.2">
      <c r="A44017" s="258"/>
      <c r="Z44017" s="258"/>
    </row>
    <row r="44018" spans="1:26" ht="12.75" customHeight="1" x14ac:dyDescent="0.2">
      <c r="A44018" s="258"/>
      <c r="Z44018" s="258"/>
    </row>
    <row r="44019" spans="1:26" ht="12.75" customHeight="1" x14ac:dyDescent="0.2">
      <c r="A44019" s="258"/>
      <c r="Z44019" s="258"/>
    </row>
    <row r="44020" spans="1:26" ht="12.75" customHeight="1" x14ac:dyDescent="0.2">
      <c r="A44020" s="258"/>
      <c r="Z44020" s="258"/>
    </row>
    <row r="44021" spans="1:26" ht="12.75" customHeight="1" x14ac:dyDescent="0.2">
      <c r="A44021" s="258"/>
      <c r="Z44021" s="258"/>
    </row>
    <row r="44022" spans="1:26" ht="12.75" customHeight="1" x14ac:dyDescent="0.2">
      <c r="A44022" s="258"/>
      <c r="Z44022" s="258"/>
    </row>
    <row r="44023" spans="1:26" ht="12.75" customHeight="1" x14ac:dyDescent="0.2">
      <c r="A44023" s="258"/>
      <c r="Z44023" s="258"/>
    </row>
    <row r="44024" spans="1:26" ht="12.75" customHeight="1" x14ac:dyDescent="0.2">
      <c r="A44024" s="258"/>
      <c r="Z44024" s="258"/>
    </row>
    <row r="44025" spans="1:26" ht="12.75" customHeight="1" x14ac:dyDescent="0.2">
      <c r="A44025" s="258"/>
      <c r="Z44025" s="258"/>
    </row>
    <row r="44026" spans="1:26" ht="12.75" customHeight="1" x14ac:dyDescent="0.2">
      <c r="A44026" s="258"/>
      <c r="Z44026" s="258"/>
    </row>
    <row r="44027" spans="1:26" ht="12.75" customHeight="1" x14ac:dyDescent="0.2">
      <c r="A44027" s="258"/>
      <c r="Z44027" s="258"/>
    </row>
    <row r="44028" spans="1:26" ht="12.75" customHeight="1" x14ac:dyDescent="0.2">
      <c r="A44028" s="258"/>
      <c r="Z44028" s="258"/>
    </row>
    <row r="44029" spans="1:26" ht="12.75" customHeight="1" x14ac:dyDescent="0.2">
      <c r="A44029" s="258"/>
      <c r="Z44029" s="258"/>
    </row>
    <row r="44030" spans="1:26" ht="12.75" customHeight="1" x14ac:dyDescent="0.2">
      <c r="A44030" s="258"/>
      <c r="Z44030" s="258"/>
    </row>
    <row r="44031" spans="1:26" ht="12.75" customHeight="1" x14ac:dyDescent="0.2">
      <c r="A44031" s="258"/>
      <c r="Z44031" s="258"/>
    </row>
    <row r="44032" spans="1:26" ht="12.75" customHeight="1" x14ac:dyDescent="0.2">
      <c r="A44032" s="258"/>
      <c r="Z44032" s="258"/>
    </row>
    <row r="44033" spans="1:26" ht="12.75" customHeight="1" x14ac:dyDescent="0.2">
      <c r="A44033" s="258"/>
      <c r="Z44033" s="258"/>
    </row>
    <row r="44034" spans="1:26" ht="12.75" customHeight="1" x14ac:dyDescent="0.2">
      <c r="A44034" s="258"/>
      <c r="Z44034" s="258"/>
    </row>
    <row r="44035" spans="1:26" ht="12.75" customHeight="1" x14ac:dyDescent="0.2">
      <c r="A44035" s="258"/>
      <c r="Z44035" s="258"/>
    </row>
    <row r="44036" spans="1:26" ht="12.75" customHeight="1" x14ac:dyDescent="0.2">
      <c r="A44036" s="258"/>
      <c r="Z44036" s="258"/>
    </row>
    <row r="44037" spans="1:26" ht="12.75" customHeight="1" x14ac:dyDescent="0.2">
      <c r="A44037" s="258"/>
      <c r="Z44037" s="258"/>
    </row>
    <row r="44038" spans="1:26" ht="12.75" customHeight="1" x14ac:dyDescent="0.2">
      <c r="A44038" s="258"/>
      <c r="Z44038" s="258"/>
    </row>
    <row r="44039" spans="1:26" ht="12.75" customHeight="1" x14ac:dyDescent="0.2">
      <c r="A44039" s="258"/>
      <c r="Z44039" s="258"/>
    </row>
    <row r="44040" spans="1:26" ht="12.75" customHeight="1" x14ac:dyDescent="0.2">
      <c r="A44040" s="258"/>
      <c r="Z44040" s="258"/>
    </row>
    <row r="44041" spans="1:26" ht="12.75" customHeight="1" x14ac:dyDescent="0.2">
      <c r="A44041" s="258"/>
      <c r="Z44041" s="258"/>
    </row>
    <row r="44042" spans="1:26" ht="12.75" customHeight="1" x14ac:dyDescent="0.2">
      <c r="A44042" s="258"/>
      <c r="Z44042" s="258"/>
    </row>
    <row r="44043" spans="1:26" ht="12.75" customHeight="1" x14ac:dyDescent="0.2">
      <c r="A44043" s="258"/>
      <c r="Z44043" s="258"/>
    </row>
    <row r="44044" spans="1:26" ht="12.75" customHeight="1" x14ac:dyDescent="0.2">
      <c r="A44044" s="258"/>
      <c r="Z44044" s="258"/>
    </row>
    <row r="44045" spans="1:26" ht="12.75" customHeight="1" x14ac:dyDescent="0.2">
      <c r="A44045" s="258"/>
      <c r="Z44045" s="258"/>
    </row>
    <row r="44046" spans="1:26" ht="12.75" customHeight="1" x14ac:dyDescent="0.2">
      <c r="A44046" s="258"/>
      <c r="Z44046" s="258"/>
    </row>
    <row r="44047" spans="1:26" ht="12.75" customHeight="1" x14ac:dyDescent="0.2">
      <c r="A44047" s="258"/>
      <c r="Z44047" s="258"/>
    </row>
    <row r="44048" spans="1:26" ht="12.75" customHeight="1" x14ac:dyDescent="0.2">
      <c r="A44048" s="258"/>
      <c r="Z44048" s="258"/>
    </row>
    <row r="44049" spans="1:26" ht="12.75" customHeight="1" x14ac:dyDescent="0.2">
      <c r="A44049" s="258"/>
      <c r="Z44049" s="258"/>
    </row>
    <row r="44050" spans="1:26" ht="12.75" customHeight="1" x14ac:dyDescent="0.2">
      <c r="A44050" s="258"/>
      <c r="Z44050" s="258"/>
    </row>
    <row r="44051" spans="1:26" ht="12.75" customHeight="1" x14ac:dyDescent="0.2">
      <c r="A44051" s="258"/>
      <c r="Z44051" s="258"/>
    </row>
    <row r="44052" spans="1:26" ht="12.75" customHeight="1" x14ac:dyDescent="0.2">
      <c r="A44052" s="258"/>
      <c r="Z44052" s="258"/>
    </row>
    <row r="44053" spans="1:26" ht="12.75" customHeight="1" x14ac:dyDescent="0.2">
      <c r="A44053" s="258"/>
      <c r="Z44053" s="258"/>
    </row>
    <row r="44054" spans="1:26" ht="12.75" customHeight="1" x14ac:dyDescent="0.2">
      <c r="A44054" s="258"/>
      <c r="Z44054" s="258"/>
    </row>
    <row r="44055" spans="1:26" ht="12.75" customHeight="1" x14ac:dyDescent="0.2">
      <c r="A44055" s="258"/>
      <c r="Z44055" s="258"/>
    </row>
    <row r="44056" spans="1:26" ht="12.75" customHeight="1" x14ac:dyDescent="0.2">
      <c r="A44056" s="258"/>
      <c r="Z44056" s="258"/>
    </row>
    <row r="44057" spans="1:26" ht="12.75" customHeight="1" x14ac:dyDescent="0.2">
      <c r="A44057" s="258"/>
      <c r="Z44057" s="258"/>
    </row>
    <row r="44058" spans="1:26" ht="12.75" customHeight="1" x14ac:dyDescent="0.2">
      <c r="A44058" s="258"/>
      <c r="Z44058" s="258"/>
    </row>
    <row r="44059" spans="1:26" ht="12.75" customHeight="1" x14ac:dyDescent="0.2">
      <c r="A44059" s="258"/>
      <c r="Z44059" s="258"/>
    </row>
    <row r="44060" spans="1:26" ht="12.75" customHeight="1" x14ac:dyDescent="0.2">
      <c r="A44060" s="258"/>
      <c r="Z44060" s="258"/>
    </row>
    <row r="44061" spans="1:26" ht="12.75" customHeight="1" x14ac:dyDescent="0.2">
      <c r="A44061" s="258"/>
      <c r="Z44061" s="258"/>
    </row>
    <row r="44062" spans="1:26" ht="12.75" customHeight="1" x14ac:dyDescent="0.2">
      <c r="A44062" s="258"/>
      <c r="Z44062" s="258"/>
    </row>
    <row r="44063" spans="1:26" ht="12.75" customHeight="1" x14ac:dyDescent="0.2">
      <c r="A44063" s="258"/>
      <c r="Z44063" s="258"/>
    </row>
    <row r="44064" spans="1:26" ht="12.75" customHeight="1" x14ac:dyDescent="0.2">
      <c r="A44064" s="258"/>
      <c r="Z44064" s="258"/>
    </row>
    <row r="44065" spans="1:26" ht="12.75" customHeight="1" x14ac:dyDescent="0.2">
      <c r="A44065" s="258"/>
      <c r="Z44065" s="258"/>
    </row>
    <row r="44066" spans="1:26" ht="12.75" customHeight="1" x14ac:dyDescent="0.2">
      <c r="A44066" s="258"/>
      <c r="Z44066" s="258"/>
    </row>
    <row r="44067" spans="1:26" ht="12.75" customHeight="1" x14ac:dyDescent="0.2">
      <c r="A44067" s="258"/>
      <c r="Z44067" s="258"/>
    </row>
    <row r="44068" spans="1:26" ht="12.75" customHeight="1" x14ac:dyDescent="0.2">
      <c r="A44068" s="258"/>
      <c r="Z44068" s="258"/>
    </row>
    <row r="44069" spans="1:26" ht="12.75" customHeight="1" x14ac:dyDescent="0.2">
      <c r="A44069" s="258"/>
      <c r="Z44069" s="258"/>
    </row>
    <row r="44070" spans="1:26" ht="12.75" customHeight="1" x14ac:dyDescent="0.2">
      <c r="A44070" s="258"/>
      <c r="Z44070" s="258"/>
    </row>
    <row r="44071" spans="1:26" ht="12.75" customHeight="1" x14ac:dyDescent="0.2">
      <c r="A44071" s="258"/>
      <c r="Z44071" s="258"/>
    </row>
    <row r="44072" spans="1:26" ht="12.75" customHeight="1" x14ac:dyDescent="0.2">
      <c r="A44072" s="258"/>
      <c r="Z44072" s="258"/>
    </row>
    <row r="44073" spans="1:26" ht="12.75" customHeight="1" x14ac:dyDescent="0.2">
      <c r="A44073" s="258"/>
      <c r="Z44073" s="258"/>
    </row>
    <row r="44074" spans="1:26" ht="12.75" customHeight="1" x14ac:dyDescent="0.2">
      <c r="A44074" s="258"/>
      <c r="Z44074" s="258"/>
    </row>
    <row r="44075" spans="1:26" ht="12.75" customHeight="1" x14ac:dyDescent="0.2">
      <c r="A44075" s="258"/>
      <c r="Z44075" s="258"/>
    </row>
    <row r="44076" spans="1:26" ht="12.75" customHeight="1" x14ac:dyDescent="0.2">
      <c r="A44076" s="258"/>
      <c r="Z44076" s="258"/>
    </row>
    <row r="44077" spans="1:26" ht="12.75" customHeight="1" x14ac:dyDescent="0.2">
      <c r="A44077" s="258"/>
      <c r="Z44077" s="258"/>
    </row>
    <row r="44078" spans="1:26" ht="12.75" customHeight="1" x14ac:dyDescent="0.2">
      <c r="A44078" s="258"/>
      <c r="Z44078" s="258"/>
    </row>
    <row r="44079" spans="1:26" ht="12.75" customHeight="1" x14ac:dyDescent="0.2">
      <c r="A44079" s="258"/>
      <c r="Z44079" s="258"/>
    </row>
    <row r="44080" spans="1:26" ht="12.75" customHeight="1" x14ac:dyDescent="0.2">
      <c r="A44080" s="258"/>
      <c r="Z44080" s="258"/>
    </row>
    <row r="44081" spans="1:26" ht="12.75" customHeight="1" x14ac:dyDescent="0.2">
      <c r="A44081" s="258"/>
      <c r="Z44081" s="258"/>
    </row>
    <row r="44082" spans="1:26" ht="12.75" customHeight="1" x14ac:dyDescent="0.2">
      <c r="A44082" s="258"/>
      <c r="Z44082" s="258"/>
    </row>
    <row r="44083" spans="1:26" ht="12.75" customHeight="1" x14ac:dyDescent="0.2">
      <c r="A44083" s="258"/>
      <c r="Z44083" s="258"/>
    </row>
    <row r="44084" spans="1:26" ht="12.75" customHeight="1" x14ac:dyDescent="0.2">
      <c r="A44084" s="258"/>
      <c r="Z44084" s="258"/>
    </row>
    <row r="44085" spans="1:26" ht="12.75" customHeight="1" x14ac:dyDescent="0.2">
      <c r="A44085" s="258"/>
      <c r="Z44085" s="258"/>
    </row>
    <row r="44086" spans="1:26" ht="12.75" customHeight="1" x14ac:dyDescent="0.2">
      <c r="A44086" s="258"/>
      <c r="Z44086" s="258"/>
    </row>
    <row r="44087" spans="1:26" ht="12.75" customHeight="1" x14ac:dyDescent="0.2">
      <c r="A44087" s="258"/>
      <c r="Z44087" s="258"/>
    </row>
    <row r="44088" spans="1:26" ht="12.75" customHeight="1" x14ac:dyDescent="0.2">
      <c r="A44088" s="258"/>
      <c r="Z44088" s="258"/>
    </row>
    <row r="44089" spans="1:26" ht="12.75" customHeight="1" x14ac:dyDescent="0.2">
      <c r="A44089" s="258"/>
      <c r="Z44089" s="258"/>
    </row>
    <row r="44090" spans="1:26" ht="12.75" customHeight="1" x14ac:dyDescent="0.2">
      <c r="A44090" s="258"/>
      <c r="Z44090" s="258"/>
    </row>
    <row r="44091" spans="1:26" ht="12.75" customHeight="1" x14ac:dyDescent="0.2">
      <c r="A44091" s="258"/>
      <c r="Z44091" s="258"/>
    </row>
    <row r="44092" spans="1:26" ht="12.75" customHeight="1" x14ac:dyDescent="0.2">
      <c r="A44092" s="258"/>
      <c r="Z44092" s="258"/>
    </row>
    <row r="44093" spans="1:26" ht="12.75" customHeight="1" x14ac:dyDescent="0.2">
      <c r="A44093" s="258"/>
      <c r="Z44093" s="258"/>
    </row>
    <row r="44094" spans="1:26" ht="12.75" customHeight="1" x14ac:dyDescent="0.2">
      <c r="A44094" s="258"/>
      <c r="Z44094" s="258"/>
    </row>
    <row r="44095" spans="1:26" ht="12.75" customHeight="1" x14ac:dyDescent="0.2">
      <c r="A44095" s="258"/>
      <c r="Z44095" s="258"/>
    </row>
    <row r="44096" spans="1:26" ht="12.75" customHeight="1" x14ac:dyDescent="0.2">
      <c r="A44096" s="258"/>
      <c r="Z44096" s="258"/>
    </row>
    <row r="44097" spans="1:26" ht="12.75" customHeight="1" x14ac:dyDescent="0.2">
      <c r="A44097" s="258"/>
      <c r="Z44097" s="258"/>
    </row>
    <row r="44098" spans="1:26" ht="12.75" customHeight="1" x14ac:dyDescent="0.2">
      <c r="A44098" s="258"/>
      <c r="Z44098" s="258"/>
    </row>
    <row r="44099" spans="1:26" ht="12.75" customHeight="1" x14ac:dyDescent="0.2">
      <c r="A44099" s="258"/>
      <c r="Z44099" s="258"/>
    </row>
    <row r="44100" spans="1:26" ht="12.75" customHeight="1" x14ac:dyDescent="0.2">
      <c r="A44100" s="258"/>
      <c r="Z44100" s="258"/>
    </row>
    <row r="44101" spans="1:26" ht="12.75" customHeight="1" x14ac:dyDescent="0.2">
      <c r="A44101" s="258"/>
      <c r="Z44101" s="258"/>
    </row>
    <row r="44102" spans="1:26" ht="12.75" customHeight="1" x14ac:dyDescent="0.2">
      <c r="A44102" s="258"/>
      <c r="Z44102" s="258"/>
    </row>
    <row r="44103" spans="1:26" ht="12.75" customHeight="1" x14ac:dyDescent="0.2">
      <c r="A44103" s="258"/>
      <c r="Z44103" s="258"/>
    </row>
    <row r="44104" spans="1:26" ht="12.75" customHeight="1" x14ac:dyDescent="0.2">
      <c r="A44104" s="258"/>
      <c r="Z44104" s="258"/>
    </row>
    <row r="44105" spans="1:26" ht="12.75" customHeight="1" x14ac:dyDescent="0.2">
      <c r="A44105" s="258"/>
      <c r="Z44105" s="258"/>
    </row>
    <row r="44106" spans="1:26" ht="12.75" customHeight="1" x14ac:dyDescent="0.2">
      <c r="A44106" s="258"/>
      <c r="Z44106" s="258"/>
    </row>
    <row r="44107" spans="1:26" ht="12.75" customHeight="1" x14ac:dyDescent="0.2">
      <c r="A44107" s="258"/>
      <c r="Z44107" s="258"/>
    </row>
    <row r="44108" spans="1:26" ht="12.75" customHeight="1" x14ac:dyDescent="0.2">
      <c r="A44108" s="258"/>
      <c r="Z44108" s="258"/>
    </row>
    <row r="44109" spans="1:26" ht="12.75" customHeight="1" x14ac:dyDescent="0.2">
      <c r="A44109" s="258"/>
      <c r="Z44109" s="258"/>
    </row>
    <row r="44110" spans="1:26" ht="12.75" customHeight="1" x14ac:dyDescent="0.2">
      <c r="A44110" s="258"/>
      <c r="Z44110" s="258"/>
    </row>
    <row r="44111" spans="1:26" ht="12.75" customHeight="1" x14ac:dyDescent="0.2">
      <c r="A44111" s="258"/>
      <c r="Z44111" s="258"/>
    </row>
    <row r="44112" spans="1:26" ht="12.75" customHeight="1" x14ac:dyDescent="0.2">
      <c r="A44112" s="258"/>
      <c r="Z44112" s="258"/>
    </row>
    <row r="44113" spans="1:26" ht="12.75" customHeight="1" x14ac:dyDescent="0.2">
      <c r="A44113" s="258"/>
      <c r="Z44113" s="258"/>
    </row>
    <row r="44114" spans="1:26" ht="12.75" customHeight="1" x14ac:dyDescent="0.2">
      <c r="A44114" s="258"/>
      <c r="Z44114" s="258"/>
    </row>
    <row r="44115" spans="1:26" ht="12.75" customHeight="1" x14ac:dyDescent="0.2">
      <c r="A44115" s="258"/>
      <c r="Z44115" s="258"/>
    </row>
    <row r="44116" spans="1:26" ht="12.75" customHeight="1" x14ac:dyDescent="0.2">
      <c r="A44116" s="258"/>
      <c r="Z44116" s="258"/>
    </row>
    <row r="44117" spans="1:26" ht="12.75" customHeight="1" x14ac:dyDescent="0.2">
      <c r="A44117" s="258"/>
      <c r="Z44117" s="258"/>
    </row>
    <row r="44118" spans="1:26" ht="12.75" customHeight="1" x14ac:dyDescent="0.2">
      <c r="A44118" s="258"/>
      <c r="Z44118" s="258"/>
    </row>
    <row r="44119" spans="1:26" ht="12.75" customHeight="1" x14ac:dyDescent="0.2">
      <c r="A44119" s="258"/>
      <c r="Z44119" s="258"/>
    </row>
    <row r="44120" spans="1:26" ht="12.75" customHeight="1" x14ac:dyDescent="0.2">
      <c r="A44120" s="258"/>
      <c r="Z44120" s="258"/>
    </row>
    <row r="44121" spans="1:26" ht="12.75" customHeight="1" x14ac:dyDescent="0.2">
      <c r="A44121" s="258"/>
      <c r="Z44121" s="258"/>
    </row>
    <row r="44122" spans="1:26" ht="12.75" customHeight="1" x14ac:dyDescent="0.2">
      <c r="A44122" s="258"/>
      <c r="Z44122" s="258"/>
    </row>
    <row r="44123" spans="1:26" ht="12.75" customHeight="1" x14ac:dyDescent="0.2">
      <c r="A44123" s="258"/>
      <c r="Z44123" s="258"/>
    </row>
    <row r="44124" spans="1:26" ht="12.75" customHeight="1" x14ac:dyDescent="0.2">
      <c r="A44124" s="258"/>
      <c r="Z44124" s="258"/>
    </row>
    <row r="44125" spans="1:26" ht="12.75" customHeight="1" x14ac:dyDescent="0.2">
      <c r="A44125" s="258"/>
      <c r="Z44125" s="258"/>
    </row>
    <row r="44126" spans="1:26" ht="12.75" customHeight="1" x14ac:dyDescent="0.2">
      <c r="A44126" s="258"/>
      <c r="Z44126" s="258"/>
    </row>
    <row r="44127" spans="1:26" ht="12.75" customHeight="1" x14ac:dyDescent="0.2">
      <c r="A44127" s="258"/>
      <c r="Z44127" s="258"/>
    </row>
    <row r="44128" spans="1:26" ht="12.75" customHeight="1" x14ac:dyDescent="0.2">
      <c r="A44128" s="258"/>
      <c r="Z44128" s="258"/>
    </row>
    <row r="44129" spans="1:26" ht="12.75" customHeight="1" x14ac:dyDescent="0.2">
      <c r="A44129" s="258"/>
      <c r="Z44129" s="258"/>
    </row>
    <row r="44130" spans="1:26" ht="12.75" customHeight="1" x14ac:dyDescent="0.2">
      <c r="A44130" s="258"/>
      <c r="Z44130" s="258"/>
    </row>
    <row r="44131" spans="1:26" ht="12.75" customHeight="1" x14ac:dyDescent="0.2">
      <c r="A44131" s="258"/>
      <c r="Z44131" s="258"/>
    </row>
    <row r="44132" spans="1:26" ht="12.75" customHeight="1" x14ac:dyDescent="0.2">
      <c r="A44132" s="258"/>
      <c r="Z44132" s="258"/>
    </row>
    <row r="44133" spans="1:26" ht="12.75" customHeight="1" x14ac:dyDescent="0.2">
      <c r="A44133" s="258"/>
      <c r="Z44133" s="258"/>
    </row>
    <row r="44134" spans="1:26" ht="12.75" customHeight="1" x14ac:dyDescent="0.2">
      <c r="A44134" s="258"/>
      <c r="Z44134" s="258"/>
    </row>
    <row r="44135" spans="1:26" ht="12.75" customHeight="1" x14ac:dyDescent="0.2">
      <c r="A44135" s="258"/>
      <c r="Z44135" s="258"/>
    </row>
    <row r="44136" spans="1:26" ht="12.75" customHeight="1" x14ac:dyDescent="0.2">
      <c r="A44136" s="258"/>
      <c r="Z44136" s="258"/>
    </row>
    <row r="44137" spans="1:26" ht="12.75" customHeight="1" x14ac:dyDescent="0.2">
      <c r="A44137" s="258"/>
      <c r="Z44137" s="258"/>
    </row>
    <row r="44138" spans="1:26" ht="12.75" customHeight="1" x14ac:dyDescent="0.2">
      <c r="A44138" s="258"/>
      <c r="Z44138" s="258"/>
    </row>
    <row r="44139" spans="1:26" ht="12.75" customHeight="1" x14ac:dyDescent="0.2">
      <c r="A44139" s="258"/>
      <c r="Z44139" s="258"/>
    </row>
    <row r="44140" spans="1:26" ht="12.75" customHeight="1" x14ac:dyDescent="0.2">
      <c r="A44140" s="258"/>
      <c r="Z44140" s="258"/>
    </row>
    <row r="44141" spans="1:26" ht="12.75" customHeight="1" x14ac:dyDescent="0.2">
      <c r="A44141" s="258"/>
      <c r="Z44141" s="258"/>
    </row>
    <row r="44142" spans="1:26" ht="12.75" customHeight="1" x14ac:dyDescent="0.2">
      <c r="A44142" s="258"/>
      <c r="Z44142" s="258"/>
    </row>
    <row r="44143" spans="1:26" ht="12.75" customHeight="1" x14ac:dyDescent="0.2">
      <c r="A44143" s="258"/>
      <c r="Z44143" s="258"/>
    </row>
    <row r="44144" spans="1:26" ht="12.75" customHeight="1" x14ac:dyDescent="0.2">
      <c r="A44144" s="258"/>
      <c r="Z44144" s="258"/>
    </row>
    <row r="44145" spans="1:26" ht="12.75" customHeight="1" x14ac:dyDescent="0.2">
      <c r="A44145" s="258"/>
      <c r="Z44145" s="258"/>
    </row>
    <row r="44146" spans="1:26" ht="12.75" customHeight="1" x14ac:dyDescent="0.2">
      <c r="A44146" s="258"/>
      <c r="Z44146" s="258"/>
    </row>
    <row r="44147" spans="1:26" ht="12.75" customHeight="1" x14ac:dyDescent="0.2">
      <c r="A44147" s="258"/>
      <c r="Z44147" s="258"/>
    </row>
    <row r="44148" spans="1:26" ht="12.75" customHeight="1" x14ac:dyDescent="0.2">
      <c r="A44148" s="258"/>
      <c r="Z44148" s="258"/>
    </row>
    <row r="44149" spans="1:26" ht="12.75" customHeight="1" x14ac:dyDescent="0.2">
      <c r="A44149" s="258"/>
      <c r="Z44149" s="258"/>
    </row>
    <row r="44150" spans="1:26" ht="12.75" customHeight="1" x14ac:dyDescent="0.2">
      <c r="A44150" s="258"/>
      <c r="Z44150" s="258"/>
    </row>
    <row r="44151" spans="1:26" ht="12.75" customHeight="1" x14ac:dyDescent="0.2">
      <c r="A44151" s="258"/>
      <c r="Z44151" s="258"/>
    </row>
    <row r="44152" spans="1:26" ht="12.75" customHeight="1" x14ac:dyDescent="0.2">
      <c r="A44152" s="258"/>
      <c r="Z44152" s="258"/>
    </row>
    <row r="44153" spans="1:26" ht="12.75" customHeight="1" x14ac:dyDescent="0.2">
      <c r="A44153" s="258"/>
      <c r="Z44153" s="258"/>
    </row>
    <row r="44154" spans="1:26" ht="12.75" customHeight="1" x14ac:dyDescent="0.2">
      <c r="A44154" s="258"/>
      <c r="Z44154" s="258"/>
    </row>
    <row r="44155" spans="1:26" ht="12.75" customHeight="1" x14ac:dyDescent="0.2">
      <c r="A44155" s="258"/>
      <c r="Z44155" s="258"/>
    </row>
    <row r="44156" spans="1:26" ht="12.75" customHeight="1" x14ac:dyDescent="0.2">
      <c r="A44156" s="258"/>
      <c r="Z44156" s="258"/>
    </row>
    <row r="44157" spans="1:26" ht="12.75" customHeight="1" x14ac:dyDescent="0.2">
      <c r="A44157" s="258"/>
      <c r="Z44157" s="258"/>
    </row>
    <row r="44158" spans="1:26" ht="12.75" customHeight="1" x14ac:dyDescent="0.2">
      <c r="A44158" s="258"/>
      <c r="Z44158" s="258"/>
    </row>
    <row r="44159" spans="1:26" ht="12.75" customHeight="1" x14ac:dyDescent="0.2">
      <c r="A44159" s="258"/>
      <c r="Z44159" s="258"/>
    </row>
    <row r="44160" spans="1:26" ht="12.75" customHeight="1" x14ac:dyDescent="0.2">
      <c r="A44160" s="258"/>
      <c r="Z44160" s="258"/>
    </row>
    <row r="44161" spans="1:26" ht="12.75" customHeight="1" x14ac:dyDescent="0.2">
      <c r="A44161" s="258"/>
      <c r="Z44161" s="258"/>
    </row>
    <row r="44162" spans="1:26" ht="12.75" customHeight="1" x14ac:dyDescent="0.2">
      <c r="A44162" s="258"/>
      <c r="Z44162" s="258"/>
    </row>
    <row r="44163" spans="1:26" ht="12.75" customHeight="1" x14ac:dyDescent="0.2">
      <c r="A44163" s="258"/>
      <c r="Z44163" s="258"/>
    </row>
    <row r="44164" spans="1:26" ht="12.75" customHeight="1" x14ac:dyDescent="0.2">
      <c r="A44164" s="258"/>
      <c r="Z44164" s="258"/>
    </row>
    <row r="44165" spans="1:26" ht="12.75" customHeight="1" x14ac:dyDescent="0.2">
      <c r="A44165" s="258"/>
      <c r="Z44165" s="258"/>
    </row>
    <row r="44166" spans="1:26" ht="12.75" customHeight="1" x14ac:dyDescent="0.2">
      <c r="A44166" s="258"/>
      <c r="Z44166" s="258"/>
    </row>
    <row r="44167" spans="1:26" ht="12.75" customHeight="1" x14ac:dyDescent="0.2">
      <c r="A44167" s="258"/>
      <c r="Z44167" s="258"/>
    </row>
    <row r="44168" spans="1:26" ht="12.75" customHeight="1" x14ac:dyDescent="0.2">
      <c r="A44168" s="258"/>
      <c r="Z44168" s="258"/>
    </row>
    <row r="44169" spans="1:26" ht="12.75" customHeight="1" x14ac:dyDescent="0.2">
      <c r="A44169" s="258"/>
      <c r="Z44169" s="258"/>
    </row>
    <row r="44170" spans="1:26" ht="12.75" customHeight="1" x14ac:dyDescent="0.2">
      <c r="A44170" s="258"/>
      <c r="Z44170" s="258"/>
    </row>
    <row r="44171" spans="1:26" ht="12.75" customHeight="1" x14ac:dyDescent="0.2">
      <c r="A44171" s="258"/>
      <c r="Z44171" s="258"/>
    </row>
    <row r="44172" spans="1:26" ht="12.75" customHeight="1" x14ac:dyDescent="0.2">
      <c r="A44172" s="258"/>
      <c r="Z44172" s="258"/>
    </row>
    <row r="44173" spans="1:26" ht="12.75" customHeight="1" x14ac:dyDescent="0.2">
      <c r="A44173" s="258"/>
      <c r="Z44173" s="258"/>
    </row>
    <row r="44174" spans="1:26" ht="12.75" customHeight="1" x14ac:dyDescent="0.2">
      <c r="A44174" s="258"/>
      <c r="Z44174" s="258"/>
    </row>
    <row r="44175" spans="1:26" ht="12.75" customHeight="1" x14ac:dyDescent="0.2">
      <c r="A44175" s="258"/>
      <c r="Z44175" s="258"/>
    </row>
    <row r="44176" spans="1:26" ht="12.75" customHeight="1" x14ac:dyDescent="0.2">
      <c r="A44176" s="258"/>
      <c r="Z44176" s="258"/>
    </row>
    <row r="44177" spans="1:26" ht="12.75" customHeight="1" x14ac:dyDescent="0.2">
      <c r="A44177" s="258"/>
      <c r="Z44177" s="258"/>
    </row>
    <row r="44178" spans="1:26" ht="12.75" customHeight="1" x14ac:dyDescent="0.2">
      <c r="A44178" s="258"/>
      <c r="Z44178" s="258"/>
    </row>
    <row r="44179" spans="1:26" ht="12.75" customHeight="1" x14ac:dyDescent="0.2">
      <c r="A44179" s="258"/>
      <c r="Z44179" s="258"/>
    </row>
    <row r="44180" spans="1:26" ht="12.75" customHeight="1" x14ac:dyDescent="0.2">
      <c r="A44180" s="258"/>
      <c r="Z44180" s="258"/>
    </row>
    <row r="44181" spans="1:26" ht="12.75" customHeight="1" x14ac:dyDescent="0.2">
      <c r="A44181" s="258"/>
      <c r="Z44181" s="258"/>
    </row>
    <row r="44182" spans="1:26" ht="12.75" customHeight="1" x14ac:dyDescent="0.2">
      <c r="A44182" s="258"/>
      <c r="Z44182" s="258"/>
    </row>
    <row r="44183" spans="1:26" ht="12.75" customHeight="1" x14ac:dyDescent="0.2">
      <c r="A44183" s="258"/>
      <c r="Z44183" s="258"/>
    </row>
    <row r="44184" spans="1:26" ht="12.75" customHeight="1" x14ac:dyDescent="0.2">
      <c r="A44184" s="258"/>
      <c r="Z44184" s="258"/>
    </row>
    <row r="44185" spans="1:26" ht="12.75" customHeight="1" x14ac:dyDescent="0.2">
      <c r="A44185" s="258"/>
      <c r="Z44185" s="258"/>
    </row>
    <row r="44186" spans="1:26" ht="12.75" customHeight="1" x14ac:dyDescent="0.2">
      <c r="A44186" s="258"/>
      <c r="Z44186" s="258"/>
    </row>
    <row r="44187" spans="1:26" ht="12.75" customHeight="1" x14ac:dyDescent="0.2">
      <c r="A44187" s="258"/>
      <c r="Z44187" s="258"/>
    </row>
    <row r="44188" spans="1:26" ht="12.75" customHeight="1" x14ac:dyDescent="0.2">
      <c r="A44188" s="258"/>
      <c r="Z44188" s="258"/>
    </row>
    <row r="44189" spans="1:26" ht="12.75" customHeight="1" x14ac:dyDescent="0.2">
      <c r="A44189" s="258"/>
      <c r="Z44189" s="258"/>
    </row>
    <row r="44190" spans="1:26" ht="12.75" customHeight="1" x14ac:dyDescent="0.2">
      <c r="A44190" s="258"/>
      <c r="Z44190" s="258"/>
    </row>
    <row r="44191" spans="1:26" ht="12.75" customHeight="1" x14ac:dyDescent="0.2">
      <c r="A44191" s="258"/>
      <c r="Z44191" s="258"/>
    </row>
    <row r="44192" spans="1:26" ht="12.75" customHeight="1" x14ac:dyDescent="0.2">
      <c r="A44192" s="258"/>
      <c r="Z44192" s="258"/>
    </row>
    <row r="44193" spans="1:26" ht="12.75" customHeight="1" x14ac:dyDescent="0.2">
      <c r="A44193" s="258"/>
      <c r="Z44193" s="258"/>
    </row>
    <row r="44194" spans="1:26" ht="12.75" customHeight="1" x14ac:dyDescent="0.2">
      <c r="A44194" s="258"/>
      <c r="Z44194" s="258"/>
    </row>
    <row r="44195" spans="1:26" ht="12.75" customHeight="1" x14ac:dyDescent="0.2">
      <c r="A44195" s="258"/>
      <c r="Z44195" s="258"/>
    </row>
    <row r="44196" spans="1:26" ht="12.75" customHeight="1" x14ac:dyDescent="0.2">
      <c r="A44196" s="258"/>
      <c r="Z44196" s="258"/>
    </row>
    <row r="44197" spans="1:26" ht="12.75" customHeight="1" x14ac:dyDescent="0.2">
      <c r="A44197" s="258"/>
      <c r="Z44197" s="258"/>
    </row>
    <row r="44198" spans="1:26" ht="12.75" customHeight="1" x14ac:dyDescent="0.2">
      <c r="A44198" s="258"/>
      <c r="Z44198" s="258"/>
    </row>
    <row r="44199" spans="1:26" ht="12.75" customHeight="1" x14ac:dyDescent="0.2">
      <c r="A44199" s="258"/>
      <c r="Z44199" s="258"/>
    </row>
    <row r="44200" spans="1:26" ht="12.75" customHeight="1" x14ac:dyDescent="0.2">
      <c r="A44200" s="258"/>
      <c r="Z44200" s="258"/>
    </row>
    <row r="44201" spans="1:26" ht="12.75" customHeight="1" x14ac:dyDescent="0.2">
      <c r="A44201" s="258"/>
      <c r="Z44201" s="258"/>
    </row>
    <row r="44202" spans="1:26" ht="12.75" customHeight="1" x14ac:dyDescent="0.2">
      <c r="A44202" s="258"/>
      <c r="Z44202" s="258"/>
    </row>
    <row r="44203" spans="1:26" ht="12.75" customHeight="1" x14ac:dyDescent="0.2">
      <c r="A44203" s="258"/>
      <c r="Z44203" s="258"/>
    </row>
    <row r="44204" spans="1:26" ht="12.75" customHeight="1" x14ac:dyDescent="0.2">
      <c r="A44204" s="258"/>
      <c r="Z44204" s="258"/>
    </row>
    <row r="44205" spans="1:26" ht="12.75" customHeight="1" x14ac:dyDescent="0.2">
      <c r="A44205" s="258"/>
      <c r="Z44205" s="258"/>
    </row>
    <row r="44206" spans="1:26" ht="12.75" customHeight="1" x14ac:dyDescent="0.2">
      <c r="A44206" s="258"/>
      <c r="Z44206" s="258"/>
    </row>
    <row r="44207" spans="1:26" ht="12.75" customHeight="1" x14ac:dyDescent="0.2">
      <c r="A44207" s="258"/>
      <c r="Z44207" s="258"/>
    </row>
    <row r="44208" spans="1:26" ht="12.75" customHeight="1" x14ac:dyDescent="0.2">
      <c r="A44208" s="258"/>
      <c r="Z44208" s="258"/>
    </row>
    <row r="44209" spans="1:26" ht="12.75" customHeight="1" x14ac:dyDescent="0.2">
      <c r="A44209" s="258"/>
      <c r="Z44209" s="258"/>
    </row>
    <row r="44210" spans="1:26" ht="12.75" customHeight="1" x14ac:dyDescent="0.2">
      <c r="A44210" s="258"/>
      <c r="Z44210" s="258"/>
    </row>
    <row r="44211" spans="1:26" ht="12.75" customHeight="1" x14ac:dyDescent="0.2">
      <c r="A44211" s="258"/>
      <c r="Z44211" s="258"/>
    </row>
    <row r="44212" spans="1:26" ht="12.75" customHeight="1" x14ac:dyDescent="0.2">
      <c r="A44212" s="258"/>
      <c r="Z44212" s="258"/>
    </row>
    <row r="44213" spans="1:26" ht="12.75" customHeight="1" x14ac:dyDescent="0.2">
      <c r="A44213" s="258"/>
      <c r="Z44213" s="258"/>
    </row>
    <row r="44214" spans="1:26" ht="12.75" customHeight="1" x14ac:dyDescent="0.2">
      <c r="A44214" s="258"/>
      <c r="Z44214" s="258"/>
    </row>
    <row r="44215" spans="1:26" ht="12.75" customHeight="1" x14ac:dyDescent="0.2">
      <c r="A44215" s="258"/>
      <c r="Z44215" s="258"/>
    </row>
    <row r="44216" spans="1:26" ht="12.75" customHeight="1" x14ac:dyDescent="0.2">
      <c r="A44216" s="258"/>
      <c r="Z44216" s="258"/>
    </row>
    <row r="44217" spans="1:26" ht="12.75" customHeight="1" x14ac:dyDescent="0.2">
      <c r="A44217" s="258"/>
      <c r="Z44217" s="258"/>
    </row>
    <row r="44218" spans="1:26" ht="12.75" customHeight="1" x14ac:dyDescent="0.2">
      <c r="A44218" s="258"/>
      <c r="Z44218" s="258"/>
    </row>
    <row r="44219" spans="1:26" ht="12.75" customHeight="1" x14ac:dyDescent="0.2">
      <c r="A44219" s="258"/>
      <c r="Z44219" s="258"/>
    </row>
    <row r="44220" spans="1:26" ht="12.75" customHeight="1" x14ac:dyDescent="0.2">
      <c r="A44220" s="258"/>
      <c r="Z44220" s="258"/>
    </row>
    <row r="44221" spans="1:26" ht="12.75" customHeight="1" x14ac:dyDescent="0.2">
      <c r="A44221" s="258"/>
      <c r="Z44221" s="258"/>
    </row>
    <row r="44222" spans="1:26" ht="12.75" customHeight="1" x14ac:dyDescent="0.2">
      <c r="A44222" s="258"/>
      <c r="Z44222" s="258"/>
    </row>
    <row r="44223" spans="1:26" ht="12.75" customHeight="1" x14ac:dyDescent="0.2">
      <c r="A44223" s="258"/>
      <c r="Z44223" s="258"/>
    </row>
    <row r="44224" spans="1:26" ht="12.75" customHeight="1" x14ac:dyDescent="0.2">
      <c r="A44224" s="258"/>
      <c r="Z44224" s="258"/>
    </row>
    <row r="44225" spans="1:26" ht="12.75" customHeight="1" x14ac:dyDescent="0.2">
      <c r="A44225" s="258"/>
      <c r="Z44225" s="258"/>
    </row>
    <row r="44226" spans="1:26" ht="12.75" customHeight="1" x14ac:dyDescent="0.2">
      <c r="A44226" s="258"/>
      <c r="Z44226" s="258"/>
    </row>
    <row r="44227" spans="1:26" ht="12.75" customHeight="1" x14ac:dyDescent="0.2">
      <c r="A44227" s="258"/>
      <c r="Z44227" s="258"/>
    </row>
    <row r="44228" spans="1:26" ht="12.75" customHeight="1" x14ac:dyDescent="0.2">
      <c r="A44228" s="258"/>
      <c r="Z44228" s="258"/>
    </row>
    <row r="44229" spans="1:26" ht="12.75" customHeight="1" x14ac:dyDescent="0.2">
      <c r="A44229" s="258"/>
      <c r="Z44229" s="258"/>
    </row>
    <row r="44230" spans="1:26" ht="12.75" customHeight="1" x14ac:dyDescent="0.2">
      <c r="A44230" s="258"/>
      <c r="Z44230" s="258"/>
    </row>
    <row r="44231" spans="1:26" ht="12.75" customHeight="1" x14ac:dyDescent="0.2">
      <c r="A44231" s="258"/>
      <c r="Z44231" s="258"/>
    </row>
    <row r="44232" spans="1:26" ht="12.75" customHeight="1" x14ac:dyDescent="0.2">
      <c r="A44232" s="258"/>
      <c r="Z44232" s="258"/>
    </row>
    <row r="44233" spans="1:26" ht="12.75" customHeight="1" x14ac:dyDescent="0.2">
      <c r="A44233" s="258"/>
      <c r="Z44233" s="258"/>
    </row>
    <row r="44234" spans="1:26" ht="12.75" customHeight="1" x14ac:dyDescent="0.2">
      <c r="A44234" s="258"/>
      <c r="Z44234" s="258"/>
    </row>
    <row r="44235" spans="1:26" ht="12.75" customHeight="1" x14ac:dyDescent="0.2">
      <c r="A44235" s="258"/>
      <c r="Z44235" s="258"/>
    </row>
    <row r="44236" spans="1:26" ht="12.75" customHeight="1" x14ac:dyDescent="0.2">
      <c r="A44236" s="258"/>
      <c r="Z44236" s="258"/>
    </row>
    <row r="44237" spans="1:26" ht="12.75" customHeight="1" x14ac:dyDescent="0.2">
      <c r="A44237" s="258"/>
      <c r="Z44237" s="258"/>
    </row>
    <row r="44238" spans="1:26" ht="12.75" customHeight="1" x14ac:dyDescent="0.2">
      <c r="A44238" s="258"/>
      <c r="Z44238" s="258"/>
    </row>
    <row r="44239" spans="1:26" ht="12.75" customHeight="1" x14ac:dyDescent="0.2">
      <c r="A44239" s="258"/>
      <c r="Z44239" s="258"/>
    </row>
    <row r="44240" spans="1:26" ht="12.75" customHeight="1" x14ac:dyDescent="0.2">
      <c r="A44240" s="258"/>
      <c r="Z44240" s="258"/>
    </row>
    <row r="44241" spans="1:26" ht="12.75" customHeight="1" x14ac:dyDescent="0.2">
      <c r="A44241" s="258"/>
      <c r="Z44241" s="258"/>
    </row>
    <row r="44242" spans="1:26" ht="12.75" customHeight="1" x14ac:dyDescent="0.2">
      <c r="A44242" s="258"/>
      <c r="Z44242" s="258"/>
    </row>
    <row r="44243" spans="1:26" ht="12.75" customHeight="1" x14ac:dyDescent="0.2">
      <c r="A44243" s="258"/>
      <c r="Z44243" s="258"/>
    </row>
    <row r="44244" spans="1:26" ht="12.75" customHeight="1" x14ac:dyDescent="0.2">
      <c r="A44244" s="258"/>
      <c r="Z44244" s="258"/>
    </row>
    <row r="44245" spans="1:26" ht="12.75" customHeight="1" x14ac:dyDescent="0.2">
      <c r="A44245" s="258"/>
      <c r="Z44245" s="258"/>
    </row>
    <row r="44246" spans="1:26" ht="12.75" customHeight="1" x14ac:dyDescent="0.2">
      <c r="A44246" s="258"/>
      <c r="Z44246" s="258"/>
    </row>
    <row r="44247" spans="1:26" ht="12.75" customHeight="1" x14ac:dyDescent="0.2">
      <c r="A44247" s="258"/>
      <c r="Z44247" s="258"/>
    </row>
    <row r="44248" spans="1:26" ht="12.75" customHeight="1" x14ac:dyDescent="0.2">
      <c r="A44248" s="258"/>
      <c r="Z44248" s="258"/>
    </row>
    <row r="44249" spans="1:26" ht="12.75" customHeight="1" x14ac:dyDescent="0.2">
      <c r="A44249" s="258"/>
      <c r="Z44249" s="258"/>
    </row>
    <row r="44250" spans="1:26" ht="12.75" customHeight="1" x14ac:dyDescent="0.2">
      <c r="A44250" s="258"/>
      <c r="Z44250" s="258"/>
    </row>
    <row r="44251" spans="1:26" ht="12.75" customHeight="1" x14ac:dyDescent="0.2">
      <c r="A44251" s="258"/>
      <c r="Z44251" s="258"/>
    </row>
    <row r="44252" spans="1:26" ht="12.75" customHeight="1" x14ac:dyDescent="0.2">
      <c r="A44252" s="258"/>
      <c r="Z44252" s="258"/>
    </row>
    <row r="44253" spans="1:26" ht="12.75" customHeight="1" x14ac:dyDescent="0.2">
      <c r="A44253" s="258"/>
      <c r="Z44253" s="258"/>
    </row>
    <row r="44254" spans="1:26" ht="12.75" customHeight="1" x14ac:dyDescent="0.2">
      <c r="A44254" s="258"/>
      <c r="Z44254" s="258"/>
    </row>
    <row r="44255" spans="1:26" ht="12.75" customHeight="1" x14ac:dyDescent="0.2">
      <c r="A44255" s="258"/>
      <c r="Z44255" s="258"/>
    </row>
    <row r="44256" spans="1:26" ht="12.75" customHeight="1" x14ac:dyDescent="0.2">
      <c r="A44256" s="258"/>
      <c r="Z44256" s="258"/>
    </row>
    <row r="44257" spans="1:26" ht="12.75" customHeight="1" x14ac:dyDescent="0.2">
      <c r="A44257" s="258"/>
      <c r="Z44257" s="258"/>
    </row>
    <row r="44258" spans="1:26" ht="12.75" customHeight="1" x14ac:dyDescent="0.2">
      <c r="A44258" s="258"/>
      <c r="Z44258" s="258"/>
    </row>
    <row r="44259" spans="1:26" ht="12.75" customHeight="1" x14ac:dyDescent="0.2">
      <c r="A44259" s="258"/>
      <c r="Z44259" s="258"/>
    </row>
    <row r="44260" spans="1:26" ht="12.75" customHeight="1" x14ac:dyDescent="0.2">
      <c r="A44260" s="258"/>
      <c r="Z44260" s="258"/>
    </row>
    <row r="44261" spans="1:26" ht="12.75" customHeight="1" x14ac:dyDescent="0.2">
      <c r="A44261" s="258"/>
      <c r="Z44261" s="258"/>
    </row>
    <row r="44262" spans="1:26" ht="12.75" customHeight="1" x14ac:dyDescent="0.2">
      <c r="A44262" s="258"/>
      <c r="Z44262" s="258"/>
    </row>
    <row r="44263" spans="1:26" ht="12.75" customHeight="1" x14ac:dyDescent="0.2">
      <c r="A44263" s="258"/>
      <c r="Z44263" s="258"/>
    </row>
    <row r="44264" spans="1:26" ht="12.75" customHeight="1" x14ac:dyDescent="0.2">
      <c r="A44264" s="258"/>
      <c r="Z44264" s="258"/>
    </row>
    <row r="44265" spans="1:26" ht="12.75" customHeight="1" x14ac:dyDescent="0.2">
      <c r="A44265" s="258"/>
      <c r="Z44265" s="258"/>
    </row>
    <row r="44266" spans="1:26" ht="12.75" customHeight="1" x14ac:dyDescent="0.2">
      <c r="A44266" s="258"/>
      <c r="Z44266" s="258"/>
    </row>
    <row r="44267" spans="1:26" ht="12.75" customHeight="1" x14ac:dyDescent="0.2">
      <c r="A44267" s="258"/>
      <c r="Z44267" s="258"/>
    </row>
    <row r="44268" spans="1:26" ht="12.75" customHeight="1" x14ac:dyDescent="0.2">
      <c r="A44268" s="258"/>
      <c r="Z44268" s="258"/>
    </row>
    <row r="44269" spans="1:26" ht="12.75" customHeight="1" x14ac:dyDescent="0.2">
      <c r="A44269" s="258"/>
      <c r="Z44269" s="258"/>
    </row>
    <row r="44270" spans="1:26" ht="12.75" customHeight="1" x14ac:dyDescent="0.2">
      <c r="A44270" s="258"/>
      <c r="Z44270" s="258"/>
    </row>
    <row r="44271" spans="1:26" ht="12.75" customHeight="1" x14ac:dyDescent="0.2">
      <c r="A44271" s="258"/>
      <c r="Z44271" s="258"/>
    </row>
    <row r="44272" spans="1:26" ht="12.75" customHeight="1" x14ac:dyDescent="0.2">
      <c r="A44272" s="258"/>
      <c r="Z44272" s="258"/>
    </row>
    <row r="44273" spans="1:26" ht="12.75" customHeight="1" x14ac:dyDescent="0.2">
      <c r="A44273" s="258"/>
      <c r="Z44273" s="258"/>
    </row>
    <row r="44274" spans="1:26" ht="12.75" customHeight="1" x14ac:dyDescent="0.2">
      <c r="A44274" s="258"/>
      <c r="Z44274" s="258"/>
    </row>
    <row r="44275" spans="1:26" ht="12.75" customHeight="1" x14ac:dyDescent="0.2">
      <c r="A44275" s="258"/>
      <c r="Z44275" s="258"/>
    </row>
    <row r="44276" spans="1:26" ht="12.75" customHeight="1" x14ac:dyDescent="0.2">
      <c r="A44276" s="258"/>
      <c r="Z44276" s="258"/>
    </row>
    <row r="44277" spans="1:26" ht="12.75" customHeight="1" x14ac:dyDescent="0.2">
      <c r="A44277" s="258"/>
      <c r="Z44277" s="258"/>
    </row>
    <row r="44278" spans="1:26" ht="12.75" customHeight="1" x14ac:dyDescent="0.2">
      <c r="A44278" s="258"/>
      <c r="Z44278" s="258"/>
    </row>
    <row r="44279" spans="1:26" ht="12.75" customHeight="1" x14ac:dyDescent="0.2">
      <c r="A44279" s="258"/>
      <c r="Z44279" s="258"/>
    </row>
    <row r="44280" spans="1:26" ht="12.75" customHeight="1" x14ac:dyDescent="0.2">
      <c r="A44280" s="258"/>
      <c r="Z44280" s="258"/>
    </row>
    <row r="44281" spans="1:26" ht="12.75" customHeight="1" x14ac:dyDescent="0.2">
      <c r="A44281" s="258"/>
      <c r="Z44281" s="258"/>
    </row>
    <row r="44282" spans="1:26" ht="12.75" customHeight="1" x14ac:dyDescent="0.2">
      <c r="A44282" s="258"/>
      <c r="Z44282" s="258"/>
    </row>
    <row r="44283" spans="1:26" ht="12.75" customHeight="1" x14ac:dyDescent="0.2">
      <c r="A44283" s="258"/>
      <c r="Z44283" s="258"/>
    </row>
    <row r="44284" spans="1:26" ht="12.75" customHeight="1" x14ac:dyDescent="0.2">
      <c r="A44284" s="258"/>
      <c r="Z44284" s="258"/>
    </row>
    <row r="44285" spans="1:26" ht="12.75" customHeight="1" x14ac:dyDescent="0.2">
      <c r="A44285" s="258"/>
      <c r="Z44285" s="258"/>
    </row>
    <row r="44286" spans="1:26" ht="12.75" customHeight="1" x14ac:dyDescent="0.2">
      <c r="A44286" s="258"/>
      <c r="Z44286" s="258"/>
    </row>
    <row r="44287" spans="1:26" ht="12.75" customHeight="1" x14ac:dyDescent="0.2">
      <c r="A44287" s="258"/>
      <c r="Z44287" s="258"/>
    </row>
    <row r="44288" spans="1:26" ht="12.75" customHeight="1" x14ac:dyDescent="0.2">
      <c r="A44288" s="258"/>
      <c r="Z44288" s="258"/>
    </row>
    <row r="44289" spans="1:26" ht="12.75" customHeight="1" x14ac:dyDescent="0.2">
      <c r="A44289" s="258"/>
      <c r="Z44289" s="258"/>
    </row>
    <row r="44290" spans="1:26" ht="12.75" customHeight="1" x14ac:dyDescent="0.2">
      <c r="A44290" s="258"/>
      <c r="Z44290" s="258"/>
    </row>
    <row r="44291" spans="1:26" ht="12.75" customHeight="1" x14ac:dyDescent="0.2">
      <c r="A44291" s="258"/>
      <c r="Z44291" s="258"/>
    </row>
    <row r="44292" spans="1:26" ht="12.75" customHeight="1" x14ac:dyDescent="0.2">
      <c r="A44292" s="258"/>
      <c r="Z44292" s="258"/>
    </row>
    <row r="44293" spans="1:26" ht="12.75" customHeight="1" x14ac:dyDescent="0.2">
      <c r="A44293" s="258"/>
      <c r="Z44293" s="258"/>
    </row>
    <row r="44294" spans="1:26" ht="12.75" customHeight="1" x14ac:dyDescent="0.2">
      <c r="A44294" s="258"/>
      <c r="Z44294" s="258"/>
    </row>
    <row r="44295" spans="1:26" ht="12.75" customHeight="1" x14ac:dyDescent="0.2">
      <c r="A44295" s="258"/>
      <c r="Z44295" s="258"/>
    </row>
    <row r="44296" spans="1:26" ht="12.75" customHeight="1" x14ac:dyDescent="0.2">
      <c r="A44296" s="258"/>
      <c r="Z44296" s="258"/>
    </row>
    <row r="44297" spans="1:26" ht="12.75" customHeight="1" x14ac:dyDescent="0.2">
      <c r="A44297" s="258"/>
      <c r="Z44297" s="258"/>
    </row>
    <row r="44298" spans="1:26" ht="12.75" customHeight="1" x14ac:dyDescent="0.2">
      <c r="A44298" s="258"/>
      <c r="Z44298" s="258"/>
    </row>
    <row r="44299" spans="1:26" ht="12.75" customHeight="1" x14ac:dyDescent="0.2">
      <c r="A44299" s="258"/>
      <c r="Z44299" s="258"/>
    </row>
    <row r="44300" spans="1:26" ht="12.75" customHeight="1" x14ac:dyDescent="0.2">
      <c r="A44300" s="258"/>
      <c r="Z44300" s="258"/>
    </row>
    <row r="44301" spans="1:26" ht="12.75" customHeight="1" x14ac:dyDescent="0.2">
      <c r="A44301" s="258"/>
      <c r="Z44301" s="258"/>
    </row>
    <row r="44302" spans="1:26" ht="12.75" customHeight="1" x14ac:dyDescent="0.2">
      <c r="A44302" s="258"/>
      <c r="Z44302" s="258"/>
    </row>
    <row r="44303" spans="1:26" ht="12.75" customHeight="1" x14ac:dyDescent="0.2">
      <c r="A44303" s="258"/>
      <c r="Z44303" s="258"/>
    </row>
    <row r="44304" spans="1:26" ht="12.75" customHeight="1" x14ac:dyDescent="0.2">
      <c r="A44304" s="258"/>
      <c r="Z44304" s="258"/>
    </row>
    <row r="44305" spans="1:26" ht="12.75" customHeight="1" x14ac:dyDescent="0.2">
      <c r="A44305" s="258"/>
      <c r="Z44305" s="258"/>
    </row>
    <row r="44306" spans="1:26" ht="12.75" customHeight="1" x14ac:dyDescent="0.2">
      <c r="A44306" s="258"/>
      <c r="Z44306" s="258"/>
    </row>
    <row r="44307" spans="1:26" ht="12.75" customHeight="1" x14ac:dyDescent="0.2">
      <c r="A44307" s="258"/>
      <c r="Z44307" s="258"/>
    </row>
    <row r="44308" spans="1:26" ht="12.75" customHeight="1" x14ac:dyDescent="0.2">
      <c r="A44308" s="258"/>
      <c r="Z44308" s="258"/>
    </row>
    <row r="44309" spans="1:26" ht="12.75" customHeight="1" x14ac:dyDescent="0.2">
      <c r="A44309" s="258"/>
      <c r="Z44309" s="258"/>
    </row>
    <row r="44310" spans="1:26" ht="12.75" customHeight="1" x14ac:dyDescent="0.2">
      <c r="A44310" s="258"/>
      <c r="Z44310" s="258"/>
    </row>
    <row r="44311" spans="1:26" ht="12.75" customHeight="1" x14ac:dyDescent="0.2">
      <c r="A44311" s="258"/>
      <c r="Z44311" s="258"/>
    </row>
    <row r="44312" spans="1:26" ht="12.75" customHeight="1" x14ac:dyDescent="0.2">
      <c r="A44312" s="258"/>
      <c r="Z44312" s="258"/>
    </row>
    <row r="44313" spans="1:26" ht="12.75" customHeight="1" x14ac:dyDescent="0.2">
      <c r="A44313" s="258"/>
      <c r="Z44313" s="258"/>
    </row>
    <row r="44314" spans="1:26" ht="12.75" customHeight="1" x14ac:dyDescent="0.2">
      <c r="A44314" s="258"/>
      <c r="Z44314" s="258"/>
    </row>
    <row r="44315" spans="1:26" ht="12.75" customHeight="1" x14ac:dyDescent="0.2">
      <c r="A44315" s="258"/>
      <c r="Z44315" s="258"/>
    </row>
    <row r="44316" spans="1:26" ht="12.75" customHeight="1" x14ac:dyDescent="0.2">
      <c r="A44316" s="258"/>
      <c r="Z44316" s="258"/>
    </row>
    <row r="44317" spans="1:26" ht="12.75" customHeight="1" x14ac:dyDescent="0.2">
      <c r="A44317" s="258"/>
      <c r="Z44317" s="258"/>
    </row>
    <row r="44318" spans="1:26" ht="12.75" customHeight="1" x14ac:dyDescent="0.2">
      <c r="A44318" s="258"/>
      <c r="Z44318" s="258"/>
    </row>
    <row r="44319" spans="1:26" ht="12.75" customHeight="1" x14ac:dyDescent="0.2">
      <c r="A44319" s="258"/>
      <c r="Z44319" s="258"/>
    </row>
    <row r="44320" spans="1:26" ht="12.75" customHeight="1" x14ac:dyDescent="0.2">
      <c r="A44320" s="258"/>
      <c r="Z44320" s="258"/>
    </row>
    <row r="44321" spans="1:26" ht="12.75" customHeight="1" x14ac:dyDescent="0.2">
      <c r="A44321" s="258"/>
      <c r="Z44321" s="258"/>
    </row>
    <row r="44322" spans="1:26" ht="12.75" customHeight="1" x14ac:dyDescent="0.2">
      <c r="A44322" s="258"/>
      <c r="Z44322" s="258"/>
    </row>
    <row r="44323" spans="1:26" ht="12.75" customHeight="1" x14ac:dyDescent="0.2">
      <c r="A44323" s="258"/>
      <c r="Z44323" s="258"/>
    </row>
    <row r="44324" spans="1:26" ht="12.75" customHeight="1" x14ac:dyDescent="0.2">
      <c r="A44324" s="258"/>
      <c r="Z44324" s="258"/>
    </row>
    <row r="44325" spans="1:26" ht="12.75" customHeight="1" x14ac:dyDescent="0.2">
      <c r="A44325" s="258"/>
      <c r="Z44325" s="258"/>
    </row>
    <row r="44326" spans="1:26" ht="12.75" customHeight="1" x14ac:dyDescent="0.2">
      <c r="A44326" s="258"/>
      <c r="Z44326" s="258"/>
    </row>
    <row r="44327" spans="1:26" ht="12.75" customHeight="1" x14ac:dyDescent="0.2">
      <c r="A44327" s="258"/>
      <c r="Z44327" s="258"/>
    </row>
    <row r="44328" spans="1:26" ht="12.75" customHeight="1" x14ac:dyDescent="0.2">
      <c r="A44328" s="258"/>
      <c r="Z44328" s="258"/>
    </row>
    <row r="44329" spans="1:26" ht="12.75" customHeight="1" x14ac:dyDescent="0.2">
      <c r="A44329" s="258"/>
      <c r="Z44329" s="258"/>
    </row>
    <row r="44330" spans="1:26" ht="12.75" customHeight="1" x14ac:dyDescent="0.2">
      <c r="A44330" s="258"/>
      <c r="Z44330" s="258"/>
    </row>
    <row r="44331" spans="1:26" ht="12.75" customHeight="1" x14ac:dyDescent="0.2">
      <c r="A44331" s="258"/>
      <c r="Z44331" s="258"/>
    </row>
    <row r="44332" spans="1:26" ht="12.75" customHeight="1" x14ac:dyDescent="0.2">
      <c r="A44332" s="258"/>
      <c r="Z44332" s="258"/>
    </row>
    <row r="44333" spans="1:26" ht="12.75" customHeight="1" x14ac:dyDescent="0.2">
      <c r="A44333" s="258"/>
      <c r="Z44333" s="258"/>
    </row>
    <row r="44334" spans="1:26" ht="12.75" customHeight="1" x14ac:dyDescent="0.2">
      <c r="A44334" s="258"/>
      <c r="Z44334" s="258"/>
    </row>
    <row r="44335" spans="1:26" ht="12.75" customHeight="1" x14ac:dyDescent="0.2">
      <c r="A44335" s="258"/>
      <c r="Z44335" s="258"/>
    </row>
    <row r="44336" spans="1:26" ht="12.75" customHeight="1" x14ac:dyDescent="0.2">
      <c r="A44336" s="258"/>
      <c r="Z44336" s="258"/>
    </row>
    <row r="44337" spans="1:26" ht="12.75" customHeight="1" x14ac:dyDescent="0.2">
      <c r="A44337" s="258"/>
      <c r="Z44337" s="258"/>
    </row>
    <row r="44338" spans="1:26" ht="12.75" customHeight="1" x14ac:dyDescent="0.2">
      <c r="A44338" s="258"/>
      <c r="Z44338" s="258"/>
    </row>
    <row r="44339" spans="1:26" ht="12.75" customHeight="1" x14ac:dyDescent="0.2">
      <c r="A44339" s="258"/>
      <c r="Z44339" s="258"/>
    </row>
    <row r="44340" spans="1:26" ht="12.75" customHeight="1" x14ac:dyDescent="0.2">
      <c r="A44340" s="258"/>
      <c r="Z44340" s="258"/>
    </row>
    <row r="44341" spans="1:26" ht="12.75" customHeight="1" x14ac:dyDescent="0.2">
      <c r="A44341" s="258"/>
      <c r="Z44341" s="258"/>
    </row>
    <row r="44342" spans="1:26" ht="12.75" customHeight="1" x14ac:dyDescent="0.2">
      <c r="A44342" s="258"/>
      <c r="Z44342" s="258"/>
    </row>
    <row r="44343" spans="1:26" ht="12.75" customHeight="1" x14ac:dyDescent="0.2">
      <c r="A44343" s="258"/>
      <c r="Z44343" s="258"/>
    </row>
    <row r="44344" spans="1:26" ht="12.75" customHeight="1" x14ac:dyDescent="0.2">
      <c r="A44344" s="258"/>
      <c r="Z44344" s="258"/>
    </row>
    <row r="44345" spans="1:26" ht="12.75" customHeight="1" x14ac:dyDescent="0.2">
      <c r="A44345" s="258"/>
      <c r="Z44345" s="258"/>
    </row>
    <row r="44346" spans="1:26" ht="12.75" customHeight="1" x14ac:dyDescent="0.2">
      <c r="A44346" s="258"/>
      <c r="Z44346" s="258"/>
    </row>
    <row r="44347" spans="1:26" ht="12.75" customHeight="1" x14ac:dyDescent="0.2">
      <c r="A44347" s="258"/>
      <c r="Z44347" s="258"/>
    </row>
    <row r="44348" spans="1:26" ht="12.75" customHeight="1" x14ac:dyDescent="0.2">
      <c r="A44348" s="258"/>
      <c r="Z44348" s="258"/>
    </row>
    <row r="44349" spans="1:26" ht="12.75" customHeight="1" x14ac:dyDescent="0.2">
      <c r="A44349" s="258"/>
      <c r="Z44349" s="258"/>
    </row>
    <row r="44350" spans="1:26" ht="12.75" customHeight="1" x14ac:dyDescent="0.2">
      <c r="A44350" s="258"/>
      <c r="Z44350" s="258"/>
    </row>
    <row r="44351" spans="1:26" ht="12.75" customHeight="1" x14ac:dyDescent="0.2">
      <c r="A44351" s="258"/>
      <c r="Z44351" s="258"/>
    </row>
    <row r="44352" spans="1:26" ht="12.75" customHeight="1" x14ac:dyDescent="0.2">
      <c r="A44352" s="258"/>
      <c r="Z44352" s="258"/>
    </row>
    <row r="44353" spans="1:26" ht="12.75" customHeight="1" x14ac:dyDescent="0.2">
      <c r="A44353" s="258"/>
      <c r="Z44353" s="258"/>
    </row>
    <row r="44354" spans="1:26" ht="12.75" customHeight="1" x14ac:dyDescent="0.2">
      <c r="A44354" s="258"/>
      <c r="Z44354" s="258"/>
    </row>
    <row r="44355" spans="1:26" ht="12.75" customHeight="1" x14ac:dyDescent="0.2">
      <c r="A44355" s="258"/>
      <c r="Z44355" s="258"/>
    </row>
    <row r="44356" spans="1:26" ht="12.75" customHeight="1" x14ac:dyDescent="0.2">
      <c r="A44356" s="258"/>
      <c r="Z44356" s="258"/>
    </row>
    <row r="44357" spans="1:26" ht="12.75" customHeight="1" x14ac:dyDescent="0.2">
      <c r="A44357" s="258"/>
      <c r="Z44357" s="258"/>
    </row>
    <row r="44358" spans="1:26" ht="12.75" customHeight="1" x14ac:dyDescent="0.2">
      <c r="A44358" s="258"/>
      <c r="Z44358" s="258"/>
    </row>
    <row r="44359" spans="1:26" ht="12.75" customHeight="1" x14ac:dyDescent="0.2">
      <c r="A44359" s="258"/>
      <c r="Z44359" s="258"/>
    </row>
    <row r="44360" spans="1:26" ht="12.75" customHeight="1" x14ac:dyDescent="0.2">
      <c r="A44360" s="258"/>
      <c r="Z44360" s="258"/>
    </row>
    <row r="44361" spans="1:26" ht="12.75" customHeight="1" x14ac:dyDescent="0.2">
      <c r="A44361" s="258"/>
      <c r="Z44361" s="258"/>
    </row>
    <row r="44362" spans="1:26" ht="12.75" customHeight="1" x14ac:dyDescent="0.2">
      <c r="A44362" s="258"/>
      <c r="Z44362" s="258"/>
    </row>
    <row r="44363" spans="1:26" ht="12.75" customHeight="1" x14ac:dyDescent="0.2">
      <c r="A44363" s="258"/>
      <c r="Z44363" s="258"/>
    </row>
    <row r="44364" spans="1:26" ht="12.75" customHeight="1" x14ac:dyDescent="0.2">
      <c r="A44364" s="258"/>
      <c r="Z44364" s="258"/>
    </row>
    <row r="44365" spans="1:26" ht="12.75" customHeight="1" x14ac:dyDescent="0.2">
      <c r="A44365" s="258"/>
      <c r="Z44365" s="258"/>
    </row>
    <row r="44366" spans="1:26" ht="12.75" customHeight="1" x14ac:dyDescent="0.2">
      <c r="A44366" s="258"/>
      <c r="Z44366" s="258"/>
    </row>
    <row r="44367" spans="1:26" ht="12.75" customHeight="1" x14ac:dyDescent="0.2">
      <c r="A44367" s="258"/>
      <c r="Z44367" s="258"/>
    </row>
    <row r="44368" spans="1:26" ht="12.75" customHeight="1" x14ac:dyDescent="0.2">
      <c r="A44368" s="258"/>
      <c r="Z44368" s="258"/>
    </row>
    <row r="44369" spans="1:26" ht="12.75" customHeight="1" x14ac:dyDescent="0.2">
      <c r="A44369" s="258"/>
      <c r="Z44369" s="258"/>
    </row>
    <row r="44370" spans="1:26" ht="12.75" customHeight="1" x14ac:dyDescent="0.2">
      <c r="A44370" s="258"/>
      <c r="Z44370" s="258"/>
    </row>
    <row r="44371" spans="1:26" ht="12.75" customHeight="1" x14ac:dyDescent="0.2">
      <c r="A44371" s="258"/>
      <c r="Z44371" s="258"/>
    </row>
    <row r="44372" spans="1:26" ht="12.75" customHeight="1" x14ac:dyDescent="0.2">
      <c r="A44372" s="258"/>
      <c r="Z44372" s="258"/>
    </row>
    <row r="44373" spans="1:26" ht="12.75" customHeight="1" x14ac:dyDescent="0.2">
      <c r="A44373" s="258"/>
      <c r="Z44373" s="258"/>
    </row>
    <row r="44374" spans="1:26" ht="12.75" customHeight="1" x14ac:dyDescent="0.2">
      <c r="A44374" s="258"/>
      <c r="Z44374" s="258"/>
    </row>
    <row r="44375" spans="1:26" ht="12.75" customHeight="1" x14ac:dyDescent="0.2">
      <c r="A44375" s="258"/>
      <c r="Z44375" s="258"/>
    </row>
    <row r="44376" spans="1:26" ht="12.75" customHeight="1" x14ac:dyDescent="0.2">
      <c r="A44376" s="258"/>
      <c r="Z44376" s="258"/>
    </row>
    <row r="44377" spans="1:26" ht="12.75" customHeight="1" x14ac:dyDescent="0.2">
      <c r="A44377" s="258"/>
      <c r="Z44377" s="258"/>
    </row>
    <row r="44378" spans="1:26" ht="12.75" customHeight="1" x14ac:dyDescent="0.2">
      <c r="A44378" s="258"/>
      <c r="Z44378" s="258"/>
    </row>
    <row r="44379" spans="1:26" ht="12.75" customHeight="1" x14ac:dyDescent="0.2">
      <c r="A44379" s="258"/>
      <c r="Z44379" s="258"/>
    </row>
    <row r="44380" spans="1:26" ht="12.75" customHeight="1" x14ac:dyDescent="0.2">
      <c r="A44380" s="258"/>
      <c r="Z44380" s="258"/>
    </row>
    <row r="44381" spans="1:26" ht="12.75" customHeight="1" x14ac:dyDescent="0.2">
      <c r="A44381" s="258"/>
      <c r="Z44381" s="258"/>
    </row>
    <row r="44382" spans="1:26" ht="12.75" customHeight="1" x14ac:dyDescent="0.2">
      <c r="A44382" s="258"/>
      <c r="Z44382" s="258"/>
    </row>
    <row r="44383" spans="1:26" ht="12.75" customHeight="1" x14ac:dyDescent="0.2">
      <c r="A44383" s="258"/>
      <c r="Z44383" s="258"/>
    </row>
    <row r="44384" spans="1:26" ht="12.75" customHeight="1" x14ac:dyDescent="0.2">
      <c r="A44384" s="258"/>
      <c r="Z44384" s="258"/>
    </row>
    <row r="44385" spans="1:26" ht="12.75" customHeight="1" x14ac:dyDescent="0.2">
      <c r="A44385" s="258"/>
      <c r="Z44385" s="258"/>
    </row>
    <row r="44386" spans="1:26" ht="12.75" customHeight="1" x14ac:dyDescent="0.2">
      <c r="A44386" s="258"/>
      <c r="Z44386" s="258"/>
    </row>
    <row r="44387" spans="1:26" ht="12.75" customHeight="1" x14ac:dyDescent="0.2">
      <c r="A44387" s="258"/>
      <c r="Z44387" s="258"/>
    </row>
    <row r="44388" spans="1:26" ht="12.75" customHeight="1" x14ac:dyDescent="0.2">
      <c r="A44388" s="258"/>
      <c r="Z44388" s="258"/>
    </row>
    <row r="44389" spans="1:26" ht="12.75" customHeight="1" x14ac:dyDescent="0.2">
      <c r="A44389" s="258"/>
      <c r="Z44389" s="258"/>
    </row>
    <row r="44390" spans="1:26" ht="12.75" customHeight="1" x14ac:dyDescent="0.2">
      <c r="A44390" s="258"/>
      <c r="Z44390" s="258"/>
    </row>
    <row r="44391" spans="1:26" ht="12.75" customHeight="1" x14ac:dyDescent="0.2">
      <c r="A44391" s="258"/>
      <c r="Z44391" s="258"/>
    </row>
    <row r="44392" spans="1:26" ht="12.75" customHeight="1" x14ac:dyDescent="0.2">
      <c r="A44392" s="258"/>
      <c r="Z44392" s="258"/>
    </row>
    <row r="44393" spans="1:26" ht="12.75" customHeight="1" x14ac:dyDescent="0.2">
      <c r="A44393" s="258"/>
      <c r="Z44393" s="258"/>
    </row>
    <row r="44394" spans="1:26" ht="12.75" customHeight="1" x14ac:dyDescent="0.2">
      <c r="A44394" s="258"/>
      <c r="Z44394" s="258"/>
    </row>
    <row r="44395" spans="1:26" ht="12.75" customHeight="1" x14ac:dyDescent="0.2">
      <c r="A44395" s="258"/>
      <c r="Z44395" s="258"/>
    </row>
    <row r="44396" spans="1:26" ht="12.75" customHeight="1" x14ac:dyDescent="0.2">
      <c r="A44396" s="258"/>
      <c r="Z44396" s="258"/>
    </row>
    <row r="44397" spans="1:26" ht="12.75" customHeight="1" x14ac:dyDescent="0.2">
      <c r="A44397" s="258"/>
      <c r="Z44397" s="258"/>
    </row>
    <row r="44398" spans="1:26" ht="12.75" customHeight="1" x14ac:dyDescent="0.2">
      <c r="A44398" s="258"/>
      <c r="Z44398" s="258"/>
    </row>
    <row r="44399" spans="1:26" ht="12.75" customHeight="1" x14ac:dyDescent="0.2">
      <c r="A44399" s="258"/>
      <c r="Z44399" s="258"/>
    </row>
    <row r="44400" spans="1:26" ht="12.75" customHeight="1" x14ac:dyDescent="0.2">
      <c r="A44400" s="258"/>
      <c r="Z44400" s="258"/>
    </row>
    <row r="44401" spans="1:26" ht="12.75" customHeight="1" x14ac:dyDescent="0.2">
      <c r="A44401" s="258"/>
      <c r="Z44401" s="258"/>
    </row>
    <row r="44402" spans="1:26" ht="12.75" customHeight="1" x14ac:dyDescent="0.2">
      <c r="A44402" s="258"/>
      <c r="Z44402" s="258"/>
    </row>
    <row r="44403" spans="1:26" ht="12.75" customHeight="1" x14ac:dyDescent="0.2">
      <c r="A44403" s="258"/>
      <c r="Z44403" s="258"/>
    </row>
    <row r="44404" spans="1:26" ht="12.75" customHeight="1" x14ac:dyDescent="0.2">
      <c r="A44404" s="258"/>
      <c r="Z44404" s="258"/>
    </row>
    <row r="44405" spans="1:26" ht="12.75" customHeight="1" x14ac:dyDescent="0.2">
      <c r="A44405" s="258"/>
      <c r="Z44405" s="258"/>
    </row>
    <row r="44406" spans="1:26" ht="12.75" customHeight="1" x14ac:dyDescent="0.2">
      <c r="A44406" s="258"/>
      <c r="Z44406" s="258"/>
    </row>
    <row r="44407" spans="1:26" ht="12.75" customHeight="1" x14ac:dyDescent="0.2">
      <c r="A44407" s="258"/>
      <c r="Z44407" s="258"/>
    </row>
    <row r="44408" spans="1:26" ht="12.75" customHeight="1" x14ac:dyDescent="0.2">
      <c r="A44408" s="258"/>
      <c r="Z44408" s="258"/>
    </row>
    <row r="44409" spans="1:26" ht="12.75" customHeight="1" x14ac:dyDescent="0.2">
      <c r="A44409" s="258"/>
      <c r="Z44409" s="258"/>
    </row>
    <row r="44410" spans="1:26" ht="12.75" customHeight="1" x14ac:dyDescent="0.2">
      <c r="A44410" s="258"/>
      <c r="Z44410" s="258"/>
    </row>
    <row r="44411" spans="1:26" ht="12.75" customHeight="1" x14ac:dyDescent="0.2">
      <c r="A44411" s="258"/>
      <c r="Z44411" s="258"/>
    </row>
    <row r="44412" spans="1:26" ht="12.75" customHeight="1" x14ac:dyDescent="0.2">
      <c r="A44412" s="258"/>
      <c r="Z44412" s="258"/>
    </row>
    <row r="44413" spans="1:26" ht="12.75" customHeight="1" x14ac:dyDescent="0.2">
      <c r="A44413" s="258"/>
      <c r="Z44413" s="258"/>
    </row>
    <row r="44414" spans="1:26" ht="12.75" customHeight="1" x14ac:dyDescent="0.2">
      <c r="A44414" s="258"/>
      <c r="Z44414" s="258"/>
    </row>
    <row r="44415" spans="1:26" ht="12.75" customHeight="1" x14ac:dyDescent="0.2">
      <c r="A44415" s="258"/>
      <c r="Z44415" s="258"/>
    </row>
    <row r="44416" spans="1:26" ht="12.75" customHeight="1" x14ac:dyDescent="0.2">
      <c r="A44416" s="258"/>
      <c r="Z44416" s="258"/>
    </row>
    <row r="44417" spans="1:26" ht="12.75" customHeight="1" x14ac:dyDescent="0.2">
      <c r="A44417" s="258"/>
      <c r="Z44417" s="258"/>
    </row>
    <row r="44418" spans="1:26" ht="12.75" customHeight="1" x14ac:dyDescent="0.2">
      <c r="A44418" s="258"/>
      <c r="Z44418" s="258"/>
    </row>
    <row r="44419" spans="1:26" ht="12.75" customHeight="1" x14ac:dyDescent="0.2">
      <c r="A44419" s="258"/>
      <c r="Z44419" s="258"/>
    </row>
    <row r="44420" spans="1:26" ht="12.75" customHeight="1" x14ac:dyDescent="0.2">
      <c r="A44420" s="258"/>
      <c r="Z44420" s="258"/>
    </row>
    <row r="44421" spans="1:26" ht="12.75" customHeight="1" x14ac:dyDescent="0.2">
      <c r="A44421" s="258"/>
      <c r="Z44421" s="258"/>
    </row>
    <row r="44422" spans="1:26" ht="12.75" customHeight="1" x14ac:dyDescent="0.2">
      <c r="A44422" s="258"/>
      <c r="Z44422" s="258"/>
    </row>
    <row r="44423" spans="1:26" ht="12.75" customHeight="1" x14ac:dyDescent="0.2">
      <c r="A44423" s="258"/>
      <c r="Z44423" s="258"/>
    </row>
    <row r="44424" spans="1:26" ht="12.75" customHeight="1" x14ac:dyDescent="0.2">
      <c r="A44424" s="258"/>
      <c r="Z44424" s="258"/>
    </row>
    <row r="44425" spans="1:26" ht="12.75" customHeight="1" x14ac:dyDescent="0.2">
      <c r="A44425" s="258"/>
      <c r="Z44425" s="258"/>
    </row>
    <row r="44426" spans="1:26" ht="12.75" customHeight="1" x14ac:dyDescent="0.2">
      <c r="A44426" s="258"/>
      <c r="Z44426" s="258"/>
    </row>
    <row r="44427" spans="1:26" ht="12.75" customHeight="1" x14ac:dyDescent="0.2">
      <c r="A44427" s="258"/>
      <c r="Z44427" s="258"/>
    </row>
    <row r="44428" spans="1:26" ht="12.75" customHeight="1" x14ac:dyDescent="0.2">
      <c r="A44428" s="258"/>
      <c r="Z44428" s="258"/>
    </row>
    <row r="44429" spans="1:26" ht="12.75" customHeight="1" x14ac:dyDescent="0.2">
      <c r="A44429" s="258"/>
      <c r="Z44429" s="258"/>
    </row>
    <row r="44430" spans="1:26" ht="12.75" customHeight="1" x14ac:dyDescent="0.2">
      <c r="A44430" s="258"/>
      <c r="Z44430" s="258"/>
    </row>
    <row r="44431" spans="1:26" ht="12.75" customHeight="1" x14ac:dyDescent="0.2">
      <c r="A44431" s="258"/>
      <c r="Z44431" s="258"/>
    </row>
    <row r="44432" spans="1:26" ht="12.75" customHeight="1" x14ac:dyDescent="0.2">
      <c r="A44432" s="258"/>
      <c r="Z44432" s="258"/>
    </row>
    <row r="44433" spans="1:26" ht="12.75" customHeight="1" x14ac:dyDescent="0.2">
      <c r="A44433" s="258"/>
      <c r="Z44433" s="258"/>
    </row>
    <row r="44434" spans="1:26" ht="12.75" customHeight="1" x14ac:dyDescent="0.2">
      <c r="A44434" s="258"/>
      <c r="Z44434" s="258"/>
    </row>
    <row r="44435" spans="1:26" ht="12.75" customHeight="1" x14ac:dyDescent="0.2">
      <c r="A44435" s="258"/>
      <c r="Z44435" s="258"/>
    </row>
    <row r="44436" spans="1:26" ht="12.75" customHeight="1" x14ac:dyDescent="0.2">
      <c r="A44436" s="258"/>
      <c r="Z44436" s="258"/>
    </row>
    <row r="44437" spans="1:26" ht="12.75" customHeight="1" x14ac:dyDescent="0.2">
      <c r="A44437" s="258"/>
      <c r="Z44437" s="258"/>
    </row>
    <row r="44438" spans="1:26" ht="12.75" customHeight="1" x14ac:dyDescent="0.2">
      <c r="A44438" s="258"/>
      <c r="Z44438" s="258"/>
    </row>
    <row r="44439" spans="1:26" ht="12.75" customHeight="1" x14ac:dyDescent="0.2">
      <c r="A44439" s="258"/>
      <c r="Z44439" s="258"/>
    </row>
    <row r="44440" spans="1:26" ht="12.75" customHeight="1" x14ac:dyDescent="0.2">
      <c r="A44440" s="258"/>
      <c r="Z44440" s="258"/>
    </row>
    <row r="44441" spans="1:26" ht="12.75" customHeight="1" x14ac:dyDescent="0.2">
      <c r="A44441" s="258"/>
      <c r="Z44441" s="258"/>
    </row>
    <row r="44442" spans="1:26" ht="12.75" customHeight="1" x14ac:dyDescent="0.2">
      <c r="A44442" s="258"/>
      <c r="Z44442" s="258"/>
    </row>
    <row r="44443" spans="1:26" ht="12.75" customHeight="1" x14ac:dyDescent="0.2">
      <c r="A44443" s="258"/>
      <c r="Z44443" s="258"/>
    </row>
    <row r="44444" spans="1:26" ht="12.75" customHeight="1" x14ac:dyDescent="0.2">
      <c r="A44444" s="258"/>
      <c r="Z44444" s="258"/>
    </row>
    <row r="44445" spans="1:26" ht="12.75" customHeight="1" x14ac:dyDescent="0.2">
      <c r="A44445" s="258"/>
      <c r="Z44445" s="258"/>
    </row>
    <row r="44446" spans="1:26" ht="12.75" customHeight="1" x14ac:dyDescent="0.2">
      <c r="A44446" s="258"/>
      <c r="Z44446" s="258"/>
    </row>
    <row r="44447" spans="1:26" ht="12.75" customHeight="1" x14ac:dyDescent="0.2">
      <c r="A44447" s="258"/>
      <c r="Z44447" s="258"/>
    </row>
    <row r="44448" spans="1:26" ht="12.75" customHeight="1" x14ac:dyDescent="0.2">
      <c r="A44448" s="258"/>
      <c r="Z44448" s="258"/>
    </row>
    <row r="44449" spans="1:26" ht="12.75" customHeight="1" x14ac:dyDescent="0.2">
      <c r="A44449" s="258"/>
      <c r="Z44449" s="258"/>
    </row>
    <row r="44450" spans="1:26" ht="12.75" customHeight="1" x14ac:dyDescent="0.2">
      <c r="A44450" s="258"/>
      <c r="Z44450" s="258"/>
    </row>
    <row r="44451" spans="1:26" ht="12.75" customHeight="1" x14ac:dyDescent="0.2">
      <c r="A44451" s="258"/>
      <c r="Z44451" s="258"/>
    </row>
    <row r="44452" spans="1:26" ht="12.75" customHeight="1" x14ac:dyDescent="0.2">
      <c r="A44452" s="258"/>
      <c r="Z44452" s="258"/>
    </row>
    <row r="44453" spans="1:26" ht="12.75" customHeight="1" x14ac:dyDescent="0.2">
      <c r="A44453" s="258"/>
      <c r="Z44453" s="258"/>
    </row>
    <row r="44454" spans="1:26" ht="12.75" customHeight="1" x14ac:dyDescent="0.2">
      <c r="A44454" s="258"/>
      <c r="Z44454" s="258"/>
    </row>
    <row r="44455" spans="1:26" ht="12.75" customHeight="1" x14ac:dyDescent="0.2">
      <c r="A44455" s="258"/>
      <c r="Z44455" s="258"/>
    </row>
    <row r="44456" spans="1:26" ht="12.75" customHeight="1" x14ac:dyDescent="0.2">
      <c r="A44456" s="258"/>
      <c r="Z44456" s="258"/>
    </row>
    <row r="44457" spans="1:26" ht="12.75" customHeight="1" x14ac:dyDescent="0.2">
      <c r="A44457" s="258"/>
      <c r="Z44457" s="258"/>
    </row>
    <row r="44458" spans="1:26" ht="12.75" customHeight="1" x14ac:dyDescent="0.2">
      <c r="A44458" s="258"/>
      <c r="Z44458" s="258"/>
    </row>
    <row r="44459" spans="1:26" ht="12.75" customHeight="1" x14ac:dyDescent="0.2">
      <c r="A44459" s="258"/>
      <c r="Z44459" s="258"/>
    </row>
    <row r="44460" spans="1:26" ht="12.75" customHeight="1" x14ac:dyDescent="0.2">
      <c r="A44460" s="258"/>
      <c r="Z44460" s="258"/>
    </row>
    <row r="44461" spans="1:26" ht="12.75" customHeight="1" x14ac:dyDescent="0.2">
      <c r="A44461" s="258"/>
      <c r="Z44461" s="258"/>
    </row>
    <row r="44462" spans="1:26" ht="12.75" customHeight="1" x14ac:dyDescent="0.2">
      <c r="A44462" s="258"/>
      <c r="Z44462" s="258"/>
    </row>
    <row r="44463" spans="1:26" ht="12.75" customHeight="1" x14ac:dyDescent="0.2">
      <c r="A44463" s="258"/>
      <c r="Z44463" s="258"/>
    </row>
    <row r="44464" spans="1:26" ht="12.75" customHeight="1" x14ac:dyDescent="0.2">
      <c r="A44464" s="258"/>
      <c r="Z44464" s="258"/>
    </row>
    <row r="44465" spans="1:26" ht="12.75" customHeight="1" x14ac:dyDescent="0.2">
      <c r="A44465" s="258"/>
      <c r="Z44465" s="258"/>
    </row>
    <row r="44466" spans="1:26" ht="12.75" customHeight="1" x14ac:dyDescent="0.2">
      <c r="A44466" s="258"/>
      <c r="Z44466" s="258"/>
    </row>
    <row r="44467" spans="1:26" ht="12.75" customHeight="1" x14ac:dyDescent="0.2">
      <c r="A44467" s="258"/>
      <c r="Z44467" s="258"/>
    </row>
    <row r="44468" spans="1:26" ht="12.75" customHeight="1" x14ac:dyDescent="0.2">
      <c r="A44468" s="258"/>
      <c r="Z44468" s="258"/>
    </row>
    <row r="44469" spans="1:26" ht="12.75" customHeight="1" x14ac:dyDescent="0.2">
      <c r="A44469" s="258"/>
      <c r="Z44469" s="258"/>
    </row>
    <row r="44470" spans="1:26" ht="12.75" customHeight="1" x14ac:dyDescent="0.2">
      <c r="A44470" s="258"/>
      <c r="Z44470" s="258"/>
    </row>
    <row r="44471" spans="1:26" ht="12.75" customHeight="1" x14ac:dyDescent="0.2">
      <c r="A44471" s="258"/>
      <c r="Z44471" s="258"/>
    </row>
    <row r="44472" spans="1:26" ht="12.75" customHeight="1" x14ac:dyDescent="0.2">
      <c r="A44472" s="258"/>
      <c r="Z44472" s="258"/>
    </row>
    <row r="44473" spans="1:26" ht="12.75" customHeight="1" x14ac:dyDescent="0.2">
      <c r="A44473" s="258"/>
      <c r="Z44473" s="258"/>
    </row>
    <row r="44474" spans="1:26" ht="12.75" customHeight="1" x14ac:dyDescent="0.2">
      <c r="A44474" s="258"/>
      <c r="Z44474" s="258"/>
    </row>
    <row r="44475" spans="1:26" ht="12.75" customHeight="1" x14ac:dyDescent="0.2">
      <c r="A44475" s="258"/>
      <c r="Z44475" s="258"/>
    </row>
    <row r="44476" spans="1:26" ht="12.75" customHeight="1" x14ac:dyDescent="0.2">
      <c r="A44476" s="258"/>
      <c r="Z44476" s="258"/>
    </row>
    <row r="44477" spans="1:26" ht="12.75" customHeight="1" x14ac:dyDescent="0.2">
      <c r="A44477" s="258"/>
      <c r="Z44477" s="258"/>
    </row>
    <row r="44478" spans="1:26" ht="12.75" customHeight="1" x14ac:dyDescent="0.2">
      <c r="A44478" s="258"/>
      <c r="Z44478" s="258"/>
    </row>
    <row r="44479" spans="1:26" ht="12.75" customHeight="1" x14ac:dyDescent="0.2">
      <c r="A44479" s="258"/>
      <c r="Z44479" s="258"/>
    </row>
    <row r="44480" spans="1:26" ht="12.75" customHeight="1" x14ac:dyDescent="0.2">
      <c r="A44480" s="258"/>
      <c r="Z44480" s="258"/>
    </row>
    <row r="44481" spans="1:26" ht="12.75" customHeight="1" x14ac:dyDescent="0.2">
      <c r="A44481" s="258"/>
      <c r="Z44481" s="258"/>
    </row>
    <row r="44482" spans="1:26" ht="12.75" customHeight="1" x14ac:dyDescent="0.2">
      <c r="A44482" s="258"/>
      <c r="Z44482" s="258"/>
    </row>
    <row r="44483" spans="1:26" ht="12.75" customHeight="1" x14ac:dyDescent="0.2">
      <c r="A44483" s="258"/>
      <c r="Z44483" s="258"/>
    </row>
    <row r="44484" spans="1:26" ht="12.75" customHeight="1" x14ac:dyDescent="0.2">
      <c r="A44484" s="258"/>
      <c r="Z44484" s="258"/>
    </row>
    <row r="44485" spans="1:26" ht="12.75" customHeight="1" x14ac:dyDescent="0.2">
      <c r="A44485" s="258"/>
      <c r="Z44485" s="258"/>
    </row>
    <row r="44486" spans="1:26" ht="12.75" customHeight="1" x14ac:dyDescent="0.2">
      <c r="A44486" s="258"/>
      <c r="Z44486" s="258"/>
    </row>
    <row r="44487" spans="1:26" ht="12.75" customHeight="1" x14ac:dyDescent="0.2">
      <c r="A44487" s="258"/>
      <c r="Z44487" s="258"/>
    </row>
    <row r="44488" spans="1:26" ht="12.75" customHeight="1" x14ac:dyDescent="0.2">
      <c r="A44488" s="258"/>
      <c r="Z44488" s="258"/>
    </row>
    <row r="44489" spans="1:26" ht="12.75" customHeight="1" x14ac:dyDescent="0.2">
      <c r="A44489" s="258"/>
      <c r="Z44489" s="258"/>
    </row>
    <row r="44490" spans="1:26" ht="12.75" customHeight="1" x14ac:dyDescent="0.2">
      <c r="A44490" s="258"/>
      <c r="Z44490" s="258"/>
    </row>
    <row r="44491" spans="1:26" ht="12.75" customHeight="1" x14ac:dyDescent="0.2">
      <c r="A44491" s="258"/>
      <c r="Z44491" s="258"/>
    </row>
    <row r="44492" spans="1:26" ht="12.75" customHeight="1" x14ac:dyDescent="0.2">
      <c r="A44492" s="258"/>
      <c r="Z44492" s="258"/>
    </row>
    <row r="44493" spans="1:26" ht="12.75" customHeight="1" x14ac:dyDescent="0.2">
      <c r="A44493" s="258"/>
      <c r="Z44493" s="258"/>
    </row>
    <row r="44494" spans="1:26" ht="12.75" customHeight="1" x14ac:dyDescent="0.2">
      <c r="A44494" s="258"/>
      <c r="Z44494" s="258"/>
    </row>
    <row r="44495" spans="1:26" ht="12.75" customHeight="1" x14ac:dyDescent="0.2">
      <c r="A44495" s="258"/>
      <c r="Z44495" s="258"/>
    </row>
    <row r="44496" spans="1:26" ht="12.75" customHeight="1" x14ac:dyDescent="0.2">
      <c r="A44496" s="258"/>
      <c r="Z44496" s="258"/>
    </row>
    <row r="44497" spans="1:26" ht="12.75" customHeight="1" x14ac:dyDescent="0.2">
      <c r="A44497" s="258"/>
      <c r="Z44497" s="258"/>
    </row>
    <row r="44498" spans="1:26" ht="12.75" customHeight="1" x14ac:dyDescent="0.2">
      <c r="A44498" s="258"/>
      <c r="Z44498" s="258"/>
    </row>
    <row r="44499" spans="1:26" ht="12.75" customHeight="1" x14ac:dyDescent="0.2">
      <c r="A44499" s="258"/>
      <c r="Z44499" s="258"/>
    </row>
    <row r="44500" spans="1:26" ht="12.75" customHeight="1" x14ac:dyDescent="0.2">
      <c r="A44500" s="258"/>
      <c r="Z44500" s="258"/>
    </row>
    <row r="44501" spans="1:26" ht="12.75" customHeight="1" x14ac:dyDescent="0.2">
      <c r="A44501" s="258"/>
      <c r="Z44501" s="258"/>
    </row>
    <row r="44502" spans="1:26" ht="12.75" customHeight="1" x14ac:dyDescent="0.2">
      <c r="A44502" s="258"/>
      <c r="Z44502" s="258"/>
    </row>
    <row r="44503" spans="1:26" ht="12.75" customHeight="1" x14ac:dyDescent="0.2">
      <c r="A44503" s="258"/>
      <c r="Z44503" s="258"/>
    </row>
    <row r="44504" spans="1:26" ht="12.75" customHeight="1" x14ac:dyDescent="0.2">
      <c r="A44504" s="258"/>
      <c r="Z44504" s="258"/>
    </row>
    <row r="44505" spans="1:26" ht="12.75" customHeight="1" x14ac:dyDescent="0.2">
      <c r="A44505" s="258"/>
      <c r="Z44505" s="258"/>
    </row>
    <row r="44506" spans="1:26" ht="12.75" customHeight="1" x14ac:dyDescent="0.2">
      <c r="A44506" s="258"/>
      <c r="Z44506" s="258"/>
    </row>
    <row r="44507" spans="1:26" ht="12.75" customHeight="1" x14ac:dyDescent="0.2">
      <c r="A44507" s="258"/>
      <c r="Z44507" s="258"/>
    </row>
    <row r="44508" spans="1:26" ht="12.75" customHeight="1" x14ac:dyDescent="0.2">
      <c r="A44508" s="258"/>
      <c r="Z44508" s="258"/>
    </row>
    <row r="44509" spans="1:26" ht="12.75" customHeight="1" x14ac:dyDescent="0.2">
      <c r="A44509" s="258"/>
      <c r="Z44509" s="258"/>
    </row>
    <row r="44510" spans="1:26" ht="12.75" customHeight="1" x14ac:dyDescent="0.2">
      <c r="A44510" s="258"/>
      <c r="Z44510" s="258"/>
    </row>
    <row r="44511" spans="1:26" ht="12.75" customHeight="1" x14ac:dyDescent="0.2">
      <c r="A44511" s="258"/>
      <c r="Z44511" s="258"/>
    </row>
    <row r="44512" spans="1:26" ht="12.75" customHeight="1" x14ac:dyDescent="0.2">
      <c r="A44512" s="258"/>
      <c r="Z44512" s="258"/>
    </row>
    <row r="44513" spans="1:26" ht="12.75" customHeight="1" x14ac:dyDescent="0.2">
      <c r="A44513" s="258"/>
      <c r="Z44513" s="258"/>
    </row>
    <row r="44514" spans="1:26" ht="12.75" customHeight="1" x14ac:dyDescent="0.2">
      <c r="A44514" s="258"/>
      <c r="Z44514" s="258"/>
    </row>
    <row r="44515" spans="1:26" ht="12.75" customHeight="1" x14ac:dyDescent="0.2">
      <c r="A44515" s="258"/>
      <c r="Z44515" s="258"/>
    </row>
    <row r="44516" spans="1:26" ht="12.75" customHeight="1" x14ac:dyDescent="0.2">
      <c r="A44516" s="258"/>
      <c r="Z44516" s="258"/>
    </row>
    <row r="44517" spans="1:26" ht="12.75" customHeight="1" x14ac:dyDescent="0.2">
      <c r="A44517" s="258"/>
      <c r="Z44517" s="258"/>
    </row>
    <row r="44518" spans="1:26" ht="12.75" customHeight="1" x14ac:dyDescent="0.2">
      <c r="A44518" s="258"/>
      <c r="Z44518" s="258"/>
    </row>
    <row r="44519" spans="1:26" ht="12.75" customHeight="1" x14ac:dyDescent="0.2">
      <c r="A44519" s="258"/>
      <c r="Z44519" s="258"/>
    </row>
    <row r="44520" spans="1:26" ht="12.75" customHeight="1" x14ac:dyDescent="0.2">
      <c r="A44520" s="258"/>
      <c r="Z44520" s="258"/>
    </row>
    <row r="44521" spans="1:26" ht="12.75" customHeight="1" x14ac:dyDescent="0.2">
      <c r="A44521" s="258"/>
      <c r="Z44521" s="258"/>
    </row>
    <row r="44522" spans="1:26" ht="12.75" customHeight="1" x14ac:dyDescent="0.2">
      <c r="A44522" s="258"/>
      <c r="Z44522" s="258"/>
    </row>
    <row r="44523" spans="1:26" ht="12.75" customHeight="1" x14ac:dyDescent="0.2">
      <c r="A44523" s="258"/>
      <c r="Z44523" s="258"/>
    </row>
    <row r="44524" spans="1:26" ht="12.75" customHeight="1" x14ac:dyDescent="0.2">
      <c r="A44524" s="258"/>
      <c r="Z44524" s="258"/>
    </row>
    <row r="44525" spans="1:26" ht="12.75" customHeight="1" x14ac:dyDescent="0.2">
      <c r="A44525" s="258"/>
      <c r="Z44525" s="258"/>
    </row>
    <row r="44526" spans="1:26" ht="12.75" customHeight="1" x14ac:dyDescent="0.2">
      <c r="A44526" s="258"/>
      <c r="Z44526" s="258"/>
    </row>
    <row r="44527" spans="1:26" ht="12.75" customHeight="1" x14ac:dyDescent="0.2">
      <c r="A44527" s="258"/>
      <c r="Z44527" s="258"/>
    </row>
    <row r="44528" spans="1:26" ht="12.75" customHeight="1" x14ac:dyDescent="0.2">
      <c r="A44528" s="258"/>
      <c r="Z44528" s="258"/>
    </row>
    <row r="44529" spans="1:26" ht="12.75" customHeight="1" x14ac:dyDescent="0.2">
      <c r="A44529" s="258"/>
      <c r="Z44529" s="258"/>
    </row>
    <row r="44530" spans="1:26" ht="12.75" customHeight="1" x14ac:dyDescent="0.2">
      <c r="A44530" s="258"/>
      <c r="Z44530" s="258"/>
    </row>
    <row r="44531" spans="1:26" ht="12.75" customHeight="1" x14ac:dyDescent="0.2">
      <c r="A44531" s="258"/>
      <c r="Z44531" s="258"/>
    </row>
    <row r="44532" spans="1:26" ht="12.75" customHeight="1" x14ac:dyDescent="0.2">
      <c r="A44532" s="258"/>
      <c r="Z44532" s="258"/>
    </row>
    <row r="44533" spans="1:26" ht="12.75" customHeight="1" x14ac:dyDescent="0.2">
      <c r="A44533" s="258"/>
      <c r="Z44533" s="258"/>
    </row>
    <row r="44534" spans="1:26" ht="12.75" customHeight="1" x14ac:dyDescent="0.2">
      <c r="A44534" s="258"/>
      <c r="Z44534" s="258"/>
    </row>
    <row r="44535" spans="1:26" ht="12.75" customHeight="1" x14ac:dyDescent="0.2">
      <c r="A44535" s="258"/>
      <c r="Z44535" s="258"/>
    </row>
    <row r="44536" spans="1:26" ht="12.75" customHeight="1" x14ac:dyDescent="0.2">
      <c r="A44536" s="258"/>
      <c r="Z44536" s="258"/>
    </row>
    <row r="44537" spans="1:26" ht="12.75" customHeight="1" x14ac:dyDescent="0.2">
      <c r="A44537" s="258"/>
      <c r="Z44537" s="258"/>
    </row>
    <row r="44538" spans="1:26" ht="12.75" customHeight="1" x14ac:dyDescent="0.2">
      <c r="A44538" s="258"/>
      <c r="Z44538" s="258"/>
    </row>
    <row r="44539" spans="1:26" ht="12.75" customHeight="1" x14ac:dyDescent="0.2">
      <c r="A44539" s="258"/>
      <c r="Z44539" s="258"/>
    </row>
    <row r="44540" spans="1:26" ht="12.75" customHeight="1" x14ac:dyDescent="0.2">
      <c r="A44540" s="258"/>
      <c r="Z44540" s="258"/>
    </row>
    <row r="44541" spans="1:26" ht="12.75" customHeight="1" x14ac:dyDescent="0.2">
      <c r="A44541" s="258"/>
      <c r="Z44541" s="258"/>
    </row>
    <row r="44542" spans="1:26" ht="12.75" customHeight="1" x14ac:dyDescent="0.2">
      <c r="A44542" s="258"/>
      <c r="Z44542" s="258"/>
    </row>
    <row r="44543" spans="1:26" ht="12.75" customHeight="1" x14ac:dyDescent="0.2">
      <c r="A44543" s="258"/>
      <c r="Z44543" s="258"/>
    </row>
    <row r="44544" spans="1:26" ht="12.75" customHeight="1" x14ac:dyDescent="0.2">
      <c r="A44544" s="258"/>
      <c r="Z44544" s="258"/>
    </row>
    <row r="44545" spans="1:26" ht="12.75" customHeight="1" x14ac:dyDescent="0.2">
      <c r="A44545" s="258"/>
      <c r="Z44545" s="258"/>
    </row>
    <row r="44546" spans="1:26" ht="12.75" customHeight="1" x14ac:dyDescent="0.2">
      <c r="A44546" s="258"/>
      <c r="Z44546" s="258"/>
    </row>
    <row r="44547" spans="1:26" ht="12.75" customHeight="1" x14ac:dyDescent="0.2">
      <c r="A44547" s="258"/>
      <c r="Z44547" s="258"/>
    </row>
    <row r="44548" spans="1:26" ht="12.75" customHeight="1" x14ac:dyDescent="0.2">
      <c r="A44548" s="258"/>
      <c r="Z44548" s="258"/>
    </row>
    <row r="44549" spans="1:26" ht="12.75" customHeight="1" x14ac:dyDescent="0.2">
      <c r="A44549" s="258"/>
      <c r="Z44549" s="258"/>
    </row>
    <row r="44550" spans="1:26" ht="12.75" customHeight="1" x14ac:dyDescent="0.2">
      <c r="A44550" s="258"/>
      <c r="Z44550" s="258"/>
    </row>
    <row r="44551" spans="1:26" ht="12.75" customHeight="1" x14ac:dyDescent="0.2">
      <c r="A44551" s="258"/>
      <c r="Z44551" s="258"/>
    </row>
    <row r="44552" spans="1:26" ht="12.75" customHeight="1" x14ac:dyDescent="0.2">
      <c r="A44552" s="258"/>
      <c r="Z44552" s="258"/>
    </row>
    <row r="44553" spans="1:26" ht="12.75" customHeight="1" x14ac:dyDescent="0.2">
      <c r="A44553" s="258"/>
      <c r="Z44553" s="258"/>
    </row>
    <row r="44554" spans="1:26" ht="12.75" customHeight="1" x14ac:dyDescent="0.2">
      <c r="A44554" s="258"/>
      <c r="Z44554" s="258"/>
    </row>
    <row r="44555" spans="1:26" ht="12.75" customHeight="1" x14ac:dyDescent="0.2">
      <c r="A44555" s="258"/>
      <c r="Z44555" s="258"/>
    </row>
    <row r="44556" spans="1:26" ht="12.75" customHeight="1" x14ac:dyDescent="0.2">
      <c r="A44556" s="258"/>
      <c r="Z44556" s="258"/>
    </row>
    <row r="44557" spans="1:26" ht="12.75" customHeight="1" x14ac:dyDescent="0.2">
      <c r="A44557" s="258"/>
      <c r="Z44557" s="258"/>
    </row>
    <row r="44558" spans="1:26" ht="12.75" customHeight="1" x14ac:dyDescent="0.2">
      <c r="A44558" s="258"/>
      <c r="Z44558" s="258"/>
    </row>
    <row r="44559" spans="1:26" ht="12.75" customHeight="1" x14ac:dyDescent="0.2">
      <c r="A44559" s="258"/>
      <c r="Z44559" s="258"/>
    </row>
    <row r="44560" spans="1:26" ht="12.75" customHeight="1" x14ac:dyDescent="0.2">
      <c r="A44560" s="258"/>
      <c r="Z44560" s="258"/>
    </row>
    <row r="44561" spans="1:26" ht="12.75" customHeight="1" x14ac:dyDescent="0.2">
      <c r="A44561" s="258"/>
      <c r="Z44561" s="258"/>
    </row>
    <row r="44562" spans="1:26" ht="12.75" customHeight="1" x14ac:dyDescent="0.2">
      <c r="A44562" s="258"/>
      <c r="Z44562" s="258"/>
    </row>
    <row r="44563" spans="1:26" ht="12.75" customHeight="1" x14ac:dyDescent="0.2">
      <c r="A44563" s="258"/>
      <c r="Z44563" s="258"/>
    </row>
    <row r="44564" spans="1:26" ht="12.75" customHeight="1" x14ac:dyDescent="0.2">
      <c r="A44564" s="258"/>
      <c r="Z44564" s="258"/>
    </row>
    <row r="44565" spans="1:26" ht="12.75" customHeight="1" x14ac:dyDescent="0.2">
      <c r="A44565" s="258"/>
      <c r="Z44565" s="258"/>
    </row>
    <row r="44566" spans="1:26" ht="12.75" customHeight="1" x14ac:dyDescent="0.2">
      <c r="A44566" s="258"/>
      <c r="Z44566" s="258"/>
    </row>
    <row r="44567" spans="1:26" ht="12.75" customHeight="1" x14ac:dyDescent="0.2">
      <c r="A44567" s="258"/>
      <c r="Z44567" s="258"/>
    </row>
    <row r="44568" spans="1:26" ht="12.75" customHeight="1" x14ac:dyDescent="0.2">
      <c r="A44568" s="258"/>
      <c r="Z44568" s="258"/>
    </row>
    <row r="44569" spans="1:26" ht="12.75" customHeight="1" x14ac:dyDescent="0.2">
      <c r="A44569" s="258"/>
      <c r="Z44569" s="258"/>
    </row>
    <row r="44570" spans="1:26" ht="12.75" customHeight="1" x14ac:dyDescent="0.2">
      <c r="A44570" s="258"/>
      <c r="Z44570" s="258"/>
    </row>
    <row r="44571" spans="1:26" ht="12.75" customHeight="1" x14ac:dyDescent="0.2">
      <c r="A44571" s="258"/>
      <c r="Z44571" s="258"/>
    </row>
    <row r="44572" spans="1:26" ht="12.75" customHeight="1" x14ac:dyDescent="0.2">
      <c r="A44572" s="258"/>
      <c r="Z44572" s="258"/>
    </row>
    <row r="44573" spans="1:26" ht="12.75" customHeight="1" x14ac:dyDescent="0.2">
      <c r="A44573" s="258"/>
      <c r="Z44573" s="258"/>
    </row>
    <row r="44574" spans="1:26" ht="12.75" customHeight="1" x14ac:dyDescent="0.2">
      <c r="A44574" s="258"/>
      <c r="Z44574" s="258"/>
    </row>
    <row r="44575" spans="1:26" ht="12.75" customHeight="1" x14ac:dyDescent="0.2">
      <c r="A44575" s="258"/>
      <c r="Z44575" s="258"/>
    </row>
    <row r="44576" spans="1:26" ht="12.75" customHeight="1" x14ac:dyDescent="0.2">
      <c r="A44576" s="258"/>
      <c r="Z44576" s="258"/>
    </row>
    <row r="44577" spans="1:26" ht="12.75" customHeight="1" x14ac:dyDescent="0.2">
      <c r="A44577" s="258"/>
      <c r="Z44577" s="258"/>
    </row>
    <row r="44578" spans="1:26" ht="12.75" customHeight="1" x14ac:dyDescent="0.2">
      <c r="A44578" s="258"/>
      <c r="Z44578" s="258"/>
    </row>
    <row r="44579" spans="1:26" ht="12.75" customHeight="1" x14ac:dyDescent="0.2">
      <c r="A44579" s="258"/>
      <c r="Z44579" s="258"/>
    </row>
    <row r="44580" spans="1:26" ht="12.75" customHeight="1" x14ac:dyDescent="0.2">
      <c r="A44580" s="258"/>
      <c r="Z44580" s="258"/>
    </row>
    <row r="44581" spans="1:26" ht="12.75" customHeight="1" x14ac:dyDescent="0.2">
      <c r="A44581" s="258"/>
      <c r="Z44581" s="258"/>
    </row>
    <row r="44582" spans="1:26" ht="12.75" customHeight="1" x14ac:dyDescent="0.2">
      <c r="A44582" s="258"/>
      <c r="Z44582" s="258"/>
    </row>
    <row r="44583" spans="1:26" ht="12.75" customHeight="1" x14ac:dyDescent="0.2">
      <c r="A44583" s="258"/>
      <c r="Z44583" s="258"/>
    </row>
    <row r="44584" spans="1:26" ht="12.75" customHeight="1" x14ac:dyDescent="0.2">
      <c r="A44584" s="258"/>
      <c r="Z44584" s="258"/>
    </row>
    <row r="44585" spans="1:26" ht="12.75" customHeight="1" x14ac:dyDescent="0.2">
      <c r="A44585" s="258"/>
      <c r="Z44585" s="258"/>
    </row>
    <row r="44586" spans="1:26" ht="12.75" customHeight="1" x14ac:dyDescent="0.2">
      <c r="A44586" s="258"/>
      <c r="Z44586" s="258"/>
    </row>
    <row r="44587" spans="1:26" ht="12.75" customHeight="1" x14ac:dyDescent="0.2">
      <c r="A44587" s="258"/>
      <c r="Z44587" s="258"/>
    </row>
    <row r="44588" spans="1:26" ht="12.75" customHeight="1" x14ac:dyDescent="0.2">
      <c r="A44588" s="258"/>
      <c r="Z44588" s="258"/>
    </row>
    <row r="44589" spans="1:26" ht="12.75" customHeight="1" x14ac:dyDescent="0.2">
      <c r="A44589" s="258"/>
      <c r="Z44589" s="258"/>
    </row>
    <row r="44590" spans="1:26" ht="12.75" customHeight="1" x14ac:dyDescent="0.2">
      <c r="A44590" s="258"/>
      <c r="Z44590" s="258"/>
    </row>
    <row r="44591" spans="1:26" ht="12.75" customHeight="1" x14ac:dyDescent="0.2">
      <c r="A44591" s="258"/>
      <c r="Z44591" s="258"/>
    </row>
    <row r="44592" spans="1:26" ht="12.75" customHeight="1" x14ac:dyDescent="0.2">
      <c r="A44592" s="258"/>
      <c r="Z44592" s="258"/>
    </row>
    <row r="44593" spans="1:26" ht="12.75" customHeight="1" x14ac:dyDescent="0.2">
      <c r="A44593" s="258"/>
      <c r="Z44593" s="258"/>
    </row>
    <row r="44594" spans="1:26" ht="12.75" customHeight="1" x14ac:dyDescent="0.2">
      <c r="A44594" s="258"/>
      <c r="Z44594" s="258"/>
    </row>
    <row r="44595" spans="1:26" ht="12.75" customHeight="1" x14ac:dyDescent="0.2">
      <c r="A44595" s="258"/>
      <c r="Z44595" s="258"/>
    </row>
    <row r="44596" spans="1:26" ht="12.75" customHeight="1" x14ac:dyDescent="0.2">
      <c r="A44596" s="258"/>
      <c r="Z44596" s="258"/>
    </row>
    <row r="44597" spans="1:26" ht="12.75" customHeight="1" x14ac:dyDescent="0.2">
      <c r="A44597" s="258"/>
      <c r="Z44597" s="258"/>
    </row>
    <row r="44598" spans="1:26" ht="12.75" customHeight="1" x14ac:dyDescent="0.2">
      <c r="A44598" s="258"/>
      <c r="Z44598" s="258"/>
    </row>
    <row r="44599" spans="1:26" ht="12.75" customHeight="1" x14ac:dyDescent="0.2">
      <c r="A44599" s="258"/>
      <c r="Z44599" s="258"/>
    </row>
    <row r="44600" spans="1:26" ht="12.75" customHeight="1" x14ac:dyDescent="0.2">
      <c r="A44600" s="258"/>
      <c r="Z44600" s="258"/>
    </row>
    <row r="44601" spans="1:26" ht="12.75" customHeight="1" x14ac:dyDescent="0.2">
      <c r="A44601" s="258"/>
      <c r="Z44601" s="258"/>
    </row>
    <row r="44602" spans="1:26" ht="12.75" customHeight="1" x14ac:dyDescent="0.2">
      <c r="A44602" s="258"/>
      <c r="Z44602" s="258"/>
    </row>
    <row r="44603" spans="1:26" ht="12.75" customHeight="1" x14ac:dyDescent="0.2">
      <c r="A44603" s="258"/>
      <c r="Z44603" s="258"/>
    </row>
    <row r="44604" spans="1:26" ht="12.75" customHeight="1" x14ac:dyDescent="0.2">
      <c r="A44604" s="258"/>
      <c r="Z44604" s="258"/>
    </row>
    <row r="44605" spans="1:26" ht="12.75" customHeight="1" x14ac:dyDescent="0.2">
      <c r="A44605" s="258"/>
      <c r="Z44605" s="258"/>
    </row>
    <row r="44606" spans="1:26" ht="12.75" customHeight="1" x14ac:dyDescent="0.2">
      <c r="A44606" s="258"/>
      <c r="Z44606" s="258"/>
    </row>
    <row r="44607" spans="1:26" ht="12.75" customHeight="1" x14ac:dyDescent="0.2">
      <c r="A44607" s="258"/>
      <c r="Z44607" s="258"/>
    </row>
    <row r="44608" spans="1:26" ht="12.75" customHeight="1" x14ac:dyDescent="0.2">
      <c r="A44608" s="258"/>
      <c r="Z44608" s="258"/>
    </row>
    <row r="44609" spans="1:26" ht="12.75" customHeight="1" x14ac:dyDescent="0.2">
      <c r="A44609" s="258"/>
      <c r="Z44609" s="258"/>
    </row>
    <row r="44610" spans="1:26" ht="12.75" customHeight="1" x14ac:dyDescent="0.2">
      <c r="A44610" s="258"/>
      <c r="Z44610" s="258"/>
    </row>
    <row r="44611" spans="1:26" ht="12.75" customHeight="1" x14ac:dyDescent="0.2">
      <c r="A44611" s="258"/>
      <c r="Z44611" s="258"/>
    </row>
    <row r="44612" spans="1:26" ht="12.75" customHeight="1" x14ac:dyDescent="0.2">
      <c r="A44612" s="258"/>
      <c r="Z44612" s="258"/>
    </row>
    <row r="44613" spans="1:26" ht="12.75" customHeight="1" x14ac:dyDescent="0.2">
      <c r="A44613" s="258"/>
      <c r="Z44613" s="258"/>
    </row>
    <row r="44614" spans="1:26" ht="12.75" customHeight="1" x14ac:dyDescent="0.2">
      <c r="A44614" s="258"/>
      <c r="Z44614" s="258"/>
    </row>
    <row r="44615" spans="1:26" ht="12.75" customHeight="1" x14ac:dyDescent="0.2">
      <c r="A44615" s="258"/>
      <c r="Z44615" s="258"/>
    </row>
    <row r="44616" spans="1:26" ht="12.75" customHeight="1" x14ac:dyDescent="0.2">
      <c r="A44616" s="258"/>
      <c r="Z44616" s="258"/>
    </row>
    <row r="44617" spans="1:26" ht="12.75" customHeight="1" x14ac:dyDescent="0.2">
      <c r="A44617" s="258"/>
      <c r="Z44617" s="258"/>
    </row>
    <row r="44618" spans="1:26" ht="12.75" customHeight="1" x14ac:dyDescent="0.2">
      <c r="A44618" s="258"/>
      <c r="Z44618" s="258"/>
    </row>
    <row r="44619" spans="1:26" ht="12.75" customHeight="1" x14ac:dyDescent="0.2">
      <c r="A44619" s="258"/>
      <c r="Z44619" s="258"/>
    </row>
    <row r="44620" spans="1:26" ht="12.75" customHeight="1" x14ac:dyDescent="0.2">
      <c r="A44620" s="258"/>
      <c r="Z44620" s="258"/>
    </row>
    <row r="44621" spans="1:26" ht="12.75" customHeight="1" x14ac:dyDescent="0.2">
      <c r="A44621" s="258"/>
      <c r="Z44621" s="258"/>
    </row>
    <row r="44622" spans="1:26" ht="12.75" customHeight="1" x14ac:dyDescent="0.2">
      <c r="A44622" s="258"/>
      <c r="Z44622" s="258"/>
    </row>
    <row r="44623" spans="1:26" ht="12.75" customHeight="1" x14ac:dyDescent="0.2">
      <c r="A44623" s="258"/>
      <c r="Z44623" s="258"/>
    </row>
    <row r="44624" spans="1:26" ht="12.75" customHeight="1" x14ac:dyDescent="0.2">
      <c r="A44624" s="258"/>
      <c r="Z44624" s="258"/>
    </row>
    <row r="44625" spans="1:26" ht="12.75" customHeight="1" x14ac:dyDescent="0.2">
      <c r="A44625" s="258"/>
      <c r="Z44625" s="258"/>
    </row>
    <row r="44626" spans="1:26" ht="12.75" customHeight="1" x14ac:dyDescent="0.2">
      <c r="A44626" s="258"/>
      <c r="Z44626" s="258"/>
    </row>
    <row r="44627" spans="1:26" ht="12.75" customHeight="1" x14ac:dyDescent="0.2">
      <c r="A44627" s="258"/>
      <c r="Z44627" s="258"/>
    </row>
    <row r="44628" spans="1:26" ht="12.75" customHeight="1" x14ac:dyDescent="0.2">
      <c r="A44628" s="258"/>
      <c r="Z44628" s="258"/>
    </row>
    <row r="44629" spans="1:26" ht="12.75" customHeight="1" x14ac:dyDescent="0.2">
      <c r="A44629" s="258"/>
      <c r="Z44629" s="258"/>
    </row>
    <row r="44630" spans="1:26" ht="12.75" customHeight="1" x14ac:dyDescent="0.2">
      <c r="A44630" s="258"/>
      <c r="Z44630" s="258"/>
    </row>
    <row r="44631" spans="1:26" ht="12.75" customHeight="1" x14ac:dyDescent="0.2">
      <c r="A44631" s="258"/>
      <c r="Z44631" s="258"/>
    </row>
    <row r="44632" spans="1:26" ht="12.75" customHeight="1" x14ac:dyDescent="0.2">
      <c r="A44632" s="258"/>
      <c r="Z44632" s="258"/>
    </row>
    <row r="44633" spans="1:26" ht="12.75" customHeight="1" x14ac:dyDescent="0.2">
      <c r="A44633" s="258"/>
      <c r="Z44633" s="258"/>
    </row>
    <row r="44634" spans="1:26" ht="12.75" customHeight="1" x14ac:dyDescent="0.2">
      <c r="A44634" s="258"/>
      <c r="Z44634" s="258"/>
    </row>
    <row r="44635" spans="1:26" ht="12.75" customHeight="1" x14ac:dyDescent="0.2">
      <c r="A44635" s="258"/>
      <c r="Z44635" s="258"/>
    </row>
    <row r="44636" spans="1:26" ht="12.75" customHeight="1" x14ac:dyDescent="0.2">
      <c r="A44636" s="258"/>
      <c r="Z44636" s="258"/>
    </row>
    <row r="44637" spans="1:26" ht="12.75" customHeight="1" x14ac:dyDescent="0.2">
      <c r="A44637" s="258"/>
      <c r="Z44637" s="258"/>
    </row>
    <row r="44638" spans="1:26" ht="12.75" customHeight="1" x14ac:dyDescent="0.2">
      <c r="A44638" s="258"/>
      <c r="Z44638" s="258"/>
    </row>
    <row r="44639" spans="1:26" ht="12.75" customHeight="1" x14ac:dyDescent="0.2">
      <c r="A44639" s="258"/>
      <c r="Z44639" s="258"/>
    </row>
    <row r="44640" spans="1:26" ht="12.75" customHeight="1" x14ac:dyDescent="0.2">
      <c r="A44640" s="258"/>
      <c r="Z44640" s="258"/>
    </row>
    <row r="44641" spans="1:26" ht="12.75" customHeight="1" x14ac:dyDescent="0.2">
      <c r="A44641" s="258"/>
      <c r="Z44641" s="258"/>
    </row>
    <row r="44642" spans="1:26" ht="12.75" customHeight="1" x14ac:dyDescent="0.2">
      <c r="A44642" s="258"/>
      <c r="Z44642" s="258"/>
    </row>
    <row r="44643" spans="1:26" ht="12.75" customHeight="1" x14ac:dyDescent="0.2">
      <c r="A44643" s="258"/>
      <c r="Z44643" s="258"/>
    </row>
    <row r="44644" spans="1:26" ht="12.75" customHeight="1" x14ac:dyDescent="0.2">
      <c r="A44644" s="258"/>
      <c r="Z44644" s="258"/>
    </row>
    <row r="44645" spans="1:26" ht="12.75" customHeight="1" x14ac:dyDescent="0.2">
      <c r="A44645" s="258"/>
      <c r="Z44645" s="258"/>
    </row>
    <row r="44646" spans="1:26" ht="12.75" customHeight="1" x14ac:dyDescent="0.2">
      <c r="A44646" s="258"/>
      <c r="Z44646" s="258"/>
    </row>
    <row r="44647" spans="1:26" ht="12.75" customHeight="1" x14ac:dyDescent="0.2">
      <c r="A44647" s="258"/>
      <c r="Z44647" s="258"/>
    </row>
    <row r="44648" spans="1:26" ht="12.75" customHeight="1" x14ac:dyDescent="0.2">
      <c r="A44648" s="258"/>
      <c r="Z44648" s="258"/>
    </row>
    <row r="44649" spans="1:26" ht="12.75" customHeight="1" x14ac:dyDescent="0.2">
      <c r="A44649" s="258"/>
      <c r="Z44649" s="258"/>
    </row>
    <row r="44650" spans="1:26" ht="12.75" customHeight="1" x14ac:dyDescent="0.2">
      <c r="A44650" s="258"/>
      <c r="Z44650" s="258"/>
    </row>
    <row r="44651" spans="1:26" ht="12.75" customHeight="1" x14ac:dyDescent="0.2">
      <c r="A44651" s="258"/>
      <c r="Z44651" s="258"/>
    </row>
    <row r="44652" spans="1:26" ht="12.75" customHeight="1" x14ac:dyDescent="0.2">
      <c r="A44652" s="258"/>
      <c r="Z44652" s="258"/>
    </row>
    <row r="44653" spans="1:26" ht="12.75" customHeight="1" x14ac:dyDescent="0.2">
      <c r="A44653" s="258"/>
      <c r="Z44653" s="258"/>
    </row>
    <row r="44654" spans="1:26" ht="12.75" customHeight="1" x14ac:dyDescent="0.2">
      <c r="A44654" s="258"/>
      <c r="Z44654" s="258"/>
    </row>
    <row r="44655" spans="1:26" ht="12.75" customHeight="1" x14ac:dyDescent="0.2">
      <c r="A44655" s="258"/>
      <c r="Z44655" s="258"/>
    </row>
    <row r="44656" spans="1:26" ht="12.75" customHeight="1" x14ac:dyDescent="0.2">
      <c r="A44656" s="258"/>
      <c r="Z44656" s="258"/>
    </row>
    <row r="44657" spans="1:26" ht="12.75" customHeight="1" x14ac:dyDescent="0.2">
      <c r="A44657" s="258"/>
      <c r="Z44657" s="258"/>
    </row>
    <row r="44658" spans="1:26" ht="12.75" customHeight="1" x14ac:dyDescent="0.2">
      <c r="A44658" s="258"/>
      <c r="Z44658" s="258"/>
    </row>
    <row r="44659" spans="1:26" ht="12.75" customHeight="1" x14ac:dyDescent="0.2">
      <c r="A44659" s="258"/>
      <c r="Z44659" s="258"/>
    </row>
    <row r="44660" spans="1:26" ht="12.75" customHeight="1" x14ac:dyDescent="0.2">
      <c r="A44660" s="258"/>
      <c r="Z44660" s="258"/>
    </row>
    <row r="44661" spans="1:26" ht="12.75" customHeight="1" x14ac:dyDescent="0.2">
      <c r="A44661" s="258"/>
      <c r="Z44661" s="258"/>
    </row>
    <row r="44662" spans="1:26" ht="12.75" customHeight="1" x14ac:dyDescent="0.2">
      <c r="A44662" s="258"/>
      <c r="Z44662" s="258"/>
    </row>
    <row r="44663" spans="1:26" ht="12.75" customHeight="1" x14ac:dyDescent="0.2">
      <c r="A44663" s="258"/>
      <c r="Z44663" s="258"/>
    </row>
    <row r="44664" spans="1:26" ht="12.75" customHeight="1" x14ac:dyDescent="0.2">
      <c r="A44664" s="258"/>
      <c r="Z44664" s="258"/>
    </row>
    <row r="44665" spans="1:26" ht="12.75" customHeight="1" x14ac:dyDescent="0.2">
      <c r="A44665" s="258"/>
      <c r="Z44665" s="258"/>
    </row>
    <row r="44666" spans="1:26" ht="12.75" customHeight="1" x14ac:dyDescent="0.2">
      <c r="A44666" s="258"/>
      <c r="Z44666" s="258"/>
    </row>
    <row r="44667" spans="1:26" ht="12.75" customHeight="1" x14ac:dyDescent="0.2">
      <c r="A44667" s="258"/>
      <c r="Z44667" s="258"/>
    </row>
    <row r="44668" spans="1:26" ht="12.75" customHeight="1" x14ac:dyDescent="0.2">
      <c r="A44668" s="258"/>
      <c r="Z44668" s="258"/>
    </row>
    <row r="44669" spans="1:26" ht="12.75" customHeight="1" x14ac:dyDescent="0.2">
      <c r="A44669" s="258"/>
      <c r="Z44669" s="258"/>
    </row>
    <row r="44670" spans="1:26" ht="12.75" customHeight="1" x14ac:dyDescent="0.2">
      <c r="A44670" s="258"/>
      <c r="Z44670" s="258"/>
    </row>
    <row r="44671" spans="1:26" ht="12.75" customHeight="1" x14ac:dyDescent="0.2">
      <c r="A44671" s="258"/>
      <c r="Z44671" s="258"/>
    </row>
    <row r="44672" spans="1:26" ht="12.75" customHeight="1" x14ac:dyDescent="0.2">
      <c r="A44672" s="258"/>
      <c r="Z44672" s="258"/>
    </row>
    <row r="44673" spans="1:26" ht="12.75" customHeight="1" x14ac:dyDescent="0.2">
      <c r="A44673" s="258"/>
      <c r="Z44673" s="258"/>
    </row>
    <row r="44674" spans="1:26" ht="12.75" customHeight="1" x14ac:dyDescent="0.2">
      <c r="A44674" s="258"/>
      <c r="Z44674" s="258"/>
    </row>
    <row r="44675" spans="1:26" ht="12.75" customHeight="1" x14ac:dyDescent="0.2">
      <c r="A44675" s="258"/>
      <c r="Z44675" s="258"/>
    </row>
    <row r="44676" spans="1:26" ht="12.75" customHeight="1" x14ac:dyDescent="0.2">
      <c r="A44676" s="258"/>
      <c r="Z44676" s="258"/>
    </row>
    <row r="44677" spans="1:26" ht="12.75" customHeight="1" x14ac:dyDescent="0.2">
      <c r="A44677" s="258"/>
      <c r="Z44677" s="258"/>
    </row>
    <row r="44678" spans="1:26" ht="12.75" customHeight="1" x14ac:dyDescent="0.2">
      <c r="A44678" s="258"/>
      <c r="Z44678" s="258"/>
    </row>
    <row r="44679" spans="1:26" ht="12.75" customHeight="1" x14ac:dyDescent="0.2">
      <c r="A44679" s="258"/>
      <c r="Z44679" s="258"/>
    </row>
    <row r="44680" spans="1:26" ht="12.75" customHeight="1" x14ac:dyDescent="0.2">
      <c r="A44680" s="258"/>
      <c r="Z44680" s="258"/>
    </row>
    <row r="44681" spans="1:26" ht="12.75" customHeight="1" x14ac:dyDescent="0.2">
      <c r="A44681" s="258"/>
      <c r="Z44681" s="258"/>
    </row>
    <row r="44682" spans="1:26" ht="12.75" customHeight="1" x14ac:dyDescent="0.2">
      <c r="A44682" s="258"/>
      <c r="Z44682" s="258"/>
    </row>
    <row r="44683" spans="1:26" ht="12.75" customHeight="1" x14ac:dyDescent="0.2">
      <c r="A44683" s="258"/>
      <c r="Z44683" s="258"/>
    </row>
    <row r="44684" spans="1:26" ht="12.75" customHeight="1" x14ac:dyDescent="0.2">
      <c r="A44684" s="258"/>
      <c r="Z44684" s="258"/>
    </row>
    <row r="44685" spans="1:26" ht="12.75" customHeight="1" x14ac:dyDescent="0.2">
      <c r="A44685" s="258"/>
      <c r="Z44685" s="258"/>
    </row>
    <row r="44686" spans="1:26" ht="12.75" customHeight="1" x14ac:dyDescent="0.2">
      <c r="A44686" s="258"/>
      <c r="Z44686" s="258"/>
    </row>
    <row r="44687" spans="1:26" ht="12.75" customHeight="1" x14ac:dyDescent="0.2">
      <c r="A44687" s="258"/>
      <c r="Z44687" s="258"/>
    </row>
    <row r="44688" spans="1:26" ht="12.75" customHeight="1" x14ac:dyDescent="0.2">
      <c r="A44688" s="258"/>
      <c r="Z44688" s="258"/>
    </row>
    <row r="44689" spans="1:26" ht="12.75" customHeight="1" x14ac:dyDescent="0.2">
      <c r="A44689" s="258"/>
      <c r="Z44689" s="258"/>
    </row>
    <row r="44690" spans="1:26" ht="12.75" customHeight="1" x14ac:dyDescent="0.2">
      <c r="A44690" s="258"/>
      <c r="Z44690" s="258"/>
    </row>
    <row r="44691" spans="1:26" ht="12.75" customHeight="1" x14ac:dyDescent="0.2">
      <c r="A44691" s="258"/>
      <c r="Z44691" s="258"/>
    </row>
    <row r="44692" spans="1:26" ht="12.75" customHeight="1" x14ac:dyDescent="0.2">
      <c r="A44692" s="258"/>
      <c r="Z44692" s="258"/>
    </row>
    <row r="44693" spans="1:26" ht="12.75" customHeight="1" x14ac:dyDescent="0.2">
      <c r="A44693" s="258"/>
      <c r="Z44693" s="258"/>
    </row>
    <row r="44694" spans="1:26" ht="12.75" customHeight="1" x14ac:dyDescent="0.2">
      <c r="A44694" s="258"/>
      <c r="Z44694" s="258"/>
    </row>
    <row r="44695" spans="1:26" ht="12.75" customHeight="1" x14ac:dyDescent="0.2">
      <c r="A44695" s="258"/>
      <c r="Z44695" s="258"/>
    </row>
    <row r="44696" spans="1:26" ht="12.75" customHeight="1" x14ac:dyDescent="0.2">
      <c r="A44696" s="258"/>
      <c r="Z44696" s="258"/>
    </row>
    <row r="44697" spans="1:26" ht="12.75" customHeight="1" x14ac:dyDescent="0.2">
      <c r="A44697" s="258"/>
      <c r="Z44697" s="258"/>
    </row>
    <row r="44698" spans="1:26" ht="12.75" customHeight="1" x14ac:dyDescent="0.2">
      <c r="A44698" s="258"/>
      <c r="Z44698" s="258"/>
    </row>
    <row r="44699" spans="1:26" ht="12.75" customHeight="1" x14ac:dyDescent="0.2">
      <c r="A44699" s="258"/>
      <c r="Z44699" s="258"/>
    </row>
    <row r="44700" spans="1:26" ht="12.75" customHeight="1" x14ac:dyDescent="0.2">
      <c r="A44700" s="258"/>
      <c r="Z44700" s="258"/>
    </row>
    <row r="44701" spans="1:26" ht="12.75" customHeight="1" x14ac:dyDescent="0.2">
      <c r="A44701" s="258"/>
      <c r="Z44701" s="258"/>
    </row>
    <row r="44702" spans="1:26" ht="12.75" customHeight="1" x14ac:dyDescent="0.2">
      <c r="A44702" s="258"/>
      <c r="Z44702" s="258"/>
    </row>
    <row r="44703" spans="1:26" ht="12.75" customHeight="1" x14ac:dyDescent="0.2">
      <c r="A44703" s="258"/>
      <c r="Z44703" s="258"/>
    </row>
    <row r="44704" spans="1:26" ht="12.75" customHeight="1" x14ac:dyDescent="0.2">
      <c r="A44704" s="258"/>
      <c r="Z44704" s="258"/>
    </row>
    <row r="44705" spans="1:26" ht="12.75" customHeight="1" x14ac:dyDescent="0.2">
      <c r="A44705" s="258"/>
      <c r="Z44705" s="258"/>
    </row>
    <row r="44706" spans="1:26" ht="12.75" customHeight="1" x14ac:dyDescent="0.2">
      <c r="A44706" s="258"/>
      <c r="Z44706" s="258"/>
    </row>
    <row r="44707" spans="1:26" ht="12.75" customHeight="1" x14ac:dyDescent="0.2">
      <c r="A44707" s="258"/>
      <c r="Z44707" s="258"/>
    </row>
    <row r="44708" spans="1:26" ht="12.75" customHeight="1" x14ac:dyDescent="0.2">
      <c r="A44708" s="258"/>
      <c r="Z44708" s="258"/>
    </row>
    <row r="44709" spans="1:26" ht="12.75" customHeight="1" x14ac:dyDescent="0.2">
      <c r="A44709" s="258"/>
      <c r="Z44709" s="258"/>
    </row>
    <row r="44710" spans="1:26" ht="12.75" customHeight="1" x14ac:dyDescent="0.2">
      <c r="A44710" s="258"/>
      <c r="Z44710" s="258"/>
    </row>
    <row r="44711" spans="1:26" ht="12.75" customHeight="1" x14ac:dyDescent="0.2">
      <c r="A44711" s="258"/>
      <c r="Z44711" s="258"/>
    </row>
    <row r="44712" spans="1:26" ht="12.75" customHeight="1" x14ac:dyDescent="0.2">
      <c r="A44712" s="258"/>
      <c r="Z44712" s="258"/>
    </row>
    <row r="44713" spans="1:26" ht="12.75" customHeight="1" x14ac:dyDescent="0.2">
      <c r="A44713" s="258"/>
      <c r="Z44713" s="258"/>
    </row>
    <row r="44714" spans="1:26" ht="12.75" customHeight="1" x14ac:dyDescent="0.2">
      <c r="A44714" s="258"/>
      <c r="Z44714" s="258"/>
    </row>
    <row r="44715" spans="1:26" ht="12.75" customHeight="1" x14ac:dyDescent="0.2">
      <c r="A44715" s="258"/>
      <c r="Z44715" s="258"/>
    </row>
    <row r="44716" spans="1:26" ht="12.75" customHeight="1" x14ac:dyDescent="0.2">
      <c r="A44716" s="258"/>
      <c r="Z44716" s="258"/>
    </row>
    <row r="44717" spans="1:26" ht="12.75" customHeight="1" x14ac:dyDescent="0.2">
      <c r="A44717" s="258"/>
      <c r="Z44717" s="258"/>
    </row>
    <row r="44718" spans="1:26" ht="12.75" customHeight="1" x14ac:dyDescent="0.2">
      <c r="A44718" s="258"/>
      <c r="Z44718" s="258"/>
    </row>
    <row r="44719" spans="1:26" ht="12.75" customHeight="1" x14ac:dyDescent="0.2">
      <c r="A44719" s="258"/>
      <c r="Z44719" s="258"/>
    </row>
    <row r="44720" spans="1:26" ht="12.75" customHeight="1" x14ac:dyDescent="0.2">
      <c r="A44720" s="258"/>
      <c r="Z44720" s="258"/>
    </row>
    <row r="44721" spans="1:26" ht="12.75" customHeight="1" x14ac:dyDescent="0.2">
      <c r="A44721" s="258"/>
      <c r="Z44721" s="258"/>
    </row>
    <row r="44722" spans="1:26" ht="12.75" customHeight="1" x14ac:dyDescent="0.2">
      <c r="A44722" s="258"/>
      <c r="Z44722" s="258"/>
    </row>
    <row r="44723" spans="1:26" ht="12.75" customHeight="1" x14ac:dyDescent="0.2">
      <c r="A44723" s="258"/>
      <c r="Z44723" s="258"/>
    </row>
    <row r="44724" spans="1:26" ht="12.75" customHeight="1" x14ac:dyDescent="0.2">
      <c r="A44724" s="258"/>
      <c r="Z44724" s="258"/>
    </row>
    <row r="44725" spans="1:26" ht="12.75" customHeight="1" x14ac:dyDescent="0.2">
      <c r="A44725" s="258"/>
      <c r="Z44725" s="258"/>
    </row>
    <row r="44726" spans="1:26" ht="12.75" customHeight="1" x14ac:dyDescent="0.2">
      <c r="A44726" s="258"/>
      <c r="Z44726" s="258"/>
    </row>
    <row r="44727" spans="1:26" ht="12.75" customHeight="1" x14ac:dyDescent="0.2">
      <c r="A44727" s="258"/>
      <c r="Z44727" s="258"/>
    </row>
    <row r="44728" spans="1:26" ht="12.75" customHeight="1" x14ac:dyDescent="0.2">
      <c r="A44728" s="258"/>
      <c r="Z44728" s="258"/>
    </row>
    <row r="44729" spans="1:26" ht="12.75" customHeight="1" x14ac:dyDescent="0.2">
      <c r="A44729" s="258"/>
      <c r="Z44729" s="258"/>
    </row>
    <row r="44730" spans="1:26" ht="12.75" customHeight="1" x14ac:dyDescent="0.2">
      <c r="A44730" s="258"/>
      <c r="Z44730" s="258"/>
    </row>
    <row r="44731" spans="1:26" ht="12.75" customHeight="1" x14ac:dyDescent="0.2">
      <c r="A44731" s="258"/>
      <c r="Z44731" s="258"/>
    </row>
    <row r="44732" spans="1:26" ht="12.75" customHeight="1" x14ac:dyDescent="0.2">
      <c r="A44732" s="258"/>
      <c r="Z44732" s="258"/>
    </row>
    <row r="44733" spans="1:26" ht="12.75" customHeight="1" x14ac:dyDescent="0.2">
      <c r="A44733" s="258"/>
      <c r="Z44733" s="258"/>
    </row>
    <row r="44734" spans="1:26" ht="12.75" customHeight="1" x14ac:dyDescent="0.2">
      <c r="A44734" s="258"/>
      <c r="Z44734" s="258"/>
    </row>
    <row r="44735" spans="1:26" ht="12.75" customHeight="1" x14ac:dyDescent="0.2">
      <c r="A44735" s="258"/>
      <c r="Z44735" s="258"/>
    </row>
    <row r="44736" spans="1:26" ht="12.75" customHeight="1" x14ac:dyDescent="0.2">
      <c r="A44736" s="258"/>
      <c r="Z44736" s="258"/>
    </row>
    <row r="44737" spans="1:26" ht="12.75" customHeight="1" x14ac:dyDescent="0.2">
      <c r="A44737" s="258"/>
      <c r="Z44737" s="258"/>
    </row>
    <row r="44738" spans="1:26" ht="12.75" customHeight="1" x14ac:dyDescent="0.2">
      <c r="A44738" s="258"/>
      <c r="Z44738" s="258"/>
    </row>
    <row r="44739" spans="1:26" ht="12.75" customHeight="1" x14ac:dyDescent="0.2">
      <c r="A44739" s="258"/>
      <c r="Z44739" s="258"/>
    </row>
    <row r="44740" spans="1:26" ht="12.75" customHeight="1" x14ac:dyDescent="0.2">
      <c r="A44740" s="258"/>
      <c r="Z44740" s="258"/>
    </row>
    <row r="44741" spans="1:26" ht="12.75" customHeight="1" x14ac:dyDescent="0.2">
      <c r="A44741" s="258"/>
      <c r="Z44741" s="258"/>
    </row>
    <row r="44742" spans="1:26" ht="12.75" customHeight="1" x14ac:dyDescent="0.2">
      <c r="A44742" s="258"/>
      <c r="Z44742" s="258"/>
    </row>
    <row r="44743" spans="1:26" ht="12.75" customHeight="1" x14ac:dyDescent="0.2">
      <c r="A44743" s="258"/>
      <c r="Z44743" s="258"/>
    </row>
    <row r="44744" spans="1:26" ht="12.75" customHeight="1" x14ac:dyDescent="0.2">
      <c r="A44744" s="258"/>
      <c r="Z44744" s="258"/>
    </row>
    <row r="44745" spans="1:26" ht="12.75" customHeight="1" x14ac:dyDescent="0.2">
      <c r="A44745" s="258"/>
      <c r="Z44745" s="258"/>
    </row>
    <row r="44746" spans="1:26" ht="12.75" customHeight="1" x14ac:dyDescent="0.2">
      <c r="A44746" s="258"/>
      <c r="Z44746" s="258"/>
    </row>
    <row r="44747" spans="1:26" ht="12.75" customHeight="1" x14ac:dyDescent="0.2">
      <c r="A44747" s="258"/>
      <c r="Z44747" s="258"/>
    </row>
    <row r="44748" spans="1:26" ht="12.75" customHeight="1" x14ac:dyDescent="0.2">
      <c r="A44748" s="258"/>
      <c r="Z44748" s="258"/>
    </row>
    <row r="44749" spans="1:26" ht="12.75" customHeight="1" x14ac:dyDescent="0.2">
      <c r="A44749" s="258"/>
      <c r="Z44749" s="258"/>
    </row>
    <row r="44750" spans="1:26" ht="12.75" customHeight="1" x14ac:dyDescent="0.2">
      <c r="A44750" s="258"/>
      <c r="Z44750" s="258"/>
    </row>
    <row r="44751" spans="1:26" ht="12.75" customHeight="1" x14ac:dyDescent="0.2">
      <c r="A44751" s="258"/>
      <c r="Z44751" s="258"/>
    </row>
    <row r="44752" spans="1:26" ht="12.75" customHeight="1" x14ac:dyDescent="0.2">
      <c r="A44752" s="258"/>
      <c r="Z44752" s="258"/>
    </row>
    <row r="44753" spans="1:26" ht="12.75" customHeight="1" x14ac:dyDescent="0.2">
      <c r="A44753" s="258"/>
      <c r="Z44753" s="258"/>
    </row>
    <row r="44754" spans="1:26" ht="12.75" customHeight="1" x14ac:dyDescent="0.2">
      <c r="A44754" s="258"/>
      <c r="Z44754" s="258"/>
    </row>
    <row r="44755" spans="1:26" ht="12.75" customHeight="1" x14ac:dyDescent="0.2">
      <c r="A44755" s="258"/>
      <c r="Z44755" s="258"/>
    </row>
    <row r="44756" spans="1:26" ht="12.75" customHeight="1" x14ac:dyDescent="0.2">
      <c r="A44756" s="258"/>
      <c r="Z44756" s="258"/>
    </row>
    <row r="44757" spans="1:26" ht="12.75" customHeight="1" x14ac:dyDescent="0.2">
      <c r="A44757" s="258"/>
      <c r="Z44757" s="258"/>
    </row>
    <row r="44758" spans="1:26" ht="12.75" customHeight="1" x14ac:dyDescent="0.2">
      <c r="A44758" s="258"/>
      <c r="Z44758" s="258"/>
    </row>
    <row r="44759" spans="1:26" ht="12.75" customHeight="1" x14ac:dyDescent="0.2">
      <c r="A44759" s="258"/>
      <c r="Z44759" s="258"/>
    </row>
    <row r="44760" spans="1:26" ht="12.75" customHeight="1" x14ac:dyDescent="0.2">
      <c r="A44760" s="258"/>
      <c r="Z44760" s="258"/>
    </row>
    <row r="44761" spans="1:26" ht="12.75" customHeight="1" x14ac:dyDescent="0.2">
      <c r="A44761" s="258"/>
      <c r="Z44761" s="258"/>
    </row>
    <row r="44762" spans="1:26" ht="12.75" customHeight="1" x14ac:dyDescent="0.2">
      <c r="A44762" s="258"/>
      <c r="Z44762" s="258"/>
    </row>
    <row r="44763" spans="1:26" ht="12.75" customHeight="1" x14ac:dyDescent="0.2">
      <c r="A44763" s="258"/>
      <c r="Z44763" s="258"/>
    </row>
    <row r="44764" spans="1:26" ht="12.75" customHeight="1" x14ac:dyDescent="0.2">
      <c r="A44764" s="258"/>
      <c r="Z44764" s="258"/>
    </row>
    <row r="44765" spans="1:26" ht="12.75" customHeight="1" x14ac:dyDescent="0.2">
      <c r="A44765" s="258"/>
      <c r="Z44765" s="258"/>
    </row>
    <row r="44766" spans="1:26" ht="12.75" customHeight="1" x14ac:dyDescent="0.2">
      <c r="A44766" s="258"/>
      <c r="Z44766" s="258"/>
    </row>
    <row r="44767" spans="1:26" ht="12.75" customHeight="1" x14ac:dyDescent="0.2">
      <c r="A44767" s="258"/>
      <c r="Z44767" s="258"/>
    </row>
    <row r="44768" spans="1:26" ht="12.75" customHeight="1" x14ac:dyDescent="0.2">
      <c r="A44768" s="258"/>
      <c r="Z44768" s="258"/>
    </row>
    <row r="44769" spans="1:26" ht="12.75" customHeight="1" x14ac:dyDescent="0.2">
      <c r="A44769" s="258"/>
      <c r="Z44769" s="258"/>
    </row>
    <row r="44770" spans="1:26" ht="12.75" customHeight="1" x14ac:dyDescent="0.2">
      <c r="A44770" s="258"/>
      <c r="Z44770" s="258"/>
    </row>
    <row r="44771" spans="1:26" ht="12.75" customHeight="1" x14ac:dyDescent="0.2">
      <c r="A44771" s="258"/>
      <c r="Z44771" s="258"/>
    </row>
    <row r="44772" spans="1:26" ht="12.75" customHeight="1" x14ac:dyDescent="0.2">
      <c r="A44772" s="258"/>
      <c r="Z44772" s="258"/>
    </row>
    <row r="44773" spans="1:26" ht="12.75" customHeight="1" x14ac:dyDescent="0.2">
      <c r="A44773" s="258"/>
      <c r="Z44773" s="258"/>
    </row>
    <row r="44774" spans="1:26" ht="12.75" customHeight="1" x14ac:dyDescent="0.2">
      <c r="A44774" s="258"/>
      <c r="Z44774" s="258"/>
    </row>
    <row r="44775" spans="1:26" ht="12.75" customHeight="1" x14ac:dyDescent="0.2">
      <c r="A44775" s="258"/>
      <c r="Z44775" s="258"/>
    </row>
    <row r="44776" spans="1:26" ht="12.75" customHeight="1" x14ac:dyDescent="0.2">
      <c r="A44776" s="258"/>
      <c r="Z44776" s="258"/>
    </row>
    <row r="44777" spans="1:26" ht="12.75" customHeight="1" x14ac:dyDescent="0.2">
      <c r="A44777" s="258"/>
      <c r="Z44777" s="258"/>
    </row>
    <row r="44778" spans="1:26" ht="12.75" customHeight="1" x14ac:dyDescent="0.2">
      <c r="A44778" s="258"/>
      <c r="Z44778" s="258"/>
    </row>
    <row r="44779" spans="1:26" ht="12.75" customHeight="1" x14ac:dyDescent="0.2">
      <c r="A44779" s="258"/>
      <c r="Z44779" s="258"/>
    </row>
    <row r="44780" spans="1:26" ht="12.75" customHeight="1" x14ac:dyDescent="0.2">
      <c r="A44780" s="258"/>
      <c r="Z44780" s="258"/>
    </row>
    <row r="44781" spans="1:26" ht="12.75" customHeight="1" x14ac:dyDescent="0.2">
      <c r="A44781" s="258"/>
      <c r="Z44781" s="258"/>
    </row>
    <row r="44782" spans="1:26" ht="12.75" customHeight="1" x14ac:dyDescent="0.2">
      <c r="A44782" s="258"/>
      <c r="Z44782" s="258"/>
    </row>
    <row r="44783" spans="1:26" ht="12.75" customHeight="1" x14ac:dyDescent="0.2">
      <c r="A44783" s="258"/>
      <c r="Z44783" s="258"/>
    </row>
    <row r="44784" spans="1:26" ht="12.75" customHeight="1" x14ac:dyDescent="0.2">
      <c r="A44784" s="258"/>
      <c r="Z44784" s="258"/>
    </row>
    <row r="44785" spans="1:26" ht="12.75" customHeight="1" x14ac:dyDescent="0.2">
      <c r="A44785" s="258"/>
      <c r="Z44785" s="258"/>
    </row>
    <row r="44786" spans="1:26" ht="12.75" customHeight="1" x14ac:dyDescent="0.2">
      <c r="A44786" s="258"/>
      <c r="Z44786" s="258"/>
    </row>
    <row r="44787" spans="1:26" ht="12.75" customHeight="1" x14ac:dyDescent="0.2">
      <c r="A44787" s="258"/>
      <c r="Z44787" s="258"/>
    </row>
    <row r="44788" spans="1:26" ht="12.75" customHeight="1" x14ac:dyDescent="0.2">
      <c r="A44788" s="258"/>
      <c r="Z44788" s="258"/>
    </row>
    <row r="44789" spans="1:26" ht="12.75" customHeight="1" x14ac:dyDescent="0.2">
      <c r="A44789" s="258"/>
      <c r="Z44789" s="258"/>
    </row>
    <row r="44790" spans="1:26" ht="12.75" customHeight="1" x14ac:dyDescent="0.2">
      <c r="A44790" s="258"/>
      <c r="Z44790" s="258"/>
    </row>
    <row r="44791" spans="1:26" ht="12.75" customHeight="1" x14ac:dyDescent="0.2">
      <c r="A44791" s="258"/>
      <c r="Z44791" s="258"/>
    </row>
    <row r="44792" spans="1:26" ht="12.75" customHeight="1" x14ac:dyDescent="0.2">
      <c r="A44792" s="258"/>
      <c r="Z44792" s="258"/>
    </row>
    <row r="44793" spans="1:26" ht="12.75" customHeight="1" x14ac:dyDescent="0.2">
      <c r="A44793" s="258"/>
      <c r="Z44793" s="258"/>
    </row>
    <row r="44794" spans="1:26" ht="12.75" customHeight="1" x14ac:dyDescent="0.2">
      <c r="A44794" s="258"/>
      <c r="Z44794" s="258"/>
    </row>
    <row r="44795" spans="1:26" ht="12.75" customHeight="1" x14ac:dyDescent="0.2">
      <c r="A44795" s="258"/>
      <c r="Z44795" s="258"/>
    </row>
    <row r="44796" spans="1:26" ht="12.75" customHeight="1" x14ac:dyDescent="0.2">
      <c r="A44796" s="258"/>
      <c r="Z44796" s="258"/>
    </row>
    <row r="44797" spans="1:26" ht="12.75" customHeight="1" x14ac:dyDescent="0.2">
      <c r="A44797" s="258"/>
      <c r="Z44797" s="258"/>
    </row>
    <row r="44798" spans="1:26" ht="12.75" customHeight="1" x14ac:dyDescent="0.2">
      <c r="A44798" s="258"/>
      <c r="Z44798" s="258"/>
    </row>
    <row r="44799" spans="1:26" ht="12.75" customHeight="1" x14ac:dyDescent="0.2">
      <c r="A44799" s="258"/>
      <c r="Z44799" s="258"/>
    </row>
    <row r="44800" spans="1:26" ht="12.75" customHeight="1" x14ac:dyDescent="0.2">
      <c r="A44800" s="258"/>
      <c r="Z44800" s="258"/>
    </row>
    <row r="44801" spans="1:26" ht="12.75" customHeight="1" x14ac:dyDescent="0.2">
      <c r="A44801" s="258"/>
      <c r="Z44801" s="258"/>
    </row>
    <row r="44802" spans="1:26" ht="12.75" customHeight="1" x14ac:dyDescent="0.2">
      <c r="A44802" s="258"/>
      <c r="Z44802" s="258"/>
    </row>
    <row r="44803" spans="1:26" ht="12.75" customHeight="1" x14ac:dyDescent="0.2">
      <c r="A44803" s="258"/>
      <c r="Z44803" s="258"/>
    </row>
    <row r="44804" spans="1:26" ht="12.75" customHeight="1" x14ac:dyDescent="0.2">
      <c r="A44804" s="258"/>
      <c r="Z44804" s="258"/>
    </row>
    <row r="44805" spans="1:26" ht="12.75" customHeight="1" x14ac:dyDescent="0.2">
      <c r="A44805" s="258"/>
      <c r="Z44805" s="258"/>
    </row>
    <row r="44806" spans="1:26" ht="12.75" customHeight="1" x14ac:dyDescent="0.2">
      <c r="A44806" s="258"/>
      <c r="Z44806" s="258"/>
    </row>
    <row r="44807" spans="1:26" ht="12.75" customHeight="1" x14ac:dyDescent="0.2">
      <c r="A44807" s="258"/>
      <c r="Z44807" s="258"/>
    </row>
    <row r="44808" spans="1:26" ht="12.75" customHeight="1" x14ac:dyDescent="0.2">
      <c r="A44808" s="258"/>
      <c r="Z44808" s="258"/>
    </row>
    <row r="44809" spans="1:26" ht="12.75" customHeight="1" x14ac:dyDescent="0.2">
      <c r="A44809" s="258"/>
      <c r="Z44809" s="258"/>
    </row>
    <row r="44810" spans="1:26" ht="12.75" customHeight="1" x14ac:dyDescent="0.2">
      <c r="A44810" s="258"/>
      <c r="Z44810" s="258"/>
    </row>
    <row r="44811" spans="1:26" ht="12.75" customHeight="1" x14ac:dyDescent="0.2">
      <c r="A44811" s="258"/>
      <c r="Z44811" s="258"/>
    </row>
    <row r="44812" spans="1:26" ht="12.75" customHeight="1" x14ac:dyDescent="0.2">
      <c r="A44812" s="258"/>
      <c r="Z44812" s="258"/>
    </row>
    <row r="44813" spans="1:26" ht="12.75" customHeight="1" x14ac:dyDescent="0.2">
      <c r="A44813" s="258"/>
      <c r="Z44813" s="258"/>
    </row>
    <row r="44814" spans="1:26" ht="12.75" customHeight="1" x14ac:dyDescent="0.2">
      <c r="A44814" s="258"/>
      <c r="Z44814" s="258"/>
    </row>
    <row r="44815" spans="1:26" ht="12.75" customHeight="1" x14ac:dyDescent="0.2">
      <c r="A44815" s="258"/>
      <c r="Z44815" s="258"/>
    </row>
    <row r="44816" spans="1:26" ht="12.75" customHeight="1" x14ac:dyDescent="0.2">
      <c r="A44816" s="258"/>
      <c r="Z44816" s="258"/>
    </row>
    <row r="44817" spans="1:26" ht="12.75" customHeight="1" x14ac:dyDescent="0.2">
      <c r="A44817" s="258"/>
      <c r="Z44817" s="258"/>
    </row>
    <row r="44818" spans="1:26" ht="12.75" customHeight="1" x14ac:dyDescent="0.2">
      <c r="A44818" s="258"/>
      <c r="Z44818" s="258"/>
    </row>
    <row r="44819" spans="1:26" ht="12.75" customHeight="1" x14ac:dyDescent="0.2">
      <c r="A44819" s="258"/>
      <c r="Z44819" s="258"/>
    </row>
    <row r="44820" spans="1:26" ht="12.75" customHeight="1" x14ac:dyDescent="0.2">
      <c r="A44820" s="258"/>
      <c r="Z44820" s="258"/>
    </row>
    <row r="44821" spans="1:26" ht="12.75" customHeight="1" x14ac:dyDescent="0.2">
      <c r="A44821" s="258"/>
      <c r="Z44821" s="258"/>
    </row>
    <row r="44822" spans="1:26" ht="12.75" customHeight="1" x14ac:dyDescent="0.2">
      <c r="A44822" s="258"/>
      <c r="Z44822" s="258"/>
    </row>
    <row r="44823" spans="1:26" ht="12.75" customHeight="1" x14ac:dyDescent="0.2">
      <c r="A44823" s="258"/>
      <c r="Z44823" s="258"/>
    </row>
    <row r="44824" spans="1:26" ht="12.75" customHeight="1" x14ac:dyDescent="0.2">
      <c r="A44824" s="258"/>
      <c r="Z44824" s="258"/>
    </row>
    <row r="44825" spans="1:26" ht="12.75" customHeight="1" x14ac:dyDescent="0.2">
      <c r="A44825" s="258"/>
      <c r="Z44825" s="258"/>
    </row>
    <row r="44826" spans="1:26" ht="12.75" customHeight="1" x14ac:dyDescent="0.2">
      <c r="A44826" s="258"/>
      <c r="Z44826" s="258"/>
    </row>
    <row r="44827" spans="1:26" ht="12.75" customHeight="1" x14ac:dyDescent="0.2">
      <c r="A44827" s="258"/>
      <c r="Z44827" s="258"/>
    </row>
    <row r="44828" spans="1:26" ht="12.75" customHeight="1" x14ac:dyDescent="0.2">
      <c r="A44828" s="258"/>
      <c r="Z44828" s="258"/>
    </row>
    <row r="44829" spans="1:26" ht="12.75" customHeight="1" x14ac:dyDescent="0.2">
      <c r="A44829" s="258"/>
      <c r="Z44829" s="258"/>
    </row>
    <row r="44830" spans="1:26" ht="12.75" customHeight="1" x14ac:dyDescent="0.2">
      <c r="A44830" s="258"/>
      <c r="Z44830" s="258"/>
    </row>
    <row r="44831" spans="1:26" ht="12.75" customHeight="1" x14ac:dyDescent="0.2">
      <c r="A44831" s="258"/>
      <c r="Z44831" s="258"/>
    </row>
    <row r="44832" spans="1:26" ht="12.75" customHeight="1" x14ac:dyDescent="0.2">
      <c r="A44832" s="258"/>
      <c r="Z44832" s="258"/>
    </row>
    <row r="44833" spans="1:26" ht="12.75" customHeight="1" x14ac:dyDescent="0.2">
      <c r="A44833" s="258"/>
      <c r="Z44833" s="258"/>
    </row>
    <row r="44834" spans="1:26" ht="12.75" customHeight="1" x14ac:dyDescent="0.2">
      <c r="A44834" s="258"/>
      <c r="Z44834" s="258"/>
    </row>
    <row r="44835" spans="1:26" ht="12.75" customHeight="1" x14ac:dyDescent="0.2">
      <c r="A44835" s="258"/>
      <c r="Z44835" s="258"/>
    </row>
    <row r="44836" spans="1:26" ht="12.75" customHeight="1" x14ac:dyDescent="0.2">
      <c r="A44836" s="258"/>
      <c r="Z44836" s="258"/>
    </row>
    <row r="44837" spans="1:26" ht="12.75" customHeight="1" x14ac:dyDescent="0.2">
      <c r="A44837" s="258"/>
      <c r="Z44837" s="258"/>
    </row>
    <row r="44838" spans="1:26" ht="12.75" customHeight="1" x14ac:dyDescent="0.2">
      <c r="A44838" s="258"/>
      <c r="Z44838" s="258"/>
    </row>
    <row r="44839" spans="1:26" ht="12.75" customHeight="1" x14ac:dyDescent="0.2">
      <c r="A44839" s="258"/>
      <c r="Z44839" s="258"/>
    </row>
    <row r="44840" spans="1:26" ht="12.75" customHeight="1" x14ac:dyDescent="0.2">
      <c r="A44840" s="258"/>
      <c r="Z44840" s="258"/>
    </row>
    <row r="44841" spans="1:26" ht="12.75" customHeight="1" x14ac:dyDescent="0.2">
      <c r="A44841" s="258"/>
      <c r="Z44841" s="258"/>
    </row>
    <row r="44842" spans="1:26" ht="12.75" customHeight="1" x14ac:dyDescent="0.2">
      <c r="A44842" s="258"/>
      <c r="Z44842" s="258"/>
    </row>
    <row r="44843" spans="1:26" ht="12.75" customHeight="1" x14ac:dyDescent="0.2">
      <c r="A44843" s="258"/>
      <c r="Z44843" s="258"/>
    </row>
    <row r="44844" spans="1:26" ht="12.75" customHeight="1" x14ac:dyDescent="0.2">
      <c r="A44844" s="258"/>
      <c r="Z44844" s="258"/>
    </row>
    <row r="44845" spans="1:26" ht="12.75" customHeight="1" x14ac:dyDescent="0.2">
      <c r="A44845" s="258"/>
      <c r="Z44845" s="258"/>
    </row>
    <row r="44846" spans="1:26" ht="12.75" customHeight="1" x14ac:dyDescent="0.2">
      <c r="A44846" s="258"/>
      <c r="Z44846" s="258"/>
    </row>
    <row r="44847" spans="1:26" ht="12.75" customHeight="1" x14ac:dyDescent="0.2">
      <c r="A44847" s="258"/>
      <c r="Z44847" s="258"/>
    </row>
    <row r="44848" spans="1:26" ht="12.75" customHeight="1" x14ac:dyDescent="0.2">
      <c r="A44848" s="258"/>
      <c r="Z44848" s="258"/>
    </row>
    <row r="44849" spans="1:26" ht="12.75" customHeight="1" x14ac:dyDescent="0.2">
      <c r="A44849" s="258"/>
      <c r="Z44849" s="258"/>
    </row>
    <row r="44850" spans="1:26" ht="12.75" customHeight="1" x14ac:dyDescent="0.2">
      <c r="A44850" s="258"/>
      <c r="Z44850" s="258"/>
    </row>
    <row r="44851" spans="1:26" ht="12.75" customHeight="1" x14ac:dyDescent="0.2">
      <c r="A44851" s="258"/>
      <c r="Z44851" s="258"/>
    </row>
    <row r="44852" spans="1:26" ht="12.75" customHeight="1" x14ac:dyDescent="0.2">
      <c r="A44852" s="258"/>
      <c r="Z44852" s="258"/>
    </row>
    <row r="44853" spans="1:26" ht="12.75" customHeight="1" x14ac:dyDescent="0.2">
      <c r="A44853" s="258"/>
      <c r="Z44853" s="258"/>
    </row>
    <row r="44854" spans="1:26" ht="12.75" customHeight="1" x14ac:dyDescent="0.2">
      <c r="A44854" s="258"/>
      <c r="Z44854" s="258"/>
    </row>
    <row r="44855" spans="1:26" ht="12.75" customHeight="1" x14ac:dyDescent="0.2">
      <c r="A44855" s="258"/>
      <c r="Z44855" s="258"/>
    </row>
    <row r="44856" spans="1:26" ht="12.75" customHeight="1" x14ac:dyDescent="0.2">
      <c r="A44856" s="258"/>
      <c r="Z44856" s="258"/>
    </row>
    <row r="44857" spans="1:26" ht="12.75" customHeight="1" x14ac:dyDescent="0.2">
      <c r="A44857" s="258"/>
      <c r="Z44857" s="258"/>
    </row>
    <row r="44858" spans="1:26" ht="12.75" customHeight="1" x14ac:dyDescent="0.2">
      <c r="A44858" s="258"/>
      <c r="Z44858" s="258"/>
    </row>
    <row r="44859" spans="1:26" ht="12.75" customHeight="1" x14ac:dyDescent="0.2">
      <c r="A44859" s="258"/>
      <c r="Z44859" s="258"/>
    </row>
    <row r="44860" spans="1:26" ht="12.75" customHeight="1" x14ac:dyDescent="0.2">
      <c r="A44860" s="258"/>
      <c r="Z44860" s="258"/>
    </row>
    <row r="44861" spans="1:26" ht="12.75" customHeight="1" x14ac:dyDescent="0.2">
      <c r="A44861" s="258"/>
      <c r="Z44861" s="258"/>
    </row>
    <row r="44862" spans="1:26" ht="12.75" customHeight="1" x14ac:dyDescent="0.2">
      <c r="A44862" s="258"/>
      <c r="Z44862" s="258"/>
    </row>
    <row r="44863" spans="1:26" ht="12.75" customHeight="1" x14ac:dyDescent="0.2">
      <c r="A44863" s="258"/>
      <c r="Z44863" s="258"/>
    </row>
    <row r="44864" spans="1:26" ht="12.75" customHeight="1" x14ac:dyDescent="0.2">
      <c r="A44864" s="258"/>
      <c r="Z44864" s="258"/>
    </row>
    <row r="44865" spans="1:26" ht="12.75" customHeight="1" x14ac:dyDescent="0.2">
      <c r="A44865" s="258"/>
      <c r="Z44865" s="258"/>
    </row>
    <row r="44866" spans="1:26" ht="12.75" customHeight="1" x14ac:dyDescent="0.2">
      <c r="A44866" s="258"/>
      <c r="Z44866" s="258"/>
    </row>
    <row r="44867" spans="1:26" ht="12.75" customHeight="1" x14ac:dyDescent="0.2">
      <c r="A44867" s="258"/>
      <c r="Z44867" s="258"/>
    </row>
    <row r="44868" spans="1:26" ht="12.75" customHeight="1" x14ac:dyDescent="0.2">
      <c r="A44868" s="258"/>
      <c r="Z44868" s="258"/>
    </row>
    <row r="44869" spans="1:26" ht="12.75" customHeight="1" x14ac:dyDescent="0.2">
      <c r="A44869" s="258"/>
      <c r="Z44869" s="258"/>
    </row>
    <row r="44870" spans="1:26" ht="12.75" customHeight="1" x14ac:dyDescent="0.2">
      <c r="A44870" s="258"/>
      <c r="Z44870" s="258"/>
    </row>
    <row r="44871" spans="1:26" ht="12.75" customHeight="1" x14ac:dyDescent="0.2">
      <c r="A44871" s="258"/>
      <c r="Z44871" s="258"/>
    </row>
    <row r="44872" spans="1:26" ht="12.75" customHeight="1" x14ac:dyDescent="0.2">
      <c r="A44872" s="258"/>
      <c r="Z44872" s="258"/>
    </row>
    <row r="44873" spans="1:26" ht="12.75" customHeight="1" x14ac:dyDescent="0.2">
      <c r="A44873" s="258"/>
      <c r="Z44873" s="258"/>
    </row>
    <row r="44874" spans="1:26" ht="12.75" customHeight="1" x14ac:dyDescent="0.2">
      <c r="A44874" s="258"/>
      <c r="Z44874" s="258"/>
    </row>
    <row r="44875" spans="1:26" ht="12.75" customHeight="1" x14ac:dyDescent="0.2">
      <c r="A44875" s="258"/>
      <c r="Z44875" s="258"/>
    </row>
    <row r="44876" spans="1:26" ht="12.75" customHeight="1" x14ac:dyDescent="0.2">
      <c r="A44876" s="258"/>
      <c r="Z44876" s="258"/>
    </row>
    <row r="44877" spans="1:26" ht="12.75" customHeight="1" x14ac:dyDescent="0.2">
      <c r="A44877" s="258"/>
      <c r="Z44877" s="258"/>
    </row>
    <row r="44878" spans="1:26" ht="12.75" customHeight="1" x14ac:dyDescent="0.2">
      <c r="A44878" s="258"/>
      <c r="Z44878" s="258"/>
    </row>
    <row r="44879" spans="1:26" ht="12.75" customHeight="1" x14ac:dyDescent="0.2">
      <c r="A44879" s="258"/>
      <c r="Z44879" s="258"/>
    </row>
    <row r="44880" spans="1:26" ht="12.75" customHeight="1" x14ac:dyDescent="0.2">
      <c r="A44880" s="258"/>
      <c r="Z44880" s="258"/>
    </row>
    <row r="44881" spans="1:26" ht="12.75" customHeight="1" x14ac:dyDescent="0.2">
      <c r="A44881" s="258"/>
      <c r="Z44881" s="258"/>
    </row>
    <row r="44882" spans="1:26" ht="12.75" customHeight="1" x14ac:dyDescent="0.2">
      <c r="A44882" s="258"/>
      <c r="Z44882" s="258"/>
    </row>
    <row r="44883" spans="1:26" ht="12.75" customHeight="1" x14ac:dyDescent="0.2">
      <c r="A44883" s="258"/>
      <c r="Z44883" s="258"/>
    </row>
    <row r="44884" spans="1:26" ht="12.75" customHeight="1" x14ac:dyDescent="0.2">
      <c r="A44884" s="258"/>
      <c r="Z44884" s="258"/>
    </row>
    <row r="44885" spans="1:26" ht="12.75" customHeight="1" x14ac:dyDescent="0.2">
      <c r="A44885" s="258"/>
      <c r="Z44885" s="258"/>
    </row>
    <row r="44886" spans="1:26" ht="12.75" customHeight="1" x14ac:dyDescent="0.2">
      <c r="A44886" s="258"/>
      <c r="Z44886" s="258"/>
    </row>
    <row r="44887" spans="1:26" ht="12.75" customHeight="1" x14ac:dyDescent="0.2">
      <c r="A44887" s="258"/>
      <c r="Z44887" s="258"/>
    </row>
    <row r="44888" spans="1:26" ht="12.75" customHeight="1" x14ac:dyDescent="0.2">
      <c r="A44888" s="258"/>
      <c r="Z44888" s="258"/>
    </row>
    <row r="44889" spans="1:26" ht="12.75" customHeight="1" x14ac:dyDescent="0.2">
      <c r="A44889" s="258"/>
      <c r="Z44889" s="258"/>
    </row>
    <row r="44890" spans="1:26" ht="12.75" customHeight="1" x14ac:dyDescent="0.2">
      <c r="A44890" s="258"/>
      <c r="Z44890" s="258"/>
    </row>
    <row r="44891" spans="1:26" ht="12.75" customHeight="1" x14ac:dyDescent="0.2">
      <c r="A44891" s="258"/>
      <c r="Z44891" s="258"/>
    </row>
    <row r="44892" spans="1:26" ht="12.75" customHeight="1" x14ac:dyDescent="0.2">
      <c r="A44892" s="258"/>
      <c r="Z44892" s="258"/>
    </row>
    <row r="44893" spans="1:26" ht="12.75" customHeight="1" x14ac:dyDescent="0.2">
      <c r="A44893" s="258"/>
      <c r="Z44893" s="258"/>
    </row>
    <row r="44894" spans="1:26" ht="12.75" customHeight="1" x14ac:dyDescent="0.2">
      <c r="A44894" s="258"/>
      <c r="Z44894" s="258"/>
    </row>
    <row r="44895" spans="1:26" ht="12.75" customHeight="1" x14ac:dyDescent="0.2">
      <c r="A44895" s="258"/>
      <c r="Z44895" s="258"/>
    </row>
    <row r="44896" spans="1:26" ht="12.75" customHeight="1" x14ac:dyDescent="0.2">
      <c r="A44896" s="258"/>
      <c r="Z44896" s="258"/>
    </row>
    <row r="44897" spans="1:26" ht="12.75" customHeight="1" x14ac:dyDescent="0.2">
      <c r="A44897" s="258"/>
      <c r="Z44897" s="258"/>
    </row>
    <row r="44898" spans="1:26" ht="12.75" customHeight="1" x14ac:dyDescent="0.2">
      <c r="A44898" s="258"/>
      <c r="Z44898" s="258"/>
    </row>
    <row r="44899" spans="1:26" ht="12.75" customHeight="1" x14ac:dyDescent="0.2">
      <c r="A44899" s="258"/>
      <c r="Z44899" s="258"/>
    </row>
    <row r="44900" spans="1:26" ht="12.75" customHeight="1" x14ac:dyDescent="0.2">
      <c r="A44900" s="258"/>
      <c r="Z44900" s="258"/>
    </row>
    <row r="44901" spans="1:26" ht="12.75" customHeight="1" x14ac:dyDescent="0.2">
      <c r="A44901" s="258"/>
      <c r="Z44901" s="258"/>
    </row>
    <row r="44902" spans="1:26" ht="12.75" customHeight="1" x14ac:dyDescent="0.2">
      <c r="A44902" s="258"/>
      <c r="Z44902" s="258"/>
    </row>
    <row r="44903" spans="1:26" ht="12.75" customHeight="1" x14ac:dyDescent="0.2">
      <c r="A44903" s="258"/>
      <c r="Z44903" s="258"/>
    </row>
    <row r="44904" spans="1:26" ht="12.75" customHeight="1" x14ac:dyDescent="0.2">
      <c r="A44904" s="258"/>
      <c r="Z44904" s="258"/>
    </row>
    <row r="44905" spans="1:26" ht="12.75" customHeight="1" x14ac:dyDescent="0.2">
      <c r="A44905" s="258"/>
      <c r="Z44905" s="258"/>
    </row>
    <row r="44906" spans="1:26" ht="12.75" customHeight="1" x14ac:dyDescent="0.2">
      <c r="A44906" s="258"/>
      <c r="Z44906" s="258"/>
    </row>
    <row r="44907" spans="1:26" ht="12.75" customHeight="1" x14ac:dyDescent="0.2">
      <c r="A44907" s="258"/>
      <c r="Z44907" s="258"/>
    </row>
    <row r="44908" spans="1:26" ht="12.75" customHeight="1" x14ac:dyDescent="0.2">
      <c r="A44908" s="258"/>
      <c r="Z44908" s="258"/>
    </row>
    <row r="44909" spans="1:26" ht="12.75" customHeight="1" x14ac:dyDescent="0.2">
      <c r="A44909" s="258"/>
      <c r="Z44909" s="258"/>
    </row>
    <row r="44910" spans="1:26" ht="12.75" customHeight="1" x14ac:dyDescent="0.2">
      <c r="A44910" s="258"/>
      <c r="Z44910" s="258"/>
    </row>
    <row r="44911" spans="1:26" ht="12.75" customHeight="1" x14ac:dyDescent="0.2">
      <c r="A44911" s="258"/>
      <c r="Z44911" s="258"/>
    </row>
    <row r="44912" spans="1:26" ht="12.75" customHeight="1" x14ac:dyDescent="0.2">
      <c r="A44912" s="258"/>
      <c r="Z44912" s="258"/>
    </row>
    <row r="44913" spans="1:26" ht="12.75" customHeight="1" x14ac:dyDescent="0.2">
      <c r="A44913" s="258"/>
      <c r="Z44913" s="258"/>
    </row>
    <row r="44914" spans="1:26" ht="12.75" customHeight="1" x14ac:dyDescent="0.2">
      <c r="A44914" s="258"/>
      <c r="Z44914" s="258"/>
    </row>
    <row r="44915" spans="1:26" ht="12.75" customHeight="1" x14ac:dyDescent="0.2">
      <c r="A44915" s="258"/>
      <c r="Z44915" s="258"/>
    </row>
    <row r="44916" spans="1:26" ht="12.75" customHeight="1" x14ac:dyDescent="0.2">
      <c r="A44916" s="258"/>
      <c r="Z44916" s="258"/>
    </row>
    <row r="44917" spans="1:26" ht="12.75" customHeight="1" x14ac:dyDescent="0.2">
      <c r="A44917" s="258"/>
      <c r="Z44917" s="258"/>
    </row>
    <row r="44918" spans="1:26" ht="12.75" customHeight="1" x14ac:dyDescent="0.2">
      <c r="A44918" s="258"/>
      <c r="Z44918" s="258"/>
    </row>
    <row r="44919" spans="1:26" ht="12.75" customHeight="1" x14ac:dyDescent="0.2">
      <c r="A44919" s="258"/>
      <c r="Z44919" s="258"/>
    </row>
    <row r="44920" spans="1:26" ht="12.75" customHeight="1" x14ac:dyDescent="0.2">
      <c r="A44920" s="258"/>
      <c r="Z44920" s="258"/>
    </row>
    <row r="44921" spans="1:26" ht="12.75" customHeight="1" x14ac:dyDescent="0.2">
      <c r="A44921" s="258"/>
      <c r="Z44921" s="258"/>
    </row>
    <row r="44922" spans="1:26" ht="12.75" customHeight="1" x14ac:dyDescent="0.2">
      <c r="A44922" s="258"/>
      <c r="Z44922" s="258"/>
    </row>
    <row r="44923" spans="1:26" ht="12.75" customHeight="1" x14ac:dyDescent="0.2">
      <c r="A44923" s="258"/>
      <c r="Z44923" s="258"/>
    </row>
    <row r="44924" spans="1:26" ht="12.75" customHeight="1" x14ac:dyDescent="0.2">
      <c r="A44924" s="258"/>
      <c r="Z44924" s="258"/>
    </row>
    <row r="44925" spans="1:26" ht="12.75" customHeight="1" x14ac:dyDescent="0.2">
      <c r="A44925" s="258"/>
      <c r="Z44925" s="258"/>
    </row>
    <row r="44926" spans="1:26" ht="12.75" customHeight="1" x14ac:dyDescent="0.2">
      <c r="A44926" s="258"/>
      <c r="Z44926" s="258"/>
    </row>
    <row r="44927" spans="1:26" ht="12.75" customHeight="1" x14ac:dyDescent="0.2">
      <c r="A44927" s="258"/>
      <c r="Z44927" s="258"/>
    </row>
    <row r="44928" spans="1:26" ht="12.75" customHeight="1" x14ac:dyDescent="0.2">
      <c r="A44928" s="258"/>
      <c r="Z44928" s="258"/>
    </row>
    <row r="44929" spans="1:26" ht="12.75" customHeight="1" x14ac:dyDescent="0.2">
      <c r="A44929" s="258"/>
      <c r="Z44929" s="258"/>
    </row>
    <row r="44930" spans="1:26" ht="12.75" customHeight="1" x14ac:dyDescent="0.2">
      <c r="A44930" s="258"/>
      <c r="Z44930" s="258"/>
    </row>
    <row r="44931" spans="1:26" ht="12.75" customHeight="1" x14ac:dyDescent="0.2">
      <c r="A44931" s="258"/>
      <c r="Z44931" s="258"/>
    </row>
    <row r="44932" spans="1:26" ht="12.75" customHeight="1" x14ac:dyDescent="0.2">
      <c r="A44932" s="258"/>
      <c r="Z44932" s="258"/>
    </row>
    <row r="44933" spans="1:26" ht="12.75" customHeight="1" x14ac:dyDescent="0.2">
      <c r="A44933" s="258"/>
      <c r="Z44933" s="258"/>
    </row>
    <row r="44934" spans="1:26" ht="12.75" customHeight="1" x14ac:dyDescent="0.2">
      <c r="A44934" s="258"/>
      <c r="Z44934" s="258"/>
    </row>
    <row r="44935" spans="1:26" ht="12.75" customHeight="1" x14ac:dyDescent="0.2">
      <c r="A44935" s="258"/>
      <c r="Z44935" s="258"/>
    </row>
    <row r="44936" spans="1:26" ht="12.75" customHeight="1" x14ac:dyDescent="0.2">
      <c r="A44936" s="258"/>
      <c r="Z44936" s="258"/>
    </row>
    <row r="44937" spans="1:26" ht="12.75" customHeight="1" x14ac:dyDescent="0.2">
      <c r="A44937" s="258"/>
      <c r="Z44937" s="258"/>
    </row>
    <row r="44938" spans="1:26" ht="12.75" customHeight="1" x14ac:dyDescent="0.2">
      <c r="A44938" s="258"/>
      <c r="Z44938" s="258"/>
    </row>
    <row r="44939" spans="1:26" ht="12.75" customHeight="1" x14ac:dyDescent="0.2">
      <c r="A44939" s="258"/>
      <c r="Z44939" s="258"/>
    </row>
    <row r="44940" spans="1:26" ht="12.75" customHeight="1" x14ac:dyDescent="0.2">
      <c r="A44940" s="258"/>
      <c r="Z44940" s="258"/>
    </row>
    <row r="44941" spans="1:26" ht="12.75" customHeight="1" x14ac:dyDescent="0.2">
      <c r="A44941" s="258"/>
      <c r="Z44941" s="258"/>
    </row>
    <row r="44942" spans="1:26" ht="12.75" customHeight="1" x14ac:dyDescent="0.2">
      <c r="A44942" s="258"/>
      <c r="Z44942" s="258"/>
    </row>
    <row r="44943" spans="1:26" ht="12.75" customHeight="1" x14ac:dyDescent="0.2">
      <c r="A44943" s="258"/>
      <c r="Z44943" s="258"/>
    </row>
    <row r="44944" spans="1:26" ht="12.75" customHeight="1" x14ac:dyDescent="0.2">
      <c r="A44944" s="258"/>
      <c r="Z44944" s="258"/>
    </row>
    <row r="44945" spans="1:26" ht="12.75" customHeight="1" x14ac:dyDescent="0.2">
      <c r="A44945" s="258"/>
      <c r="Z44945" s="258"/>
    </row>
    <row r="44946" spans="1:26" ht="12.75" customHeight="1" x14ac:dyDescent="0.2">
      <c r="A44946" s="258"/>
      <c r="Z44946" s="258"/>
    </row>
    <row r="44947" spans="1:26" ht="12.75" customHeight="1" x14ac:dyDescent="0.2">
      <c r="A44947" s="258"/>
      <c r="Z44947" s="258"/>
    </row>
    <row r="44948" spans="1:26" ht="12.75" customHeight="1" x14ac:dyDescent="0.2">
      <c r="A44948" s="258"/>
      <c r="Z44948" s="258"/>
    </row>
    <row r="44949" spans="1:26" ht="12.75" customHeight="1" x14ac:dyDescent="0.2">
      <c r="A44949" s="258"/>
      <c r="Z44949" s="258"/>
    </row>
    <row r="44950" spans="1:26" ht="12.75" customHeight="1" x14ac:dyDescent="0.2">
      <c r="A44950" s="258"/>
      <c r="Z44950" s="258"/>
    </row>
    <row r="44951" spans="1:26" ht="12.75" customHeight="1" x14ac:dyDescent="0.2">
      <c r="A44951" s="258"/>
      <c r="Z44951" s="258"/>
    </row>
    <row r="44952" spans="1:26" ht="12.75" customHeight="1" x14ac:dyDescent="0.2">
      <c r="A44952" s="258"/>
      <c r="Z44952" s="258"/>
    </row>
    <row r="44953" spans="1:26" ht="12.75" customHeight="1" x14ac:dyDescent="0.2">
      <c r="A44953" s="258"/>
      <c r="Z44953" s="258"/>
    </row>
    <row r="44954" spans="1:26" ht="12.75" customHeight="1" x14ac:dyDescent="0.2">
      <c r="A44954" s="258"/>
      <c r="Z44954" s="258"/>
    </row>
    <row r="44955" spans="1:26" ht="12.75" customHeight="1" x14ac:dyDescent="0.2">
      <c r="A44955" s="258"/>
      <c r="Z44955" s="258"/>
    </row>
    <row r="44956" spans="1:26" ht="12.75" customHeight="1" x14ac:dyDescent="0.2">
      <c r="A44956" s="258"/>
      <c r="Z44956" s="258"/>
    </row>
    <row r="44957" spans="1:26" ht="12.75" customHeight="1" x14ac:dyDescent="0.2">
      <c r="A44957" s="258"/>
      <c r="Z44957" s="258"/>
    </row>
    <row r="44958" spans="1:26" ht="12.75" customHeight="1" x14ac:dyDescent="0.2">
      <c r="A44958" s="258"/>
      <c r="Z44958" s="258"/>
    </row>
    <row r="44959" spans="1:26" ht="12.75" customHeight="1" x14ac:dyDescent="0.2">
      <c r="A44959" s="258"/>
      <c r="Z44959" s="258"/>
    </row>
    <row r="44960" spans="1:26" ht="12.75" customHeight="1" x14ac:dyDescent="0.2">
      <c r="A44960" s="258"/>
      <c r="Z44960" s="258"/>
    </row>
    <row r="44961" spans="1:26" ht="12.75" customHeight="1" x14ac:dyDescent="0.2">
      <c r="A44961" s="258"/>
      <c r="Z44961" s="258"/>
    </row>
    <row r="44962" spans="1:26" ht="12.75" customHeight="1" x14ac:dyDescent="0.2">
      <c r="A44962" s="258"/>
      <c r="Z44962" s="258"/>
    </row>
    <row r="44963" spans="1:26" ht="12.75" customHeight="1" x14ac:dyDescent="0.2">
      <c r="A44963" s="258"/>
      <c r="Z44963" s="258"/>
    </row>
    <row r="44964" spans="1:26" ht="12.75" customHeight="1" x14ac:dyDescent="0.2">
      <c r="A44964" s="258"/>
      <c r="Z44964" s="258"/>
    </row>
    <row r="44965" spans="1:26" ht="12.75" customHeight="1" x14ac:dyDescent="0.2">
      <c r="A44965" s="258"/>
      <c r="Z44965" s="258"/>
    </row>
    <row r="44966" spans="1:26" ht="12.75" customHeight="1" x14ac:dyDescent="0.2">
      <c r="A44966" s="258"/>
      <c r="Z44966" s="258"/>
    </row>
    <row r="44967" spans="1:26" ht="12.75" customHeight="1" x14ac:dyDescent="0.2">
      <c r="A44967" s="258"/>
      <c r="Z44967" s="258"/>
    </row>
    <row r="44968" spans="1:26" ht="12.75" customHeight="1" x14ac:dyDescent="0.2">
      <c r="A44968" s="258"/>
      <c r="Z44968" s="258"/>
    </row>
    <row r="44969" spans="1:26" ht="12.75" customHeight="1" x14ac:dyDescent="0.2">
      <c r="A44969" s="258"/>
      <c r="Z44969" s="258"/>
    </row>
    <row r="44970" spans="1:26" ht="12.75" customHeight="1" x14ac:dyDescent="0.2">
      <c r="A44970" s="258"/>
      <c r="Z44970" s="258"/>
    </row>
    <row r="44971" spans="1:26" ht="12.75" customHeight="1" x14ac:dyDescent="0.2">
      <c r="A44971" s="258"/>
      <c r="Z44971" s="258"/>
    </row>
    <row r="44972" spans="1:26" ht="12.75" customHeight="1" x14ac:dyDescent="0.2">
      <c r="A44972" s="258"/>
      <c r="Z44972" s="258"/>
    </row>
    <row r="44973" spans="1:26" ht="12.75" customHeight="1" x14ac:dyDescent="0.2">
      <c r="A44973" s="258"/>
      <c r="Z44973" s="258"/>
    </row>
    <row r="44974" spans="1:26" ht="12.75" customHeight="1" x14ac:dyDescent="0.2">
      <c r="A44974" s="258"/>
      <c r="Z44974" s="258"/>
    </row>
    <row r="44975" spans="1:26" ht="12.75" customHeight="1" x14ac:dyDescent="0.2">
      <c r="A44975" s="258"/>
      <c r="Z44975" s="258"/>
    </row>
    <row r="44976" spans="1:26" ht="12.75" customHeight="1" x14ac:dyDescent="0.2">
      <c r="A44976" s="258"/>
      <c r="Z44976" s="258"/>
    </row>
    <row r="44977" spans="1:26" ht="12.75" customHeight="1" x14ac:dyDescent="0.2">
      <c r="A44977" s="258"/>
      <c r="Z44977" s="258"/>
    </row>
    <row r="44978" spans="1:26" ht="12.75" customHeight="1" x14ac:dyDescent="0.2">
      <c r="A44978" s="258"/>
      <c r="Z44978" s="258"/>
    </row>
    <row r="44979" spans="1:26" ht="12.75" customHeight="1" x14ac:dyDescent="0.2">
      <c r="A44979" s="258"/>
      <c r="Z44979" s="258"/>
    </row>
    <row r="44980" spans="1:26" ht="12.75" customHeight="1" x14ac:dyDescent="0.2">
      <c r="A44980" s="258"/>
      <c r="Z44980" s="258"/>
    </row>
    <row r="44981" spans="1:26" ht="12.75" customHeight="1" x14ac:dyDescent="0.2">
      <c r="A44981" s="258"/>
      <c r="Z44981" s="258"/>
    </row>
    <row r="44982" spans="1:26" ht="12.75" customHeight="1" x14ac:dyDescent="0.2">
      <c r="A44982" s="258"/>
      <c r="Z44982" s="258"/>
    </row>
    <row r="44983" spans="1:26" ht="12.75" customHeight="1" x14ac:dyDescent="0.2">
      <c r="A44983" s="258"/>
      <c r="Z44983" s="258"/>
    </row>
    <row r="44984" spans="1:26" ht="12.75" customHeight="1" x14ac:dyDescent="0.2">
      <c r="A44984" s="258"/>
      <c r="Z44984" s="258"/>
    </row>
    <row r="44985" spans="1:26" ht="12.75" customHeight="1" x14ac:dyDescent="0.2">
      <c r="A44985" s="258"/>
      <c r="Z44985" s="258"/>
    </row>
    <row r="44986" spans="1:26" ht="12.75" customHeight="1" x14ac:dyDescent="0.2">
      <c r="A44986" s="258"/>
      <c r="Z44986" s="258"/>
    </row>
    <row r="44987" spans="1:26" ht="12.75" customHeight="1" x14ac:dyDescent="0.2">
      <c r="A44987" s="258"/>
      <c r="Z44987" s="258"/>
    </row>
    <row r="44988" spans="1:26" ht="12.75" customHeight="1" x14ac:dyDescent="0.2">
      <c r="A44988" s="258"/>
      <c r="Z44988" s="258"/>
    </row>
    <row r="44989" spans="1:26" ht="12.75" customHeight="1" x14ac:dyDescent="0.2">
      <c r="A44989" s="258"/>
      <c r="Z44989" s="258"/>
    </row>
    <row r="44990" spans="1:26" ht="12.75" customHeight="1" x14ac:dyDescent="0.2">
      <c r="A44990" s="258"/>
      <c r="Z44990" s="258"/>
    </row>
    <row r="44991" spans="1:26" ht="12.75" customHeight="1" x14ac:dyDescent="0.2">
      <c r="A44991" s="258"/>
      <c r="Z44991" s="258"/>
    </row>
    <row r="44992" spans="1:26" ht="12.75" customHeight="1" x14ac:dyDescent="0.2">
      <c r="A44992" s="258"/>
      <c r="Z44992" s="258"/>
    </row>
    <row r="44993" spans="1:26" ht="12.75" customHeight="1" x14ac:dyDescent="0.2">
      <c r="A44993" s="258"/>
      <c r="Z44993" s="258"/>
    </row>
    <row r="44994" spans="1:26" ht="12.75" customHeight="1" x14ac:dyDescent="0.2">
      <c r="A44994" s="258"/>
      <c r="Z44994" s="258"/>
    </row>
    <row r="44995" spans="1:26" ht="12.75" customHeight="1" x14ac:dyDescent="0.2">
      <c r="A44995" s="258"/>
      <c r="Z44995" s="258"/>
    </row>
    <row r="44996" spans="1:26" ht="12.75" customHeight="1" x14ac:dyDescent="0.2">
      <c r="A44996" s="258"/>
      <c r="Z44996" s="258"/>
    </row>
    <row r="44997" spans="1:26" ht="12.75" customHeight="1" x14ac:dyDescent="0.2">
      <c r="A44997" s="258"/>
      <c r="Z44997" s="258"/>
    </row>
    <row r="44998" spans="1:26" ht="12.75" customHeight="1" x14ac:dyDescent="0.2">
      <c r="A44998" s="258"/>
      <c r="Z44998" s="258"/>
    </row>
    <row r="44999" spans="1:26" ht="12.75" customHeight="1" x14ac:dyDescent="0.2">
      <c r="A44999" s="258"/>
      <c r="Z44999" s="258"/>
    </row>
    <row r="45000" spans="1:26" ht="12.75" customHeight="1" x14ac:dyDescent="0.2">
      <c r="A45000" s="258"/>
      <c r="Z45000" s="258"/>
    </row>
    <row r="45001" spans="1:26" ht="12.75" customHeight="1" x14ac:dyDescent="0.2">
      <c r="A45001" s="258"/>
      <c r="Z45001" s="258"/>
    </row>
    <row r="45002" spans="1:26" ht="12.75" customHeight="1" x14ac:dyDescent="0.2">
      <c r="A45002" s="258"/>
      <c r="Z45002" s="258"/>
    </row>
    <row r="45003" spans="1:26" ht="12.75" customHeight="1" x14ac:dyDescent="0.2">
      <c r="A45003" s="258"/>
      <c r="Z45003" s="258"/>
    </row>
    <row r="45004" spans="1:26" ht="12.75" customHeight="1" x14ac:dyDescent="0.2">
      <c r="A45004" s="258"/>
      <c r="Z45004" s="258"/>
    </row>
    <row r="45005" spans="1:26" ht="12.75" customHeight="1" x14ac:dyDescent="0.2">
      <c r="A45005" s="258"/>
      <c r="Z45005" s="258"/>
    </row>
    <row r="45006" spans="1:26" ht="12.75" customHeight="1" x14ac:dyDescent="0.2">
      <c r="A45006" s="258"/>
      <c r="Z45006" s="258"/>
    </row>
    <row r="45007" spans="1:26" ht="12.75" customHeight="1" x14ac:dyDescent="0.2">
      <c r="A45007" s="258"/>
      <c r="Z45007" s="258"/>
    </row>
    <row r="45008" spans="1:26" ht="12.75" customHeight="1" x14ac:dyDescent="0.2">
      <c r="A45008" s="258"/>
      <c r="Z45008" s="258"/>
    </row>
    <row r="45009" spans="1:26" ht="12.75" customHeight="1" x14ac:dyDescent="0.2">
      <c r="A45009" s="258"/>
      <c r="Z45009" s="258"/>
    </row>
    <row r="45010" spans="1:26" ht="12.75" customHeight="1" x14ac:dyDescent="0.2">
      <c r="A45010" s="258"/>
      <c r="Z45010" s="258"/>
    </row>
    <row r="45011" spans="1:26" ht="12.75" customHeight="1" x14ac:dyDescent="0.2">
      <c r="A45011" s="258"/>
      <c r="Z45011" s="258"/>
    </row>
    <row r="45012" spans="1:26" ht="12.75" customHeight="1" x14ac:dyDescent="0.2">
      <c r="A45012" s="258"/>
      <c r="Z45012" s="258"/>
    </row>
    <row r="45013" spans="1:26" ht="12.75" customHeight="1" x14ac:dyDescent="0.2">
      <c r="A45013" s="258"/>
      <c r="Z45013" s="258"/>
    </row>
    <row r="45014" spans="1:26" ht="12.75" customHeight="1" x14ac:dyDescent="0.2">
      <c r="A45014" s="258"/>
      <c r="Z45014" s="258"/>
    </row>
    <row r="45015" spans="1:26" ht="12.75" customHeight="1" x14ac:dyDescent="0.2">
      <c r="A45015" s="258"/>
      <c r="Z45015" s="258"/>
    </row>
    <row r="45016" spans="1:26" ht="12.75" customHeight="1" x14ac:dyDescent="0.2">
      <c r="A45016" s="258"/>
      <c r="Z45016" s="258"/>
    </row>
    <row r="45017" spans="1:26" ht="12.75" customHeight="1" x14ac:dyDescent="0.2">
      <c r="A45017" s="258"/>
      <c r="Z45017" s="258"/>
    </row>
    <row r="45018" spans="1:26" ht="12.75" customHeight="1" x14ac:dyDescent="0.2">
      <c r="A45018" s="258"/>
      <c r="Z45018" s="258"/>
    </row>
    <row r="45019" spans="1:26" ht="12.75" customHeight="1" x14ac:dyDescent="0.2">
      <c r="A45019" s="258"/>
      <c r="Z45019" s="258"/>
    </row>
    <row r="45020" spans="1:26" ht="12.75" customHeight="1" x14ac:dyDescent="0.2">
      <c r="A45020" s="258"/>
      <c r="Z45020" s="258"/>
    </row>
    <row r="45021" spans="1:26" ht="12.75" customHeight="1" x14ac:dyDescent="0.2">
      <c r="A45021" s="258"/>
      <c r="Z45021" s="258"/>
    </row>
    <row r="45022" spans="1:26" ht="12.75" customHeight="1" x14ac:dyDescent="0.2">
      <c r="A45022" s="258"/>
      <c r="Z45022" s="258"/>
    </row>
    <row r="45023" spans="1:26" ht="12.75" customHeight="1" x14ac:dyDescent="0.2">
      <c r="A45023" s="258"/>
      <c r="Z45023" s="258"/>
    </row>
    <row r="45024" spans="1:26" ht="12.75" customHeight="1" x14ac:dyDescent="0.2">
      <c r="A45024" s="258"/>
      <c r="Z45024" s="258"/>
    </row>
    <row r="45025" spans="1:26" ht="12.75" customHeight="1" x14ac:dyDescent="0.2">
      <c r="A45025" s="258"/>
      <c r="Z45025" s="258"/>
    </row>
    <row r="45026" spans="1:26" ht="12.75" customHeight="1" x14ac:dyDescent="0.2">
      <c r="A45026" s="258"/>
      <c r="Z45026" s="258"/>
    </row>
    <row r="45027" spans="1:26" ht="12.75" customHeight="1" x14ac:dyDescent="0.2">
      <c r="A45027" s="258"/>
      <c r="Z45027" s="258"/>
    </row>
    <row r="45028" spans="1:26" ht="12.75" customHeight="1" x14ac:dyDescent="0.2">
      <c r="A45028" s="258"/>
      <c r="Z45028" s="258"/>
    </row>
    <row r="45029" spans="1:26" ht="12.75" customHeight="1" x14ac:dyDescent="0.2">
      <c r="A45029" s="258"/>
      <c r="Z45029" s="258"/>
    </row>
    <row r="45030" spans="1:26" ht="12.75" customHeight="1" x14ac:dyDescent="0.2">
      <c r="A45030" s="258"/>
      <c r="Z45030" s="258"/>
    </row>
    <row r="45031" spans="1:26" ht="12.75" customHeight="1" x14ac:dyDescent="0.2">
      <c r="A45031" s="258"/>
      <c r="Z45031" s="258"/>
    </row>
    <row r="45032" spans="1:26" ht="12.75" customHeight="1" x14ac:dyDescent="0.2">
      <c r="A45032" s="258"/>
      <c r="Z45032" s="258"/>
    </row>
    <row r="45033" spans="1:26" ht="12.75" customHeight="1" x14ac:dyDescent="0.2">
      <c r="A45033" s="258"/>
      <c r="Z45033" s="258"/>
    </row>
    <row r="45034" spans="1:26" ht="12.75" customHeight="1" x14ac:dyDescent="0.2">
      <c r="A45034" s="258"/>
      <c r="Z45034" s="258"/>
    </row>
    <row r="45035" spans="1:26" ht="12.75" customHeight="1" x14ac:dyDescent="0.2">
      <c r="A45035" s="258"/>
      <c r="Z45035" s="258"/>
    </row>
    <row r="45036" spans="1:26" ht="12.75" customHeight="1" x14ac:dyDescent="0.2">
      <c r="A45036" s="258"/>
      <c r="Z45036" s="258"/>
    </row>
    <row r="45037" spans="1:26" ht="12.75" customHeight="1" x14ac:dyDescent="0.2">
      <c r="A45037" s="258"/>
      <c r="Z45037" s="258"/>
    </row>
    <row r="45038" spans="1:26" ht="12.75" customHeight="1" x14ac:dyDescent="0.2">
      <c r="A45038" s="258"/>
      <c r="Z45038" s="258"/>
    </row>
    <row r="45039" spans="1:26" ht="12.75" customHeight="1" x14ac:dyDescent="0.2">
      <c r="A45039" s="258"/>
      <c r="Z45039" s="258"/>
    </row>
    <row r="45040" spans="1:26" ht="12.75" customHeight="1" x14ac:dyDescent="0.2">
      <c r="A45040" s="258"/>
      <c r="Z45040" s="258"/>
    </row>
    <row r="45041" spans="1:26" ht="12.75" customHeight="1" x14ac:dyDescent="0.2">
      <c r="A45041" s="258"/>
      <c r="Z45041" s="258"/>
    </row>
    <row r="45042" spans="1:26" ht="12.75" customHeight="1" x14ac:dyDescent="0.2">
      <c r="A45042" s="258"/>
      <c r="Z45042" s="258"/>
    </row>
    <row r="45043" spans="1:26" ht="12.75" customHeight="1" x14ac:dyDescent="0.2">
      <c r="A45043" s="258"/>
      <c r="Z45043" s="258"/>
    </row>
    <row r="45044" spans="1:26" ht="12.75" customHeight="1" x14ac:dyDescent="0.2">
      <c r="A45044" s="258"/>
      <c r="Z45044" s="258"/>
    </row>
    <row r="45045" spans="1:26" ht="12.75" customHeight="1" x14ac:dyDescent="0.2">
      <c r="A45045" s="258"/>
      <c r="Z45045" s="258"/>
    </row>
    <row r="45046" spans="1:26" ht="12.75" customHeight="1" x14ac:dyDescent="0.2">
      <c r="A45046" s="258"/>
      <c r="Z45046" s="258"/>
    </row>
    <row r="45047" spans="1:26" ht="12.75" customHeight="1" x14ac:dyDescent="0.2">
      <c r="A45047" s="258"/>
      <c r="Z45047" s="258"/>
    </row>
    <row r="45048" spans="1:26" ht="12.75" customHeight="1" x14ac:dyDescent="0.2">
      <c r="A45048" s="258"/>
      <c r="Z45048" s="258"/>
    </row>
    <row r="45049" spans="1:26" ht="12.75" customHeight="1" x14ac:dyDescent="0.2">
      <c r="A45049" s="258"/>
      <c r="Z45049" s="258"/>
    </row>
    <row r="45050" spans="1:26" ht="12.75" customHeight="1" x14ac:dyDescent="0.2">
      <c r="A45050" s="258"/>
      <c r="Z45050" s="258"/>
    </row>
    <row r="45051" spans="1:26" ht="12.75" customHeight="1" x14ac:dyDescent="0.2">
      <c r="A45051" s="258"/>
      <c r="Z45051" s="258"/>
    </row>
    <row r="45052" spans="1:26" ht="12.75" customHeight="1" x14ac:dyDescent="0.2">
      <c r="A45052" s="258"/>
      <c r="Z45052" s="258"/>
    </row>
    <row r="45053" spans="1:26" ht="12.75" customHeight="1" x14ac:dyDescent="0.2">
      <c r="A45053" s="258"/>
      <c r="Z45053" s="258"/>
    </row>
    <row r="45054" spans="1:26" ht="12.75" customHeight="1" x14ac:dyDescent="0.2">
      <c r="A45054" s="258"/>
      <c r="Z45054" s="258"/>
    </row>
    <row r="45055" spans="1:26" ht="12.75" customHeight="1" x14ac:dyDescent="0.2">
      <c r="A45055" s="258"/>
      <c r="Z45055" s="258"/>
    </row>
    <row r="45056" spans="1:26" ht="12.75" customHeight="1" x14ac:dyDescent="0.2">
      <c r="A45056" s="258"/>
      <c r="Z45056" s="258"/>
    </row>
    <row r="45057" spans="1:26" ht="12.75" customHeight="1" x14ac:dyDescent="0.2">
      <c r="A45057" s="258"/>
      <c r="Z45057" s="258"/>
    </row>
    <row r="45058" spans="1:26" ht="12.75" customHeight="1" x14ac:dyDescent="0.2">
      <c r="A45058" s="258"/>
      <c r="Z45058" s="258"/>
    </row>
    <row r="45059" spans="1:26" ht="12.75" customHeight="1" x14ac:dyDescent="0.2">
      <c r="A45059" s="258"/>
      <c r="Z45059" s="258"/>
    </row>
    <row r="45060" spans="1:26" ht="12.75" customHeight="1" x14ac:dyDescent="0.2">
      <c r="A45060" s="258"/>
      <c r="Z45060" s="258"/>
    </row>
    <row r="45061" spans="1:26" ht="12.75" customHeight="1" x14ac:dyDescent="0.2">
      <c r="A45061" s="258"/>
      <c r="Z45061" s="258"/>
    </row>
    <row r="45062" spans="1:26" ht="12.75" customHeight="1" x14ac:dyDescent="0.2">
      <c r="A45062" s="258"/>
      <c r="Z45062" s="258"/>
    </row>
    <row r="45063" spans="1:26" ht="12.75" customHeight="1" x14ac:dyDescent="0.2">
      <c r="A45063" s="258"/>
      <c r="Z45063" s="258"/>
    </row>
    <row r="45064" spans="1:26" ht="12.75" customHeight="1" x14ac:dyDescent="0.2">
      <c r="A45064" s="258"/>
      <c r="Z45064" s="258"/>
    </row>
    <row r="45065" spans="1:26" ht="12.75" customHeight="1" x14ac:dyDescent="0.2">
      <c r="A45065" s="258"/>
      <c r="Z45065" s="258"/>
    </row>
    <row r="45066" spans="1:26" ht="12.75" customHeight="1" x14ac:dyDescent="0.2">
      <c r="A45066" s="258"/>
      <c r="Z45066" s="258"/>
    </row>
    <row r="45067" spans="1:26" ht="12.75" customHeight="1" x14ac:dyDescent="0.2">
      <c r="A45067" s="258"/>
      <c r="Z45067" s="258"/>
    </row>
    <row r="45068" spans="1:26" ht="12.75" customHeight="1" x14ac:dyDescent="0.2">
      <c r="A45068" s="258"/>
      <c r="Z45068" s="258"/>
    </row>
    <row r="45069" spans="1:26" ht="12.75" customHeight="1" x14ac:dyDescent="0.2">
      <c r="A45069" s="258"/>
      <c r="Z45069" s="258"/>
    </row>
    <row r="45070" spans="1:26" ht="12.75" customHeight="1" x14ac:dyDescent="0.2">
      <c r="A45070" s="258"/>
      <c r="Z45070" s="258"/>
    </row>
    <row r="45071" spans="1:26" ht="12.75" customHeight="1" x14ac:dyDescent="0.2">
      <c r="A45071" s="258"/>
      <c r="Z45071" s="258"/>
    </row>
    <row r="45072" spans="1:26" ht="12.75" customHeight="1" x14ac:dyDescent="0.2">
      <c r="A45072" s="258"/>
      <c r="Z45072" s="258"/>
    </row>
    <row r="45073" spans="1:26" ht="12.75" customHeight="1" x14ac:dyDescent="0.2">
      <c r="A45073" s="258"/>
      <c r="Z45073" s="258"/>
    </row>
    <row r="45074" spans="1:26" ht="12.75" customHeight="1" x14ac:dyDescent="0.2">
      <c r="A45074" s="258"/>
      <c r="Z45074" s="258"/>
    </row>
    <row r="45075" spans="1:26" ht="12.75" customHeight="1" x14ac:dyDescent="0.2">
      <c r="A45075" s="258"/>
      <c r="Z45075" s="258"/>
    </row>
    <row r="45076" spans="1:26" ht="12.75" customHeight="1" x14ac:dyDescent="0.2">
      <c r="A45076" s="258"/>
      <c r="Z45076" s="258"/>
    </row>
    <row r="45077" spans="1:26" ht="12.75" customHeight="1" x14ac:dyDescent="0.2">
      <c r="A45077" s="258"/>
      <c r="Z45077" s="258"/>
    </row>
    <row r="45078" spans="1:26" ht="12.75" customHeight="1" x14ac:dyDescent="0.2">
      <c r="A45078" s="258"/>
      <c r="Z45078" s="258"/>
    </row>
    <row r="45079" spans="1:26" ht="12.75" customHeight="1" x14ac:dyDescent="0.2">
      <c r="A45079" s="258"/>
      <c r="Z45079" s="258"/>
    </row>
    <row r="45080" spans="1:26" ht="12.75" customHeight="1" x14ac:dyDescent="0.2">
      <c r="A45080" s="258"/>
      <c r="Z45080" s="258"/>
    </row>
    <row r="45081" spans="1:26" ht="12.75" customHeight="1" x14ac:dyDescent="0.2">
      <c r="A45081" s="258"/>
      <c r="Z45081" s="258"/>
    </row>
    <row r="45082" spans="1:26" ht="12.75" customHeight="1" x14ac:dyDescent="0.2">
      <c r="A45082" s="258"/>
      <c r="Z45082" s="258"/>
    </row>
    <row r="45083" spans="1:26" ht="12.75" customHeight="1" x14ac:dyDescent="0.2">
      <c r="A45083" s="258"/>
      <c r="Z45083" s="258"/>
    </row>
    <row r="45084" spans="1:26" ht="12.75" customHeight="1" x14ac:dyDescent="0.2">
      <c r="A45084" s="258"/>
      <c r="Z45084" s="258"/>
    </row>
    <row r="45085" spans="1:26" ht="12.75" customHeight="1" x14ac:dyDescent="0.2">
      <c r="A45085" s="258"/>
      <c r="Z45085" s="258"/>
    </row>
    <row r="45086" spans="1:26" ht="12.75" customHeight="1" x14ac:dyDescent="0.2">
      <c r="A45086" s="258"/>
      <c r="Z45086" s="258"/>
    </row>
    <row r="45087" spans="1:26" ht="12.75" customHeight="1" x14ac:dyDescent="0.2">
      <c r="A45087" s="258"/>
      <c r="Z45087" s="258"/>
    </row>
    <row r="45088" spans="1:26" ht="12.75" customHeight="1" x14ac:dyDescent="0.2">
      <c r="A45088" s="258"/>
      <c r="Z45088" s="258"/>
    </row>
    <row r="45089" spans="1:26" ht="12.75" customHeight="1" x14ac:dyDescent="0.2">
      <c r="A45089" s="258"/>
      <c r="Z45089" s="258"/>
    </row>
    <row r="45090" spans="1:26" ht="12.75" customHeight="1" x14ac:dyDescent="0.2">
      <c r="A45090" s="258"/>
      <c r="Z45090" s="258"/>
    </row>
    <row r="45091" spans="1:26" ht="12.75" customHeight="1" x14ac:dyDescent="0.2">
      <c r="A45091" s="258"/>
      <c r="Z45091" s="258"/>
    </row>
    <row r="45092" spans="1:26" ht="12.75" customHeight="1" x14ac:dyDescent="0.2">
      <c r="A45092" s="258"/>
      <c r="Z45092" s="258"/>
    </row>
    <row r="45093" spans="1:26" ht="12.75" customHeight="1" x14ac:dyDescent="0.2">
      <c r="A45093" s="258"/>
      <c r="Z45093" s="258"/>
    </row>
    <row r="45094" spans="1:26" ht="12.75" customHeight="1" x14ac:dyDescent="0.2">
      <c r="A45094" s="258"/>
      <c r="Z45094" s="258"/>
    </row>
    <row r="45095" spans="1:26" ht="12.75" customHeight="1" x14ac:dyDescent="0.2">
      <c r="A45095" s="258"/>
      <c r="Z45095" s="258"/>
    </row>
    <row r="45096" spans="1:26" ht="12.75" customHeight="1" x14ac:dyDescent="0.2">
      <c r="A45096" s="258"/>
      <c r="Z45096" s="258"/>
    </row>
    <row r="45097" spans="1:26" ht="12.75" customHeight="1" x14ac:dyDescent="0.2">
      <c r="A45097" s="258"/>
      <c r="Z45097" s="258"/>
    </row>
    <row r="45098" spans="1:26" ht="12.75" customHeight="1" x14ac:dyDescent="0.2">
      <c r="A45098" s="258"/>
      <c r="Z45098" s="258"/>
    </row>
    <row r="45099" spans="1:26" ht="12.75" customHeight="1" x14ac:dyDescent="0.2">
      <c r="A45099" s="258"/>
      <c r="Z45099" s="258"/>
    </row>
    <row r="45100" spans="1:26" ht="12.75" customHeight="1" x14ac:dyDescent="0.2">
      <c r="A45100" s="258"/>
      <c r="Z45100" s="258"/>
    </row>
    <row r="45101" spans="1:26" ht="12.75" customHeight="1" x14ac:dyDescent="0.2">
      <c r="A45101" s="258"/>
      <c r="Z45101" s="258"/>
    </row>
    <row r="45102" spans="1:26" ht="12.75" customHeight="1" x14ac:dyDescent="0.2">
      <c r="A45102" s="258"/>
      <c r="Z45102" s="258"/>
    </row>
    <row r="45103" spans="1:26" ht="12.75" customHeight="1" x14ac:dyDescent="0.2">
      <c r="A45103" s="258"/>
      <c r="Z45103" s="258"/>
    </row>
    <row r="45104" spans="1:26" ht="12.75" customHeight="1" x14ac:dyDescent="0.2">
      <c r="A45104" s="258"/>
      <c r="Z45104" s="258"/>
    </row>
    <row r="45105" spans="1:26" ht="12.75" customHeight="1" x14ac:dyDescent="0.2">
      <c r="A45105" s="258"/>
      <c r="Z45105" s="258"/>
    </row>
    <row r="45106" spans="1:26" ht="12.75" customHeight="1" x14ac:dyDescent="0.2">
      <c r="A45106" s="258"/>
      <c r="Z45106" s="258"/>
    </row>
    <row r="45107" spans="1:26" ht="12.75" customHeight="1" x14ac:dyDescent="0.2">
      <c r="A45107" s="258"/>
      <c r="Z45107" s="258"/>
    </row>
    <row r="45108" spans="1:26" ht="12.75" customHeight="1" x14ac:dyDescent="0.2">
      <c r="A45108" s="258"/>
      <c r="Z45108" s="258"/>
    </row>
    <row r="45109" spans="1:26" ht="12.75" customHeight="1" x14ac:dyDescent="0.2">
      <c r="A45109" s="258"/>
      <c r="Z45109" s="258"/>
    </row>
    <row r="45110" spans="1:26" ht="12.75" customHeight="1" x14ac:dyDescent="0.2">
      <c r="A45110" s="258"/>
      <c r="Z45110" s="258"/>
    </row>
    <row r="45111" spans="1:26" ht="12.75" customHeight="1" x14ac:dyDescent="0.2">
      <c r="A45111" s="258"/>
      <c r="Z45111" s="258"/>
    </row>
    <row r="45112" spans="1:26" ht="12.75" customHeight="1" x14ac:dyDescent="0.2">
      <c r="A45112" s="258"/>
      <c r="Z45112" s="258"/>
    </row>
    <row r="45113" spans="1:26" ht="12.75" customHeight="1" x14ac:dyDescent="0.2">
      <c r="A45113" s="258"/>
      <c r="Z45113" s="258"/>
    </row>
    <row r="45114" spans="1:26" ht="12.75" customHeight="1" x14ac:dyDescent="0.2">
      <c r="A45114" s="258"/>
      <c r="Z45114" s="258"/>
    </row>
    <row r="45115" spans="1:26" ht="12.75" customHeight="1" x14ac:dyDescent="0.2">
      <c r="A45115" s="258"/>
      <c r="Z45115" s="258"/>
    </row>
    <row r="45116" spans="1:26" ht="12.75" customHeight="1" x14ac:dyDescent="0.2">
      <c r="A45116" s="258"/>
      <c r="Z45116" s="258"/>
    </row>
    <row r="45117" spans="1:26" ht="12.75" customHeight="1" x14ac:dyDescent="0.2">
      <c r="A45117" s="258"/>
      <c r="Z45117" s="258"/>
    </row>
    <row r="45118" spans="1:26" ht="12.75" customHeight="1" x14ac:dyDescent="0.2">
      <c r="A45118" s="258"/>
      <c r="Z45118" s="258"/>
    </row>
    <row r="45119" spans="1:26" ht="12.75" customHeight="1" x14ac:dyDescent="0.2">
      <c r="A45119" s="258"/>
      <c r="Z45119" s="258"/>
    </row>
    <row r="45120" spans="1:26" ht="12.75" customHeight="1" x14ac:dyDescent="0.2">
      <c r="A45120" s="258"/>
      <c r="Z45120" s="258"/>
    </row>
    <row r="45121" spans="1:26" ht="12.75" customHeight="1" x14ac:dyDescent="0.2">
      <c r="A45121" s="258"/>
      <c r="Z45121" s="258"/>
    </row>
    <row r="45122" spans="1:26" ht="12.75" customHeight="1" x14ac:dyDescent="0.2">
      <c r="A45122" s="258"/>
      <c r="Z45122" s="258"/>
    </row>
    <row r="45123" spans="1:26" ht="12.75" customHeight="1" x14ac:dyDescent="0.2">
      <c r="A45123" s="258"/>
      <c r="Z45123" s="258"/>
    </row>
    <row r="45124" spans="1:26" ht="12.75" customHeight="1" x14ac:dyDescent="0.2">
      <c r="A45124" s="258"/>
      <c r="Z45124" s="258"/>
    </row>
    <row r="45125" spans="1:26" ht="12.75" customHeight="1" x14ac:dyDescent="0.2">
      <c r="A45125" s="258"/>
      <c r="Z45125" s="258"/>
    </row>
    <row r="45126" spans="1:26" ht="12.75" customHeight="1" x14ac:dyDescent="0.2">
      <c r="A45126" s="258"/>
      <c r="Z45126" s="258"/>
    </row>
    <row r="45127" spans="1:26" ht="12.75" customHeight="1" x14ac:dyDescent="0.2">
      <c r="A45127" s="258"/>
      <c r="Z45127" s="258"/>
    </row>
    <row r="45128" spans="1:26" ht="12.75" customHeight="1" x14ac:dyDescent="0.2">
      <c r="A45128" s="258"/>
      <c r="Z45128" s="258"/>
    </row>
    <row r="45129" spans="1:26" ht="12.75" customHeight="1" x14ac:dyDescent="0.2">
      <c r="A45129" s="258"/>
      <c r="Z45129" s="258"/>
    </row>
    <row r="45130" spans="1:26" ht="12.75" customHeight="1" x14ac:dyDescent="0.2">
      <c r="A45130" s="258"/>
      <c r="Z45130" s="258"/>
    </row>
    <row r="45131" spans="1:26" ht="12.75" customHeight="1" x14ac:dyDescent="0.2">
      <c r="A45131" s="258"/>
      <c r="Z45131" s="258"/>
    </row>
    <row r="45132" spans="1:26" ht="12.75" customHeight="1" x14ac:dyDescent="0.2">
      <c r="A45132" s="258"/>
      <c r="Z45132" s="258"/>
    </row>
    <row r="45133" spans="1:26" ht="12.75" customHeight="1" x14ac:dyDescent="0.2">
      <c r="A45133" s="258"/>
      <c r="Z45133" s="258"/>
    </row>
    <row r="45134" spans="1:26" ht="12.75" customHeight="1" x14ac:dyDescent="0.2">
      <c r="A45134" s="258"/>
      <c r="Z45134" s="258"/>
    </row>
    <row r="45135" spans="1:26" ht="12.75" customHeight="1" x14ac:dyDescent="0.2">
      <c r="A45135" s="258"/>
      <c r="Z45135" s="258"/>
    </row>
    <row r="45136" spans="1:26" ht="12.75" customHeight="1" x14ac:dyDescent="0.2">
      <c r="A45136" s="258"/>
      <c r="Z45136" s="258"/>
    </row>
    <row r="45137" spans="1:26" ht="12.75" customHeight="1" x14ac:dyDescent="0.2">
      <c r="A45137" s="258"/>
      <c r="Z45137" s="258"/>
    </row>
    <row r="45138" spans="1:26" ht="12.75" customHeight="1" x14ac:dyDescent="0.2">
      <c r="A45138" s="258"/>
      <c r="Z45138" s="258"/>
    </row>
    <row r="45139" spans="1:26" ht="12.75" customHeight="1" x14ac:dyDescent="0.2">
      <c r="A45139" s="258"/>
      <c r="Z45139" s="258"/>
    </row>
    <row r="45140" spans="1:26" ht="12.75" customHeight="1" x14ac:dyDescent="0.2">
      <c r="A45140" s="258"/>
      <c r="Z45140" s="258"/>
    </row>
    <row r="45141" spans="1:26" ht="12.75" customHeight="1" x14ac:dyDescent="0.2">
      <c r="A45141" s="258"/>
      <c r="Z45141" s="258"/>
    </row>
    <row r="45142" spans="1:26" ht="12.75" customHeight="1" x14ac:dyDescent="0.2">
      <c r="A45142" s="258"/>
      <c r="Z45142" s="258"/>
    </row>
    <row r="45143" spans="1:26" ht="12.75" customHeight="1" x14ac:dyDescent="0.2">
      <c r="A45143" s="258"/>
      <c r="Z45143" s="258"/>
    </row>
    <row r="45144" spans="1:26" ht="12.75" customHeight="1" x14ac:dyDescent="0.2">
      <c r="A45144" s="258"/>
      <c r="Z45144" s="258"/>
    </row>
    <row r="45145" spans="1:26" ht="12.75" customHeight="1" x14ac:dyDescent="0.2">
      <c r="A45145" s="258"/>
      <c r="Z45145" s="258"/>
    </row>
    <row r="45146" spans="1:26" ht="12.75" customHeight="1" x14ac:dyDescent="0.2">
      <c r="A45146" s="258"/>
      <c r="Z45146" s="258"/>
    </row>
    <row r="45147" spans="1:26" ht="12.75" customHeight="1" x14ac:dyDescent="0.2">
      <c r="A45147" s="258"/>
      <c r="Z45147" s="258"/>
    </row>
    <row r="45148" spans="1:26" ht="12.75" customHeight="1" x14ac:dyDescent="0.2">
      <c r="A45148" s="258"/>
      <c r="Z45148" s="258"/>
    </row>
    <row r="45149" spans="1:26" ht="12.75" customHeight="1" x14ac:dyDescent="0.2">
      <c r="A45149" s="258"/>
      <c r="Z45149" s="258"/>
    </row>
    <row r="45150" spans="1:26" ht="12.75" customHeight="1" x14ac:dyDescent="0.2">
      <c r="A45150" s="258"/>
      <c r="Z45150" s="258"/>
    </row>
    <row r="45151" spans="1:26" ht="12.75" customHeight="1" x14ac:dyDescent="0.2">
      <c r="A45151" s="258"/>
      <c r="Z45151" s="258"/>
    </row>
    <row r="45152" spans="1:26" ht="12.75" customHeight="1" x14ac:dyDescent="0.2">
      <c r="A45152" s="258"/>
      <c r="Z45152" s="258"/>
    </row>
    <row r="45153" spans="1:26" ht="12.75" customHeight="1" x14ac:dyDescent="0.2">
      <c r="A45153" s="258"/>
      <c r="Z45153" s="258"/>
    </row>
    <row r="45154" spans="1:26" ht="12.75" customHeight="1" x14ac:dyDescent="0.2">
      <c r="A45154" s="258"/>
      <c r="Z45154" s="258"/>
    </row>
    <row r="45155" spans="1:26" ht="12.75" customHeight="1" x14ac:dyDescent="0.2">
      <c r="A45155" s="258"/>
      <c r="Z45155" s="258"/>
    </row>
    <row r="45156" spans="1:26" ht="12.75" customHeight="1" x14ac:dyDescent="0.2">
      <c r="A45156" s="258"/>
      <c r="Z45156" s="258"/>
    </row>
    <row r="45157" spans="1:26" ht="12.75" customHeight="1" x14ac:dyDescent="0.2">
      <c r="A45157" s="258"/>
      <c r="Z45157" s="258"/>
    </row>
    <row r="45158" spans="1:26" ht="12.75" customHeight="1" x14ac:dyDescent="0.2">
      <c r="A45158" s="258"/>
      <c r="Z45158" s="258"/>
    </row>
    <row r="45159" spans="1:26" ht="12.75" customHeight="1" x14ac:dyDescent="0.2">
      <c r="A45159" s="258"/>
      <c r="Z45159" s="258"/>
    </row>
    <row r="45160" spans="1:26" ht="12.75" customHeight="1" x14ac:dyDescent="0.2">
      <c r="A45160" s="258"/>
      <c r="Z45160" s="258"/>
    </row>
    <row r="45161" spans="1:26" ht="12.75" customHeight="1" x14ac:dyDescent="0.2">
      <c r="A45161" s="258"/>
      <c r="Z45161" s="258"/>
    </row>
    <row r="45162" spans="1:26" ht="12.75" customHeight="1" x14ac:dyDescent="0.2">
      <c r="A45162" s="258"/>
      <c r="Z45162" s="258"/>
    </row>
    <row r="45163" spans="1:26" ht="12.75" customHeight="1" x14ac:dyDescent="0.2">
      <c r="A45163" s="258"/>
      <c r="Z45163" s="258"/>
    </row>
    <row r="45164" spans="1:26" ht="12.75" customHeight="1" x14ac:dyDescent="0.2">
      <c r="A45164" s="258"/>
      <c r="Z45164" s="258"/>
    </row>
    <row r="45165" spans="1:26" ht="12.75" customHeight="1" x14ac:dyDescent="0.2">
      <c r="A45165" s="258"/>
      <c r="Z45165" s="258"/>
    </row>
    <row r="45166" spans="1:26" ht="12.75" customHeight="1" x14ac:dyDescent="0.2">
      <c r="A45166" s="258"/>
      <c r="Z45166" s="258"/>
    </row>
    <row r="45167" spans="1:26" ht="12.75" customHeight="1" x14ac:dyDescent="0.2">
      <c r="A45167" s="258"/>
      <c r="Z45167" s="258"/>
    </row>
    <row r="45168" spans="1:26" ht="12.75" customHeight="1" x14ac:dyDescent="0.2">
      <c r="A45168" s="258"/>
      <c r="Z45168" s="258"/>
    </row>
    <row r="45169" spans="1:26" ht="12.75" customHeight="1" x14ac:dyDescent="0.2">
      <c r="A45169" s="258"/>
      <c r="Z45169" s="258"/>
    </row>
    <row r="45170" spans="1:26" ht="12.75" customHeight="1" x14ac:dyDescent="0.2">
      <c r="A45170" s="258"/>
      <c r="Z45170" s="258"/>
    </row>
    <row r="45171" spans="1:26" ht="12.75" customHeight="1" x14ac:dyDescent="0.2">
      <c r="A45171" s="258"/>
      <c r="Z45171" s="258"/>
    </row>
    <row r="45172" spans="1:26" ht="12.75" customHeight="1" x14ac:dyDescent="0.2">
      <c r="A45172" s="258"/>
      <c r="Z45172" s="258"/>
    </row>
    <row r="45173" spans="1:26" ht="12.75" customHeight="1" x14ac:dyDescent="0.2">
      <c r="A45173" s="258"/>
      <c r="Z45173" s="258"/>
    </row>
    <row r="45174" spans="1:26" ht="12.75" customHeight="1" x14ac:dyDescent="0.2">
      <c r="A45174" s="258"/>
      <c r="Z45174" s="258"/>
    </row>
    <row r="45175" spans="1:26" ht="12.75" customHeight="1" x14ac:dyDescent="0.2">
      <c r="A45175" s="258"/>
      <c r="Z45175" s="258"/>
    </row>
    <row r="45176" spans="1:26" ht="12.75" customHeight="1" x14ac:dyDescent="0.2">
      <c r="A45176" s="258"/>
      <c r="Z45176" s="258"/>
    </row>
    <row r="45177" spans="1:26" ht="12.75" customHeight="1" x14ac:dyDescent="0.2">
      <c r="A45177" s="258"/>
      <c r="Z45177" s="258"/>
    </row>
    <row r="45178" spans="1:26" ht="12.75" customHeight="1" x14ac:dyDescent="0.2">
      <c r="A45178" s="258"/>
      <c r="Z45178" s="258"/>
    </row>
    <row r="45179" spans="1:26" ht="12.75" customHeight="1" x14ac:dyDescent="0.2">
      <c r="A45179" s="258"/>
      <c r="Z45179" s="258"/>
    </row>
    <row r="45180" spans="1:26" ht="12.75" customHeight="1" x14ac:dyDescent="0.2">
      <c r="A45180" s="258"/>
      <c r="Z45180" s="258"/>
    </row>
    <row r="45181" spans="1:26" ht="12.75" customHeight="1" x14ac:dyDescent="0.2">
      <c r="A45181" s="258"/>
      <c r="Z45181" s="258"/>
    </row>
    <row r="45182" spans="1:26" ht="12.75" customHeight="1" x14ac:dyDescent="0.2">
      <c r="A45182" s="258"/>
      <c r="Z45182" s="258"/>
    </row>
    <row r="45183" spans="1:26" ht="12.75" customHeight="1" x14ac:dyDescent="0.2">
      <c r="A45183" s="258"/>
      <c r="Z45183" s="258"/>
    </row>
    <row r="45184" spans="1:26" ht="12.75" customHeight="1" x14ac:dyDescent="0.2">
      <c r="A45184" s="258"/>
      <c r="Z45184" s="258"/>
    </row>
    <row r="45185" spans="1:26" ht="12.75" customHeight="1" x14ac:dyDescent="0.2">
      <c r="A45185" s="258"/>
      <c r="Z45185" s="258"/>
    </row>
    <row r="45186" spans="1:26" ht="12.75" customHeight="1" x14ac:dyDescent="0.2">
      <c r="A45186" s="258"/>
      <c r="Z45186" s="258"/>
    </row>
    <row r="45187" spans="1:26" ht="12.75" customHeight="1" x14ac:dyDescent="0.2">
      <c r="A45187" s="258"/>
      <c r="Z45187" s="258"/>
    </row>
    <row r="45188" spans="1:26" ht="12.75" customHeight="1" x14ac:dyDescent="0.2">
      <c r="A45188" s="258"/>
      <c r="Z45188" s="258"/>
    </row>
    <row r="45189" spans="1:26" ht="12.75" customHeight="1" x14ac:dyDescent="0.2">
      <c r="A45189" s="258"/>
      <c r="Z45189" s="258"/>
    </row>
    <row r="45190" spans="1:26" ht="12.75" customHeight="1" x14ac:dyDescent="0.2">
      <c r="A45190" s="258"/>
      <c r="Z45190" s="258"/>
    </row>
    <row r="45191" spans="1:26" ht="12.75" customHeight="1" x14ac:dyDescent="0.2">
      <c r="A45191" s="258"/>
      <c r="Z45191" s="258"/>
    </row>
    <row r="45192" spans="1:26" ht="12.75" customHeight="1" x14ac:dyDescent="0.2">
      <c r="A45192" s="258"/>
      <c r="Z45192" s="258"/>
    </row>
    <row r="45193" spans="1:26" ht="12.75" customHeight="1" x14ac:dyDescent="0.2">
      <c r="A45193" s="258"/>
      <c r="Z45193" s="258"/>
    </row>
    <row r="45194" spans="1:26" ht="12.75" customHeight="1" x14ac:dyDescent="0.2">
      <c r="A45194" s="258"/>
      <c r="Z45194" s="258"/>
    </row>
    <row r="45195" spans="1:26" ht="12.75" customHeight="1" x14ac:dyDescent="0.2">
      <c r="A45195" s="258"/>
      <c r="Z45195" s="258"/>
    </row>
    <row r="45196" spans="1:26" ht="12.75" customHeight="1" x14ac:dyDescent="0.2">
      <c r="A45196" s="258"/>
      <c r="Z45196" s="258"/>
    </row>
    <row r="45197" spans="1:26" ht="12.75" customHeight="1" x14ac:dyDescent="0.2">
      <c r="A45197" s="258"/>
      <c r="Z45197" s="258"/>
    </row>
    <row r="45198" spans="1:26" ht="12.75" customHeight="1" x14ac:dyDescent="0.2">
      <c r="A45198" s="258"/>
      <c r="Z45198" s="258"/>
    </row>
    <row r="45199" spans="1:26" ht="12.75" customHeight="1" x14ac:dyDescent="0.2">
      <c r="A45199" s="258"/>
      <c r="Z45199" s="258"/>
    </row>
    <row r="45200" spans="1:26" ht="12.75" customHeight="1" x14ac:dyDescent="0.2">
      <c r="A45200" s="258"/>
      <c r="Z45200" s="258"/>
    </row>
    <row r="45201" spans="1:26" ht="12.75" customHeight="1" x14ac:dyDescent="0.2">
      <c r="A45201" s="258"/>
      <c r="Z45201" s="258"/>
    </row>
    <row r="45202" spans="1:26" ht="12.75" customHeight="1" x14ac:dyDescent="0.2">
      <c r="A45202" s="258"/>
      <c r="Z45202" s="258"/>
    </row>
    <row r="45203" spans="1:26" ht="12.75" customHeight="1" x14ac:dyDescent="0.2">
      <c r="A45203" s="258"/>
      <c r="Z45203" s="258"/>
    </row>
    <row r="45204" spans="1:26" ht="12.75" customHeight="1" x14ac:dyDescent="0.2">
      <c r="A45204" s="258"/>
      <c r="Z45204" s="258"/>
    </row>
    <row r="45205" spans="1:26" ht="12.75" customHeight="1" x14ac:dyDescent="0.2">
      <c r="A45205" s="258"/>
      <c r="Z45205" s="258"/>
    </row>
    <row r="45206" spans="1:26" ht="12.75" customHeight="1" x14ac:dyDescent="0.2">
      <c r="A45206" s="258"/>
      <c r="Z45206" s="258"/>
    </row>
    <row r="45207" spans="1:26" ht="12.75" customHeight="1" x14ac:dyDescent="0.2">
      <c r="A45207" s="258"/>
      <c r="Z45207" s="258"/>
    </row>
    <row r="45208" spans="1:26" ht="12.75" customHeight="1" x14ac:dyDescent="0.2">
      <c r="A45208" s="258"/>
      <c r="Z45208" s="258"/>
    </row>
    <row r="45209" spans="1:26" ht="12.75" customHeight="1" x14ac:dyDescent="0.2">
      <c r="A45209" s="258"/>
      <c r="Z45209" s="258"/>
    </row>
    <row r="45210" spans="1:26" ht="12.75" customHeight="1" x14ac:dyDescent="0.2">
      <c r="A45210" s="258"/>
      <c r="Z45210" s="258"/>
    </row>
    <row r="45211" spans="1:26" ht="12.75" customHeight="1" x14ac:dyDescent="0.2">
      <c r="A45211" s="258"/>
      <c r="Z45211" s="258"/>
    </row>
    <row r="45212" spans="1:26" ht="12.75" customHeight="1" x14ac:dyDescent="0.2">
      <c r="A45212" s="258"/>
      <c r="Z45212" s="258"/>
    </row>
    <row r="45213" spans="1:26" ht="12.75" customHeight="1" x14ac:dyDescent="0.2">
      <c r="A45213" s="258"/>
      <c r="Z45213" s="258"/>
    </row>
    <row r="45214" spans="1:26" ht="12.75" customHeight="1" x14ac:dyDescent="0.2">
      <c r="A45214" s="258"/>
      <c r="Z45214" s="258"/>
    </row>
    <row r="45215" spans="1:26" ht="12.75" customHeight="1" x14ac:dyDescent="0.2">
      <c r="A45215" s="258"/>
      <c r="Z45215" s="258"/>
    </row>
    <row r="45216" spans="1:26" ht="12.75" customHeight="1" x14ac:dyDescent="0.2">
      <c r="A45216" s="258"/>
      <c r="Z45216" s="258"/>
    </row>
    <row r="45217" spans="1:26" ht="12.75" customHeight="1" x14ac:dyDescent="0.2">
      <c r="A45217" s="258"/>
      <c r="Z45217" s="258"/>
    </row>
    <row r="45218" spans="1:26" ht="12.75" customHeight="1" x14ac:dyDescent="0.2">
      <c r="A45218" s="258"/>
      <c r="Z45218" s="258"/>
    </row>
    <row r="45219" spans="1:26" ht="12.75" customHeight="1" x14ac:dyDescent="0.2">
      <c r="A45219" s="258"/>
      <c r="Z45219" s="258"/>
    </row>
    <row r="45220" spans="1:26" ht="12.75" customHeight="1" x14ac:dyDescent="0.2">
      <c r="A45220" s="258"/>
      <c r="Z45220" s="258"/>
    </row>
    <row r="45221" spans="1:26" ht="12.75" customHeight="1" x14ac:dyDescent="0.2">
      <c r="A45221" s="258"/>
      <c r="Z45221" s="258"/>
    </row>
    <row r="45222" spans="1:26" ht="12.75" customHeight="1" x14ac:dyDescent="0.2">
      <c r="A45222" s="258"/>
      <c r="Z45222" s="258"/>
    </row>
    <row r="45223" spans="1:26" ht="12.75" customHeight="1" x14ac:dyDescent="0.2">
      <c r="A45223" s="258"/>
      <c r="Z45223" s="258"/>
    </row>
    <row r="45224" spans="1:26" ht="12.75" customHeight="1" x14ac:dyDescent="0.2">
      <c r="A45224" s="258"/>
      <c r="Z45224" s="258"/>
    </row>
    <row r="45225" spans="1:26" ht="12.75" customHeight="1" x14ac:dyDescent="0.2">
      <c r="A45225" s="258"/>
      <c r="Z45225" s="258"/>
    </row>
    <row r="45226" spans="1:26" ht="12.75" customHeight="1" x14ac:dyDescent="0.2">
      <c r="A45226" s="258"/>
      <c r="Z45226" s="258"/>
    </row>
    <row r="45227" spans="1:26" ht="12.75" customHeight="1" x14ac:dyDescent="0.2">
      <c r="A45227" s="258"/>
      <c r="Z45227" s="258"/>
    </row>
    <row r="45228" spans="1:26" ht="12.75" customHeight="1" x14ac:dyDescent="0.2">
      <c r="A45228" s="258"/>
      <c r="Z45228" s="258"/>
    </row>
    <row r="45229" spans="1:26" ht="12.75" customHeight="1" x14ac:dyDescent="0.2">
      <c r="A45229" s="258"/>
      <c r="Z45229" s="258"/>
    </row>
    <row r="45230" spans="1:26" ht="12.75" customHeight="1" x14ac:dyDescent="0.2">
      <c r="A45230" s="258"/>
      <c r="Z45230" s="258"/>
    </row>
    <row r="45231" spans="1:26" ht="12.75" customHeight="1" x14ac:dyDescent="0.2">
      <c r="A45231" s="258"/>
      <c r="Z45231" s="258"/>
    </row>
    <row r="45232" spans="1:26" ht="12.75" customHeight="1" x14ac:dyDescent="0.2">
      <c r="A45232" s="258"/>
      <c r="Z45232" s="258"/>
    </row>
    <row r="45233" spans="1:26" ht="12.75" customHeight="1" x14ac:dyDescent="0.2">
      <c r="A45233" s="258"/>
      <c r="Z45233" s="258"/>
    </row>
    <row r="45234" spans="1:26" ht="12.75" customHeight="1" x14ac:dyDescent="0.2">
      <c r="A45234" s="258"/>
      <c r="Z45234" s="258"/>
    </row>
    <row r="45235" spans="1:26" ht="12.75" customHeight="1" x14ac:dyDescent="0.2">
      <c r="A45235" s="258"/>
      <c r="Z45235" s="258"/>
    </row>
    <row r="45236" spans="1:26" ht="12.75" customHeight="1" x14ac:dyDescent="0.2">
      <c r="A45236" s="258"/>
      <c r="Z45236" s="258"/>
    </row>
    <row r="45237" spans="1:26" ht="12.75" customHeight="1" x14ac:dyDescent="0.2">
      <c r="A45237" s="258"/>
      <c r="Z45237" s="258"/>
    </row>
    <row r="45238" spans="1:26" ht="12.75" customHeight="1" x14ac:dyDescent="0.2">
      <c r="A45238" s="258"/>
      <c r="Z45238" s="258"/>
    </row>
    <row r="45239" spans="1:26" ht="12.75" customHeight="1" x14ac:dyDescent="0.2">
      <c r="A45239" s="258"/>
      <c r="Z45239" s="258"/>
    </row>
    <row r="45240" spans="1:26" ht="12.75" customHeight="1" x14ac:dyDescent="0.2">
      <c r="A45240" s="258"/>
      <c r="Z45240" s="258"/>
    </row>
    <row r="45241" spans="1:26" ht="12.75" customHeight="1" x14ac:dyDescent="0.2">
      <c r="A45241" s="258"/>
      <c r="Z45241" s="258"/>
    </row>
    <row r="45242" spans="1:26" ht="12.75" customHeight="1" x14ac:dyDescent="0.2">
      <c r="A45242" s="258"/>
      <c r="Z45242" s="258"/>
    </row>
    <row r="45243" spans="1:26" ht="12.75" customHeight="1" x14ac:dyDescent="0.2">
      <c r="A45243" s="258"/>
      <c r="Z45243" s="258"/>
    </row>
    <row r="45244" spans="1:26" ht="12.75" customHeight="1" x14ac:dyDescent="0.2">
      <c r="A45244" s="258"/>
      <c r="Z45244" s="258"/>
    </row>
    <row r="45245" spans="1:26" ht="12.75" customHeight="1" x14ac:dyDescent="0.2">
      <c r="A45245" s="258"/>
      <c r="Z45245" s="258"/>
    </row>
    <row r="45246" spans="1:26" ht="12.75" customHeight="1" x14ac:dyDescent="0.2">
      <c r="A45246" s="258"/>
      <c r="Z45246" s="258"/>
    </row>
    <row r="45247" spans="1:26" ht="12.75" customHeight="1" x14ac:dyDescent="0.2">
      <c r="A45247" s="258"/>
      <c r="Z45247" s="258"/>
    </row>
    <row r="45248" spans="1:26" ht="12.75" customHeight="1" x14ac:dyDescent="0.2">
      <c r="A45248" s="258"/>
      <c r="Z45248" s="258"/>
    </row>
    <row r="45249" spans="1:26" ht="12.75" customHeight="1" x14ac:dyDescent="0.2">
      <c r="A45249" s="258"/>
      <c r="Z45249" s="258"/>
    </row>
    <row r="45250" spans="1:26" ht="12.75" customHeight="1" x14ac:dyDescent="0.2">
      <c r="A45250" s="258"/>
      <c r="Z45250" s="258"/>
    </row>
    <row r="45251" spans="1:26" ht="12.75" customHeight="1" x14ac:dyDescent="0.2">
      <c r="A45251" s="258"/>
      <c r="Z45251" s="258"/>
    </row>
    <row r="45252" spans="1:26" ht="12.75" customHeight="1" x14ac:dyDescent="0.2">
      <c r="A45252" s="258"/>
      <c r="Z45252" s="258"/>
    </row>
    <row r="45253" spans="1:26" ht="12.75" customHeight="1" x14ac:dyDescent="0.2">
      <c r="A45253" s="258"/>
      <c r="Z45253" s="258"/>
    </row>
    <row r="45254" spans="1:26" ht="12.75" customHeight="1" x14ac:dyDescent="0.2">
      <c r="A45254" s="258"/>
      <c r="Z45254" s="258"/>
    </row>
    <row r="45255" spans="1:26" ht="12.75" customHeight="1" x14ac:dyDescent="0.2">
      <c r="A45255" s="258"/>
      <c r="Z45255" s="258"/>
    </row>
    <row r="45256" spans="1:26" ht="12.75" customHeight="1" x14ac:dyDescent="0.2">
      <c r="A45256" s="258"/>
      <c r="Z45256" s="258"/>
    </row>
    <row r="45257" spans="1:26" ht="12.75" customHeight="1" x14ac:dyDescent="0.2">
      <c r="A45257" s="258"/>
      <c r="Z45257" s="258"/>
    </row>
    <row r="45258" spans="1:26" ht="12.75" customHeight="1" x14ac:dyDescent="0.2">
      <c r="A45258" s="258"/>
      <c r="Z45258" s="258"/>
    </row>
    <row r="45259" spans="1:26" ht="12.75" customHeight="1" x14ac:dyDescent="0.2">
      <c r="A45259" s="258"/>
      <c r="Z45259" s="258"/>
    </row>
    <row r="45260" spans="1:26" ht="12.75" customHeight="1" x14ac:dyDescent="0.2">
      <c r="A45260" s="258"/>
      <c r="Z45260" s="258"/>
    </row>
    <row r="45261" spans="1:26" ht="12.75" customHeight="1" x14ac:dyDescent="0.2">
      <c r="A45261" s="258"/>
      <c r="Z45261" s="258"/>
    </row>
    <row r="45262" spans="1:26" ht="12.75" customHeight="1" x14ac:dyDescent="0.2">
      <c r="A45262" s="258"/>
      <c r="Z45262" s="258"/>
    </row>
    <row r="45263" spans="1:26" ht="12.75" customHeight="1" x14ac:dyDescent="0.2">
      <c r="A45263" s="258"/>
      <c r="Z45263" s="258"/>
    </row>
    <row r="45264" spans="1:26" ht="12.75" customHeight="1" x14ac:dyDescent="0.2">
      <c r="A45264" s="258"/>
      <c r="Z45264" s="258"/>
    </row>
    <row r="45265" spans="1:26" ht="12.75" customHeight="1" x14ac:dyDescent="0.2">
      <c r="A45265" s="258"/>
      <c r="Z45265" s="258"/>
    </row>
    <row r="45266" spans="1:26" ht="12.75" customHeight="1" x14ac:dyDescent="0.2">
      <c r="A45266" s="258"/>
      <c r="Z45266" s="258"/>
    </row>
    <row r="45267" spans="1:26" ht="12.75" customHeight="1" x14ac:dyDescent="0.2">
      <c r="A45267" s="258"/>
      <c r="Z45267" s="258"/>
    </row>
    <row r="45268" spans="1:26" ht="12.75" customHeight="1" x14ac:dyDescent="0.2">
      <c r="A45268" s="258"/>
      <c r="Z45268" s="258"/>
    </row>
    <row r="45269" spans="1:26" ht="12.75" customHeight="1" x14ac:dyDescent="0.2">
      <c r="A45269" s="258"/>
      <c r="Z45269" s="258"/>
    </row>
    <row r="45270" spans="1:26" ht="12.75" customHeight="1" x14ac:dyDescent="0.2">
      <c r="A45270" s="258"/>
      <c r="Z45270" s="258"/>
    </row>
    <row r="45271" spans="1:26" ht="12.75" customHeight="1" x14ac:dyDescent="0.2">
      <c r="A45271" s="258"/>
      <c r="Z45271" s="258"/>
    </row>
    <row r="45272" spans="1:26" ht="12.75" customHeight="1" x14ac:dyDescent="0.2">
      <c r="A45272" s="258"/>
      <c r="Z45272" s="258"/>
    </row>
    <row r="45273" spans="1:26" ht="12.75" customHeight="1" x14ac:dyDescent="0.2">
      <c r="A45273" s="258"/>
      <c r="Z45273" s="258"/>
    </row>
    <row r="45274" spans="1:26" ht="12.75" customHeight="1" x14ac:dyDescent="0.2">
      <c r="A45274" s="258"/>
      <c r="Z45274" s="258"/>
    </row>
    <row r="45275" spans="1:26" ht="12.75" customHeight="1" x14ac:dyDescent="0.2">
      <c r="A45275" s="258"/>
      <c r="Z45275" s="258"/>
    </row>
    <row r="45276" spans="1:26" ht="12.75" customHeight="1" x14ac:dyDescent="0.2">
      <c r="A45276" s="258"/>
      <c r="Z45276" s="258"/>
    </row>
    <row r="45277" spans="1:26" ht="12.75" customHeight="1" x14ac:dyDescent="0.2">
      <c r="A45277" s="258"/>
      <c r="Z45277" s="258"/>
    </row>
    <row r="45278" spans="1:26" ht="12.75" customHeight="1" x14ac:dyDescent="0.2">
      <c r="A45278" s="258"/>
      <c r="Z45278" s="258"/>
    </row>
    <row r="45279" spans="1:26" ht="12.75" customHeight="1" x14ac:dyDescent="0.2">
      <c r="A45279" s="258"/>
      <c r="Z45279" s="258"/>
    </row>
    <row r="45280" spans="1:26" ht="12.75" customHeight="1" x14ac:dyDescent="0.2">
      <c r="A45280" s="258"/>
      <c r="Z45280" s="258"/>
    </row>
    <row r="45281" spans="1:26" ht="12.75" customHeight="1" x14ac:dyDescent="0.2">
      <c r="A45281" s="258"/>
      <c r="Z45281" s="258"/>
    </row>
    <row r="45282" spans="1:26" ht="12.75" customHeight="1" x14ac:dyDescent="0.2">
      <c r="A45282" s="258"/>
      <c r="Z45282" s="258"/>
    </row>
    <row r="45283" spans="1:26" ht="12.75" customHeight="1" x14ac:dyDescent="0.2">
      <c r="A45283" s="258"/>
      <c r="Z45283" s="258"/>
    </row>
    <row r="45284" spans="1:26" ht="12.75" customHeight="1" x14ac:dyDescent="0.2">
      <c r="A45284" s="258"/>
      <c r="Z45284" s="258"/>
    </row>
    <row r="45285" spans="1:26" ht="12.75" customHeight="1" x14ac:dyDescent="0.2">
      <c r="A45285" s="258"/>
      <c r="Z45285" s="258"/>
    </row>
    <row r="45286" spans="1:26" ht="12.75" customHeight="1" x14ac:dyDescent="0.2">
      <c r="A45286" s="258"/>
      <c r="Z45286" s="258"/>
    </row>
    <row r="45287" spans="1:26" ht="12.75" customHeight="1" x14ac:dyDescent="0.2">
      <c r="A45287" s="258"/>
      <c r="Z45287" s="258"/>
    </row>
    <row r="45288" spans="1:26" ht="12.75" customHeight="1" x14ac:dyDescent="0.2">
      <c r="A45288" s="258"/>
      <c r="Z45288" s="258"/>
    </row>
    <row r="45289" spans="1:26" ht="12.75" customHeight="1" x14ac:dyDescent="0.2">
      <c r="A45289" s="258"/>
      <c r="Z45289" s="258"/>
    </row>
    <row r="45290" spans="1:26" ht="12.75" customHeight="1" x14ac:dyDescent="0.2">
      <c r="A45290" s="258"/>
      <c r="Z45290" s="258"/>
    </row>
    <row r="45291" spans="1:26" ht="12.75" customHeight="1" x14ac:dyDescent="0.2">
      <c r="A45291" s="258"/>
      <c r="Z45291" s="258"/>
    </row>
    <row r="45292" spans="1:26" ht="12.75" customHeight="1" x14ac:dyDescent="0.2">
      <c r="A45292" s="258"/>
      <c r="Z45292" s="258"/>
    </row>
    <row r="45293" spans="1:26" ht="12.75" customHeight="1" x14ac:dyDescent="0.2">
      <c r="A45293" s="258"/>
      <c r="Z45293" s="258"/>
    </row>
    <row r="45294" spans="1:26" ht="12.75" customHeight="1" x14ac:dyDescent="0.2">
      <c r="A45294" s="258"/>
      <c r="Z45294" s="258"/>
    </row>
    <row r="45295" spans="1:26" ht="12.75" customHeight="1" x14ac:dyDescent="0.2">
      <c r="A45295" s="258"/>
      <c r="Z45295" s="258"/>
    </row>
    <row r="45296" spans="1:26" ht="12.75" customHeight="1" x14ac:dyDescent="0.2">
      <c r="A45296" s="258"/>
      <c r="Z45296" s="258"/>
    </row>
    <row r="45297" spans="1:26" ht="12.75" customHeight="1" x14ac:dyDescent="0.2">
      <c r="A45297" s="258"/>
      <c r="Z45297" s="258"/>
    </row>
    <row r="45298" spans="1:26" ht="12.75" customHeight="1" x14ac:dyDescent="0.2">
      <c r="A45298" s="258"/>
      <c r="Z45298" s="258"/>
    </row>
    <row r="45299" spans="1:26" ht="12.75" customHeight="1" x14ac:dyDescent="0.2">
      <c r="A45299" s="258"/>
      <c r="Z45299" s="258"/>
    </row>
    <row r="45300" spans="1:26" ht="12.75" customHeight="1" x14ac:dyDescent="0.2">
      <c r="A45300" s="258"/>
      <c r="Z45300" s="258"/>
    </row>
    <row r="45301" spans="1:26" ht="12.75" customHeight="1" x14ac:dyDescent="0.2">
      <c r="A45301" s="258"/>
      <c r="Z45301" s="258"/>
    </row>
    <row r="45302" spans="1:26" ht="12.75" customHeight="1" x14ac:dyDescent="0.2">
      <c r="A45302" s="258"/>
      <c r="Z45302" s="258"/>
    </row>
    <row r="45303" spans="1:26" ht="12.75" customHeight="1" x14ac:dyDescent="0.2">
      <c r="A45303" s="258"/>
      <c r="Z45303" s="258"/>
    </row>
    <row r="45304" spans="1:26" ht="12.75" customHeight="1" x14ac:dyDescent="0.2">
      <c r="A45304" s="258"/>
      <c r="Z45304" s="258"/>
    </row>
    <row r="45305" spans="1:26" ht="12.75" customHeight="1" x14ac:dyDescent="0.2">
      <c r="A45305" s="258"/>
      <c r="Z45305" s="258"/>
    </row>
    <row r="45306" spans="1:26" ht="12.75" customHeight="1" x14ac:dyDescent="0.2">
      <c r="A45306" s="258"/>
      <c r="Z45306" s="258"/>
    </row>
    <row r="45307" spans="1:26" ht="12.75" customHeight="1" x14ac:dyDescent="0.2">
      <c r="A45307" s="258"/>
      <c r="Z45307" s="258"/>
    </row>
    <row r="45308" spans="1:26" ht="12.75" customHeight="1" x14ac:dyDescent="0.2">
      <c r="A45308" s="258"/>
      <c r="Z45308" s="258"/>
    </row>
    <row r="45309" spans="1:26" ht="12.75" customHeight="1" x14ac:dyDescent="0.2">
      <c r="A45309" s="258"/>
      <c r="Z45309" s="258"/>
    </row>
    <row r="45310" spans="1:26" ht="12.75" customHeight="1" x14ac:dyDescent="0.2">
      <c r="A45310" s="258"/>
      <c r="Z45310" s="258"/>
    </row>
    <row r="45311" spans="1:26" ht="12.75" customHeight="1" x14ac:dyDescent="0.2">
      <c r="A45311" s="258"/>
      <c r="Z45311" s="258"/>
    </row>
    <row r="45312" spans="1:26" ht="12.75" customHeight="1" x14ac:dyDescent="0.2">
      <c r="A45312" s="258"/>
      <c r="Z45312" s="258"/>
    </row>
    <row r="45313" spans="1:26" ht="12.75" customHeight="1" x14ac:dyDescent="0.2">
      <c r="A45313" s="258"/>
      <c r="Z45313" s="258"/>
    </row>
    <row r="45314" spans="1:26" ht="12.75" customHeight="1" x14ac:dyDescent="0.2">
      <c r="A45314" s="258"/>
      <c r="Z45314" s="258"/>
    </row>
    <row r="45315" spans="1:26" ht="12.75" customHeight="1" x14ac:dyDescent="0.2">
      <c r="A45315" s="258"/>
      <c r="Z45315" s="258"/>
    </row>
    <row r="45316" spans="1:26" ht="12.75" customHeight="1" x14ac:dyDescent="0.2">
      <c r="A45316" s="258"/>
      <c r="Z45316" s="258"/>
    </row>
    <row r="45317" spans="1:26" ht="12.75" customHeight="1" x14ac:dyDescent="0.2">
      <c r="A45317" s="258"/>
      <c r="Z45317" s="258"/>
    </row>
    <row r="45318" spans="1:26" ht="12.75" customHeight="1" x14ac:dyDescent="0.2">
      <c r="A45318" s="258"/>
      <c r="Z45318" s="258"/>
    </row>
    <row r="45319" spans="1:26" ht="12.75" customHeight="1" x14ac:dyDescent="0.2">
      <c r="A45319" s="258"/>
      <c r="Z45319" s="258"/>
    </row>
    <row r="45320" spans="1:26" ht="12.75" customHeight="1" x14ac:dyDescent="0.2">
      <c r="A45320" s="258"/>
      <c r="Z45320" s="258"/>
    </row>
    <row r="45321" spans="1:26" ht="12.75" customHeight="1" x14ac:dyDescent="0.2">
      <c r="A45321" s="258"/>
      <c r="Z45321" s="258"/>
    </row>
    <row r="45322" spans="1:26" ht="12.75" customHeight="1" x14ac:dyDescent="0.2">
      <c r="A45322" s="258"/>
      <c r="Z45322" s="258"/>
    </row>
    <row r="45323" spans="1:26" ht="12.75" customHeight="1" x14ac:dyDescent="0.2">
      <c r="A45323" s="258"/>
      <c r="Z45323" s="258"/>
    </row>
    <row r="45324" spans="1:26" ht="12.75" customHeight="1" x14ac:dyDescent="0.2">
      <c r="A45324" s="258"/>
      <c r="Z45324" s="258"/>
    </row>
    <row r="45325" spans="1:26" ht="12.75" customHeight="1" x14ac:dyDescent="0.2">
      <c r="A45325" s="258"/>
      <c r="Z45325" s="258"/>
    </row>
    <row r="45326" spans="1:26" ht="12.75" customHeight="1" x14ac:dyDescent="0.2">
      <c r="A45326" s="258"/>
      <c r="Z45326" s="258"/>
    </row>
    <row r="45327" spans="1:26" ht="12.75" customHeight="1" x14ac:dyDescent="0.2">
      <c r="A45327" s="258"/>
      <c r="Z45327" s="258"/>
    </row>
    <row r="45328" spans="1:26" ht="12.75" customHeight="1" x14ac:dyDescent="0.2">
      <c r="A45328" s="258"/>
      <c r="Z45328" s="258"/>
    </row>
    <row r="45329" spans="1:26" ht="12.75" customHeight="1" x14ac:dyDescent="0.2">
      <c r="A45329" s="258"/>
      <c r="Z45329" s="258"/>
    </row>
    <row r="45330" spans="1:26" ht="12.75" customHeight="1" x14ac:dyDescent="0.2">
      <c r="A45330" s="258"/>
      <c r="Z45330" s="258"/>
    </row>
    <row r="45331" spans="1:26" ht="12.75" customHeight="1" x14ac:dyDescent="0.2">
      <c r="A45331" s="258"/>
      <c r="Z45331" s="258"/>
    </row>
    <row r="45332" spans="1:26" ht="12.75" customHeight="1" x14ac:dyDescent="0.2">
      <c r="A45332" s="258"/>
      <c r="Z45332" s="258"/>
    </row>
    <row r="45333" spans="1:26" ht="12.75" customHeight="1" x14ac:dyDescent="0.2">
      <c r="A45333" s="258"/>
      <c r="Z45333" s="258"/>
    </row>
    <row r="45334" spans="1:26" ht="12.75" customHeight="1" x14ac:dyDescent="0.2">
      <c r="A45334" s="258"/>
      <c r="Z45334" s="258"/>
    </row>
    <row r="45335" spans="1:26" ht="12.75" customHeight="1" x14ac:dyDescent="0.2">
      <c r="A45335" s="258"/>
      <c r="Z45335" s="258"/>
    </row>
    <row r="45336" spans="1:26" ht="12.75" customHeight="1" x14ac:dyDescent="0.2">
      <c r="A45336" s="258"/>
      <c r="Z45336" s="258"/>
    </row>
    <row r="45337" spans="1:26" ht="12.75" customHeight="1" x14ac:dyDescent="0.2">
      <c r="A45337" s="258"/>
      <c r="Z45337" s="258"/>
    </row>
    <row r="45338" spans="1:26" ht="12.75" customHeight="1" x14ac:dyDescent="0.2">
      <c r="A45338" s="258"/>
      <c r="Z45338" s="258"/>
    </row>
    <row r="45339" spans="1:26" ht="12.75" customHeight="1" x14ac:dyDescent="0.2">
      <c r="A45339" s="258"/>
      <c r="Z45339" s="258"/>
    </row>
    <row r="45340" spans="1:26" ht="12.75" customHeight="1" x14ac:dyDescent="0.2">
      <c r="A45340" s="258"/>
      <c r="Z45340" s="258"/>
    </row>
    <row r="45341" spans="1:26" ht="12.75" customHeight="1" x14ac:dyDescent="0.2">
      <c r="A45341" s="258"/>
      <c r="Z45341" s="258"/>
    </row>
    <row r="45342" spans="1:26" ht="12.75" customHeight="1" x14ac:dyDescent="0.2">
      <c r="A45342" s="258"/>
      <c r="Z45342" s="258"/>
    </row>
    <row r="45343" spans="1:26" ht="12.75" customHeight="1" x14ac:dyDescent="0.2">
      <c r="A45343" s="258"/>
      <c r="Z45343" s="258"/>
    </row>
    <row r="45344" spans="1:26" ht="12.75" customHeight="1" x14ac:dyDescent="0.2">
      <c r="A45344" s="258"/>
      <c r="Z45344" s="258"/>
    </row>
    <row r="45345" spans="1:26" ht="12.75" customHeight="1" x14ac:dyDescent="0.2">
      <c r="A45345" s="258"/>
      <c r="Z45345" s="258"/>
    </row>
    <row r="45346" spans="1:26" ht="12.75" customHeight="1" x14ac:dyDescent="0.2">
      <c r="A45346" s="258"/>
      <c r="Z45346" s="258"/>
    </row>
    <row r="45347" spans="1:26" ht="12.75" customHeight="1" x14ac:dyDescent="0.2">
      <c r="A45347" s="258"/>
      <c r="Z45347" s="258"/>
    </row>
    <row r="45348" spans="1:26" ht="12.75" customHeight="1" x14ac:dyDescent="0.2">
      <c r="A45348" s="258"/>
      <c r="Z45348" s="258"/>
    </row>
    <row r="45349" spans="1:26" ht="12.75" customHeight="1" x14ac:dyDescent="0.2">
      <c r="A45349" s="258"/>
      <c r="Z45349" s="258"/>
    </row>
    <row r="45350" spans="1:26" ht="12.75" customHeight="1" x14ac:dyDescent="0.2">
      <c r="A45350" s="258"/>
      <c r="Z45350" s="258"/>
    </row>
    <row r="45351" spans="1:26" ht="12.75" customHeight="1" x14ac:dyDescent="0.2">
      <c r="A45351" s="258"/>
      <c r="Z45351" s="258"/>
    </row>
    <row r="45352" spans="1:26" ht="12.75" customHeight="1" x14ac:dyDescent="0.2">
      <c r="A45352" s="258"/>
      <c r="Z45352" s="258"/>
    </row>
    <row r="45353" spans="1:26" ht="12.75" customHeight="1" x14ac:dyDescent="0.2">
      <c r="A45353" s="258"/>
      <c r="Z45353" s="258"/>
    </row>
    <row r="45354" spans="1:26" ht="12.75" customHeight="1" x14ac:dyDescent="0.2">
      <c r="A45354" s="258"/>
      <c r="Z45354" s="258"/>
    </row>
    <row r="45355" spans="1:26" ht="12.75" customHeight="1" x14ac:dyDescent="0.2">
      <c r="A45355" s="258"/>
      <c r="Z45355" s="258"/>
    </row>
    <row r="45356" spans="1:26" ht="12.75" customHeight="1" x14ac:dyDescent="0.2">
      <c r="A45356" s="258"/>
      <c r="Z45356" s="258"/>
    </row>
    <row r="45357" spans="1:26" ht="12.75" customHeight="1" x14ac:dyDescent="0.2">
      <c r="A45357" s="258"/>
      <c r="Z45357" s="258"/>
    </row>
    <row r="45358" spans="1:26" ht="12.75" customHeight="1" x14ac:dyDescent="0.2">
      <c r="A45358" s="258"/>
      <c r="Z45358" s="258"/>
    </row>
    <row r="45359" spans="1:26" ht="12.75" customHeight="1" x14ac:dyDescent="0.2">
      <c r="A45359" s="258"/>
      <c r="Z45359" s="258"/>
    </row>
    <row r="45360" spans="1:26" ht="12.75" customHeight="1" x14ac:dyDescent="0.2">
      <c r="A45360" s="258"/>
      <c r="Z45360" s="258"/>
    </row>
    <row r="45361" spans="1:26" ht="12.75" customHeight="1" x14ac:dyDescent="0.2">
      <c r="A45361" s="258"/>
      <c r="Z45361" s="258"/>
    </row>
    <row r="45362" spans="1:26" ht="12.75" customHeight="1" x14ac:dyDescent="0.2">
      <c r="A45362" s="258"/>
      <c r="Z45362" s="258"/>
    </row>
    <row r="45363" spans="1:26" ht="12.75" customHeight="1" x14ac:dyDescent="0.2">
      <c r="A45363" s="258"/>
      <c r="Z45363" s="258"/>
    </row>
    <row r="45364" spans="1:26" ht="12.75" customHeight="1" x14ac:dyDescent="0.2">
      <c r="A45364" s="258"/>
      <c r="Z45364" s="258"/>
    </row>
    <row r="45365" spans="1:26" ht="12.75" customHeight="1" x14ac:dyDescent="0.2">
      <c r="A45365" s="258"/>
      <c r="Z45365" s="258"/>
    </row>
    <row r="45366" spans="1:26" ht="12.75" customHeight="1" x14ac:dyDescent="0.2">
      <c r="A45366" s="258"/>
      <c r="Z45366" s="258"/>
    </row>
    <row r="45367" spans="1:26" ht="12.75" customHeight="1" x14ac:dyDescent="0.2">
      <c r="A45367" s="258"/>
      <c r="Z45367" s="258"/>
    </row>
    <row r="45368" spans="1:26" ht="12.75" customHeight="1" x14ac:dyDescent="0.2">
      <c r="A45368" s="258"/>
      <c r="Z45368" s="258"/>
    </row>
    <row r="45369" spans="1:26" ht="12.75" customHeight="1" x14ac:dyDescent="0.2">
      <c r="A45369" s="258"/>
      <c r="Z45369" s="258"/>
    </row>
    <row r="45370" spans="1:26" ht="12.75" customHeight="1" x14ac:dyDescent="0.2">
      <c r="A45370" s="258"/>
      <c r="Z45370" s="258"/>
    </row>
    <row r="45371" spans="1:26" ht="12.75" customHeight="1" x14ac:dyDescent="0.2">
      <c r="A45371" s="258"/>
      <c r="Z45371" s="258"/>
    </row>
    <row r="45372" spans="1:26" ht="12.75" customHeight="1" x14ac:dyDescent="0.2">
      <c r="A45372" s="258"/>
      <c r="Z45372" s="258"/>
    </row>
    <row r="45373" spans="1:26" ht="12.75" customHeight="1" x14ac:dyDescent="0.2">
      <c r="A45373" s="258"/>
      <c r="Z45373" s="258"/>
    </row>
    <row r="45374" spans="1:26" ht="12.75" customHeight="1" x14ac:dyDescent="0.2">
      <c r="A45374" s="258"/>
      <c r="Z45374" s="258"/>
    </row>
    <row r="45375" spans="1:26" ht="12.75" customHeight="1" x14ac:dyDescent="0.2">
      <c r="A45375" s="258"/>
      <c r="Z45375" s="258"/>
    </row>
    <row r="45376" spans="1:26" ht="12.75" customHeight="1" x14ac:dyDescent="0.2">
      <c r="A45376" s="258"/>
      <c r="Z45376" s="258"/>
    </row>
    <row r="45377" spans="1:26" ht="12.75" customHeight="1" x14ac:dyDescent="0.2">
      <c r="A45377" s="258"/>
      <c r="Z45377" s="258"/>
    </row>
    <row r="45378" spans="1:26" ht="12.75" customHeight="1" x14ac:dyDescent="0.2">
      <c r="A45378" s="258"/>
      <c r="Z45378" s="258"/>
    </row>
    <row r="45379" spans="1:26" ht="12.75" customHeight="1" x14ac:dyDescent="0.2">
      <c r="A45379" s="258"/>
      <c r="Z45379" s="258"/>
    </row>
    <row r="45380" spans="1:26" ht="12.75" customHeight="1" x14ac:dyDescent="0.2">
      <c r="A45380" s="258"/>
      <c r="Z45380" s="258"/>
    </row>
    <row r="45381" spans="1:26" ht="12.75" customHeight="1" x14ac:dyDescent="0.2">
      <c r="A45381" s="258"/>
      <c r="Z45381" s="258"/>
    </row>
    <row r="45382" spans="1:26" ht="12.75" customHeight="1" x14ac:dyDescent="0.2">
      <c r="A45382" s="258"/>
      <c r="Z45382" s="258"/>
    </row>
    <row r="45383" spans="1:26" ht="12.75" customHeight="1" x14ac:dyDescent="0.2">
      <c r="A45383" s="258"/>
      <c r="Z45383" s="258"/>
    </row>
    <row r="45384" spans="1:26" ht="12.75" customHeight="1" x14ac:dyDescent="0.2">
      <c r="A45384" s="258"/>
      <c r="Z45384" s="258"/>
    </row>
    <row r="45385" spans="1:26" ht="12.75" customHeight="1" x14ac:dyDescent="0.2">
      <c r="A45385" s="258"/>
      <c r="Z45385" s="258"/>
    </row>
    <row r="45386" spans="1:26" ht="12.75" customHeight="1" x14ac:dyDescent="0.2">
      <c r="A45386" s="258"/>
      <c r="Z45386" s="258"/>
    </row>
    <row r="45387" spans="1:26" ht="12.75" customHeight="1" x14ac:dyDescent="0.2">
      <c r="A45387" s="258"/>
      <c r="Z45387" s="258"/>
    </row>
    <row r="45388" spans="1:26" ht="12.75" customHeight="1" x14ac:dyDescent="0.2">
      <c r="A45388" s="258"/>
      <c r="Z45388" s="258"/>
    </row>
    <row r="45389" spans="1:26" ht="12.75" customHeight="1" x14ac:dyDescent="0.2">
      <c r="A45389" s="258"/>
      <c r="Z45389" s="258"/>
    </row>
    <row r="45390" spans="1:26" ht="12.75" customHeight="1" x14ac:dyDescent="0.2">
      <c r="A45390" s="258"/>
      <c r="Z45390" s="258"/>
    </row>
    <row r="45391" spans="1:26" ht="12.75" customHeight="1" x14ac:dyDescent="0.2">
      <c r="A45391" s="258"/>
      <c r="Z45391" s="258"/>
    </row>
    <row r="45392" spans="1:26" ht="12.75" customHeight="1" x14ac:dyDescent="0.2">
      <c r="A45392" s="258"/>
      <c r="Z45392" s="258"/>
    </row>
    <row r="45393" spans="1:26" ht="12.75" customHeight="1" x14ac:dyDescent="0.2">
      <c r="A45393" s="258"/>
      <c r="Z45393" s="258"/>
    </row>
    <row r="45394" spans="1:26" ht="12.75" customHeight="1" x14ac:dyDescent="0.2">
      <c r="A45394" s="258"/>
      <c r="Z45394" s="258"/>
    </row>
    <row r="45395" spans="1:26" ht="12.75" customHeight="1" x14ac:dyDescent="0.2">
      <c r="A45395" s="258"/>
      <c r="Z45395" s="258"/>
    </row>
    <row r="45396" spans="1:26" ht="12.75" customHeight="1" x14ac:dyDescent="0.2">
      <c r="A45396" s="258"/>
      <c r="Z45396" s="258"/>
    </row>
    <row r="45397" spans="1:26" ht="12.75" customHeight="1" x14ac:dyDescent="0.2">
      <c r="A45397" s="258"/>
      <c r="Z45397" s="258"/>
    </row>
    <row r="45398" spans="1:26" ht="12.75" customHeight="1" x14ac:dyDescent="0.2">
      <c r="A45398" s="258"/>
      <c r="Z45398" s="258"/>
    </row>
    <row r="45399" spans="1:26" ht="12.75" customHeight="1" x14ac:dyDescent="0.2">
      <c r="A45399" s="258"/>
      <c r="Z45399" s="258"/>
    </row>
    <row r="45400" spans="1:26" ht="12.75" customHeight="1" x14ac:dyDescent="0.2">
      <c r="A45400" s="258"/>
      <c r="Z45400" s="258"/>
    </row>
    <row r="45401" spans="1:26" ht="12.75" customHeight="1" x14ac:dyDescent="0.2">
      <c r="A45401" s="258"/>
      <c r="Z45401" s="258"/>
    </row>
    <row r="45402" spans="1:26" ht="12.75" customHeight="1" x14ac:dyDescent="0.2">
      <c r="A45402" s="258"/>
      <c r="Z45402" s="258"/>
    </row>
    <row r="45403" spans="1:26" ht="12.75" customHeight="1" x14ac:dyDescent="0.2">
      <c r="A45403" s="258"/>
      <c r="Z45403" s="258"/>
    </row>
    <row r="45404" spans="1:26" ht="12.75" customHeight="1" x14ac:dyDescent="0.2">
      <c r="A45404" s="258"/>
      <c r="Z45404" s="258"/>
    </row>
    <row r="45405" spans="1:26" ht="12.75" customHeight="1" x14ac:dyDescent="0.2">
      <c r="A45405" s="258"/>
      <c r="Z45405" s="258"/>
    </row>
    <row r="45406" spans="1:26" ht="12.75" customHeight="1" x14ac:dyDescent="0.2">
      <c r="A45406" s="258"/>
      <c r="Z45406" s="258"/>
    </row>
    <row r="45407" spans="1:26" ht="12.75" customHeight="1" x14ac:dyDescent="0.2">
      <c r="A45407" s="258"/>
      <c r="Z45407" s="258"/>
    </row>
    <row r="45408" spans="1:26" ht="12.75" customHeight="1" x14ac:dyDescent="0.2">
      <c r="A45408" s="258"/>
      <c r="Z45408" s="258"/>
    </row>
    <row r="45409" spans="1:26" ht="12.75" customHeight="1" x14ac:dyDescent="0.2">
      <c r="A45409" s="258"/>
      <c r="Z45409" s="258"/>
    </row>
    <row r="45410" spans="1:26" ht="12.75" customHeight="1" x14ac:dyDescent="0.2">
      <c r="A45410" s="258"/>
      <c r="Z45410" s="258"/>
    </row>
    <row r="45411" spans="1:26" ht="12.75" customHeight="1" x14ac:dyDescent="0.2">
      <c r="A45411" s="258"/>
      <c r="Z45411" s="258"/>
    </row>
    <row r="45412" spans="1:26" ht="12.75" customHeight="1" x14ac:dyDescent="0.2">
      <c r="A45412" s="258"/>
      <c r="Z45412" s="258"/>
    </row>
    <row r="45413" spans="1:26" ht="12.75" customHeight="1" x14ac:dyDescent="0.2">
      <c r="A45413" s="258"/>
      <c r="Z45413" s="258"/>
    </row>
    <row r="45414" spans="1:26" ht="12.75" customHeight="1" x14ac:dyDescent="0.2">
      <c r="A45414" s="258"/>
      <c r="Z45414" s="258"/>
    </row>
    <row r="45415" spans="1:26" ht="12.75" customHeight="1" x14ac:dyDescent="0.2">
      <c r="A45415" s="258"/>
      <c r="Z45415" s="258"/>
    </row>
    <row r="45416" spans="1:26" ht="12.75" customHeight="1" x14ac:dyDescent="0.2">
      <c r="A45416" s="258"/>
      <c r="Z45416" s="258"/>
    </row>
    <row r="45417" spans="1:26" ht="12.75" customHeight="1" x14ac:dyDescent="0.2">
      <c r="A45417" s="258"/>
      <c r="Z45417" s="258"/>
    </row>
    <row r="45418" spans="1:26" ht="12.75" customHeight="1" x14ac:dyDescent="0.2">
      <c r="A45418" s="258"/>
      <c r="Z45418" s="258"/>
    </row>
    <row r="45419" spans="1:26" ht="12.75" customHeight="1" x14ac:dyDescent="0.2">
      <c r="A45419" s="258"/>
      <c r="Z45419" s="258"/>
    </row>
    <row r="45420" spans="1:26" ht="12.75" customHeight="1" x14ac:dyDescent="0.2">
      <c r="A45420" s="258"/>
      <c r="Z45420" s="258"/>
    </row>
    <row r="45421" spans="1:26" ht="12.75" customHeight="1" x14ac:dyDescent="0.2">
      <c r="A45421" s="258"/>
      <c r="Z45421" s="258"/>
    </row>
    <row r="45422" spans="1:26" ht="12.75" customHeight="1" x14ac:dyDescent="0.2">
      <c r="A45422" s="258"/>
      <c r="Z45422" s="258"/>
    </row>
    <row r="45423" spans="1:26" ht="12.75" customHeight="1" x14ac:dyDescent="0.2">
      <c r="A45423" s="258"/>
      <c r="Z45423" s="258"/>
    </row>
    <row r="45424" spans="1:26" ht="12.75" customHeight="1" x14ac:dyDescent="0.2">
      <c r="A45424" s="258"/>
      <c r="Z45424" s="258"/>
    </row>
    <row r="45425" spans="1:26" ht="12.75" customHeight="1" x14ac:dyDescent="0.2">
      <c r="A45425" s="258"/>
      <c r="Z45425" s="258"/>
    </row>
    <row r="45426" spans="1:26" ht="12.75" customHeight="1" x14ac:dyDescent="0.2">
      <c r="A45426" s="258"/>
      <c r="Z45426" s="258"/>
    </row>
    <row r="45427" spans="1:26" ht="12.75" customHeight="1" x14ac:dyDescent="0.2">
      <c r="A45427" s="258"/>
      <c r="Z45427" s="258"/>
    </row>
    <row r="45428" spans="1:26" ht="12.75" customHeight="1" x14ac:dyDescent="0.2">
      <c r="A45428" s="258"/>
      <c r="Z45428" s="258"/>
    </row>
    <row r="45429" spans="1:26" ht="12.75" customHeight="1" x14ac:dyDescent="0.2">
      <c r="A45429" s="258"/>
      <c r="Z45429" s="258"/>
    </row>
    <row r="45430" spans="1:26" ht="12.75" customHeight="1" x14ac:dyDescent="0.2">
      <c r="A45430" s="258"/>
      <c r="Z45430" s="258"/>
    </row>
    <row r="45431" spans="1:26" ht="12.75" customHeight="1" x14ac:dyDescent="0.2">
      <c r="A45431" s="258"/>
      <c r="Z45431" s="258"/>
    </row>
    <row r="45432" spans="1:26" ht="12.75" customHeight="1" x14ac:dyDescent="0.2">
      <c r="A45432" s="258"/>
      <c r="Z45432" s="258"/>
    </row>
    <row r="45433" spans="1:26" ht="12.75" customHeight="1" x14ac:dyDescent="0.2">
      <c r="A45433" s="258"/>
      <c r="Z45433" s="258"/>
    </row>
    <row r="45434" spans="1:26" ht="12.75" customHeight="1" x14ac:dyDescent="0.2">
      <c r="A45434" s="258"/>
      <c r="Z45434" s="258"/>
    </row>
    <row r="45435" spans="1:26" ht="12.75" customHeight="1" x14ac:dyDescent="0.2">
      <c r="A45435" s="258"/>
      <c r="Z45435" s="258"/>
    </row>
    <row r="45436" spans="1:26" ht="12.75" customHeight="1" x14ac:dyDescent="0.2">
      <c r="A45436" s="258"/>
      <c r="Z45436" s="258"/>
    </row>
    <row r="45437" spans="1:26" ht="12.75" customHeight="1" x14ac:dyDescent="0.2">
      <c r="A45437" s="258"/>
      <c r="Z45437" s="258"/>
    </row>
    <row r="45438" spans="1:26" ht="12.75" customHeight="1" x14ac:dyDescent="0.2">
      <c r="A45438" s="258"/>
      <c r="Z45438" s="258"/>
    </row>
    <row r="45439" spans="1:26" ht="12.75" customHeight="1" x14ac:dyDescent="0.2">
      <c r="A45439" s="258"/>
      <c r="Z45439" s="258"/>
    </row>
    <row r="45440" spans="1:26" ht="12.75" customHeight="1" x14ac:dyDescent="0.2">
      <c r="A45440" s="258"/>
      <c r="Z45440" s="258"/>
    </row>
    <row r="45441" spans="1:26" ht="12.75" customHeight="1" x14ac:dyDescent="0.2">
      <c r="A45441" s="258"/>
      <c r="Z45441" s="258"/>
    </row>
    <row r="45442" spans="1:26" ht="12.75" customHeight="1" x14ac:dyDescent="0.2">
      <c r="A45442" s="258"/>
      <c r="Z45442" s="258"/>
    </row>
    <row r="45443" spans="1:26" ht="12.75" customHeight="1" x14ac:dyDescent="0.2">
      <c r="A45443" s="258"/>
      <c r="Z45443" s="258"/>
    </row>
    <row r="45444" spans="1:26" ht="12.75" customHeight="1" x14ac:dyDescent="0.2">
      <c r="A45444" s="258"/>
      <c r="Z45444" s="258"/>
    </row>
    <row r="45445" spans="1:26" ht="12.75" customHeight="1" x14ac:dyDescent="0.2">
      <c r="A45445" s="258"/>
      <c r="Z45445" s="258"/>
    </row>
    <row r="45446" spans="1:26" ht="12.75" customHeight="1" x14ac:dyDescent="0.2">
      <c r="A45446" s="258"/>
      <c r="Z45446" s="258"/>
    </row>
    <row r="45447" spans="1:26" ht="12.75" customHeight="1" x14ac:dyDescent="0.2">
      <c r="A45447" s="258"/>
      <c r="Z45447" s="258"/>
    </row>
    <row r="45448" spans="1:26" ht="12.75" customHeight="1" x14ac:dyDescent="0.2">
      <c r="A45448" s="258"/>
      <c r="Z45448" s="258"/>
    </row>
    <row r="45449" spans="1:26" ht="12.75" customHeight="1" x14ac:dyDescent="0.2">
      <c r="A45449" s="258"/>
      <c r="Z45449" s="258"/>
    </row>
    <row r="45450" spans="1:26" ht="12.75" customHeight="1" x14ac:dyDescent="0.2">
      <c r="A45450" s="258"/>
      <c r="Z45450" s="258"/>
    </row>
    <row r="45451" spans="1:26" ht="12.75" customHeight="1" x14ac:dyDescent="0.2">
      <c r="A45451" s="258"/>
      <c r="Z45451" s="258"/>
    </row>
    <row r="45452" spans="1:26" ht="12.75" customHeight="1" x14ac:dyDescent="0.2">
      <c r="A45452" s="258"/>
      <c r="Z45452" s="258"/>
    </row>
    <row r="45453" spans="1:26" ht="12.75" customHeight="1" x14ac:dyDescent="0.2">
      <c r="A45453" s="258"/>
      <c r="Z45453" s="258"/>
    </row>
    <row r="45454" spans="1:26" ht="12.75" customHeight="1" x14ac:dyDescent="0.2">
      <c r="A45454" s="258"/>
      <c r="Z45454" s="258"/>
    </row>
    <row r="45455" spans="1:26" ht="12.75" customHeight="1" x14ac:dyDescent="0.2">
      <c r="A45455" s="258"/>
      <c r="Z45455" s="258"/>
    </row>
    <row r="45456" spans="1:26" ht="12.75" customHeight="1" x14ac:dyDescent="0.2">
      <c r="A45456" s="258"/>
      <c r="Z45456" s="258"/>
    </row>
    <row r="45457" spans="1:26" ht="12.75" customHeight="1" x14ac:dyDescent="0.2">
      <c r="A45457" s="258"/>
      <c r="Z45457" s="258"/>
    </row>
    <row r="45458" spans="1:26" ht="12.75" customHeight="1" x14ac:dyDescent="0.2">
      <c r="A45458" s="258"/>
      <c r="Z45458" s="258"/>
    </row>
    <row r="45459" spans="1:26" ht="12.75" customHeight="1" x14ac:dyDescent="0.2">
      <c r="A45459" s="258"/>
      <c r="Z45459" s="258"/>
    </row>
    <row r="45460" spans="1:26" ht="12.75" customHeight="1" x14ac:dyDescent="0.2">
      <c r="A45460" s="258"/>
      <c r="Z45460" s="258"/>
    </row>
    <row r="45461" spans="1:26" ht="12.75" customHeight="1" x14ac:dyDescent="0.2">
      <c r="A45461" s="258"/>
      <c r="Z45461" s="258"/>
    </row>
    <row r="45462" spans="1:26" ht="12.75" customHeight="1" x14ac:dyDescent="0.2">
      <c r="A45462" s="258"/>
      <c r="Z45462" s="258"/>
    </row>
    <row r="45463" spans="1:26" ht="12.75" customHeight="1" x14ac:dyDescent="0.2">
      <c r="A45463" s="258"/>
      <c r="Z45463" s="258"/>
    </row>
    <row r="45464" spans="1:26" ht="12.75" customHeight="1" x14ac:dyDescent="0.2">
      <c r="A45464" s="258"/>
      <c r="Z45464" s="258"/>
    </row>
    <row r="45465" spans="1:26" ht="12.75" customHeight="1" x14ac:dyDescent="0.2">
      <c r="A45465" s="258"/>
      <c r="Z45465" s="258"/>
    </row>
    <row r="45466" spans="1:26" ht="12.75" customHeight="1" x14ac:dyDescent="0.2">
      <c r="A45466" s="258"/>
      <c r="Z45466" s="258"/>
    </row>
    <row r="45467" spans="1:26" ht="12.75" customHeight="1" x14ac:dyDescent="0.2">
      <c r="A45467" s="258"/>
      <c r="Z45467" s="258"/>
    </row>
    <row r="45468" spans="1:26" ht="12.75" customHeight="1" x14ac:dyDescent="0.2">
      <c r="A45468" s="258"/>
      <c r="Z45468" s="258"/>
    </row>
    <row r="45469" spans="1:26" ht="12.75" customHeight="1" x14ac:dyDescent="0.2">
      <c r="A45469" s="258"/>
      <c r="Z45469" s="258"/>
    </row>
    <row r="45470" spans="1:26" ht="12.75" customHeight="1" x14ac:dyDescent="0.2">
      <c r="A45470" s="258"/>
      <c r="Z45470" s="258"/>
    </row>
    <row r="45471" spans="1:26" ht="12.75" customHeight="1" x14ac:dyDescent="0.2">
      <c r="A45471" s="258"/>
      <c r="Z45471" s="258"/>
    </row>
    <row r="45472" spans="1:26" ht="12.75" customHeight="1" x14ac:dyDescent="0.2">
      <c r="A45472" s="258"/>
      <c r="Z45472" s="258"/>
    </row>
    <row r="45473" spans="1:26" ht="12.75" customHeight="1" x14ac:dyDescent="0.2">
      <c r="A45473" s="258"/>
      <c r="Z45473" s="258"/>
    </row>
    <row r="45474" spans="1:26" ht="12.75" customHeight="1" x14ac:dyDescent="0.2">
      <c r="A45474" s="258"/>
      <c r="Z45474" s="258"/>
    </row>
    <row r="45475" spans="1:26" ht="12.75" customHeight="1" x14ac:dyDescent="0.2">
      <c r="A45475" s="258"/>
      <c r="Z45475" s="258"/>
    </row>
    <row r="45476" spans="1:26" ht="12.75" customHeight="1" x14ac:dyDescent="0.2">
      <c r="A45476" s="258"/>
      <c r="Z45476" s="258"/>
    </row>
    <row r="45477" spans="1:26" ht="12.75" customHeight="1" x14ac:dyDescent="0.2">
      <c r="A45477" s="258"/>
      <c r="Z45477" s="258"/>
    </row>
    <row r="45478" spans="1:26" ht="12.75" customHeight="1" x14ac:dyDescent="0.2">
      <c r="A45478" s="258"/>
      <c r="Z45478" s="258"/>
    </row>
    <row r="45479" spans="1:26" ht="12.75" customHeight="1" x14ac:dyDescent="0.2">
      <c r="A45479" s="258"/>
      <c r="Z45479" s="258"/>
    </row>
    <row r="45480" spans="1:26" ht="12.75" customHeight="1" x14ac:dyDescent="0.2">
      <c r="A45480" s="258"/>
      <c r="Z45480" s="258"/>
    </row>
    <row r="45481" spans="1:26" ht="12.75" customHeight="1" x14ac:dyDescent="0.2">
      <c r="A45481" s="258"/>
      <c r="Z45481" s="258"/>
    </row>
    <row r="45482" spans="1:26" ht="12.75" customHeight="1" x14ac:dyDescent="0.2">
      <c r="A45482" s="258"/>
      <c r="Z45482" s="258"/>
    </row>
    <row r="45483" spans="1:26" ht="12.75" customHeight="1" x14ac:dyDescent="0.2">
      <c r="A45483" s="258"/>
      <c r="Z45483" s="258"/>
    </row>
    <row r="45484" spans="1:26" ht="12.75" customHeight="1" x14ac:dyDescent="0.2">
      <c r="A45484" s="258"/>
      <c r="Z45484" s="258"/>
    </row>
    <row r="45485" spans="1:26" ht="12.75" customHeight="1" x14ac:dyDescent="0.2">
      <c r="A45485" s="258"/>
      <c r="Z45485" s="258"/>
    </row>
    <row r="45486" spans="1:26" ht="12.75" customHeight="1" x14ac:dyDescent="0.2">
      <c r="A45486" s="258"/>
      <c r="Z45486" s="258"/>
    </row>
    <row r="45487" spans="1:26" ht="12.75" customHeight="1" x14ac:dyDescent="0.2">
      <c r="A45487" s="258"/>
      <c r="Z45487" s="258"/>
    </row>
    <row r="45488" spans="1:26" ht="12.75" customHeight="1" x14ac:dyDescent="0.2">
      <c r="A45488" s="258"/>
      <c r="Z45488" s="258"/>
    </row>
    <row r="45489" spans="1:26" ht="12.75" customHeight="1" x14ac:dyDescent="0.2">
      <c r="A45489" s="258"/>
      <c r="Z45489" s="258"/>
    </row>
    <row r="45490" spans="1:26" ht="12.75" customHeight="1" x14ac:dyDescent="0.2">
      <c r="A45490" s="258"/>
      <c r="Z45490" s="258"/>
    </row>
    <row r="45491" spans="1:26" ht="12.75" customHeight="1" x14ac:dyDescent="0.2">
      <c r="A45491" s="258"/>
      <c r="Z45491" s="258"/>
    </row>
    <row r="45492" spans="1:26" ht="12.75" customHeight="1" x14ac:dyDescent="0.2">
      <c r="A45492" s="258"/>
      <c r="Z45492" s="258"/>
    </row>
    <row r="45493" spans="1:26" ht="12.75" customHeight="1" x14ac:dyDescent="0.2">
      <c r="A45493" s="258"/>
      <c r="Z45493" s="258"/>
    </row>
    <row r="45494" spans="1:26" ht="12.75" customHeight="1" x14ac:dyDescent="0.2">
      <c r="A45494" s="258"/>
      <c r="Z45494" s="258"/>
    </row>
    <row r="45495" spans="1:26" ht="12.75" customHeight="1" x14ac:dyDescent="0.2">
      <c r="A45495" s="258"/>
      <c r="Z45495" s="258"/>
    </row>
    <row r="45496" spans="1:26" ht="12.75" customHeight="1" x14ac:dyDescent="0.2">
      <c r="A45496" s="258"/>
      <c r="Z45496" s="258"/>
    </row>
    <row r="45497" spans="1:26" ht="12.75" customHeight="1" x14ac:dyDescent="0.2">
      <c r="A45497" s="258"/>
      <c r="Z45497" s="258"/>
    </row>
    <row r="45498" spans="1:26" ht="12.75" customHeight="1" x14ac:dyDescent="0.2">
      <c r="A45498" s="258"/>
      <c r="Z45498" s="258"/>
    </row>
    <row r="45499" spans="1:26" ht="12.75" customHeight="1" x14ac:dyDescent="0.2">
      <c r="A45499" s="258"/>
      <c r="Z45499" s="258"/>
    </row>
    <row r="45500" spans="1:26" ht="12.75" customHeight="1" x14ac:dyDescent="0.2">
      <c r="A45500" s="258"/>
      <c r="Z45500" s="258"/>
    </row>
    <row r="45501" spans="1:26" ht="12.75" customHeight="1" x14ac:dyDescent="0.2">
      <c r="A45501" s="258"/>
      <c r="Z45501" s="258"/>
    </row>
    <row r="45502" spans="1:26" ht="12.75" customHeight="1" x14ac:dyDescent="0.2">
      <c r="A45502" s="258"/>
      <c r="Z45502" s="258"/>
    </row>
    <row r="45503" spans="1:26" ht="12.75" customHeight="1" x14ac:dyDescent="0.2">
      <c r="A45503" s="258"/>
      <c r="Z45503" s="258"/>
    </row>
    <row r="45504" spans="1:26" ht="12.75" customHeight="1" x14ac:dyDescent="0.2">
      <c r="A45504" s="258"/>
      <c r="Z45504" s="258"/>
    </row>
    <row r="45505" spans="1:26" ht="12.75" customHeight="1" x14ac:dyDescent="0.2">
      <c r="A45505" s="258"/>
      <c r="Z45505" s="258"/>
    </row>
    <row r="45506" spans="1:26" ht="12.75" customHeight="1" x14ac:dyDescent="0.2">
      <c r="A45506" s="258"/>
      <c r="Z45506" s="258"/>
    </row>
    <row r="45507" spans="1:26" ht="12.75" customHeight="1" x14ac:dyDescent="0.2">
      <c r="A45507" s="258"/>
      <c r="Z45507" s="258"/>
    </row>
    <row r="45508" spans="1:26" ht="12.75" customHeight="1" x14ac:dyDescent="0.2">
      <c r="A45508" s="258"/>
      <c r="Z45508" s="258"/>
    </row>
    <row r="45509" spans="1:26" ht="12.75" customHeight="1" x14ac:dyDescent="0.2">
      <c r="A45509" s="258"/>
      <c r="Z45509" s="258"/>
    </row>
    <row r="45510" spans="1:26" ht="12.75" customHeight="1" x14ac:dyDescent="0.2">
      <c r="A45510" s="258"/>
      <c r="Z45510" s="258"/>
    </row>
    <row r="45511" spans="1:26" ht="12.75" customHeight="1" x14ac:dyDescent="0.2">
      <c r="A45511" s="258"/>
      <c r="Z45511" s="258"/>
    </row>
    <row r="45512" spans="1:26" ht="12.75" customHeight="1" x14ac:dyDescent="0.2">
      <c r="A45512" s="258"/>
      <c r="Z45512" s="258"/>
    </row>
    <row r="45513" spans="1:26" ht="12.75" customHeight="1" x14ac:dyDescent="0.2">
      <c r="A45513" s="258"/>
      <c r="Z45513" s="258"/>
    </row>
    <row r="45514" spans="1:26" ht="12.75" customHeight="1" x14ac:dyDescent="0.2">
      <c r="A45514" s="258"/>
      <c r="Z45514" s="258"/>
    </row>
    <row r="45515" spans="1:26" ht="12.75" customHeight="1" x14ac:dyDescent="0.2">
      <c r="A45515" s="258"/>
      <c r="Z45515" s="258"/>
    </row>
    <row r="45516" spans="1:26" ht="12.75" customHeight="1" x14ac:dyDescent="0.2">
      <c r="A45516" s="258"/>
      <c r="Z45516" s="258"/>
    </row>
    <row r="45517" spans="1:26" ht="12.75" customHeight="1" x14ac:dyDescent="0.2">
      <c r="A45517" s="258"/>
      <c r="Z45517" s="258"/>
    </row>
    <row r="45518" spans="1:26" ht="12.75" customHeight="1" x14ac:dyDescent="0.2">
      <c r="A45518" s="258"/>
      <c r="Z45518" s="258"/>
    </row>
    <row r="45519" spans="1:26" ht="12.75" customHeight="1" x14ac:dyDescent="0.2">
      <c r="A45519" s="258"/>
      <c r="Z45519" s="258"/>
    </row>
    <row r="45520" spans="1:26" ht="12.75" customHeight="1" x14ac:dyDescent="0.2">
      <c r="A45520" s="258"/>
      <c r="Z45520" s="258"/>
    </row>
    <row r="45521" spans="1:26" ht="12.75" customHeight="1" x14ac:dyDescent="0.2">
      <c r="A45521" s="258"/>
      <c r="Z45521" s="258"/>
    </row>
    <row r="45522" spans="1:26" ht="12.75" customHeight="1" x14ac:dyDescent="0.2">
      <c r="A45522" s="258"/>
      <c r="Z45522" s="258"/>
    </row>
    <row r="45523" spans="1:26" ht="12.75" customHeight="1" x14ac:dyDescent="0.2">
      <c r="A45523" s="258"/>
      <c r="Z45523" s="258"/>
    </row>
    <row r="45524" spans="1:26" ht="12.75" customHeight="1" x14ac:dyDescent="0.2">
      <c r="A45524" s="258"/>
      <c r="Z45524" s="258"/>
    </row>
    <row r="45525" spans="1:26" ht="12.75" customHeight="1" x14ac:dyDescent="0.2">
      <c r="A45525" s="258"/>
      <c r="Z45525" s="258"/>
    </row>
    <row r="45526" spans="1:26" ht="12.75" customHeight="1" x14ac:dyDescent="0.2">
      <c r="A45526" s="258"/>
      <c r="Z45526" s="258"/>
    </row>
    <row r="45527" spans="1:26" ht="12.75" customHeight="1" x14ac:dyDescent="0.2">
      <c r="A45527" s="258"/>
      <c r="Z45527" s="258"/>
    </row>
    <row r="45528" spans="1:26" ht="12.75" customHeight="1" x14ac:dyDescent="0.2">
      <c r="A45528" s="258"/>
      <c r="Z45528" s="258"/>
    </row>
    <row r="45529" spans="1:26" ht="12.75" customHeight="1" x14ac:dyDescent="0.2">
      <c r="A45529" s="258"/>
      <c r="Z45529" s="258"/>
    </row>
    <row r="45530" spans="1:26" ht="12.75" customHeight="1" x14ac:dyDescent="0.2">
      <c r="A45530" s="258"/>
      <c r="Z45530" s="258"/>
    </row>
    <row r="45531" spans="1:26" ht="12.75" customHeight="1" x14ac:dyDescent="0.2">
      <c r="A45531" s="258"/>
      <c r="Z45531" s="258"/>
    </row>
    <row r="45532" spans="1:26" ht="12.75" customHeight="1" x14ac:dyDescent="0.2">
      <c r="A45532" s="258"/>
      <c r="Z45532" s="258"/>
    </row>
    <row r="45533" spans="1:26" ht="12.75" customHeight="1" x14ac:dyDescent="0.2">
      <c r="A45533" s="258"/>
      <c r="Z45533" s="258"/>
    </row>
    <row r="45534" spans="1:26" ht="12.75" customHeight="1" x14ac:dyDescent="0.2">
      <c r="A45534" s="258"/>
      <c r="Z45534" s="258"/>
    </row>
    <row r="45535" spans="1:26" ht="12.75" customHeight="1" x14ac:dyDescent="0.2">
      <c r="A45535" s="258"/>
      <c r="Z45535" s="258"/>
    </row>
    <row r="45536" spans="1:26" ht="12.75" customHeight="1" x14ac:dyDescent="0.2">
      <c r="A45536" s="258"/>
      <c r="Z45536" s="258"/>
    </row>
    <row r="45537" spans="1:26" ht="12.75" customHeight="1" x14ac:dyDescent="0.2">
      <c r="A45537" s="258"/>
      <c r="Z45537" s="258"/>
    </row>
    <row r="45538" spans="1:26" ht="12.75" customHeight="1" x14ac:dyDescent="0.2">
      <c r="A45538" s="258"/>
      <c r="Z45538" s="258"/>
    </row>
    <row r="45539" spans="1:26" ht="12.75" customHeight="1" x14ac:dyDescent="0.2">
      <c r="A45539" s="258"/>
      <c r="Z45539" s="258"/>
    </row>
    <row r="45540" spans="1:26" ht="12.75" customHeight="1" x14ac:dyDescent="0.2">
      <c r="A45540" s="258"/>
      <c r="Z45540" s="258"/>
    </row>
    <row r="45541" spans="1:26" ht="12.75" customHeight="1" x14ac:dyDescent="0.2">
      <c r="A45541" s="258"/>
      <c r="Z45541" s="258"/>
    </row>
    <row r="45542" spans="1:26" ht="12.75" customHeight="1" x14ac:dyDescent="0.2">
      <c r="A45542" s="258"/>
      <c r="Z45542" s="258"/>
    </row>
    <row r="45543" spans="1:26" ht="12.75" customHeight="1" x14ac:dyDescent="0.2">
      <c r="A45543" s="258"/>
      <c r="Z45543" s="258"/>
    </row>
    <row r="45544" spans="1:26" ht="12.75" customHeight="1" x14ac:dyDescent="0.2">
      <c r="A45544" s="258"/>
      <c r="Z45544" s="258"/>
    </row>
    <row r="45545" spans="1:26" ht="12.75" customHeight="1" x14ac:dyDescent="0.2">
      <c r="A45545" s="258"/>
      <c r="Z45545" s="258"/>
    </row>
    <row r="45546" spans="1:26" ht="12.75" customHeight="1" x14ac:dyDescent="0.2">
      <c r="A45546" s="258"/>
      <c r="Z45546" s="258"/>
    </row>
    <row r="45547" spans="1:26" ht="12.75" customHeight="1" x14ac:dyDescent="0.2">
      <c r="A45547" s="258"/>
      <c r="Z45547" s="258"/>
    </row>
    <row r="45548" spans="1:26" ht="12.75" customHeight="1" x14ac:dyDescent="0.2">
      <c r="A45548" s="258"/>
      <c r="Z45548" s="258"/>
    </row>
    <row r="45549" spans="1:26" ht="12.75" customHeight="1" x14ac:dyDescent="0.2">
      <c r="A45549" s="258"/>
      <c r="Z45549" s="258"/>
    </row>
    <row r="45550" spans="1:26" ht="12.75" customHeight="1" x14ac:dyDescent="0.2">
      <c r="A45550" s="258"/>
      <c r="Z45550" s="258"/>
    </row>
    <row r="45551" spans="1:26" ht="12.75" customHeight="1" x14ac:dyDescent="0.2">
      <c r="A45551" s="258"/>
      <c r="Z45551" s="258"/>
    </row>
    <row r="45552" spans="1:26" ht="12.75" customHeight="1" x14ac:dyDescent="0.2">
      <c r="A45552" s="258"/>
      <c r="Z45552" s="258"/>
    </row>
    <row r="45553" spans="1:26" ht="12.75" customHeight="1" x14ac:dyDescent="0.2">
      <c r="A45553" s="258"/>
      <c r="Z45553" s="258"/>
    </row>
    <row r="45554" spans="1:26" ht="12.75" customHeight="1" x14ac:dyDescent="0.2">
      <c r="A45554" s="258"/>
      <c r="Z45554" s="258"/>
    </row>
    <row r="45555" spans="1:26" ht="12.75" customHeight="1" x14ac:dyDescent="0.2">
      <c r="A45555" s="258"/>
      <c r="Z45555" s="258"/>
    </row>
    <row r="45556" spans="1:26" ht="12.75" customHeight="1" x14ac:dyDescent="0.2">
      <c r="A45556" s="258"/>
      <c r="Z45556" s="258"/>
    </row>
    <row r="45557" spans="1:26" ht="12.75" customHeight="1" x14ac:dyDescent="0.2">
      <c r="A45557" s="258"/>
      <c r="Z45557" s="258"/>
    </row>
    <row r="45558" spans="1:26" ht="12.75" customHeight="1" x14ac:dyDescent="0.2">
      <c r="A45558" s="258"/>
      <c r="Z45558" s="258"/>
    </row>
    <row r="45559" spans="1:26" ht="12.75" customHeight="1" x14ac:dyDescent="0.2">
      <c r="A45559" s="258"/>
      <c r="Z45559" s="258"/>
    </row>
    <row r="45560" spans="1:26" ht="12.75" customHeight="1" x14ac:dyDescent="0.2">
      <c r="A45560" s="258"/>
      <c r="Z45560" s="258"/>
    </row>
    <row r="45561" spans="1:26" ht="12.75" customHeight="1" x14ac:dyDescent="0.2">
      <c r="A45561" s="258"/>
      <c r="Z45561" s="258"/>
    </row>
    <row r="45562" spans="1:26" ht="12.75" customHeight="1" x14ac:dyDescent="0.2">
      <c r="A45562" s="258"/>
      <c r="Z45562" s="258"/>
    </row>
    <row r="45563" spans="1:26" ht="12.75" customHeight="1" x14ac:dyDescent="0.2">
      <c r="A45563" s="258"/>
      <c r="Z45563" s="258"/>
    </row>
    <row r="45564" spans="1:26" ht="12.75" customHeight="1" x14ac:dyDescent="0.2">
      <c r="A45564" s="258"/>
      <c r="Z45564" s="258"/>
    </row>
    <row r="45565" spans="1:26" ht="12.75" customHeight="1" x14ac:dyDescent="0.2">
      <c r="A45565" s="258"/>
      <c r="Z45565" s="258"/>
    </row>
    <row r="45566" spans="1:26" ht="12.75" customHeight="1" x14ac:dyDescent="0.2">
      <c r="A45566" s="258"/>
      <c r="Z45566" s="258"/>
    </row>
    <row r="45567" spans="1:26" ht="12.75" customHeight="1" x14ac:dyDescent="0.2">
      <c r="A45567" s="258"/>
      <c r="Z45567" s="258"/>
    </row>
    <row r="45568" spans="1:26" ht="12.75" customHeight="1" x14ac:dyDescent="0.2">
      <c r="A45568" s="258"/>
      <c r="Z45568" s="258"/>
    </row>
    <row r="45569" spans="1:26" ht="12.75" customHeight="1" x14ac:dyDescent="0.2">
      <c r="A45569" s="258"/>
      <c r="Z45569" s="258"/>
    </row>
    <row r="45570" spans="1:26" ht="12.75" customHeight="1" x14ac:dyDescent="0.2">
      <c r="A45570" s="258"/>
      <c r="Z45570" s="258"/>
    </row>
    <row r="45571" spans="1:26" ht="12.75" customHeight="1" x14ac:dyDescent="0.2">
      <c r="A45571" s="258"/>
      <c r="Z45571" s="258"/>
    </row>
    <row r="45572" spans="1:26" ht="12.75" customHeight="1" x14ac:dyDescent="0.2">
      <c r="A45572" s="258"/>
      <c r="Z45572" s="258"/>
    </row>
    <row r="45573" spans="1:26" ht="12.75" customHeight="1" x14ac:dyDescent="0.2">
      <c r="A45573" s="258"/>
      <c r="Z45573" s="258"/>
    </row>
    <row r="45574" spans="1:26" ht="12.75" customHeight="1" x14ac:dyDescent="0.2">
      <c r="A45574" s="258"/>
      <c r="Z45574" s="258"/>
    </row>
    <row r="45575" spans="1:26" ht="12.75" customHeight="1" x14ac:dyDescent="0.2">
      <c r="A45575" s="258"/>
      <c r="Z45575" s="258"/>
    </row>
    <row r="45576" spans="1:26" ht="12.75" customHeight="1" x14ac:dyDescent="0.2">
      <c r="A45576" s="258"/>
      <c r="Z45576" s="258"/>
    </row>
    <row r="45577" spans="1:26" ht="12.75" customHeight="1" x14ac:dyDescent="0.2">
      <c r="A45577" s="258"/>
      <c r="Z45577" s="258"/>
    </row>
    <row r="45578" spans="1:26" ht="12.75" customHeight="1" x14ac:dyDescent="0.2">
      <c r="A45578" s="258"/>
      <c r="Z45578" s="258"/>
    </row>
    <row r="45579" spans="1:26" ht="12.75" customHeight="1" x14ac:dyDescent="0.2">
      <c r="A45579" s="258"/>
      <c r="Z45579" s="258"/>
    </row>
    <row r="45580" spans="1:26" ht="12.75" customHeight="1" x14ac:dyDescent="0.2">
      <c r="A45580" s="258"/>
      <c r="Z45580" s="258"/>
    </row>
    <row r="45581" spans="1:26" ht="12.75" customHeight="1" x14ac:dyDescent="0.2">
      <c r="A45581" s="258"/>
      <c r="Z45581" s="258"/>
    </row>
    <row r="45582" spans="1:26" ht="12.75" customHeight="1" x14ac:dyDescent="0.2">
      <c r="A45582" s="258"/>
      <c r="Z45582" s="258"/>
    </row>
    <row r="45583" spans="1:26" ht="12.75" customHeight="1" x14ac:dyDescent="0.2">
      <c r="A45583" s="258"/>
      <c r="Z45583" s="258"/>
    </row>
    <row r="45584" spans="1:26" ht="12.75" customHeight="1" x14ac:dyDescent="0.2">
      <c r="A45584" s="258"/>
      <c r="Z45584" s="258"/>
    </row>
    <row r="45585" spans="1:26" ht="12.75" customHeight="1" x14ac:dyDescent="0.2">
      <c r="A45585" s="258"/>
      <c r="Z45585" s="258"/>
    </row>
    <row r="45586" spans="1:26" ht="12.75" customHeight="1" x14ac:dyDescent="0.2">
      <c r="A45586" s="258"/>
      <c r="Z45586" s="258"/>
    </row>
    <row r="45587" spans="1:26" ht="12.75" customHeight="1" x14ac:dyDescent="0.2">
      <c r="A45587" s="258"/>
      <c r="Z45587" s="258"/>
    </row>
    <row r="45588" spans="1:26" ht="12.75" customHeight="1" x14ac:dyDescent="0.2">
      <c r="A45588" s="258"/>
      <c r="Z45588" s="258"/>
    </row>
    <row r="45589" spans="1:26" ht="12.75" customHeight="1" x14ac:dyDescent="0.2">
      <c r="A45589" s="258"/>
      <c r="Z45589" s="258"/>
    </row>
    <row r="45590" spans="1:26" ht="12.75" customHeight="1" x14ac:dyDescent="0.2">
      <c r="A45590" s="258"/>
      <c r="Z45590" s="258"/>
    </row>
    <row r="45591" spans="1:26" ht="12.75" customHeight="1" x14ac:dyDescent="0.2">
      <c r="A45591" s="258"/>
      <c r="Z45591" s="258"/>
    </row>
    <row r="45592" spans="1:26" ht="12.75" customHeight="1" x14ac:dyDescent="0.2">
      <c r="A45592" s="258"/>
      <c r="Z45592" s="258"/>
    </row>
    <row r="45593" spans="1:26" ht="12.75" customHeight="1" x14ac:dyDescent="0.2">
      <c r="A45593" s="258"/>
      <c r="Z45593" s="258"/>
    </row>
    <row r="45594" spans="1:26" ht="12.75" customHeight="1" x14ac:dyDescent="0.2">
      <c r="A45594" s="258"/>
      <c r="Z45594" s="258"/>
    </row>
    <row r="45595" spans="1:26" ht="12.75" customHeight="1" x14ac:dyDescent="0.2">
      <c r="A45595" s="258"/>
      <c r="Z45595" s="258"/>
    </row>
    <row r="45596" spans="1:26" ht="12.75" customHeight="1" x14ac:dyDescent="0.2">
      <c r="A45596" s="258"/>
      <c r="Z45596" s="258"/>
    </row>
    <row r="45597" spans="1:26" ht="12.75" customHeight="1" x14ac:dyDescent="0.2">
      <c r="A45597" s="258"/>
      <c r="Z45597" s="258"/>
    </row>
    <row r="45598" spans="1:26" ht="12.75" customHeight="1" x14ac:dyDescent="0.2">
      <c r="A45598" s="258"/>
      <c r="Z45598" s="258"/>
    </row>
    <row r="45599" spans="1:26" ht="12.75" customHeight="1" x14ac:dyDescent="0.2">
      <c r="A45599" s="258"/>
      <c r="Z45599" s="258"/>
    </row>
    <row r="45600" spans="1:26" ht="12.75" customHeight="1" x14ac:dyDescent="0.2">
      <c r="A45600" s="258"/>
      <c r="Z45600" s="258"/>
    </row>
    <row r="45601" spans="1:26" ht="12.75" customHeight="1" x14ac:dyDescent="0.2">
      <c r="A45601" s="258"/>
      <c r="Z45601" s="258"/>
    </row>
    <row r="45602" spans="1:26" ht="12.75" customHeight="1" x14ac:dyDescent="0.2">
      <c r="A45602" s="258"/>
      <c r="Z45602" s="258"/>
    </row>
    <row r="45603" spans="1:26" ht="12.75" customHeight="1" x14ac:dyDescent="0.2">
      <c r="A45603" s="258"/>
      <c r="Z45603" s="258"/>
    </row>
    <row r="45604" spans="1:26" ht="12.75" customHeight="1" x14ac:dyDescent="0.2">
      <c r="A45604" s="258"/>
      <c r="Z45604" s="258"/>
    </row>
    <row r="45605" spans="1:26" ht="12.75" customHeight="1" x14ac:dyDescent="0.2">
      <c r="A45605" s="258"/>
      <c r="Z45605" s="258"/>
    </row>
    <row r="45606" spans="1:26" ht="12.75" customHeight="1" x14ac:dyDescent="0.2">
      <c r="A45606" s="258"/>
      <c r="Z45606" s="258"/>
    </row>
    <row r="45607" spans="1:26" ht="12.75" customHeight="1" x14ac:dyDescent="0.2">
      <c r="A45607" s="258"/>
      <c r="Z45607" s="258"/>
    </row>
    <row r="45608" spans="1:26" ht="12.75" customHeight="1" x14ac:dyDescent="0.2">
      <c r="A45608" s="258"/>
      <c r="Z45608" s="258"/>
    </row>
    <row r="45609" spans="1:26" ht="12.75" customHeight="1" x14ac:dyDescent="0.2">
      <c r="A45609" s="258"/>
      <c r="Z45609" s="258"/>
    </row>
    <row r="45610" spans="1:26" ht="12.75" customHeight="1" x14ac:dyDescent="0.2">
      <c r="A45610" s="258"/>
      <c r="Z45610" s="258"/>
    </row>
    <row r="45611" spans="1:26" ht="12.75" customHeight="1" x14ac:dyDescent="0.2">
      <c r="A45611" s="258"/>
      <c r="Z45611" s="258"/>
    </row>
    <row r="45612" spans="1:26" ht="12.75" customHeight="1" x14ac:dyDescent="0.2">
      <c r="A45612" s="258"/>
      <c r="Z45612" s="258"/>
    </row>
    <row r="45613" spans="1:26" ht="12.75" customHeight="1" x14ac:dyDescent="0.2">
      <c r="A45613" s="258"/>
      <c r="Z45613" s="258"/>
    </row>
    <row r="45614" spans="1:26" ht="12.75" customHeight="1" x14ac:dyDescent="0.2">
      <c r="A45614" s="258"/>
      <c r="Z45614" s="258"/>
    </row>
    <row r="45615" spans="1:26" ht="12.75" customHeight="1" x14ac:dyDescent="0.2">
      <c r="A45615" s="258"/>
      <c r="Z45615" s="258"/>
    </row>
    <row r="45616" spans="1:26" ht="12.75" customHeight="1" x14ac:dyDescent="0.2">
      <c r="A45616" s="258"/>
      <c r="Z45616" s="258"/>
    </row>
    <row r="45617" spans="1:26" ht="12.75" customHeight="1" x14ac:dyDescent="0.2">
      <c r="A45617" s="258"/>
      <c r="Z45617" s="258"/>
    </row>
    <row r="45618" spans="1:26" ht="12.75" customHeight="1" x14ac:dyDescent="0.2">
      <c r="A45618" s="258"/>
      <c r="Z45618" s="258"/>
    </row>
    <row r="45619" spans="1:26" ht="12.75" customHeight="1" x14ac:dyDescent="0.2">
      <c r="A45619" s="258"/>
      <c r="Z45619" s="258"/>
    </row>
    <row r="45620" spans="1:26" ht="12.75" customHeight="1" x14ac:dyDescent="0.2">
      <c r="A45620" s="258"/>
      <c r="Z45620" s="258"/>
    </row>
    <row r="45621" spans="1:26" ht="12.75" customHeight="1" x14ac:dyDescent="0.2">
      <c r="A45621" s="258"/>
      <c r="Z45621" s="258"/>
    </row>
    <row r="45622" spans="1:26" ht="12.75" customHeight="1" x14ac:dyDescent="0.2">
      <c r="A45622" s="258"/>
      <c r="Z45622" s="258"/>
    </row>
    <row r="45623" spans="1:26" ht="12.75" customHeight="1" x14ac:dyDescent="0.2">
      <c r="A45623" s="258"/>
      <c r="Z45623" s="258"/>
    </row>
    <row r="45624" spans="1:26" ht="12.75" customHeight="1" x14ac:dyDescent="0.2">
      <c r="A45624" s="258"/>
      <c r="Z45624" s="258"/>
    </row>
    <row r="45625" spans="1:26" ht="12.75" customHeight="1" x14ac:dyDescent="0.2">
      <c r="A45625" s="258"/>
      <c r="Z45625" s="258"/>
    </row>
    <row r="45626" spans="1:26" ht="12.75" customHeight="1" x14ac:dyDescent="0.2">
      <c r="A45626" s="258"/>
      <c r="Z45626" s="258"/>
    </row>
    <row r="45627" spans="1:26" ht="12.75" customHeight="1" x14ac:dyDescent="0.2">
      <c r="A45627" s="258"/>
      <c r="Z45627" s="258"/>
    </row>
    <row r="45628" spans="1:26" ht="12.75" customHeight="1" x14ac:dyDescent="0.2">
      <c r="A45628" s="258"/>
      <c r="Z45628" s="258"/>
    </row>
    <row r="45629" spans="1:26" ht="12.75" customHeight="1" x14ac:dyDescent="0.2">
      <c r="A45629" s="258"/>
      <c r="Z45629" s="258"/>
    </row>
    <row r="45630" spans="1:26" ht="12.75" customHeight="1" x14ac:dyDescent="0.2">
      <c r="A45630" s="258"/>
      <c r="Z45630" s="258"/>
    </row>
    <row r="45631" spans="1:26" ht="12.75" customHeight="1" x14ac:dyDescent="0.2">
      <c r="A45631" s="258"/>
      <c r="Z45631" s="258"/>
    </row>
    <row r="45632" spans="1:26" ht="12.75" customHeight="1" x14ac:dyDescent="0.2">
      <c r="A45632" s="258"/>
      <c r="Z45632" s="258"/>
    </row>
    <row r="45633" spans="1:26" ht="12.75" customHeight="1" x14ac:dyDescent="0.2">
      <c r="A45633" s="258"/>
      <c r="Z45633" s="258"/>
    </row>
    <row r="45634" spans="1:26" ht="12.75" customHeight="1" x14ac:dyDescent="0.2">
      <c r="A45634" s="258"/>
      <c r="Z45634" s="258"/>
    </row>
    <row r="45635" spans="1:26" ht="12.75" customHeight="1" x14ac:dyDescent="0.2">
      <c r="A45635" s="258"/>
      <c r="Z45635" s="258"/>
    </row>
    <row r="45636" spans="1:26" ht="12.75" customHeight="1" x14ac:dyDescent="0.2">
      <c r="A45636" s="258"/>
      <c r="Z45636" s="258"/>
    </row>
    <row r="45637" spans="1:26" ht="12.75" customHeight="1" x14ac:dyDescent="0.2">
      <c r="A45637" s="258"/>
      <c r="Z45637" s="258"/>
    </row>
    <row r="45638" spans="1:26" ht="12.75" customHeight="1" x14ac:dyDescent="0.2">
      <c r="A45638" s="258"/>
      <c r="Z45638" s="258"/>
    </row>
    <row r="45639" spans="1:26" ht="12.75" customHeight="1" x14ac:dyDescent="0.2">
      <c r="A45639" s="258"/>
      <c r="Z45639" s="258"/>
    </row>
    <row r="45640" spans="1:26" ht="12.75" customHeight="1" x14ac:dyDescent="0.2">
      <c r="A45640" s="258"/>
      <c r="Z45640" s="258"/>
    </row>
    <row r="45641" spans="1:26" ht="12.75" customHeight="1" x14ac:dyDescent="0.2">
      <c r="A45641" s="258"/>
      <c r="Z45641" s="258"/>
    </row>
    <row r="45642" spans="1:26" ht="12.75" customHeight="1" x14ac:dyDescent="0.2">
      <c r="A45642" s="258"/>
      <c r="Z45642" s="258"/>
    </row>
    <row r="45643" spans="1:26" ht="12.75" customHeight="1" x14ac:dyDescent="0.2">
      <c r="A45643" s="258"/>
      <c r="Z45643" s="258"/>
    </row>
    <row r="45644" spans="1:26" ht="12.75" customHeight="1" x14ac:dyDescent="0.2">
      <c r="A45644" s="258"/>
      <c r="Z45644" s="258"/>
    </row>
    <row r="45645" spans="1:26" ht="12.75" customHeight="1" x14ac:dyDescent="0.2">
      <c r="A45645" s="258"/>
      <c r="Z45645" s="258"/>
    </row>
    <row r="45646" spans="1:26" ht="12.75" customHeight="1" x14ac:dyDescent="0.2">
      <c r="A45646" s="258"/>
      <c r="Z45646" s="258"/>
    </row>
    <row r="45647" spans="1:26" ht="12.75" customHeight="1" x14ac:dyDescent="0.2">
      <c r="A45647" s="258"/>
      <c r="Z45647" s="258"/>
    </row>
    <row r="45648" spans="1:26" ht="12.75" customHeight="1" x14ac:dyDescent="0.2">
      <c r="A45648" s="258"/>
      <c r="Z45648" s="258"/>
    </row>
    <row r="45649" spans="1:26" ht="12.75" customHeight="1" x14ac:dyDescent="0.2">
      <c r="A45649" s="258"/>
      <c r="Z45649" s="258"/>
    </row>
    <row r="45650" spans="1:26" ht="12.75" customHeight="1" x14ac:dyDescent="0.2">
      <c r="A45650" s="258"/>
      <c r="Z45650" s="258"/>
    </row>
    <row r="45651" spans="1:26" ht="12.75" customHeight="1" x14ac:dyDescent="0.2">
      <c r="A45651" s="258"/>
      <c r="Z45651" s="258"/>
    </row>
    <row r="45652" spans="1:26" ht="12.75" customHeight="1" x14ac:dyDescent="0.2">
      <c r="A45652" s="258"/>
      <c r="Z45652" s="258"/>
    </row>
    <row r="45653" spans="1:26" ht="12.75" customHeight="1" x14ac:dyDescent="0.2">
      <c r="A45653" s="258"/>
      <c r="Z45653" s="258"/>
    </row>
    <row r="45654" spans="1:26" ht="12.75" customHeight="1" x14ac:dyDescent="0.2">
      <c r="A45654" s="258"/>
      <c r="Z45654" s="258"/>
    </row>
    <row r="45655" spans="1:26" ht="12.75" customHeight="1" x14ac:dyDescent="0.2">
      <c r="A45655" s="258"/>
      <c r="Z45655" s="258"/>
    </row>
    <row r="45656" spans="1:26" ht="12.75" customHeight="1" x14ac:dyDescent="0.2">
      <c r="A45656" s="258"/>
      <c r="Z45656" s="258"/>
    </row>
    <row r="45657" spans="1:26" ht="12.75" customHeight="1" x14ac:dyDescent="0.2">
      <c r="A45657" s="258"/>
      <c r="Z45657" s="258"/>
    </row>
    <row r="45658" spans="1:26" ht="12.75" customHeight="1" x14ac:dyDescent="0.2">
      <c r="A45658" s="258"/>
      <c r="Z45658" s="258"/>
    </row>
    <row r="45659" spans="1:26" ht="12.75" customHeight="1" x14ac:dyDescent="0.2">
      <c r="A45659" s="258"/>
      <c r="Z45659" s="258"/>
    </row>
    <row r="45660" spans="1:26" ht="12.75" customHeight="1" x14ac:dyDescent="0.2">
      <c r="A45660" s="258"/>
      <c r="Z45660" s="258"/>
    </row>
    <row r="45661" spans="1:26" ht="12.75" customHeight="1" x14ac:dyDescent="0.2">
      <c r="A45661" s="258"/>
      <c r="Z45661" s="258"/>
    </row>
    <row r="45662" spans="1:26" ht="12.75" customHeight="1" x14ac:dyDescent="0.2">
      <c r="A45662" s="258"/>
      <c r="Z45662" s="258"/>
    </row>
    <row r="45663" spans="1:26" ht="12.75" customHeight="1" x14ac:dyDescent="0.2">
      <c r="A45663" s="258"/>
      <c r="Z45663" s="258"/>
    </row>
    <row r="45664" spans="1:26" ht="12.75" customHeight="1" x14ac:dyDescent="0.2">
      <c r="A45664" s="258"/>
      <c r="Z45664" s="258"/>
    </row>
    <row r="45665" spans="1:26" ht="12.75" customHeight="1" x14ac:dyDescent="0.2">
      <c r="A45665" s="258"/>
      <c r="Z45665" s="258"/>
    </row>
    <row r="45666" spans="1:26" ht="12.75" customHeight="1" x14ac:dyDescent="0.2">
      <c r="A45666" s="258"/>
      <c r="Z45666" s="258"/>
    </row>
    <row r="45667" spans="1:26" ht="12.75" customHeight="1" x14ac:dyDescent="0.2">
      <c r="A45667" s="258"/>
      <c r="Z45667" s="258"/>
    </row>
    <row r="45668" spans="1:26" ht="12.75" customHeight="1" x14ac:dyDescent="0.2">
      <c r="A45668" s="258"/>
      <c r="Z45668" s="258"/>
    </row>
    <row r="45669" spans="1:26" ht="12.75" customHeight="1" x14ac:dyDescent="0.2">
      <c r="A45669" s="258"/>
      <c r="Z45669" s="258"/>
    </row>
    <row r="45670" spans="1:26" ht="12.75" customHeight="1" x14ac:dyDescent="0.2">
      <c r="A45670" s="258"/>
      <c r="Z45670" s="258"/>
    </row>
    <row r="45671" spans="1:26" ht="12.75" customHeight="1" x14ac:dyDescent="0.2">
      <c r="A45671" s="258"/>
      <c r="Z45671" s="258"/>
    </row>
    <row r="45672" spans="1:26" ht="12.75" customHeight="1" x14ac:dyDescent="0.2">
      <c r="A45672" s="258"/>
      <c r="Z45672" s="258"/>
    </row>
    <row r="45673" spans="1:26" ht="12.75" customHeight="1" x14ac:dyDescent="0.2">
      <c r="A45673" s="258"/>
      <c r="Z45673" s="258"/>
    </row>
    <row r="45674" spans="1:26" ht="12.75" customHeight="1" x14ac:dyDescent="0.2">
      <c r="A45674" s="258"/>
      <c r="Z45674" s="258"/>
    </row>
    <row r="45675" spans="1:26" ht="12.75" customHeight="1" x14ac:dyDescent="0.2">
      <c r="A45675" s="258"/>
      <c r="Z45675" s="258"/>
    </row>
    <row r="45676" spans="1:26" ht="12.75" customHeight="1" x14ac:dyDescent="0.2">
      <c r="A45676" s="258"/>
      <c r="Z45676" s="258"/>
    </row>
    <row r="45677" spans="1:26" ht="12.75" customHeight="1" x14ac:dyDescent="0.2">
      <c r="A45677" s="258"/>
      <c r="Z45677" s="258"/>
    </row>
    <row r="45678" spans="1:26" ht="12.75" customHeight="1" x14ac:dyDescent="0.2">
      <c r="A45678" s="258"/>
      <c r="Z45678" s="258"/>
    </row>
    <row r="45679" spans="1:26" ht="12.75" customHeight="1" x14ac:dyDescent="0.2">
      <c r="A45679" s="258"/>
      <c r="Z45679" s="258"/>
    </row>
    <row r="45680" spans="1:26" ht="12.75" customHeight="1" x14ac:dyDescent="0.2">
      <c r="A45680" s="258"/>
      <c r="Z45680" s="258"/>
    </row>
    <row r="45681" spans="1:26" ht="12.75" customHeight="1" x14ac:dyDescent="0.2">
      <c r="A45681" s="258"/>
      <c r="Z45681" s="258"/>
    </row>
    <row r="45682" spans="1:26" ht="12.75" customHeight="1" x14ac:dyDescent="0.2">
      <c r="A45682" s="258"/>
      <c r="Z45682" s="258"/>
    </row>
    <row r="45683" spans="1:26" ht="12.75" customHeight="1" x14ac:dyDescent="0.2">
      <c r="A45683" s="258"/>
      <c r="Z45683" s="258"/>
    </row>
    <row r="45684" spans="1:26" ht="12.75" customHeight="1" x14ac:dyDescent="0.2">
      <c r="A45684" s="258"/>
      <c r="Z45684" s="258"/>
    </row>
    <row r="45685" spans="1:26" ht="12.75" customHeight="1" x14ac:dyDescent="0.2">
      <c r="A45685" s="258"/>
      <c r="Z45685" s="258"/>
    </row>
    <row r="45686" spans="1:26" ht="12.75" customHeight="1" x14ac:dyDescent="0.2">
      <c r="A45686" s="258"/>
      <c r="Z45686" s="258"/>
    </row>
    <row r="45687" spans="1:26" ht="12.75" customHeight="1" x14ac:dyDescent="0.2">
      <c r="A45687" s="258"/>
      <c r="Z45687" s="258"/>
    </row>
    <row r="45688" spans="1:26" ht="12.75" customHeight="1" x14ac:dyDescent="0.2">
      <c r="A45688" s="258"/>
      <c r="Z45688" s="258"/>
    </row>
    <row r="45689" spans="1:26" ht="12.75" customHeight="1" x14ac:dyDescent="0.2">
      <c r="A45689" s="258"/>
      <c r="Z45689" s="258"/>
    </row>
    <row r="45690" spans="1:26" ht="12.75" customHeight="1" x14ac:dyDescent="0.2">
      <c r="A45690" s="258"/>
      <c r="Z45690" s="258"/>
    </row>
    <row r="45691" spans="1:26" ht="12.75" customHeight="1" x14ac:dyDescent="0.2">
      <c r="A45691" s="258"/>
      <c r="Z45691" s="258"/>
    </row>
    <row r="45692" spans="1:26" ht="12.75" customHeight="1" x14ac:dyDescent="0.2">
      <c r="A45692" s="258"/>
      <c r="Z45692" s="258"/>
    </row>
    <row r="45693" spans="1:26" ht="12.75" customHeight="1" x14ac:dyDescent="0.2">
      <c r="A45693" s="258"/>
      <c r="Z45693" s="258"/>
    </row>
    <row r="45694" spans="1:26" ht="12.75" customHeight="1" x14ac:dyDescent="0.2">
      <c r="A45694" s="258"/>
      <c r="Z45694" s="258"/>
    </row>
    <row r="45695" spans="1:26" ht="12.75" customHeight="1" x14ac:dyDescent="0.2">
      <c r="A45695" s="258"/>
      <c r="Z45695" s="258"/>
    </row>
    <row r="45696" spans="1:26" ht="12.75" customHeight="1" x14ac:dyDescent="0.2">
      <c r="A45696" s="258"/>
      <c r="Z45696" s="258"/>
    </row>
    <row r="45697" spans="1:26" ht="12.75" customHeight="1" x14ac:dyDescent="0.2">
      <c r="A45697" s="258"/>
      <c r="Z45697" s="258"/>
    </row>
    <row r="45698" spans="1:26" ht="12.75" customHeight="1" x14ac:dyDescent="0.2">
      <c r="A45698" s="258"/>
      <c r="Z45698" s="258"/>
    </row>
    <row r="45699" spans="1:26" ht="12.75" customHeight="1" x14ac:dyDescent="0.2">
      <c r="A45699" s="258"/>
      <c r="Z45699" s="258"/>
    </row>
    <row r="45700" spans="1:26" ht="12.75" customHeight="1" x14ac:dyDescent="0.2">
      <c r="A45700" s="258"/>
      <c r="Z45700" s="258"/>
    </row>
    <row r="45701" spans="1:26" ht="12.75" customHeight="1" x14ac:dyDescent="0.2">
      <c r="A45701" s="258"/>
      <c r="Z45701" s="258"/>
    </row>
    <row r="45702" spans="1:26" ht="12.75" customHeight="1" x14ac:dyDescent="0.2">
      <c r="A45702" s="258"/>
      <c r="Z45702" s="258"/>
    </row>
    <row r="45703" spans="1:26" ht="12.75" customHeight="1" x14ac:dyDescent="0.2">
      <c r="A45703" s="258"/>
      <c r="Z45703" s="258"/>
    </row>
    <row r="45704" spans="1:26" ht="12.75" customHeight="1" x14ac:dyDescent="0.2">
      <c r="A45704" s="258"/>
      <c r="Z45704" s="258"/>
    </row>
    <row r="45705" spans="1:26" ht="12.75" customHeight="1" x14ac:dyDescent="0.2">
      <c r="A45705" s="258"/>
      <c r="Z45705" s="258"/>
    </row>
    <row r="45706" spans="1:26" ht="12.75" customHeight="1" x14ac:dyDescent="0.2">
      <c r="A45706" s="258"/>
      <c r="Z45706" s="258"/>
    </row>
    <row r="45707" spans="1:26" ht="12.75" customHeight="1" x14ac:dyDescent="0.2">
      <c r="A45707" s="258"/>
      <c r="Z45707" s="258"/>
    </row>
    <row r="45708" spans="1:26" ht="12.75" customHeight="1" x14ac:dyDescent="0.2">
      <c r="A45708" s="258"/>
      <c r="Z45708" s="258"/>
    </row>
    <row r="45709" spans="1:26" ht="12.75" customHeight="1" x14ac:dyDescent="0.2">
      <c r="A45709" s="258"/>
      <c r="Z45709" s="258"/>
    </row>
    <row r="45710" spans="1:26" ht="12.75" customHeight="1" x14ac:dyDescent="0.2">
      <c r="A45710" s="258"/>
      <c r="Z45710" s="258"/>
    </row>
    <row r="45711" spans="1:26" ht="12.75" customHeight="1" x14ac:dyDescent="0.2">
      <c r="A45711" s="258"/>
      <c r="Z45711" s="258"/>
    </row>
    <row r="45712" spans="1:26" ht="12.75" customHeight="1" x14ac:dyDescent="0.2">
      <c r="A45712" s="258"/>
      <c r="Z45712" s="258"/>
    </row>
    <row r="45713" spans="1:26" ht="12.75" customHeight="1" x14ac:dyDescent="0.2">
      <c r="A45713" s="258"/>
      <c r="Z45713" s="258"/>
    </row>
    <row r="45714" spans="1:26" ht="12.75" customHeight="1" x14ac:dyDescent="0.2">
      <c r="A45714" s="258"/>
      <c r="Z45714" s="258"/>
    </row>
    <row r="45715" spans="1:26" ht="12.75" customHeight="1" x14ac:dyDescent="0.2">
      <c r="A45715" s="258"/>
      <c r="Z45715" s="258"/>
    </row>
    <row r="45716" spans="1:26" ht="12.75" customHeight="1" x14ac:dyDescent="0.2">
      <c r="A45716" s="258"/>
      <c r="Z45716" s="258"/>
    </row>
    <row r="45717" spans="1:26" ht="12.75" customHeight="1" x14ac:dyDescent="0.2">
      <c r="A45717" s="258"/>
      <c r="Z45717" s="258"/>
    </row>
    <row r="45718" spans="1:26" ht="12.75" customHeight="1" x14ac:dyDescent="0.2">
      <c r="A45718" s="258"/>
      <c r="Z45718" s="258"/>
    </row>
    <row r="45719" spans="1:26" ht="12.75" customHeight="1" x14ac:dyDescent="0.2">
      <c r="A45719" s="258"/>
      <c r="Z45719" s="258"/>
    </row>
    <row r="45720" spans="1:26" ht="12.75" customHeight="1" x14ac:dyDescent="0.2">
      <c r="A45720" s="258"/>
      <c r="Z45720" s="258"/>
    </row>
    <row r="45721" spans="1:26" ht="12.75" customHeight="1" x14ac:dyDescent="0.2">
      <c r="A45721" s="258"/>
      <c r="Z45721" s="258"/>
    </row>
    <row r="45722" spans="1:26" ht="12.75" customHeight="1" x14ac:dyDescent="0.2">
      <c r="A45722" s="258"/>
      <c r="Z45722" s="258"/>
    </row>
    <row r="45723" spans="1:26" ht="12.75" customHeight="1" x14ac:dyDescent="0.2">
      <c r="A45723" s="258"/>
      <c r="Z45723" s="258"/>
    </row>
    <row r="45724" spans="1:26" ht="12.75" customHeight="1" x14ac:dyDescent="0.2">
      <c r="A45724" s="258"/>
      <c r="Z45724" s="258"/>
    </row>
    <row r="45725" spans="1:26" ht="12.75" customHeight="1" x14ac:dyDescent="0.2">
      <c r="A45725" s="258"/>
      <c r="Z45725" s="258"/>
    </row>
    <row r="45726" spans="1:26" ht="12.75" customHeight="1" x14ac:dyDescent="0.2">
      <c r="A45726" s="258"/>
      <c r="Z45726" s="258"/>
    </row>
    <row r="45727" spans="1:26" ht="12.75" customHeight="1" x14ac:dyDescent="0.2">
      <c r="A45727" s="258"/>
      <c r="Z45727" s="258"/>
    </row>
    <row r="45728" spans="1:26" ht="12.75" customHeight="1" x14ac:dyDescent="0.2">
      <c r="A45728" s="258"/>
      <c r="Z45728" s="258"/>
    </row>
    <row r="45729" spans="1:26" ht="12.75" customHeight="1" x14ac:dyDescent="0.2">
      <c r="A45729" s="258"/>
      <c r="Z45729" s="258"/>
    </row>
    <row r="45730" spans="1:26" ht="12.75" customHeight="1" x14ac:dyDescent="0.2">
      <c r="A45730" s="258"/>
      <c r="Z45730" s="258"/>
    </row>
    <row r="45731" spans="1:26" ht="12.75" customHeight="1" x14ac:dyDescent="0.2">
      <c r="A45731" s="258"/>
      <c r="Z45731" s="258"/>
    </row>
    <row r="45732" spans="1:26" ht="12.75" customHeight="1" x14ac:dyDescent="0.2">
      <c r="A45732" s="258"/>
      <c r="Z45732" s="258"/>
    </row>
    <row r="45733" spans="1:26" ht="12.75" customHeight="1" x14ac:dyDescent="0.2">
      <c r="A45733" s="258"/>
      <c r="Z45733" s="258"/>
    </row>
    <row r="45734" spans="1:26" ht="12.75" customHeight="1" x14ac:dyDescent="0.2">
      <c r="A45734" s="258"/>
      <c r="Z45734" s="258"/>
    </row>
    <row r="45735" spans="1:26" ht="12.75" customHeight="1" x14ac:dyDescent="0.2">
      <c r="A45735" s="258"/>
      <c r="Z45735" s="258"/>
    </row>
    <row r="45736" spans="1:26" ht="12.75" customHeight="1" x14ac:dyDescent="0.2">
      <c r="A45736" s="258"/>
      <c r="Z45736" s="258"/>
    </row>
    <row r="45737" spans="1:26" ht="12.75" customHeight="1" x14ac:dyDescent="0.2">
      <c r="A45737" s="258"/>
      <c r="Z45737" s="258"/>
    </row>
    <row r="45738" spans="1:26" ht="12.75" customHeight="1" x14ac:dyDescent="0.2">
      <c r="A45738" s="258"/>
      <c r="Z45738" s="258"/>
    </row>
    <row r="45739" spans="1:26" ht="12.75" customHeight="1" x14ac:dyDescent="0.2">
      <c r="A45739" s="258"/>
      <c r="Z45739" s="258"/>
    </row>
    <row r="45740" spans="1:26" ht="12.75" customHeight="1" x14ac:dyDescent="0.2">
      <c r="A45740" s="258"/>
      <c r="Z45740" s="258"/>
    </row>
    <row r="45741" spans="1:26" ht="12.75" customHeight="1" x14ac:dyDescent="0.2">
      <c r="A45741" s="258"/>
      <c r="Z45741" s="258"/>
    </row>
    <row r="45742" spans="1:26" ht="12.75" customHeight="1" x14ac:dyDescent="0.2">
      <c r="A45742" s="258"/>
      <c r="Z45742" s="258"/>
    </row>
    <row r="45743" spans="1:26" ht="12.75" customHeight="1" x14ac:dyDescent="0.2">
      <c r="A45743" s="258"/>
      <c r="Z45743" s="258"/>
    </row>
    <row r="45744" spans="1:26" ht="12.75" customHeight="1" x14ac:dyDescent="0.2">
      <c r="A45744" s="258"/>
      <c r="Z45744" s="258"/>
    </row>
    <row r="45745" spans="1:26" ht="12.75" customHeight="1" x14ac:dyDescent="0.2">
      <c r="A45745" s="258"/>
      <c r="Z45745" s="258"/>
    </row>
    <row r="45746" spans="1:26" ht="12.75" customHeight="1" x14ac:dyDescent="0.2">
      <c r="A45746" s="258"/>
      <c r="Z45746" s="258"/>
    </row>
    <row r="45747" spans="1:26" ht="12.75" customHeight="1" x14ac:dyDescent="0.2">
      <c r="A45747" s="258"/>
      <c r="Z45747" s="258"/>
    </row>
    <row r="45748" spans="1:26" ht="12.75" customHeight="1" x14ac:dyDescent="0.2">
      <c r="A45748" s="258"/>
      <c r="Z45748" s="258"/>
    </row>
    <row r="45749" spans="1:26" ht="12.75" customHeight="1" x14ac:dyDescent="0.2">
      <c r="A45749" s="258"/>
      <c r="Z45749" s="258"/>
    </row>
    <row r="45750" spans="1:26" ht="12.75" customHeight="1" x14ac:dyDescent="0.2">
      <c r="A45750" s="258"/>
      <c r="Z45750" s="258"/>
    </row>
    <row r="45751" spans="1:26" ht="12.75" customHeight="1" x14ac:dyDescent="0.2">
      <c r="A45751" s="258"/>
      <c r="Z45751" s="258"/>
    </row>
    <row r="45752" spans="1:26" ht="12.75" customHeight="1" x14ac:dyDescent="0.2">
      <c r="A45752" s="258"/>
      <c r="Z45752" s="258"/>
    </row>
    <row r="45753" spans="1:26" ht="12.75" customHeight="1" x14ac:dyDescent="0.2">
      <c r="A45753" s="258"/>
      <c r="Z45753" s="258"/>
    </row>
    <row r="45754" spans="1:26" ht="12.75" customHeight="1" x14ac:dyDescent="0.2">
      <c r="A45754" s="258"/>
      <c r="Z45754" s="258"/>
    </row>
    <row r="45755" spans="1:26" ht="12.75" customHeight="1" x14ac:dyDescent="0.2">
      <c r="A45755" s="258"/>
      <c r="Z45755" s="258"/>
    </row>
    <row r="45756" spans="1:26" ht="12.75" customHeight="1" x14ac:dyDescent="0.2">
      <c r="A45756" s="258"/>
      <c r="Z45756" s="258"/>
    </row>
    <row r="45757" spans="1:26" ht="12.75" customHeight="1" x14ac:dyDescent="0.2">
      <c r="A45757" s="258"/>
      <c r="Z45757" s="258"/>
    </row>
    <row r="45758" spans="1:26" ht="12.75" customHeight="1" x14ac:dyDescent="0.2">
      <c r="A45758" s="258"/>
      <c r="Z45758" s="258"/>
    </row>
    <row r="45759" spans="1:26" ht="12.75" customHeight="1" x14ac:dyDescent="0.2">
      <c r="A45759" s="258"/>
      <c r="Z45759" s="258"/>
    </row>
    <row r="45760" spans="1:26" ht="12.75" customHeight="1" x14ac:dyDescent="0.2">
      <c r="A45760" s="258"/>
      <c r="Z45760" s="258"/>
    </row>
    <row r="45761" spans="1:26" ht="12.75" customHeight="1" x14ac:dyDescent="0.2">
      <c r="A45761" s="258"/>
      <c r="Z45761" s="258"/>
    </row>
    <row r="45762" spans="1:26" ht="12.75" customHeight="1" x14ac:dyDescent="0.2">
      <c r="A45762" s="258"/>
      <c r="Z45762" s="258"/>
    </row>
    <row r="45763" spans="1:26" ht="12.75" customHeight="1" x14ac:dyDescent="0.2">
      <c r="A45763" s="258"/>
      <c r="Z45763" s="258"/>
    </row>
    <row r="45764" spans="1:26" ht="12.75" customHeight="1" x14ac:dyDescent="0.2">
      <c r="A45764" s="258"/>
      <c r="Z45764" s="258"/>
    </row>
    <row r="45765" spans="1:26" ht="12.75" customHeight="1" x14ac:dyDescent="0.2">
      <c r="A45765" s="258"/>
      <c r="Z45765" s="258"/>
    </row>
    <row r="45766" spans="1:26" ht="12.75" customHeight="1" x14ac:dyDescent="0.2">
      <c r="A45766" s="258"/>
      <c r="Z45766" s="258"/>
    </row>
    <row r="45767" spans="1:26" ht="12.75" customHeight="1" x14ac:dyDescent="0.2">
      <c r="A45767" s="258"/>
      <c r="Z45767" s="258"/>
    </row>
    <row r="45768" spans="1:26" ht="12.75" customHeight="1" x14ac:dyDescent="0.2">
      <c r="A45768" s="258"/>
      <c r="Z45768" s="258"/>
    </row>
    <row r="45769" spans="1:26" ht="12.75" customHeight="1" x14ac:dyDescent="0.2">
      <c r="A45769" s="258"/>
      <c r="Z45769" s="258"/>
    </row>
    <row r="45770" spans="1:26" ht="12.75" customHeight="1" x14ac:dyDescent="0.2">
      <c r="A45770" s="258"/>
      <c r="Z45770" s="258"/>
    </row>
    <row r="45771" spans="1:26" ht="12.75" customHeight="1" x14ac:dyDescent="0.2">
      <c r="A45771" s="258"/>
      <c r="Z45771" s="258"/>
    </row>
    <row r="45772" spans="1:26" ht="12.75" customHeight="1" x14ac:dyDescent="0.2">
      <c r="A45772" s="258"/>
      <c r="Z45772" s="258"/>
    </row>
    <row r="45773" spans="1:26" ht="12.75" customHeight="1" x14ac:dyDescent="0.2">
      <c r="A45773" s="258"/>
      <c r="Z45773" s="258"/>
    </row>
    <row r="45774" spans="1:26" ht="12.75" customHeight="1" x14ac:dyDescent="0.2">
      <c r="A45774" s="258"/>
      <c r="Z45774" s="258"/>
    </row>
    <row r="45775" spans="1:26" ht="12.75" customHeight="1" x14ac:dyDescent="0.2">
      <c r="A45775" s="258"/>
      <c r="Z45775" s="258"/>
    </row>
    <row r="45776" spans="1:26" ht="12.75" customHeight="1" x14ac:dyDescent="0.2">
      <c r="A45776" s="258"/>
      <c r="Z45776" s="258"/>
    </row>
    <row r="45777" spans="1:26" ht="12.75" customHeight="1" x14ac:dyDescent="0.2">
      <c r="A45777" s="258"/>
      <c r="Z45777" s="258"/>
    </row>
    <row r="45778" spans="1:26" ht="12.75" customHeight="1" x14ac:dyDescent="0.2">
      <c r="A45778" s="258"/>
      <c r="Z45778" s="258"/>
    </row>
    <row r="45779" spans="1:26" ht="12.75" customHeight="1" x14ac:dyDescent="0.2">
      <c r="A45779" s="258"/>
      <c r="Z45779" s="258"/>
    </row>
    <row r="45780" spans="1:26" ht="12.75" customHeight="1" x14ac:dyDescent="0.2">
      <c r="A45780" s="258"/>
      <c r="Z45780" s="258"/>
    </row>
    <row r="45781" spans="1:26" ht="12.75" customHeight="1" x14ac:dyDescent="0.2">
      <c r="A45781" s="258"/>
      <c r="Z45781" s="258"/>
    </row>
    <row r="45782" spans="1:26" ht="12.75" customHeight="1" x14ac:dyDescent="0.2">
      <c r="A45782" s="258"/>
      <c r="Z45782" s="258"/>
    </row>
    <row r="45783" spans="1:26" ht="12.75" customHeight="1" x14ac:dyDescent="0.2">
      <c r="A45783" s="258"/>
      <c r="Z45783" s="258"/>
    </row>
    <row r="45784" spans="1:26" ht="12.75" customHeight="1" x14ac:dyDescent="0.2">
      <c r="A45784" s="258"/>
      <c r="Z45784" s="258"/>
    </row>
    <row r="45785" spans="1:26" ht="12.75" customHeight="1" x14ac:dyDescent="0.2">
      <c r="A45785" s="258"/>
      <c r="Z45785" s="258"/>
    </row>
    <row r="45786" spans="1:26" ht="12.75" customHeight="1" x14ac:dyDescent="0.2">
      <c r="A45786" s="258"/>
      <c r="Z45786" s="258"/>
    </row>
    <row r="45787" spans="1:26" ht="12.75" customHeight="1" x14ac:dyDescent="0.2">
      <c r="A45787" s="258"/>
      <c r="Z45787" s="258"/>
    </row>
    <row r="45788" spans="1:26" ht="12.75" customHeight="1" x14ac:dyDescent="0.2">
      <c r="A45788" s="258"/>
      <c r="Z45788" s="258"/>
    </row>
    <row r="45789" spans="1:26" ht="12.75" customHeight="1" x14ac:dyDescent="0.2">
      <c r="A45789" s="258"/>
      <c r="Z45789" s="258"/>
    </row>
    <row r="45790" spans="1:26" ht="12.75" customHeight="1" x14ac:dyDescent="0.2">
      <c r="A45790" s="258"/>
      <c r="Z45790" s="258"/>
    </row>
    <row r="45791" spans="1:26" ht="12.75" customHeight="1" x14ac:dyDescent="0.2">
      <c r="A45791" s="258"/>
      <c r="Z45791" s="258"/>
    </row>
    <row r="45792" spans="1:26" ht="12.75" customHeight="1" x14ac:dyDescent="0.2">
      <c r="A45792" s="258"/>
      <c r="Z45792" s="258"/>
    </row>
    <row r="45793" spans="1:26" ht="12.75" customHeight="1" x14ac:dyDescent="0.2">
      <c r="A45793" s="258"/>
      <c r="Z45793" s="258"/>
    </row>
    <row r="45794" spans="1:26" ht="12.75" customHeight="1" x14ac:dyDescent="0.2">
      <c r="A45794" s="258"/>
      <c r="Z45794" s="258"/>
    </row>
    <row r="45795" spans="1:26" ht="12.75" customHeight="1" x14ac:dyDescent="0.2">
      <c r="A45795" s="258"/>
      <c r="Z45795" s="258"/>
    </row>
    <row r="45796" spans="1:26" ht="12.75" customHeight="1" x14ac:dyDescent="0.2">
      <c r="A45796" s="258"/>
      <c r="Z45796" s="258"/>
    </row>
    <row r="45797" spans="1:26" ht="12.75" customHeight="1" x14ac:dyDescent="0.2">
      <c r="A45797" s="258"/>
      <c r="Z45797" s="258"/>
    </row>
    <row r="45798" spans="1:26" ht="12.75" customHeight="1" x14ac:dyDescent="0.2">
      <c r="A45798" s="258"/>
      <c r="Z45798" s="258"/>
    </row>
    <row r="45799" spans="1:26" ht="12.75" customHeight="1" x14ac:dyDescent="0.2">
      <c r="A45799" s="258"/>
      <c r="Z45799" s="258"/>
    </row>
    <row r="45800" spans="1:26" ht="12.75" customHeight="1" x14ac:dyDescent="0.2">
      <c r="A45800" s="258"/>
      <c r="Z45800" s="258"/>
    </row>
    <row r="45801" spans="1:26" ht="12.75" customHeight="1" x14ac:dyDescent="0.2">
      <c r="A45801" s="258"/>
      <c r="Z45801" s="258"/>
    </row>
    <row r="45802" spans="1:26" ht="12.75" customHeight="1" x14ac:dyDescent="0.2">
      <c r="A45802" s="258"/>
      <c r="Z45802" s="258"/>
    </row>
    <row r="45803" spans="1:26" ht="12.75" customHeight="1" x14ac:dyDescent="0.2">
      <c r="A45803" s="258"/>
      <c r="Z45803" s="258"/>
    </row>
    <row r="45804" spans="1:26" ht="12.75" customHeight="1" x14ac:dyDescent="0.2">
      <c r="A45804" s="258"/>
      <c r="Z45804" s="258"/>
    </row>
    <row r="45805" spans="1:26" ht="12.75" customHeight="1" x14ac:dyDescent="0.2">
      <c r="A45805" s="258"/>
      <c r="Z45805" s="258"/>
    </row>
    <row r="45806" spans="1:26" ht="12.75" customHeight="1" x14ac:dyDescent="0.2">
      <c r="A45806" s="258"/>
      <c r="Z45806" s="258"/>
    </row>
    <row r="45807" spans="1:26" ht="12.75" customHeight="1" x14ac:dyDescent="0.2">
      <c r="A45807" s="258"/>
      <c r="Z45807" s="258"/>
    </row>
    <row r="45808" spans="1:26" ht="12.75" customHeight="1" x14ac:dyDescent="0.2">
      <c r="A45808" s="258"/>
      <c r="Z45808" s="258"/>
    </row>
    <row r="45809" spans="1:26" ht="12.75" customHeight="1" x14ac:dyDescent="0.2">
      <c r="A45809" s="258"/>
      <c r="Z45809" s="258"/>
    </row>
    <row r="45810" spans="1:26" ht="12.75" customHeight="1" x14ac:dyDescent="0.2">
      <c r="A45810" s="258"/>
      <c r="Z45810" s="258"/>
    </row>
    <row r="45811" spans="1:26" ht="12.75" customHeight="1" x14ac:dyDescent="0.2">
      <c r="A45811" s="258"/>
      <c r="Z45811" s="258"/>
    </row>
    <row r="45812" spans="1:26" ht="12.75" customHeight="1" x14ac:dyDescent="0.2">
      <c r="A45812" s="258"/>
      <c r="Z45812" s="258"/>
    </row>
    <row r="45813" spans="1:26" ht="12.75" customHeight="1" x14ac:dyDescent="0.2">
      <c r="A45813" s="258"/>
      <c r="Z45813" s="258"/>
    </row>
    <row r="45814" spans="1:26" ht="12.75" customHeight="1" x14ac:dyDescent="0.2">
      <c r="A45814" s="258"/>
      <c r="Z45814" s="258"/>
    </row>
    <row r="45815" spans="1:26" ht="12.75" customHeight="1" x14ac:dyDescent="0.2">
      <c r="A45815" s="258"/>
      <c r="Z45815" s="258"/>
    </row>
    <row r="45816" spans="1:26" ht="12.75" customHeight="1" x14ac:dyDescent="0.2">
      <c r="A45816" s="258"/>
      <c r="Z45816" s="258"/>
    </row>
    <row r="45817" spans="1:26" ht="12.75" customHeight="1" x14ac:dyDescent="0.2">
      <c r="A45817" s="258"/>
      <c r="Z45817" s="258"/>
    </row>
    <row r="45818" spans="1:26" ht="12.75" customHeight="1" x14ac:dyDescent="0.2">
      <c r="A45818" s="258"/>
      <c r="Z45818" s="258"/>
    </row>
    <row r="45819" spans="1:26" ht="12.75" customHeight="1" x14ac:dyDescent="0.2">
      <c r="A45819" s="258"/>
      <c r="Z45819" s="258"/>
    </row>
    <row r="45820" spans="1:26" ht="12.75" customHeight="1" x14ac:dyDescent="0.2">
      <c r="A45820" s="258"/>
      <c r="Z45820" s="258"/>
    </row>
    <row r="45821" spans="1:26" ht="12.75" customHeight="1" x14ac:dyDescent="0.2">
      <c r="A45821" s="258"/>
      <c r="Z45821" s="258"/>
    </row>
    <row r="45822" spans="1:26" ht="12.75" customHeight="1" x14ac:dyDescent="0.2">
      <c r="A45822" s="258"/>
      <c r="Z45822" s="258"/>
    </row>
    <row r="45823" spans="1:26" ht="12.75" customHeight="1" x14ac:dyDescent="0.2">
      <c r="A45823" s="258"/>
      <c r="Z45823" s="258"/>
    </row>
    <row r="45824" spans="1:26" ht="12.75" customHeight="1" x14ac:dyDescent="0.2">
      <c r="A45824" s="258"/>
      <c r="Z45824" s="258"/>
    </row>
    <row r="45825" spans="1:26" ht="12.75" customHeight="1" x14ac:dyDescent="0.2">
      <c r="A45825" s="258"/>
      <c r="Z45825" s="258"/>
    </row>
    <row r="45826" spans="1:26" ht="12.75" customHeight="1" x14ac:dyDescent="0.2">
      <c r="A45826" s="258"/>
      <c r="Z45826" s="258"/>
    </row>
    <row r="45827" spans="1:26" ht="12.75" customHeight="1" x14ac:dyDescent="0.2">
      <c r="A45827" s="258"/>
      <c r="Z45827" s="258"/>
    </row>
    <row r="45828" spans="1:26" ht="12.75" customHeight="1" x14ac:dyDescent="0.2">
      <c r="A45828" s="258"/>
      <c r="Z45828" s="258"/>
    </row>
    <row r="45829" spans="1:26" ht="12.75" customHeight="1" x14ac:dyDescent="0.2">
      <c r="A45829" s="258"/>
      <c r="Z45829" s="258"/>
    </row>
    <row r="45830" spans="1:26" ht="12.75" customHeight="1" x14ac:dyDescent="0.2">
      <c r="A45830" s="258"/>
      <c r="Z45830" s="258"/>
    </row>
    <row r="45831" spans="1:26" ht="12.75" customHeight="1" x14ac:dyDescent="0.2">
      <c r="A45831" s="258"/>
      <c r="Z45831" s="258"/>
    </row>
    <row r="45832" spans="1:26" ht="12.75" customHeight="1" x14ac:dyDescent="0.2">
      <c r="A45832" s="258"/>
      <c r="Z45832" s="258"/>
    </row>
    <row r="45833" spans="1:26" ht="12.75" customHeight="1" x14ac:dyDescent="0.2">
      <c r="A45833" s="258"/>
      <c r="Z45833" s="258"/>
    </row>
    <row r="45834" spans="1:26" ht="12.75" customHeight="1" x14ac:dyDescent="0.2">
      <c r="A45834" s="258"/>
      <c r="Z45834" s="258"/>
    </row>
    <row r="45835" spans="1:26" ht="12.75" customHeight="1" x14ac:dyDescent="0.2">
      <c r="A45835" s="258"/>
      <c r="Z45835" s="258"/>
    </row>
    <row r="45836" spans="1:26" ht="12.75" customHeight="1" x14ac:dyDescent="0.2">
      <c r="A45836" s="258"/>
      <c r="Z45836" s="258"/>
    </row>
    <row r="45837" spans="1:26" ht="12.75" customHeight="1" x14ac:dyDescent="0.2">
      <c r="A45837" s="258"/>
      <c r="Z45837" s="258"/>
    </row>
    <row r="45838" spans="1:26" ht="12.75" customHeight="1" x14ac:dyDescent="0.2">
      <c r="A45838" s="258"/>
      <c r="Z45838" s="258"/>
    </row>
    <row r="45839" spans="1:26" ht="12.75" customHeight="1" x14ac:dyDescent="0.2">
      <c r="A45839" s="258"/>
      <c r="Z45839" s="258"/>
    </row>
    <row r="45840" spans="1:26" ht="12.75" customHeight="1" x14ac:dyDescent="0.2">
      <c r="A45840" s="258"/>
      <c r="Z45840" s="258"/>
    </row>
    <row r="45841" spans="1:26" ht="12.75" customHeight="1" x14ac:dyDescent="0.2">
      <c r="A45841" s="258"/>
      <c r="Z45841" s="258"/>
    </row>
    <row r="45842" spans="1:26" ht="12.75" customHeight="1" x14ac:dyDescent="0.2">
      <c r="A45842" s="258"/>
      <c r="Z45842" s="258"/>
    </row>
    <row r="45843" spans="1:26" ht="12.75" customHeight="1" x14ac:dyDescent="0.2">
      <c r="A45843" s="258"/>
      <c r="Z45843" s="258"/>
    </row>
    <row r="45844" spans="1:26" ht="12.75" customHeight="1" x14ac:dyDescent="0.2">
      <c r="A45844" s="258"/>
      <c r="Z45844" s="258"/>
    </row>
    <row r="45845" spans="1:26" ht="12.75" customHeight="1" x14ac:dyDescent="0.2">
      <c r="A45845" s="258"/>
      <c r="Z45845" s="258"/>
    </row>
    <row r="45846" spans="1:26" ht="12.75" customHeight="1" x14ac:dyDescent="0.2">
      <c r="A45846" s="258"/>
      <c r="Z45846" s="258"/>
    </row>
    <row r="45847" spans="1:26" ht="12.75" customHeight="1" x14ac:dyDescent="0.2">
      <c r="A45847" s="258"/>
      <c r="Z45847" s="258"/>
    </row>
    <row r="45848" spans="1:26" ht="12.75" customHeight="1" x14ac:dyDescent="0.2">
      <c r="A45848" s="258"/>
      <c r="Z45848" s="258"/>
    </row>
    <row r="45849" spans="1:26" ht="12.75" customHeight="1" x14ac:dyDescent="0.2">
      <c r="A45849" s="258"/>
      <c r="Z45849" s="258"/>
    </row>
    <row r="45850" spans="1:26" ht="12.75" customHeight="1" x14ac:dyDescent="0.2">
      <c r="A45850" s="258"/>
      <c r="Z45850" s="258"/>
    </row>
    <row r="45851" spans="1:26" ht="12.75" customHeight="1" x14ac:dyDescent="0.2">
      <c r="A45851" s="258"/>
      <c r="Z45851" s="258"/>
    </row>
    <row r="45852" spans="1:26" ht="12.75" customHeight="1" x14ac:dyDescent="0.2">
      <c r="A45852" s="258"/>
      <c r="Z45852" s="258"/>
    </row>
    <row r="45853" spans="1:26" ht="12.75" customHeight="1" x14ac:dyDescent="0.2">
      <c r="A45853" s="258"/>
      <c r="Z45853" s="258"/>
    </row>
    <row r="45854" spans="1:26" ht="12.75" customHeight="1" x14ac:dyDescent="0.2">
      <c r="A45854" s="258"/>
      <c r="Z45854" s="258"/>
    </row>
    <row r="45855" spans="1:26" ht="12.75" customHeight="1" x14ac:dyDescent="0.2">
      <c r="A45855" s="258"/>
      <c r="Z45855" s="258"/>
    </row>
    <row r="45856" spans="1:26" ht="12.75" customHeight="1" x14ac:dyDescent="0.2">
      <c r="A45856" s="258"/>
      <c r="Z45856" s="258"/>
    </row>
    <row r="45857" spans="1:26" ht="12.75" customHeight="1" x14ac:dyDescent="0.2">
      <c r="A45857" s="258"/>
      <c r="Z45857" s="258"/>
    </row>
    <row r="45858" spans="1:26" ht="12.75" customHeight="1" x14ac:dyDescent="0.2">
      <c r="A45858" s="258"/>
      <c r="Z45858" s="258"/>
    </row>
    <row r="45859" spans="1:26" ht="12.75" customHeight="1" x14ac:dyDescent="0.2">
      <c r="A45859" s="258"/>
      <c r="Z45859" s="258"/>
    </row>
    <row r="45860" spans="1:26" ht="12.75" customHeight="1" x14ac:dyDescent="0.2">
      <c r="A45860" s="258"/>
      <c r="Z45860" s="258"/>
    </row>
    <row r="45861" spans="1:26" ht="12.75" customHeight="1" x14ac:dyDescent="0.2">
      <c r="A45861" s="258"/>
      <c r="Z45861" s="258"/>
    </row>
    <row r="45862" spans="1:26" ht="12.75" customHeight="1" x14ac:dyDescent="0.2">
      <c r="A45862" s="258"/>
      <c r="Z45862" s="258"/>
    </row>
    <row r="45863" spans="1:26" ht="12.75" customHeight="1" x14ac:dyDescent="0.2">
      <c r="A45863" s="258"/>
      <c r="Z45863" s="258"/>
    </row>
    <row r="45864" spans="1:26" ht="12.75" customHeight="1" x14ac:dyDescent="0.2">
      <c r="A45864" s="258"/>
      <c r="Z45864" s="258"/>
    </row>
    <row r="45865" spans="1:26" ht="12.75" customHeight="1" x14ac:dyDescent="0.2">
      <c r="A45865" s="258"/>
      <c r="Z45865" s="258"/>
    </row>
    <row r="45866" spans="1:26" ht="12.75" customHeight="1" x14ac:dyDescent="0.2">
      <c r="A45866" s="258"/>
      <c r="Z45866" s="258"/>
    </row>
    <row r="45867" spans="1:26" ht="12.75" customHeight="1" x14ac:dyDescent="0.2">
      <c r="A45867" s="258"/>
      <c r="Z45867" s="258"/>
    </row>
    <row r="45868" spans="1:26" ht="12.75" customHeight="1" x14ac:dyDescent="0.2">
      <c r="A45868" s="258"/>
      <c r="Z45868" s="258"/>
    </row>
    <row r="45869" spans="1:26" ht="12.75" customHeight="1" x14ac:dyDescent="0.2">
      <c r="A45869" s="258"/>
      <c r="Z45869" s="258"/>
    </row>
    <row r="45870" spans="1:26" ht="12.75" customHeight="1" x14ac:dyDescent="0.2">
      <c r="A45870" s="258"/>
      <c r="Z45870" s="258"/>
    </row>
    <row r="45871" spans="1:26" ht="12.75" customHeight="1" x14ac:dyDescent="0.2">
      <c r="A45871" s="258"/>
      <c r="Z45871" s="258"/>
    </row>
    <row r="45872" spans="1:26" ht="12.75" customHeight="1" x14ac:dyDescent="0.2">
      <c r="A45872" s="258"/>
      <c r="Z45872" s="258"/>
    </row>
    <row r="45873" spans="1:26" ht="12.75" customHeight="1" x14ac:dyDescent="0.2">
      <c r="A45873" s="258"/>
      <c r="Z45873" s="258"/>
    </row>
    <row r="45874" spans="1:26" ht="12.75" customHeight="1" x14ac:dyDescent="0.2">
      <c r="A45874" s="258"/>
      <c r="Z45874" s="258"/>
    </row>
    <row r="45875" spans="1:26" ht="12.75" customHeight="1" x14ac:dyDescent="0.2">
      <c r="A45875" s="258"/>
      <c r="Z45875" s="258"/>
    </row>
    <row r="45876" spans="1:26" ht="12.75" customHeight="1" x14ac:dyDescent="0.2">
      <c r="A45876" s="258"/>
      <c r="Z45876" s="258"/>
    </row>
    <row r="45877" spans="1:26" ht="12.75" customHeight="1" x14ac:dyDescent="0.2">
      <c r="A45877" s="258"/>
      <c r="Z45877" s="258"/>
    </row>
    <row r="45878" spans="1:26" ht="12.75" customHeight="1" x14ac:dyDescent="0.2">
      <c r="A45878" s="258"/>
      <c r="Z45878" s="258"/>
    </row>
    <row r="45879" spans="1:26" ht="12.75" customHeight="1" x14ac:dyDescent="0.2">
      <c r="A45879" s="258"/>
      <c r="Z45879" s="258"/>
    </row>
    <row r="45880" spans="1:26" ht="12.75" customHeight="1" x14ac:dyDescent="0.2">
      <c r="A45880" s="258"/>
      <c r="Z45880" s="258"/>
    </row>
    <row r="45881" spans="1:26" ht="12.75" customHeight="1" x14ac:dyDescent="0.2">
      <c r="A45881" s="258"/>
      <c r="Z45881" s="258"/>
    </row>
    <row r="45882" spans="1:26" ht="12.75" customHeight="1" x14ac:dyDescent="0.2">
      <c r="A45882" s="258"/>
      <c r="Z45882" s="258"/>
    </row>
    <row r="45883" spans="1:26" ht="12.75" customHeight="1" x14ac:dyDescent="0.2">
      <c r="A45883" s="258"/>
      <c r="Z45883" s="258"/>
    </row>
    <row r="45884" spans="1:26" ht="12.75" customHeight="1" x14ac:dyDescent="0.2">
      <c r="A45884" s="258"/>
      <c r="Z45884" s="258"/>
    </row>
    <row r="45885" spans="1:26" ht="12.75" customHeight="1" x14ac:dyDescent="0.2">
      <c r="A45885" s="258"/>
      <c r="Z45885" s="258"/>
    </row>
    <row r="45886" spans="1:26" ht="12.75" customHeight="1" x14ac:dyDescent="0.2">
      <c r="A45886" s="258"/>
      <c r="Z45886" s="258"/>
    </row>
    <row r="45887" spans="1:26" ht="12.75" customHeight="1" x14ac:dyDescent="0.2">
      <c r="A45887" s="258"/>
      <c r="Z45887" s="258"/>
    </row>
    <row r="45888" spans="1:26" ht="12.75" customHeight="1" x14ac:dyDescent="0.2">
      <c r="A45888" s="258"/>
      <c r="Z45888" s="258"/>
    </row>
    <row r="45889" spans="1:26" ht="12.75" customHeight="1" x14ac:dyDescent="0.2">
      <c r="A45889" s="258"/>
      <c r="Z45889" s="258"/>
    </row>
    <row r="45890" spans="1:26" ht="12.75" customHeight="1" x14ac:dyDescent="0.2">
      <c r="A45890" s="258"/>
      <c r="Z45890" s="258"/>
    </row>
    <row r="45891" spans="1:26" ht="12.75" customHeight="1" x14ac:dyDescent="0.2">
      <c r="A45891" s="258"/>
      <c r="Z45891" s="258"/>
    </row>
    <row r="45892" spans="1:26" ht="12.75" customHeight="1" x14ac:dyDescent="0.2">
      <c r="A45892" s="258"/>
      <c r="Z45892" s="258"/>
    </row>
    <row r="45893" spans="1:26" ht="12.75" customHeight="1" x14ac:dyDescent="0.2">
      <c r="A45893" s="258"/>
      <c r="Z45893" s="258"/>
    </row>
    <row r="45894" spans="1:26" ht="12.75" customHeight="1" x14ac:dyDescent="0.2">
      <c r="A45894" s="258"/>
      <c r="Z45894" s="258"/>
    </row>
    <row r="45895" spans="1:26" ht="12.75" customHeight="1" x14ac:dyDescent="0.2">
      <c r="A45895" s="258"/>
      <c r="Z45895" s="258"/>
    </row>
    <row r="45896" spans="1:26" ht="12.75" customHeight="1" x14ac:dyDescent="0.2">
      <c r="A45896" s="258"/>
      <c r="Z45896" s="258"/>
    </row>
    <row r="45897" spans="1:26" ht="12.75" customHeight="1" x14ac:dyDescent="0.2">
      <c r="A45897" s="258"/>
      <c r="Z45897" s="258"/>
    </row>
    <row r="45898" spans="1:26" ht="12.75" customHeight="1" x14ac:dyDescent="0.2">
      <c r="A45898" s="258"/>
      <c r="Z45898" s="258"/>
    </row>
    <row r="45899" spans="1:26" ht="12.75" customHeight="1" x14ac:dyDescent="0.2">
      <c r="A45899" s="258"/>
      <c r="Z45899" s="258"/>
    </row>
    <row r="45900" spans="1:26" ht="12.75" customHeight="1" x14ac:dyDescent="0.2">
      <c r="A45900" s="258"/>
      <c r="Z45900" s="258"/>
    </row>
    <row r="45901" spans="1:26" ht="12.75" customHeight="1" x14ac:dyDescent="0.2">
      <c r="A45901" s="258"/>
      <c r="Z45901" s="258"/>
    </row>
    <row r="45902" spans="1:26" ht="12.75" customHeight="1" x14ac:dyDescent="0.2">
      <c r="A45902" s="258"/>
      <c r="Z45902" s="258"/>
    </row>
    <row r="45903" spans="1:26" ht="12.75" customHeight="1" x14ac:dyDescent="0.2">
      <c r="A45903" s="258"/>
      <c r="Z45903" s="258"/>
    </row>
    <row r="45904" spans="1:26" ht="12.75" customHeight="1" x14ac:dyDescent="0.2">
      <c r="A45904" s="258"/>
      <c r="Z45904" s="258"/>
    </row>
    <row r="45905" spans="1:26" ht="12.75" customHeight="1" x14ac:dyDescent="0.2">
      <c r="A45905" s="258"/>
      <c r="Z45905" s="258"/>
    </row>
    <row r="45906" spans="1:26" ht="12.75" customHeight="1" x14ac:dyDescent="0.2">
      <c r="A45906" s="258"/>
      <c r="Z45906" s="258"/>
    </row>
    <row r="45907" spans="1:26" ht="12.75" customHeight="1" x14ac:dyDescent="0.2">
      <c r="A45907" s="258"/>
      <c r="Z45907" s="258"/>
    </row>
    <row r="45908" spans="1:26" ht="12.75" customHeight="1" x14ac:dyDescent="0.2">
      <c r="A45908" s="258"/>
      <c r="Z45908" s="258"/>
    </row>
    <row r="45909" spans="1:26" ht="12.75" customHeight="1" x14ac:dyDescent="0.2">
      <c r="A45909" s="258"/>
      <c r="Z45909" s="258"/>
    </row>
    <row r="45910" spans="1:26" ht="12.75" customHeight="1" x14ac:dyDescent="0.2">
      <c r="A45910" s="258"/>
      <c r="Z45910" s="258"/>
    </row>
    <row r="45911" spans="1:26" ht="12.75" customHeight="1" x14ac:dyDescent="0.2">
      <c r="A45911" s="258"/>
      <c r="Z45911" s="258"/>
    </row>
    <row r="45912" spans="1:26" ht="12.75" customHeight="1" x14ac:dyDescent="0.2">
      <c r="A45912" s="258"/>
      <c r="Z45912" s="258"/>
    </row>
    <row r="45913" spans="1:26" ht="12.75" customHeight="1" x14ac:dyDescent="0.2">
      <c r="A45913" s="258"/>
      <c r="Z45913" s="258"/>
    </row>
    <row r="45914" spans="1:26" ht="12.75" customHeight="1" x14ac:dyDescent="0.2">
      <c r="A45914" s="258"/>
      <c r="Z45914" s="258"/>
    </row>
    <row r="45915" spans="1:26" ht="12.75" customHeight="1" x14ac:dyDescent="0.2">
      <c r="A45915" s="258"/>
      <c r="Z45915" s="258"/>
    </row>
    <row r="45916" spans="1:26" ht="12.75" customHeight="1" x14ac:dyDescent="0.2">
      <c r="A45916" s="258"/>
      <c r="Z45916" s="258"/>
    </row>
    <row r="45917" spans="1:26" ht="12.75" customHeight="1" x14ac:dyDescent="0.2">
      <c r="A45917" s="258"/>
      <c r="Z45917" s="258"/>
    </row>
    <row r="45918" spans="1:26" ht="12.75" customHeight="1" x14ac:dyDescent="0.2">
      <c r="A45918" s="258"/>
      <c r="Z45918" s="258"/>
    </row>
    <row r="45919" spans="1:26" ht="12.75" customHeight="1" x14ac:dyDescent="0.2">
      <c r="A45919" s="258"/>
      <c r="Z45919" s="258"/>
    </row>
    <row r="45920" spans="1:26" ht="12.75" customHeight="1" x14ac:dyDescent="0.2">
      <c r="A45920" s="258"/>
      <c r="Z45920" s="258"/>
    </row>
    <row r="45921" spans="1:26" ht="12.75" customHeight="1" x14ac:dyDescent="0.2">
      <c r="A45921" s="258"/>
      <c r="Z45921" s="258"/>
    </row>
    <row r="45922" spans="1:26" ht="12.75" customHeight="1" x14ac:dyDescent="0.2">
      <c r="A45922" s="258"/>
      <c r="Z45922" s="258"/>
    </row>
    <row r="45923" spans="1:26" ht="12.75" customHeight="1" x14ac:dyDescent="0.2">
      <c r="A45923" s="258"/>
      <c r="Z45923" s="258"/>
    </row>
    <row r="45924" spans="1:26" ht="12.75" customHeight="1" x14ac:dyDescent="0.2">
      <c r="A45924" s="258"/>
      <c r="Z45924" s="258"/>
    </row>
    <row r="45925" spans="1:26" ht="12.75" customHeight="1" x14ac:dyDescent="0.2">
      <c r="A45925" s="258"/>
      <c r="Z45925" s="258"/>
    </row>
    <row r="45926" spans="1:26" ht="12.75" customHeight="1" x14ac:dyDescent="0.2">
      <c r="A45926" s="258"/>
      <c r="Z45926" s="258"/>
    </row>
    <row r="45927" spans="1:26" ht="12.75" customHeight="1" x14ac:dyDescent="0.2">
      <c r="A45927" s="258"/>
      <c r="Z45927" s="258"/>
    </row>
    <row r="45928" spans="1:26" ht="12.75" customHeight="1" x14ac:dyDescent="0.2">
      <c r="A45928" s="258"/>
      <c r="Z45928" s="258"/>
    </row>
    <row r="45929" spans="1:26" ht="12.75" customHeight="1" x14ac:dyDescent="0.2">
      <c r="A45929" s="258"/>
      <c r="Z45929" s="258"/>
    </row>
    <row r="45930" spans="1:26" ht="12.75" customHeight="1" x14ac:dyDescent="0.2">
      <c r="A45930" s="258"/>
      <c r="Z45930" s="258"/>
    </row>
    <row r="45931" spans="1:26" ht="12.75" customHeight="1" x14ac:dyDescent="0.2">
      <c r="A45931" s="258"/>
      <c r="Z45931" s="258"/>
    </row>
    <row r="45932" spans="1:26" ht="12.75" customHeight="1" x14ac:dyDescent="0.2">
      <c r="A45932" s="258"/>
      <c r="Z45932" s="258"/>
    </row>
    <row r="45933" spans="1:26" ht="12.75" customHeight="1" x14ac:dyDescent="0.2">
      <c r="A45933" s="258"/>
      <c r="Z45933" s="258"/>
    </row>
    <row r="45934" spans="1:26" ht="12.75" customHeight="1" x14ac:dyDescent="0.2">
      <c r="A45934" s="258"/>
      <c r="Z45934" s="258"/>
    </row>
    <row r="45935" spans="1:26" ht="12.75" customHeight="1" x14ac:dyDescent="0.2">
      <c r="A45935" s="258"/>
      <c r="Z45935" s="258"/>
    </row>
    <row r="45936" spans="1:26" ht="12.75" customHeight="1" x14ac:dyDescent="0.2">
      <c r="A45936" s="258"/>
      <c r="Z45936" s="258"/>
    </row>
    <row r="45937" spans="1:26" ht="12.75" customHeight="1" x14ac:dyDescent="0.2">
      <c r="A45937" s="258"/>
      <c r="Z45937" s="258"/>
    </row>
    <row r="45938" spans="1:26" ht="12.75" customHeight="1" x14ac:dyDescent="0.2">
      <c r="A45938" s="258"/>
      <c r="Z45938" s="258"/>
    </row>
    <row r="45939" spans="1:26" ht="12.75" customHeight="1" x14ac:dyDescent="0.2">
      <c r="A45939" s="258"/>
      <c r="Z45939" s="258"/>
    </row>
    <row r="45940" spans="1:26" ht="12.75" customHeight="1" x14ac:dyDescent="0.2">
      <c r="A45940" s="258"/>
      <c r="Z45940" s="258"/>
    </row>
    <row r="45941" spans="1:26" ht="12.75" customHeight="1" x14ac:dyDescent="0.2">
      <c r="A45941" s="258"/>
      <c r="Z45941" s="258"/>
    </row>
    <row r="45942" spans="1:26" ht="12.75" customHeight="1" x14ac:dyDescent="0.2">
      <c r="A45942" s="258"/>
      <c r="Z45942" s="258"/>
    </row>
    <row r="45943" spans="1:26" ht="12.75" customHeight="1" x14ac:dyDescent="0.2">
      <c r="A45943" s="258"/>
      <c r="Z45943" s="258"/>
    </row>
    <row r="45944" spans="1:26" ht="12.75" customHeight="1" x14ac:dyDescent="0.2">
      <c r="A45944" s="258"/>
      <c r="Z45944" s="258"/>
    </row>
    <row r="45945" spans="1:26" ht="12.75" customHeight="1" x14ac:dyDescent="0.2">
      <c r="A45945" s="258"/>
      <c r="Z45945" s="258"/>
    </row>
    <row r="45946" spans="1:26" ht="12.75" customHeight="1" x14ac:dyDescent="0.2">
      <c r="A45946" s="258"/>
      <c r="Z45946" s="258"/>
    </row>
    <row r="45947" spans="1:26" ht="12.75" customHeight="1" x14ac:dyDescent="0.2">
      <c r="A45947" s="258"/>
      <c r="Z45947" s="258"/>
    </row>
    <row r="45948" spans="1:26" ht="12.75" customHeight="1" x14ac:dyDescent="0.2">
      <c r="A45948" s="258"/>
      <c r="Z45948" s="258"/>
    </row>
    <row r="45949" spans="1:26" ht="12.75" customHeight="1" x14ac:dyDescent="0.2">
      <c r="A45949" s="258"/>
      <c r="Z45949" s="258"/>
    </row>
    <row r="45950" spans="1:26" ht="12.75" customHeight="1" x14ac:dyDescent="0.2">
      <c r="A45950" s="258"/>
      <c r="Z45950" s="258"/>
    </row>
    <row r="45951" spans="1:26" ht="12.75" customHeight="1" x14ac:dyDescent="0.2">
      <c r="A45951" s="258"/>
      <c r="Z45951" s="258"/>
    </row>
    <row r="45952" spans="1:26" ht="12.75" customHeight="1" x14ac:dyDescent="0.2">
      <c r="A45952" s="258"/>
      <c r="Z45952" s="258"/>
    </row>
    <row r="45953" spans="1:26" ht="12.75" customHeight="1" x14ac:dyDescent="0.2">
      <c r="A45953" s="258"/>
      <c r="Z45953" s="258"/>
    </row>
    <row r="45954" spans="1:26" ht="12.75" customHeight="1" x14ac:dyDescent="0.2">
      <c r="A45954" s="258"/>
      <c r="Z45954" s="258"/>
    </row>
    <row r="45955" spans="1:26" ht="12.75" customHeight="1" x14ac:dyDescent="0.2">
      <c r="A45955" s="258"/>
      <c r="Z45955" s="258"/>
    </row>
    <row r="45956" spans="1:26" ht="12.75" customHeight="1" x14ac:dyDescent="0.2">
      <c r="A45956" s="258"/>
      <c r="Z45956" s="258"/>
    </row>
    <row r="45957" spans="1:26" ht="12.75" customHeight="1" x14ac:dyDescent="0.2">
      <c r="A45957" s="258"/>
      <c r="Z45957" s="258"/>
    </row>
    <row r="45958" spans="1:26" ht="12.75" customHeight="1" x14ac:dyDescent="0.2">
      <c r="A45958" s="258"/>
      <c r="Z45958" s="258"/>
    </row>
    <row r="45959" spans="1:26" ht="12.75" customHeight="1" x14ac:dyDescent="0.2">
      <c r="A45959" s="258"/>
      <c r="Z45959" s="258"/>
    </row>
    <row r="45960" spans="1:26" ht="12.75" customHeight="1" x14ac:dyDescent="0.2">
      <c r="A45960" s="258"/>
      <c r="Z45960" s="258"/>
    </row>
    <row r="45961" spans="1:26" ht="12.75" customHeight="1" x14ac:dyDescent="0.2">
      <c r="A45961" s="258"/>
      <c r="Z45961" s="258"/>
    </row>
    <row r="45962" spans="1:26" ht="12.75" customHeight="1" x14ac:dyDescent="0.2">
      <c r="A45962" s="258"/>
      <c r="Z45962" s="258"/>
    </row>
    <row r="45963" spans="1:26" ht="12.75" customHeight="1" x14ac:dyDescent="0.2">
      <c r="A45963" s="258"/>
      <c r="Z45963" s="258"/>
    </row>
    <row r="45964" spans="1:26" ht="12.75" customHeight="1" x14ac:dyDescent="0.2">
      <c r="A45964" s="258"/>
      <c r="Z45964" s="258"/>
    </row>
    <row r="45965" spans="1:26" ht="12.75" customHeight="1" x14ac:dyDescent="0.2">
      <c r="A45965" s="258"/>
      <c r="Z45965" s="258"/>
    </row>
    <row r="45966" spans="1:26" ht="12.75" customHeight="1" x14ac:dyDescent="0.2">
      <c r="A45966" s="258"/>
      <c r="Z45966" s="258"/>
    </row>
    <row r="45967" spans="1:26" ht="12.75" customHeight="1" x14ac:dyDescent="0.2">
      <c r="A45967" s="258"/>
      <c r="Z45967" s="258"/>
    </row>
    <row r="45968" spans="1:26" ht="12.75" customHeight="1" x14ac:dyDescent="0.2">
      <c r="A45968" s="258"/>
      <c r="Z45968" s="258"/>
    </row>
    <row r="45969" spans="1:26" ht="12.75" customHeight="1" x14ac:dyDescent="0.2">
      <c r="A45969" s="258"/>
      <c r="Z45969" s="258"/>
    </row>
    <row r="45970" spans="1:26" ht="12.75" customHeight="1" x14ac:dyDescent="0.2">
      <c r="A45970" s="258"/>
      <c r="Z45970" s="258"/>
    </row>
    <row r="45971" spans="1:26" ht="12.75" customHeight="1" x14ac:dyDescent="0.2">
      <c r="A45971" s="258"/>
      <c r="Z45971" s="258"/>
    </row>
    <row r="45972" spans="1:26" ht="12.75" customHeight="1" x14ac:dyDescent="0.2">
      <c r="A45972" s="258"/>
      <c r="Z45972" s="258"/>
    </row>
    <row r="45973" spans="1:26" ht="12.75" customHeight="1" x14ac:dyDescent="0.2">
      <c r="A45973" s="258"/>
      <c r="Z45973" s="258"/>
    </row>
    <row r="45974" spans="1:26" ht="12.75" customHeight="1" x14ac:dyDescent="0.2">
      <c r="A45974" s="258"/>
      <c r="Z45974" s="258"/>
    </row>
    <row r="45975" spans="1:26" ht="12.75" customHeight="1" x14ac:dyDescent="0.2">
      <c r="A45975" s="258"/>
      <c r="Z45975" s="258"/>
    </row>
    <row r="45976" spans="1:26" ht="12.75" customHeight="1" x14ac:dyDescent="0.2">
      <c r="A45976" s="258"/>
      <c r="Z45976" s="258"/>
    </row>
    <row r="45977" spans="1:26" ht="12.75" customHeight="1" x14ac:dyDescent="0.2">
      <c r="A45977" s="258"/>
      <c r="Z45977" s="258"/>
    </row>
    <row r="45978" spans="1:26" ht="12.75" customHeight="1" x14ac:dyDescent="0.2">
      <c r="A45978" s="258"/>
      <c r="Z45978" s="258"/>
    </row>
    <row r="45979" spans="1:26" ht="12.75" customHeight="1" x14ac:dyDescent="0.2">
      <c r="A45979" s="258"/>
      <c r="Z45979" s="258"/>
    </row>
    <row r="45980" spans="1:26" ht="12.75" customHeight="1" x14ac:dyDescent="0.2">
      <c r="A45980" s="258"/>
      <c r="Z45980" s="258"/>
    </row>
    <row r="45981" spans="1:26" ht="12.75" customHeight="1" x14ac:dyDescent="0.2">
      <c r="A45981" s="258"/>
      <c r="Z45981" s="258"/>
    </row>
    <row r="45982" spans="1:26" ht="12.75" customHeight="1" x14ac:dyDescent="0.2">
      <c r="A45982" s="258"/>
      <c r="Z45982" s="258"/>
    </row>
    <row r="45983" spans="1:26" ht="12.75" customHeight="1" x14ac:dyDescent="0.2">
      <c r="A45983" s="258"/>
      <c r="Z45983" s="258"/>
    </row>
    <row r="45984" spans="1:26" ht="12.75" customHeight="1" x14ac:dyDescent="0.2">
      <c r="A45984" s="258"/>
      <c r="Z45984" s="258"/>
    </row>
    <row r="45985" spans="1:26" ht="12.75" customHeight="1" x14ac:dyDescent="0.2">
      <c r="A45985" s="258"/>
      <c r="Z45985" s="258"/>
    </row>
    <row r="45986" spans="1:26" ht="12.75" customHeight="1" x14ac:dyDescent="0.2">
      <c r="A45986" s="258"/>
      <c r="Z45986" s="258"/>
    </row>
    <row r="45987" spans="1:26" ht="12.75" customHeight="1" x14ac:dyDescent="0.2">
      <c r="A45987" s="258"/>
      <c r="Z45987" s="258"/>
    </row>
    <row r="45988" spans="1:26" ht="12.75" customHeight="1" x14ac:dyDescent="0.2">
      <c r="A45988" s="258"/>
      <c r="Z45988" s="258"/>
    </row>
    <row r="45989" spans="1:26" ht="12.75" customHeight="1" x14ac:dyDescent="0.2">
      <c r="A45989" s="258"/>
      <c r="Z45989" s="258"/>
    </row>
    <row r="45990" spans="1:26" ht="12.75" customHeight="1" x14ac:dyDescent="0.2">
      <c r="A45990" s="258"/>
      <c r="Z45990" s="258"/>
    </row>
    <row r="45991" spans="1:26" ht="12.75" customHeight="1" x14ac:dyDescent="0.2">
      <c r="A45991" s="258"/>
      <c r="Z45991" s="258"/>
    </row>
    <row r="45992" spans="1:26" ht="12.75" customHeight="1" x14ac:dyDescent="0.2">
      <c r="A45992" s="258"/>
      <c r="Z45992" s="258"/>
    </row>
    <row r="45993" spans="1:26" ht="12.75" customHeight="1" x14ac:dyDescent="0.2">
      <c r="A45993" s="258"/>
      <c r="Z45993" s="258"/>
    </row>
    <row r="45994" spans="1:26" ht="12.75" customHeight="1" x14ac:dyDescent="0.2">
      <c r="A45994" s="258"/>
      <c r="Z45994" s="258"/>
    </row>
    <row r="45995" spans="1:26" ht="12.75" customHeight="1" x14ac:dyDescent="0.2">
      <c r="A45995" s="258"/>
      <c r="Z45995" s="258"/>
    </row>
    <row r="45996" spans="1:26" ht="12.75" customHeight="1" x14ac:dyDescent="0.2">
      <c r="A45996" s="258"/>
      <c r="Z45996" s="258"/>
    </row>
    <row r="45997" spans="1:26" ht="12.75" customHeight="1" x14ac:dyDescent="0.2">
      <c r="A45997" s="258"/>
      <c r="Z45997" s="258"/>
    </row>
    <row r="45998" spans="1:26" ht="12.75" customHeight="1" x14ac:dyDescent="0.2">
      <c r="A45998" s="258"/>
      <c r="Z45998" s="258"/>
    </row>
    <row r="45999" spans="1:26" ht="12.75" customHeight="1" x14ac:dyDescent="0.2">
      <c r="A45999" s="258"/>
      <c r="Z45999" s="258"/>
    </row>
    <row r="46000" spans="1:26" ht="12.75" customHeight="1" x14ac:dyDescent="0.2">
      <c r="A46000" s="258"/>
      <c r="Z46000" s="258"/>
    </row>
    <row r="46001" spans="1:26" ht="12.75" customHeight="1" x14ac:dyDescent="0.2">
      <c r="A46001" s="258"/>
      <c r="Z46001" s="258"/>
    </row>
    <row r="46002" spans="1:26" ht="12.75" customHeight="1" x14ac:dyDescent="0.2">
      <c r="A46002" s="258"/>
      <c r="Z46002" s="258"/>
    </row>
    <row r="46003" spans="1:26" ht="12.75" customHeight="1" x14ac:dyDescent="0.2">
      <c r="A46003" s="258"/>
      <c r="Z46003" s="258"/>
    </row>
    <row r="46004" spans="1:26" ht="12.75" customHeight="1" x14ac:dyDescent="0.2">
      <c r="A46004" s="258"/>
      <c r="Z46004" s="258"/>
    </row>
    <row r="46005" spans="1:26" ht="12.75" customHeight="1" x14ac:dyDescent="0.2">
      <c r="A46005" s="258"/>
      <c r="Z46005" s="258"/>
    </row>
    <row r="46006" spans="1:26" ht="12.75" customHeight="1" x14ac:dyDescent="0.2">
      <c r="A46006" s="258"/>
      <c r="Z46006" s="258"/>
    </row>
    <row r="46007" spans="1:26" ht="12.75" customHeight="1" x14ac:dyDescent="0.2">
      <c r="A46007" s="258"/>
      <c r="Z46007" s="258"/>
    </row>
    <row r="46008" spans="1:26" ht="12.75" customHeight="1" x14ac:dyDescent="0.2">
      <c r="A46008" s="258"/>
      <c r="Z46008" s="258"/>
    </row>
    <row r="46009" spans="1:26" ht="12.75" customHeight="1" x14ac:dyDescent="0.2">
      <c r="A46009" s="258"/>
      <c r="Z46009" s="258"/>
    </row>
    <row r="46010" spans="1:26" ht="12.75" customHeight="1" x14ac:dyDescent="0.2">
      <c r="A46010" s="258"/>
      <c r="Z46010" s="258"/>
    </row>
    <row r="46011" spans="1:26" ht="12.75" customHeight="1" x14ac:dyDescent="0.2">
      <c r="A46011" s="258"/>
      <c r="Z46011" s="258"/>
    </row>
    <row r="46012" spans="1:26" ht="12.75" customHeight="1" x14ac:dyDescent="0.2">
      <c r="A46012" s="258"/>
      <c r="Z46012" s="258"/>
    </row>
    <row r="46013" spans="1:26" ht="12.75" customHeight="1" x14ac:dyDescent="0.2">
      <c r="A46013" s="258"/>
      <c r="Z46013" s="258"/>
    </row>
    <row r="46014" spans="1:26" ht="12.75" customHeight="1" x14ac:dyDescent="0.2">
      <c r="A46014" s="258"/>
      <c r="Z46014" s="258"/>
    </row>
    <row r="46015" spans="1:26" ht="12.75" customHeight="1" x14ac:dyDescent="0.2">
      <c r="A46015" s="258"/>
      <c r="Z46015" s="258"/>
    </row>
    <row r="46016" spans="1:26" ht="12.75" customHeight="1" x14ac:dyDescent="0.2">
      <c r="A46016" s="258"/>
      <c r="Z46016" s="258"/>
    </row>
    <row r="46017" spans="1:26" ht="12.75" customHeight="1" x14ac:dyDescent="0.2">
      <c r="A46017" s="258"/>
      <c r="Z46017" s="258"/>
    </row>
    <row r="46018" spans="1:26" ht="12.75" customHeight="1" x14ac:dyDescent="0.2">
      <c r="A46018" s="258"/>
      <c r="Z46018" s="258"/>
    </row>
    <row r="46019" spans="1:26" ht="12.75" customHeight="1" x14ac:dyDescent="0.2">
      <c r="A46019" s="258"/>
      <c r="Z46019" s="258"/>
    </row>
    <row r="46020" spans="1:26" ht="12.75" customHeight="1" x14ac:dyDescent="0.2">
      <c r="A46020" s="258"/>
      <c r="Z46020" s="258"/>
    </row>
    <row r="46021" spans="1:26" ht="12.75" customHeight="1" x14ac:dyDescent="0.2">
      <c r="A46021" s="258"/>
      <c r="Z46021" s="258"/>
    </row>
    <row r="46022" spans="1:26" ht="12.75" customHeight="1" x14ac:dyDescent="0.2">
      <c r="A46022" s="258"/>
      <c r="Z46022" s="258"/>
    </row>
    <row r="46023" spans="1:26" ht="12.75" customHeight="1" x14ac:dyDescent="0.2">
      <c r="A46023" s="258"/>
      <c r="Z46023" s="258"/>
    </row>
    <row r="46024" spans="1:26" ht="12.75" customHeight="1" x14ac:dyDescent="0.2">
      <c r="A46024" s="258"/>
      <c r="Z46024" s="258"/>
    </row>
    <row r="46025" spans="1:26" ht="12.75" customHeight="1" x14ac:dyDescent="0.2">
      <c r="A46025" s="258"/>
      <c r="Z46025" s="258"/>
    </row>
    <row r="46026" spans="1:26" ht="12.75" customHeight="1" x14ac:dyDescent="0.2">
      <c r="A46026" s="258"/>
      <c r="Z46026" s="258"/>
    </row>
    <row r="46027" spans="1:26" ht="12.75" customHeight="1" x14ac:dyDescent="0.2">
      <c r="A46027" s="258"/>
      <c r="Z46027" s="258"/>
    </row>
    <row r="46028" spans="1:26" ht="12.75" customHeight="1" x14ac:dyDescent="0.2">
      <c r="A46028" s="258"/>
      <c r="Z46028" s="258"/>
    </row>
    <row r="46029" spans="1:26" ht="12.75" customHeight="1" x14ac:dyDescent="0.2">
      <c r="A46029" s="258"/>
      <c r="Z46029" s="258"/>
    </row>
    <row r="46030" spans="1:26" ht="12.75" customHeight="1" x14ac:dyDescent="0.2">
      <c r="A46030" s="258"/>
      <c r="Z46030" s="258"/>
    </row>
    <row r="46031" spans="1:26" ht="12.75" customHeight="1" x14ac:dyDescent="0.2">
      <c r="A46031" s="258"/>
      <c r="Z46031" s="258"/>
    </row>
    <row r="46032" spans="1:26" ht="12.75" customHeight="1" x14ac:dyDescent="0.2">
      <c r="A46032" s="258"/>
      <c r="Z46032" s="258"/>
    </row>
    <row r="46033" spans="1:26" ht="12.75" customHeight="1" x14ac:dyDescent="0.2">
      <c r="A46033" s="258"/>
      <c r="Z46033" s="258"/>
    </row>
    <row r="46034" spans="1:26" ht="12.75" customHeight="1" x14ac:dyDescent="0.2">
      <c r="A46034" s="258"/>
      <c r="Z46034" s="258"/>
    </row>
    <row r="46035" spans="1:26" ht="12.75" customHeight="1" x14ac:dyDescent="0.2">
      <c r="A46035" s="258"/>
      <c r="Z46035" s="258"/>
    </row>
    <row r="46036" spans="1:26" ht="12.75" customHeight="1" x14ac:dyDescent="0.2">
      <c r="A46036" s="258"/>
      <c r="Z46036" s="258"/>
    </row>
    <row r="46037" spans="1:26" ht="12.75" customHeight="1" x14ac:dyDescent="0.2">
      <c r="A46037" s="258"/>
      <c r="Z46037" s="258"/>
    </row>
    <row r="46038" spans="1:26" ht="12.75" customHeight="1" x14ac:dyDescent="0.2">
      <c r="A46038" s="258"/>
      <c r="Z46038" s="258"/>
    </row>
    <row r="46039" spans="1:26" ht="12.75" customHeight="1" x14ac:dyDescent="0.2">
      <c r="A46039" s="258"/>
      <c r="Z46039" s="258"/>
    </row>
    <row r="46040" spans="1:26" ht="12.75" customHeight="1" x14ac:dyDescent="0.2">
      <c r="A46040" s="258"/>
      <c r="Z46040" s="258"/>
    </row>
    <row r="46041" spans="1:26" ht="12.75" customHeight="1" x14ac:dyDescent="0.2">
      <c r="A46041" s="258"/>
      <c r="Z46041" s="258"/>
    </row>
    <row r="46042" spans="1:26" ht="12.75" customHeight="1" x14ac:dyDescent="0.2">
      <c r="A46042" s="258"/>
      <c r="Z46042" s="258"/>
    </row>
    <row r="46043" spans="1:26" ht="12.75" customHeight="1" x14ac:dyDescent="0.2">
      <c r="A46043" s="258"/>
      <c r="Z46043" s="258"/>
    </row>
    <row r="46044" spans="1:26" ht="12.75" customHeight="1" x14ac:dyDescent="0.2">
      <c r="A46044" s="258"/>
      <c r="Z46044" s="258"/>
    </row>
    <row r="46045" spans="1:26" ht="12.75" customHeight="1" x14ac:dyDescent="0.2">
      <c r="A46045" s="258"/>
      <c r="Z46045" s="258"/>
    </row>
    <row r="46046" spans="1:26" ht="12.75" customHeight="1" x14ac:dyDescent="0.2">
      <c r="A46046" s="258"/>
      <c r="Z46046" s="258"/>
    </row>
    <row r="46047" spans="1:26" ht="12.75" customHeight="1" x14ac:dyDescent="0.2">
      <c r="A46047" s="258"/>
      <c r="Z46047" s="258"/>
    </row>
    <row r="46048" spans="1:26" ht="12.75" customHeight="1" x14ac:dyDescent="0.2">
      <c r="A46048" s="258"/>
      <c r="Z46048" s="258"/>
    </row>
    <row r="46049" spans="1:26" ht="12.75" customHeight="1" x14ac:dyDescent="0.2">
      <c r="A46049" s="258"/>
      <c r="Z46049" s="258"/>
    </row>
    <row r="46050" spans="1:26" ht="12.75" customHeight="1" x14ac:dyDescent="0.2">
      <c r="A46050" s="258"/>
      <c r="Z46050" s="258"/>
    </row>
    <row r="46051" spans="1:26" ht="12.75" customHeight="1" x14ac:dyDescent="0.2">
      <c r="A46051" s="258"/>
      <c r="Z46051" s="258"/>
    </row>
    <row r="46052" spans="1:26" ht="12.75" customHeight="1" x14ac:dyDescent="0.2">
      <c r="A46052" s="258"/>
      <c r="Z46052" s="258"/>
    </row>
    <row r="46053" spans="1:26" ht="12.75" customHeight="1" x14ac:dyDescent="0.2">
      <c r="A46053" s="258"/>
      <c r="Z46053" s="258"/>
    </row>
    <row r="46054" spans="1:26" ht="12.75" customHeight="1" x14ac:dyDescent="0.2">
      <c r="A46054" s="258"/>
      <c r="Z46054" s="258"/>
    </row>
    <row r="46055" spans="1:26" ht="12.75" customHeight="1" x14ac:dyDescent="0.2">
      <c r="A46055" s="258"/>
      <c r="Z46055" s="258"/>
    </row>
    <row r="46056" spans="1:26" ht="12.75" customHeight="1" x14ac:dyDescent="0.2">
      <c r="A46056" s="258"/>
      <c r="Z46056" s="258"/>
    </row>
    <row r="46057" spans="1:26" ht="12.75" customHeight="1" x14ac:dyDescent="0.2">
      <c r="A46057" s="258"/>
      <c r="Z46057" s="258"/>
    </row>
    <row r="46058" spans="1:26" ht="12.75" customHeight="1" x14ac:dyDescent="0.2">
      <c r="A46058" s="258"/>
      <c r="Z46058" s="258"/>
    </row>
    <row r="46059" spans="1:26" ht="12.75" customHeight="1" x14ac:dyDescent="0.2">
      <c r="A46059" s="258"/>
      <c r="Z46059" s="258"/>
    </row>
    <row r="46060" spans="1:26" ht="12.75" customHeight="1" x14ac:dyDescent="0.2">
      <c r="A46060" s="258"/>
      <c r="Z46060" s="258"/>
    </row>
    <row r="46061" spans="1:26" ht="12.75" customHeight="1" x14ac:dyDescent="0.2">
      <c r="A46061" s="258"/>
      <c r="Z46061" s="258"/>
    </row>
    <row r="46062" spans="1:26" ht="12.75" customHeight="1" x14ac:dyDescent="0.2">
      <c r="A46062" s="258"/>
      <c r="Z46062" s="258"/>
    </row>
    <row r="46063" spans="1:26" ht="12.75" customHeight="1" x14ac:dyDescent="0.2">
      <c r="A46063" s="258"/>
      <c r="Z46063" s="258"/>
    </row>
    <row r="46064" spans="1:26" ht="12.75" customHeight="1" x14ac:dyDescent="0.2">
      <c r="A46064" s="258"/>
      <c r="Z46064" s="258"/>
    </row>
    <row r="46065" spans="1:26" ht="12.75" customHeight="1" x14ac:dyDescent="0.2">
      <c r="A46065" s="258"/>
      <c r="Z46065" s="258"/>
    </row>
    <row r="46066" spans="1:26" ht="12.75" customHeight="1" x14ac:dyDescent="0.2">
      <c r="A46066" s="258"/>
      <c r="Z46066" s="258"/>
    </row>
    <row r="46067" spans="1:26" ht="12.75" customHeight="1" x14ac:dyDescent="0.2">
      <c r="A46067" s="258"/>
      <c r="Z46067" s="258"/>
    </row>
    <row r="46068" spans="1:26" ht="12.75" customHeight="1" x14ac:dyDescent="0.2">
      <c r="A46068" s="258"/>
      <c r="Z46068" s="258"/>
    </row>
    <row r="46069" spans="1:26" ht="12.75" customHeight="1" x14ac:dyDescent="0.2">
      <c r="A46069" s="258"/>
      <c r="Z46069" s="258"/>
    </row>
    <row r="46070" spans="1:26" ht="12.75" customHeight="1" x14ac:dyDescent="0.2">
      <c r="A46070" s="258"/>
      <c r="Z46070" s="258"/>
    </row>
    <row r="46071" spans="1:26" ht="12.75" customHeight="1" x14ac:dyDescent="0.2">
      <c r="A46071" s="258"/>
      <c r="Z46071" s="258"/>
    </row>
    <row r="46072" spans="1:26" ht="12.75" customHeight="1" x14ac:dyDescent="0.2">
      <c r="A46072" s="258"/>
      <c r="Z46072" s="258"/>
    </row>
    <row r="46073" spans="1:26" ht="12.75" customHeight="1" x14ac:dyDescent="0.2">
      <c r="A46073" s="258"/>
      <c r="Z46073" s="258"/>
    </row>
    <row r="46074" spans="1:26" ht="12.75" customHeight="1" x14ac:dyDescent="0.2">
      <c r="A46074" s="258"/>
      <c r="Z46074" s="258"/>
    </row>
    <row r="46075" spans="1:26" ht="12.75" customHeight="1" x14ac:dyDescent="0.2">
      <c r="A46075" s="258"/>
      <c r="Z46075" s="258"/>
    </row>
    <row r="46076" spans="1:26" ht="12.75" customHeight="1" x14ac:dyDescent="0.2">
      <c r="A46076" s="258"/>
      <c r="Z46076" s="258"/>
    </row>
    <row r="46077" spans="1:26" ht="12.75" customHeight="1" x14ac:dyDescent="0.2">
      <c r="A46077" s="258"/>
      <c r="Z46077" s="258"/>
    </row>
    <row r="46078" spans="1:26" ht="12.75" customHeight="1" x14ac:dyDescent="0.2">
      <c r="A46078" s="258"/>
      <c r="Z46078" s="258"/>
    </row>
    <row r="46079" spans="1:26" ht="12.75" customHeight="1" x14ac:dyDescent="0.2">
      <c r="A46079" s="258"/>
      <c r="Z46079" s="258"/>
    </row>
    <row r="46080" spans="1:26" ht="12.75" customHeight="1" x14ac:dyDescent="0.2">
      <c r="A46080" s="258"/>
      <c r="Z46080" s="258"/>
    </row>
    <row r="46081" spans="1:26" ht="12.75" customHeight="1" x14ac:dyDescent="0.2">
      <c r="A46081" s="258"/>
      <c r="Z46081" s="258"/>
    </row>
    <row r="46082" spans="1:26" ht="12.75" customHeight="1" x14ac:dyDescent="0.2">
      <c r="A46082" s="258"/>
      <c r="Z46082" s="258"/>
    </row>
    <row r="46083" spans="1:26" ht="12.75" customHeight="1" x14ac:dyDescent="0.2">
      <c r="A46083" s="258"/>
      <c r="Z46083" s="258"/>
    </row>
    <row r="46084" spans="1:26" ht="12.75" customHeight="1" x14ac:dyDescent="0.2">
      <c r="A46084" s="258"/>
      <c r="Z46084" s="258"/>
    </row>
    <row r="46085" spans="1:26" ht="12.75" customHeight="1" x14ac:dyDescent="0.2">
      <c r="A46085" s="258"/>
      <c r="Z46085" s="258"/>
    </row>
    <row r="46086" spans="1:26" ht="12.75" customHeight="1" x14ac:dyDescent="0.2">
      <c r="A46086" s="258"/>
      <c r="Z46086" s="258"/>
    </row>
    <row r="46087" spans="1:26" ht="12.75" customHeight="1" x14ac:dyDescent="0.2">
      <c r="A46087" s="258"/>
      <c r="Z46087" s="258"/>
    </row>
    <row r="46088" spans="1:26" ht="12.75" customHeight="1" x14ac:dyDescent="0.2">
      <c r="A46088" s="258"/>
      <c r="Z46088" s="258"/>
    </row>
    <row r="46089" spans="1:26" ht="12.75" customHeight="1" x14ac:dyDescent="0.2">
      <c r="A46089" s="258"/>
      <c r="Z46089" s="258"/>
    </row>
    <row r="46090" spans="1:26" ht="12.75" customHeight="1" x14ac:dyDescent="0.2">
      <c r="A46090" s="258"/>
      <c r="Z46090" s="258"/>
    </row>
    <row r="46091" spans="1:26" ht="12.75" customHeight="1" x14ac:dyDescent="0.2">
      <c r="A46091" s="258"/>
      <c r="Z46091" s="258"/>
    </row>
    <row r="46092" spans="1:26" ht="12.75" customHeight="1" x14ac:dyDescent="0.2">
      <c r="A46092" s="258"/>
      <c r="Z46092" s="258"/>
    </row>
    <row r="46093" spans="1:26" ht="12.75" customHeight="1" x14ac:dyDescent="0.2">
      <c r="A46093" s="258"/>
      <c r="Z46093" s="258"/>
    </row>
    <row r="46094" spans="1:26" ht="12.75" customHeight="1" x14ac:dyDescent="0.2">
      <c r="A46094" s="258"/>
      <c r="Z46094" s="258"/>
    </row>
    <row r="46095" spans="1:26" ht="12.75" customHeight="1" x14ac:dyDescent="0.2">
      <c r="A46095" s="258"/>
      <c r="Z46095" s="258"/>
    </row>
    <row r="46096" spans="1:26" ht="12.75" customHeight="1" x14ac:dyDescent="0.2">
      <c r="A46096" s="258"/>
      <c r="Z46096" s="258"/>
    </row>
    <row r="46097" spans="1:26" ht="12.75" customHeight="1" x14ac:dyDescent="0.2">
      <c r="A46097" s="258"/>
      <c r="Z46097" s="258"/>
    </row>
    <row r="46098" spans="1:26" ht="12.75" customHeight="1" x14ac:dyDescent="0.2">
      <c r="A46098" s="258"/>
      <c r="Z46098" s="258"/>
    </row>
    <row r="46099" spans="1:26" ht="12.75" customHeight="1" x14ac:dyDescent="0.2">
      <c r="A46099" s="258"/>
      <c r="Z46099" s="258"/>
    </row>
    <row r="46100" spans="1:26" ht="12.75" customHeight="1" x14ac:dyDescent="0.2">
      <c r="A46100" s="258"/>
      <c r="Z46100" s="258"/>
    </row>
    <row r="46101" spans="1:26" ht="12.75" customHeight="1" x14ac:dyDescent="0.2">
      <c r="A46101" s="258"/>
      <c r="Z46101" s="258"/>
    </row>
    <row r="46102" spans="1:26" ht="12.75" customHeight="1" x14ac:dyDescent="0.2">
      <c r="A46102" s="258"/>
      <c r="Z46102" s="258"/>
    </row>
    <row r="46103" spans="1:26" ht="12.75" customHeight="1" x14ac:dyDescent="0.2">
      <c r="A46103" s="258"/>
      <c r="Z46103" s="258"/>
    </row>
    <row r="46104" spans="1:26" ht="12.75" customHeight="1" x14ac:dyDescent="0.2">
      <c r="A46104" s="258"/>
      <c r="Z46104" s="258"/>
    </row>
    <row r="46105" spans="1:26" ht="12.75" customHeight="1" x14ac:dyDescent="0.2">
      <c r="A46105" s="258"/>
      <c r="Z46105" s="258"/>
    </row>
    <row r="46106" spans="1:26" ht="12.75" customHeight="1" x14ac:dyDescent="0.2">
      <c r="A46106" s="258"/>
      <c r="Z46106" s="258"/>
    </row>
    <row r="46107" spans="1:26" ht="12.75" customHeight="1" x14ac:dyDescent="0.2">
      <c r="A46107" s="258"/>
      <c r="Z46107" s="258"/>
    </row>
    <row r="46108" spans="1:26" ht="12.75" customHeight="1" x14ac:dyDescent="0.2">
      <c r="A46108" s="258"/>
      <c r="Z46108" s="258"/>
    </row>
    <row r="46109" spans="1:26" ht="12.75" customHeight="1" x14ac:dyDescent="0.2">
      <c r="A46109" s="258"/>
      <c r="Z46109" s="258"/>
    </row>
    <row r="46110" spans="1:26" ht="12.75" customHeight="1" x14ac:dyDescent="0.2">
      <c r="A46110" s="258"/>
      <c r="Z46110" s="258"/>
    </row>
    <row r="46111" spans="1:26" ht="12.75" customHeight="1" x14ac:dyDescent="0.2">
      <c r="A46111" s="258"/>
      <c r="Z46111" s="258"/>
    </row>
    <row r="46112" spans="1:26" ht="12.75" customHeight="1" x14ac:dyDescent="0.2">
      <c r="A46112" s="258"/>
      <c r="Z46112" s="258"/>
    </row>
    <row r="46113" spans="1:26" ht="12.75" customHeight="1" x14ac:dyDescent="0.2">
      <c r="A46113" s="258"/>
      <c r="Z46113" s="258"/>
    </row>
    <row r="46114" spans="1:26" ht="12.75" customHeight="1" x14ac:dyDescent="0.2">
      <c r="A46114" s="258"/>
      <c r="Z46114" s="258"/>
    </row>
    <row r="46115" spans="1:26" ht="12.75" customHeight="1" x14ac:dyDescent="0.2">
      <c r="A46115" s="258"/>
      <c r="Z46115" s="258"/>
    </row>
    <row r="46116" spans="1:26" ht="12.75" customHeight="1" x14ac:dyDescent="0.2">
      <c r="A46116" s="258"/>
      <c r="Z46116" s="258"/>
    </row>
    <row r="46117" spans="1:26" ht="12.75" customHeight="1" x14ac:dyDescent="0.2">
      <c r="A46117" s="258"/>
      <c r="Z46117" s="258"/>
    </row>
    <row r="46118" spans="1:26" ht="12.75" customHeight="1" x14ac:dyDescent="0.2">
      <c r="A46118" s="258"/>
      <c r="Z46118" s="258"/>
    </row>
    <row r="46119" spans="1:26" ht="12.75" customHeight="1" x14ac:dyDescent="0.2">
      <c r="A46119" s="258"/>
      <c r="Z46119" s="258"/>
    </row>
    <row r="46120" spans="1:26" ht="12.75" customHeight="1" x14ac:dyDescent="0.2">
      <c r="A46120" s="258"/>
      <c r="Z46120" s="258"/>
    </row>
    <row r="46121" spans="1:26" ht="12.75" customHeight="1" x14ac:dyDescent="0.2">
      <c r="A46121" s="258"/>
      <c r="Z46121" s="258"/>
    </row>
    <row r="46122" spans="1:26" ht="12.75" customHeight="1" x14ac:dyDescent="0.2">
      <c r="A46122" s="258"/>
      <c r="Z46122" s="258"/>
    </row>
    <row r="46123" spans="1:26" ht="12.75" customHeight="1" x14ac:dyDescent="0.2">
      <c r="A46123" s="258"/>
      <c r="Z46123" s="258"/>
    </row>
    <row r="46124" spans="1:26" ht="12.75" customHeight="1" x14ac:dyDescent="0.2">
      <c r="A46124" s="258"/>
      <c r="Z46124" s="258"/>
    </row>
    <row r="46125" spans="1:26" ht="12.75" customHeight="1" x14ac:dyDescent="0.2">
      <c r="A46125" s="258"/>
      <c r="Z46125" s="258"/>
    </row>
    <row r="46126" spans="1:26" ht="12.75" customHeight="1" x14ac:dyDescent="0.2">
      <c r="A46126" s="258"/>
      <c r="Z46126" s="258"/>
    </row>
    <row r="46127" spans="1:26" ht="12.75" customHeight="1" x14ac:dyDescent="0.2">
      <c r="A46127" s="258"/>
      <c r="Z46127" s="258"/>
    </row>
    <row r="46128" spans="1:26" ht="12.75" customHeight="1" x14ac:dyDescent="0.2">
      <c r="A46128" s="258"/>
      <c r="Z46128" s="258"/>
    </row>
    <row r="46129" spans="1:26" ht="12.75" customHeight="1" x14ac:dyDescent="0.2">
      <c r="A46129" s="258"/>
      <c r="Z46129" s="258"/>
    </row>
    <row r="46130" spans="1:26" ht="12.75" customHeight="1" x14ac:dyDescent="0.2">
      <c r="A46130" s="258"/>
      <c r="Z46130" s="258"/>
    </row>
    <row r="46131" spans="1:26" ht="12.75" customHeight="1" x14ac:dyDescent="0.2">
      <c r="A46131" s="258"/>
      <c r="Z46131" s="258"/>
    </row>
    <row r="46132" spans="1:26" ht="12.75" customHeight="1" x14ac:dyDescent="0.2">
      <c r="A46132" s="258"/>
      <c r="Z46132" s="258"/>
    </row>
    <row r="46133" spans="1:26" ht="12.75" customHeight="1" x14ac:dyDescent="0.2">
      <c r="A46133" s="258"/>
      <c r="Z46133" s="258"/>
    </row>
    <row r="46134" spans="1:26" ht="12.75" customHeight="1" x14ac:dyDescent="0.2">
      <c r="A46134" s="258"/>
      <c r="Z46134" s="258"/>
    </row>
    <row r="46135" spans="1:26" ht="12.75" customHeight="1" x14ac:dyDescent="0.2">
      <c r="A46135" s="258"/>
      <c r="Z46135" s="258"/>
    </row>
    <row r="46136" spans="1:26" ht="12.75" customHeight="1" x14ac:dyDescent="0.2">
      <c r="A46136" s="258"/>
      <c r="Z46136" s="258"/>
    </row>
    <row r="46137" spans="1:26" ht="12.75" customHeight="1" x14ac:dyDescent="0.2">
      <c r="A46137" s="258"/>
      <c r="Z46137" s="258"/>
    </row>
    <row r="46138" spans="1:26" ht="12.75" customHeight="1" x14ac:dyDescent="0.2">
      <c r="A46138" s="258"/>
      <c r="Z46138" s="258"/>
    </row>
    <row r="46139" spans="1:26" ht="12.75" customHeight="1" x14ac:dyDescent="0.2">
      <c r="A46139" s="258"/>
      <c r="Z46139" s="258"/>
    </row>
    <row r="46140" spans="1:26" ht="12.75" customHeight="1" x14ac:dyDescent="0.2">
      <c r="A46140" s="258"/>
      <c r="Z46140" s="258"/>
    </row>
    <row r="46141" spans="1:26" ht="12.75" customHeight="1" x14ac:dyDescent="0.2">
      <c r="A46141" s="258"/>
      <c r="Z46141" s="258"/>
    </row>
    <row r="46142" spans="1:26" ht="12.75" customHeight="1" x14ac:dyDescent="0.2">
      <c r="A46142" s="258"/>
      <c r="Z46142" s="258"/>
    </row>
    <row r="46143" spans="1:26" ht="12.75" customHeight="1" x14ac:dyDescent="0.2">
      <c r="A46143" s="258"/>
      <c r="Z46143" s="258"/>
    </row>
    <row r="46144" spans="1:26" ht="12.75" customHeight="1" x14ac:dyDescent="0.2">
      <c r="A46144" s="258"/>
      <c r="Z46144" s="258"/>
    </row>
    <row r="46145" spans="1:26" ht="12.75" customHeight="1" x14ac:dyDescent="0.2">
      <c r="A46145" s="258"/>
      <c r="Z46145" s="258"/>
    </row>
    <row r="46146" spans="1:26" ht="12.75" customHeight="1" x14ac:dyDescent="0.2">
      <c r="A46146" s="258"/>
      <c r="Z46146" s="258"/>
    </row>
    <row r="46147" spans="1:26" ht="12.75" customHeight="1" x14ac:dyDescent="0.2">
      <c r="A46147" s="258"/>
      <c r="Z46147" s="258"/>
    </row>
    <row r="46148" spans="1:26" ht="12.75" customHeight="1" x14ac:dyDescent="0.2">
      <c r="A46148" s="258"/>
      <c r="Z46148" s="258"/>
    </row>
    <row r="46149" spans="1:26" ht="12.75" customHeight="1" x14ac:dyDescent="0.2">
      <c r="A46149" s="258"/>
      <c r="Z46149" s="258"/>
    </row>
    <row r="46150" spans="1:26" ht="12.75" customHeight="1" x14ac:dyDescent="0.2">
      <c r="A46150" s="258"/>
      <c r="Z46150" s="258"/>
    </row>
    <row r="46151" spans="1:26" ht="12.75" customHeight="1" x14ac:dyDescent="0.2">
      <c r="A46151" s="258"/>
      <c r="Z46151" s="258"/>
    </row>
    <row r="46152" spans="1:26" ht="12.75" customHeight="1" x14ac:dyDescent="0.2">
      <c r="A46152" s="258"/>
      <c r="Z46152" s="258"/>
    </row>
    <row r="46153" spans="1:26" ht="12.75" customHeight="1" x14ac:dyDescent="0.2">
      <c r="A46153" s="258"/>
      <c r="Z46153" s="258"/>
    </row>
    <row r="46154" spans="1:26" ht="12.75" customHeight="1" x14ac:dyDescent="0.2">
      <c r="A46154" s="258"/>
      <c r="Z46154" s="258"/>
    </row>
    <row r="46155" spans="1:26" ht="12.75" customHeight="1" x14ac:dyDescent="0.2">
      <c r="A46155" s="258"/>
      <c r="Z46155" s="258"/>
    </row>
    <row r="46156" spans="1:26" ht="12.75" customHeight="1" x14ac:dyDescent="0.2">
      <c r="A46156" s="258"/>
      <c r="Z46156" s="258"/>
    </row>
    <row r="46157" spans="1:26" ht="12.75" customHeight="1" x14ac:dyDescent="0.2">
      <c r="A46157" s="258"/>
      <c r="Z46157" s="258"/>
    </row>
    <row r="46158" spans="1:26" ht="12.75" customHeight="1" x14ac:dyDescent="0.2">
      <c r="A46158" s="258"/>
      <c r="Z46158" s="258"/>
    </row>
    <row r="46159" spans="1:26" ht="12.75" customHeight="1" x14ac:dyDescent="0.2">
      <c r="A46159" s="258"/>
      <c r="Z46159" s="258"/>
    </row>
    <row r="46160" spans="1:26" ht="12.75" customHeight="1" x14ac:dyDescent="0.2">
      <c r="A46160" s="258"/>
      <c r="Z46160" s="258"/>
    </row>
    <row r="46161" spans="1:26" ht="12.75" customHeight="1" x14ac:dyDescent="0.2">
      <c r="A46161" s="258"/>
      <c r="Z46161" s="258"/>
    </row>
    <row r="46162" spans="1:26" ht="12.75" customHeight="1" x14ac:dyDescent="0.2">
      <c r="A46162" s="258"/>
      <c r="Z46162" s="258"/>
    </row>
    <row r="46163" spans="1:26" ht="12.75" customHeight="1" x14ac:dyDescent="0.2">
      <c r="A46163" s="258"/>
      <c r="Z46163" s="258"/>
    </row>
    <row r="46164" spans="1:26" ht="12.75" customHeight="1" x14ac:dyDescent="0.2">
      <c r="A46164" s="258"/>
      <c r="Z46164" s="258"/>
    </row>
    <row r="46165" spans="1:26" ht="12.75" customHeight="1" x14ac:dyDescent="0.2">
      <c r="A46165" s="258"/>
      <c r="Z46165" s="258"/>
    </row>
    <row r="46166" spans="1:26" ht="12.75" customHeight="1" x14ac:dyDescent="0.2">
      <c r="A46166" s="258"/>
      <c r="Z46166" s="258"/>
    </row>
    <row r="46167" spans="1:26" ht="12.75" customHeight="1" x14ac:dyDescent="0.2">
      <c r="A46167" s="258"/>
      <c r="Z46167" s="258"/>
    </row>
    <row r="46168" spans="1:26" ht="12.75" customHeight="1" x14ac:dyDescent="0.2">
      <c r="A46168" s="258"/>
      <c r="Z46168" s="258"/>
    </row>
    <row r="46169" spans="1:26" ht="12.75" customHeight="1" x14ac:dyDescent="0.2">
      <c r="A46169" s="258"/>
      <c r="Z46169" s="258"/>
    </row>
    <row r="46170" spans="1:26" ht="12.75" customHeight="1" x14ac:dyDescent="0.2">
      <c r="A46170" s="258"/>
      <c r="Z46170" s="258"/>
    </row>
    <row r="46171" spans="1:26" ht="12.75" customHeight="1" x14ac:dyDescent="0.2">
      <c r="A46171" s="258"/>
      <c r="Z46171" s="258"/>
    </row>
    <row r="46172" spans="1:26" ht="12.75" customHeight="1" x14ac:dyDescent="0.2">
      <c r="A46172" s="258"/>
      <c r="Z46172" s="258"/>
    </row>
    <row r="46173" spans="1:26" ht="12.75" customHeight="1" x14ac:dyDescent="0.2">
      <c r="A46173" s="258"/>
      <c r="Z46173" s="258"/>
    </row>
    <row r="46174" spans="1:26" ht="12.75" customHeight="1" x14ac:dyDescent="0.2">
      <c r="A46174" s="258"/>
      <c r="Z46174" s="258"/>
    </row>
    <row r="46175" spans="1:26" ht="12.75" customHeight="1" x14ac:dyDescent="0.2">
      <c r="A46175" s="258"/>
      <c r="Z46175" s="258"/>
    </row>
    <row r="46176" spans="1:26" ht="12.75" customHeight="1" x14ac:dyDescent="0.2">
      <c r="A46176" s="258"/>
      <c r="Z46176" s="258"/>
    </row>
    <row r="46177" spans="1:26" ht="12.75" customHeight="1" x14ac:dyDescent="0.2">
      <c r="A46177" s="258"/>
      <c r="Z46177" s="258"/>
    </row>
    <row r="46178" spans="1:26" ht="12.75" customHeight="1" x14ac:dyDescent="0.2">
      <c r="A46178" s="258"/>
      <c r="Z46178" s="258"/>
    </row>
    <row r="46179" spans="1:26" ht="12.75" customHeight="1" x14ac:dyDescent="0.2">
      <c r="A46179" s="258"/>
      <c r="Z46179" s="258"/>
    </row>
    <row r="46180" spans="1:26" ht="12.75" customHeight="1" x14ac:dyDescent="0.2">
      <c r="A46180" s="258"/>
      <c r="Z46180" s="258"/>
    </row>
    <row r="46181" spans="1:26" ht="12.75" customHeight="1" x14ac:dyDescent="0.2">
      <c r="A46181" s="258"/>
      <c r="Z46181" s="258"/>
    </row>
    <row r="46182" spans="1:26" ht="12.75" customHeight="1" x14ac:dyDescent="0.2">
      <c r="A46182" s="258"/>
      <c r="Z46182" s="258"/>
    </row>
    <row r="46183" spans="1:26" ht="12.75" customHeight="1" x14ac:dyDescent="0.2">
      <c r="A46183" s="258"/>
      <c r="Z46183" s="258"/>
    </row>
    <row r="46184" spans="1:26" ht="12.75" customHeight="1" x14ac:dyDescent="0.2">
      <c r="A46184" s="258"/>
      <c r="Z46184" s="258"/>
    </row>
    <row r="46185" spans="1:26" ht="12.75" customHeight="1" x14ac:dyDescent="0.2">
      <c r="A46185" s="258"/>
      <c r="Z46185" s="258"/>
    </row>
    <row r="46186" spans="1:26" ht="12.75" customHeight="1" x14ac:dyDescent="0.2">
      <c r="A46186" s="258"/>
      <c r="Z46186" s="258"/>
    </row>
    <row r="46187" spans="1:26" ht="12.75" customHeight="1" x14ac:dyDescent="0.2">
      <c r="A46187" s="258"/>
      <c r="Z46187" s="258"/>
    </row>
    <row r="46188" spans="1:26" ht="12.75" customHeight="1" x14ac:dyDescent="0.2">
      <c r="A46188" s="258"/>
      <c r="Z46188" s="258"/>
    </row>
    <row r="46189" spans="1:26" ht="12.75" customHeight="1" x14ac:dyDescent="0.2">
      <c r="A46189" s="258"/>
      <c r="Z46189" s="258"/>
    </row>
    <row r="46190" spans="1:26" ht="12.75" customHeight="1" x14ac:dyDescent="0.2">
      <c r="A46190" s="258"/>
      <c r="Z46190" s="258"/>
    </row>
    <row r="46191" spans="1:26" ht="12.75" customHeight="1" x14ac:dyDescent="0.2">
      <c r="A46191" s="258"/>
      <c r="Z46191" s="258"/>
    </row>
    <row r="46192" spans="1:26" ht="12.75" customHeight="1" x14ac:dyDescent="0.2">
      <c r="A46192" s="258"/>
      <c r="Z46192" s="258"/>
    </row>
    <row r="46193" spans="1:26" ht="12.75" customHeight="1" x14ac:dyDescent="0.2">
      <c r="A46193" s="258"/>
      <c r="Z46193" s="258"/>
    </row>
    <row r="46194" spans="1:26" ht="12.75" customHeight="1" x14ac:dyDescent="0.2">
      <c r="A46194" s="258"/>
      <c r="Z46194" s="258"/>
    </row>
    <row r="46195" spans="1:26" ht="12.75" customHeight="1" x14ac:dyDescent="0.2">
      <c r="A46195" s="258"/>
      <c r="Z46195" s="258"/>
    </row>
    <row r="46196" spans="1:26" ht="12.75" customHeight="1" x14ac:dyDescent="0.2">
      <c r="A46196" s="258"/>
      <c r="Z46196" s="258"/>
    </row>
    <row r="46197" spans="1:26" ht="12.75" customHeight="1" x14ac:dyDescent="0.2">
      <c r="A46197" s="258"/>
      <c r="Z46197" s="258"/>
    </row>
    <row r="46198" spans="1:26" ht="12.75" customHeight="1" x14ac:dyDescent="0.2">
      <c r="A46198" s="258"/>
      <c r="Z46198" s="258"/>
    </row>
    <row r="46199" spans="1:26" ht="12.75" customHeight="1" x14ac:dyDescent="0.2">
      <c r="A46199" s="258"/>
      <c r="Z46199" s="258"/>
    </row>
    <row r="46200" spans="1:26" ht="12.75" customHeight="1" x14ac:dyDescent="0.2">
      <c r="A46200" s="258"/>
      <c r="Z46200" s="258"/>
    </row>
    <row r="46201" spans="1:26" ht="12.75" customHeight="1" x14ac:dyDescent="0.2">
      <c r="A46201" s="258"/>
      <c r="Z46201" s="258"/>
    </row>
    <row r="46202" spans="1:26" ht="12.75" customHeight="1" x14ac:dyDescent="0.2">
      <c r="A46202" s="258"/>
      <c r="Z46202" s="258"/>
    </row>
    <row r="46203" spans="1:26" ht="12.75" customHeight="1" x14ac:dyDescent="0.2">
      <c r="A46203" s="258"/>
      <c r="Z46203" s="258"/>
    </row>
    <row r="46204" spans="1:26" ht="12.75" customHeight="1" x14ac:dyDescent="0.2">
      <c r="A46204" s="258"/>
      <c r="Z46204" s="258"/>
    </row>
    <row r="46205" spans="1:26" ht="12.75" customHeight="1" x14ac:dyDescent="0.2">
      <c r="A46205" s="258"/>
      <c r="Z46205" s="258"/>
    </row>
    <row r="46206" spans="1:26" ht="12.75" customHeight="1" x14ac:dyDescent="0.2">
      <c r="A46206" s="258"/>
      <c r="Z46206" s="258"/>
    </row>
    <row r="46207" spans="1:26" ht="12.75" customHeight="1" x14ac:dyDescent="0.2">
      <c r="A46207" s="258"/>
      <c r="Z46207" s="258"/>
    </row>
    <row r="46208" spans="1:26" ht="12.75" customHeight="1" x14ac:dyDescent="0.2">
      <c r="A46208" s="258"/>
      <c r="Z46208" s="258"/>
    </row>
    <row r="46209" spans="1:26" ht="12.75" customHeight="1" x14ac:dyDescent="0.2">
      <c r="A46209" s="258"/>
      <c r="Z46209" s="258"/>
    </row>
    <row r="46210" spans="1:26" ht="12.75" customHeight="1" x14ac:dyDescent="0.2">
      <c r="A46210" s="258"/>
      <c r="Z46210" s="258"/>
    </row>
    <row r="46211" spans="1:26" ht="12.75" customHeight="1" x14ac:dyDescent="0.2">
      <c r="A46211" s="258"/>
      <c r="Z46211" s="258"/>
    </row>
    <row r="46212" spans="1:26" ht="12.75" customHeight="1" x14ac:dyDescent="0.2">
      <c r="A46212" s="258"/>
      <c r="Z46212" s="258"/>
    </row>
    <row r="46213" spans="1:26" ht="12.75" customHeight="1" x14ac:dyDescent="0.2">
      <c r="A46213" s="258"/>
      <c r="Z46213" s="258"/>
    </row>
    <row r="46214" spans="1:26" ht="12.75" customHeight="1" x14ac:dyDescent="0.2">
      <c r="A46214" s="258"/>
      <c r="Z46214" s="258"/>
    </row>
    <row r="46215" spans="1:26" ht="12.75" customHeight="1" x14ac:dyDescent="0.2">
      <c r="A46215" s="258"/>
      <c r="Z46215" s="258"/>
    </row>
    <row r="46216" spans="1:26" ht="12.75" customHeight="1" x14ac:dyDescent="0.2">
      <c r="A46216" s="258"/>
      <c r="Z46216" s="258"/>
    </row>
    <row r="46217" spans="1:26" ht="12.75" customHeight="1" x14ac:dyDescent="0.2">
      <c r="A46217" s="258"/>
      <c r="Z46217" s="258"/>
    </row>
    <row r="46218" spans="1:26" ht="12.75" customHeight="1" x14ac:dyDescent="0.2">
      <c r="A46218" s="258"/>
      <c r="Z46218" s="258"/>
    </row>
    <row r="46219" spans="1:26" ht="12.75" customHeight="1" x14ac:dyDescent="0.2">
      <c r="A46219" s="258"/>
      <c r="Z46219" s="258"/>
    </row>
    <row r="46220" spans="1:26" ht="12.75" customHeight="1" x14ac:dyDescent="0.2">
      <c r="A46220" s="258"/>
      <c r="Z46220" s="258"/>
    </row>
    <row r="46221" spans="1:26" ht="12.75" customHeight="1" x14ac:dyDescent="0.2">
      <c r="A46221" s="258"/>
      <c r="Z46221" s="258"/>
    </row>
    <row r="46222" spans="1:26" ht="12.75" customHeight="1" x14ac:dyDescent="0.2">
      <c r="A46222" s="258"/>
      <c r="Z46222" s="258"/>
    </row>
    <row r="46223" spans="1:26" ht="12.75" customHeight="1" x14ac:dyDescent="0.2">
      <c r="A46223" s="258"/>
      <c r="Z46223" s="258"/>
    </row>
    <row r="46224" spans="1:26" ht="12.75" customHeight="1" x14ac:dyDescent="0.2">
      <c r="A46224" s="258"/>
      <c r="Z46224" s="258"/>
    </row>
    <row r="46225" spans="1:26" ht="12.75" customHeight="1" x14ac:dyDescent="0.2">
      <c r="A46225" s="258"/>
      <c r="Z46225" s="258"/>
    </row>
    <row r="46226" spans="1:26" ht="12.75" customHeight="1" x14ac:dyDescent="0.2">
      <c r="A46226" s="258"/>
      <c r="Z46226" s="258"/>
    </row>
    <row r="46227" spans="1:26" ht="12.75" customHeight="1" x14ac:dyDescent="0.2">
      <c r="A46227" s="258"/>
      <c r="Z46227" s="258"/>
    </row>
    <row r="46228" spans="1:26" ht="12.75" customHeight="1" x14ac:dyDescent="0.2">
      <c r="A46228" s="258"/>
      <c r="Z46228" s="258"/>
    </row>
    <row r="46229" spans="1:26" ht="12.75" customHeight="1" x14ac:dyDescent="0.2">
      <c r="A46229" s="258"/>
      <c r="Z46229" s="258"/>
    </row>
    <row r="46230" spans="1:26" ht="12.75" customHeight="1" x14ac:dyDescent="0.2">
      <c r="A46230" s="258"/>
      <c r="Z46230" s="258"/>
    </row>
    <row r="46231" spans="1:26" ht="12.75" customHeight="1" x14ac:dyDescent="0.2">
      <c r="A46231" s="258"/>
      <c r="Z46231" s="258"/>
    </row>
    <row r="46232" spans="1:26" ht="12.75" customHeight="1" x14ac:dyDescent="0.2">
      <c r="A46232" s="258"/>
      <c r="Z46232" s="258"/>
    </row>
    <row r="46233" spans="1:26" ht="12.75" customHeight="1" x14ac:dyDescent="0.2">
      <c r="A46233" s="258"/>
      <c r="Z46233" s="258"/>
    </row>
    <row r="46234" spans="1:26" ht="12.75" customHeight="1" x14ac:dyDescent="0.2">
      <c r="A46234" s="258"/>
      <c r="Z46234" s="258"/>
    </row>
    <row r="46235" spans="1:26" ht="12.75" customHeight="1" x14ac:dyDescent="0.2">
      <c r="A46235" s="258"/>
      <c r="Z46235" s="258"/>
    </row>
    <row r="46236" spans="1:26" ht="12.75" customHeight="1" x14ac:dyDescent="0.2">
      <c r="A46236" s="258"/>
      <c r="Z46236" s="258"/>
    </row>
    <row r="46237" spans="1:26" ht="12.75" customHeight="1" x14ac:dyDescent="0.2">
      <c r="A46237" s="258"/>
      <c r="Z46237" s="258"/>
    </row>
    <row r="46238" spans="1:26" ht="12.75" customHeight="1" x14ac:dyDescent="0.2">
      <c r="A46238" s="258"/>
      <c r="Z46238" s="258"/>
    </row>
    <row r="46239" spans="1:26" ht="12.75" customHeight="1" x14ac:dyDescent="0.2">
      <c r="A46239" s="258"/>
      <c r="Z46239" s="258"/>
    </row>
    <row r="46240" spans="1:26" ht="12.75" customHeight="1" x14ac:dyDescent="0.2">
      <c r="A46240" s="258"/>
      <c r="Z46240" s="258"/>
    </row>
    <row r="46241" spans="1:26" ht="12.75" customHeight="1" x14ac:dyDescent="0.2">
      <c r="A46241" s="258"/>
      <c r="Z46241" s="258"/>
    </row>
    <row r="46242" spans="1:26" ht="12.75" customHeight="1" x14ac:dyDescent="0.2">
      <c r="A46242" s="258"/>
      <c r="Z46242" s="258"/>
    </row>
    <row r="46243" spans="1:26" ht="12.75" customHeight="1" x14ac:dyDescent="0.2">
      <c r="A46243" s="258"/>
      <c r="Z46243" s="258"/>
    </row>
    <row r="46244" spans="1:26" ht="12.75" customHeight="1" x14ac:dyDescent="0.2">
      <c r="A46244" s="258"/>
      <c r="Z46244" s="258"/>
    </row>
    <row r="46245" spans="1:26" ht="12.75" customHeight="1" x14ac:dyDescent="0.2">
      <c r="A46245" s="258"/>
      <c r="Z46245" s="258"/>
    </row>
    <row r="46246" spans="1:26" ht="12.75" customHeight="1" x14ac:dyDescent="0.2">
      <c r="A46246" s="258"/>
      <c r="Z46246" s="258"/>
    </row>
    <row r="46247" spans="1:26" ht="12.75" customHeight="1" x14ac:dyDescent="0.2">
      <c r="A46247" s="258"/>
      <c r="Z46247" s="258"/>
    </row>
    <row r="46248" spans="1:26" ht="12.75" customHeight="1" x14ac:dyDescent="0.2">
      <c r="A46248" s="258"/>
      <c r="Z46248" s="258"/>
    </row>
    <row r="46249" spans="1:26" ht="12.75" customHeight="1" x14ac:dyDescent="0.2">
      <c r="A46249" s="258"/>
      <c r="Z46249" s="258"/>
    </row>
    <row r="46250" spans="1:26" ht="12.75" customHeight="1" x14ac:dyDescent="0.2">
      <c r="A46250" s="258"/>
      <c r="Z46250" s="258"/>
    </row>
    <row r="46251" spans="1:26" ht="12.75" customHeight="1" x14ac:dyDescent="0.2">
      <c r="A46251" s="258"/>
      <c r="Z46251" s="258"/>
    </row>
    <row r="46252" spans="1:26" ht="12.75" customHeight="1" x14ac:dyDescent="0.2">
      <c r="A46252" s="258"/>
      <c r="Z46252" s="258"/>
    </row>
    <row r="46253" spans="1:26" ht="12.75" customHeight="1" x14ac:dyDescent="0.2">
      <c r="A46253" s="258"/>
      <c r="Z46253" s="258"/>
    </row>
    <row r="46254" spans="1:26" ht="12.75" customHeight="1" x14ac:dyDescent="0.2">
      <c r="A46254" s="258"/>
      <c r="Z46254" s="258"/>
    </row>
    <row r="46255" spans="1:26" ht="12.75" customHeight="1" x14ac:dyDescent="0.2">
      <c r="A46255" s="258"/>
      <c r="Z46255" s="258"/>
    </row>
    <row r="46256" spans="1:26" ht="12.75" customHeight="1" x14ac:dyDescent="0.2">
      <c r="A46256" s="258"/>
      <c r="Z46256" s="258"/>
    </row>
    <row r="46257" spans="1:26" ht="12.75" customHeight="1" x14ac:dyDescent="0.2">
      <c r="A46257" s="258"/>
      <c r="Z46257" s="258"/>
    </row>
    <row r="46258" spans="1:26" ht="12.75" customHeight="1" x14ac:dyDescent="0.2">
      <c r="A46258" s="258"/>
      <c r="Z46258" s="258"/>
    </row>
    <row r="46259" spans="1:26" ht="12.75" customHeight="1" x14ac:dyDescent="0.2">
      <c r="A46259" s="258"/>
      <c r="Z46259" s="258"/>
    </row>
    <row r="46260" spans="1:26" ht="12.75" customHeight="1" x14ac:dyDescent="0.2">
      <c r="A46260" s="258"/>
      <c r="Z46260" s="258"/>
    </row>
    <row r="46261" spans="1:26" ht="12.75" customHeight="1" x14ac:dyDescent="0.2">
      <c r="A46261" s="258"/>
      <c r="Z46261" s="258"/>
    </row>
    <row r="46262" spans="1:26" ht="12.75" customHeight="1" x14ac:dyDescent="0.2">
      <c r="A46262" s="258"/>
      <c r="Z46262" s="258"/>
    </row>
    <row r="46263" spans="1:26" ht="12.75" customHeight="1" x14ac:dyDescent="0.2">
      <c r="A46263" s="258"/>
      <c r="Z46263" s="258"/>
    </row>
    <row r="46264" spans="1:26" ht="12.75" customHeight="1" x14ac:dyDescent="0.2">
      <c r="A46264" s="258"/>
      <c r="Z46264" s="258"/>
    </row>
    <row r="46265" spans="1:26" ht="12.75" customHeight="1" x14ac:dyDescent="0.2">
      <c r="A46265" s="258"/>
      <c r="Z46265" s="258"/>
    </row>
    <row r="46266" spans="1:26" ht="12.75" customHeight="1" x14ac:dyDescent="0.2">
      <c r="A46266" s="258"/>
      <c r="Z46266" s="258"/>
    </row>
    <row r="46267" spans="1:26" ht="12.75" customHeight="1" x14ac:dyDescent="0.2">
      <c r="A46267" s="258"/>
      <c r="Z46267" s="258"/>
    </row>
    <row r="46268" spans="1:26" ht="12.75" customHeight="1" x14ac:dyDescent="0.2">
      <c r="A46268" s="258"/>
      <c r="Z46268" s="258"/>
    </row>
    <row r="46269" spans="1:26" ht="12.75" customHeight="1" x14ac:dyDescent="0.2">
      <c r="A46269" s="258"/>
      <c r="Z46269" s="258"/>
    </row>
    <row r="46270" spans="1:26" ht="12.75" customHeight="1" x14ac:dyDescent="0.2">
      <c r="A46270" s="258"/>
      <c r="Z46270" s="258"/>
    </row>
    <row r="46271" spans="1:26" ht="12.75" customHeight="1" x14ac:dyDescent="0.2">
      <c r="A46271" s="258"/>
      <c r="Z46271" s="258"/>
    </row>
    <row r="46272" spans="1:26" ht="12.75" customHeight="1" x14ac:dyDescent="0.2">
      <c r="A46272" s="258"/>
      <c r="Z46272" s="258"/>
    </row>
    <row r="46273" spans="1:26" ht="12.75" customHeight="1" x14ac:dyDescent="0.2">
      <c r="A46273" s="258"/>
      <c r="Z46273" s="258"/>
    </row>
    <row r="46274" spans="1:26" ht="12.75" customHeight="1" x14ac:dyDescent="0.2">
      <c r="A46274" s="258"/>
      <c r="Z46274" s="258"/>
    </row>
    <row r="46275" spans="1:26" ht="12.75" customHeight="1" x14ac:dyDescent="0.2">
      <c r="A46275" s="258"/>
      <c r="Z46275" s="258"/>
    </row>
    <row r="46276" spans="1:26" ht="12.75" customHeight="1" x14ac:dyDescent="0.2">
      <c r="A46276" s="258"/>
      <c r="Z46276" s="258"/>
    </row>
    <row r="46277" spans="1:26" ht="12.75" customHeight="1" x14ac:dyDescent="0.2">
      <c r="A46277" s="258"/>
      <c r="Z46277" s="258"/>
    </row>
    <row r="46278" spans="1:26" ht="12.75" customHeight="1" x14ac:dyDescent="0.2">
      <c r="A46278" s="258"/>
      <c r="Z46278" s="258"/>
    </row>
    <row r="46279" spans="1:26" ht="12.75" customHeight="1" x14ac:dyDescent="0.2">
      <c r="A46279" s="258"/>
      <c r="Z46279" s="258"/>
    </row>
    <row r="46280" spans="1:26" ht="12.75" customHeight="1" x14ac:dyDescent="0.2">
      <c r="A46280" s="258"/>
      <c r="Z46280" s="258"/>
    </row>
    <row r="46281" spans="1:26" ht="12.75" customHeight="1" x14ac:dyDescent="0.2">
      <c r="A46281" s="258"/>
      <c r="Z46281" s="258"/>
    </row>
    <row r="46282" spans="1:26" ht="12.75" customHeight="1" x14ac:dyDescent="0.2">
      <c r="A46282" s="258"/>
      <c r="Z46282" s="258"/>
    </row>
    <row r="46283" spans="1:26" ht="12.75" customHeight="1" x14ac:dyDescent="0.2">
      <c r="A46283" s="258"/>
      <c r="Z46283" s="258"/>
    </row>
    <row r="46284" spans="1:26" ht="12.75" customHeight="1" x14ac:dyDescent="0.2">
      <c r="A46284" s="258"/>
      <c r="Z46284" s="258"/>
    </row>
    <row r="46285" spans="1:26" ht="12.75" customHeight="1" x14ac:dyDescent="0.2">
      <c r="A46285" s="258"/>
      <c r="Z46285" s="258"/>
    </row>
    <row r="46286" spans="1:26" ht="12.75" customHeight="1" x14ac:dyDescent="0.2">
      <c r="A46286" s="258"/>
      <c r="Z46286" s="258"/>
    </row>
    <row r="46287" spans="1:26" ht="12.75" customHeight="1" x14ac:dyDescent="0.2">
      <c r="A46287" s="258"/>
      <c r="Z46287" s="258"/>
    </row>
    <row r="46288" spans="1:26" ht="12.75" customHeight="1" x14ac:dyDescent="0.2">
      <c r="A46288" s="258"/>
      <c r="Z46288" s="258"/>
    </row>
    <row r="46289" spans="1:26" ht="12.75" customHeight="1" x14ac:dyDescent="0.2">
      <c r="A46289" s="258"/>
      <c r="Z46289" s="258"/>
    </row>
    <row r="46290" spans="1:26" ht="12.75" customHeight="1" x14ac:dyDescent="0.2">
      <c r="A46290" s="258"/>
      <c r="Z46290" s="258"/>
    </row>
    <row r="46291" spans="1:26" ht="12.75" customHeight="1" x14ac:dyDescent="0.2">
      <c r="A46291" s="258"/>
      <c r="Z46291" s="258"/>
    </row>
    <row r="46292" spans="1:26" ht="12.75" customHeight="1" x14ac:dyDescent="0.2">
      <c r="A46292" s="258"/>
      <c r="Z46292" s="258"/>
    </row>
    <row r="46293" spans="1:26" ht="12.75" customHeight="1" x14ac:dyDescent="0.2">
      <c r="A46293" s="258"/>
      <c r="Z46293" s="258"/>
    </row>
    <row r="46294" spans="1:26" ht="12.75" customHeight="1" x14ac:dyDescent="0.2">
      <c r="A46294" s="258"/>
      <c r="Z46294" s="258"/>
    </row>
    <row r="46295" spans="1:26" ht="12.75" customHeight="1" x14ac:dyDescent="0.2">
      <c r="A46295" s="258"/>
      <c r="Z46295" s="258"/>
    </row>
    <row r="46296" spans="1:26" ht="12.75" customHeight="1" x14ac:dyDescent="0.2">
      <c r="A46296" s="258"/>
      <c r="Z46296" s="258"/>
    </row>
    <row r="46297" spans="1:26" ht="12.75" customHeight="1" x14ac:dyDescent="0.2">
      <c r="A46297" s="258"/>
      <c r="Z46297" s="258"/>
    </row>
    <row r="46298" spans="1:26" ht="12.75" customHeight="1" x14ac:dyDescent="0.2">
      <c r="A46298" s="258"/>
      <c r="Z46298" s="258"/>
    </row>
    <row r="46299" spans="1:26" ht="12.75" customHeight="1" x14ac:dyDescent="0.2">
      <c r="A46299" s="258"/>
      <c r="Z46299" s="258"/>
    </row>
    <row r="46300" spans="1:26" ht="12.75" customHeight="1" x14ac:dyDescent="0.2">
      <c r="A46300" s="258"/>
      <c r="Z46300" s="258"/>
    </row>
    <row r="46301" spans="1:26" ht="12.75" customHeight="1" x14ac:dyDescent="0.2">
      <c r="A46301" s="258"/>
      <c r="Z46301" s="258"/>
    </row>
    <row r="46302" spans="1:26" ht="12.75" customHeight="1" x14ac:dyDescent="0.2">
      <c r="A46302" s="258"/>
      <c r="Z46302" s="258"/>
    </row>
    <row r="46303" spans="1:26" ht="12.75" customHeight="1" x14ac:dyDescent="0.2">
      <c r="A46303" s="258"/>
      <c r="Z46303" s="258"/>
    </row>
    <row r="46304" spans="1:26" ht="12.75" customHeight="1" x14ac:dyDescent="0.2">
      <c r="A46304" s="258"/>
      <c r="Z46304" s="258"/>
    </row>
    <row r="46305" spans="1:26" ht="12.75" customHeight="1" x14ac:dyDescent="0.2">
      <c r="A46305" s="258"/>
      <c r="Z46305" s="258"/>
    </row>
    <row r="46306" spans="1:26" ht="12.75" customHeight="1" x14ac:dyDescent="0.2">
      <c r="A46306" s="258"/>
      <c r="Z46306" s="258"/>
    </row>
    <row r="46307" spans="1:26" ht="12.75" customHeight="1" x14ac:dyDescent="0.2">
      <c r="A46307" s="258"/>
      <c r="Z46307" s="258"/>
    </row>
    <row r="46308" spans="1:26" ht="12.75" customHeight="1" x14ac:dyDescent="0.2">
      <c r="A46308" s="258"/>
      <c r="Z46308" s="258"/>
    </row>
    <row r="46309" spans="1:26" ht="12.75" customHeight="1" x14ac:dyDescent="0.2">
      <c r="A46309" s="258"/>
      <c r="Z46309" s="258"/>
    </row>
    <row r="46310" spans="1:26" ht="12.75" customHeight="1" x14ac:dyDescent="0.2">
      <c r="A46310" s="258"/>
      <c r="Z46310" s="258"/>
    </row>
    <row r="46311" spans="1:26" ht="12.75" customHeight="1" x14ac:dyDescent="0.2">
      <c r="A46311" s="258"/>
      <c r="Z46311" s="258"/>
    </row>
    <row r="46312" spans="1:26" ht="12.75" customHeight="1" x14ac:dyDescent="0.2">
      <c r="A46312" s="258"/>
      <c r="Z46312" s="258"/>
    </row>
    <row r="46313" spans="1:26" ht="12.75" customHeight="1" x14ac:dyDescent="0.2">
      <c r="A46313" s="258"/>
      <c r="Z46313" s="258"/>
    </row>
    <row r="46314" spans="1:26" ht="12.75" customHeight="1" x14ac:dyDescent="0.2">
      <c r="A46314" s="258"/>
      <c r="Z46314" s="258"/>
    </row>
    <row r="46315" spans="1:26" ht="12.75" customHeight="1" x14ac:dyDescent="0.2">
      <c r="A46315" s="258"/>
      <c r="Z46315" s="258"/>
    </row>
    <row r="46316" spans="1:26" ht="12.75" customHeight="1" x14ac:dyDescent="0.2">
      <c r="A46316" s="258"/>
      <c r="Z46316" s="258"/>
    </row>
    <row r="46317" spans="1:26" ht="12.75" customHeight="1" x14ac:dyDescent="0.2">
      <c r="A46317" s="258"/>
      <c r="Z46317" s="258"/>
    </row>
    <row r="46318" spans="1:26" ht="12.75" customHeight="1" x14ac:dyDescent="0.2">
      <c r="A46318" s="258"/>
      <c r="Z46318" s="258"/>
    </row>
    <row r="46319" spans="1:26" ht="12.75" customHeight="1" x14ac:dyDescent="0.2">
      <c r="A46319" s="258"/>
      <c r="Z46319" s="258"/>
    </row>
    <row r="46320" spans="1:26" ht="12.75" customHeight="1" x14ac:dyDescent="0.2">
      <c r="A46320" s="258"/>
      <c r="Z46320" s="258"/>
    </row>
    <row r="46321" spans="1:26" ht="12.75" customHeight="1" x14ac:dyDescent="0.2">
      <c r="A46321" s="258"/>
      <c r="Z46321" s="258"/>
    </row>
    <row r="46322" spans="1:26" ht="12.75" customHeight="1" x14ac:dyDescent="0.2">
      <c r="A46322" s="258"/>
      <c r="Z46322" s="258"/>
    </row>
    <row r="46323" spans="1:26" ht="12.75" customHeight="1" x14ac:dyDescent="0.2">
      <c r="A46323" s="258"/>
      <c r="Z46323" s="258"/>
    </row>
    <row r="46324" spans="1:26" ht="12.75" customHeight="1" x14ac:dyDescent="0.2">
      <c r="A46324" s="258"/>
      <c r="Z46324" s="258"/>
    </row>
    <row r="46325" spans="1:26" ht="12.75" customHeight="1" x14ac:dyDescent="0.2">
      <c r="A46325" s="258"/>
      <c r="Z46325" s="258"/>
    </row>
    <row r="46326" spans="1:26" ht="12.75" customHeight="1" x14ac:dyDescent="0.2">
      <c r="A46326" s="258"/>
      <c r="Z46326" s="258"/>
    </row>
    <row r="46327" spans="1:26" ht="12.75" customHeight="1" x14ac:dyDescent="0.2">
      <c r="A46327" s="258"/>
      <c r="Z46327" s="258"/>
    </row>
    <row r="46328" spans="1:26" ht="12.75" customHeight="1" x14ac:dyDescent="0.2">
      <c r="A46328" s="258"/>
      <c r="Z46328" s="258"/>
    </row>
    <row r="46329" spans="1:26" ht="12.75" customHeight="1" x14ac:dyDescent="0.2">
      <c r="A46329" s="258"/>
      <c r="Z46329" s="258"/>
    </row>
    <row r="46330" spans="1:26" ht="12.75" customHeight="1" x14ac:dyDescent="0.2">
      <c r="A46330" s="258"/>
      <c r="Z46330" s="258"/>
    </row>
    <row r="46331" spans="1:26" ht="12.75" customHeight="1" x14ac:dyDescent="0.2">
      <c r="A46331" s="258"/>
      <c r="Z46331" s="258"/>
    </row>
    <row r="46332" spans="1:26" ht="12.75" customHeight="1" x14ac:dyDescent="0.2">
      <c r="A46332" s="258"/>
      <c r="Z46332" s="258"/>
    </row>
    <row r="46333" spans="1:26" ht="12.75" customHeight="1" x14ac:dyDescent="0.2">
      <c r="A46333" s="258"/>
      <c r="Z46333" s="258"/>
    </row>
    <row r="46334" spans="1:26" ht="12.75" customHeight="1" x14ac:dyDescent="0.2">
      <c r="A46334" s="258"/>
      <c r="Z46334" s="258"/>
    </row>
    <row r="46335" spans="1:26" ht="12.75" customHeight="1" x14ac:dyDescent="0.2">
      <c r="A46335" s="258"/>
      <c r="Z46335" s="258"/>
    </row>
    <row r="46336" spans="1:26" ht="12.75" customHeight="1" x14ac:dyDescent="0.2">
      <c r="A46336" s="258"/>
      <c r="Z46336" s="258"/>
    </row>
    <row r="46337" spans="1:26" ht="12.75" customHeight="1" x14ac:dyDescent="0.2">
      <c r="A46337" s="258"/>
      <c r="Z46337" s="258"/>
    </row>
    <row r="46338" spans="1:26" ht="12.75" customHeight="1" x14ac:dyDescent="0.2">
      <c r="A46338" s="258"/>
      <c r="Z46338" s="258"/>
    </row>
    <row r="46339" spans="1:26" ht="12.75" customHeight="1" x14ac:dyDescent="0.2">
      <c r="A46339" s="258"/>
      <c r="Z46339" s="258"/>
    </row>
    <row r="46340" spans="1:26" ht="12.75" customHeight="1" x14ac:dyDescent="0.2">
      <c r="A46340" s="258"/>
      <c r="Z46340" s="258"/>
    </row>
    <row r="46341" spans="1:26" ht="12.75" customHeight="1" x14ac:dyDescent="0.2">
      <c r="A46341" s="258"/>
      <c r="Z46341" s="258"/>
    </row>
    <row r="46342" spans="1:26" ht="12.75" customHeight="1" x14ac:dyDescent="0.2">
      <c r="A46342" s="258"/>
      <c r="Z46342" s="258"/>
    </row>
    <row r="46343" spans="1:26" ht="12.75" customHeight="1" x14ac:dyDescent="0.2">
      <c r="A46343" s="258"/>
      <c r="Z46343" s="258"/>
    </row>
    <row r="46344" spans="1:26" ht="12.75" customHeight="1" x14ac:dyDescent="0.2">
      <c r="A46344" s="258"/>
      <c r="Z46344" s="258"/>
    </row>
    <row r="46345" spans="1:26" ht="12.75" customHeight="1" x14ac:dyDescent="0.2">
      <c r="A46345" s="258"/>
      <c r="Z46345" s="258"/>
    </row>
    <row r="46346" spans="1:26" ht="12.75" customHeight="1" x14ac:dyDescent="0.2">
      <c r="A46346" s="258"/>
      <c r="Z46346" s="258"/>
    </row>
    <row r="46347" spans="1:26" ht="12.75" customHeight="1" x14ac:dyDescent="0.2">
      <c r="A46347" s="258"/>
      <c r="Z46347" s="258"/>
    </row>
    <row r="46348" spans="1:26" ht="12.75" customHeight="1" x14ac:dyDescent="0.2">
      <c r="A46348" s="258"/>
      <c r="Z46348" s="258"/>
    </row>
    <row r="46349" spans="1:26" ht="12.75" customHeight="1" x14ac:dyDescent="0.2">
      <c r="A46349" s="258"/>
      <c r="Z46349" s="258"/>
    </row>
    <row r="46350" spans="1:26" ht="12.75" customHeight="1" x14ac:dyDescent="0.2">
      <c r="A46350" s="258"/>
      <c r="Z46350" s="258"/>
    </row>
    <row r="46351" spans="1:26" ht="12.75" customHeight="1" x14ac:dyDescent="0.2">
      <c r="A46351" s="258"/>
      <c r="Z46351" s="258"/>
    </row>
    <row r="46352" spans="1:26" ht="12.75" customHeight="1" x14ac:dyDescent="0.2">
      <c r="A46352" s="258"/>
      <c r="Z46352" s="258"/>
    </row>
    <row r="46353" spans="1:26" ht="12.75" customHeight="1" x14ac:dyDescent="0.2">
      <c r="A46353" s="258"/>
      <c r="Z46353" s="258"/>
    </row>
    <row r="46354" spans="1:26" ht="12.75" customHeight="1" x14ac:dyDescent="0.2">
      <c r="A46354" s="258"/>
      <c r="Z46354" s="258"/>
    </row>
    <row r="46355" spans="1:26" ht="12.75" customHeight="1" x14ac:dyDescent="0.2">
      <c r="A46355" s="258"/>
      <c r="Z46355" s="258"/>
    </row>
    <row r="46356" spans="1:26" ht="12.75" customHeight="1" x14ac:dyDescent="0.2">
      <c r="A46356" s="258"/>
      <c r="Z46356" s="258"/>
    </row>
    <row r="46357" spans="1:26" ht="12.75" customHeight="1" x14ac:dyDescent="0.2">
      <c r="A46357" s="258"/>
      <c r="Z46357" s="258"/>
    </row>
    <row r="46358" spans="1:26" ht="12.75" customHeight="1" x14ac:dyDescent="0.2">
      <c r="A46358" s="258"/>
      <c r="Z46358" s="258"/>
    </row>
    <row r="46359" spans="1:26" ht="12.75" customHeight="1" x14ac:dyDescent="0.2">
      <c r="A46359" s="258"/>
      <c r="Z46359" s="258"/>
    </row>
    <row r="46360" spans="1:26" ht="12.75" customHeight="1" x14ac:dyDescent="0.2">
      <c r="A46360" s="258"/>
      <c r="Z46360" s="258"/>
    </row>
    <row r="46361" spans="1:26" ht="12.75" customHeight="1" x14ac:dyDescent="0.2">
      <c r="A46361" s="258"/>
      <c r="Z46361" s="258"/>
    </row>
    <row r="46362" spans="1:26" ht="12.75" customHeight="1" x14ac:dyDescent="0.2">
      <c r="A46362" s="258"/>
      <c r="Z46362" s="258"/>
    </row>
    <row r="46363" spans="1:26" ht="12.75" customHeight="1" x14ac:dyDescent="0.2">
      <c r="A46363" s="258"/>
      <c r="Z46363" s="258"/>
    </row>
    <row r="46364" spans="1:26" ht="12.75" customHeight="1" x14ac:dyDescent="0.2">
      <c r="A46364" s="258"/>
      <c r="Z46364" s="258"/>
    </row>
    <row r="46365" spans="1:26" ht="12.75" customHeight="1" x14ac:dyDescent="0.2">
      <c r="A46365" s="258"/>
      <c r="Z46365" s="258"/>
    </row>
    <row r="46366" spans="1:26" ht="12.75" customHeight="1" x14ac:dyDescent="0.2">
      <c r="A46366" s="258"/>
      <c r="Z46366" s="258"/>
    </row>
    <row r="46367" spans="1:26" ht="12.75" customHeight="1" x14ac:dyDescent="0.2">
      <c r="A46367" s="258"/>
      <c r="Z46367" s="258"/>
    </row>
    <row r="46368" spans="1:26" ht="12.75" customHeight="1" x14ac:dyDescent="0.2">
      <c r="A46368" s="258"/>
      <c r="Z46368" s="258"/>
    </row>
    <row r="46369" spans="1:26" ht="12.75" customHeight="1" x14ac:dyDescent="0.2">
      <c r="A46369" s="258"/>
      <c r="Z46369" s="258"/>
    </row>
    <row r="46370" spans="1:26" ht="12.75" customHeight="1" x14ac:dyDescent="0.2">
      <c r="A46370" s="258"/>
      <c r="Z46370" s="258"/>
    </row>
    <row r="46371" spans="1:26" ht="12.75" customHeight="1" x14ac:dyDescent="0.2">
      <c r="A46371" s="258"/>
      <c r="Z46371" s="258"/>
    </row>
    <row r="46372" spans="1:26" ht="12.75" customHeight="1" x14ac:dyDescent="0.2">
      <c r="A46372" s="258"/>
      <c r="Z46372" s="258"/>
    </row>
    <row r="46373" spans="1:26" ht="12.75" customHeight="1" x14ac:dyDescent="0.2">
      <c r="A46373" s="258"/>
      <c r="Z46373" s="258"/>
    </row>
    <row r="46374" spans="1:26" ht="12.75" customHeight="1" x14ac:dyDescent="0.2">
      <c r="A46374" s="258"/>
      <c r="Z46374" s="258"/>
    </row>
    <row r="46375" spans="1:26" ht="12.75" customHeight="1" x14ac:dyDescent="0.2">
      <c r="A46375" s="258"/>
      <c r="Z46375" s="258"/>
    </row>
    <row r="46376" spans="1:26" ht="12.75" customHeight="1" x14ac:dyDescent="0.2">
      <c r="A46376" s="258"/>
      <c r="Z46376" s="258"/>
    </row>
    <row r="46377" spans="1:26" ht="12.75" customHeight="1" x14ac:dyDescent="0.2">
      <c r="A46377" s="258"/>
      <c r="Z46377" s="258"/>
    </row>
    <row r="46378" spans="1:26" ht="12.75" customHeight="1" x14ac:dyDescent="0.2">
      <c r="A46378" s="258"/>
      <c r="Z46378" s="258"/>
    </row>
    <row r="46379" spans="1:26" ht="12.75" customHeight="1" x14ac:dyDescent="0.2">
      <c r="A46379" s="258"/>
      <c r="Z46379" s="258"/>
    </row>
    <row r="46380" spans="1:26" ht="12.75" customHeight="1" x14ac:dyDescent="0.2">
      <c r="A46380" s="258"/>
      <c r="Z46380" s="258"/>
    </row>
    <row r="46381" spans="1:26" ht="12.75" customHeight="1" x14ac:dyDescent="0.2">
      <c r="A46381" s="258"/>
      <c r="Z46381" s="258"/>
    </row>
    <row r="46382" spans="1:26" ht="12.75" customHeight="1" x14ac:dyDescent="0.2">
      <c r="A46382" s="258"/>
      <c r="Z46382" s="258"/>
    </row>
    <row r="46383" spans="1:26" ht="12.75" customHeight="1" x14ac:dyDescent="0.2">
      <c r="A46383" s="258"/>
      <c r="Z46383" s="258"/>
    </row>
    <row r="46384" spans="1:26" ht="12.75" customHeight="1" x14ac:dyDescent="0.2">
      <c r="A46384" s="258"/>
      <c r="Z46384" s="258"/>
    </row>
    <row r="46385" spans="1:26" ht="12.75" customHeight="1" x14ac:dyDescent="0.2">
      <c r="A46385" s="258"/>
      <c r="Z46385" s="258"/>
    </row>
    <row r="46386" spans="1:26" ht="12.75" customHeight="1" x14ac:dyDescent="0.2">
      <c r="A46386" s="258"/>
      <c r="Z46386" s="258"/>
    </row>
    <row r="46387" spans="1:26" ht="12.75" customHeight="1" x14ac:dyDescent="0.2">
      <c r="A46387" s="258"/>
      <c r="Z46387" s="258"/>
    </row>
    <row r="46388" spans="1:26" ht="12.75" customHeight="1" x14ac:dyDescent="0.2">
      <c r="A46388" s="258"/>
      <c r="Z46388" s="258"/>
    </row>
    <row r="46389" spans="1:26" ht="12.75" customHeight="1" x14ac:dyDescent="0.2">
      <c r="A46389" s="258"/>
      <c r="Z46389" s="258"/>
    </row>
    <row r="46390" spans="1:26" ht="12.75" customHeight="1" x14ac:dyDescent="0.2">
      <c r="A46390" s="258"/>
      <c r="Z46390" s="258"/>
    </row>
    <row r="46391" spans="1:26" ht="12.75" customHeight="1" x14ac:dyDescent="0.2">
      <c r="A46391" s="258"/>
      <c r="Z46391" s="258"/>
    </row>
    <row r="46392" spans="1:26" ht="12.75" customHeight="1" x14ac:dyDescent="0.2">
      <c r="A46392" s="258"/>
      <c r="Z46392" s="258"/>
    </row>
    <row r="46393" spans="1:26" ht="12.75" customHeight="1" x14ac:dyDescent="0.2">
      <c r="A46393" s="258"/>
      <c r="Z46393" s="258"/>
    </row>
    <row r="46394" spans="1:26" ht="12.75" customHeight="1" x14ac:dyDescent="0.2">
      <c r="A46394" s="258"/>
      <c r="Z46394" s="258"/>
    </row>
    <row r="46395" spans="1:26" ht="12.75" customHeight="1" x14ac:dyDescent="0.2">
      <c r="A46395" s="258"/>
      <c r="Z46395" s="258"/>
    </row>
    <row r="46396" spans="1:26" ht="12.75" customHeight="1" x14ac:dyDescent="0.2">
      <c r="A46396" s="258"/>
      <c r="Z46396" s="258"/>
    </row>
    <row r="46397" spans="1:26" ht="12.75" customHeight="1" x14ac:dyDescent="0.2">
      <c r="A46397" s="258"/>
      <c r="Z46397" s="258"/>
    </row>
    <row r="46398" spans="1:26" ht="12.75" customHeight="1" x14ac:dyDescent="0.2">
      <c r="A46398" s="258"/>
      <c r="Z46398" s="258"/>
    </row>
    <row r="46399" spans="1:26" ht="12.75" customHeight="1" x14ac:dyDescent="0.2">
      <c r="A46399" s="258"/>
      <c r="Z46399" s="258"/>
    </row>
    <row r="46400" spans="1:26" ht="12.75" customHeight="1" x14ac:dyDescent="0.2">
      <c r="A46400" s="258"/>
      <c r="Z46400" s="258"/>
    </row>
    <row r="46401" spans="1:26" ht="12.75" customHeight="1" x14ac:dyDescent="0.2">
      <c r="A46401" s="258"/>
      <c r="Z46401" s="258"/>
    </row>
    <row r="46402" spans="1:26" ht="12.75" customHeight="1" x14ac:dyDescent="0.2">
      <c r="A46402" s="258"/>
      <c r="Z46402" s="258"/>
    </row>
    <row r="46403" spans="1:26" ht="12.75" customHeight="1" x14ac:dyDescent="0.2">
      <c r="A46403" s="258"/>
      <c r="Z46403" s="258"/>
    </row>
    <row r="46404" spans="1:26" ht="12.75" customHeight="1" x14ac:dyDescent="0.2">
      <c r="A46404" s="258"/>
      <c r="Z46404" s="258"/>
    </row>
    <row r="46405" spans="1:26" ht="12.75" customHeight="1" x14ac:dyDescent="0.2">
      <c r="A46405" s="258"/>
      <c r="Z46405" s="258"/>
    </row>
    <row r="46406" spans="1:26" ht="12.75" customHeight="1" x14ac:dyDescent="0.2">
      <c r="A46406" s="258"/>
      <c r="Z46406" s="258"/>
    </row>
    <row r="46407" spans="1:26" ht="12.75" customHeight="1" x14ac:dyDescent="0.2">
      <c r="A46407" s="258"/>
      <c r="Z46407" s="258"/>
    </row>
    <row r="46408" spans="1:26" ht="12.75" customHeight="1" x14ac:dyDescent="0.2">
      <c r="A46408" s="258"/>
      <c r="Z46408" s="258"/>
    </row>
    <row r="46409" spans="1:26" ht="12.75" customHeight="1" x14ac:dyDescent="0.2">
      <c r="A46409" s="258"/>
      <c r="Z46409" s="258"/>
    </row>
    <row r="46410" spans="1:26" ht="12.75" customHeight="1" x14ac:dyDescent="0.2">
      <c r="A46410" s="258"/>
      <c r="Z46410" s="258"/>
    </row>
    <row r="46411" spans="1:26" ht="12.75" customHeight="1" x14ac:dyDescent="0.2">
      <c r="A46411" s="258"/>
      <c r="Z46411" s="258"/>
    </row>
    <row r="46412" spans="1:26" ht="12.75" customHeight="1" x14ac:dyDescent="0.2">
      <c r="A46412" s="258"/>
      <c r="Z46412" s="258"/>
    </row>
    <row r="46413" spans="1:26" ht="12.75" customHeight="1" x14ac:dyDescent="0.2">
      <c r="A46413" s="258"/>
      <c r="Z46413" s="258"/>
    </row>
    <row r="46414" spans="1:26" ht="12.75" customHeight="1" x14ac:dyDescent="0.2">
      <c r="A46414" s="258"/>
      <c r="Z46414" s="258"/>
    </row>
    <row r="46415" spans="1:26" ht="12.75" customHeight="1" x14ac:dyDescent="0.2">
      <c r="A46415" s="258"/>
      <c r="Z46415" s="258"/>
    </row>
    <row r="46416" spans="1:26" ht="12.75" customHeight="1" x14ac:dyDescent="0.2">
      <c r="A46416" s="258"/>
      <c r="Z46416" s="258"/>
    </row>
    <row r="46417" spans="1:26" ht="12.75" customHeight="1" x14ac:dyDescent="0.2">
      <c r="A46417" s="258"/>
      <c r="Z46417" s="258"/>
    </row>
    <row r="46418" spans="1:26" ht="12.75" customHeight="1" x14ac:dyDescent="0.2">
      <c r="A46418" s="258"/>
      <c r="Z46418" s="258"/>
    </row>
    <row r="46419" spans="1:26" ht="12.75" customHeight="1" x14ac:dyDescent="0.2">
      <c r="A46419" s="258"/>
      <c r="Z46419" s="258"/>
    </row>
    <row r="46420" spans="1:26" ht="12.75" customHeight="1" x14ac:dyDescent="0.2">
      <c r="A46420" s="258"/>
      <c r="Z46420" s="258"/>
    </row>
    <row r="46421" spans="1:26" ht="12.75" customHeight="1" x14ac:dyDescent="0.2">
      <c r="A46421" s="258"/>
      <c r="Z46421" s="258"/>
    </row>
    <row r="46422" spans="1:26" ht="12.75" customHeight="1" x14ac:dyDescent="0.2">
      <c r="A46422" s="258"/>
      <c r="Z46422" s="258"/>
    </row>
    <row r="46423" spans="1:26" ht="12.75" customHeight="1" x14ac:dyDescent="0.2">
      <c r="A46423" s="258"/>
      <c r="Z46423" s="258"/>
    </row>
    <row r="46424" spans="1:26" ht="12.75" customHeight="1" x14ac:dyDescent="0.2">
      <c r="A46424" s="258"/>
      <c r="Z46424" s="258"/>
    </row>
    <row r="46425" spans="1:26" ht="12.75" customHeight="1" x14ac:dyDescent="0.2">
      <c r="A46425" s="258"/>
      <c r="Z46425" s="258"/>
    </row>
    <row r="46426" spans="1:26" ht="12.75" customHeight="1" x14ac:dyDescent="0.2">
      <c r="A46426" s="258"/>
      <c r="Z46426" s="258"/>
    </row>
    <row r="46427" spans="1:26" ht="12.75" customHeight="1" x14ac:dyDescent="0.2">
      <c r="A46427" s="258"/>
      <c r="Z46427" s="258"/>
    </row>
    <row r="46428" spans="1:26" ht="12.75" customHeight="1" x14ac:dyDescent="0.2">
      <c r="A46428" s="258"/>
      <c r="Z46428" s="258"/>
    </row>
    <row r="46429" spans="1:26" ht="12.75" customHeight="1" x14ac:dyDescent="0.2">
      <c r="A46429" s="258"/>
      <c r="Z46429" s="258"/>
    </row>
    <row r="46430" spans="1:26" ht="12.75" customHeight="1" x14ac:dyDescent="0.2">
      <c r="A46430" s="258"/>
      <c r="Z46430" s="258"/>
    </row>
    <row r="46431" spans="1:26" ht="12.75" customHeight="1" x14ac:dyDescent="0.2">
      <c r="A46431" s="258"/>
      <c r="Z46431" s="258"/>
    </row>
    <row r="46432" spans="1:26" ht="12.75" customHeight="1" x14ac:dyDescent="0.2">
      <c r="A46432" s="258"/>
      <c r="Z46432" s="258"/>
    </row>
    <row r="46433" spans="1:26" ht="12.75" customHeight="1" x14ac:dyDescent="0.2">
      <c r="A46433" s="258"/>
      <c r="Z46433" s="258"/>
    </row>
    <row r="46434" spans="1:26" ht="12.75" customHeight="1" x14ac:dyDescent="0.2">
      <c r="A46434" s="258"/>
      <c r="Z46434" s="258"/>
    </row>
    <row r="46435" spans="1:26" ht="12.75" customHeight="1" x14ac:dyDescent="0.2">
      <c r="A46435" s="258"/>
      <c r="Z46435" s="258"/>
    </row>
    <row r="46436" spans="1:26" ht="12.75" customHeight="1" x14ac:dyDescent="0.2">
      <c r="A46436" s="258"/>
      <c r="Z46436" s="258"/>
    </row>
    <row r="46437" spans="1:26" ht="12.75" customHeight="1" x14ac:dyDescent="0.2">
      <c r="A46437" s="258"/>
      <c r="Z46437" s="258"/>
    </row>
    <row r="46438" spans="1:26" ht="12.75" customHeight="1" x14ac:dyDescent="0.2">
      <c r="A46438" s="258"/>
      <c r="Z46438" s="258"/>
    </row>
    <row r="46439" spans="1:26" ht="12.75" customHeight="1" x14ac:dyDescent="0.2">
      <c r="A46439" s="258"/>
      <c r="Z46439" s="258"/>
    </row>
    <row r="46440" spans="1:26" ht="12.75" customHeight="1" x14ac:dyDescent="0.2">
      <c r="A46440" s="258"/>
      <c r="Z46440" s="258"/>
    </row>
    <row r="46441" spans="1:26" ht="12.75" customHeight="1" x14ac:dyDescent="0.2">
      <c r="A46441" s="258"/>
      <c r="Z46441" s="258"/>
    </row>
    <row r="46442" spans="1:26" ht="12.75" customHeight="1" x14ac:dyDescent="0.2">
      <c r="A46442" s="258"/>
      <c r="Z46442" s="258"/>
    </row>
    <row r="46443" spans="1:26" ht="12.75" customHeight="1" x14ac:dyDescent="0.2">
      <c r="A46443" s="258"/>
      <c r="Z46443" s="258"/>
    </row>
    <row r="46444" spans="1:26" ht="12.75" customHeight="1" x14ac:dyDescent="0.2">
      <c r="A46444" s="258"/>
      <c r="Z46444" s="258"/>
    </row>
    <row r="46445" spans="1:26" ht="12.75" customHeight="1" x14ac:dyDescent="0.2">
      <c r="A46445" s="258"/>
      <c r="Z46445" s="258"/>
    </row>
    <row r="46446" spans="1:26" ht="12.75" customHeight="1" x14ac:dyDescent="0.2">
      <c r="A46446" s="258"/>
      <c r="Z46446" s="258"/>
    </row>
    <row r="46447" spans="1:26" ht="12.75" customHeight="1" x14ac:dyDescent="0.2">
      <c r="A46447" s="258"/>
      <c r="Z46447" s="258"/>
    </row>
    <row r="46448" spans="1:26" ht="12.75" customHeight="1" x14ac:dyDescent="0.2">
      <c r="A46448" s="258"/>
      <c r="Z46448" s="258"/>
    </row>
    <row r="46449" spans="1:26" ht="12.75" customHeight="1" x14ac:dyDescent="0.2">
      <c r="A46449" s="258"/>
      <c r="Z46449" s="258"/>
    </row>
    <row r="46450" spans="1:26" ht="12.75" customHeight="1" x14ac:dyDescent="0.2">
      <c r="A46450" s="258"/>
      <c r="Z46450" s="258"/>
    </row>
    <row r="46451" spans="1:26" ht="12.75" customHeight="1" x14ac:dyDescent="0.2">
      <c r="A46451" s="258"/>
      <c r="Z46451" s="258"/>
    </row>
    <row r="46452" spans="1:26" ht="12.75" customHeight="1" x14ac:dyDescent="0.2">
      <c r="A46452" s="258"/>
      <c r="Z46452" s="258"/>
    </row>
    <row r="46453" spans="1:26" ht="12.75" customHeight="1" x14ac:dyDescent="0.2">
      <c r="A46453" s="258"/>
      <c r="Z46453" s="258"/>
    </row>
    <row r="46454" spans="1:26" ht="12.75" customHeight="1" x14ac:dyDescent="0.2">
      <c r="A46454" s="258"/>
      <c r="Z46454" s="258"/>
    </row>
    <row r="46455" spans="1:26" ht="12.75" customHeight="1" x14ac:dyDescent="0.2">
      <c r="A46455" s="258"/>
      <c r="Z46455" s="258"/>
    </row>
    <row r="46456" spans="1:26" ht="12.75" customHeight="1" x14ac:dyDescent="0.2">
      <c r="A46456" s="258"/>
      <c r="Z46456" s="258"/>
    </row>
    <row r="46457" spans="1:26" ht="12.75" customHeight="1" x14ac:dyDescent="0.2">
      <c r="A46457" s="258"/>
      <c r="Z46457" s="258"/>
    </row>
    <row r="46458" spans="1:26" ht="12.75" customHeight="1" x14ac:dyDescent="0.2">
      <c r="A46458" s="258"/>
      <c r="Z46458" s="258"/>
    </row>
    <row r="46459" spans="1:26" ht="12.75" customHeight="1" x14ac:dyDescent="0.2">
      <c r="A46459" s="258"/>
      <c r="Z46459" s="258"/>
    </row>
    <row r="46460" spans="1:26" ht="12.75" customHeight="1" x14ac:dyDescent="0.2">
      <c r="A46460" s="258"/>
      <c r="Z46460" s="258"/>
    </row>
    <row r="46461" spans="1:26" ht="12.75" customHeight="1" x14ac:dyDescent="0.2">
      <c r="A46461" s="258"/>
      <c r="Z46461" s="258"/>
    </row>
    <row r="46462" spans="1:26" ht="12.75" customHeight="1" x14ac:dyDescent="0.2">
      <c r="A46462" s="258"/>
      <c r="Z46462" s="258"/>
    </row>
    <row r="46463" spans="1:26" ht="12.75" customHeight="1" x14ac:dyDescent="0.2">
      <c r="A46463" s="258"/>
      <c r="Z46463" s="258"/>
    </row>
    <row r="46464" spans="1:26" ht="12.75" customHeight="1" x14ac:dyDescent="0.2">
      <c r="A46464" s="258"/>
      <c r="Z46464" s="258"/>
    </row>
    <row r="46465" spans="1:26" ht="12.75" customHeight="1" x14ac:dyDescent="0.2">
      <c r="A46465" s="258"/>
      <c r="Z46465" s="258"/>
    </row>
    <row r="46466" spans="1:26" ht="12.75" customHeight="1" x14ac:dyDescent="0.2">
      <c r="A46466" s="258"/>
      <c r="Z46466" s="258"/>
    </row>
    <row r="46467" spans="1:26" ht="12.75" customHeight="1" x14ac:dyDescent="0.2">
      <c r="A46467" s="258"/>
      <c r="Z46467" s="258"/>
    </row>
    <row r="46468" spans="1:26" ht="12.75" customHeight="1" x14ac:dyDescent="0.2">
      <c r="A46468" s="258"/>
      <c r="Z46468" s="258"/>
    </row>
    <row r="46469" spans="1:26" ht="12.75" customHeight="1" x14ac:dyDescent="0.2">
      <c r="A46469" s="258"/>
      <c r="Z46469" s="258"/>
    </row>
    <row r="46470" spans="1:26" ht="12.75" customHeight="1" x14ac:dyDescent="0.2">
      <c r="A46470" s="258"/>
      <c r="Z46470" s="258"/>
    </row>
    <row r="46471" spans="1:26" ht="12.75" customHeight="1" x14ac:dyDescent="0.2">
      <c r="A46471" s="258"/>
      <c r="Z46471" s="258"/>
    </row>
    <row r="46472" spans="1:26" ht="12.75" customHeight="1" x14ac:dyDescent="0.2">
      <c r="A46472" s="258"/>
      <c r="Z46472" s="258"/>
    </row>
    <row r="46473" spans="1:26" ht="12.75" customHeight="1" x14ac:dyDescent="0.2">
      <c r="A46473" s="258"/>
      <c r="Z46473" s="258"/>
    </row>
    <row r="46474" spans="1:26" ht="12.75" customHeight="1" x14ac:dyDescent="0.2">
      <c r="A46474" s="258"/>
      <c r="Z46474" s="258"/>
    </row>
    <row r="46475" spans="1:26" ht="12.75" customHeight="1" x14ac:dyDescent="0.2">
      <c r="A46475" s="258"/>
      <c r="Z46475" s="258"/>
    </row>
    <row r="46476" spans="1:26" ht="12.75" customHeight="1" x14ac:dyDescent="0.2">
      <c r="A46476" s="258"/>
      <c r="Z46476" s="258"/>
    </row>
    <row r="46477" spans="1:26" ht="12.75" customHeight="1" x14ac:dyDescent="0.2">
      <c r="A46477" s="258"/>
      <c r="Z46477" s="258"/>
    </row>
    <row r="46478" spans="1:26" ht="12.75" customHeight="1" x14ac:dyDescent="0.2">
      <c r="A46478" s="258"/>
      <c r="Z46478" s="258"/>
    </row>
    <row r="46479" spans="1:26" ht="12.75" customHeight="1" x14ac:dyDescent="0.2">
      <c r="A46479" s="258"/>
      <c r="Z46479" s="258"/>
    </row>
    <row r="46480" spans="1:26" ht="12.75" customHeight="1" x14ac:dyDescent="0.2">
      <c r="A46480" s="258"/>
      <c r="Z46480" s="258"/>
    </row>
    <row r="46481" spans="1:26" ht="12.75" customHeight="1" x14ac:dyDescent="0.2">
      <c r="A46481" s="258"/>
      <c r="Z46481" s="258"/>
    </row>
    <row r="46482" spans="1:26" ht="12.75" customHeight="1" x14ac:dyDescent="0.2">
      <c r="A46482" s="258"/>
      <c r="Z46482" s="258"/>
    </row>
    <row r="46483" spans="1:26" ht="12.75" customHeight="1" x14ac:dyDescent="0.2">
      <c r="A46483" s="258"/>
      <c r="Z46483" s="258"/>
    </row>
    <row r="46484" spans="1:26" ht="12.75" customHeight="1" x14ac:dyDescent="0.2">
      <c r="A46484" s="258"/>
      <c r="Z46484" s="258"/>
    </row>
    <row r="46485" spans="1:26" ht="12.75" customHeight="1" x14ac:dyDescent="0.2">
      <c r="A46485" s="258"/>
      <c r="Z46485" s="258"/>
    </row>
    <row r="46486" spans="1:26" ht="12.75" customHeight="1" x14ac:dyDescent="0.2">
      <c r="A46486" s="258"/>
      <c r="Z46486" s="258"/>
    </row>
    <row r="46487" spans="1:26" ht="12.75" customHeight="1" x14ac:dyDescent="0.2">
      <c r="A46487" s="258"/>
      <c r="Z46487" s="258"/>
    </row>
    <row r="46488" spans="1:26" ht="12.75" customHeight="1" x14ac:dyDescent="0.2">
      <c r="A46488" s="258"/>
      <c r="Z46488" s="258"/>
    </row>
    <row r="46489" spans="1:26" ht="12.75" customHeight="1" x14ac:dyDescent="0.2">
      <c r="A46489" s="258"/>
      <c r="Z46489" s="258"/>
    </row>
    <row r="46490" spans="1:26" ht="12.75" customHeight="1" x14ac:dyDescent="0.2">
      <c r="A46490" s="258"/>
      <c r="Z46490" s="258"/>
    </row>
    <row r="46491" spans="1:26" ht="12.75" customHeight="1" x14ac:dyDescent="0.2">
      <c r="A46491" s="258"/>
      <c r="Z46491" s="258"/>
    </row>
    <row r="46492" spans="1:26" ht="12.75" customHeight="1" x14ac:dyDescent="0.2">
      <c r="A46492" s="258"/>
      <c r="Z46492" s="258"/>
    </row>
    <row r="46493" spans="1:26" ht="12.75" customHeight="1" x14ac:dyDescent="0.2">
      <c r="A46493" s="258"/>
      <c r="Z46493" s="258"/>
    </row>
    <row r="46494" spans="1:26" ht="12.75" customHeight="1" x14ac:dyDescent="0.2">
      <c r="A46494" s="258"/>
      <c r="Z46494" s="258"/>
    </row>
    <row r="46495" spans="1:26" ht="12.75" customHeight="1" x14ac:dyDescent="0.2">
      <c r="A46495" s="258"/>
      <c r="Z46495" s="258"/>
    </row>
    <row r="46496" spans="1:26" ht="12.75" customHeight="1" x14ac:dyDescent="0.2">
      <c r="A46496" s="258"/>
      <c r="Z46496" s="258"/>
    </row>
    <row r="46497" spans="1:26" ht="12.75" customHeight="1" x14ac:dyDescent="0.2">
      <c r="A46497" s="258"/>
      <c r="Z46497" s="258"/>
    </row>
    <row r="46498" spans="1:26" ht="12.75" customHeight="1" x14ac:dyDescent="0.2">
      <c r="A46498" s="258"/>
      <c r="Z46498" s="258"/>
    </row>
    <row r="46499" spans="1:26" ht="12.75" customHeight="1" x14ac:dyDescent="0.2">
      <c r="A46499" s="258"/>
      <c r="Z46499" s="258"/>
    </row>
    <row r="46500" spans="1:26" ht="12.75" customHeight="1" x14ac:dyDescent="0.2">
      <c r="A46500" s="258"/>
      <c r="Z46500" s="258"/>
    </row>
    <row r="46501" spans="1:26" ht="12.75" customHeight="1" x14ac:dyDescent="0.2">
      <c r="A46501" s="258"/>
      <c r="Z46501" s="258"/>
    </row>
    <row r="46502" spans="1:26" ht="12.75" customHeight="1" x14ac:dyDescent="0.2">
      <c r="A46502" s="258"/>
      <c r="Z46502" s="258"/>
    </row>
    <row r="46503" spans="1:26" ht="12.75" customHeight="1" x14ac:dyDescent="0.2">
      <c r="A46503" s="258"/>
      <c r="Z46503" s="258"/>
    </row>
    <row r="46504" spans="1:26" ht="12.75" customHeight="1" x14ac:dyDescent="0.2">
      <c r="A46504" s="258"/>
      <c r="Z46504" s="258"/>
    </row>
    <row r="46505" spans="1:26" ht="12.75" customHeight="1" x14ac:dyDescent="0.2">
      <c r="A46505" s="258"/>
      <c r="Z46505" s="258"/>
    </row>
    <row r="46506" spans="1:26" ht="12.75" customHeight="1" x14ac:dyDescent="0.2">
      <c r="A46506" s="258"/>
      <c r="Z46506" s="258"/>
    </row>
    <row r="46507" spans="1:26" ht="12.75" customHeight="1" x14ac:dyDescent="0.2">
      <c r="A46507" s="258"/>
      <c r="Z46507" s="258"/>
    </row>
    <row r="46508" spans="1:26" ht="12.75" customHeight="1" x14ac:dyDescent="0.2">
      <c r="A46508" s="258"/>
      <c r="Z46508" s="258"/>
    </row>
    <row r="46509" spans="1:26" ht="12.75" customHeight="1" x14ac:dyDescent="0.2">
      <c r="A46509" s="258"/>
      <c r="Z46509" s="258"/>
    </row>
    <row r="46510" spans="1:26" ht="12.75" customHeight="1" x14ac:dyDescent="0.2">
      <c r="A46510" s="258"/>
      <c r="Z46510" s="258"/>
    </row>
    <row r="46511" spans="1:26" ht="12.75" customHeight="1" x14ac:dyDescent="0.2">
      <c r="A46511" s="258"/>
      <c r="Z46511" s="258"/>
    </row>
    <row r="46512" spans="1:26" ht="12.75" customHeight="1" x14ac:dyDescent="0.2">
      <c r="A46512" s="258"/>
      <c r="Z46512" s="258"/>
    </row>
    <row r="46513" spans="1:26" ht="12.75" customHeight="1" x14ac:dyDescent="0.2">
      <c r="A46513" s="258"/>
      <c r="Z46513" s="258"/>
    </row>
    <row r="46514" spans="1:26" ht="12.75" customHeight="1" x14ac:dyDescent="0.2">
      <c r="A46514" s="258"/>
      <c r="Z46514" s="258"/>
    </row>
    <row r="46515" spans="1:26" ht="12.75" customHeight="1" x14ac:dyDescent="0.2">
      <c r="A46515" s="258"/>
      <c r="Z46515" s="258"/>
    </row>
    <row r="46516" spans="1:26" ht="12.75" customHeight="1" x14ac:dyDescent="0.2">
      <c r="A46516" s="258"/>
      <c r="Z46516" s="258"/>
    </row>
    <row r="46517" spans="1:26" ht="12.75" customHeight="1" x14ac:dyDescent="0.2">
      <c r="A46517" s="258"/>
      <c r="Z46517" s="258"/>
    </row>
    <row r="46518" spans="1:26" ht="12.75" customHeight="1" x14ac:dyDescent="0.2">
      <c r="A46518" s="258"/>
      <c r="Z46518" s="258"/>
    </row>
    <row r="46519" spans="1:26" ht="12.75" customHeight="1" x14ac:dyDescent="0.2">
      <c r="A46519" s="258"/>
      <c r="Z46519" s="258"/>
    </row>
    <row r="46520" spans="1:26" ht="12.75" customHeight="1" x14ac:dyDescent="0.2">
      <c r="A46520" s="258"/>
      <c r="Z46520" s="258"/>
    </row>
    <row r="46521" spans="1:26" ht="12.75" customHeight="1" x14ac:dyDescent="0.2">
      <c r="A46521" s="258"/>
      <c r="Z46521" s="258"/>
    </row>
    <row r="46522" spans="1:26" ht="12.75" customHeight="1" x14ac:dyDescent="0.2">
      <c r="A46522" s="258"/>
      <c r="Z46522" s="258"/>
    </row>
    <row r="46523" spans="1:26" ht="12.75" customHeight="1" x14ac:dyDescent="0.2">
      <c r="A46523" s="258"/>
      <c r="Z46523" s="258"/>
    </row>
    <row r="46524" spans="1:26" ht="12.75" customHeight="1" x14ac:dyDescent="0.2">
      <c r="A46524" s="258"/>
      <c r="Z46524" s="258"/>
    </row>
    <row r="46525" spans="1:26" ht="12.75" customHeight="1" x14ac:dyDescent="0.2">
      <c r="A46525" s="258"/>
      <c r="Z46525" s="258"/>
    </row>
    <row r="46526" spans="1:26" ht="12.75" customHeight="1" x14ac:dyDescent="0.2">
      <c r="A46526" s="258"/>
      <c r="Z46526" s="258"/>
    </row>
    <row r="46527" spans="1:26" ht="12.75" customHeight="1" x14ac:dyDescent="0.2">
      <c r="A46527" s="258"/>
      <c r="Z46527" s="258"/>
    </row>
    <row r="46528" spans="1:26" ht="12.75" customHeight="1" x14ac:dyDescent="0.2">
      <c r="A46528" s="258"/>
      <c r="Z46528" s="258"/>
    </row>
    <row r="46529" spans="1:26" ht="12.75" customHeight="1" x14ac:dyDescent="0.2">
      <c r="A46529" s="258"/>
      <c r="Z46529" s="258"/>
    </row>
    <row r="46530" spans="1:26" ht="12.75" customHeight="1" x14ac:dyDescent="0.2">
      <c r="A46530" s="258"/>
      <c r="Z46530" s="258"/>
    </row>
    <row r="46531" spans="1:26" ht="12.75" customHeight="1" x14ac:dyDescent="0.2">
      <c r="A46531" s="258"/>
      <c r="Z46531" s="258"/>
    </row>
    <row r="46532" spans="1:26" ht="12.75" customHeight="1" x14ac:dyDescent="0.2">
      <c r="A46532" s="258"/>
      <c r="Z46532" s="258"/>
    </row>
    <row r="46533" spans="1:26" ht="12.75" customHeight="1" x14ac:dyDescent="0.2">
      <c r="A46533" s="258"/>
      <c r="Z46533" s="258"/>
    </row>
    <row r="46534" spans="1:26" ht="12.75" customHeight="1" x14ac:dyDescent="0.2">
      <c r="A46534" s="258"/>
      <c r="Z46534" s="258"/>
    </row>
    <row r="46535" spans="1:26" ht="12.75" customHeight="1" x14ac:dyDescent="0.2">
      <c r="A46535" s="258"/>
      <c r="Z46535" s="258"/>
    </row>
    <row r="46536" spans="1:26" ht="12.75" customHeight="1" x14ac:dyDescent="0.2">
      <c r="A46536" s="258"/>
      <c r="Z46536" s="258"/>
    </row>
    <row r="46537" spans="1:26" ht="12.75" customHeight="1" x14ac:dyDescent="0.2">
      <c r="A46537" s="258"/>
      <c r="Z46537" s="258"/>
    </row>
    <row r="46538" spans="1:26" ht="12.75" customHeight="1" x14ac:dyDescent="0.2">
      <c r="A46538" s="258"/>
      <c r="Z46538" s="258"/>
    </row>
    <row r="46539" spans="1:26" ht="12.75" customHeight="1" x14ac:dyDescent="0.2">
      <c r="A46539" s="258"/>
      <c r="Z46539" s="258"/>
    </row>
    <row r="46540" spans="1:26" ht="12.75" customHeight="1" x14ac:dyDescent="0.2">
      <c r="A46540" s="258"/>
      <c r="Z46540" s="258"/>
    </row>
    <row r="46541" spans="1:26" ht="12.75" customHeight="1" x14ac:dyDescent="0.2">
      <c r="A46541" s="258"/>
      <c r="Z46541" s="258"/>
    </row>
    <row r="46542" spans="1:26" ht="12.75" customHeight="1" x14ac:dyDescent="0.2">
      <c r="A46542" s="258"/>
      <c r="Z46542" s="258"/>
    </row>
    <row r="46543" spans="1:26" ht="12.75" customHeight="1" x14ac:dyDescent="0.2">
      <c r="A46543" s="258"/>
      <c r="Z46543" s="258"/>
    </row>
    <row r="46544" spans="1:26" ht="12.75" customHeight="1" x14ac:dyDescent="0.2">
      <c r="A46544" s="258"/>
      <c r="Z46544" s="258"/>
    </row>
    <row r="46545" spans="1:26" ht="12.75" customHeight="1" x14ac:dyDescent="0.2">
      <c r="A46545" s="258"/>
      <c r="Z46545" s="258"/>
    </row>
    <row r="46546" spans="1:26" ht="12.75" customHeight="1" x14ac:dyDescent="0.2">
      <c r="A46546" s="258"/>
      <c r="Z46546" s="258"/>
    </row>
    <row r="46547" spans="1:26" ht="12.75" customHeight="1" x14ac:dyDescent="0.2">
      <c r="A46547" s="258"/>
      <c r="Z46547" s="258"/>
    </row>
    <row r="46548" spans="1:26" ht="12.75" customHeight="1" x14ac:dyDescent="0.2">
      <c r="A46548" s="258"/>
      <c r="Z46548" s="258"/>
    </row>
    <row r="46549" spans="1:26" ht="12.75" customHeight="1" x14ac:dyDescent="0.2">
      <c r="A46549" s="258"/>
      <c r="Z46549" s="258"/>
    </row>
    <row r="46550" spans="1:26" ht="12.75" customHeight="1" x14ac:dyDescent="0.2">
      <c r="A46550" s="258"/>
      <c r="Z46550" s="258"/>
    </row>
    <row r="46551" spans="1:26" ht="12.75" customHeight="1" x14ac:dyDescent="0.2">
      <c r="A46551" s="258"/>
      <c r="Z46551" s="258"/>
    </row>
    <row r="46552" spans="1:26" ht="12.75" customHeight="1" x14ac:dyDescent="0.2">
      <c r="A46552" s="258"/>
      <c r="Z46552" s="258"/>
    </row>
    <row r="46553" spans="1:26" ht="12.75" customHeight="1" x14ac:dyDescent="0.2">
      <c r="A46553" s="258"/>
      <c r="Z46553" s="258"/>
    </row>
    <row r="46554" spans="1:26" ht="12.75" customHeight="1" x14ac:dyDescent="0.2">
      <c r="A46554" s="258"/>
      <c r="Z46554" s="258"/>
    </row>
    <row r="46555" spans="1:26" ht="12.75" customHeight="1" x14ac:dyDescent="0.2">
      <c r="A46555" s="258"/>
      <c r="Z46555" s="258"/>
    </row>
    <row r="46556" spans="1:26" ht="12.75" customHeight="1" x14ac:dyDescent="0.2">
      <c r="A46556" s="258"/>
      <c r="Z46556" s="258"/>
    </row>
    <row r="46557" spans="1:26" ht="12.75" customHeight="1" x14ac:dyDescent="0.2">
      <c r="A46557" s="258"/>
      <c r="Z46557" s="258"/>
    </row>
    <row r="46558" spans="1:26" ht="12.75" customHeight="1" x14ac:dyDescent="0.2">
      <c r="A46558" s="258"/>
      <c r="Z46558" s="258"/>
    </row>
    <row r="46559" spans="1:26" ht="12.75" customHeight="1" x14ac:dyDescent="0.2">
      <c r="A46559" s="258"/>
      <c r="Z46559" s="258"/>
    </row>
    <row r="46560" spans="1:26" ht="12.75" customHeight="1" x14ac:dyDescent="0.2">
      <c r="A46560" s="258"/>
      <c r="Z46560" s="258"/>
    </row>
    <row r="46561" spans="1:26" ht="12.75" customHeight="1" x14ac:dyDescent="0.2">
      <c r="A46561" s="258"/>
      <c r="Z46561" s="258"/>
    </row>
    <row r="46562" spans="1:26" ht="12.75" customHeight="1" x14ac:dyDescent="0.2">
      <c r="A46562" s="258"/>
      <c r="Z46562" s="258"/>
    </row>
    <row r="46563" spans="1:26" ht="12.75" customHeight="1" x14ac:dyDescent="0.2">
      <c r="A46563" s="258"/>
      <c r="Z46563" s="258"/>
    </row>
    <row r="46564" spans="1:26" ht="12.75" customHeight="1" x14ac:dyDescent="0.2">
      <c r="A46564" s="258"/>
      <c r="Z46564" s="258"/>
    </row>
    <row r="46565" spans="1:26" ht="12.75" customHeight="1" x14ac:dyDescent="0.2">
      <c r="A46565" s="258"/>
      <c r="Z46565" s="258"/>
    </row>
    <row r="46566" spans="1:26" ht="12.75" customHeight="1" x14ac:dyDescent="0.2">
      <c r="A46566" s="258"/>
      <c r="Z46566" s="258"/>
    </row>
    <row r="46567" spans="1:26" ht="12.75" customHeight="1" x14ac:dyDescent="0.2">
      <c r="A46567" s="258"/>
      <c r="Z46567" s="258"/>
    </row>
    <row r="46568" spans="1:26" ht="12.75" customHeight="1" x14ac:dyDescent="0.2">
      <c r="A46568" s="258"/>
      <c r="Z46568" s="258"/>
    </row>
    <row r="46569" spans="1:26" ht="12.75" customHeight="1" x14ac:dyDescent="0.2">
      <c r="A46569" s="258"/>
      <c r="Z46569" s="258"/>
    </row>
    <row r="46570" spans="1:26" ht="12.75" customHeight="1" x14ac:dyDescent="0.2">
      <c r="A46570" s="258"/>
      <c r="Z46570" s="258"/>
    </row>
    <row r="46571" spans="1:26" ht="12.75" customHeight="1" x14ac:dyDescent="0.2">
      <c r="A46571" s="258"/>
      <c r="Z46571" s="258"/>
    </row>
    <row r="46572" spans="1:26" ht="12.75" customHeight="1" x14ac:dyDescent="0.2">
      <c r="A46572" s="258"/>
      <c r="Z46572" s="258"/>
    </row>
    <row r="46573" spans="1:26" ht="12.75" customHeight="1" x14ac:dyDescent="0.2">
      <c r="A46573" s="258"/>
      <c r="Z46573" s="258"/>
    </row>
    <row r="46574" spans="1:26" ht="12.75" customHeight="1" x14ac:dyDescent="0.2">
      <c r="A46574" s="258"/>
      <c r="Z46574" s="258"/>
    </row>
    <row r="46575" spans="1:26" ht="12.75" customHeight="1" x14ac:dyDescent="0.2">
      <c r="A46575" s="258"/>
      <c r="Z46575" s="258"/>
    </row>
    <row r="46576" spans="1:26" ht="12.75" customHeight="1" x14ac:dyDescent="0.2">
      <c r="A46576" s="258"/>
      <c r="Z46576" s="258"/>
    </row>
    <row r="46577" spans="1:26" ht="12.75" customHeight="1" x14ac:dyDescent="0.2">
      <c r="A46577" s="258"/>
      <c r="Z46577" s="258"/>
    </row>
    <row r="46578" spans="1:26" ht="12.75" customHeight="1" x14ac:dyDescent="0.2">
      <c r="A46578" s="258"/>
      <c r="Z46578" s="258"/>
    </row>
    <row r="46579" spans="1:26" ht="12.75" customHeight="1" x14ac:dyDescent="0.2">
      <c r="A46579" s="258"/>
      <c r="Z46579" s="258"/>
    </row>
    <row r="46580" spans="1:26" ht="12.75" customHeight="1" x14ac:dyDescent="0.2">
      <c r="A46580" s="258"/>
      <c r="Z46580" s="258"/>
    </row>
    <row r="46581" spans="1:26" ht="12.75" customHeight="1" x14ac:dyDescent="0.2">
      <c r="A46581" s="258"/>
      <c r="Z46581" s="258"/>
    </row>
    <row r="46582" spans="1:26" ht="12.75" customHeight="1" x14ac:dyDescent="0.2">
      <c r="A46582" s="258"/>
      <c r="Z46582" s="258"/>
    </row>
    <row r="46583" spans="1:26" ht="12.75" customHeight="1" x14ac:dyDescent="0.2">
      <c r="A46583" s="258"/>
      <c r="Z46583" s="258"/>
    </row>
    <row r="46584" spans="1:26" ht="12.75" customHeight="1" x14ac:dyDescent="0.2">
      <c r="A46584" s="258"/>
      <c r="Z46584" s="258"/>
    </row>
    <row r="46585" spans="1:26" ht="12.75" customHeight="1" x14ac:dyDescent="0.2">
      <c r="A46585" s="258"/>
      <c r="Z46585" s="258"/>
    </row>
    <row r="46586" spans="1:26" ht="12.75" customHeight="1" x14ac:dyDescent="0.2">
      <c r="A46586" s="258"/>
      <c r="Z46586" s="258"/>
    </row>
    <row r="46587" spans="1:26" ht="12.75" customHeight="1" x14ac:dyDescent="0.2">
      <c r="A46587" s="258"/>
      <c r="Z46587" s="258"/>
    </row>
    <row r="46588" spans="1:26" ht="12.75" customHeight="1" x14ac:dyDescent="0.2">
      <c r="A46588" s="258"/>
      <c r="Z46588" s="258"/>
    </row>
    <row r="46589" spans="1:26" ht="12.75" customHeight="1" x14ac:dyDescent="0.2">
      <c r="A46589" s="258"/>
      <c r="Z46589" s="258"/>
    </row>
    <row r="46590" spans="1:26" ht="12.75" customHeight="1" x14ac:dyDescent="0.2">
      <c r="A46590" s="258"/>
      <c r="Z46590" s="258"/>
    </row>
    <row r="46591" spans="1:26" ht="12.75" customHeight="1" x14ac:dyDescent="0.2">
      <c r="A46591" s="258"/>
      <c r="Z46591" s="258"/>
    </row>
    <row r="46592" spans="1:26" ht="12.75" customHeight="1" x14ac:dyDescent="0.2">
      <c r="A46592" s="258"/>
      <c r="Z46592" s="258"/>
    </row>
    <row r="46593" spans="1:26" ht="12.75" customHeight="1" x14ac:dyDescent="0.2">
      <c r="A46593" s="258"/>
      <c r="Z46593" s="258"/>
    </row>
    <row r="46594" spans="1:26" ht="12.75" customHeight="1" x14ac:dyDescent="0.2">
      <c r="A46594" s="258"/>
      <c r="Z46594" s="258"/>
    </row>
    <row r="46595" spans="1:26" ht="12.75" customHeight="1" x14ac:dyDescent="0.2">
      <c r="A46595" s="258"/>
      <c r="Z46595" s="258"/>
    </row>
    <row r="46596" spans="1:26" ht="12.75" customHeight="1" x14ac:dyDescent="0.2">
      <c r="A46596" s="258"/>
      <c r="Z46596" s="258"/>
    </row>
    <row r="46597" spans="1:26" ht="12.75" customHeight="1" x14ac:dyDescent="0.2">
      <c r="A46597" s="258"/>
      <c r="Z46597" s="258"/>
    </row>
    <row r="46598" spans="1:26" ht="12.75" customHeight="1" x14ac:dyDescent="0.2">
      <c r="A46598" s="258"/>
      <c r="Z46598" s="258"/>
    </row>
    <row r="46599" spans="1:26" ht="12.75" customHeight="1" x14ac:dyDescent="0.2">
      <c r="A46599" s="258"/>
      <c r="Z46599" s="258"/>
    </row>
    <row r="46600" spans="1:26" ht="12.75" customHeight="1" x14ac:dyDescent="0.2">
      <c r="A46600" s="258"/>
      <c r="Z46600" s="258"/>
    </row>
    <row r="46601" spans="1:26" ht="12.75" customHeight="1" x14ac:dyDescent="0.2">
      <c r="A46601" s="258"/>
      <c r="Z46601" s="258"/>
    </row>
    <row r="46602" spans="1:26" ht="12.75" customHeight="1" x14ac:dyDescent="0.2">
      <c r="A46602" s="258"/>
      <c r="Z46602" s="258"/>
    </row>
    <row r="46603" spans="1:26" ht="12.75" customHeight="1" x14ac:dyDescent="0.2">
      <c r="A46603" s="258"/>
      <c r="Z46603" s="258"/>
    </row>
    <row r="46604" spans="1:26" ht="12.75" customHeight="1" x14ac:dyDescent="0.2">
      <c r="A46604" s="258"/>
      <c r="Z46604" s="258"/>
    </row>
    <row r="46605" spans="1:26" ht="12.75" customHeight="1" x14ac:dyDescent="0.2">
      <c r="A46605" s="258"/>
      <c r="Z46605" s="258"/>
    </row>
    <row r="46606" spans="1:26" ht="12.75" customHeight="1" x14ac:dyDescent="0.2">
      <c r="A46606" s="258"/>
      <c r="Z46606" s="258"/>
    </row>
    <row r="46607" spans="1:26" ht="12.75" customHeight="1" x14ac:dyDescent="0.2">
      <c r="A46607" s="258"/>
      <c r="Z46607" s="258"/>
    </row>
    <row r="46608" spans="1:26" ht="12.75" customHeight="1" x14ac:dyDescent="0.2">
      <c r="A46608" s="258"/>
      <c r="Z46608" s="258"/>
    </row>
    <row r="46609" spans="1:26" ht="12.75" customHeight="1" x14ac:dyDescent="0.2">
      <c r="A46609" s="258"/>
      <c r="Z46609" s="258"/>
    </row>
    <row r="46610" spans="1:26" ht="12.75" customHeight="1" x14ac:dyDescent="0.2">
      <c r="A46610" s="258"/>
      <c r="Z46610" s="258"/>
    </row>
    <row r="46611" spans="1:26" ht="12.75" customHeight="1" x14ac:dyDescent="0.2">
      <c r="A46611" s="258"/>
      <c r="Z46611" s="258"/>
    </row>
    <row r="46612" spans="1:26" ht="12.75" customHeight="1" x14ac:dyDescent="0.2">
      <c r="A46612" s="258"/>
      <c r="Z46612" s="258"/>
    </row>
    <row r="46613" spans="1:26" ht="12.75" customHeight="1" x14ac:dyDescent="0.2">
      <c r="A46613" s="258"/>
      <c r="Z46613" s="258"/>
    </row>
    <row r="46614" spans="1:26" ht="12.75" customHeight="1" x14ac:dyDescent="0.2">
      <c r="A46614" s="258"/>
      <c r="Z46614" s="258"/>
    </row>
    <row r="46615" spans="1:26" ht="12.75" customHeight="1" x14ac:dyDescent="0.2">
      <c r="A46615" s="258"/>
      <c r="Z46615" s="258"/>
    </row>
    <row r="46616" spans="1:26" ht="12.75" customHeight="1" x14ac:dyDescent="0.2">
      <c r="A46616" s="258"/>
      <c r="Z46616" s="258"/>
    </row>
    <row r="46617" spans="1:26" ht="12.75" customHeight="1" x14ac:dyDescent="0.2">
      <c r="A46617" s="258"/>
      <c r="Z46617" s="258"/>
    </row>
    <row r="46618" spans="1:26" ht="12.75" customHeight="1" x14ac:dyDescent="0.2">
      <c r="A46618" s="258"/>
      <c r="Z46618" s="258"/>
    </row>
    <row r="46619" spans="1:26" ht="12.75" customHeight="1" x14ac:dyDescent="0.2">
      <c r="A46619" s="258"/>
      <c r="Z46619" s="258"/>
    </row>
    <row r="46620" spans="1:26" ht="12.75" customHeight="1" x14ac:dyDescent="0.2">
      <c r="A46620" s="258"/>
      <c r="Z46620" s="258"/>
    </row>
    <row r="46621" spans="1:26" ht="12.75" customHeight="1" x14ac:dyDescent="0.2">
      <c r="A46621" s="258"/>
      <c r="Z46621" s="258"/>
    </row>
    <row r="46622" spans="1:26" ht="12.75" customHeight="1" x14ac:dyDescent="0.2">
      <c r="A46622" s="258"/>
      <c r="Z46622" s="258"/>
    </row>
    <row r="46623" spans="1:26" ht="12.75" customHeight="1" x14ac:dyDescent="0.2">
      <c r="A46623" s="258"/>
      <c r="Z46623" s="258"/>
    </row>
    <row r="46624" spans="1:26" ht="12.75" customHeight="1" x14ac:dyDescent="0.2">
      <c r="A46624" s="258"/>
      <c r="Z46624" s="258"/>
    </row>
    <row r="46625" spans="1:26" ht="12.75" customHeight="1" x14ac:dyDescent="0.2">
      <c r="A46625" s="258"/>
      <c r="Z46625" s="258"/>
    </row>
    <row r="46626" spans="1:26" ht="12.75" customHeight="1" x14ac:dyDescent="0.2">
      <c r="A46626" s="258"/>
      <c r="Z46626" s="258"/>
    </row>
    <row r="46627" spans="1:26" ht="12.75" customHeight="1" x14ac:dyDescent="0.2">
      <c r="A46627" s="258"/>
      <c r="Z46627" s="258"/>
    </row>
    <row r="46628" spans="1:26" ht="12.75" customHeight="1" x14ac:dyDescent="0.2">
      <c r="A46628" s="258"/>
      <c r="Z46628" s="258"/>
    </row>
    <row r="46629" spans="1:26" ht="12.75" customHeight="1" x14ac:dyDescent="0.2">
      <c r="A46629" s="258"/>
      <c r="Z46629" s="258"/>
    </row>
    <row r="46630" spans="1:26" ht="12.75" customHeight="1" x14ac:dyDescent="0.2">
      <c r="A46630" s="258"/>
      <c r="Z46630" s="258"/>
    </row>
    <row r="46631" spans="1:26" ht="12.75" customHeight="1" x14ac:dyDescent="0.2">
      <c r="A46631" s="258"/>
      <c r="Z46631" s="258"/>
    </row>
    <row r="46632" spans="1:26" ht="12.75" customHeight="1" x14ac:dyDescent="0.2">
      <c r="A46632" s="258"/>
      <c r="Z46632" s="258"/>
    </row>
    <row r="46633" spans="1:26" ht="12.75" customHeight="1" x14ac:dyDescent="0.2">
      <c r="A46633" s="258"/>
      <c r="Z46633" s="258"/>
    </row>
    <row r="46634" spans="1:26" ht="12.75" customHeight="1" x14ac:dyDescent="0.2">
      <c r="A46634" s="258"/>
      <c r="Z46634" s="258"/>
    </row>
    <row r="46635" spans="1:26" ht="12.75" customHeight="1" x14ac:dyDescent="0.2">
      <c r="A46635" s="258"/>
      <c r="Z46635" s="258"/>
    </row>
    <row r="46636" spans="1:26" ht="12.75" customHeight="1" x14ac:dyDescent="0.2">
      <c r="A46636" s="258"/>
      <c r="Z46636" s="258"/>
    </row>
    <row r="46637" spans="1:26" ht="12.75" customHeight="1" x14ac:dyDescent="0.2">
      <c r="A46637" s="258"/>
      <c r="Z46637" s="258"/>
    </row>
    <row r="46638" spans="1:26" ht="12.75" customHeight="1" x14ac:dyDescent="0.2">
      <c r="A46638" s="258"/>
      <c r="Z46638" s="258"/>
    </row>
    <row r="46639" spans="1:26" ht="12.75" customHeight="1" x14ac:dyDescent="0.2">
      <c r="A46639" s="258"/>
      <c r="Z46639" s="258"/>
    </row>
    <row r="46640" spans="1:26" ht="12.75" customHeight="1" x14ac:dyDescent="0.2">
      <c r="A46640" s="258"/>
      <c r="Z46640" s="258"/>
    </row>
    <row r="46641" spans="1:26" ht="12.75" customHeight="1" x14ac:dyDescent="0.2">
      <c r="A46641" s="258"/>
      <c r="Z46641" s="258"/>
    </row>
    <row r="46642" spans="1:26" ht="12.75" customHeight="1" x14ac:dyDescent="0.2">
      <c r="A46642" s="258"/>
      <c r="Z46642" s="258"/>
    </row>
    <row r="46643" spans="1:26" ht="12.75" customHeight="1" x14ac:dyDescent="0.2">
      <c r="A46643" s="258"/>
      <c r="Z46643" s="258"/>
    </row>
    <row r="46644" spans="1:26" ht="12.75" customHeight="1" x14ac:dyDescent="0.2">
      <c r="A46644" s="258"/>
      <c r="Z46644" s="258"/>
    </row>
    <row r="46645" spans="1:26" ht="12.75" customHeight="1" x14ac:dyDescent="0.2">
      <c r="A46645" s="258"/>
      <c r="Z46645" s="258"/>
    </row>
    <row r="46646" spans="1:26" ht="12.75" customHeight="1" x14ac:dyDescent="0.2">
      <c r="A46646" s="258"/>
      <c r="Z46646" s="258"/>
    </row>
    <row r="46647" spans="1:26" ht="12.75" customHeight="1" x14ac:dyDescent="0.2">
      <c r="A46647" s="258"/>
      <c r="Z46647" s="258"/>
    </row>
    <row r="46648" spans="1:26" ht="12.75" customHeight="1" x14ac:dyDescent="0.2">
      <c r="A46648" s="258"/>
      <c r="Z46648" s="258"/>
    </row>
    <row r="46649" spans="1:26" ht="12.75" customHeight="1" x14ac:dyDescent="0.2">
      <c r="A46649" s="258"/>
      <c r="Z46649" s="258"/>
    </row>
    <row r="46650" spans="1:26" ht="12.75" customHeight="1" x14ac:dyDescent="0.2">
      <c r="A46650" s="258"/>
      <c r="Z46650" s="258"/>
    </row>
    <row r="46651" spans="1:26" ht="12.75" customHeight="1" x14ac:dyDescent="0.2">
      <c r="A46651" s="258"/>
      <c r="Z46651" s="258"/>
    </row>
    <row r="46652" spans="1:26" ht="12.75" customHeight="1" x14ac:dyDescent="0.2">
      <c r="A46652" s="258"/>
      <c r="Z46652" s="258"/>
    </row>
    <row r="46653" spans="1:26" ht="12.75" customHeight="1" x14ac:dyDescent="0.2">
      <c r="A46653" s="258"/>
      <c r="Z46653" s="258"/>
    </row>
    <row r="46654" spans="1:26" ht="12.75" customHeight="1" x14ac:dyDescent="0.2">
      <c r="A46654" s="258"/>
      <c r="Z46654" s="258"/>
    </row>
    <row r="46655" spans="1:26" ht="12.75" customHeight="1" x14ac:dyDescent="0.2">
      <c r="A46655" s="258"/>
      <c r="Z46655" s="258"/>
    </row>
    <row r="46656" spans="1:26" ht="12.75" customHeight="1" x14ac:dyDescent="0.2">
      <c r="A46656" s="258"/>
      <c r="Z46656" s="258"/>
    </row>
    <row r="46657" spans="1:26" ht="12.75" customHeight="1" x14ac:dyDescent="0.2">
      <c r="A46657" s="258"/>
      <c r="Z46657" s="258"/>
    </row>
    <row r="46658" spans="1:26" ht="12.75" customHeight="1" x14ac:dyDescent="0.2">
      <c r="A46658" s="258"/>
      <c r="Z46658" s="258"/>
    </row>
    <row r="46659" spans="1:26" ht="12.75" customHeight="1" x14ac:dyDescent="0.2">
      <c r="A46659" s="258"/>
      <c r="Z46659" s="258"/>
    </row>
    <row r="46660" spans="1:26" ht="12.75" customHeight="1" x14ac:dyDescent="0.2">
      <c r="A46660" s="258"/>
      <c r="Z46660" s="258"/>
    </row>
    <row r="46661" spans="1:26" ht="12.75" customHeight="1" x14ac:dyDescent="0.2">
      <c r="A46661" s="258"/>
      <c r="Z46661" s="258"/>
    </row>
    <row r="46662" spans="1:26" ht="12.75" customHeight="1" x14ac:dyDescent="0.2">
      <c r="A46662" s="258"/>
      <c r="Z46662" s="258"/>
    </row>
    <row r="46663" spans="1:26" ht="12.75" customHeight="1" x14ac:dyDescent="0.2">
      <c r="A46663" s="258"/>
      <c r="Z46663" s="258"/>
    </row>
    <row r="46664" spans="1:26" ht="12.75" customHeight="1" x14ac:dyDescent="0.2">
      <c r="A46664" s="258"/>
      <c r="Z46664" s="258"/>
    </row>
    <row r="46665" spans="1:26" ht="12.75" customHeight="1" x14ac:dyDescent="0.2">
      <c r="A46665" s="258"/>
      <c r="Z46665" s="258"/>
    </row>
    <row r="46666" spans="1:26" ht="12.75" customHeight="1" x14ac:dyDescent="0.2">
      <c r="A46666" s="258"/>
      <c r="Z46666" s="258"/>
    </row>
    <row r="46667" spans="1:26" ht="12.75" customHeight="1" x14ac:dyDescent="0.2">
      <c r="A46667" s="258"/>
      <c r="Z46667" s="258"/>
    </row>
    <row r="46668" spans="1:26" ht="12.75" customHeight="1" x14ac:dyDescent="0.2">
      <c r="A46668" s="258"/>
      <c r="Z46668" s="258"/>
    </row>
    <row r="46669" spans="1:26" ht="12.75" customHeight="1" x14ac:dyDescent="0.2">
      <c r="A46669" s="258"/>
      <c r="Z46669" s="258"/>
    </row>
    <row r="46670" spans="1:26" ht="12.75" customHeight="1" x14ac:dyDescent="0.2">
      <c r="A46670" s="258"/>
      <c r="Z46670" s="258"/>
    </row>
    <row r="46671" spans="1:26" ht="12.75" customHeight="1" x14ac:dyDescent="0.2">
      <c r="A46671" s="258"/>
      <c r="Z46671" s="258"/>
    </row>
    <row r="46672" spans="1:26" ht="12.75" customHeight="1" x14ac:dyDescent="0.2">
      <c r="A46672" s="258"/>
      <c r="Z46672" s="258"/>
    </row>
    <row r="46673" spans="1:26" ht="12.75" customHeight="1" x14ac:dyDescent="0.2">
      <c r="A46673" s="258"/>
      <c r="Z46673" s="258"/>
    </row>
    <row r="46674" spans="1:26" ht="12.75" customHeight="1" x14ac:dyDescent="0.2">
      <c r="A46674" s="258"/>
      <c r="Z46674" s="258"/>
    </row>
    <row r="46675" spans="1:26" ht="12.75" customHeight="1" x14ac:dyDescent="0.2">
      <c r="A46675" s="258"/>
      <c r="Z46675" s="258"/>
    </row>
    <row r="46676" spans="1:26" ht="12.75" customHeight="1" x14ac:dyDescent="0.2">
      <c r="A46676" s="258"/>
      <c r="Z46676" s="258"/>
    </row>
    <row r="46677" spans="1:26" ht="12.75" customHeight="1" x14ac:dyDescent="0.2">
      <c r="A46677" s="258"/>
      <c r="Z46677" s="258"/>
    </row>
    <row r="46678" spans="1:26" ht="12.75" customHeight="1" x14ac:dyDescent="0.2">
      <c r="A46678" s="258"/>
      <c r="Z46678" s="258"/>
    </row>
    <row r="46679" spans="1:26" ht="12.75" customHeight="1" x14ac:dyDescent="0.2">
      <c r="A46679" s="258"/>
      <c r="Z46679" s="258"/>
    </row>
    <row r="46680" spans="1:26" ht="12.75" customHeight="1" x14ac:dyDescent="0.2">
      <c r="A46680" s="258"/>
      <c r="Z46680" s="258"/>
    </row>
    <row r="46681" spans="1:26" ht="12.75" customHeight="1" x14ac:dyDescent="0.2">
      <c r="A46681" s="258"/>
      <c r="Z46681" s="258"/>
    </row>
    <row r="46682" spans="1:26" ht="12.75" customHeight="1" x14ac:dyDescent="0.2">
      <c r="A46682" s="258"/>
      <c r="Z46682" s="258"/>
    </row>
    <row r="46683" spans="1:26" ht="12.75" customHeight="1" x14ac:dyDescent="0.2">
      <c r="A46683" s="258"/>
      <c r="Z46683" s="258"/>
    </row>
    <row r="46684" spans="1:26" ht="12.75" customHeight="1" x14ac:dyDescent="0.2">
      <c r="A46684" s="258"/>
      <c r="Z46684" s="258"/>
    </row>
    <row r="46685" spans="1:26" ht="12.75" customHeight="1" x14ac:dyDescent="0.2">
      <c r="A46685" s="258"/>
      <c r="Z46685" s="258"/>
    </row>
    <row r="46686" spans="1:26" ht="12.75" customHeight="1" x14ac:dyDescent="0.2">
      <c r="A46686" s="258"/>
      <c r="Z46686" s="258"/>
    </row>
    <row r="46687" spans="1:26" ht="12.75" customHeight="1" x14ac:dyDescent="0.2">
      <c r="A46687" s="258"/>
      <c r="Z46687" s="258"/>
    </row>
    <row r="46688" spans="1:26" ht="12.75" customHeight="1" x14ac:dyDescent="0.2">
      <c r="A46688" s="258"/>
      <c r="Z46688" s="258"/>
    </row>
    <row r="46689" spans="1:26" ht="12.75" customHeight="1" x14ac:dyDescent="0.2">
      <c r="A46689" s="258"/>
      <c r="Z46689" s="258"/>
    </row>
    <row r="46690" spans="1:26" ht="12.75" customHeight="1" x14ac:dyDescent="0.2">
      <c r="A46690" s="258"/>
      <c r="Z46690" s="258"/>
    </row>
    <row r="46691" spans="1:26" ht="12.75" customHeight="1" x14ac:dyDescent="0.2">
      <c r="A46691" s="258"/>
      <c r="Z46691" s="258"/>
    </row>
    <row r="46692" spans="1:26" ht="12.75" customHeight="1" x14ac:dyDescent="0.2">
      <c r="A46692" s="258"/>
      <c r="Z46692" s="258"/>
    </row>
    <row r="46693" spans="1:26" ht="12.75" customHeight="1" x14ac:dyDescent="0.2">
      <c r="A46693" s="258"/>
      <c r="Z46693" s="258"/>
    </row>
    <row r="46694" spans="1:26" ht="12.75" customHeight="1" x14ac:dyDescent="0.2">
      <c r="A46694" s="258"/>
      <c r="Z46694" s="258"/>
    </row>
    <row r="46695" spans="1:26" ht="12.75" customHeight="1" x14ac:dyDescent="0.2">
      <c r="A46695" s="258"/>
      <c r="Z46695" s="258"/>
    </row>
    <row r="46696" spans="1:26" ht="12.75" customHeight="1" x14ac:dyDescent="0.2">
      <c r="A46696" s="258"/>
      <c r="Z46696" s="258"/>
    </row>
    <row r="46697" spans="1:26" ht="12.75" customHeight="1" x14ac:dyDescent="0.2">
      <c r="A46697" s="258"/>
      <c r="Z46697" s="258"/>
    </row>
    <row r="46698" spans="1:26" ht="12.75" customHeight="1" x14ac:dyDescent="0.2">
      <c r="A46698" s="258"/>
      <c r="Z46698" s="258"/>
    </row>
    <row r="46699" spans="1:26" ht="12.75" customHeight="1" x14ac:dyDescent="0.2">
      <c r="A46699" s="258"/>
      <c r="Z46699" s="258"/>
    </row>
    <row r="46700" spans="1:26" ht="12.75" customHeight="1" x14ac:dyDescent="0.2">
      <c r="A46700" s="258"/>
      <c r="Z46700" s="258"/>
    </row>
    <row r="46701" spans="1:26" ht="12.75" customHeight="1" x14ac:dyDescent="0.2">
      <c r="A46701" s="258"/>
      <c r="Z46701" s="258"/>
    </row>
    <row r="46702" spans="1:26" ht="12.75" customHeight="1" x14ac:dyDescent="0.2">
      <c r="A46702" s="258"/>
      <c r="Z46702" s="258"/>
    </row>
    <row r="46703" spans="1:26" ht="12.75" customHeight="1" x14ac:dyDescent="0.2">
      <c r="A46703" s="258"/>
      <c r="Z46703" s="258"/>
    </row>
    <row r="46704" spans="1:26" ht="12.75" customHeight="1" x14ac:dyDescent="0.2">
      <c r="A46704" s="258"/>
      <c r="Z46704" s="258"/>
    </row>
    <row r="46705" spans="1:26" ht="12.75" customHeight="1" x14ac:dyDescent="0.2">
      <c r="A46705" s="258"/>
      <c r="Z46705" s="258"/>
    </row>
    <row r="46706" spans="1:26" ht="12.75" customHeight="1" x14ac:dyDescent="0.2">
      <c r="A46706" s="258"/>
      <c r="Z46706" s="258"/>
    </row>
    <row r="46707" spans="1:26" ht="12.75" customHeight="1" x14ac:dyDescent="0.2">
      <c r="A46707" s="258"/>
      <c r="Z46707" s="258"/>
    </row>
    <row r="46708" spans="1:26" ht="12.75" customHeight="1" x14ac:dyDescent="0.2">
      <c r="A46708" s="258"/>
      <c r="Z46708" s="258"/>
    </row>
    <row r="46709" spans="1:26" ht="12.75" customHeight="1" x14ac:dyDescent="0.2">
      <c r="A46709" s="258"/>
      <c r="Z46709" s="258"/>
    </row>
    <row r="46710" spans="1:26" ht="12.75" customHeight="1" x14ac:dyDescent="0.2">
      <c r="A46710" s="258"/>
      <c r="Z46710" s="258"/>
    </row>
    <row r="46711" spans="1:26" ht="12.75" customHeight="1" x14ac:dyDescent="0.2">
      <c r="A46711" s="258"/>
      <c r="Z46711" s="258"/>
    </row>
    <row r="46712" spans="1:26" ht="12.75" customHeight="1" x14ac:dyDescent="0.2">
      <c r="A46712" s="258"/>
      <c r="Z46712" s="258"/>
    </row>
    <row r="46713" spans="1:26" ht="12.75" customHeight="1" x14ac:dyDescent="0.2">
      <c r="A46713" s="258"/>
      <c r="Z46713" s="258"/>
    </row>
    <row r="46714" spans="1:26" ht="12.75" customHeight="1" x14ac:dyDescent="0.2">
      <c r="A46714" s="258"/>
      <c r="Z46714" s="258"/>
    </row>
    <row r="46715" spans="1:26" ht="12.75" customHeight="1" x14ac:dyDescent="0.2">
      <c r="A46715" s="258"/>
      <c r="Z46715" s="258"/>
    </row>
    <row r="46716" spans="1:26" ht="12.75" customHeight="1" x14ac:dyDescent="0.2">
      <c r="A46716" s="258"/>
      <c r="Z46716" s="258"/>
    </row>
    <row r="46717" spans="1:26" ht="12.75" customHeight="1" x14ac:dyDescent="0.2">
      <c r="A46717" s="258"/>
      <c r="Z46717" s="258"/>
    </row>
    <row r="46718" spans="1:26" ht="12.75" customHeight="1" x14ac:dyDescent="0.2">
      <c r="A46718" s="258"/>
      <c r="Z46718" s="258"/>
    </row>
    <row r="46719" spans="1:26" ht="12.75" customHeight="1" x14ac:dyDescent="0.2">
      <c r="A46719" s="258"/>
      <c r="Z46719" s="258"/>
    </row>
    <row r="46720" spans="1:26" ht="12.75" customHeight="1" x14ac:dyDescent="0.2">
      <c r="A46720" s="258"/>
      <c r="Z46720" s="258"/>
    </row>
    <row r="46721" spans="1:26" ht="12.75" customHeight="1" x14ac:dyDescent="0.2">
      <c r="A46721" s="258"/>
      <c r="Z46721" s="258"/>
    </row>
    <row r="46722" spans="1:26" ht="12.75" customHeight="1" x14ac:dyDescent="0.2">
      <c r="A46722" s="258"/>
      <c r="Z46722" s="258"/>
    </row>
    <row r="46723" spans="1:26" ht="12.75" customHeight="1" x14ac:dyDescent="0.2">
      <c r="A46723" s="258"/>
      <c r="Z46723" s="258"/>
    </row>
    <row r="46724" spans="1:26" ht="12.75" customHeight="1" x14ac:dyDescent="0.2">
      <c r="A46724" s="258"/>
      <c r="Z46724" s="258"/>
    </row>
    <row r="46725" spans="1:26" ht="12.75" customHeight="1" x14ac:dyDescent="0.2">
      <c r="A46725" s="258"/>
      <c r="Z46725" s="258"/>
    </row>
    <row r="46726" spans="1:26" ht="12.75" customHeight="1" x14ac:dyDescent="0.2">
      <c r="A46726" s="258"/>
      <c r="Z46726" s="258"/>
    </row>
    <row r="46727" spans="1:26" ht="12.75" customHeight="1" x14ac:dyDescent="0.2">
      <c r="A46727" s="258"/>
      <c r="Z46727" s="258"/>
    </row>
    <row r="46728" spans="1:26" ht="12.75" customHeight="1" x14ac:dyDescent="0.2">
      <c r="A46728" s="258"/>
      <c r="Z46728" s="258"/>
    </row>
    <row r="46729" spans="1:26" ht="12.75" customHeight="1" x14ac:dyDescent="0.2">
      <c r="A46729" s="258"/>
      <c r="Z46729" s="258"/>
    </row>
    <row r="46730" spans="1:26" ht="12.75" customHeight="1" x14ac:dyDescent="0.2">
      <c r="A46730" s="258"/>
      <c r="Z46730" s="258"/>
    </row>
    <row r="46731" spans="1:26" ht="12.75" customHeight="1" x14ac:dyDescent="0.2">
      <c r="A46731" s="258"/>
      <c r="Z46731" s="258"/>
    </row>
    <row r="46732" spans="1:26" ht="12.75" customHeight="1" x14ac:dyDescent="0.2">
      <c r="A46732" s="258"/>
      <c r="Z46732" s="258"/>
    </row>
    <row r="46733" spans="1:26" ht="12.75" customHeight="1" x14ac:dyDescent="0.2">
      <c r="A46733" s="258"/>
      <c r="Z46733" s="258"/>
    </row>
    <row r="46734" spans="1:26" ht="12.75" customHeight="1" x14ac:dyDescent="0.2">
      <c r="A46734" s="258"/>
      <c r="Z46734" s="258"/>
    </row>
    <row r="46735" spans="1:26" ht="12.75" customHeight="1" x14ac:dyDescent="0.2">
      <c r="A46735" s="258"/>
      <c r="Z46735" s="258"/>
    </row>
    <row r="46736" spans="1:26" ht="12.75" customHeight="1" x14ac:dyDescent="0.2">
      <c r="A46736" s="258"/>
      <c r="Z46736" s="258"/>
    </row>
    <row r="46737" spans="1:26" ht="12.75" customHeight="1" x14ac:dyDescent="0.2">
      <c r="A46737" s="258"/>
      <c r="Z46737" s="258"/>
    </row>
    <row r="46738" spans="1:26" ht="12.75" customHeight="1" x14ac:dyDescent="0.2">
      <c r="A46738" s="258"/>
      <c r="Z46738" s="258"/>
    </row>
    <row r="46739" spans="1:26" ht="12.75" customHeight="1" x14ac:dyDescent="0.2">
      <c r="A46739" s="258"/>
      <c r="Z46739" s="258"/>
    </row>
    <row r="46740" spans="1:26" ht="12.75" customHeight="1" x14ac:dyDescent="0.2">
      <c r="A46740" s="258"/>
      <c r="Z46740" s="258"/>
    </row>
    <row r="46741" spans="1:26" ht="12.75" customHeight="1" x14ac:dyDescent="0.2">
      <c r="A46741" s="258"/>
      <c r="Z46741" s="258"/>
    </row>
    <row r="46742" spans="1:26" ht="12.75" customHeight="1" x14ac:dyDescent="0.2">
      <c r="A46742" s="258"/>
      <c r="Z46742" s="258"/>
    </row>
    <row r="46743" spans="1:26" ht="12.75" customHeight="1" x14ac:dyDescent="0.2">
      <c r="A46743" s="258"/>
      <c r="Z46743" s="258"/>
    </row>
    <row r="46744" spans="1:26" ht="12.75" customHeight="1" x14ac:dyDescent="0.2">
      <c r="A46744" s="258"/>
      <c r="Z46744" s="258"/>
    </row>
    <row r="46745" spans="1:26" ht="12.75" customHeight="1" x14ac:dyDescent="0.2">
      <c r="A46745" s="258"/>
      <c r="Z46745" s="258"/>
    </row>
    <row r="46746" spans="1:26" ht="12.75" customHeight="1" x14ac:dyDescent="0.2">
      <c r="A46746" s="258"/>
      <c r="Z46746" s="258"/>
    </row>
    <row r="46747" spans="1:26" ht="12.75" customHeight="1" x14ac:dyDescent="0.2">
      <c r="A46747" s="258"/>
      <c r="Z46747" s="258"/>
    </row>
    <row r="46748" spans="1:26" ht="12.75" customHeight="1" x14ac:dyDescent="0.2">
      <c r="A46748" s="258"/>
      <c r="Z46748" s="258"/>
    </row>
    <row r="46749" spans="1:26" ht="12.75" customHeight="1" x14ac:dyDescent="0.2">
      <c r="A46749" s="258"/>
      <c r="Z46749" s="258"/>
    </row>
    <row r="46750" spans="1:26" ht="12.75" customHeight="1" x14ac:dyDescent="0.2">
      <c r="A46750" s="258"/>
      <c r="Z46750" s="258"/>
    </row>
    <row r="46751" spans="1:26" ht="12.75" customHeight="1" x14ac:dyDescent="0.2">
      <c r="A46751" s="258"/>
      <c r="Z46751" s="258"/>
    </row>
    <row r="46752" spans="1:26" ht="12.75" customHeight="1" x14ac:dyDescent="0.2">
      <c r="A46752" s="258"/>
      <c r="Z46752" s="258"/>
    </row>
    <row r="46753" spans="1:26" ht="12.75" customHeight="1" x14ac:dyDescent="0.2">
      <c r="A46753" s="258"/>
      <c r="Z46753" s="258"/>
    </row>
    <row r="46754" spans="1:26" ht="12.75" customHeight="1" x14ac:dyDescent="0.2">
      <c r="A46754" s="258"/>
      <c r="Z46754" s="258"/>
    </row>
    <row r="46755" spans="1:26" ht="12.75" customHeight="1" x14ac:dyDescent="0.2">
      <c r="A46755" s="258"/>
      <c r="Z46755" s="258"/>
    </row>
    <row r="46756" spans="1:26" ht="12.75" customHeight="1" x14ac:dyDescent="0.2">
      <c r="A46756" s="258"/>
      <c r="Z46756" s="258"/>
    </row>
    <row r="46757" spans="1:26" ht="12.75" customHeight="1" x14ac:dyDescent="0.2">
      <c r="A46757" s="258"/>
      <c r="Z46757" s="258"/>
    </row>
    <row r="46758" spans="1:26" ht="12.75" customHeight="1" x14ac:dyDescent="0.2">
      <c r="A46758" s="258"/>
      <c r="Z46758" s="258"/>
    </row>
    <row r="46759" spans="1:26" ht="12.75" customHeight="1" x14ac:dyDescent="0.2">
      <c r="A46759" s="258"/>
      <c r="Z46759" s="258"/>
    </row>
    <row r="46760" spans="1:26" ht="12.75" customHeight="1" x14ac:dyDescent="0.2">
      <c r="A46760" s="258"/>
      <c r="Z46760" s="258"/>
    </row>
    <row r="46761" spans="1:26" ht="12.75" customHeight="1" x14ac:dyDescent="0.2">
      <c r="A46761" s="258"/>
      <c r="Z46761" s="258"/>
    </row>
    <row r="46762" spans="1:26" ht="12.75" customHeight="1" x14ac:dyDescent="0.2">
      <c r="A46762" s="258"/>
      <c r="Z46762" s="258"/>
    </row>
    <row r="46763" spans="1:26" ht="12.75" customHeight="1" x14ac:dyDescent="0.2">
      <c r="A46763" s="258"/>
      <c r="Z46763" s="258"/>
    </row>
    <row r="46764" spans="1:26" ht="12.75" customHeight="1" x14ac:dyDescent="0.2">
      <c r="A46764" s="258"/>
      <c r="Z46764" s="258"/>
    </row>
    <row r="46765" spans="1:26" ht="12.75" customHeight="1" x14ac:dyDescent="0.2">
      <c r="A46765" s="258"/>
      <c r="Z46765" s="258"/>
    </row>
    <row r="46766" spans="1:26" ht="12.75" customHeight="1" x14ac:dyDescent="0.2">
      <c r="A46766" s="258"/>
      <c r="Z46766" s="258"/>
    </row>
    <row r="46767" spans="1:26" ht="12.75" customHeight="1" x14ac:dyDescent="0.2">
      <c r="A46767" s="258"/>
      <c r="Z46767" s="258"/>
    </row>
    <row r="46768" spans="1:26" ht="12.75" customHeight="1" x14ac:dyDescent="0.2">
      <c r="A46768" s="258"/>
      <c r="Z46768" s="258"/>
    </row>
    <row r="46769" spans="1:26" ht="12.75" customHeight="1" x14ac:dyDescent="0.2">
      <c r="A46769" s="258"/>
      <c r="Z46769" s="258"/>
    </row>
    <row r="46770" spans="1:26" ht="12.75" customHeight="1" x14ac:dyDescent="0.2">
      <c r="A46770" s="258"/>
      <c r="Z46770" s="258"/>
    </row>
    <row r="46771" spans="1:26" ht="12.75" customHeight="1" x14ac:dyDescent="0.2">
      <c r="A46771" s="258"/>
      <c r="Z46771" s="258"/>
    </row>
    <row r="46772" spans="1:26" ht="12.75" customHeight="1" x14ac:dyDescent="0.2">
      <c r="A46772" s="258"/>
      <c r="Z46772" s="258"/>
    </row>
    <row r="46773" spans="1:26" ht="12.75" customHeight="1" x14ac:dyDescent="0.2">
      <c r="A46773" s="258"/>
      <c r="Z46773" s="258"/>
    </row>
    <row r="46774" spans="1:26" ht="12.75" customHeight="1" x14ac:dyDescent="0.2">
      <c r="A46774" s="258"/>
      <c r="Z46774" s="258"/>
    </row>
    <row r="46775" spans="1:26" ht="12.75" customHeight="1" x14ac:dyDescent="0.2">
      <c r="A46775" s="258"/>
      <c r="Z46775" s="258"/>
    </row>
    <row r="46776" spans="1:26" ht="12.75" customHeight="1" x14ac:dyDescent="0.2">
      <c r="A46776" s="258"/>
      <c r="Z46776" s="258"/>
    </row>
    <row r="46777" spans="1:26" ht="12.75" customHeight="1" x14ac:dyDescent="0.2">
      <c r="A46777" s="258"/>
      <c r="Z46777" s="258"/>
    </row>
    <row r="46778" spans="1:26" ht="12.75" customHeight="1" x14ac:dyDescent="0.2">
      <c r="A46778" s="258"/>
      <c r="Z46778" s="258"/>
    </row>
    <row r="46779" spans="1:26" ht="12.75" customHeight="1" x14ac:dyDescent="0.2">
      <c r="A46779" s="258"/>
      <c r="Z46779" s="258"/>
    </row>
    <row r="46780" spans="1:26" ht="12.75" customHeight="1" x14ac:dyDescent="0.2">
      <c r="A46780" s="258"/>
      <c r="Z46780" s="258"/>
    </row>
    <row r="46781" spans="1:26" ht="12.75" customHeight="1" x14ac:dyDescent="0.2">
      <c r="A46781" s="258"/>
      <c r="Z46781" s="258"/>
    </row>
    <row r="46782" spans="1:26" ht="12.75" customHeight="1" x14ac:dyDescent="0.2">
      <c r="A46782" s="258"/>
      <c r="Z46782" s="258"/>
    </row>
    <row r="46783" spans="1:26" ht="12.75" customHeight="1" x14ac:dyDescent="0.2">
      <c r="A46783" s="258"/>
      <c r="Z46783" s="258"/>
    </row>
    <row r="46784" spans="1:26" ht="12.75" customHeight="1" x14ac:dyDescent="0.2">
      <c r="A46784" s="258"/>
      <c r="Z46784" s="258"/>
    </row>
    <row r="46785" spans="1:26" ht="12.75" customHeight="1" x14ac:dyDescent="0.2">
      <c r="A46785" s="258"/>
      <c r="Z46785" s="258"/>
    </row>
    <row r="46786" spans="1:26" ht="12.75" customHeight="1" x14ac:dyDescent="0.2">
      <c r="A46786" s="258"/>
      <c r="Z46786" s="258"/>
    </row>
    <row r="46787" spans="1:26" ht="12.75" customHeight="1" x14ac:dyDescent="0.2">
      <c r="A46787" s="258"/>
      <c r="Z46787" s="258"/>
    </row>
    <row r="46788" spans="1:26" ht="12.75" customHeight="1" x14ac:dyDescent="0.2">
      <c r="A46788" s="258"/>
      <c r="Z46788" s="258"/>
    </row>
    <row r="46789" spans="1:26" ht="12.75" customHeight="1" x14ac:dyDescent="0.2">
      <c r="A46789" s="258"/>
      <c r="Z46789" s="258"/>
    </row>
    <row r="46790" spans="1:26" ht="12.75" customHeight="1" x14ac:dyDescent="0.2">
      <c r="A46790" s="258"/>
      <c r="Z46790" s="258"/>
    </row>
    <row r="46791" spans="1:26" ht="12.75" customHeight="1" x14ac:dyDescent="0.2">
      <c r="A46791" s="258"/>
      <c r="Z46791" s="258"/>
    </row>
    <row r="46792" spans="1:26" ht="12.75" customHeight="1" x14ac:dyDescent="0.2">
      <c r="A46792" s="258"/>
      <c r="Z46792" s="258"/>
    </row>
    <row r="46793" spans="1:26" ht="12.75" customHeight="1" x14ac:dyDescent="0.2">
      <c r="A46793" s="258"/>
      <c r="Z46793" s="258"/>
    </row>
    <row r="46794" spans="1:26" ht="12.75" customHeight="1" x14ac:dyDescent="0.2">
      <c r="A46794" s="258"/>
      <c r="Z46794" s="258"/>
    </row>
    <row r="46795" spans="1:26" ht="12.75" customHeight="1" x14ac:dyDescent="0.2">
      <c r="A46795" s="258"/>
      <c r="Z46795" s="258"/>
    </row>
    <row r="46796" spans="1:26" ht="12.75" customHeight="1" x14ac:dyDescent="0.2">
      <c r="A46796" s="258"/>
      <c r="Z46796" s="258"/>
    </row>
    <row r="46797" spans="1:26" ht="12.75" customHeight="1" x14ac:dyDescent="0.2">
      <c r="A46797" s="258"/>
      <c r="Z46797" s="258"/>
    </row>
    <row r="46798" spans="1:26" ht="12.75" customHeight="1" x14ac:dyDescent="0.2">
      <c r="A46798" s="258"/>
      <c r="Z46798" s="258"/>
    </row>
    <row r="46799" spans="1:26" ht="12.75" customHeight="1" x14ac:dyDescent="0.2">
      <c r="A46799" s="258"/>
      <c r="Z46799" s="258"/>
    </row>
    <row r="46800" spans="1:26" ht="12.75" customHeight="1" x14ac:dyDescent="0.2">
      <c r="A46800" s="258"/>
      <c r="Z46800" s="258"/>
    </row>
    <row r="46801" spans="1:26" ht="12.75" customHeight="1" x14ac:dyDescent="0.2">
      <c r="A46801" s="258"/>
      <c r="Z46801" s="258"/>
    </row>
    <row r="46802" spans="1:26" ht="12.75" customHeight="1" x14ac:dyDescent="0.2">
      <c r="A46802" s="258"/>
      <c r="Z46802" s="258"/>
    </row>
    <row r="46803" spans="1:26" ht="12.75" customHeight="1" x14ac:dyDescent="0.2">
      <c r="A46803" s="258"/>
      <c r="Z46803" s="258"/>
    </row>
    <row r="46804" spans="1:26" ht="12.75" customHeight="1" x14ac:dyDescent="0.2">
      <c r="A46804" s="258"/>
      <c r="Z46804" s="258"/>
    </row>
    <row r="46805" spans="1:26" ht="12.75" customHeight="1" x14ac:dyDescent="0.2">
      <c r="A46805" s="258"/>
      <c r="Z46805" s="258"/>
    </row>
    <row r="46806" spans="1:26" ht="12.75" customHeight="1" x14ac:dyDescent="0.2">
      <c r="A46806" s="258"/>
      <c r="Z46806" s="258"/>
    </row>
    <row r="46807" spans="1:26" ht="12.75" customHeight="1" x14ac:dyDescent="0.2">
      <c r="A46807" s="258"/>
      <c r="Z46807" s="258"/>
    </row>
    <row r="46808" spans="1:26" ht="12.75" customHeight="1" x14ac:dyDescent="0.2">
      <c r="A46808" s="258"/>
      <c r="Z46808" s="258"/>
    </row>
    <row r="46809" spans="1:26" ht="12.75" customHeight="1" x14ac:dyDescent="0.2">
      <c r="A46809" s="258"/>
      <c r="Z46809" s="258"/>
    </row>
    <row r="46810" spans="1:26" ht="12.75" customHeight="1" x14ac:dyDescent="0.2">
      <c r="A46810" s="258"/>
      <c r="Z46810" s="258"/>
    </row>
    <row r="46811" spans="1:26" ht="12.75" customHeight="1" x14ac:dyDescent="0.2">
      <c r="A46811" s="258"/>
      <c r="Z46811" s="258"/>
    </row>
    <row r="46812" spans="1:26" ht="12.75" customHeight="1" x14ac:dyDescent="0.2">
      <c r="A46812" s="258"/>
      <c r="Z46812" s="258"/>
    </row>
    <row r="46813" spans="1:26" ht="12.75" customHeight="1" x14ac:dyDescent="0.2">
      <c r="A46813" s="258"/>
      <c r="Z46813" s="258"/>
    </row>
    <row r="46814" spans="1:26" ht="12.75" customHeight="1" x14ac:dyDescent="0.2">
      <c r="A46814" s="258"/>
      <c r="Z46814" s="258"/>
    </row>
    <row r="46815" spans="1:26" ht="12.75" customHeight="1" x14ac:dyDescent="0.2">
      <c r="A46815" s="258"/>
      <c r="Z46815" s="258"/>
    </row>
    <row r="46816" spans="1:26" ht="12.75" customHeight="1" x14ac:dyDescent="0.2">
      <c r="A46816" s="258"/>
      <c r="Z46816" s="258"/>
    </row>
    <row r="46817" spans="1:26" ht="12.75" customHeight="1" x14ac:dyDescent="0.2">
      <c r="A46817" s="258"/>
      <c r="Z46817" s="258"/>
    </row>
    <row r="46818" spans="1:26" ht="12.75" customHeight="1" x14ac:dyDescent="0.2">
      <c r="A46818" s="258"/>
      <c r="Z46818" s="258"/>
    </row>
    <row r="46819" spans="1:26" ht="12.75" customHeight="1" x14ac:dyDescent="0.2">
      <c r="A46819" s="258"/>
      <c r="Z46819" s="258"/>
    </row>
    <row r="46820" spans="1:26" ht="12.75" customHeight="1" x14ac:dyDescent="0.2">
      <c r="A46820" s="258"/>
      <c r="Z46820" s="258"/>
    </row>
    <row r="46821" spans="1:26" ht="12.75" customHeight="1" x14ac:dyDescent="0.2">
      <c r="A46821" s="258"/>
      <c r="Z46821" s="258"/>
    </row>
    <row r="46822" spans="1:26" ht="12.75" customHeight="1" x14ac:dyDescent="0.2">
      <c r="A46822" s="258"/>
      <c r="Z46822" s="258"/>
    </row>
    <row r="46823" spans="1:26" ht="12.75" customHeight="1" x14ac:dyDescent="0.2">
      <c r="A46823" s="258"/>
      <c r="Z46823" s="258"/>
    </row>
    <row r="46824" spans="1:26" ht="12.75" customHeight="1" x14ac:dyDescent="0.2">
      <c r="A46824" s="258"/>
      <c r="Z46824" s="258"/>
    </row>
    <row r="46825" spans="1:26" ht="12.75" customHeight="1" x14ac:dyDescent="0.2">
      <c r="A46825" s="258"/>
      <c r="Z46825" s="258"/>
    </row>
    <row r="46826" spans="1:26" ht="12.75" customHeight="1" x14ac:dyDescent="0.2">
      <c r="A46826" s="258"/>
      <c r="Z46826" s="258"/>
    </row>
    <row r="46827" spans="1:26" ht="12.75" customHeight="1" x14ac:dyDescent="0.2">
      <c r="A46827" s="258"/>
      <c r="Z46827" s="258"/>
    </row>
    <row r="46828" spans="1:26" ht="12.75" customHeight="1" x14ac:dyDescent="0.2">
      <c r="A46828" s="258"/>
      <c r="Z46828" s="258"/>
    </row>
    <row r="46829" spans="1:26" ht="12.75" customHeight="1" x14ac:dyDescent="0.2">
      <c r="A46829" s="258"/>
      <c r="Z46829" s="258"/>
    </row>
    <row r="46830" spans="1:26" ht="12.75" customHeight="1" x14ac:dyDescent="0.2">
      <c r="A46830" s="258"/>
      <c r="Z46830" s="258"/>
    </row>
    <row r="46831" spans="1:26" ht="12.75" customHeight="1" x14ac:dyDescent="0.2">
      <c r="A46831" s="258"/>
      <c r="Z46831" s="258"/>
    </row>
    <row r="46832" spans="1:26" ht="12.75" customHeight="1" x14ac:dyDescent="0.2">
      <c r="A46832" s="258"/>
      <c r="Z46832" s="258"/>
    </row>
    <row r="46833" spans="1:26" ht="12.75" customHeight="1" x14ac:dyDescent="0.2">
      <c r="A46833" s="258"/>
      <c r="Z46833" s="258"/>
    </row>
    <row r="46834" spans="1:26" ht="12.75" customHeight="1" x14ac:dyDescent="0.2">
      <c r="A46834" s="258"/>
      <c r="Z46834" s="258"/>
    </row>
    <row r="46835" spans="1:26" ht="12.75" customHeight="1" x14ac:dyDescent="0.2">
      <c r="A46835" s="258"/>
      <c r="Z46835" s="258"/>
    </row>
    <row r="46836" spans="1:26" ht="12.75" customHeight="1" x14ac:dyDescent="0.2">
      <c r="A46836" s="258"/>
      <c r="Z46836" s="258"/>
    </row>
    <row r="46837" spans="1:26" ht="12.75" customHeight="1" x14ac:dyDescent="0.2">
      <c r="A46837" s="258"/>
      <c r="Z46837" s="258"/>
    </row>
    <row r="46838" spans="1:26" ht="12.75" customHeight="1" x14ac:dyDescent="0.2">
      <c r="A46838" s="258"/>
      <c r="Z46838" s="258"/>
    </row>
    <row r="46839" spans="1:26" ht="12.75" customHeight="1" x14ac:dyDescent="0.2">
      <c r="A46839" s="258"/>
      <c r="Z46839" s="258"/>
    </row>
    <row r="46840" spans="1:26" ht="12.75" customHeight="1" x14ac:dyDescent="0.2">
      <c r="A46840" s="258"/>
      <c r="Z46840" s="258"/>
    </row>
    <row r="46841" spans="1:26" ht="12.75" customHeight="1" x14ac:dyDescent="0.2">
      <c r="A46841" s="258"/>
      <c r="Z46841" s="258"/>
    </row>
    <row r="46842" spans="1:26" ht="12.75" customHeight="1" x14ac:dyDescent="0.2">
      <c r="A46842" s="258"/>
      <c r="Z46842" s="258"/>
    </row>
    <row r="46843" spans="1:26" ht="12.75" customHeight="1" x14ac:dyDescent="0.2">
      <c r="A46843" s="258"/>
      <c r="Z46843" s="258"/>
    </row>
    <row r="46844" spans="1:26" ht="12.75" customHeight="1" x14ac:dyDescent="0.2">
      <c r="A46844" s="258"/>
      <c r="Z46844" s="258"/>
    </row>
    <row r="46845" spans="1:26" ht="12.75" customHeight="1" x14ac:dyDescent="0.2">
      <c r="A46845" s="258"/>
      <c r="Z46845" s="258"/>
    </row>
    <row r="46846" spans="1:26" ht="12.75" customHeight="1" x14ac:dyDescent="0.2">
      <c r="A46846" s="258"/>
      <c r="Z46846" s="258"/>
    </row>
    <row r="46847" spans="1:26" ht="12.75" customHeight="1" x14ac:dyDescent="0.2">
      <c r="A46847" s="258"/>
      <c r="Z46847" s="258"/>
    </row>
    <row r="46848" spans="1:26" ht="12.75" customHeight="1" x14ac:dyDescent="0.2">
      <c r="A46848" s="258"/>
      <c r="Z46848" s="258"/>
    </row>
    <row r="46849" spans="1:26" ht="12.75" customHeight="1" x14ac:dyDescent="0.2">
      <c r="A46849" s="258"/>
      <c r="Z46849" s="258"/>
    </row>
    <row r="46850" spans="1:26" ht="12.75" customHeight="1" x14ac:dyDescent="0.2">
      <c r="A46850" s="258"/>
      <c r="Z46850" s="258"/>
    </row>
    <row r="46851" spans="1:26" ht="12.75" customHeight="1" x14ac:dyDescent="0.2">
      <c r="A46851" s="258"/>
      <c r="Z46851" s="258"/>
    </row>
    <row r="46852" spans="1:26" ht="12.75" customHeight="1" x14ac:dyDescent="0.2">
      <c r="A46852" s="258"/>
      <c r="Z46852" s="258"/>
    </row>
    <row r="46853" spans="1:26" ht="12.75" customHeight="1" x14ac:dyDescent="0.2">
      <c r="A46853" s="258"/>
      <c r="Z46853" s="258"/>
    </row>
    <row r="46854" spans="1:26" ht="12.75" customHeight="1" x14ac:dyDescent="0.2">
      <c r="A46854" s="258"/>
      <c r="Z46854" s="258"/>
    </row>
    <row r="46855" spans="1:26" ht="12.75" customHeight="1" x14ac:dyDescent="0.2">
      <c r="A46855" s="258"/>
      <c r="Z46855" s="258"/>
    </row>
    <row r="46856" spans="1:26" ht="12.75" customHeight="1" x14ac:dyDescent="0.2">
      <c r="A46856" s="258"/>
      <c r="Z46856" s="258"/>
    </row>
    <row r="46857" spans="1:26" ht="12.75" customHeight="1" x14ac:dyDescent="0.2">
      <c r="A46857" s="258"/>
      <c r="Z46857" s="258"/>
    </row>
    <row r="46858" spans="1:26" ht="12.75" customHeight="1" x14ac:dyDescent="0.2">
      <c r="A46858" s="258"/>
      <c r="Z46858" s="258"/>
    </row>
    <row r="46859" spans="1:26" ht="12.75" customHeight="1" x14ac:dyDescent="0.2">
      <c r="A46859" s="258"/>
      <c r="Z46859" s="258"/>
    </row>
    <row r="46860" spans="1:26" ht="12.75" customHeight="1" x14ac:dyDescent="0.2">
      <c r="A46860" s="258"/>
      <c r="Z46860" s="258"/>
    </row>
    <row r="46861" spans="1:26" ht="12.75" customHeight="1" x14ac:dyDescent="0.2">
      <c r="A46861" s="258"/>
      <c r="Z46861" s="258"/>
    </row>
    <row r="46862" spans="1:26" ht="12.75" customHeight="1" x14ac:dyDescent="0.2">
      <c r="A46862" s="258"/>
      <c r="Z46862" s="258"/>
    </row>
    <row r="46863" spans="1:26" ht="12.75" customHeight="1" x14ac:dyDescent="0.2">
      <c r="A46863" s="258"/>
      <c r="Z46863" s="258"/>
    </row>
    <row r="46864" spans="1:26" ht="12.75" customHeight="1" x14ac:dyDescent="0.2">
      <c r="A46864" s="258"/>
      <c r="Z46864" s="258"/>
    </row>
    <row r="46865" spans="1:26" ht="12.75" customHeight="1" x14ac:dyDescent="0.2">
      <c r="A46865" s="258"/>
      <c r="Z46865" s="258"/>
    </row>
    <row r="46866" spans="1:26" ht="12.75" customHeight="1" x14ac:dyDescent="0.2">
      <c r="A46866" s="258"/>
      <c r="Z46866" s="258"/>
    </row>
    <row r="46867" spans="1:26" ht="12.75" customHeight="1" x14ac:dyDescent="0.2">
      <c r="A46867" s="258"/>
      <c r="Z46867" s="258"/>
    </row>
    <row r="46868" spans="1:26" ht="12.75" customHeight="1" x14ac:dyDescent="0.2">
      <c r="A46868" s="258"/>
      <c r="Z46868" s="258"/>
    </row>
    <row r="46869" spans="1:26" ht="12.75" customHeight="1" x14ac:dyDescent="0.2">
      <c r="A46869" s="258"/>
      <c r="Z46869" s="258"/>
    </row>
    <row r="46870" spans="1:26" ht="12.75" customHeight="1" x14ac:dyDescent="0.2">
      <c r="A46870" s="258"/>
      <c r="Z46870" s="258"/>
    </row>
    <row r="46871" spans="1:26" ht="12.75" customHeight="1" x14ac:dyDescent="0.2">
      <c r="A46871" s="258"/>
      <c r="Z46871" s="258"/>
    </row>
    <row r="46872" spans="1:26" ht="12.75" customHeight="1" x14ac:dyDescent="0.2">
      <c r="A46872" s="258"/>
      <c r="Z46872" s="258"/>
    </row>
    <row r="46873" spans="1:26" ht="12.75" customHeight="1" x14ac:dyDescent="0.2">
      <c r="A46873" s="258"/>
      <c r="Z46873" s="258"/>
    </row>
    <row r="46874" spans="1:26" ht="12.75" customHeight="1" x14ac:dyDescent="0.2">
      <c r="A46874" s="258"/>
      <c r="Z46874" s="258"/>
    </row>
    <row r="46875" spans="1:26" ht="12.75" customHeight="1" x14ac:dyDescent="0.2">
      <c r="A46875" s="258"/>
      <c r="Z46875" s="258"/>
    </row>
    <row r="46876" spans="1:26" ht="12.75" customHeight="1" x14ac:dyDescent="0.2">
      <c r="A46876" s="258"/>
      <c r="Z46876" s="258"/>
    </row>
    <row r="46877" spans="1:26" ht="12.75" customHeight="1" x14ac:dyDescent="0.2">
      <c r="A46877" s="258"/>
      <c r="Z46877" s="258"/>
    </row>
    <row r="46878" spans="1:26" ht="12.75" customHeight="1" x14ac:dyDescent="0.2">
      <c r="A46878" s="258"/>
      <c r="Z46878" s="258"/>
    </row>
    <row r="46879" spans="1:26" ht="12.75" customHeight="1" x14ac:dyDescent="0.2">
      <c r="A46879" s="258"/>
      <c r="Z46879" s="258"/>
    </row>
    <row r="46880" spans="1:26" ht="12.75" customHeight="1" x14ac:dyDescent="0.2">
      <c r="A46880" s="258"/>
      <c r="Z46880" s="258"/>
    </row>
    <row r="46881" spans="1:26" ht="12.75" customHeight="1" x14ac:dyDescent="0.2">
      <c r="A46881" s="258"/>
      <c r="Z46881" s="258"/>
    </row>
    <row r="46882" spans="1:26" ht="12.75" customHeight="1" x14ac:dyDescent="0.2">
      <c r="A46882" s="258"/>
      <c r="Z46882" s="258"/>
    </row>
    <row r="46883" spans="1:26" ht="12.75" customHeight="1" x14ac:dyDescent="0.2">
      <c r="A46883" s="258"/>
      <c r="Z46883" s="258"/>
    </row>
    <row r="46884" spans="1:26" ht="12.75" customHeight="1" x14ac:dyDescent="0.2">
      <c r="A46884" s="258"/>
      <c r="Z46884" s="258"/>
    </row>
    <row r="46885" spans="1:26" ht="12.75" customHeight="1" x14ac:dyDescent="0.2">
      <c r="A46885" s="258"/>
      <c r="Z46885" s="258"/>
    </row>
    <row r="46886" spans="1:26" ht="12.75" customHeight="1" x14ac:dyDescent="0.2">
      <c r="A46886" s="258"/>
      <c r="Z46886" s="258"/>
    </row>
    <row r="46887" spans="1:26" ht="12.75" customHeight="1" x14ac:dyDescent="0.2">
      <c r="A46887" s="258"/>
      <c r="Z46887" s="258"/>
    </row>
    <row r="46888" spans="1:26" ht="12.75" customHeight="1" x14ac:dyDescent="0.2">
      <c r="A46888" s="258"/>
      <c r="Z46888" s="258"/>
    </row>
    <row r="46889" spans="1:26" ht="12.75" customHeight="1" x14ac:dyDescent="0.2">
      <c r="A46889" s="258"/>
      <c r="Z46889" s="258"/>
    </row>
    <row r="46890" spans="1:26" ht="12.75" customHeight="1" x14ac:dyDescent="0.2">
      <c r="A46890" s="258"/>
      <c r="Z46890" s="258"/>
    </row>
    <row r="46891" spans="1:26" ht="12.75" customHeight="1" x14ac:dyDescent="0.2">
      <c r="A46891" s="258"/>
      <c r="Z46891" s="258"/>
    </row>
    <row r="46892" spans="1:26" ht="12.75" customHeight="1" x14ac:dyDescent="0.2">
      <c r="A46892" s="258"/>
      <c r="Z46892" s="258"/>
    </row>
    <row r="46893" spans="1:26" ht="12.75" customHeight="1" x14ac:dyDescent="0.2">
      <c r="A46893" s="258"/>
      <c r="Z46893" s="258"/>
    </row>
    <row r="46894" spans="1:26" ht="12.75" customHeight="1" x14ac:dyDescent="0.2">
      <c r="A46894" s="258"/>
      <c r="Z46894" s="258"/>
    </row>
    <row r="46895" spans="1:26" ht="12.75" customHeight="1" x14ac:dyDescent="0.2">
      <c r="A46895" s="258"/>
      <c r="Z46895" s="258"/>
    </row>
    <row r="46896" spans="1:26" ht="12.75" customHeight="1" x14ac:dyDescent="0.2">
      <c r="A46896" s="258"/>
      <c r="Z46896" s="258"/>
    </row>
    <row r="46897" spans="1:26" ht="12.75" customHeight="1" x14ac:dyDescent="0.2">
      <c r="A46897" s="258"/>
      <c r="Z46897" s="258"/>
    </row>
    <row r="46898" spans="1:26" ht="12.75" customHeight="1" x14ac:dyDescent="0.2">
      <c r="A46898" s="258"/>
      <c r="Z46898" s="258"/>
    </row>
    <row r="46899" spans="1:26" ht="12.75" customHeight="1" x14ac:dyDescent="0.2">
      <c r="A46899" s="258"/>
      <c r="Z46899" s="258"/>
    </row>
    <row r="46900" spans="1:26" ht="12.75" customHeight="1" x14ac:dyDescent="0.2">
      <c r="A46900" s="258"/>
      <c r="Z46900" s="258"/>
    </row>
    <row r="46901" spans="1:26" ht="12.75" customHeight="1" x14ac:dyDescent="0.2">
      <c r="A46901" s="258"/>
      <c r="Z46901" s="258"/>
    </row>
    <row r="46902" spans="1:26" ht="12.75" customHeight="1" x14ac:dyDescent="0.2">
      <c r="A46902" s="258"/>
      <c r="Z46902" s="258"/>
    </row>
    <row r="46903" spans="1:26" ht="12.75" customHeight="1" x14ac:dyDescent="0.2">
      <c r="A46903" s="258"/>
      <c r="Z46903" s="258"/>
    </row>
    <row r="46904" spans="1:26" ht="12.75" customHeight="1" x14ac:dyDescent="0.2">
      <c r="A46904" s="258"/>
      <c r="Z46904" s="258"/>
    </row>
    <row r="46905" spans="1:26" ht="12.75" customHeight="1" x14ac:dyDescent="0.2">
      <c r="A46905" s="258"/>
      <c r="Z46905" s="258"/>
    </row>
    <row r="46906" spans="1:26" ht="12.75" customHeight="1" x14ac:dyDescent="0.2">
      <c r="A46906" s="258"/>
      <c r="Z46906" s="258"/>
    </row>
    <row r="46907" spans="1:26" ht="12.75" customHeight="1" x14ac:dyDescent="0.2">
      <c r="A46907" s="258"/>
      <c r="Z46907" s="258"/>
    </row>
    <row r="46908" spans="1:26" ht="12.75" customHeight="1" x14ac:dyDescent="0.2">
      <c r="A46908" s="258"/>
      <c r="Z46908" s="258"/>
    </row>
    <row r="46909" spans="1:26" ht="12.75" customHeight="1" x14ac:dyDescent="0.2">
      <c r="A46909" s="258"/>
      <c r="Z46909" s="258"/>
    </row>
    <row r="46910" spans="1:26" ht="12.75" customHeight="1" x14ac:dyDescent="0.2">
      <c r="A46910" s="258"/>
      <c r="Z46910" s="258"/>
    </row>
    <row r="46911" spans="1:26" ht="12.75" customHeight="1" x14ac:dyDescent="0.2">
      <c r="A46911" s="258"/>
      <c r="Z46911" s="258"/>
    </row>
    <row r="46912" spans="1:26" ht="12.75" customHeight="1" x14ac:dyDescent="0.2">
      <c r="A46912" s="258"/>
      <c r="Z46912" s="258"/>
    </row>
    <row r="46913" spans="1:26" ht="12.75" customHeight="1" x14ac:dyDescent="0.2">
      <c r="A46913" s="258"/>
      <c r="Z46913" s="258"/>
    </row>
    <row r="46914" spans="1:26" ht="12.75" customHeight="1" x14ac:dyDescent="0.2">
      <c r="A46914" s="258"/>
      <c r="Z46914" s="258"/>
    </row>
    <row r="46915" spans="1:26" ht="12.75" customHeight="1" x14ac:dyDescent="0.2">
      <c r="A46915" s="258"/>
      <c r="Z46915" s="258"/>
    </row>
    <row r="46916" spans="1:26" ht="12.75" customHeight="1" x14ac:dyDescent="0.2">
      <c r="A46916" s="258"/>
      <c r="Z46916" s="258"/>
    </row>
    <row r="46917" spans="1:26" ht="12.75" customHeight="1" x14ac:dyDescent="0.2">
      <c r="A46917" s="258"/>
      <c r="Z46917" s="258"/>
    </row>
    <row r="46918" spans="1:26" ht="12.75" customHeight="1" x14ac:dyDescent="0.2">
      <c r="A46918" s="258"/>
      <c r="Z46918" s="258"/>
    </row>
    <row r="46919" spans="1:26" ht="12.75" customHeight="1" x14ac:dyDescent="0.2">
      <c r="A46919" s="258"/>
      <c r="Z46919" s="258"/>
    </row>
    <row r="46920" spans="1:26" ht="12.75" customHeight="1" x14ac:dyDescent="0.2">
      <c r="A46920" s="258"/>
      <c r="Z46920" s="258"/>
    </row>
    <row r="46921" spans="1:26" ht="12.75" customHeight="1" x14ac:dyDescent="0.2">
      <c r="A46921" s="258"/>
      <c r="Z46921" s="258"/>
    </row>
    <row r="46922" spans="1:26" ht="12.75" customHeight="1" x14ac:dyDescent="0.2">
      <c r="A46922" s="258"/>
      <c r="Z46922" s="258"/>
    </row>
    <row r="46923" spans="1:26" ht="12.75" customHeight="1" x14ac:dyDescent="0.2">
      <c r="A46923" s="258"/>
      <c r="Z46923" s="258"/>
    </row>
    <row r="46924" spans="1:26" ht="12.75" customHeight="1" x14ac:dyDescent="0.2">
      <c r="A46924" s="258"/>
      <c r="Z46924" s="258"/>
    </row>
    <row r="46925" spans="1:26" ht="12.75" customHeight="1" x14ac:dyDescent="0.2">
      <c r="A46925" s="258"/>
      <c r="Z46925" s="258"/>
    </row>
    <row r="46926" spans="1:26" ht="12.75" customHeight="1" x14ac:dyDescent="0.2">
      <c r="A46926" s="258"/>
      <c r="Z46926" s="258"/>
    </row>
    <row r="46927" spans="1:26" ht="12.75" customHeight="1" x14ac:dyDescent="0.2">
      <c r="A46927" s="258"/>
      <c r="Z46927" s="258"/>
    </row>
    <row r="46928" spans="1:26" ht="12.75" customHeight="1" x14ac:dyDescent="0.2">
      <c r="A46928" s="258"/>
      <c r="Z46928" s="258"/>
    </row>
    <row r="46929" spans="1:26" ht="12.75" customHeight="1" x14ac:dyDescent="0.2">
      <c r="A46929" s="258"/>
      <c r="Z46929" s="258"/>
    </row>
    <row r="46930" spans="1:26" ht="12.75" customHeight="1" x14ac:dyDescent="0.2">
      <c r="A46930" s="258"/>
      <c r="Z46930" s="258"/>
    </row>
    <row r="46931" spans="1:26" ht="12.75" customHeight="1" x14ac:dyDescent="0.2">
      <c r="A46931" s="258"/>
      <c r="Z46931" s="258"/>
    </row>
    <row r="46932" spans="1:26" ht="12.75" customHeight="1" x14ac:dyDescent="0.2">
      <c r="A46932" s="258"/>
      <c r="Z46932" s="258"/>
    </row>
    <row r="46933" spans="1:26" ht="12.75" customHeight="1" x14ac:dyDescent="0.2">
      <c r="A46933" s="258"/>
      <c r="Z46933" s="258"/>
    </row>
    <row r="46934" spans="1:26" ht="12.75" customHeight="1" x14ac:dyDescent="0.2">
      <c r="A46934" s="258"/>
      <c r="Z46934" s="258"/>
    </row>
    <row r="46935" spans="1:26" ht="12.75" customHeight="1" x14ac:dyDescent="0.2">
      <c r="A46935" s="258"/>
      <c r="Z46935" s="258"/>
    </row>
    <row r="46936" spans="1:26" ht="12.75" customHeight="1" x14ac:dyDescent="0.2">
      <c r="A46936" s="258"/>
      <c r="Z46936" s="258"/>
    </row>
    <row r="46937" spans="1:26" ht="12.75" customHeight="1" x14ac:dyDescent="0.2">
      <c r="A46937" s="258"/>
      <c r="Z46937" s="258"/>
    </row>
    <row r="46938" spans="1:26" ht="12.75" customHeight="1" x14ac:dyDescent="0.2">
      <c r="A46938" s="258"/>
      <c r="Z46938" s="258"/>
    </row>
    <row r="46939" spans="1:26" ht="12.75" customHeight="1" x14ac:dyDescent="0.2">
      <c r="A46939" s="258"/>
      <c r="Z46939" s="258"/>
    </row>
    <row r="46940" spans="1:26" ht="12.75" customHeight="1" x14ac:dyDescent="0.2">
      <c r="A46940" s="258"/>
      <c r="Z46940" s="258"/>
    </row>
    <row r="46941" spans="1:26" ht="12.75" customHeight="1" x14ac:dyDescent="0.2">
      <c r="A46941" s="258"/>
      <c r="Z46941" s="258"/>
    </row>
    <row r="46942" spans="1:26" ht="12.75" customHeight="1" x14ac:dyDescent="0.2">
      <c r="A46942" s="258"/>
      <c r="Z46942" s="258"/>
    </row>
    <row r="46943" spans="1:26" ht="12.75" customHeight="1" x14ac:dyDescent="0.2">
      <c r="A46943" s="258"/>
      <c r="Z46943" s="258"/>
    </row>
    <row r="46944" spans="1:26" ht="12.75" customHeight="1" x14ac:dyDescent="0.2">
      <c r="A46944" s="258"/>
      <c r="Z46944" s="258"/>
    </row>
    <row r="46945" spans="1:26" ht="12.75" customHeight="1" x14ac:dyDescent="0.2">
      <c r="A46945" s="258"/>
      <c r="Z46945" s="258"/>
    </row>
    <row r="46946" spans="1:26" ht="12.75" customHeight="1" x14ac:dyDescent="0.2">
      <c r="A46946" s="258"/>
      <c r="Z46946" s="258"/>
    </row>
    <row r="46947" spans="1:26" ht="12.75" customHeight="1" x14ac:dyDescent="0.2">
      <c r="A46947" s="258"/>
      <c r="Z46947" s="258"/>
    </row>
    <row r="46948" spans="1:26" ht="12.75" customHeight="1" x14ac:dyDescent="0.2">
      <c r="A46948" s="258"/>
      <c r="Z46948" s="258"/>
    </row>
    <row r="46949" spans="1:26" ht="12.75" customHeight="1" x14ac:dyDescent="0.2">
      <c r="A46949" s="258"/>
      <c r="Z46949" s="258"/>
    </row>
    <row r="46950" spans="1:26" ht="12.75" customHeight="1" x14ac:dyDescent="0.2">
      <c r="A46950" s="258"/>
      <c r="Z46950" s="258"/>
    </row>
    <row r="46951" spans="1:26" ht="12.75" customHeight="1" x14ac:dyDescent="0.2">
      <c r="A46951" s="258"/>
      <c r="Z46951" s="258"/>
    </row>
    <row r="46952" spans="1:26" ht="12.75" customHeight="1" x14ac:dyDescent="0.2">
      <c r="A46952" s="258"/>
      <c r="Z46952" s="258"/>
    </row>
    <row r="46953" spans="1:26" ht="12.75" customHeight="1" x14ac:dyDescent="0.2">
      <c r="A46953" s="258"/>
      <c r="Z46953" s="258"/>
    </row>
    <row r="46954" spans="1:26" ht="12.75" customHeight="1" x14ac:dyDescent="0.2">
      <c r="A46954" s="258"/>
      <c r="Z46954" s="258"/>
    </row>
    <row r="46955" spans="1:26" ht="12.75" customHeight="1" x14ac:dyDescent="0.2">
      <c r="A46955" s="258"/>
      <c r="Z46955" s="258"/>
    </row>
    <row r="46956" spans="1:26" ht="12.75" customHeight="1" x14ac:dyDescent="0.2">
      <c r="A46956" s="258"/>
      <c r="Z46956" s="258"/>
    </row>
    <row r="46957" spans="1:26" ht="12.75" customHeight="1" x14ac:dyDescent="0.2">
      <c r="A46957" s="258"/>
      <c r="Z46957" s="258"/>
    </row>
    <row r="46958" spans="1:26" ht="12.75" customHeight="1" x14ac:dyDescent="0.2">
      <c r="A46958" s="258"/>
      <c r="Z46958" s="258"/>
    </row>
    <row r="46959" spans="1:26" ht="12.75" customHeight="1" x14ac:dyDescent="0.2">
      <c r="A46959" s="258"/>
      <c r="Z46959" s="258"/>
    </row>
    <row r="46960" spans="1:26" ht="12.75" customHeight="1" x14ac:dyDescent="0.2">
      <c r="A46960" s="258"/>
      <c r="Z46960" s="258"/>
    </row>
    <row r="46961" spans="1:26" ht="12.75" customHeight="1" x14ac:dyDescent="0.2">
      <c r="A46961" s="258"/>
      <c r="Z46961" s="258"/>
    </row>
    <row r="46962" spans="1:26" ht="12.75" customHeight="1" x14ac:dyDescent="0.2">
      <c r="A46962" s="258"/>
      <c r="Z46962" s="258"/>
    </row>
    <row r="46963" spans="1:26" ht="12.75" customHeight="1" x14ac:dyDescent="0.2">
      <c r="A46963" s="258"/>
      <c r="Z46963" s="258"/>
    </row>
    <row r="46964" spans="1:26" ht="12.75" customHeight="1" x14ac:dyDescent="0.2">
      <c r="A46964" s="258"/>
      <c r="Z46964" s="258"/>
    </row>
    <row r="46965" spans="1:26" ht="12.75" customHeight="1" x14ac:dyDescent="0.2">
      <c r="A46965" s="258"/>
      <c r="Z46965" s="258"/>
    </row>
    <row r="46966" spans="1:26" ht="12.75" customHeight="1" x14ac:dyDescent="0.2">
      <c r="A46966" s="258"/>
      <c r="Z46966" s="258"/>
    </row>
    <row r="46967" spans="1:26" ht="12.75" customHeight="1" x14ac:dyDescent="0.2">
      <c r="A46967" s="258"/>
      <c r="Z46967" s="258"/>
    </row>
    <row r="46968" spans="1:26" ht="12.75" customHeight="1" x14ac:dyDescent="0.2">
      <c r="A46968" s="258"/>
      <c r="Z46968" s="258"/>
    </row>
    <row r="46969" spans="1:26" ht="12.75" customHeight="1" x14ac:dyDescent="0.2">
      <c r="A46969" s="258"/>
      <c r="Z46969" s="258"/>
    </row>
    <row r="46970" spans="1:26" ht="12.75" customHeight="1" x14ac:dyDescent="0.2">
      <c r="A46970" s="258"/>
      <c r="Z46970" s="258"/>
    </row>
    <row r="46971" spans="1:26" ht="12.75" customHeight="1" x14ac:dyDescent="0.2">
      <c r="A46971" s="258"/>
      <c r="Z46971" s="258"/>
    </row>
    <row r="46972" spans="1:26" ht="12.75" customHeight="1" x14ac:dyDescent="0.2">
      <c r="A46972" s="258"/>
      <c r="Z46972" s="258"/>
    </row>
    <row r="46973" spans="1:26" ht="12.75" customHeight="1" x14ac:dyDescent="0.2">
      <c r="A46973" s="258"/>
      <c r="Z46973" s="258"/>
    </row>
    <row r="46974" spans="1:26" ht="12.75" customHeight="1" x14ac:dyDescent="0.2">
      <c r="A46974" s="258"/>
      <c r="Z46974" s="258"/>
    </row>
    <row r="46975" spans="1:26" ht="12.75" customHeight="1" x14ac:dyDescent="0.2">
      <c r="A46975" s="258"/>
      <c r="Z46975" s="258"/>
    </row>
    <row r="46976" spans="1:26" ht="12.75" customHeight="1" x14ac:dyDescent="0.2">
      <c r="A46976" s="258"/>
      <c r="Z46976" s="258"/>
    </row>
    <row r="46977" spans="1:26" ht="12.75" customHeight="1" x14ac:dyDescent="0.2">
      <c r="A46977" s="258"/>
      <c r="Z46977" s="258"/>
    </row>
    <row r="46978" spans="1:26" ht="12.75" customHeight="1" x14ac:dyDescent="0.2">
      <c r="A46978" s="258"/>
      <c r="Z46978" s="258"/>
    </row>
    <row r="46979" spans="1:26" ht="12.75" customHeight="1" x14ac:dyDescent="0.2">
      <c r="A46979" s="258"/>
      <c r="Z46979" s="258"/>
    </row>
    <row r="46980" spans="1:26" ht="12.75" customHeight="1" x14ac:dyDescent="0.2">
      <c r="A46980" s="258"/>
      <c r="Z46980" s="258"/>
    </row>
    <row r="46981" spans="1:26" ht="12.75" customHeight="1" x14ac:dyDescent="0.2">
      <c r="A46981" s="258"/>
      <c r="Z46981" s="258"/>
    </row>
    <row r="46982" spans="1:26" ht="12.75" customHeight="1" x14ac:dyDescent="0.2">
      <c r="A46982" s="258"/>
      <c r="Z46982" s="258"/>
    </row>
    <row r="46983" spans="1:26" ht="12.75" customHeight="1" x14ac:dyDescent="0.2">
      <c r="A46983" s="258"/>
      <c r="Z46983" s="258"/>
    </row>
    <row r="46984" spans="1:26" ht="12.75" customHeight="1" x14ac:dyDescent="0.2">
      <c r="A46984" s="258"/>
      <c r="Z46984" s="258"/>
    </row>
    <row r="46985" spans="1:26" ht="12.75" customHeight="1" x14ac:dyDescent="0.2">
      <c r="A46985" s="258"/>
      <c r="Z46985" s="258"/>
    </row>
    <row r="46986" spans="1:26" ht="12.75" customHeight="1" x14ac:dyDescent="0.2">
      <c r="A46986" s="258"/>
      <c r="Z46986" s="258"/>
    </row>
    <row r="46987" spans="1:26" ht="12.75" customHeight="1" x14ac:dyDescent="0.2">
      <c r="A46987" s="258"/>
      <c r="Z46987" s="258"/>
    </row>
    <row r="46988" spans="1:26" ht="12.75" customHeight="1" x14ac:dyDescent="0.2">
      <c r="A46988" s="258"/>
      <c r="Z46988" s="258"/>
    </row>
    <row r="46989" spans="1:26" ht="12.75" customHeight="1" x14ac:dyDescent="0.2">
      <c r="A46989" s="258"/>
      <c r="Z46989" s="258"/>
    </row>
    <row r="46990" spans="1:26" ht="12.75" customHeight="1" x14ac:dyDescent="0.2">
      <c r="A46990" s="258"/>
      <c r="Z46990" s="258"/>
    </row>
    <row r="46991" spans="1:26" ht="12.75" customHeight="1" x14ac:dyDescent="0.2">
      <c r="A46991" s="258"/>
      <c r="Z46991" s="258"/>
    </row>
    <row r="46992" spans="1:26" ht="12.75" customHeight="1" x14ac:dyDescent="0.2">
      <c r="A46992" s="258"/>
      <c r="Z46992" s="258"/>
    </row>
    <row r="46993" spans="1:26" ht="12.75" customHeight="1" x14ac:dyDescent="0.2">
      <c r="A46993" s="258"/>
      <c r="Z46993" s="258"/>
    </row>
    <row r="46994" spans="1:26" ht="12.75" customHeight="1" x14ac:dyDescent="0.2">
      <c r="A46994" s="258"/>
      <c r="Z46994" s="258"/>
    </row>
    <row r="46995" spans="1:26" ht="12.75" customHeight="1" x14ac:dyDescent="0.2">
      <c r="A46995" s="258"/>
      <c r="Z46995" s="258"/>
    </row>
    <row r="46996" spans="1:26" ht="12.75" customHeight="1" x14ac:dyDescent="0.2">
      <c r="A46996" s="258"/>
      <c r="Z46996" s="258"/>
    </row>
    <row r="46997" spans="1:26" ht="12.75" customHeight="1" x14ac:dyDescent="0.2">
      <c r="A46997" s="258"/>
      <c r="Z46997" s="258"/>
    </row>
    <row r="46998" spans="1:26" ht="12.75" customHeight="1" x14ac:dyDescent="0.2">
      <c r="A46998" s="258"/>
      <c r="Z46998" s="258"/>
    </row>
    <row r="46999" spans="1:26" ht="12.75" customHeight="1" x14ac:dyDescent="0.2">
      <c r="A46999" s="258"/>
      <c r="Z46999" s="258"/>
    </row>
    <row r="47000" spans="1:26" ht="12.75" customHeight="1" x14ac:dyDescent="0.2">
      <c r="A47000" s="258"/>
      <c r="Z47000" s="258"/>
    </row>
    <row r="47001" spans="1:26" ht="12.75" customHeight="1" x14ac:dyDescent="0.2">
      <c r="A47001" s="258"/>
      <c r="Z47001" s="258"/>
    </row>
    <row r="47002" spans="1:26" ht="12.75" customHeight="1" x14ac:dyDescent="0.2">
      <c r="A47002" s="258"/>
      <c r="Z47002" s="258"/>
    </row>
    <row r="47003" spans="1:26" ht="12.75" customHeight="1" x14ac:dyDescent="0.2">
      <c r="A47003" s="258"/>
      <c r="Z47003" s="258"/>
    </row>
    <row r="47004" spans="1:26" ht="12.75" customHeight="1" x14ac:dyDescent="0.2">
      <c r="A47004" s="258"/>
      <c r="Z47004" s="258"/>
    </row>
    <row r="47005" spans="1:26" ht="12.75" customHeight="1" x14ac:dyDescent="0.2">
      <c r="A47005" s="258"/>
      <c r="Z47005" s="258"/>
    </row>
    <row r="47006" spans="1:26" ht="12.75" customHeight="1" x14ac:dyDescent="0.2">
      <c r="A47006" s="258"/>
      <c r="Z47006" s="258"/>
    </row>
    <row r="47007" spans="1:26" ht="12.75" customHeight="1" x14ac:dyDescent="0.2">
      <c r="A47007" s="258"/>
      <c r="Z47007" s="258"/>
    </row>
    <row r="47008" spans="1:26" ht="12.75" customHeight="1" x14ac:dyDescent="0.2">
      <c r="A47008" s="258"/>
      <c r="Z47008" s="258"/>
    </row>
    <row r="47009" spans="1:26" ht="12.75" customHeight="1" x14ac:dyDescent="0.2">
      <c r="A47009" s="258"/>
      <c r="Z47009" s="258"/>
    </row>
    <row r="47010" spans="1:26" ht="12.75" customHeight="1" x14ac:dyDescent="0.2">
      <c r="A47010" s="258"/>
      <c r="Z47010" s="258"/>
    </row>
    <row r="47011" spans="1:26" ht="12.75" customHeight="1" x14ac:dyDescent="0.2">
      <c r="A47011" s="258"/>
      <c r="Z47011" s="258"/>
    </row>
    <row r="47012" spans="1:26" ht="12.75" customHeight="1" x14ac:dyDescent="0.2">
      <c r="A47012" s="258"/>
      <c r="Z47012" s="258"/>
    </row>
    <row r="47013" spans="1:26" ht="12.75" customHeight="1" x14ac:dyDescent="0.2">
      <c r="A47013" s="258"/>
      <c r="Z47013" s="258"/>
    </row>
    <row r="47014" spans="1:26" ht="12.75" customHeight="1" x14ac:dyDescent="0.2">
      <c r="A47014" s="258"/>
      <c r="Z47014" s="258"/>
    </row>
    <row r="47015" spans="1:26" ht="12.75" customHeight="1" x14ac:dyDescent="0.2">
      <c r="A47015" s="258"/>
      <c r="Z47015" s="258"/>
    </row>
    <row r="47016" spans="1:26" ht="12.75" customHeight="1" x14ac:dyDescent="0.2">
      <c r="A47016" s="258"/>
      <c r="Z47016" s="258"/>
    </row>
    <row r="47017" spans="1:26" ht="12.75" customHeight="1" x14ac:dyDescent="0.2">
      <c r="A47017" s="258"/>
      <c r="Z47017" s="258"/>
    </row>
    <row r="47018" spans="1:26" ht="12.75" customHeight="1" x14ac:dyDescent="0.2">
      <c r="A47018" s="258"/>
      <c r="Z47018" s="258"/>
    </row>
    <row r="47019" spans="1:26" ht="12.75" customHeight="1" x14ac:dyDescent="0.2">
      <c r="A47019" s="258"/>
      <c r="Z47019" s="258"/>
    </row>
    <row r="47020" spans="1:26" ht="12.75" customHeight="1" x14ac:dyDescent="0.2">
      <c r="A47020" s="258"/>
      <c r="Z47020" s="258"/>
    </row>
    <row r="47021" spans="1:26" ht="12.75" customHeight="1" x14ac:dyDescent="0.2">
      <c r="A47021" s="258"/>
      <c r="Z47021" s="258"/>
    </row>
    <row r="47022" spans="1:26" ht="12.75" customHeight="1" x14ac:dyDescent="0.2">
      <c r="A47022" s="258"/>
      <c r="Z47022" s="258"/>
    </row>
    <row r="47023" spans="1:26" ht="12.75" customHeight="1" x14ac:dyDescent="0.2">
      <c r="A47023" s="258"/>
      <c r="Z47023" s="258"/>
    </row>
    <row r="47024" spans="1:26" ht="12.75" customHeight="1" x14ac:dyDescent="0.2">
      <c r="A47024" s="258"/>
      <c r="Z47024" s="258"/>
    </row>
    <row r="47025" spans="1:26" ht="12.75" customHeight="1" x14ac:dyDescent="0.2">
      <c r="A47025" s="258"/>
      <c r="Z47025" s="258"/>
    </row>
    <row r="47026" spans="1:26" ht="12.75" customHeight="1" x14ac:dyDescent="0.2">
      <c r="A47026" s="258"/>
      <c r="Z47026" s="258"/>
    </row>
    <row r="47027" spans="1:26" ht="12.75" customHeight="1" x14ac:dyDescent="0.2">
      <c r="A47027" s="258"/>
      <c r="Z47027" s="258"/>
    </row>
    <row r="47028" spans="1:26" ht="12.75" customHeight="1" x14ac:dyDescent="0.2">
      <c r="A47028" s="258"/>
      <c r="Z47028" s="258"/>
    </row>
    <row r="47029" spans="1:26" ht="12.75" customHeight="1" x14ac:dyDescent="0.2">
      <c r="A47029" s="258"/>
      <c r="Z47029" s="258"/>
    </row>
    <row r="47030" spans="1:26" ht="12.75" customHeight="1" x14ac:dyDescent="0.2">
      <c r="A47030" s="258"/>
      <c r="Z47030" s="258"/>
    </row>
    <row r="47031" spans="1:26" ht="12.75" customHeight="1" x14ac:dyDescent="0.2">
      <c r="A47031" s="258"/>
      <c r="Z47031" s="258"/>
    </row>
    <row r="47032" spans="1:26" ht="12.75" customHeight="1" x14ac:dyDescent="0.2">
      <c r="A47032" s="258"/>
      <c r="Z47032" s="258"/>
    </row>
    <row r="47033" spans="1:26" ht="12.75" customHeight="1" x14ac:dyDescent="0.2">
      <c r="A47033" s="258"/>
      <c r="Z47033" s="258"/>
    </row>
    <row r="47034" spans="1:26" ht="12.75" customHeight="1" x14ac:dyDescent="0.2">
      <c r="A47034" s="258"/>
      <c r="Z47034" s="258"/>
    </row>
    <row r="47035" spans="1:26" ht="12.75" customHeight="1" x14ac:dyDescent="0.2">
      <c r="A47035" s="258"/>
      <c r="Z47035" s="258"/>
    </row>
    <row r="47036" spans="1:26" ht="12.75" customHeight="1" x14ac:dyDescent="0.2">
      <c r="A47036" s="258"/>
      <c r="Z47036" s="258"/>
    </row>
    <row r="47037" spans="1:26" ht="12.75" customHeight="1" x14ac:dyDescent="0.2">
      <c r="A47037" s="258"/>
      <c r="Z47037" s="258"/>
    </row>
    <row r="47038" spans="1:26" ht="12.75" customHeight="1" x14ac:dyDescent="0.2">
      <c r="A47038" s="258"/>
      <c r="Z47038" s="258"/>
    </row>
    <row r="47039" spans="1:26" ht="12.75" customHeight="1" x14ac:dyDescent="0.2">
      <c r="A47039" s="258"/>
      <c r="Z47039" s="258"/>
    </row>
    <row r="47040" spans="1:26" ht="12.75" customHeight="1" x14ac:dyDescent="0.2">
      <c r="A47040" s="258"/>
      <c r="Z47040" s="258"/>
    </row>
    <row r="47041" spans="1:26" ht="12.75" customHeight="1" x14ac:dyDescent="0.2">
      <c r="A47041" s="258"/>
      <c r="Z47041" s="258"/>
    </row>
    <row r="47042" spans="1:26" ht="12.75" customHeight="1" x14ac:dyDescent="0.2">
      <c r="A47042" s="258"/>
      <c r="Z47042" s="258"/>
    </row>
    <row r="47043" spans="1:26" ht="12.75" customHeight="1" x14ac:dyDescent="0.2">
      <c r="A47043" s="258"/>
      <c r="Z47043" s="258"/>
    </row>
    <row r="47044" spans="1:26" ht="12.75" customHeight="1" x14ac:dyDescent="0.2">
      <c r="A47044" s="258"/>
      <c r="Z47044" s="258"/>
    </row>
    <row r="47045" spans="1:26" ht="12.75" customHeight="1" x14ac:dyDescent="0.2">
      <c r="A47045" s="258"/>
      <c r="Z47045" s="258"/>
    </row>
    <row r="47046" spans="1:26" ht="12.75" customHeight="1" x14ac:dyDescent="0.2">
      <c r="A47046" s="258"/>
      <c r="Z47046" s="258"/>
    </row>
    <row r="47047" spans="1:26" ht="12.75" customHeight="1" x14ac:dyDescent="0.2">
      <c r="A47047" s="258"/>
      <c r="Z47047" s="258"/>
    </row>
    <row r="47048" spans="1:26" ht="12.75" customHeight="1" x14ac:dyDescent="0.2">
      <c r="A47048" s="258"/>
      <c r="Z47048" s="258"/>
    </row>
    <row r="47049" spans="1:26" ht="12.75" customHeight="1" x14ac:dyDescent="0.2">
      <c r="A47049" s="258"/>
      <c r="Z47049" s="258"/>
    </row>
    <row r="47050" spans="1:26" ht="12.75" customHeight="1" x14ac:dyDescent="0.2">
      <c r="A47050" s="258"/>
      <c r="Z47050" s="258"/>
    </row>
    <row r="47051" spans="1:26" ht="12.75" customHeight="1" x14ac:dyDescent="0.2">
      <c r="A47051" s="258"/>
      <c r="Z47051" s="258"/>
    </row>
    <row r="47052" spans="1:26" ht="12.75" customHeight="1" x14ac:dyDescent="0.2">
      <c r="A47052" s="258"/>
      <c r="Z47052" s="258"/>
    </row>
    <row r="47053" spans="1:26" ht="12.75" customHeight="1" x14ac:dyDescent="0.2">
      <c r="A47053" s="258"/>
      <c r="Z47053" s="258"/>
    </row>
    <row r="47054" spans="1:26" ht="12.75" customHeight="1" x14ac:dyDescent="0.2">
      <c r="A47054" s="258"/>
      <c r="Z47054" s="258"/>
    </row>
    <row r="47055" spans="1:26" ht="12.75" customHeight="1" x14ac:dyDescent="0.2">
      <c r="A47055" s="258"/>
      <c r="Z47055" s="258"/>
    </row>
    <row r="47056" spans="1:26" ht="12.75" customHeight="1" x14ac:dyDescent="0.2">
      <c r="A47056" s="258"/>
      <c r="Z47056" s="258"/>
    </row>
    <row r="47057" spans="1:26" ht="12.75" customHeight="1" x14ac:dyDescent="0.2">
      <c r="A47057" s="258"/>
      <c r="Z47057" s="258"/>
    </row>
    <row r="47058" spans="1:26" ht="12.75" customHeight="1" x14ac:dyDescent="0.2">
      <c r="A47058" s="258"/>
      <c r="Z47058" s="258"/>
    </row>
    <row r="47059" spans="1:26" ht="12.75" customHeight="1" x14ac:dyDescent="0.2">
      <c r="A47059" s="258"/>
      <c r="Z47059" s="258"/>
    </row>
    <row r="47060" spans="1:26" ht="12.75" customHeight="1" x14ac:dyDescent="0.2">
      <c r="A47060" s="258"/>
      <c r="Z47060" s="258"/>
    </row>
    <row r="47061" spans="1:26" ht="12.75" customHeight="1" x14ac:dyDescent="0.2">
      <c r="A47061" s="258"/>
      <c r="Z47061" s="258"/>
    </row>
    <row r="47062" spans="1:26" ht="12.75" customHeight="1" x14ac:dyDescent="0.2">
      <c r="A47062" s="258"/>
      <c r="Z47062" s="258"/>
    </row>
    <row r="47063" spans="1:26" ht="12.75" customHeight="1" x14ac:dyDescent="0.2">
      <c r="A47063" s="258"/>
      <c r="Z47063" s="258"/>
    </row>
    <row r="47064" spans="1:26" ht="12.75" customHeight="1" x14ac:dyDescent="0.2">
      <c r="A47064" s="258"/>
      <c r="Z47064" s="258"/>
    </row>
    <row r="47065" spans="1:26" ht="12.75" customHeight="1" x14ac:dyDescent="0.2">
      <c r="A47065" s="258"/>
      <c r="Z47065" s="258"/>
    </row>
    <row r="47066" spans="1:26" ht="12.75" customHeight="1" x14ac:dyDescent="0.2">
      <c r="A47066" s="258"/>
      <c r="Z47066" s="258"/>
    </row>
    <row r="47067" spans="1:26" ht="12.75" customHeight="1" x14ac:dyDescent="0.2">
      <c r="A47067" s="258"/>
      <c r="Z47067" s="258"/>
    </row>
    <row r="47068" spans="1:26" ht="12.75" customHeight="1" x14ac:dyDescent="0.2">
      <c r="A47068" s="258"/>
      <c r="Z47068" s="258"/>
    </row>
    <row r="47069" spans="1:26" ht="12.75" customHeight="1" x14ac:dyDescent="0.2">
      <c r="A47069" s="258"/>
      <c r="Z47069" s="258"/>
    </row>
    <row r="47070" spans="1:26" ht="12.75" customHeight="1" x14ac:dyDescent="0.2">
      <c r="A47070" s="258"/>
      <c r="Z47070" s="258"/>
    </row>
    <row r="47071" spans="1:26" ht="12.75" customHeight="1" x14ac:dyDescent="0.2">
      <c r="A47071" s="258"/>
      <c r="Z47071" s="258"/>
    </row>
    <row r="47072" spans="1:26" ht="12.75" customHeight="1" x14ac:dyDescent="0.2">
      <c r="A47072" s="258"/>
      <c r="Z47072" s="258"/>
    </row>
    <row r="47073" spans="1:26" ht="12.75" customHeight="1" x14ac:dyDescent="0.2">
      <c r="A47073" s="258"/>
      <c r="Z47073" s="258"/>
    </row>
    <row r="47074" spans="1:26" ht="12.75" customHeight="1" x14ac:dyDescent="0.2">
      <c r="A47074" s="258"/>
      <c r="Z47074" s="258"/>
    </row>
    <row r="47075" spans="1:26" ht="12.75" customHeight="1" x14ac:dyDescent="0.2">
      <c r="A47075" s="258"/>
      <c r="Z47075" s="258"/>
    </row>
    <row r="47076" spans="1:26" ht="12.75" customHeight="1" x14ac:dyDescent="0.2">
      <c r="A47076" s="258"/>
      <c r="Z47076" s="258"/>
    </row>
    <row r="47077" spans="1:26" ht="12.75" customHeight="1" x14ac:dyDescent="0.2">
      <c r="A47077" s="258"/>
      <c r="Z47077" s="258"/>
    </row>
    <row r="47078" spans="1:26" ht="12.75" customHeight="1" x14ac:dyDescent="0.2">
      <c r="A47078" s="258"/>
      <c r="Z47078" s="258"/>
    </row>
    <row r="47079" spans="1:26" ht="12.75" customHeight="1" x14ac:dyDescent="0.2">
      <c r="A47079" s="258"/>
      <c r="Z47079" s="258"/>
    </row>
    <row r="47080" spans="1:26" ht="12.75" customHeight="1" x14ac:dyDescent="0.2">
      <c r="A47080" s="258"/>
      <c r="Z47080" s="258"/>
    </row>
    <row r="47081" spans="1:26" ht="12.75" customHeight="1" x14ac:dyDescent="0.2">
      <c r="A47081" s="258"/>
      <c r="Z47081" s="258"/>
    </row>
    <row r="47082" spans="1:26" ht="12.75" customHeight="1" x14ac:dyDescent="0.2">
      <c r="A47082" s="258"/>
      <c r="Z47082" s="258"/>
    </row>
    <row r="47083" spans="1:26" ht="12.75" customHeight="1" x14ac:dyDescent="0.2">
      <c r="A47083" s="258"/>
      <c r="Z47083" s="258"/>
    </row>
    <row r="47084" spans="1:26" ht="12.75" customHeight="1" x14ac:dyDescent="0.2">
      <c r="A47084" s="258"/>
      <c r="Z47084" s="258"/>
    </row>
    <row r="47085" spans="1:26" ht="12.75" customHeight="1" x14ac:dyDescent="0.2">
      <c r="A47085" s="258"/>
      <c r="Z47085" s="258"/>
    </row>
    <row r="47086" spans="1:26" ht="12.75" customHeight="1" x14ac:dyDescent="0.2">
      <c r="A47086" s="258"/>
      <c r="Z47086" s="258"/>
    </row>
    <row r="47087" spans="1:26" ht="12.75" customHeight="1" x14ac:dyDescent="0.2">
      <c r="A47087" s="258"/>
      <c r="Z47087" s="258"/>
    </row>
    <row r="47088" spans="1:26" ht="12.75" customHeight="1" x14ac:dyDescent="0.2">
      <c r="A47088" s="258"/>
      <c r="Z47088" s="258"/>
    </row>
    <row r="47089" spans="1:26" ht="12.75" customHeight="1" x14ac:dyDescent="0.2">
      <c r="A47089" s="258"/>
      <c r="Z47089" s="258"/>
    </row>
    <row r="47090" spans="1:26" ht="12.75" customHeight="1" x14ac:dyDescent="0.2">
      <c r="A47090" s="258"/>
      <c r="Z47090" s="258"/>
    </row>
    <row r="47091" spans="1:26" ht="12.75" customHeight="1" x14ac:dyDescent="0.2">
      <c r="A47091" s="258"/>
      <c r="Z47091" s="258"/>
    </row>
    <row r="47092" spans="1:26" ht="12.75" customHeight="1" x14ac:dyDescent="0.2">
      <c r="A47092" s="258"/>
      <c r="Z47092" s="258"/>
    </row>
    <row r="47093" spans="1:26" ht="12.75" customHeight="1" x14ac:dyDescent="0.2">
      <c r="A47093" s="258"/>
      <c r="Z47093" s="258"/>
    </row>
    <row r="47094" spans="1:26" ht="12.75" customHeight="1" x14ac:dyDescent="0.2">
      <c r="A47094" s="258"/>
      <c r="Z47094" s="258"/>
    </row>
    <row r="47095" spans="1:26" ht="12.75" customHeight="1" x14ac:dyDescent="0.2">
      <c r="A47095" s="258"/>
      <c r="Z47095" s="258"/>
    </row>
    <row r="47096" spans="1:26" ht="12.75" customHeight="1" x14ac:dyDescent="0.2">
      <c r="A47096" s="258"/>
      <c r="Z47096" s="258"/>
    </row>
    <row r="47097" spans="1:26" ht="12.75" customHeight="1" x14ac:dyDescent="0.2">
      <c r="A47097" s="258"/>
      <c r="Z47097" s="258"/>
    </row>
    <row r="47098" spans="1:26" ht="12.75" customHeight="1" x14ac:dyDescent="0.2">
      <c r="A47098" s="258"/>
      <c r="Z47098" s="258"/>
    </row>
    <row r="47099" spans="1:26" ht="12.75" customHeight="1" x14ac:dyDescent="0.2">
      <c r="A47099" s="258"/>
      <c r="Z47099" s="258"/>
    </row>
    <row r="47100" spans="1:26" ht="12.75" customHeight="1" x14ac:dyDescent="0.2">
      <c r="A47100" s="258"/>
      <c r="Z47100" s="258"/>
    </row>
    <row r="47101" spans="1:26" ht="12.75" customHeight="1" x14ac:dyDescent="0.2">
      <c r="A47101" s="258"/>
      <c r="Z47101" s="258"/>
    </row>
    <row r="47102" spans="1:26" ht="12.75" customHeight="1" x14ac:dyDescent="0.2">
      <c r="A47102" s="258"/>
      <c r="Z47102" s="258"/>
    </row>
    <row r="47103" spans="1:26" ht="12.75" customHeight="1" x14ac:dyDescent="0.2">
      <c r="A47103" s="258"/>
      <c r="Z47103" s="258"/>
    </row>
    <row r="47104" spans="1:26" ht="12.75" customHeight="1" x14ac:dyDescent="0.2">
      <c r="A47104" s="258"/>
      <c r="Z47104" s="258"/>
    </row>
    <row r="47105" spans="1:26" ht="12.75" customHeight="1" x14ac:dyDescent="0.2">
      <c r="A47105" s="258"/>
      <c r="Z47105" s="258"/>
    </row>
    <row r="47106" spans="1:26" ht="12.75" customHeight="1" x14ac:dyDescent="0.2">
      <c r="A47106" s="258"/>
      <c r="Z47106" s="258"/>
    </row>
    <row r="47107" spans="1:26" ht="12.75" customHeight="1" x14ac:dyDescent="0.2">
      <c r="A47107" s="258"/>
      <c r="Z47107" s="258"/>
    </row>
    <row r="47108" spans="1:26" ht="12.75" customHeight="1" x14ac:dyDescent="0.2">
      <c r="A47108" s="258"/>
      <c r="Z47108" s="258"/>
    </row>
    <row r="47109" spans="1:26" ht="12.75" customHeight="1" x14ac:dyDescent="0.2">
      <c r="A47109" s="258"/>
      <c r="Z47109" s="258"/>
    </row>
    <row r="47110" spans="1:26" ht="12.75" customHeight="1" x14ac:dyDescent="0.2">
      <c r="A47110" s="258"/>
      <c r="Z47110" s="258"/>
    </row>
    <row r="47111" spans="1:26" ht="12.75" customHeight="1" x14ac:dyDescent="0.2">
      <c r="A47111" s="258"/>
      <c r="Z47111" s="258"/>
    </row>
    <row r="47112" spans="1:26" ht="12.75" customHeight="1" x14ac:dyDescent="0.2">
      <c r="A47112" s="258"/>
      <c r="Z47112" s="258"/>
    </row>
    <row r="47113" spans="1:26" ht="12.75" customHeight="1" x14ac:dyDescent="0.2">
      <c r="A47113" s="258"/>
      <c r="Z47113" s="258"/>
    </row>
    <row r="47114" spans="1:26" ht="12.75" customHeight="1" x14ac:dyDescent="0.2">
      <c r="A47114" s="258"/>
      <c r="Z47114" s="258"/>
    </row>
    <row r="47115" spans="1:26" ht="12.75" customHeight="1" x14ac:dyDescent="0.2">
      <c r="A47115" s="258"/>
      <c r="Z47115" s="258"/>
    </row>
    <row r="47116" spans="1:26" ht="12.75" customHeight="1" x14ac:dyDescent="0.2">
      <c r="A47116" s="258"/>
      <c r="Z47116" s="258"/>
    </row>
    <row r="47117" spans="1:26" ht="12.75" customHeight="1" x14ac:dyDescent="0.2">
      <c r="A47117" s="258"/>
      <c r="Z47117" s="258"/>
    </row>
    <row r="47118" spans="1:26" ht="12.75" customHeight="1" x14ac:dyDescent="0.2">
      <c r="A47118" s="258"/>
      <c r="Z47118" s="258"/>
    </row>
    <row r="47119" spans="1:26" ht="12.75" customHeight="1" x14ac:dyDescent="0.2">
      <c r="A47119" s="258"/>
      <c r="Z47119" s="258"/>
    </row>
    <row r="47120" spans="1:26" ht="12.75" customHeight="1" x14ac:dyDescent="0.2">
      <c r="A47120" s="258"/>
      <c r="Z47120" s="258"/>
    </row>
    <row r="47121" spans="1:26" ht="12.75" customHeight="1" x14ac:dyDescent="0.2">
      <c r="A47121" s="258"/>
      <c r="Z47121" s="258"/>
    </row>
    <row r="47122" spans="1:26" ht="12.75" customHeight="1" x14ac:dyDescent="0.2">
      <c r="A47122" s="258"/>
      <c r="Z47122" s="258"/>
    </row>
    <row r="47123" spans="1:26" ht="12.75" customHeight="1" x14ac:dyDescent="0.2">
      <c r="A47123" s="258"/>
      <c r="Z47123" s="258"/>
    </row>
    <row r="47124" spans="1:26" ht="12.75" customHeight="1" x14ac:dyDescent="0.2">
      <c r="A47124" s="258"/>
      <c r="Z47124" s="258"/>
    </row>
    <row r="47125" spans="1:26" ht="12.75" customHeight="1" x14ac:dyDescent="0.2">
      <c r="A47125" s="258"/>
      <c r="Z47125" s="258"/>
    </row>
    <row r="47126" spans="1:26" ht="12.75" customHeight="1" x14ac:dyDescent="0.2">
      <c r="A47126" s="258"/>
      <c r="Z47126" s="258"/>
    </row>
    <row r="47127" spans="1:26" ht="12.75" customHeight="1" x14ac:dyDescent="0.2">
      <c r="A47127" s="258"/>
      <c r="Z47127" s="258"/>
    </row>
    <row r="47128" spans="1:26" ht="12.75" customHeight="1" x14ac:dyDescent="0.2">
      <c r="A47128" s="258"/>
      <c r="Z47128" s="258"/>
    </row>
    <row r="47129" spans="1:26" ht="12.75" customHeight="1" x14ac:dyDescent="0.2">
      <c r="A47129" s="258"/>
      <c r="Z47129" s="258"/>
    </row>
    <row r="47130" spans="1:26" ht="12.75" customHeight="1" x14ac:dyDescent="0.2">
      <c r="A47130" s="258"/>
      <c r="Z47130" s="258"/>
    </row>
    <row r="47131" spans="1:26" ht="12.75" customHeight="1" x14ac:dyDescent="0.2">
      <c r="A47131" s="258"/>
      <c r="Z47131" s="258"/>
    </row>
    <row r="47132" spans="1:26" ht="12.75" customHeight="1" x14ac:dyDescent="0.2">
      <c r="A47132" s="258"/>
      <c r="Z47132" s="258"/>
    </row>
    <row r="47133" spans="1:26" ht="12.75" customHeight="1" x14ac:dyDescent="0.2">
      <c r="A47133" s="258"/>
      <c r="Z47133" s="258"/>
    </row>
    <row r="47134" spans="1:26" ht="12.75" customHeight="1" x14ac:dyDescent="0.2">
      <c r="A47134" s="258"/>
      <c r="Z47134" s="258"/>
    </row>
    <row r="47135" spans="1:26" ht="12.75" customHeight="1" x14ac:dyDescent="0.2">
      <c r="A47135" s="258"/>
      <c r="Z47135" s="258"/>
    </row>
    <row r="47136" spans="1:26" ht="12.75" customHeight="1" x14ac:dyDescent="0.2">
      <c r="A47136" s="258"/>
      <c r="Z47136" s="258"/>
    </row>
    <row r="47137" spans="1:26" ht="12.75" customHeight="1" x14ac:dyDescent="0.2">
      <c r="A47137" s="258"/>
      <c r="Z47137" s="258"/>
    </row>
    <row r="47138" spans="1:26" ht="12.75" customHeight="1" x14ac:dyDescent="0.2">
      <c r="A47138" s="258"/>
      <c r="Z47138" s="258"/>
    </row>
    <row r="47139" spans="1:26" ht="12.75" customHeight="1" x14ac:dyDescent="0.2">
      <c r="A47139" s="258"/>
      <c r="Z47139" s="258"/>
    </row>
    <row r="47140" spans="1:26" ht="12.75" customHeight="1" x14ac:dyDescent="0.2">
      <c r="A47140" s="258"/>
      <c r="Z47140" s="258"/>
    </row>
    <row r="47141" spans="1:26" ht="12.75" customHeight="1" x14ac:dyDescent="0.2">
      <c r="A47141" s="258"/>
      <c r="Z47141" s="258"/>
    </row>
    <row r="47142" spans="1:26" ht="12.75" customHeight="1" x14ac:dyDescent="0.2">
      <c r="A47142" s="258"/>
      <c r="Z47142" s="258"/>
    </row>
    <row r="47143" spans="1:26" ht="12.75" customHeight="1" x14ac:dyDescent="0.2">
      <c r="A47143" s="258"/>
      <c r="Z47143" s="258"/>
    </row>
    <row r="47144" spans="1:26" ht="12.75" customHeight="1" x14ac:dyDescent="0.2">
      <c r="A47144" s="258"/>
      <c r="Z47144" s="258"/>
    </row>
    <row r="47145" spans="1:26" ht="12.75" customHeight="1" x14ac:dyDescent="0.2">
      <c r="A47145" s="258"/>
      <c r="Z47145" s="258"/>
    </row>
    <row r="47146" spans="1:26" ht="12.75" customHeight="1" x14ac:dyDescent="0.2">
      <c r="A47146" s="258"/>
      <c r="Z47146" s="258"/>
    </row>
    <row r="47147" spans="1:26" ht="12.75" customHeight="1" x14ac:dyDescent="0.2">
      <c r="A47147" s="258"/>
      <c r="Z47147" s="258"/>
    </row>
    <row r="47148" spans="1:26" ht="12.75" customHeight="1" x14ac:dyDescent="0.2">
      <c r="A47148" s="258"/>
      <c r="Z47148" s="258"/>
    </row>
    <row r="47149" spans="1:26" ht="12.75" customHeight="1" x14ac:dyDescent="0.2">
      <c r="A47149" s="258"/>
      <c r="Z47149" s="258"/>
    </row>
    <row r="47150" spans="1:26" ht="12.75" customHeight="1" x14ac:dyDescent="0.2">
      <c r="A47150" s="258"/>
      <c r="Z47150" s="258"/>
    </row>
    <row r="47151" spans="1:26" ht="12.75" customHeight="1" x14ac:dyDescent="0.2">
      <c r="A47151" s="258"/>
      <c r="Z47151" s="258"/>
    </row>
    <row r="47152" spans="1:26" ht="12.75" customHeight="1" x14ac:dyDescent="0.2">
      <c r="A47152" s="258"/>
      <c r="Z47152" s="258"/>
    </row>
    <row r="47153" spans="1:26" ht="12.75" customHeight="1" x14ac:dyDescent="0.2">
      <c r="A47153" s="258"/>
      <c r="Z47153" s="258"/>
    </row>
    <row r="47154" spans="1:26" ht="12.75" customHeight="1" x14ac:dyDescent="0.2">
      <c r="A47154" s="258"/>
      <c r="Z47154" s="258"/>
    </row>
    <row r="47155" spans="1:26" ht="12.75" customHeight="1" x14ac:dyDescent="0.2">
      <c r="A47155" s="258"/>
      <c r="Z47155" s="258"/>
    </row>
    <row r="47156" spans="1:26" ht="12.75" customHeight="1" x14ac:dyDescent="0.2">
      <c r="A47156" s="258"/>
      <c r="Z47156" s="258"/>
    </row>
    <row r="47157" spans="1:26" ht="12.75" customHeight="1" x14ac:dyDescent="0.2">
      <c r="A47157" s="258"/>
      <c r="Z47157" s="258"/>
    </row>
    <row r="47158" spans="1:26" ht="12.75" customHeight="1" x14ac:dyDescent="0.2">
      <c r="A47158" s="258"/>
      <c r="Z47158" s="258"/>
    </row>
    <row r="47159" spans="1:26" ht="12.75" customHeight="1" x14ac:dyDescent="0.2">
      <c r="A47159" s="258"/>
      <c r="Z47159" s="258"/>
    </row>
    <row r="47160" spans="1:26" ht="12.75" customHeight="1" x14ac:dyDescent="0.2">
      <c r="A47160" s="258"/>
      <c r="Z47160" s="258"/>
    </row>
    <row r="47161" spans="1:26" ht="12.75" customHeight="1" x14ac:dyDescent="0.2">
      <c r="A47161" s="258"/>
      <c r="Z47161" s="258"/>
    </row>
    <row r="47162" spans="1:26" ht="12.75" customHeight="1" x14ac:dyDescent="0.2">
      <c r="A47162" s="258"/>
      <c r="Z47162" s="258"/>
    </row>
    <row r="47163" spans="1:26" ht="12.75" customHeight="1" x14ac:dyDescent="0.2">
      <c r="A47163" s="258"/>
      <c r="Z47163" s="258"/>
    </row>
    <row r="47164" spans="1:26" ht="12.75" customHeight="1" x14ac:dyDescent="0.2">
      <c r="A47164" s="258"/>
      <c r="Z47164" s="258"/>
    </row>
    <row r="47165" spans="1:26" ht="12.75" customHeight="1" x14ac:dyDescent="0.2">
      <c r="A47165" s="258"/>
      <c r="Z47165" s="258"/>
    </row>
    <row r="47166" spans="1:26" ht="12.75" customHeight="1" x14ac:dyDescent="0.2">
      <c r="A47166" s="258"/>
      <c r="Z47166" s="258"/>
    </row>
    <row r="47167" spans="1:26" ht="12.75" customHeight="1" x14ac:dyDescent="0.2">
      <c r="A47167" s="258"/>
      <c r="Z47167" s="258"/>
    </row>
    <row r="47168" spans="1:26" ht="12.75" customHeight="1" x14ac:dyDescent="0.2">
      <c r="A47168" s="258"/>
      <c r="Z47168" s="258"/>
    </row>
    <row r="47169" spans="1:26" ht="12.75" customHeight="1" x14ac:dyDescent="0.2">
      <c r="A47169" s="258"/>
      <c r="Z47169" s="258"/>
    </row>
    <row r="47170" spans="1:26" ht="12.75" customHeight="1" x14ac:dyDescent="0.2">
      <c r="A47170" s="258"/>
      <c r="Z47170" s="258"/>
    </row>
    <row r="47171" spans="1:26" ht="12.75" customHeight="1" x14ac:dyDescent="0.2">
      <c r="A47171" s="258"/>
      <c r="Z47171" s="258"/>
    </row>
    <row r="47172" spans="1:26" ht="12.75" customHeight="1" x14ac:dyDescent="0.2">
      <c r="A47172" s="258"/>
      <c r="Z47172" s="258"/>
    </row>
    <row r="47173" spans="1:26" ht="12.75" customHeight="1" x14ac:dyDescent="0.2">
      <c r="A47173" s="258"/>
      <c r="Z47173" s="258"/>
    </row>
    <row r="47174" spans="1:26" ht="12.75" customHeight="1" x14ac:dyDescent="0.2">
      <c r="A47174" s="258"/>
      <c r="Z47174" s="258"/>
    </row>
    <row r="47175" spans="1:26" ht="12.75" customHeight="1" x14ac:dyDescent="0.2">
      <c r="A47175" s="258"/>
      <c r="Z47175" s="258"/>
    </row>
    <row r="47176" spans="1:26" ht="12.75" customHeight="1" x14ac:dyDescent="0.2">
      <c r="A47176" s="258"/>
      <c r="Z47176" s="258"/>
    </row>
    <row r="47177" spans="1:26" ht="12.75" customHeight="1" x14ac:dyDescent="0.2">
      <c r="A47177" s="258"/>
      <c r="Z47177" s="258"/>
    </row>
    <row r="47178" spans="1:26" ht="12.75" customHeight="1" x14ac:dyDescent="0.2">
      <c r="A47178" s="258"/>
      <c r="Z47178" s="258"/>
    </row>
    <row r="47179" spans="1:26" ht="12.75" customHeight="1" x14ac:dyDescent="0.2">
      <c r="A47179" s="258"/>
      <c r="Z47179" s="258"/>
    </row>
    <row r="47180" spans="1:26" ht="12.75" customHeight="1" x14ac:dyDescent="0.2">
      <c r="A47180" s="258"/>
      <c r="Z47180" s="258"/>
    </row>
    <row r="47181" spans="1:26" ht="12.75" customHeight="1" x14ac:dyDescent="0.2">
      <c r="A47181" s="258"/>
      <c r="Z47181" s="258"/>
    </row>
    <row r="47182" spans="1:26" ht="12.75" customHeight="1" x14ac:dyDescent="0.2">
      <c r="A47182" s="258"/>
      <c r="Z47182" s="258"/>
    </row>
    <row r="47183" spans="1:26" ht="12.75" customHeight="1" x14ac:dyDescent="0.2">
      <c r="A47183" s="258"/>
      <c r="Z47183" s="258"/>
    </row>
    <row r="47184" spans="1:26" ht="12.75" customHeight="1" x14ac:dyDescent="0.2">
      <c r="A47184" s="258"/>
      <c r="Z47184" s="258"/>
    </row>
    <row r="47185" spans="1:26" ht="12.75" customHeight="1" x14ac:dyDescent="0.2">
      <c r="A47185" s="258"/>
      <c r="Z47185" s="258"/>
    </row>
    <row r="47186" spans="1:26" ht="12.75" customHeight="1" x14ac:dyDescent="0.2">
      <c r="A47186" s="258"/>
      <c r="Z47186" s="258"/>
    </row>
    <row r="47187" spans="1:26" ht="12.75" customHeight="1" x14ac:dyDescent="0.2">
      <c r="A47187" s="258"/>
      <c r="Z47187" s="258"/>
    </row>
    <row r="47188" spans="1:26" ht="12.75" customHeight="1" x14ac:dyDescent="0.2">
      <c r="A47188" s="258"/>
      <c r="Z47188" s="258"/>
    </row>
    <row r="47189" spans="1:26" ht="12.75" customHeight="1" x14ac:dyDescent="0.2">
      <c r="A47189" s="258"/>
      <c r="Z47189" s="258"/>
    </row>
    <row r="47190" spans="1:26" ht="12.75" customHeight="1" x14ac:dyDescent="0.2">
      <c r="A47190" s="258"/>
      <c r="Z47190" s="258"/>
    </row>
    <row r="47191" spans="1:26" ht="12.75" customHeight="1" x14ac:dyDescent="0.2">
      <c r="A47191" s="258"/>
      <c r="Z47191" s="258"/>
    </row>
    <row r="47192" spans="1:26" ht="12.75" customHeight="1" x14ac:dyDescent="0.2">
      <c r="A47192" s="258"/>
      <c r="Z47192" s="258"/>
    </row>
    <row r="47193" spans="1:26" ht="12.75" customHeight="1" x14ac:dyDescent="0.2">
      <c r="A47193" s="258"/>
      <c r="Z47193" s="258"/>
    </row>
    <row r="47194" spans="1:26" ht="12.75" customHeight="1" x14ac:dyDescent="0.2">
      <c r="A47194" s="258"/>
      <c r="Z47194" s="258"/>
    </row>
    <row r="47195" spans="1:26" ht="12.75" customHeight="1" x14ac:dyDescent="0.2">
      <c r="A47195" s="258"/>
      <c r="Z47195" s="258"/>
    </row>
    <row r="47196" spans="1:26" ht="12.75" customHeight="1" x14ac:dyDescent="0.2">
      <c r="A47196" s="258"/>
      <c r="Z47196" s="258"/>
    </row>
    <row r="47197" spans="1:26" ht="12.75" customHeight="1" x14ac:dyDescent="0.2">
      <c r="A47197" s="258"/>
      <c r="Z47197" s="258"/>
    </row>
    <row r="47198" spans="1:26" ht="12.75" customHeight="1" x14ac:dyDescent="0.2">
      <c r="A47198" s="258"/>
      <c r="Z47198" s="258"/>
    </row>
    <row r="47199" spans="1:26" ht="12.75" customHeight="1" x14ac:dyDescent="0.2">
      <c r="A47199" s="258"/>
      <c r="Z47199" s="258"/>
    </row>
    <row r="47200" spans="1:26" ht="12.75" customHeight="1" x14ac:dyDescent="0.2">
      <c r="A47200" s="258"/>
      <c r="Z47200" s="258"/>
    </row>
    <row r="47201" spans="1:26" ht="12.75" customHeight="1" x14ac:dyDescent="0.2">
      <c r="A47201" s="258"/>
      <c r="Z47201" s="258"/>
    </row>
    <row r="47202" spans="1:26" ht="12.75" customHeight="1" x14ac:dyDescent="0.2">
      <c r="A47202" s="258"/>
      <c r="Z47202" s="258"/>
    </row>
    <row r="47203" spans="1:26" ht="12.75" customHeight="1" x14ac:dyDescent="0.2">
      <c r="A47203" s="258"/>
      <c r="Z47203" s="258"/>
    </row>
    <row r="47204" spans="1:26" ht="12.75" customHeight="1" x14ac:dyDescent="0.2">
      <c r="A47204" s="258"/>
      <c r="Z47204" s="258"/>
    </row>
    <row r="47205" spans="1:26" ht="12.75" customHeight="1" x14ac:dyDescent="0.2">
      <c r="A47205" s="258"/>
      <c r="Z47205" s="258"/>
    </row>
    <row r="47206" spans="1:26" ht="12.75" customHeight="1" x14ac:dyDescent="0.2">
      <c r="A47206" s="258"/>
      <c r="Z47206" s="258"/>
    </row>
    <row r="47207" spans="1:26" ht="12.75" customHeight="1" x14ac:dyDescent="0.2">
      <c r="A47207" s="258"/>
      <c r="Z47207" s="258"/>
    </row>
    <row r="47208" spans="1:26" ht="12.75" customHeight="1" x14ac:dyDescent="0.2">
      <c r="A47208" s="258"/>
      <c r="Z47208" s="258"/>
    </row>
    <row r="47209" spans="1:26" ht="12.75" customHeight="1" x14ac:dyDescent="0.2">
      <c r="A47209" s="258"/>
      <c r="Z47209" s="258"/>
    </row>
    <row r="47210" spans="1:26" ht="12.75" customHeight="1" x14ac:dyDescent="0.2">
      <c r="A47210" s="258"/>
      <c r="Z47210" s="258"/>
    </row>
    <row r="47211" spans="1:26" ht="12.75" customHeight="1" x14ac:dyDescent="0.2">
      <c r="A47211" s="258"/>
      <c r="Z47211" s="258"/>
    </row>
    <row r="47212" spans="1:26" ht="12.75" customHeight="1" x14ac:dyDescent="0.2">
      <c r="A47212" s="258"/>
      <c r="Z47212" s="258"/>
    </row>
    <row r="47213" spans="1:26" ht="12.75" customHeight="1" x14ac:dyDescent="0.2">
      <c r="A47213" s="258"/>
      <c r="Z47213" s="258"/>
    </row>
    <row r="47214" spans="1:26" ht="12.75" customHeight="1" x14ac:dyDescent="0.2">
      <c r="A47214" s="258"/>
      <c r="Z47214" s="258"/>
    </row>
    <row r="47215" spans="1:26" ht="12.75" customHeight="1" x14ac:dyDescent="0.2">
      <c r="A47215" s="258"/>
      <c r="Z47215" s="258"/>
    </row>
    <row r="47216" spans="1:26" ht="12.75" customHeight="1" x14ac:dyDescent="0.2">
      <c r="A47216" s="258"/>
      <c r="Z47216" s="258"/>
    </row>
    <row r="47217" spans="1:26" ht="12.75" customHeight="1" x14ac:dyDescent="0.2">
      <c r="A47217" s="258"/>
      <c r="Z47217" s="258"/>
    </row>
    <row r="47218" spans="1:26" ht="12.75" customHeight="1" x14ac:dyDescent="0.2">
      <c r="A47218" s="258"/>
      <c r="Z47218" s="258"/>
    </row>
    <row r="47219" spans="1:26" ht="12.75" customHeight="1" x14ac:dyDescent="0.2">
      <c r="A47219" s="258"/>
      <c r="Z47219" s="258"/>
    </row>
    <row r="47220" spans="1:26" ht="12.75" customHeight="1" x14ac:dyDescent="0.2">
      <c r="A47220" s="258"/>
      <c r="Z47220" s="258"/>
    </row>
    <row r="47221" spans="1:26" ht="12.75" customHeight="1" x14ac:dyDescent="0.2">
      <c r="A47221" s="258"/>
      <c r="Z47221" s="258"/>
    </row>
    <row r="47222" spans="1:26" ht="12.75" customHeight="1" x14ac:dyDescent="0.2">
      <c r="A47222" s="258"/>
      <c r="Z47222" s="258"/>
    </row>
    <row r="47223" spans="1:26" ht="12.75" customHeight="1" x14ac:dyDescent="0.2">
      <c r="A47223" s="258"/>
      <c r="Z47223" s="258"/>
    </row>
    <row r="47224" spans="1:26" ht="12.75" customHeight="1" x14ac:dyDescent="0.2">
      <c r="A47224" s="258"/>
      <c r="Z47224" s="258"/>
    </row>
    <row r="47225" spans="1:26" ht="12.75" customHeight="1" x14ac:dyDescent="0.2">
      <c r="A47225" s="258"/>
      <c r="Z47225" s="258"/>
    </row>
    <row r="47226" spans="1:26" ht="12.75" customHeight="1" x14ac:dyDescent="0.2">
      <c r="A47226" s="258"/>
      <c r="Z47226" s="258"/>
    </row>
    <row r="47227" spans="1:26" ht="12.75" customHeight="1" x14ac:dyDescent="0.2">
      <c r="A47227" s="258"/>
      <c r="Z47227" s="258"/>
    </row>
    <row r="47228" spans="1:26" ht="12.75" customHeight="1" x14ac:dyDescent="0.2">
      <c r="A47228" s="258"/>
      <c r="Z47228" s="258"/>
    </row>
    <row r="47229" spans="1:26" ht="12.75" customHeight="1" x14ac:dyDescent="0.2">
      <c r="A47229" s="258"/>
      <c r="Z47229" s="258"/>
    </row>
    <row r="47230" spans="1:26" ht="12.75" customHeight="1" x14ac:dyDescent="0.2">
      <c r="A47230" s="258"/>
      <c r="Z47230" s="258"/>
    </row>
    <row r="47231" spans="1:26" ht="12.75" customHeight="1" x14ac:dyDescent="0.2">
      <c r="A47231" s="258"/>
      <c r="Z47231" s="258"/>
    </row>
    <row r="47232" spans="1:26" ht="12.75" customHeight="1" x14ac:dyDescent="0.2">
      <c r="A47232" s="258"/>
      <c r="Z47232" s="258"/>
    </row>
    <row r="47233" spans="1:26" ht="12.75" customHeight="1" x14ac:dyDescent="0.2">
      <c r="A47233" s="258"/>
      <c r="Z47233" s="258"/>
    </row>
    <row r="47234" spans="1:26" ht="12.75" customHeight="1" x14ac:dyDescent="0.2">
      <c r="A47234" s="258"/>
      <c r="Z47234" s="258"/>
    </row>
    <row r="47235" spans="1:26" ht="12.75" customHeight="1" x14ac:dyDescent="0.2">
      <c r="A47235" s="258"/>
      <c r="Z47235" s="258"/>
    </row>
    <row r="47236" spans="1:26" ht="12.75" customHeight="1" x14ac:dyDescent="0.2">
      <c r="A47236" s="258"/>
      <c r="Z47236" s="258"/>
    </row>
    <row r="47237" spans="1:26" ht="12.75" customHeight="1" x14ac:dyDescent="0.2">
      <c r="A47237" s="258"/>
      <c r="Z47237" s="258"/>
    </row>
    <row r="47238" spans="1:26" ht="12.75" customHeight="1" x14ac:dyDescent="0.2">
      <c r="A47238" s="258"/>
      <c r="Z47238" s="258"/>
    </row>
    <row r="47239" spans="1:26" ht="12.75" customHeight="1" x14ac:dyDescent="0.2">
      <c r="A47239" s="258"/>
      <c r="Z47239" s="258"/>
    </row>
    <row r="47240" spans="1:26" ht="12.75" customHeight="1" x14ac:dyDescent="0.2">
      <c r="A47240" s="258"/>
      <c r="Z47240" s="258"/>
    </row>
    <row r="47241" spans="1:26" ht="12.75" customHeight="1" x14ac:dyDescent="0.2">
      <c r="A47241" s="258"/>
      <c r="Z47241" s="258"/>
    </row>
    <row r="47242" spans="1:26" ht="12.75" customHeight="1" x14ac:dyDescent="0.2">
      <c r="A47242" s="258"/>
      <c r="Z47242" s="258"/>
    </row>
    <row r="47243" spans="1:26" ht="12.75" customHeight="1" x14ac:dyDescent="0.2">
      <c r="A47243" s="258"/>
      <c r="Z47243" s="258"/>
    </row>
    <row r="47244" spans="1:26" ht="12.75" customHeight="1" x14ac:dyDescent="0.2">
      <c r="A47244" s="258"/>
      <c r="Z47244" s="258"/>
    </row>
    <row r="47245" spans="1:26" ht="12.75" customHeight="1" x14ac:dyDescent="0.2">
      <c r="A47245" s="258"/>
      <c r="Z47245" s="258"/>
    </row>
    <row r="47246" spans="1:26" ht="12.75" customHeight="1" x14ac:dyDescent="0.2">
      <c r="A47246" s="258"/>
      <c r="Z47246" s="258"/>
    </row>
    <row r="47247" spans="1:26" ht="12.75" customHeight="1" x14ac:dyDescent="0.2">
      <c r="A47247" s="258"/>
      <c r="Z47247" s="258"/>
    </row>
    <row r="47248" spans="1:26" ht="12.75" customHeight="1" x14ac:dyDescent="0.2">
      <c r="A47248" s="258"/>
      <c r="Z47248" s="258"/>
    </row>
    <row r="47249" spans="1:26" ht="12.75" customHeight="1" x14ac:dyDescent="0.2">
      <c r="A47249" s="258"/>
      <c r="Z47249" s="258"/>
    </row>
    <row r="47250" spans="1:26" ht="12.75" customHeight="1" x14ac:dyDescent="0.2">
      <c r="A47250" s="258"/>
      <c r="Z47250" s="258"/>
    </row>
    <row r="47251" spans="1:26" ht="12.75" customHeight="1" x14ac:dyDescent="0.2">
      <c r="A47251" s="258"/>
      <c r="Z47251" s="258"/>
    </row>
    <row r="47252" spans="1:26" ht="12.75" customHeight="1" x14ac:dyDescent="0.2">
      <c r="A47252" s="258"/>
      <c r="Z47252" s="258"/>
    </row>
    <row r="47253" spans="1:26" ht="12.75" customHeight="1" x14ac:dyDescent="0.2">
      <c r="A47253" s="258"/>
      <c r="Z47253" s="258"/>
    </row>
    <row r="47254" spans="1:26" ht="12.75" customHeight="1" x14ac:dyDescent="0.2">
      <c r="A47254" s="258"/>
      <c r="Z47254" s="258"/>
    </row>
    <row r="47255" spans="1:26" ht="12.75" customHeight="1" x14ac:dyDescent="0.2">
      <c r="A47255" s="258"/>
      <c r="Z47255" s="258"/>
    </row>
    <row r="47256" spans="1:26" ht="12.75" customHeight="1" x14ac:dyDescent="0.2">
      <c r="A47256" s="258"/>
      <c r="Z47256" s="258"/>
    </row>
    <row r="47257" spans="1:26" ht="12.75" customHeight="1" x14ac:dyDescent="0.2">
      <c r="A47257" s="258"/>
      <c r="Z47257" s="258"/>
    </row>
    <row r="47258" spans="1:26" ht="12.75" customHeight="1" x14ac:dyDescent="0.2">
      <c r="A47258" s="258"/>
      <c r="Z47258" s="258"/>
    </row>
    <row r="47259" spans="1:26" ht="12.75" customHeight="1" x14ac:dyDescent="0.2">
      <c r="A47259" s="258"/>
      <c r="Z47259" s="258"/>
    </row>
    <row r="47260" spans="1:26" ht="12.75" customHeight="1" x14ac:dyDescent="0.2">
      <c r="A47260" s="258"/>
      <c r="Z47260" s="258"/>
    </row>
    <row r="47261" spans="1:26" ht="12.75" customHeight="1" x14ac:dyDescent="0.2">
      <c r="A47261" s="258"/>
      <c r="Z47261" s="258"/>
    </row>
    <row r="47262" spans="1:26" ht="12.75" customHeight="1" x14ac:dyDescent="0.2">
      <c r="A47262" s="258"/>
      <c r="Z47262" s="258"/>
    </row>
    <row r="47263" spans="1:26" ht="12.75" customHeight="1" x14ac:dyDescent="0.2">
      <c r="A47263" s="258"/>
      <c r="Z47263" s="258"/>
    </row>
    <row r="47264" spans="1:26" ht="12.75" customHeight="1" x14ac:dyDescent="0.2">
      <c r="A47264" s="258"/>
      <c r="Z47264" s="258"/>
    </row>
    <row r="47265" spans="1:26" ht="12.75" customHeight="1" x14ac:dyDescent="0.2">
      <c r="A47265" s="258"/>
      <c r="Z47265" s="258"/>
    </row>
    <row r="47266" spans="1:26" ht="12.75" customHeight="1" x14ac:dyDescent="0.2">
      <c r="A47266" s="258"/>
      <c r="Z47266" s="258"/>
    </row>
    <row r="47267" spans="1:26" ht="12.75" customHeight="1" x14ac:dyDescent="0.2">
      <c r="A47267" s="258"/>
      <c r="Z47267" s="258"/>
    </row>
    <row r="47268" spans="1:26" ht="12.75" customHeight="1" x14ac:dyDescent="0.2">
      <c r="A47268" s="258"/>
      <c r="Z47268" s="258"/>
    </row>
    <row r="47269" spans="1:26" ht="12.75" customHeight="1" x14ac:dyDescent="0.2">
      <c r="A47269" s="258"/>
      <c r="Z47269" s="258"/>
    </row>
    <row r="47270" spans="1:26" ht="12.75" customHeight="1" x14ac:dyDescent="0.2">
      <c r="A47270" s="258"/>
      <c r="Z47270" s="258"/>
    </row>
    <row r="47271" spans="1:26" ht="12.75" customHeight="1" x14ac:dyDescent="0.2">
      <c r="A47271" s="258"/>
      <c r="Z47271" s="258"/>
    </row>
    <row r="47272" spans="1:26" ht="12.75" customHeight="1" x14ac:dyDescent="0.2">
      <c r="A47272" s="258"/>
      <c r="Z47272" s="258"/>
    </row>
    <row r="47273" spans="1:26" ht="12.75" customHeight="1" x14ac:dyDescent="0.2">
      <c r="A47273" s="258"/>
      <c r="Z47273" s="258"/>
    </row>
    <row r="47274" spans="1:26" ht="12.75" customHeight="1" x14ac:dyDescent="0.2">
      <c r="A47274" s="258"/>
      <c r="Z47274" s="258"/>
    </row>
    <row r="47275" spans="1:26" ht="12.75" customHeight="1" x14ac:dyDescent="0.2">
      <c r="A47275" s="258"/>
      <c r="Z47275" s="258"/>
    </row>
    <row r="47276" spans="1:26" ht="12.75" customHeight="1" x14ac:dyDescent="0.2">
      <c r="A47276" s="258"/>
      <c r="Z47276" s="258"/>
    </row>
    <row r="47277" spans="1:26" ht="12.75" customHeight="1" x14ac:dyDescent="0.2">
      <c r="A47277" s="258"/>
      <c r="Z47277" s="258"/>
    </row>
    <row r="47278" spans="1:26" ht="12.75" customHeight="1" x14ac:dyDescent="0.2">
      <c r="A47278" s="258"/>
      <c r="Z47278" s="258"/>
    </row>
    <row r="47279" spans="1:26" ht="12.75" customHeight="1" x14ac:dyDescent="0.2">
      <c r="A47279" s="258"/>
      <c r="Z47279" s="258"/>
    </row>
    <row r="47280" spans="1:26" ht="12.75" customHeight="1" x14ac:dyDescent="0.2">
      <c r="A47280" s="258"/>
      <c r="Z47280" s="258"/>
    </row>
    <row r="47281" spans="1:26" ht="12.75" customHeight="1" x14ac:dyDescent="0.2">
      <c r="A47281" s="258"/>
      <c r="Z47281" s="258"/>
    </row>
    <row r="47282" spans="1:26" ht="12.75" customHeight="1" x14ac:dyDescent="0.2">
      <c r="A47282" s="258"/>
      <c r="Z47282" s="258"/>
    </row>
    <row r="47283" spans="1:26" ht="12.75" customHeight="1" x14ac:dyDescent="0.2">
      <c r="A47283" s="258"/>
      <c r="Z47283" s="258"/>
    </row>
    <row r="47284" spans="1:26" ht="12.75" customHeight="1" x14ac:dyDescent="0.2">
      <c r="A47284" s="258"/>
      <c r="Z47284" s="258"/>
    </row>
    <row r="47285" spans="1:26" ht="12.75" customHeight="1" x14ac:dyDescent="0.2">
      <c r="A47285" s="258"/>
      <c r="Z47285" s="258"/>
    </row>
    <row r="47286" spans="1:26" ht="12.75" customHeight="1" x14ac:dyDescent="0.2">
      <c r="A47286" s="258"/>
      <c r="Z47286" s="258"/>
    </row>
    <row r="47287" spans="1:26" ht="12.75" customHeight="1" x14ac:dyDescent="0.2">
      <c r="A47287" s="258"/>
      <c r="Z47287" s="258"/>
    </row>
    <row r="47288" spans="1:26" ht="12.75" customHeight="1" x14ac:dyDescent="0.2">
      <c r="A47288" s="258"/>
      <c r="Z47288" s="258"/>
    </row>
    <row r="47289" spans="1:26" ht="12.75" customHeight="1" x14ac:dyDescent="0.2">
      <c r="A47289" s="258"/>
      <c r="Z47289" s="258"/>
    </row>
    <row r="47290" spans="1:26" ht="12.75" customHeight="1" x14ac:dyDescent="0.2">
      <c r="A47290" s="258"/>
      <c r="Z47290" s="258"/>
    </row>
    <row r="47291" spans="1:26" ht="12.75" customHeight="1" x14ac:dyDescent="0.2">
      <c r="A47291" s="258"/>
      <c r="Z47291" s="258"/>
    </row>
    <row r="47292" spans="1:26" ht="12.75" customHeight="1" x14ac:dyDescent="0.2">
      <c r="A47292" s="258"/>
      <c r="Z47292" s="258"/>
    </row>
    <row r="47293" spans="1:26" ht="12.75" customHeight="1" x14ac:dyDescent="0.2">
      <c r="A47293" s="258"/>
      <c r="Z47293" s="258"/>
    </row>
    <row r="47294" spans="1:26" ht="12.75" customHeight="1" x14ac:dyDescent="0.2">
      <c r="A47294" s="258"/>
      <c r="Z47294" s="258"/>
    </row>
    <row r="47295" spans="1:26" ht="12.75" customHeight="1" x14ac:dyDescent="0.2">
      <c r="A47295" s="258"/>
      <c r="Z47295" s="258"/>
    </row>
    <row r="47296" spans="1:26" ht="12.75" customHeight="1" x14ac:dyDescent="0.2">
      <c r="A47296" s="258"/>
      <c r="Z47296" s="258"/>
    </row>
    <row r="47297" spans="1:26" ht="12.75" customHeight="1" x14ac:dyDescent="0.2">
      <c r="A47297" s="258"/>
      <c r="Z47297" s="258"/>
    </row>
    <row r="47298" spans="1:26" ht="12.75" customHeight="1" x14ac:dyDescent="0.2">
      <c r="A47298" s="258"/>
      <c r="Z47298" s="258"/>
    </row>
    <row r="47299" spans="1:26" ht="12.75" customHeight="1" x14ac:dyDescent="0.2">
      <c r="A47299" s="258"/>
      <c r="Z47299" s="258"/>
    </row>
    <row r="47300" spans="1:26" ht="12.75" customHeight="1" x14ac:dyDescent="0.2">
      <c r="A47300" s="258"/>
      <c r="Z47300" s="258"/>
    </row>
    <row r="47301" spans="1:26" ht="12.75" customHeight="1" x14ac:dyDescent="0.2">
      <c r="A47301" s="258"/>
      <c r="Z47301" s="258"/>
    </row>
    <row r="47302" spans="1:26" ht="12.75" customHeight="1" x14ac:dyDescent="0.2">
      <c r="A47302" s="258"/>
      <c r="Z47302" s="258"/>
    </row>
    <row r="47303" spans="1:26" ht="12.75" customHeight="1" x14ac:dyDescent="0.2">
      <c r="A47303" s="258"/>
      <c r="Z47303" s="258"/>
    </row>
    <row r="47304" spans="1:26" ht="12.75" customHeight="1" x14ac:dyDescent="0.2">
      <c r="A47304" s="258"/>
      <c r="Z47304" s="258"/>
    </row>
    <row r="47305" spans="1:26" ht="12.75" customHeight="1" x14ac:dyDescent="0.2">
      <c r="A47305" s="258"/>
      <c r="Z47305" s="258"/>
    </row>
    <row r="47306" spans="1:26" ht="12.75" customHeight="1" x14ac:dyDescent="0.2">
      <c r="A47306" s="258"/>
      <c r="Z47306" s="258"/>
    </row>
    <row r="47307" spans="1:26" ht="12.75" customHeight="1" x14ac:dyDescent="0.2">
      <c r="A47307" s="258"/>
      <c r="Z47307" s="258"/>
    </row>
    <row r="47308" spans="1:26" ht="12.75" customHeight="1" x14ac:dyDescent="0.2">
      <c r="A47308" s="258"/>
      <c r="Z47308" s="258"/>
    </row>
    <row r="47309" spans="1:26" ht="12.75" customHeight="1" x14ac:dyDescent="0.2">
      <c r="A47309" s="258"/>
      <c r="Z47309" s="258"/>
    </row>
    <row r="47310" spans="1:26" ht="12.75" customHeight="1" x14ac:dyDescent="0.2">
      <c r="A47310" s="258"/>
      <c r="Z47310" s="258"/>
    </row>
    <row r="47311" spans="1:26" ht="12.75" customHeight="1" x14ac:dyDescent="0.2">
      <c r="A47311" s="258"/>
      <c r="Z47311" s="258"/>
    </row>
    <row r="47312" spans="1:26" ht="12.75" customHeight="1" x14ac:dyDescent="0.2">
      <c r="A47312" s="258"/>
      <c r="Z47312" s="258"/>
    </row>
    <row r="47313" spans="1:26" ht="12.75" customHeight="1" x14ac:dyDescent="0.2">
      <c r="A47313" s="258"/>
      <c r="Z47313" s="258"/>
    </row>
    <row r="47314" spans="1:26" ht="12.75" customHeight="1" x14ac:dyDescent="0.2">
      <c r="A47314" s="258"/>
      <c r="Z47314" s="258"/>
    </row>
    <row r="47315" spans="1:26" ht="12.75" customHeight="1" x14ac:dyDescent="0.2">
      <c r="A47315" s="258"/>
      <c r="Z47315" s="258"/>
    </row>
    <row r="47316" spans="1:26" ht="12.75" customHeight="1" x14ac:dyDescent="0.2">
      <c r="A47316" s="258"/>
      <c r="Z47316" s="258"/>
    </row>
    <row r="47317" spans="1:26" ht="12.75" customHeight="1" x14ac:dyDescent="0.2">
      <c r="A47317" s="258"/>
      <c r="Z47317" s="258"/>
    </row>
    <row r="47318" spans="1:26" ht="12.75" customHeight="1" x14ac:dyDescent="0.2">
      <c r="A47318" s="258"/>
      <c r="Z47318" s="258"/>
    </row>
    <row r="47319" spans="1:26" ht="12.75" customHeight="1" x14ac:dyDescent="0.2">
      <c r="A47319" s="258"/>
      <c r="Z47319" s="258"/>
    </row>
    <row r="47320" spans="1:26" ht="12.75" customHeight="1" x14ac:dyDescent="0.2">
      <c r="A47320" s="258"/>
      <c r="Z47320" s="258"/>
    </row>
    <row r="47321" spans="1:26" ht="12.75" customHeight="1" x14ac:dyDescent="0.2">
      <c r="A47321" s="258"/>
      <c r="Z47321" s="258"/>
    </row>
    <row r="47322" spans="1:26" ht="12.75" customHeight="1" x14ac:dyDescent="0.2">
      <c r="A47322" s="258"/>
      <c r="Z47322" s="258"/>
    </row>
    <row r="47323" spans="1:26" ht="12.75" customHeight="1" x14ac:dyDescent="0.2">
      <c r="A47323" s="258"/>
      <c r="Z47323" s="258"/>
    </row>
    <row r="47324" spans="1:26" ht="12.75" customHeight="1" x14ac:dyDescent="0.2">
      <c r="A47324" s="258"/>
      <c r="Z47324" s="258"/>
    </row>
    <row r="47325" spans="1:26" ht="12.75" customHeight="1" x14ac:dyDescent="0.2">
      <c r="A47325" s="258"/>
      <c r="Z47325" s="258"/>
    </row>
    <row r="47326" spans="1:26" ht="12.75" customHeight="1" x14ac:dyDescent="0.2">
      <c r="A47326" s="258"/>
      <c r="Z47326" s="258"/>
    </row>
    <row r="47327" spans="1:26" ht="12.75" customHeight="1" x14ac:dyDescent="0.2">
      <c r="A47327" s="258"/>
      <c r="Z47327" s="258"/>
    </row>
    <row r="47328" spans="1:26" ht="12.75" customHeight="1" x14ac:dyDescent="0.2">
      <c r="A47328" s="258"/>
      <c r="Z47328" s="258"/>
    </row>
    <row r="47329" spans="1:26" ht="12.75" customHeight="1" x14ac:dyDescent="0.2">
      <c r="A47329" s="258"/>
      <c r="Z47329" s="258"/>
    </row>
    <row r="47330" spans="1:26" ht="12.75" customHeight="1" x14ac:dyDescent="0.2">
      <c r="A47330" s="258"/>
      <c r="Z47330" s="258"/>
    </row>
    <row r="47331" spans="1:26" ht="12.75" customHeight="1" x14ac:dyDescent="0.2">
      <c r="A47331" s="258"/>
      <c r="Z47331" s="258"/>
    </row>
    <row r="47332" spans="1:26" ht="12.75" customHeight="1" x14ac:dyDescent="0.2">
      <c r="A47332" s="258"/>
      <c r="Z47332" s="258"/>
    </row>
    <row r="47333" spans="1:26" ht="12.75" customHeight="1" x14ac:dyDescent="0.2">
      <c r="A47333" s="258"/>
      <c r="Z47333" s="258"/>
    </row>
    <row r="47334" spans="1:26" ht="12.75" customHeight="1" x14ac:dyDescent="0.2">
      <c r="A47334" s="258"/>
      <c r="Z47334" s="258"/>
    </row>
    <row r="47335" spans="1:26" ht="12.75" customHeight="1" x14ac:dyDescent="0.2">
      <c r="A47335" s="258"/>
      <c r="Z47335" s="258"/>
    </row>
    <row r="47336" spans="1:26" ht="12.75" customHeight="1" x14ac:dyDescent="0.2">
      <c r="A47336" s="258"/>
      <c r="Z47336" s="258"/>
    </row>
    <row r="47337" spans="1:26" ht="12.75" customHeight="1" x14ac:dyDescent="0.2">
      <c r="A47337" s="258"/>
      <c r="Z47337" s="258"/>
    </row>
    <row r="47338" spans="1:26" ht="12.75" customHeight="1" x14ac:dyDescent="0.2">
      <c r="A47338" s="258"/>
      <c r="Z47338" s="258"/>
    </row>
    <row r="47339" spans="1:26" ht="12.75" customHeight="1" x14ac:dyDescent="0.2">
      <c r="A47339" s="258"/>
      <c r="Z47339" s="258"/>
    </row>
    <row r="47340" spans="1:26" ht="12.75" customHeight="1" x14ac:dyDescent="0.2">
      <c r="A47340" s="258"/>
      <c r="Z47340" s="258"/>
    </row>
    <row r="47341" spans="1:26" ht="12.75" customHeight="1" x14ac:dyDescent="0.2">
      <c r="A47341" s="258"/>
      <c r="Z47341" s="258"/>
    </row>
    <row r="47342" spans="1:26" ht="12.75" customHeight="1" x14ac:dyDescent="0.2">
      <c r="A47342" s="258"/>
      <c r="Z47342" s="258"/>
    </row>
    <row r="47343" spans="1:26" ht="12.75" customHeight="1" x14ac:dyDescent="0.2">
      <c r="A47343" s="258"/>
      <c r="Z47343" s="258"/>
    </row>
    <row r="47344" spans="1:26" ht="12.75" customHeight="1" x14ac:dyDescent="0.2">
      <c r="A47344" s="258"/>
      <c r="Z47344" s="258"/>
    </row>
    <row r="47345" spans="1:26" ht="12.75" customHeight="1" x14ac:dyDescent="0.2">
      <c r="A47345" s="258"/>
      <c r="Z47345" s="258"/>
    </row>
    <row r="47346" spans="1:26" ht="12.75" customHeight="1" x14ac:dyDescent="0.2">
      <c r="A47346" s="258"/>
      <c r="Z47346" s="258"/>
    </row>
    <row r="47347" spans="1:26" ht="12.75" customHeight="1" x14ac:dyDescent="0.2">
      <c r="A47347" s="258"/>
      <c r="Z47347" s="258"/>
    </row>
    <row r="47348" spans="1:26" ht="12.75" customHeight="1" x14ac:dyDescent="0.2">
      <c r="A47348" s="258"/>
      <c r="Z47348" s="258"/>
    </row>
    <row r="47349" spans="1:26" ht="12.75" customHeight="1" x14ac:dyDescent="0.2">
      <c r="A47349" s="258"/>
      <c r="Z47349" s="258"/>
    </row>
    <row r="47350" spans="1:26" ht="12.75" customHeight="1" x14ac:dyDescent="0.2">
      <c r="A47350" s="258"/>
      <c r="Z47350" s="258"/>
    </row>
    <row r="47351" spans="1:26" ht="12.75" customHeight="1" x14ac:dyDescent="0.2">
      <c r="A47351" s="258"/>
      <c r="Z47351" s="258"/>
    </row>
    <row r="47352" spans="1:26" ht="12.75" customHeight="1" x14ac:dyDescent="0.2">
      <c r="A47352" s="258"/>
      <c r="Z47352" s="258"/>
    </row>
    <row r="47353" spans="1:26" ht="12.75" customHeight="1" x14ac:dyDescent="0.2">
      <c r="A47353" s="258"/>
      <c r="Z47353" s="258"/>
    </row>
    <row r="47354" spans="1:26" ht="12.75" customHeight="1" x14ac:dyDescent="0.2">
      <c r="A47354" s="258"/>
      <c r="Z47354" s="258"/>
    </row>
    <row r="47355" spans="1:26" ht="12.75" customHeight="1" x14ac:dyDescent="0.2">
      <c r="A47355" s="258"/>
      <c r="Z47355" s="258"/>
    </row>
    <row r="47356" spans="1:26" ht="12.75" customHeight="1" x14ac:dyDescent="0.2">
      <c r="A47356" s="258"/>
      <c r="Z47356" s="258"/>
    </row>
    <row r="47357" spans="1:26" ht="12.75" customHeight="1" x14ac:dyDescent="0.2">
      <c r="A47357" s="258"/>
      <c r="Z47357" s="258"/>
    </row>
    <row r="47358" spans="1:26" ht="12.75" customHeight="1" x14ac:dyDescent="0.2">
      <c r="A47358" s="258"/>
      <c r="Z47358" s="258"/>
    </row>
    <row r="47359" spans="1:26" ht="12.75" customHeight="1" x14ac:dyDescent="0.2">
      <c r="A47359" s="258"/>
      <c r="Z47359" s="258"/>
    </row>
    <row r="47360" spans="1:26" ht="12.75" customHeight="1" x14ac:dyDescent="0.2">
      <c r="A47360" s="258"/>
      <c r="Z47360" s="258"/>
    </row>
    <row r="47361" spans="1:26" ht="12.75" customHeight="1" x14ac:dyDescent="0.2">
      <c r="A47361" s="258"/>
      <c r="Z47361" s="258"/>
    </row>
    <row r="47362" spans="1:26" ht="12.75" customHeight="1" x14ac:dyDescent="0.2">
      <c r="A47362" s="258"/>
      <c r="Z47362" s="258"/>
    </row>
    <row r="47363" spans="1:26" ht="12.75" customHeight="1" x14ac:dyDescent="0.2">
      <c r="A47363" s="258"/>
      <c r="Z47363" s="258"/>
    </row>
    <row r="47364" spans="1:26" ht="12.75" customHeight="1" x14ac:dyDescent="0.2">
      <c r="A47364" s="258"/>
      <c r="Z47364" s="258"/>
    </row>
    <row r="47365" spans="1:26" ht="12.75" customHeight="1" x14ac:dyDescent="0.2">
      <c r="A47365" s="258"/>
      <c r="Z47365" s="258"/>
    </row>
    <row r="47366" spans="1:26" ht="12.75" customHeight="1" x14ac:dyDescent="0.2">
      <c r="A47366" s="258"/>
      <c r="Z47366" s="258"/>
    </row>
    <row r="47367" spans="1:26" ht="12.75" customHeight="1" x14ac:dyDescent="0.2">
      <c r="A47367" s="258"/>
      <c r="Z47367" s="258"/>
    </row>
    <row r="47368" spans="1:26" ht="12.75" customHeight="1" x14ac:dyDescent="0.2">
      <c r="A47368" s="258"/>
      <c r="Z47368" s="258"/>
    </row>
    <row r="47369" spans="1:26" ht="12.75" customHeight="1" x14ac:dyDescent="0.2">
      <c r="A47369" s="258"/>
      <c r="Z47369" s="258"/>
    </row>
    <row r="47370" spans="1:26" ht="12.75" customHeight="1" x14ac:dyDescent="0.2">
      <c r="A47370" s="258"/>
      <c r="Z47370" s="258"/>
    </row>
    <row r="47371" spans="1:26" ht="12.75" customHeight="1" x14ac:dyDescent="0.2">
      <c r="A47371" s="258"/>
      <c r="Z47371" s="258"/>
    </row>
    <row r="47372" spans="1:26" ht="12.75" customHeight="1" x14ac:dyDescent="0.2">
      <c r="A47372" s="258"/>
      <c r="Z47372" s="258"/>
    </row>
    <row r="47373" spans="1:26" ht="12.75" customHeight="1" x14ac:dyDescent="0.2">
      <c r="A47373" s="258"/>
      <c r="Z47373" s="258"/>
    </row>
    <row r="47374" spans="1:26" ht="12.75" customHeight="1" x14ac:dyDescent="0.2">
      <c r="A47374" s="258"/>
      <c r="Z47374" s="258"/>
    </row>
    <row r="47375" spans="1:26" ht="12.75" customHeight="1" x14ac:dyDescent="0.2">
      <c r="A47375" s="258"/>
      <c r="Z47375" s="258"/>
    </row>
    <row r="47376" spans="1:26" ht="12.75" customHeight="1" x14ac:dyDescent="0.2">
      <c r="A47376" s="258"/>
      <c r="Z47376" s="258"/>
    </row>
    <row r="47377" spans="1:26" ht="12.75" customHeight="1" x14ac:dyDescent="0.2">
      <c r="A47377" s="258"/>
      <c r="Z47377" s="258"/>
    </row>
    <row r="47378" spans="1:26" ht="12.75" customHeight="1" x14ac:dyDescent="0.2">
      <c r="A47378" s="258"/>
      <c r="Z47378" s="258"/>
    </row>
    <row r="47379" spans="1:26" ht="12.75" customHeight="1" x14ac:dyDescent="0.2">
      <c r="A47379" s="258"/>
      <c r="Z47379" s="258"/>
    </row>
    <row r="47380" spans="1:26" ht="12.75" customHeight="1" x14ac:dyDescent="0.2">
      <c r="A47380" s="258"/>
      <c r="Z47380" s="258"/>
    </row>
    <row r="47381" spans="1:26" ht="12.75" customHeight="1" x14ac:dyDescent="0.2">
      <c r="A47381" s="258"/>
      <c r="Z47381" s="258"/>
    </row>
    <row r="47382" spans="1:26" ht="12.75" customHeight="1" x14ac:dyDescent="0.2">
      <c r="A47382" s="258"/>
      <c r="Z47382" s="258"/>
    </row>
    <row r="47383" spans="1:26" ht="12.75" customHeight="1" x14ac:dyDescent="0.2">
      <c r="A47383" s="258"/>
      <c r="Z47383" s="258"/>
    </row>
    <row r="47384" spans="1:26" ht="12.75" customHeight="1" x14ac:dyDescent="0.2">
      <c r="A47384" s="258"/>
      <c r="Z47384" s="258"/>
    </row>
    <row r="47385" spans="1:26" ht="12.75" customHeight="1" x14ac:dyDescent="0.2">
      <c r="A47385" s="258"/>
      <c r="Z47385" s="258"/>
    </row>
    <row r="47386" spans="1:26" ht="12.75" customHeight="1" x14ac:dyDescent="0.2">
      <c r="A47386" s="258"/>
      <c r="Z47386" s="258"/>
    </row>
    <row r="47387" spans="1:26" ht="12.75" customHeight="1" x14ac:dyDescent="0.2">
      <c r="A47387" s="258"/>
      <c r="Z47387" s="258"/>
    </row>
    <row r="47388" spans="1:26" ht="12.75" customHeight="1" x14ac:dyDescent="0.2">
      <c r="A47388" s="258"/>
      <c r="Z47388" s="258"/>
    </row>
    <row r="47389" spans="1:26" ht="12.75" customHeight="1" x14ac:dyDescent="0.2">
      <c r="A47389" s="258"/>
      <c r="Z47389" s="258"/>
    </row>
    <row r="47390" spans="1:26" ht="12.75" customHeight="1" x14ac:dyDescent="0.2">
      <c r="A47390" s="258"/>
      <c r="Z47390" s="258"/>
    </row>
    <row r="47391" spans="1:26" ht="12.75" customHeight="1" x14ac:dyDescent="0.2">
      <c r="A47391" s="258"/>
      <c r="Z47391" s="258"/>
    </row>
    <row r="47392" spans="1:26" ht="12.75" customHeight="1" x14ac:dyDescent="0.2">
      <c r="A47392" s="258"/>
      <c r="Z47392" s="258"/>
    </row>
    <row r="47393" spans="1:26" ht="12.75" customHeight="1" x14ac:dyDescent="0.2">
      <c r="A47393" s="258"/>
      <c r="Z47393" s="258"/>
    </row>
    <row r="47394" spans="1:26" ht="12.75" customHeight="1" x14ac:dyDescent="0.2">
      <c r="A47394" s="258"/>
      <c r="Z47394" s="258"/>
    </row>
    <row r="47395" spans="1:26" ht="12.75" customHeight="1" x14ac:dyDescent="0.2">
      <c r="A47395" s="258"/>
      <c r="Z47395" s="258"/>
    </row>
    <row r="47396" spans="1:26" ht="12.75" customHeight="1" x14ac:dyDescent="0.2">
      <c r="A47396" s="258"/>
      <c r="Z47396" s="258"/>
    </row>
    <row r="47397" spans="1:26" ht="12.75" customHeight="1" x14ac:dyDescent="0.2">
      <c r="A47397" s="258"/>
      <c r="Z47397" s="258"/>
    </row>
    <row r="47398" spans="1:26" ht="12.75" customHeight="1" x14ac:dyDescent="0.2">
      <c r="A47398" s="258"/>
      <c r="Z47398" s="258"/>
    </row>
    <row r="47399" spans="1:26" ht="12.75" customHeight="1" x14ac:dyDescent="0.2">
      <c r="A47399" s="258"/>
      <c r="Z47399" s="258"/>
    </row>
    <row r="47400" spans="1:26" ht="12.75" customHeight="1" x14ac:dyDescent="0.2">
      <c r="A47400" s="258"/>
      <c r="Z47400" s="258"/>
    </row>
    <row r="47401" spans="1:26" ht="12.75" customHeight="1" x14ac:dyDescent="0.2">
      <c r="A47401" s="258"/>
      <c r="Z47401" s="258"/>
    </row>
    <row r="47402" spans="1:26" ht="12.75" customHeight="1" x14ac:dyDescent="0.2">
      <c r="A47402" s="258"/>
      <c r="Z47402" s="258"/>
    </row>
    <row r="47403" spans="1:26" ht="12.75" customHeight="1" x14ac:dyDescent="0.2">
      <c r="A47403" s="258"/>
      <c r="Z47403" s="258"/>
    </row>
    <row r="47404" spans="1:26" ht="12.75" customHeight="1" x14ac:dyDescent="0.2">
      <c r="A47404" s="258"/>
      <c r="Z47404" s="258"/>
    </row>
    <row r="47405" spans="1:26" ht="12.75" customHeight="1" x14ac:dyDescent="0.2">
      <c r="A47405" s="258"/>
      <c r="Z47405" s="258"/>
    </row>
    <row r="47406" spans="1:26" ht="12.75" customHeight="1" x14ac:dyDescent="0.2">
      <c r="A47406" s="258"/>
      <c r="Z47406" s="258"/>
    </row>
    <row r="47407" spans="1:26" ht="12.75" customHeight="1" x14ac:dyDescent="0.2">
      <c r="A47407" s="258"/>
      <c r="Z47407" s="258"/>
    </row>
    <row r="47408" spans="1:26" ht="12.75" customHeight="1" x14ac:dyDescent="0.2">
      <c r="A47408" s="258"/>
      <c r="Z47408" s="258"/>
    </row>
    <row r="47409" spans="1:26" ht="12.75" customHeight="1" x14ac:dyDescent="0.2">
      <c r="A47409" s="258"/>
      <c r="Z47409" s="258"/>
    </row>
    <row r="47410" spans="1:26" ht="12.75" customHeight="1" x14ac:dyDescent="0.2">
      <c r="A47410" s="258"/>
      <c r="Z47410" s="258"/>
    </row>
    <row r="47411" spans="1:26" ht="12.75" customHeight="1" x14ac:dyDescent="0.2">
      <c r="A47411" s="258"/>
      <c r="Z47411" s="258"/>
    </row>
    <row r="47412" spans="1:26" ht="12.75" customHeight="1" x14ac:dyDescent="0.2">
      <c r="A47412" s="258"/>
      <c r="Z47412" s="258"/>
    </row>
    <row r="47413" spans="1:26" ht="12.75" customHeight="1" x14ac:dyDescent="0.2">
      <c r="A47413" s="258"/>
      <c r="Z47413" s="258"/>
    </row>
    <row r="47414" spans="1:26" ht="12.75" customHeight="1" x14ac:dyDescent="0.2">
      <c r="A47414" s="258"/>
      <c r="Z47414" s="258"/>
    </row>
    <row r="47415" spans="1:26" ht="12.75" customHeight="1" x14ac:dyDescent="0.2">
      <c r="A47415" s="258"/>
      <c r="Z47415" s="258"/>
    </row>
    <row r="47416" spans="1:26" ht="12.75" customHeight="1" x14ac:dyDescent="0.2">
      <c r="A47416" s="258"/>
      <c r="Z47416" s="258"/>
    </row>
    <row r="47417" spans="1:26" ht="12.75" customHeight="1" x14ac:dyDescent="0.2">
      <c r="A47417" s="258"/>
      <c r="Z47417" s="258"/>
    </row>
    <row r="47418" spans="1:26" ht="12.75" customHeight="1" x14ac:dyDescent="0.2">
      <c r="A47418" s="258"/>
      <c r="Z47418" s="258"/>
    </row>
    <row r="47419" spans="1:26" ht="12.75" customHeight="1" x14ac:dyDescent="0.2">
      <c r="A47419" s="258"/>
      <c r="Z47419" s="258"/>
    </row>
    <row r="47420" spans="1:26" ht="12.75" customHeight="1" x14ac:dyDescent="0.2">
      <c r="A47420" s="258"/>
      <c r="Z47420" s="258"/>
    </row>
    <row r="47421" spans="1:26" ht="12.75" customHeight="1" x14ac:dyDescent="0.2">
      <c r="A47421" s="258"/>
      <c r="Z47421" s="258"/>
    </row>
    <row r="47422" spans="1:26" ht="12.75" customHeight="1" x14ac:dyDescent="0.2">
      <c r="A47422" s="258"/>
      <c r="Z47422" s="258"/>
    </row>
    <row r="47423" spans="1:26" ht="12.75" customHeight="1" x14ac:dyDescent="0.2">
      <c r="A47423" s="258"/>
      <c r="Z47423" s="258"/>
    </row>
    <row r="47424" spans="1:26" ht="12.75" customHeight="1" x14ac:dyDescent="0.2">
      <c r="A47424" s="258"/>
      <c r="Z47424" s="258"/>
    </row>
    <row r="47425" spans="1:26" ht="12.75" customHeight="1" x14ac:dyDescent="0.2">
      <c r="A47425" s="258"/>
      <c r="Z47425" s="258"/>
    </row>
    <row r="47426" spans="1:26" ht="12.75" customHeight="1" x14ac:dyDescent="0.2">
      <c r="A47426" s="258"/>
      <c r="Z47426" s="258"/>
    </row>
    <row r="47427" spans="1:26" ht="12.75" customHeight="1" x14ac:dyDescent="0.2">
      <c r="A47427" s="258"/>
      <c r="Z47427" s="258"/>
    </row>
    <row r="47428" spans="1:26" ht="12.75" customHeight="1" x14ac:dyDescent="0.2">
      <c r="A47428" s="258"/>
      <c r="Z47428" s="258"/>
    </row>
    <row r="47429" spans="1:26" ht="12.75" customHeight="1" x14ac:dyDescent="0.2">
      <c r="A47429" s="258"/>
      <c r="Z47429" s="258"/>
    </row>
    <row r="47430" spans="1:26" ht="12.75" customHeight="1" x14ac:dyDescent="0.2">
      <c r="A47430" s="258"/>
      <c r="Z47430" s="258"/>
    </row>
    <row r="47431" spans="1:26" ht="12.75" customHeight="1" x14ac:dyDescent="0.2">
      <c r="A47431" s="258"/>
      <c r="Z47431" s="258"/>
    </row>
    <row r="47432" spans="1:26" ht="12.75" customHeight="1" x14ac:dyDescent="0.2">
      <c r="A47432" s="258"/>
      <c r="Z47432" s="258"/>
    </row>
    <row r="47433" spans="1:26" ht="12.75" customHeight="1" x14ac:dyDescent="0.2">
      <c r="A47433" s="258"/>
      <c r="Z47433" s="258"/>
    </row>
    <row r="47434" spans="1:26" ht="12.75" customHeight="1" x14ac:dyDescent="0.2">
      <c r="A47434" s="258"/>
      <c r="Z47434" s="258"/>
    </row>
    <row r="47435" spans="1:26" ht="12.75" customHeight="1" x14ac:dyDescent="0.2">
      <c r="A47435" s="258"/>
      <c r="Z47435" s="258"/>
    </row>
    <row r="47436" spans="1:26" ht="12.75" customHeight="1" x14ac:dyDescent="0.2">
      <c r="A47436" s="258"/>
      <c r="Z47436" s="258"/>
    </row>
    <row r="47437" spans="1:26" ht="12.75" customHeight="1" x14ac:dyDescent="0.2">
      <c r="A47437" s="258"/>
      <c r="Z47437" s="258"/>
    </row>
    <row r="47438" spans="1:26" ht="12.75" customHeight="1" x14ac:dyDescent="0.2">
      <c r="A47438" s="258"/>
      <c r="Z47438" s="258"/>
    </row>
    <row r="47439" spans="1:26" ht="12.75" customHeight="1" x14ac:dyDescent="0.2">
      <c r="A47439" s="258"/>
      <c r="Z47439" s="258"/>
    </row>
    <row r="47440" spans="1:26" ht="12.75" customHeight="1" x14ac:dyDescent="0.2">
      <c r="A47440" s="258"/>
      <c r="Z47440" s="258"/>
    </row>
    <row r="47441" spans="1:26" ht="12.75" customHeight="1" x14ac:dyDescent="0.2">
      <c r="A47441" s="258"/>
      <c r="Z47441" s="258"/>
    </row>
    <row r="47442" spans="1:26" ht="12.75" customHeight="1" x14ac:dyDescent="0.2">
      <c r="A47442" s="258"/>
      <c r="Z47442" s="258"/>
    </row>
    <row r="47443" spans="1:26" ht="12.75" customHeight="1" x14ac:dyDescent="0.2">
      <c r="A47443" s="258"/>
      <c r="Z47443" s="258"/>
    </row>
    <row r="47444" spans="1:26" ht="12.75" customHeight="1" x14ac:dyDescent="0.2">
      <c r="A47444" s="258"/>
      <c r="Z47444" s="258"/>
    </row>
    <row r="47445" spans="1:26" ht="12.75" customHeight="1" x14ac:dyDescent="0.2">
      <c r="A47445" s="258"/>
      <c r="Z47445" s="258"/>
    </row>
    <row r="47446" spans="1:26" ht="12.75" customHeight="1" x14ac:dyDescent="0.2">
      <c r="A47446" s="258"/>
      <c r="Z47446" s="258"/>
    </row>
    <row r="47447" spans="1:26" ht="12.75" customHeight="1" x14ac:dyDescent="0.2">
      <c r="A47447" s="258"/>
      <c r="Z47447" s="258"/>
    </row>
    <row r="47448" spans="1:26" ht="12.75" customHeight="1" x14ac:dyDescent="0.2">
      <c r="A47448" s="258"/>
      <c r="Z47448" s="258"/>
    </row>
    <row r="47449" spans="1:26" ht="12.75" customHeight="1" x14ac:dyDescent="0.2">
      <c r="A47449" s="258"/>
      <c r="Z47449" s="258"/>
    </row>
    <row r="47450" spans="1:26" ht="12.75" customHeight="1" x14ac:dyDescent="0.2">
      <c r="A47450" s="258"/>
      <c r="Z47450" s="258"/>
    </row>
    <row r="47451" spans="1:26" ht="12.75" customHeight="1" x14ac:dyDescent="0.2">
      <c r="A47451" s="258"/>
      <c r="Z47451" s="258"/>
    </row>
    <row r="47452" spans="1:26" ht="12.75" customHeight="1" x14ac:dyDescent="0.2">
      <c r="A47452" s="258"/>
      <c r="Z47452" s="258"/>
    </row>
    <row r="47453" spans="1:26" ht="12.75" customHeight="1" x14ac:dyDescent="0.2">
      <c r="A47453" s="258"/>
      <c r="Z47453" s="258"/>
    </row>
    <row r="47454" spans="1:26" ht="12.75" customHeight="1" x14ac:dyDescent="0.2">
      <c r="A47454" s="258"/>
      <c r="Z47454" s="258"/>
    </row>
    <row r="47455" spans="1:26" ht="12.75" customHeight="1" x14ac:dyDescent="0.2">
      <c r="A47455" s="258"/>
      <c r="Z47455" s="258"/>
    </row>
    <row r="47456" spans="1:26" ht="12.75" customHeight="1" x14ac:dyDescent="0.2">
      <c r="A47456" s="258"/>
      <c r="Z47456" s="258"/>
    </row>
    <row r="47457" spans="1:26" ht="12.75" customHeight="1" x14ac:dyDescent="0.2">
      <c r="A47457" s="258"/>
      <c r="Z47457" s="258"/>
    </row>
    <row r="47458" spans="1:26" ht="12.75" customHeight="1" x14ac:dyDescent="0.2">
      <c r="A47458" s="258"/>
      <c r="Z47458" s="258"/>
    </row>
    <row r="47459" spans="1:26" ht="12.75" customHeight="1" x14ac:dyDescent="0.2">
      <c r="A47459" s="258"/>
      <c r="Z47459" s="258"/>
    </row>
    <row r="47460" spans="1:26" ht="12.75" customHeight="1" x14ac:dyDescent="0.2">
      <c r="A47460" s="258"/>
      <c r="Z47460" s="258"/>
    </row>
    <row r="47461" spans="1:26" ht="12.75" customHeight="1" x14ac:dyDescent="0.2">
      <c r="A47461" s="258"/>
      <c r="Z47461" s="258"/>
    </row>
    <row r="47462" spans="1:26" ht="12.75" customHeight="1" x14ac:dyDescent="0.2">
      <c r="A47462" s="258"/>
      <c r="Z47462" s="258"/>
    </row>
    <row r="47463" spans="1:26" ht="12.75" customHeight="1" x14ac:dyDescent="0.2">
      <c r="A47463" s="258"/>
      <c r="Z47463" s="258"/>
    </row>
    <row r="47464" spans="1:26" ht="12.75" customHeight="1" x14ac:dyDescent="0.2">
      <c r="A47464" s="258"/>
      <c r="Z47464" s="258"/>
    </row>
    <row r="47465" spans="1:26" ht="12.75" customHeight="1" x14ac:dyDescent="0.2">
      <c r="A47465" s="258"/>
      <c r="Z47465" s="258"/>
    </row>
    <row r="47466" spans="1:26" ht="12.75" customHeight="1" x14ac:dyDescent="0.2">
      <c r="A47466" s="258"/>
      <c r="Z47466" s="258"/>
    </row>
    <row r="47467" spans="1:26" ht="12.75" customHeight="1" x14ac:dyDescent="0.2">
      <c r="A47467" s="258"/>
      <c r="Z47467" s="258"/>
    </row>
    <row r="47468" spans="1:26" ht="12.75" customHeight="1" x14ac:dyDescent="0.2">
      <c r="A47468" s="258"/>
      <c r="Z47468" s="258"/>
    </row>
    <row r="47469" spans="1:26" ht="12.75" customHeight="1" x14ac:dyDescent="0.2">
      <c r="A47469" s="258"/>
      <c r="Z47469" s="258"/>
    </row>
    <row r="47470" spans="1:26" ht="12.75" customHeight="1" x14ac:dyDescent="0.2">
      <c r="A47470" s="258"/>
      <c r="Z47470" s="258"/>
    </row>
    <row r="47471" spans="1:26" ht="12.75" customHeight="1" x14ac:dyDescent="0.2">
      <c r="A47471" s="258"/>
      <c r="Z47471" s="258"/>
    </row>
    <row r="47472" spans="1:26" ht="12.75" customHeight="1" x14ac:dyDescent="0.2">
      <c r="A47472" s="258"/>
      <c r="Z47472" s="258"/>
    </row>
    <row r="47473" spans="1:26" ht="12.75" customHeight="1" x14ac:dyDescent="0.2">
      <c r="A47473" s="258"/>
      <c r="Z47473" s="258"/>
    </row>
    <row r="47474" spans="1:26" ht="12.75" customHeight="1" x14ac:dyDescent="0.2">
      <c r="A47474" s="258"/>
      <c r="Z47474" s="258"/>
    </row>
    <row r="47475" spans="1:26" ht="12.75" customHeight="1" x14ac:dyDescent="0.2">
      <c r="A47475" s="258"/>
      <c r="Z47475" s="258"/>
    </row>
    <row r="47476" spans="1:26" ht="12.75" customHeight="1" x14ac:dyDescent="0.2">
      <c r="A47476" s="258"/>
      <c r="Z47476" s="258"/>
    </row>
    <row r="47477" spans="1:26" ht="12.75" customHeight="1" x14ac:dyDescent="0.2">
      <c r="A47477" s="258"/>
      <c r="Z47477" s="258"/>
    </row>
    <row r="47478" spans="1:26" ht="12.75" customHeight="1" x14ac:dyDescent="0.2">
      <c r="A47478" s="258"/>
      <c r="Z47478" s="258"/>
    </row>
    <row r="47479" spans="1:26" ht="12.75" customHeight="1" x14ac:dyDescent="0.2">
      <c r="A47479" s="258"/>
      <c r="Z47479" s="258"/>
    </row>
    <row r="47480" spans="1:26" ht="12.75" customHeight="1" x14ac:dyDescent="0.2">
      <c r="A47480" s="258"/>
      <c r="Z47480" s="258"/>
    </row>
    <row r="47481" spans="1:26" ht="12.75" customHeight="1" x14ac:dyDescent="0.2">
      <c r="A47481" s="258"/>
      <c r="Z47481" s="258"/>
    </row>
    <row r="47482" spans="1:26" ht="12.75" customHeight="1" x14ac:dyDescent="0.2">
      <c r="A47482" s="258"/>
      <c r="Z47482" s="258"/>
    </row>
    <row r="47483" spans="1:26" ht="12.75" customHeight="1" x14ac:dyDescent="0.2">
      <c r="A47483" s="258"/>
      <c r="Z47483" s="258"/>
    </row>
    <row r="47484" spans="1:26" ht="12.75" customHeight="1" x14ac:dyDescent="0.2">
      <c r="A47484" s="258"/>
      <c r="Z47484" s="258"/>
    </row>
    <row r="47485" spans="1:26" ht="12.75" customHeight="1" x14ac:dyDescent="0.2">
      <c r="A47485" s="258"/>
      <c r="Z47485" s="258"/>
    </row>
    <row r="47486" spans="1:26" ht="12.75" customHeight="1" x14ac:dyDescent="0.2">
      <c r="A47486" s="258"/>
      <c r="Z47486" s="258"/>
    </row>
    <row r="47487" spans="1:26" ht="12.75" customHeight="1" x14ac:dyDescent="0.2">
      <c r="A47487" s="258"/>
      <c r="Z47487" s="258"/>
    </row>
    <row r="47488" spans="1:26" ht="12.75" customHeight="1" x14ac:dyDescent="0.2">
      <c r="A47488" s="258"/>
      <c r="Z47488" s="258"/>
    </row>
    <row r="47489" spans="1:26" ht="12.75" customHeight="1" x14ac:dyDescent="0.2">
      <c r="A47489" s="258"/>
      <c r="Z47489" s="258"/>
    </row>
    <row r="47490" spans="1:26" ht="12.75" customHeight="1" x14ac:dyDescent="0.2">
      <c r="A47490" s="258"/>
      <c r="Z47490" s="258"/>
    </row>
    <row r="47491" spans="1:26" ht="12.75" customHeight="1" x14ac:dyDescent="0.2">
      <c r="A47491" s="258"/>
      <c r="Z47491" s="258"/>
    </row>
    <row r="47492" spans="1:26" ht="12.75" customHeight="1" x14ac:dyDescent="0.2">
      <c r="A47492" s="258"/>
      <c r="Z47492" s="258"/>
    </row>
    <row r="47493" spans="1:26" ht="12.75" customHeight="1" x14ac:dyDescent="0.2">
      <c r="A47493" s="258"/>
      <c r="Z47493" s="258"/>
    </row>
    <row r="47494" spans="1:26" ht="12.75" customHeight="1" x14ac:dyDescent="0.2">
      <c r="A47494" s="258"/>
      <c r="Z47494" s="258"/>
    </row>
    <row r="47495" spans="1:26" ht="12.75" customHeight="1" x14ac:dyDescent="0.2">
      <c r="A47495" s="258"/>
      <c r="Z47495" s="258"/>
    </row>
    <row r="47496" spans="1:26" ht="12.75" customHeight="1" x14ac:dyDescent="0.2">
      <c r="A47496" s="258"/>
      <c r="Z47496" s="258"/>
    </row>
    <row r="47497" spans="1:26" ht="12.75" customHeight="1" x14ac:dyDescent="0.2">
      <c r="A47497" s="258"/>
      <c r="Z47497" s="258"/>
    </row>
    <row r="47498" spans="1:26" ht="12.75" customHeight="1" x14ac:dyDescent="0.2">
      <c r="A47498" s="258"/>
      <c r="Z47498" s="258"/>
    </row>
    <row r="47499" spans="1:26" ht="12.75" customHeight="1" x14ac:dyDescent="0.2">
      <c r="A47499" s="258"/>
      <c r="Z47499" s="258"/>
    </row>
    <row r="47500" spans="1:26" ht="12.75" customHeight="1" x14ac:dyDescent="0.2">
      <c r="A47500" s="258"/>
      <c r="Z47500" s="258"/>
    </row>
    <row r="47501" spans="1:26" ht="12.75" customHeight="1" x14ac:dyDescent="0.2">
      <c r="A47501" s="258"/>
      <c r="Z47501" s="258"/>
    </row>
    <row r="47502" spans="1:26" ht="12.75" customHeight="1" x14ac:dyDescent="0.2">
      <c r="A47502" s="258"/>
      <c r="Z47502" s="258"/>
    </row>
    <row r="47503" spans="1:26" ht="12.75" customHeight="1" x14ac:dyDescent="0.2">
      <c r="A47503" s="258"/>
      <c r="Z47503" s="258"/>
    </row>
    <row r="47504" spans="1:26" ht="12.75" customHeight="1" x14ac:dyDescent="0.2">
      <c r="A47504" s="258"/>
      <c r="Z47504" s="258"/>
    </row>
    <row r="47505" spans="1:26" ht="12.75" customHeight="1" x14ac:dyDescent="0.2">
      <c r="A47505" s="258"/>
      <c r="Z47505" s="258"/>
    </row>
    <row r="47506" spans="1:26" ht="12.75" customHeight="1" x14ac:dyDescent="0.2">
      <c r="A47506" s="258"/>
      <c r="Z47506" s="258"/>
    </row>
    <row r="47507" spans="1:26" ht="12.75" customHeight="1" x14ac:dyDescent="0.2">
      <c r="A47507" s="258"/>
      <c r="Z47507" s="258"/>
    </row>
    <row r="47508" spans="1:26" ht="12.75" customHeight="1" x14ac:dyDescent="0.2">
      <c r="A47508" s="258"/>
      <c r="Z47508" s="258"/>
    </row>
    <row r="47509" spans="1:26" ht="12.75" customHeight="1" x14ac:dyDescent="0.2">
      <c r="A47509" s="258"/>
      <c r="Z47509" s="258"/>
    </row>
    <row r="47510" spans="1:26" ht="12.75" customHeight="1" x14ac:dyDescent="0.2">
      <c r="A47510" s="258"/>
      <c r="Z47510" s="258"/>
    </row>
    <row r="47511" spans="1:26" ht="12.75" customHeight="1" x14ac:dyDescent="0.2">
      <c r="A47511" s="258"/>
      <c r="Z47511" s="258"/>
    </row>
    <row r="47512" spans="1:26" ht="12.75" customHeight="1" x14ac:dyDescent="0.2">
      <c r="A47512" s="258"/>
      <c r="Z47512" s="258"/>
    </row>
    <row r="47513" spans="1:26" ht="12.75" customHeight="1" x14ac:dyDescent="0.2">
      <c r="A47513" s="258"/>
      <c r="Z47513" s="258"/>
    </row>
    <row r="47514" spans="1:26" ht="12.75" customHeight="1" x14ac:dyDescent="0.2">
      <c r="A47514" s="258"/>
      <c r="Z47514" s="258"/>
    </row>
    <row r="47515" spans="1:26" ht="12.75" customHeight="1" x14ac:dyDescent="0.2">
      <c r="A47515" s="258"/>
      <c r="Z47515" s="258"/>
    </row>
    <row r="47516" spans="1:26" ht="12.75" customHeight="1" x14ac:dyDescent="0.2">
      <c r="A47516" s="258"/>
      <c r="Z47516" s="258"/>
    </row>
    <row r="47517" spans="1:26" ht="12.75" customHeight="1" x14ac:dyDescent="0.2">
      <c r="A47517" s="258"/>
      <c r="Z47517" s="258"/>
    </row>
    <row r="47518" spans="1:26" ht="12.75" customHeight="1" x14ac:dyDescent="0.2">
      <c r="A47518" s="258"/>
      <c r="Z47518" s="258"/>
    </row>
    <row r="47519" spans="1:26" ht="12.75" customHeight="1" x14ac:dyDescent="0.2">
      <c r="A47519" s="258"/>
      <c r="Z47519" s="258"/>
    </row>
    <row r="47520" spans="1:26" ht="12.75" customHeight="1" x14ac:dyDescent="0.2">
      <c r="A47520" s="258"/>
      <c r="Z47520" s="258"/>
    </row>
    <row r="47521" spans="1:26" ht="12.75" customHeight="1" x14ac:dyDescent="0.2">
      <c r="A47521" s="258"/>
      <c r="Z47521" s="258"/>
    </row>
    <row r="47522" spans="1:26" ht="12.75" customHeight="1" x14ac:dyDescent="0.2">
      <c r="A47522" s="258"/>
      <c r="Z47522" s="258"/>
    </row>
    <row r="47523" spans="1:26" ht="12.75" customHeight="1" x14ac:dyDescent="0.2">
      <c r="A47523" s="258"/>
      <c r="Z47523" s="258"/>
    </row>
    <row r="47524" spans="1:26" ht="12.75" customHeight="1" x14ac:dyDescent="0.2">
      <c r="A47524" s="258"/>
      <c r="Z47524" s="258"/>
    </row>
    <row r="47525" spans="1:26" ht="12.75" customHeight="1" x14ac:dyDescent="0.2">
      <c r="A47525" s="258"/>
      <c r="Z47525" s="258"/>
    </row>
    <row r="47526" spans="1:26" ht="12.75" customHeight="1" x14ac:dyDescent="0.2">
      <c r="A47526" s="258"/>
      <c r="Z47526" s="258"/>
    </row>
    <row r="47527" spans="1:26" ht="12.75" customHeight="1" x14ac:dyDescent="0.2">
      <c r="A47527" s="258"/>
      <c r="Z47527" s="258"/>
    </row>
    <row r="47528" spans="1:26" ht="12.75" customHeight="1" x14ac:dyDescent="0.2">
      <c r="A47528" s="258"/>
      <c r="Z47528" s="258"/>
    </row>
    <row r="47529" spans="1:26" ht="12.75" customHeight="1" x14ac:dyDescent="0.2">
      <c r="A47529" s="258"/>
      <c r="Z47529" s="258"/>
    </row>
    <row r="47530" spans="1:26" ht="12.75" customHeight="1" x14ac:dyDescent="0.2">
      <c r="A47530" s="258"/>
      <c r="Z47530" s="258"/>
    </row>
    <row r="47531" spans="1:26" ht="12.75" customHeight="1" x14ac:dyDescent="0.2">
      <c r="A47531" s="258"/>
      <c r="Z47531" s="258"/>
    </row>
    <row r="47532" spans="1:26" ht="12.75" customHeight="1" x14ac:dyDescent="0.2">
      <c r="A47532" s="258"/>
      <c r="Z47532" s="258"/>
    </row>
    <row r="47533" spans="1:26" ht="12.75" customHeight="1" x14ac:dyDescent="0.2">
      <c r="A47533" s="258"/>
      <c r="Z47533" s="258"/>
    </row>
    <row r="47534" spans="1:26" ht="12.75" customHeight="1" x14ac:dyDescent="0.2">
      <c r="A47534" s="258"/>
      <c r="Z47534" s="258"/>
    </row>
    <row r="47535" spans="1:26" ht="12.75" customHeight="1" x14ac:dyDescent="0.2">
      <c r="A47535" s="258"/>
      <c r="Z47535" s="258"/>
    </row>
    <row r="47536" spans="1:26" ht="12.75" customHeight="1" x14ac:dyDescent="0.2">
      <c r="A47536" s="258"/>
      <c r="Z47536" s="258"/>
    </row>
    <row r="47537" spans="1:26" ht="12.75" customHeight="1" x14ac:dyDescent="0.2">
      <c r="A47537" s="258"/>
      <c r="Z47537" s="258"/>
    </row>
    <row r="47538" spans="1:26" ht="12.75" customHeight="1" x14ac:dyDescent="0.2">
      <c r="A47538" s="258"/>
      <c r="Z47538" s="258"/>
    </row>
    <row r="47539" spans="1:26" ht="12.75" customHeight="1" x14ac:dyDescent="0.2">
      <c r="A47539" s="258"/>
      <c r="Z47539" s="258"/>
    </row>
    <row r="47540" spans="1:26" ht="12.75" customHeight="1" x14ac:dyDescent="0.2">
      <c r="A47540" s="258"/>
      <c r="Z47540" s="258"/>
    </row>
    <row r="47541" spans="1:26" ht="12.75" customHeight="1" x14ac:dyDescent="0.2">
      <c r="A47541" s="258"/>
      <c r="Z47541" s="258"/>
    </row>
    <row r="47542" spans="1:26" ht="12.75" customHeight="1" x14ac:dyDescent="0.2">
      <c r="A47542" s="258"/>
      <c r="Z47542" s="258"/>
    </row>
    <row r="47543" spans="1:26" ht="12.75" customHeight="1" x14ac:dyDescent="0.2">
      <c r="A47543" s="258"/>
      <c r="Z47543" s="258"/>
    </row>
    <row r="47544" spans="1:26" ht="12.75" customHeight="1" x14ac:dyDescent="0.2">
      <c r="A47544" s="258"/>
      <c r="Z47544" s="258"/>
    </row>
    <row r="47545" spans="1:26" ht="12.75" customHeight="1" x14ac:dyDescent="0.2">
      <c r="A47545" s="258"/>
      <c r="Z47545" s="258"/>
    </row>
    <row r="47546" spans="1:26" ht="12.75" customHeight="1" x14ac:dyDescent="0.2">
      <c r="A47546" s="258"/>
      <c r="Z47546" s="258"/>
    </row>
    <row r="47547" spans="1:26" ht="12.75" customHeight="1" x14ac:dyDescent="0.2">
      <c r="A47547" s="258"/>
      <c r="Z47547" s="258"/>
    </row>
    <row r="47548" spans="1:26" ht="12.75" customHeight="1" x14ac:dyDescent="0.2">
      <c r="A47548" s="258"/>
      <c r="Z47548" s="258"/>
    </row>
    <row r="47549" spans="1:26" ht="12.75" customHeight="1" x14ac:dyDescent="0.2">
      <c r="A47549" s="258"/>
      <c r="Z47549" s="258"/>
    </row>
    <row r="47550" spans="1:26" ht="12.75" customHeight="1" x14ac:dyDescent="0.2">
      <c r="A47550" s="258"/>
      <c r="Z47550" s="258"/>
    </row>
    <row r="47551" spans="1:26" ht="12.75" customHeight="1" x14ac:dyDescent="0.2">
      <c r="A47551" s="258"/>
      <c r="Z47551" s="258"/>
    </row>
    <row r="47552" spans="1:26" ht="12.75" customHeight="1" x14ac:dyDescent="0.2">
      <c r="A47552" s="258"/>
      <c r="Z47552" s="258"/>
    </row>
    <row r="47553" spans="1:26" ht="12.75" customHeight="1" x14ac:dyDescent="0.2">
      <c r="A47553" s="258"/>
      <c r="Z47553" s="258"/>
    </row>
    <row r="47554" spans="1:26" ht="12.75" customHeight="1" x14ac:dyDescent="0.2">
      <c r="A47554" s="258"/>
      <c r="Z47554" s="258"/>
    </row>
    <row r="47555" spans="1:26" ht="12.75" customHeight="1" x14ac:dyDescent="0.2">
      <c r="A47555" s="258"/>
      <c r="Z47555" s="258"/>
    </row>
    <row r="47556" spans="1:26" ht="12.75" customHeight="1" x14ac:dyDescent="0.2">
      <c r="A47556" s="258"/>
      <c r="Z47556" s="258"/>
    </row>
    <row r="47557" spans="1:26" ht="12.75" customHeight="1" x14ac:dyDescent="0.2">
      <c r="A47557" s="258"/>
      <c r="Z47557" s="258"/>
    </row>
    <row r="47558" spans="1:26" ht="12.75" customHeight="1" x14ac:dyDescent="0.2">
      <c r="A47558" s="258"/>
      <c r="Z47558" s="258"/>
    </row>
    <row r="47559" spans="1:26" ht="12.75" customHeight="1" x14ac:dyDescent="0.2">
      <c r="A47559" s="258"/>
      <c r="Z47559" s="258"/>
    </row>
    <row r="47560" spans="1:26" ht="12.75" customHeight="1" x14ac:dyDescent="0.2">
      <c r="A47560" s="258"/>
      <c r="Z47560" s="258"/>
    </row>
    <row r="47561" spans="1:26" ht="12.75" customHeight="1" x14ac:dyDescent="0.2">
      <c r="A47561" s="258"/>
      <c r="Z47561" s="258"/>
    </row>
    <row r="47562" spans="1:26" ht="12.75" customHeight="1" x14ac:dyDescent="0.2">
      <c r="A47562" s="258"/>
      <c r="Z47562" s="258"/>
    </row>
    <row r="47563" spans="1:26" ht="12.75" customHeight="1" x14ac:dyDescent="0.2">
      <c r="A47563" s="258"/>
      <c r="Z47563" s="258"/>
    </row>
    <row r="47564" spans="1:26" ht="12.75" customHeight="1" x14ac:dyDescent="0.2">
      <c r="A47564" s="258"/>
      <c r="Z47564" s="258"/>
    </row>
    <row r="47565" spans="1:26" ht="12.75" customHeight="1" x14ac:dyDescent="0.2">
      <c r="A47565" s="258"/>
      <c r="Z47565" s="258"/>
    </row>
    <row r="47566" spans="1:26" ht="12.75" customHeight="1" x14ac:dyDescent="0.2">
      <c r="A47566" s="258"/>
      <c r="Z47566" s="258"/>
    </row>
    <row r="47567" spans="1:26" ht="12.75" customHeight="1" x14ac:dyDescent="0.2">
      <c r="A47567" s="258"/>
      <c r="Z47567" s="258"/>
    </row>
    <row r="47568" spans="1:26" ht="12.75" customHeight="1" x14ac:dyDescent="0.2">
      <c r="A47568" s="258"/>
      <c r="Z47568" s="258"/>
    </row>
    <row r="47569" spans="1:26" ht="12.75" customHeight="1" x14ac:dyDescent="0.2">
      <c r="A47569" s="258"/>
      <c r="Z47569" s="258"/>
    </row>
    <row r="47570" spans="1:26" ht="12.75" customHeight="1" x14ac:dyDescent="0.2">
      <c r="A47570" s="258"/>
      <c r="Z47570" s="258"/>
    </row>
    <row r="47571" spans="1:26" ht="12.75" customHeight="1" x14ac:dyDescent="0.2">
      <c r="A47571" s="258"/>
      <c r="Z47571" s="258"/>
    </row>
    <row r="47572" spans="1:26" ht="12.75" customHeight="1" x14ac:dyDescent="0.2">
      <c r="A47572" s="258"/>
      <c r="Z47572" s="258"/>
    </row>
    <row r="47573" spans="1:26" ht="12.75" customHeight="1" x14ac:dyDescent="0.2">
      <c r="A47573" s="258"/>
      <c r="Z47573" s="258"/>
    </row>
    <row r="47574" spans="1:26" ht="12.75" customHeight="1" x14ac:dyDescent="0.2">
      <c r="A47574" s="258"/>
      <c r="Z47574" s="258"/>
    </row>
    <row r="47575" spans="1:26" ht="12.75" customHeight="1" x14ac:dyDescent="0.2">
      <c r="A47575" s="258"/>
      <c r="Z47575" s="258"/>
    </row>
    <row r="47576" spans="1:26" ht="12.75" customHeight="1" x14ac:dyDescent="0.2">
      <c r="A47576" s="258"/>
      <c r="Z47576" s="258"/>
    </row>
    <row r="47577" spans="1:26" ht="12.75" customHeight="1" x14ac:dyDescent="0.2">
      <c r="A47577" s="258"/>
      <c r="Z47577" s="258"/>
    </row>
    <row r="47578" spans="1:26" ht="12.75" customHeight="1" x14ac:dyDescent="0.2">
      <c r="A47578" s="258"/>
      <c r="Z47578" s="258"/>
    </row>
    <row r="47579" spans="1:26" ht="12.75" customHeight="1" x14ac:dyDescent="0.2">
      <c r="A47579" s="258"/>
      <c r="Z47579" s="258"/>
    </row>
    <row r="47580" spans="1:26" ht="12.75" customHeight="1" x14ac:dyDescent="0.2">
      <c r="A47580" s="258"/>
      <c r="Z47580" s="258"/>
    </row>
    <row r="47581" spans="1:26" ht="12.75" customHeight="1" x14ac:dyDescent="0.2">
      <c r="A47581" s="258"/>
      <c r="Z47581" s="258"/>
    </row>
    <row r="47582" spans="1:26" ht="12.75" customHeight="1" x14ac:dyDescent="0.2">
      <c r="A47582" s="258"/>
      <c r="Z47582" s="258"/>
    </row>
    <row r="47583" spans="1:26" ht="12.75" customHeight="1" x14ac:dyDescent="0.2">
      <c r="A47583" s="258"/>
      <c r="Z47583" s="258"/>
    </row>
    <row r="47584" spans="1:26" ht="12.75" customHeight="1" x14ac:dyDescent="0.2">
      <c r="A47584" s="258"/>
      <c r="Z47584" s="258"/>
    </row>
    <row r="47585" spans="1:26" ht="12.75" customHeight="1" x14ac:dyDescent="0.2">
      <c r="A47585" s="258"/>
      <c r="Z47585" s="258"/>
    </row>
    <row r="47586" spans="1:26" ht="12.75" customHeight="1" x14ac:dyDescent="0.2">
      <c r="A47586" s="258"/>
      <c r="Z47586" s="258"/>
    </row>
    <row r="47587" spans="1:26" ht="12.75" customHeight="1" x14ac:dyDescent="0.2">
      <c r="A47587" s="258"/>
      <c r="Z47587" s="258"/>
    </row>
    <row r="47588" spans="1:26" ht="12.75" customHeight="1" x14ac:dyDescent="0.2">
      <c r="A47588" s="258"/>
      <c r="Z47588" s="258"/>
    </row>
    <row r="47589" spans="1:26" ht="12.75" customHeight="1" x14ac:dyDescent="0.2">
      <c r="A47589" s="258"/>
      <c r="Z47589" s="258"/>
    </row>
    <row r="47590" spans="1:26" ht="12.75" customHeight="1" x14ac:dyDescent="0.2">
      <c r="A47590" s="258"/>
      <c r="Z47590" s="258"/>
    </row>
    <row r="47591" spans="1:26" ht="12.75" customHeight="1" x14ac:dyDescent="0.2">
      <c r="A47591" s="258"/>
      <c r="Z47591" s="258"/>
    </row>
    <row r="47592" spans="1:26" ht="12.75" customHeight="1" x14ac:dyDescent="0.2">
      <c r="A47592" s="258"/>
      <c r="Z47592" s="258"/>
    </row>
    <row r="47593" spans="1:26" ht="12.75" customHeight="1" x14ac:dyDescent="0.2">
      <c r="A47593" s="258"/>
      <c r="Z47593" s="258"/>
    </row>
    <row r="47594" spans="1:26" ht="12.75" customHeight="1" x14ac:dyDescent="0.2">
      <c r="A47594" s="258"/>
      <c r="Z47594" s="258"/>
    </row>
    <row r="47595" spans="1:26" ht="12.75" customHeight="1" x14ac:dyDescent="0.2">
      <c r="A47595" s="258"/>
      <c r="Z47595" s="258"/>
    </row>
    <row r="47596" spans="1:26" ht="12.75" customHeight="1" x14ac:dyDescent="0.2">
      <c r="A47596" s="258"/>
      <c r="Z47596" s="258"/>
    </row>
    <row r="47597" spans="1:26" ht="12.75" customHeight="1" x14ac:dyDescent="0.2">
      <c r="A47597" s="258"/>
      <c r="Z47597" s="258"/>
    </row>
    <row r="47598" spans="1:26" ht="12.75" customHeight="1" x14ac:dyDescent="0.2">
      <c r="A47598" s="258"/>
      <c r="Z47598" s="258"/>
    </row>
    <row r="47599" spans="1:26" ht="12.75" customHeight="1" x14ac:dyDescent="0.2">
      <c r="A47599" s="258"/>
      <c r="Z47599" s="258"/>
    </row>
    <row r="47600" spans="1:26" ht="12.75" customHeight="1" x14ac:dyDescent="0.2">
      <c r="A47600" s="258"/>
      <c r="Z47600" s="258"/>
    </row>
    <row r="47601" spans="1:26" ht="12.75" customHeight="1" x14ac:dyDescent="0.2">
      <c r="A47601" s="258"/>
      <c r="Z47601" s="258"/>
    </row>
    <row r="47602" spans="1:26" ht="12.75" customHeight="1" x14ac:dyDescent="0.2">
      <c r="A47602" s="258"/>
      <c r="Z47602" s="258"/>
    </row>
    <row r="47603" spans="1:26" ht="12.75" customHeight="1" x14ac:dyDescent="0.2">
      <c r="A47603" s="258"/>
      <c r="Z47603" s="258"/>
    </row>
    <row r="47604" spans="1:26" ht="12.75" customHeight="1" x14ac:dyDescent="0.2">
      <c r="A47604" s="258"/>
      <c r="Z47604" s="258"/>
    </row>
    <row r="47605" spans="1:26" ht="12.75" customHeight="1" x14ac:dyDescent="0.2">
      <c r="A47605" s="258"/>
      <c r="Z47605" s="258"/>
    </row>
    <row r="47606" spans="1:26" ht="12.75" customHeight="1" x14ac:dyDescent="0.2">
      <c r="A47606" s="258"/>
      <c r="Z47606" s="258"/>
    </row>
    <row r="47607" spans="1:26" ht="12.75" customHeight="1" x14ac:dyDescent="0.2">
      <c r="A47607" s="258"/>
      <c r="Z47607" s="258"/>
    </row>
    <row r="47608" spans="1:26" ht="12.75" customHeight="1" x14ac:dyDescent="0.2">
      <c r="A47608" s="258"/>
      <c r="Z47608" s="258"/>
    </row>
    <row r="47609" spans="1:26" ht="12.75" customHeight="1" x14ac:dyDescent="0.2">
      <c r="A47609" s="258"/>
      <c r="Z47609" s="258"/>
    </row>
    <row r="47610" spans="1:26" ht="12.75" customHeight="1" x14ac:dyDescent="0.2">
      <c r="A47610" s="258"/>
      <c r="Z47610" s="258"/>
    </row>
    <row r="47611" spans="1:26" ht="12.75" customHeight="1" x14ac:dyDescent="0.2">
      <c r="A47611" s="258"/>
      <c r="Z47611" s="258"/>
    </row>
    <row r="47612" spans="1:26" ht="12.75" customHeight="1" x14ac:dyDescent="0.2">
      <c r="A47612" s="258"/>
      <c r="Z47612" s="258"/>
    </row>
    <row r="47613" spans="1:26" ht="12.75" customHeight="1" x14ac:dyDescent="0.2">
      <c r="A47613" s="258"/>
      <c r="Z47613" s="258"/>
    </row>
    <row r="47614" spans="1:26" ht="12.75" customHeight="1" x14ac:dyDescent="0.2">
      <c r="A47614" s="258"/>
      <c r="Z47614" s="258"/>
    </row>
    <row r="47615" spans="1:26" ht="12.75" customHeight="1" x14ac:dyDescent="0.2">
      <c r="A47615" s="258"/>
      <c r="Z47615" s="258"/>
    </row>
    <row r="47616" spans="1:26" ht="12.75" customHeight="1" x14ac:dyDescent="0.2">
      <c r="A47616" s="258"/>
      <c r="Z47616" s="258"/>
    </row>
    <row r="47617" spans="1:26" ht="12.75" customHeight="1" x14ac:dyDescent="0.2">
      <c r="A47617" s="258"/>
      <c r="Z47617" s="258"/>
    </row>
    <row r="47618" spans="1:26" ht="12.75" customHeight="1" x14ac:dyDescent="0.2">
      <c r="A47618" s="258"/>
      <c r="Z47618" s="258"/>
    </row>
    <row r="47619" spans="1:26" ht="12.75" customHeight="1" x14ac:dyDescent="0.2">
      <c r="A47619" s="258"/>
      <c r="Z47619" s="258"/>
    </row>
    <row r="47620" spans="1:26" ht="12.75" customHeight="1" x14ac:dyDescent="0.2">
      <c r="A47620" s="258"/>
      <c r="Z47620" s="258"/>
    </row>
    <row r="47621" spans="1:26" ht="12.75" customHeight="1" x14ac:dyDescent="0.2">
      <c r="A47621" s="258"/>
      <c r="Z47621" s="258"/>
    </row>
    <row r="47622" spans="1:26" ht="12.75" customHeight="1" x14ac:dyDescent="0.2">
      <c r="A47622" s="258"/>
      <c r="Z47622" s="258"/>
    </row>
    <row r="47623" spans="1:26" ht="12.75" customHeight="1" x14ac:dyDescent="0.2">
      <c r="A47623" s="258"/>
      <c r="Z47623" s="258"/>
    </row>
    <row r="47624" spans="1:26" ht="12.75" customHeight="1" x14ac:dyDescent="0.2">
      <c r="A47624" s="258"/>
      <c r="Z47624" s="258"/>
    </row>
    <row r="47625" spans="1:26" ht="12.75" customHeight="1" x14ac:dyDescent="0.2">
      <c r="A47625" s="258"/>
      <c r="Z47625" s="258"/>
    </row>
    <row r="47626" spans="1:26" ht="12.75" customHeight="1" x14ac:dyDescent="0.2">
      <c r="A47626" s="258"/>
      <c r="Z47626" s="258"/>
    </row>
    <row r="47627" spans="1:26" ht="12.75" customHeight="1" x14ac:dyDescent="0.2">
      <c r="A47627" s="258"/>
      <c r="Z47627" s="258"/>
    </row>
    <row r="47628" spans="1:26" ht="12.75" customHeight="1" x14ac:dyDescent="0.2">
      <c r="A47628" s="258"/>
      <c r="Z47628" s="258"/>
    </row>
    <row r="47629" spans="1:26" ht="12.75" customHeight="1" x14ac:dyDescent="0.2">
      <c r="A47629" s="258"/>
      <c r="Z47629" s="258"/>
    </row>
    <row r="47630" spans="1:26" ht="12.75" customHeight="1" x14ac:dyDescent="0.2">
      <c r="A47630" s="258"/>
      <c r="Z47630" s="258"/>
    </row>
    <row r="47631" spans="1:26" ht="12.75" customHeight="1" x14ac:dyDescent="0.2">
      <c r="A47631" s="258"/>
      <c r="Z47631" s="258"/>
    </row>
    <row r="47632" spans="1:26" ht="12.75" customHeight="1" x14ac:dyDescent="0.2">
      <c r="A47632" s="258"/>
      <c r="Z47632" s="258"/>
    </row>
    <row r="47633" spans="1:26" ht="12.75" customHeight="1" x14ac:dyDescent="0.2">
      <c r="A47633" s="258"/>
      <c r="Z47633" s="258"/>
    </row>
    <row r="47634" spans="1:26" ht="12.75" customHeight="1" x14ac:dyDescent="0.2">
      <c r="A47634" s="258"/>
      <c r="Z47634" s="258"/>
    </row>
    <row r="47635" spans="1:26" ht="12.75" customHeight="1" x14ac:dyDescent="0.2">
      <c r="A47635" s="258"/>
      <c r="Z47635" s="258"/>
    </row>
    <row r="47636" spans="1:26" ht="12.75" customHeight="1" x14ac:dyDescent="0.2">
      <c r="A47636" s="258"/>
      <c r="Z47636" s="258"/>
    </row>
    <row r="47637" spans="1:26" ht="12.75" customHeight="1" x14ac:dyDescent="0.2">
      <c r="A47637" s="258"/>
      <c r="Z47637" s="258"/>
    </row>
    <row r="47638" spans="1:26" ht="12.75" customHeight="1" x14ac:dyDescent="0.2">
      <c r="A47638" s="258"/>
      <c r="Z47638" s="258"/>
    </row>
    <row r="47639" spans="1:26" ht="12.75" customHeight="1" x14ac:dyDescent="0.2">
      <c r="A47639" s="258"/>
      <c r="Z47639" s="258"/>
    </row>
    <row r="47640" spans="1:26" ht="12.75" customHeight="1" x14ac:dyDescent="0.2">
      <c r="A47640" s="258"/>
      <c r="Z47640" s="258"/>
    </row>
    <row r="47641" spans="1:26" ht="12.75" customHeight="1" x14ac:dyDescent="0.2">
      <c r="A47641" s="258"/>
      <c r="Z47641" s="258"/>
    </row>
    <row r="47642" spans="1:26" ht="12.75" customHeight="1" x14ac:dyDescent="0.2">
      <c r="A47642" s="258"/>
      <c r="Z47642" s="258"/>
    </row>
    <row r="47643" spans="1:26" ht="12.75" customHeight="1" x14ac:dyDescent="0.2">
      <c r="A47643" s="258"/>
      <c r="Z47643" s="258"/>
    </row>
    <row r="47644" spans="1:26" ht="12.75" customHeight="1" x14ac:dyDescent="0.2">
      <c r="A47644" s="258"/>
      <c r="Z47644" s="258"/>
    </row>
    <row r="47645" spans="1:26" ht="12.75" customHeight="1" x14ac:dyDescent="0.2">
      <c r="A47645" s="258"/>
      <c r="Z47645" s="258"/>
    </row>
    <row r="47646" spans="1:26" ht="12.75" customHeight="1" x14ac:dyDescent="0.2">
      <c r="A47646" s="258"/>
      <c r="Z47646" s="258"/>
    </row>
    <row r="47647" spans="1:26" ht="12.75" customHeight="1" x14ac:dyDescent="0.2">
      <c r="A47647" s="258"/>
      <c r="Z47647" s="258"/>
    </row>
    <row r="47648" spans="1:26" ht="12.75" customHeight="1" x14ac:dyDescent="0.2">
      <c r="A47648" s="258"/>
      <c r="Z47648" s="258"/>
    </row>
    <row r="47649" spans="1:26" ht="12.75" customHeight="1" x14ac:dyDescent="0.2">
      <c r="A47649" s="258"/>
      <c r="Z47649" s="258"/>
    </row>
    <row r="47650" spans="1:26" ht="12.75" customHeight="1" x14ac:dyDescent="0.2">
      <c r="A47650" s="258"/>
      <c r="Z47650" s="258"/>
    </row>
    <row r="47651" spans="1:26" ht="12.75" customHeight="1" x14ac:dyDescent="0.2">
      <c r="A47651" s="258"/>
      <c r="Z47651" s="258"/>
    </row>
    <row r="47652" spans="1:26" ht="12.75" customHeight="1" x14ac:dyDescent="0.2">
      <c r="A47652" s="258"/>
      <c r="Z47652" s="258"/>
    </row>
    <row r="47653" spans="1:26" ht="12.75" customHeight="1" x14ac:dyDescent="0.2">
      <c r="A47653" s="258"/>
      <c r="Z47653" s="258"/>
    </row>
    <row r="47654" spans="1:26" ht="12.75" customHeight="1" x14ac:dyDescent="0.2">
      <c r="A47654" s="258"/>
      <c r="Z47654" s="258"/>
    </row>
    <row r="47655" spans="1:26" ht="12.75" customHeight="1" x14ac:dyDescent="0.2">
      <c r="A47655" s="258"/>
      <c r="Z47655" s="258"/>
    </row>
    <row r="47656" spans="1:26" ht="12.75" customHeight="1" x14ac:dyDescent="0.2">
      <c r="A47656" s="258"/>
      <c r="Z47656" s="258"/>
    </row>
    <row r="47657" spans="1:26" ht="12.75" customHeight="1" x14ac:dyDescent="0.2">
      <c r="A47657" s="258"/>
      <c r="Z47657" s="258"/>
    </row>
    <row r="47658" spans="1:26" ht="12.75" customHeight="1" x14ac:dyDescent="0.2">
      <c r="A47658" s="258"/>
      <c r="Z47658" s="258"/>
    </row>
    <row r="47659" spans="1:26" ht="12.75" customHeight="1" x14ac:dyDescent="0.2">
      <c r="A47659" s="258"/>
      <c r="Z47659" s="258"/>
    </row>
    <row r="47660" spans="1:26" ht="12.75" customHeight="1" x14ac:dyDescent="0.2">
      <c r="A47660" s="258"/>
      <c r="Z47660" s="258"/>
    </row>
    <row r="47661" spans="1:26" ht="12.75" customHeight="1" x14ac:dyDescent="0.2">
      <c r="A47661" s="258"/>
      <c r="Z47661" s="258"/>
    </row>
    <row r="47662" spans="1:26" ht="12.75" customHeight="1" x14ac:dyDescent="0.2">
      <c r="A47662" s="258"/>
      <c r="Z47662" s="258"/>
    </row>
    <row r="47663" spans="1:26" ht="12.75" customHeight="1" x14ac:dyDescent="0.2">
      <c r="A47663" s="258"/>
      <c r="Z47663" s="258"/>
    </row>
    <row r="47664" spans="1:26" ht="12.75" customHeight="1" x14ac:dyDescent="0.2">
      <c r="A47664" s="258"/>
      <c r="Z47664" s="258"/>
    </row>
    <row r="47665" spans="1:26" ht="12.75" customHeight="1" x14ac:dyDescent="0.2">
      <c r="A47665" s="258"/>
      <c r="Z47665" s="258"/>
    </row>
    <row r="47666" spans="1:26" ht="12.75" customHeight="1" x14ac:dyDescent="0.2">
      <c r="A47666" s="258"/>
      <c r="Z47666" s="258"/>
    </row>
    <row r="47667" spans="1:26" ht="12.75" customHeight="1" x14ac:dyDescent="0.2">
      <c r="A47667" s="258"/>
      <c r="Z47667" s="258"/>
    </row>
    <row r="47668" spans="1:26" ht="12.75" customHeight="1" x14ac:dyDescent="0.2">
      <c r="A47668" s="258"/>
      <c r="Z47668" s="258"/>
    </row>
    <row r="47669" spans="1:26" ht="12.75" customHeight="1" x14ac:dyDescent="0.2">
      <c r="A47669" s="258"/>
      <c r="Z47669" s="258"/>
    </row>
    <row r="47670" spans="1:26" ht="12.75" customHeight="1" x14ac:dyDescent="0.2">
      <c r="A47670" s="258"/>
      <c r="Z47670" s="258"/>
    </row>
    <row r="47671" spans="1:26" ht="12.75" customHeight="1" x14ac:dyDescent="0.2">
      <c r="A47671" s="258"/>
      <c r="Z47671" s="258"/>
    </row>
    <row r="47672" spans="1:26" ht="12.75" customHeight="1" x14ac:dyDescent="0.2">
      <c r="A47672" s="258"/>
      <c r="Z47672" s="258"/>
    </row>
    <row r="47673" spans="1:26" ht="12.75" customHeight="1" x14ac:dyDescent="0.2">
      <c r="A47673" s="258"/>
      <c r="Z47673" s="258"/>
    </row>
    <row r="47674" spans="1:26" ht="12.75" customHeight="1" x14ac:dyDescent="0.2">
      <c r="A47674" s="258"/>
      <c r="Z47674" s="258"/>
    </row>
    <row r="47675" spans="1:26" ht="12.75" customHeight="1" x14ac:dyDescent="0.2">
      <c r="A47675" s="258"/>
      <c r="Z47675" s="258"/>
    </row>
    <row r="47676" spans="1:26" ht="12.75" customHeight="1" x14ac:dyDescent="0.2">
      <c r="A47676" s="258"/>
      <c r="Z47676" s="258"/>
    </row>
    <row r="47677" spans="1:26" ht="12.75" customHeight="1" x14ac:dyDescent="0.2">
      <c r="A47677" s="258"/>
      <c r="Z47677" s="258"/>
    </row>
    <row r="47678" spans="1:26" ht="12.75" customHeight="1" x14ac:dyDescent="0.2">
      <c r="A47678" s="258"/>
      <c r="Z47678" s="258"/>
    </row>
    <row r="47679" spans="1:26" ht="12.75" customHeight="1" x14ac:dyDescent="0.2">
      <c r="A47679" s="258"/>
      <c r="Z47679" s="258"/>
    </row>
    <row r="47680" spans="1:26" ht="12.75" customHeight="1" x14ac:dyDescent="0.2">
      <c r="A47680" s="258"/>
      <c r="Z47680" s="258"/>
    </row>
    <row r="47681" spans="1:26" ht="12.75" customHeight="1" x14ac:dyDescent="0.2">
      <c r="A47681" s="258"/>
      <c r="Z47681" s="258"/>
    </row>
    <row r="47682" spans="1:26" ht="12.75" customHeight="1" x14ac:dyDescent="0.2">
      <c r="A47682" s="258"/>
      <c r="Z47682" s="258"/>
    </row>
    <row r="47683" spans="1:26" ht="12.75" customHeight="1" x14ac:dyDescent="0.2">
      <c r="A47683" s="258"/>
      <c r="Z47683" s="258"/>
    </row>
    <row r="47684" spans="1:26" ht="12.75" customHeight="1" x14ac:dyDescent="0.2">
      <c r="A47684" s="258"/>
      <c r="Z47684" s="258"/>
    </row>
    <row r="47685" spans="1:26" ht="12.75" customHeight="1" x14ac:dyDescent="0.2">
      <c r="A47685" s="258"/>
      <c r="Z47685" s="258"/>
    </row>
    <row r="47686" spans="1:26" ht="12.75" customHeight="1" x14ac:dyDescent="0.2">
      <c r="A47686" s="258"/>
      <c r="Z47686" s="258"/>
    </row>
    <row r="47687" spans="1:26" ht="12.75" customHeight="1" x14ac:dyDescent="0.2">
      <c r="A47687" s="258"/>
      <c r="Z47687" s="258"/>
    </row>
    <row r="47688" spans="1:26" ht="12.75" customHeight="1" x14ac:dyDescent="0.2">
      <c r="A47688" s="258"/>
      <c r="Z47688" s="258"/>
    </row>
    <row r="47689" spans="1:26" ht="12.75" customHeight="1" x14ac:dyDescent="0.2">
      <c r="A47689" s="258"/>
      <c r="Z47689" s="258"/>
    </row>
    <row r="47690" spans="1:26" ht="12.75" customHeight="1" x14ac:dyDescent="0.2">
      <c r="A47690" s="258"/>
      <c r="Z47690" s="258"/>
    </row>
    <row r="47691" spans="1:26" ht="12.75" customHeight="1" x14ac:dyDescent="0.2">
      <c r="A47691" s="258"/>
      <c r="Z47691" s="258"/>
    </row>
    <row r="47692" spans="1:26" ht="12.75" customHeight="1" x14ac:dyDescent="0.2">
      <c r="A47692" s="258"/>
      <c r="Z47692" s="258"/>
    </row>
    <row r="47693" spans="1:26" ht="12.75" customHeight="1" x14ac:dyDescent="0.2">
      <c r="A47693" s="258"/>
      <c r="Z47693" s="258"/>
    </row>
    <row r="47694" spans="1:26" ht="12.75" customHeight="1" x14ac:dyDescent="0.2">
      <c r="A47694" s="258"/>
      <c r="Z47694" s="258"/>
    </row>
    <row r="47695" spans="1:26" ht="12.75" customHeight="1" x14ac:dyDescent="0.2">
      <c r="A47695" s="258"/>
      <c r="Z47695" s="258"/>
    </row>
    <row r="47696" spans="1:26" ht="12.75" customHeight="1" x14ac:dyDescent="0.2">
      <c r="A47696" s="258"/>
      <c r="Z47696" s="258"/>
    </row>
    <row r="47697" spans="1:26" ht="12.75" customHeight="1" x14ac:dyDescent="0.2">
      <c r="A47697" s="258"/>
      <c r="Z47697" s="258"/>
    </row>
    <row r="47698" spans="1:26" ht="12.75" customHeight="1" x14ac:dyDescent="0.2">
      <c r="A47698" s="258"/>
      <c r="Z47698" s="258"/>
    </row>
    <row r="47699" spans="1:26" ht="12.75" customHeight="1" x14ac:dyDescent="0.2">
      <c r="A47699" s="258"/>
      <c r="Z47699" s="258"/>
    </row>
    <row r="47700" spans="1:26" ht="12.75" customHeight="1" x14ac:dyDescent="0.2">
      <c r="A47700" s="258"/>
      <c r="Z47700" s="258"/>
    </row>
    <row r="47701" spans="1:26" ht="12.75" customHeight="1" x14ac:dyDescent="0.2">
      <c r="A47701" s="258"/>
      <c r="Z47701" s="258"/>
    </row>
    <row r="47702" spans="1:26" ht="12.75" customHeight="1" x14ac:dyDescent="0.2">
      <c r="A47702" s="258"/>
      <c r="Z47702" s="258"/>
    </row>
    <row r="47703" spans="1:26" ht="12.75" customHeight="1" x14ac:dyDescent="0.2">
      <c r="A47703" s="258"/>
      <c r="Z47703" s="258"/>
    </row>
    <row r="47704" spans="1:26" ht="12.75" customHeight="1" x14ac:dyDescent="0.2">
      <c r="A47704" s="258"/>
      <c r="Z47704" s="258"/>
    </row>
    <row r="47705" spans="1:26" ht="12.75" customHeight="1" x14ac:dyDescent="0.2">
      <c r="A47705" s="258"/>
      <c r="Z47705" s="258"/>
    </row>
    <row r="47706" spans="1:26" ht="12.75" customHeight="1" x14ac:dyDescent="0.2">
      <c r="A47706" s="258"/>
      <c r="Z47706" s="258"/>
    </row>
    <row r="47707" spans="1:26" ht="12.75" customHeight="1" x14ac:dyDescent="0.2">
      <c r="A47707" s="258"/>
      <c r="Z47707" s="258"/>
    </row>
    <row r="47708" spans="1:26" ht="12.75" customHeight="1" x14ac:dyDescent="0.2">
      <c r="A47708" s="258"/>
      <c r="Z47708" s="258"/>
    </row>
    <row r="47709" spans="1:26" ht="12.75" customHeight="1" x14ac:dyDescent="0.2">
      <c r="A47709" s="258"/>
      <c r="Z47709" s="258"/>
    </row>
    <row r="47710" spans="1:26" ht="12.75" customHeight="1" x14ac:dyDescent="0.2">
      <c r="A47710" s="258"/>
      <c r="Z47710" s="258"/>
    </row>
    <row r="47711" spans="1:26" ht="12.75" customHeight="1" x14ac:dyDescent="0.2">
      <c r="A47711" s="258"/>
      <c r="Z47711" s="258"/>
    </row>
    <row r="47712" spans="1:26" ht="12.75" customHeight="1" x14ac:dyDescent="0.2">
      <c r="A47712" s="258"/>
      <c r="Z47712" s="258"/>
    </row>
    <row r="47713" spans="1:26" ht="12.75" customHeight="1" x14ac:dyDescent="0.2">
      <c r="A47713" s="258"/>
      <c r="Z47713" s="258"/>
    </row>
    <row r="47714" spans="1:26" ht="12.75" customHeight="1" x14ac:dyDescent="0.2">
      <c r="A47714" s="258"/>
      <c r="Z47714" s="258"/>
    </row>
    <row r="47715" spans="1:26" ht="12.75" customHeight="1" x14ac:dyDescent="0.2">
      <c r="A47715" s="258"/>
      <c r="Z47715" s="258"/>
    </row>
    <row r="47716" spans="1:26" ht="12.75" customHeight="1" x14ac:dyDescent="0.2">
      <c r="A47716" s="258"/>
      <c r="Z47716" s="258"/>
    </row>
    <row r="47717" spans="1:26" ht="12.75" customHeight="1" x14ac:dyDescent="0.2">
      <c r="A47717" s="258"/>
      <c r="Z47717" s="258"/>
    </row>
    <row r="47718" spans="1:26" ht="12.75" customHeight="1" x14ac:dyDescent="0.2">
      <c r="A47718" s="258"/>
      <c r="Z47718" s="258"/>
    </row>
    <row r="47719" spans="1:26" ht="12.75" customHeight="1" x14ac:dyDescent="0.2">
      <c r="A47719" s="258"/>
      <c r="Z47719" s="258"/>
    </row>
    <row r="47720" spans="1:26" ht="12.75" customHeight="1" x14ac:dyDescent="0.2">
      <c r="A47720" s="258"/>
      <c r="Z47720" s="258"/>
    </row>
    <row r="47721" spans="1:26" ht="12.75" customHeight="1" x14ac:dyDescent="0.2">
      <c r="A47721" s="258"/>
      <c r="Z47721" s="258"/>
    </row>
    <row r="47722" spans="1:26" ht="12.75" customHeight="1" x14ac:dyDescent="0.2">
      <c r="A47722" s="258"/>
      <c r="Z47722" s="258"/>
    </row>
    <row r="47723" spans="1:26" ht="12.75" customHeight="1" x14ac:dyDescent="0.2">
      <c r="A47723" s="258"/>
      <c r="Z47723" s="258"/>
    </row>
    <row r="47724" spans="1:26" ht="12.75" customHeight="1" x14ac:dyDescent="0.2">
      <c r="A47724" s="258"/>
      <c r="Z47724" s="258"/>
    </row>
    <row r="47725" spans="1:26" ht="12.75" customHeight="1" x14ac:dyDescent="0.2">
      <c r="A47725" s="258"/>
      <c r="Z47725" s="258"/>
    </row>
    <row r="47726" spans="1:26" ht="12.75" customHeight="1" x14ac:dyDescent="0.2">
      <c r="A47726" s="258"/>
      <c r="Z47726" s="258"/>
    </row>
    <row r="47727" spans="1:26" ht="12.75" customHeight="1" x14ac:dyDescent="0.2">
      <c r="A47727" s="258"/>
      <c r="Z47727" s="258"/>
    </row>
    <row r="47728" spans="1:26" ht="12.75" customHeight="1" x14ac:dyDescent="0.2">
      <c r="A47728" s="258"/>
      <c r="Z47728" s="258"/>
    </row>
    <row r="47729" spans="1:26" ht="12.75" customHeight="1" x14ac:dyDescent="0.2">
      <c r="A47729" s="258"/>
      <c r="Z47729" s="258"/>
    </row>
    <row r="47730" spans="1:26" ht="12.75" customHeight="1" x14ac:dyDescent="0.2">
      <c r="A47730" s="258"/>
      <c r="Z47730" s="258"/>
    </row>
    <row r="47731" spans="1:26" ht="12.75" customHeight="1" x14ac:dyDescent="0.2">
      <c r="A47731" s="258"/>
      <c r="Z47731" s="258"/>
    </row>
    <row r="47732" spans="1:26" ht="12.75" customHeight="1" x14ac:dyDescent="0.2">
      <c r="A47732" s="258"/>
      <c r="Z47732" s="258"/>
    </row>
    <row r="47733" spans="1:26" ht="12.75" customHeight="1" x14ac:dyDescent="0.2">
      <c r="A47733" s="258"/>
      <c r="Z47733" s="258"/>
    </row>
    <row r="47734" spans="1:26" ht="12.75" customHeight="1" x14ac:dyDescent="0.2">
      <c r="A47734" s="258"/>
      <c r="Z47734" s="258"/>
    </row>
    <row r="47735" spans="1:26" ht="12.75" customHeight="1" x14ac:dyDescent="0.2">
      <c r="A47735" s="258"/>
      <c r="Z47735" s="258"/>
    </row>
    <row r="47736" spans="1:26" ht="12.75" customHeight="1" x14ac:dyDescent="0.2">
      <c r="A47736" s="258"/>
      <c r="Z47736" s="258"/>
    </row>
    <row r="47737" spans="1:26" ht="12.75" customHeight="1" x14ac:dyDescent="0.2">
      <c r="A47737" s="258"/>
      <c r="Z47737" s="258"/>
    </row>
    <row r="47738" spans="1:26" ht="12.75" customHeight="1" x14ac:dyDescent="0.2">
      <c r="A47738" s="258"/>
      <c r="Z47738" s="258"/>
    </row>
    <row r="47739" spans="1:26" ht="12.75" customHeight="1" x14ac:dyDescent="0.2">
      <c r="A47739" s="258"/>
      <c r="Z47739" s="258"/>
    </row>
    <row r="47740" spans="1:26" ht="12.75" customHeight="1" x14ac:dyDescent="0.2">
      <c r="A47740" s="258"/>
      <c r="Z47740" s="258"/>
    </row>
    <row r="47741" spans="1:26" ht="12.75" customHeight="1" x14ac:dyDescent="0.2">
      <c r="A47741" s="258"/>
      <c r="Z47741" s="258"/>
    </row>
    <row r="47742" spans="1:26" ht="12.75" customHeight="1" x14ac:dyDescent="0.2">
      <c r="A47742" s="258"/>
      <c r="Z47742" s="258"/>
    </row>
    <row r="47743" spans="1:26" ht="12.75" customHeight="1" x14ac:dyDescent="0.2">
      <c r="A47743" s="258"/>
      <c r="Z47743" s="258"/>
    </row>
    <row r="47744" spans="1:26" ht="12.75" customHeight="1" x14ac:dyDescent="0.2">
      <c r="A47744" s="258"/>
      <c r="Z47744" s="258"/>
    </row>
    <row r="47745" spans="1:26" ht="12.75" customHeight="1" x14ac:dyDescent="0.2">
      <c r="A47745" s="258"/>
      <c r="Z47745" s="258"/>
    </row>
    <row r="47746" spans="1:26" ht="12.75" customHeight="1" x14ac:dyDescent="0.2">
      <c r="A47746" s="258"/>
      <c r="Z47746" s="258"/>
    </row>
    <row r="47747" spans="1:26" ht="12.75" customHeight="1" x14ac:dyDescent="0.2">
      <c r="A47747" s="258"/>
      <c r="Z47747" s="258"/>
    </row>
    <row r="47748" spans="1:26" ht="12.75" customHeight="1" x14ac:dyDescent="0.2">
      <c r="A47748" s="258"/>
      <c r="Z47748" s="258"/>
    </row>
    <row r="47749" spans="1:26" ht="12.75" customHeight="1" x14ac:dyDescent="0.2">
      <c r="A47749" s="258"/>
      <c r="Z47749" s="258"/>
    </row>
    <row r="47750" spans="1:26" ht="12.75" customHeight="1" x14ac:dyDescent="0.2">
      <c r="A47750" s="258"/>
      <c r="Z47750" s="258"/>
    </row>
    <row r="47751" spans="1:26" ht="12.75" customHeight="1" x14ac:dyDescent="0.2">
      <c r="A47751" s="258"/>
      <c r="Z47751" s="258"/>
    </row>
    <row r="47752" spans="1:26" ht="12.75" customHeight="1" x14ac:dyDescent="0.2">
      <c r="A47752" s="258"/>
      <c r="Z47752" s="258"/>
    </row>
    <row r="47753" spans="1:26" ht="12.75" customHeight="1" x14ac:dyDescent="0.2">
      <c r="A47753" s="258"/>
      <c r="Z47753" s="258"/>
    </row>
    <row r="47754" spans="1:26" ht="12.75" customHeight="1" x14ac:dyDescent="0.2">
      <c r="A47754" s="258"/>
      <c r="Z47754" s="258"/>
    </row>
    <row r="47755" spans="1:26" ht="12.75" customHeight="1" x14ac:dyDescent="0.2">
      <c r="A47755" s="258"/>
      <c r="Z47755" s="258"/>
    </row>
    <row r="47756" spans="1:26" ht="12.75" customHeight="1" x14ac:dyDescent="0.2">
      <c r="A47756" s="258"/>
      <c r="Z47756" s="258"/>
    </row>
    <row r="47757" spans="1:26" ht="12.75" customHeight="1" x14ac:dyDescent="0.2">
      <c r="A47757" s="258"/>
      <c r="Z47757" s="258"/>
    </row>
    <row r="47758" spans="1:26" ht="12.75" customHeight="1" x14ac:dyDescent="0.2">
      <c r="A47758" s="258"/>
      <c r="Z47758" s="258"/>
    </row>
    <row r="47759" spans="1:26" ht="12.75" customHeight="1" x14ac:dyDescent="0.2">
      <c r="A47759" s="258"/>
      <c r="Z47759" s="258"/>
    </row>
    <row r="47760" spans="1:26" ht="12.75" customHeight="1" x14ac:dyDescent="0.2">
      <c r="A47760" s="258"/>
      <c r="Z47760" s="258"/>
    </row>
    <row r="47761" spans="1:26" ht="12.75" customHeight="1" x14ac:dyDescent="0.2">
      <c r="A47761" s="258"/>
      <c r="Z47761" s="258"/>
    </row>
    <row r="47762" spans="1:26" ht="12.75" customHeight="1" x14ac:dyDescent="0.2">
      <c r="A47762" s="258"/>
      <c r="Z47762" s="258"/>
    </row>
    <row r="47763" spans="1:26" ht="12.75" customHeight="1" x14ac:dyDescent="0.2">
      <c r="A47763" s="258"/>
      <c r="Z47763" s="258"/>
    </row>
    <row r="47764" spans="1:26" ht="12.75" customHeight="1" x14ac:dyDescent="0.2">
      <c r="A47764" s="258"/>
      <c r="Z47764" s="258"/>
    </row>
    <row r="47765" spans="1:26" ht="12.75" customHeight="1" x14ac:dyDescent="0.2">
      <c r="A47765" s="258"/>
      <c r="Z47765" s="258"/>
    </row>
    <row r="47766" spans="1:26" ht="12.75" customHeight="1" x14ac:dyDescent="0.2">
      <c r="A47766" s="258"/>
      <c r="Z47766" s="258"/>
    </row>
    <row r="47767" spans="1:26" ht="12.75" customHeight="1" x14ac:dyDescent="0.2">
      <c r="A47767" s="258"/>
      <c r="Z47767" s="258"/>
    </row>
    <row r="47768" spans="1:26" ht="12.75" customHeight="1" x14ac:dyDescent="0.2">
      <c r="A47768" s="258"/>
      <c r="Z47768" s="258"/>
    </row>
    <row r="47769" spans="1:26" ht="12.75" customHeight="1" x14ac:dyDescent="0.2">
      <c r="A47769" s="258"/>
      <c r="Z47769" s="258"/>
    </row>
    <row r="47770" spans="1:26" ht="12.75" customHeight="1" x14ac:dyDescent="0.2">
      <c r="A47770" s="258"/>
      <c r="Z47770" s="258"/>
    </row>
    <row r="47771" spans="1:26" ht="12.75" customHeight="1" x14ac:dyDescent="0.2">
      <c r="A47771" s="258"/>
      <c r="Z47771" s="258"/>
    </row>
    <row r="47772" spans="1:26" ht="12.75" customHeight="1" x14ac:dyDescent="0.2">
      <c r="A47772" s="258"/>
      <c r="Z47772" s="258"/>
    </row>
    <row r="47773" spans="1:26" ht="12.75" customHeight="1" x14ac:dyDescent="0.2">
      <c r="A47773" s="258"/>
      <c r="Z47773" s="258"/>
    </row>
    <row r="47774" spans="1:26" ht="12.75" customHeight="1" x14ac:dyDescent="0.2">
      <c r="A47774" s="258"/>
      <c r="Z47774" s="258"/>
    </row>
    <row r="47775" spans="1:26" ht="12.75" customHeight="1" x14ac:dyDescent="0.2">
      <c r="A47775" s="258"/>
      <c r="Z47775" s="258"/>
    </row>
    <row r="47776" spans="1:26" ht="12.75" customHeight="1" x14ac:dyDescent="0.2">
      <c r="A47776" s="258"/>
      <c r="Z47776" s="258"/>
    </row>
    <row r="47777" spans="1:26" ht="12.75" customHeight="1" x14ac:dyDescent="0.2">
      <c r="A47777" s="258"/>
      <c r="Z47777" s="258"/>
    </row>
    <row r="47778" spans="1:26" ht="12.75" customHeight="1" x14ac:dyDescent="0.2">
      <c r="A47778" s="258"/>
      <c r="Z47778" s="258"/>
    </row>
    <row r="47779" spans="1:26" ht="12.75" customHeight="1" x14ac:dyDescent="0.2">
      <c r="A47779" s="258"/>
      <c r="Z47779" s="258"/>
    </row>
    <row r="47780" spans="1:26" ht="12.75" customHeight="1" x14ac:dyDescent="0.2">
      <c r="A47780" s="258"/>
      <c r="Z47780" s="258"/>
    </row>
    <row r="47781" spans="1:26" ht="12.75" customHeight="1" x14ac:dyDescent="0.2">
      <c r="A47781" s="258"/>
      <c r="Z47781" s="258"/>
    </row>
    <row r="47782" spans="1:26" ht="12.75" customHeight="1" x14ac:dyDescent="0.2">
      <c r="A47782" s="258"/>
      <c r="Z47782" s="258"/>
    </row>
    <row r="47783" spans="1:26" ht="12.75" customHeight="1" x14ac:dyDescent="0.2">
      <c r="A47783" s="258"/>
      <c r="Z47783" s="258"/>
    </row>
    <row r="47784" spans="1:26" ht="12.75" customHeight="1" x14ac:dyDescent="0.2">
      <c r="A47784" s="258"/>
      <c r="Z47784" s="258"/>
    </row>
    <row r="47785" spans="1:26" ht="12.75" customHeight="1" x14ac:dyDescent="0.2">
      <c r="A47785" s="258"/>
      <c r="Z47785" s="258"/>
    </row>
    <row r="47786" spans="1:26" ht="12.75" customHeight="1" x14ac:dyDescent="0.2">
      <c r="A47786" s="258"/>
      <c r="Z47786" s="258"/>
    </row>
    <row r="47787" spans="1:26" ht="12.75" customHeight="1" x14ac:dyDescent="0.2">
      <c r="A47787" s="258"/>
      <c r="Z47787" s="258"/>
    </row>
    <row r="47788" spans="1:26" ht="12.75" customHeight="1" x14ac:dyDescent="0.2">
      <c r="A47788" s="258"/>
      <c r="Z47788" s="258"/>
    </row>
    <row r="47789" spans="1:26" ht="12.75" customHeight="1" x14ac:dyDescent="0.2">
      <c r="A47789" s="258"/>
      <c r="Z47789" s="258"/>
    </row>
    <row r="47790" spans="1:26" ht="12.75" customHeight="1" x14ac:dyDescent="0.2">
      <c r="A47790" s="258"/>
      <c r="Z47790" s="258"/>
    </row>
    <row r="47791" spans="1:26" ht="12.75" customHeight="1" x14ac:dyDescent="0.2">
      <c r="A47791" s="258"/>
      <c r="Z47791" s="258"/>
    </row>
    <row r="47792" spans="1:26" ht="12.75" customHeight="1" x14ac:dyDescent="0.2">
      <c r="A47792" s="258"/>
      <c r="Z47792" s="258"/>
    </row>
    <row r="47793" spans="1:26" ht="12.75" customHeight="1" x14ac:dyDescent="0.2">
      <c r="A47793" s="258"/>
      <c r="Z47793" s="258"/>
    </row>
    <row r="47794" spans="1:26" ht="12.75" customHeight="1" x14ac:dyDescent="0.2">
      <c r="A47794" s="258"/>
      <c r="Z47794" s="258"/>
    </row>
    <row r="47795" spans="1:26" ht="12.75" customHeight="1" x14ac:dyDescent="0.2">
      <c r="A47795" s="258"/>
      <c r="Z47795" s="258"/>
    </row>
    <row r="47796" spans="1:26" ht="12.75" customHeight="1" x14ac:dyDescent="0.2">
      <c r="A47796" s="258"/>
      <c r="Z47796" s="258"/>
    </row>
    <row r="47797" spans="1:26" ht="12.75" customHeight="1" x14ac:dyDescent="0.2">
      <c r="A47797" s="258"/>
      <c r="Z47797" s="258"/>
    </row>
    <row r="47798" spans="1:26" ht="12.75" customHeight="1" x14ac:dyDescent="0.2">
      <c r="A47798" s="258"/>
      <c r="Z47798" s="258"/>
    </row>
    <row r="47799" spans="1:26" ht="12.75" customHeight="1" x14ac:dyDescent="0.2">
      <c r="A47799" s="258"/>
      <c r="Z47799" s="258"/>
    </row>
    <row r="47800" spans="1:26" ht="12.75" customHeight="1" x14ac:dyDescent="0.2">
      <c r="A47800" s="258"/>
      <c r="Z47800" s="258"/>
    </row>
    <row r="47801" spans="1:26" ht="12.75" customHeight="1" x14ac:dyDescent="0.2">
      <c r="A47801" s="258"/>
      <c r="Z47801" s="258"/>
    </row>
    <row r="47802" spans="1:26" ht="12.75" customHeight="1" x14ac:dyDescent="0.2">
      <c r="A47802" s="258"/>
      <c r="Z47802" s="258"/>
    </row>
    <row r="47803" spans="1:26" ht="12.75" customHeight="1" x14ac:dyDescent="0.2">
      <c r="A47803" s="258"/>
      <c r="Z47803" s="258"/>
    </row>
    <row r="47804" spans="1:26" ht="12.75" customHeight="1" x14ac:dyDescent="0.2">
      <c r="A47804" s="258"/>
      <c r="Z47804" s="258"/>
    </row>
    <row r="47805" spans="1:26" ht="12.75" customHeight="1" x14ac:dyDescent="0.2">
      <c r="A47805" s="258"/>
      <c r="Z47805" s="258"/>
    </row>
    <row r="47806" spans="1:26" ht="12.75" customHeight="1" x14ac:dyDescent="0.2">
      <c r="A47806" s="258"/>
      <c r="Z47806" s="258"/>
    </row>
    <row r="47807" spans="1:26" ht="12.75" customHeight="1" x14ac:dyDescent="0.2">
      <c r="A47807" s="258"/>
      <c r="Z47807" s="258"/>
    </row>
    <row r="47808" spans="1:26" ht="12.75" customHeight="1" x14ac:dyDescent="0.2">
      <c r="A47808" s="258"/>
      <c r="Z47808" s="258"/>
    </row>
    <row r="47809" spans="1:26" ht="12.75" customHeight="1" x14ac:dyDescent="0.2">
      <c r="A47809" s="258"/>
      <c r="Z47809" s="258"/>
    </row>
    <row r="47810" spans="1:26" ht="12.75" customHeight="1" x14ac:dyDescent="0.2">
      <c r="A47810" s="258"/>
      <c r="Z47810" s="258"/>
    </row>
    <row r="47811" spans="1:26" ht="12.75" customHeight="1" x14ac:dyDescent="0.2">
      <c r="A47811" s="258"/>
      <c r="Z47811" s="258"/>
    </row>
    <row r="47812" spans="1:26" ht="12.75" customHeight="1" x14ac:dyDescent="0.2">
      <c r="A47812" s="258"/>
      <c r="Z47812" s="258"/>
    </row>
    <row r="47813" spans="1:26" ht="12.75" customHeight="1" x14ac:dyDescent="0.2">
      <c r="A47813" s="258"/>
      <c r="Z47813" s="258"/>
    </row>
    <row r="47814" spans="1:26" ht="12.75" customHeight="1" x14ac:dyDescent="0.2">
      <c r="A47814" s="258"/>
      <c r="Z47814" s="258"/>
    </row>
    <row r="47815" spans="1:26" ht="12.75" customHeight="1" x14ac:dyDescent="0.2">
      <c r="A47815" s="258"/>
      <c r="Z47815" s="258"/>
    </row>
    <row r="47816" spans="1:26" ht="12.75" customHeight="1" x14ac:dyDescent="0.2">
      <c r="A47816" s="258"/>
      <c r="Z47816" s="258"/>
    </row>
    <row r="47817" spans="1:26" ht="12.75" customHeight="1" x14ac:dyDescent="0.2">
      <c r="A47817" s="258"/>
      <c r="Z47817" s="258"/>
    </row>
    <row r="47818" spans="1:26" ht="12.75" customHeight="1" x14ac:dyDescent="0.2">
      <c r="A47818" s="258"/>
      <c r="Z47818" s="258"/>
    </row>
    <row r="47819" spans="1:26" ht="12.75" customHeight="1" x14ac:dyDescent="0.2">
      <c r="A47819" s="258"/>
      <c r="Z47819" s="258"/>
    </row>
    <row r="47820" spans="1:26" ht="12.75" customHeight="1" x14ac:dyDescent="0.2">
      <c r="A47820" s="258"/>
      <c r="Z47820" s="258"/>
    </row>
    <row r="47821" spans="1:26" ht="12.75" customHeight="1" x14ac:dyDescent="0.2">
      <c r="A47821" s="258"/>
      <c r="Z47821" s="258"/>
    </row>
    <row r="47822" spans="1:26" ht="12.75" customHeight="1" x14ac:dyDescent="0.2">
      <c r="A47822" s="258"/>
      <c r="Z47822" s="258"/>
    </row>
    <row r="47823" spans="1:26" ht="12.75" customHeight="1" x14ac:dyDescent="0.2">
      <c r="A47823" s="258"/>
      <c r="Z47823" s="258"/>
    </row>
    <row r="47824" spans="1:26" ht="12.75" customHeight="1" x14ac:dyDescent="0.2">
      <c r="A47824" s="258"/>
      <c r="Z47824" s="258"/>
    </row>
    <row r="47825" spans="1:26" ht="12.75" customHeight="1" x14ac:dyDescent="0.2">
      <c r="A47825" s="258"/>
      <c r="Z47825" s="258"/>
    </row>
    <row r="47826" spans="1:26" ht="12.75" customHeight="1" x14ac:dyDescent="0.2">
      <c r="A47826" s="258"/>
      <c r="Z47826" s="258"/>
    </row>
    <row r="47827" spans="1:26" ht="12.75" customHeight="1" x14ac:dyDescent="0.2">
      <c r="A47827" s="258"/>
      <c r="Z47827" s="258"/>
    </row>
    <row r="47828" spans="1:26" ht="12.75" customHeight="1" x14ac:dyDescent="0.2">
      <c r="A47828" s="258"/>
      <c r="Z47828" s="258"/>
    </row>
    <row r="47829" spans="1:26" ht="12.75" customHeight="1" x14ac:dyDescent="0.2">
      <c r="A47829" s="258"/>
      <c r="Z47829" s="258"/>
    </row>
    <row r="47830" spans="1:26" ht="12.75" customHeight="1" x14ac:dyDescent="0.2">
      <c r="A47830" s="258"/>
      <c r="Z47830" s="258"/>
    </row>
    <row r="47831" spans="1:26" ht="12.75" customHeight="1" x14ac:dyDescent="0.2">
      <c r="A47831" s="258"/>
      <c r="Z47831" s="258"/>
    </row>
    <row r="47832" spans="1:26" ht="12.75" customHeight="1" x14ac:dyDescent="0.2">
      <c r="A47832" s="258"/>
      <c r="Z47832" s="258"/>
    </row>
    <row r="47833" spans="1:26" ht="12.75" customHeight="1" x14ac:dyDescent="0.2">
      <c r="A47833" s="258"/>
      <c r="Z47833" s="258"/>
    </row>
    <row r="47834" spans="1:26" ht="12.75" customHeight="1" x14ac:dyDescent="0.2">
      <c r="A47834" s="258"/>
      <c r="Z47834" s="258"/>
    </row>
    <row r="47835" spans="1:26" ht="12.75" customHeight="1" x14ac:dyDescent="0.2">
      <c r="A47835" s="258"/>
      <c r="Z47835" s="258"/>
    </row>
    <row r="47836" spans="1:26" ht="12.75" customHeight="1" x14ac:dyDescent="0.2">
      <c r="A47836" s="258"/>
      <c r="Z47836" s="258"/>
    </row>
    <row r="47837" spans="1:26" ht="12.75" customHeight="1" x14ac:dyDescent="0.2">
      <c r="A47837" s="258"/>
      <c r="Z47837" s="258"/>
    </row>
    <row r="47838" spans="1:26" ht="12.75" customHeight="1" x14ac:dyDescent="0.2">
      <c r="A47838" s="258"/>
      <c r="Z47838" s="258"/>
    </row>
    <row r="47839" spans="1:26" ht="12.75" customHeight="1" x14ac:dyDescent="0.2">
      <c r="A47839" s="258"/>
      <c r="Z47839" s="258"/>
    </row>
    <row r="47840" spans="1:26" ht="12.75" customHeight="1" x14ac:dyDescent="0.2">
      <c r="A47840" s="258"/>
      <c r="Z47840" s="258"/>
    </row>
    <row r="47841" spans="1:26" ht="12.75" customHeight="1" x14ac:dyDescent="0.2">
      <c r="A47841" s="258"/>
      <c r="Z47841" s="258"/>
    </row>
    <row r="47842" spans="1:26" ht="12.75" customHeight="1" x14ac:dyDescent="0.2">
      <c r="A47842" s="258"/>
      <c r="Z47842" s="258"/>
    </row>
    <row r="47843" spans="1:26" ht="12.75" customHeight="1" x14ac:dyDescent="0.2">
      <c r="A47843" s="258"/>
      <c r="Z47843" s="258"/>
    </row>
    <row r="47844" spans="1:26" ht="12.75" customHeight="1" x14ac:dyDescent="0.2">
      <c r="A47844" s="258"/>
      <c r="Z47844" s="258"/>
    </row>
    <row r="47845" spans="1:26" ht="12.75" customHeight="1" x14ac:dyDescent="0.2">
      <c r="A47845" s="258"/>
      <c r="Z47845" s="258"/>
    </row>
    <row r="47846" spans="1:26" ht="12.75" customHeight="1" x14ac:dyDescent="0.2">
      <c r="A47846" s="258"/>
      <c r="Z47846" s="258"/>
    </row>
    <row r="47847" spans="1:26" ht="12.75" customHeight="1" x14ac:dyDescent="0.2">
      <c r="A47847" s="258"/>
      <c r="Z47847" s="258"/>
    </row>
    <row r="47848" spans="1:26" ht="12.75" customHeight="1" x14ac:dyDescent="0.2">
      <c r="A47848" s="258"/>
      <c r="Z47848" s="258"/>
    </row>
    <row r="47849" spans="1:26" ht="12.75" customHeight="1" x14ac:dyDescent="0.2">
      <c r="A47849" s="258"/>
      <c r="Z47849" s="258"/>
    </row>
    <row r="47850" spans="1:26" ht="12.75" customHeight="1" x14ac:dyDescent="0.2">
      <c r="A47850" s="258"/>
      <c r="Z47850" s="258"/>
    </row>
    <row r="47851" spans="1:26" ht="12.75" customHeight="1" x14ac:dyDescent="0.2">
      <c r="A47851" s="258"/>
      <c r="Z47851" s="258"/>
    </row>
    <row r="47852" spans="1:26" ht="12.75" customHeight="1" x14ac:dyDescent="0.2">
      <c r="A47852" s="258"/>
      <c r="Z47852" s="258"/>
    </row>
    <row r="47853" spans="1:26" ht="12.75" customHeight="1" x14ac:dyDescent="0.2">
      <c r="A47853" s="258"/>
      <c r="Z47853" s="258"/>
    </row>
    <row r="47854" spans="1:26" ht="12.75" customHeight="1" x14ac:dyDescent="0.2">
      <c r="A47854" s="258"/>
      <c r="Z47854" s="258"/>
    </row>
    <row r="47855" spans="1:26" ht="12.75" customHeight="1" x14ac:dyDescent="0.2">
      <c r="A47855" s="258"/>
      <c r="Z47855" s="258"/>
    </row>
    <row r="47856" spans="1:26" ht="12.75" customHeight="1" x14ac:dyDescent="0.2">
      <c r="A47856" s="258"/>
      <c r="Z47856" s="258"/>
    </row>
    <row r="47857" spans="1:26" ht="12.75" customHeight="1" x14ac:dyDescent="0.2">
      <c r="A47857" s="258"/>
      <c r="Z47857" s="258"/>
    </row>
    <row r="47858" spans="1:26" ht="12.75" customHeight="1" x14ac:dyDescent="0.2">
      <c r="A47858" s="258"/>
      <c r="Z47858" s="258"/>
    </row>
    <row r="47859" spans="1:26" ht="12.75" customHeight="1" x14ac:dyDescent="0.2">
      <c r="A47859" s="258"/>
      <c r="Z47859" s="258"/>
    </row>
    <row r="47860" spans="1:26" ht="12.75" customHeight="1" x14ac:dyDescent="0.2">
      <c r="A47860" s="258"/>
      <c r="Z47860" s="258"/>
    </row>
    <row r="47861" spans="1:26" ht="12.75" customHeight="1" x14ac:dyDescent="0.2">
      <c r="A47861" s="258"/>
      <c r="Z47861" s="258"/>
    </row>
    <row r="47862" spans="1:26" ht="12.75" customHeight="1" x14ac:dyDescent="0.2">
      <c r="A47862" s="258"/>
      <c r="Z47862" s="258"/>
    </row>
    <row r="47863" spans="1:26" ht="12.75" customHeight="1" x14ac:dyDescent="0.2">
      <c r="A47863" s="258"/>
      <c r="Z47863" s="258"/>
    </row>
    <row r="47864" spans="1:26" ht="12.75" customHeight="1" x14ac:dyDescent="0.2">
      <c r="A47864" s="258"/>
      <c r="Z47864" s="258"/>
    </row>
    <row r="47865" spans="1:26" ht="12.75" customHeight="1" x14ac:dyDescent="0.2">
      <c r="A47865" s="258"/>
      <c r="Z47865" s="258"/>
    </row>
    <row r="47866" spans="1:26" ht="12.75" customHeight="1" x14ac:dyDescent="0.2">
      <c r="A47866" s="258"/>
      <c r="Z47866" s="258"/>
    </row>
    <row r="47867" spans="1:26" ht="12.75" customHeight="1" x14ac:dyDescent="0.2">
      <c r="A47867" s="258"/>
      <c r="Z47867" s="258"/>
    </row>
    <row r="47868" spans="1:26" ht="12.75" customHeight="1" x14ac:dyDescent="0.2">
      <c r="A47868" s="258"/>
      <c r="Z47868" s="258"/>
    </row>
    <row r="47869" spans="1:26" ht="12.75" customHeight="1" x14ac:dyDescent="0.2">
      <c r="A47869" s="258"/>
      <c r="Z47869" s="258"/>
    </row>
    <row r="47870" spans="1:26" ht="12.75" customHeight="1" x14ac:dyDescent="0.2">
      <c r="A47870" s="258"/>
      <c r="Z47870" s="258"/>
    </row>
    <row r="47871" spans="1:26" ht="12.75" customHeight="1" x14ac:dyDescent="0.2">
      <c r="A47871" s="258"/>
      <c r="Z47871" s="258"/>
    </row>
    <row r="47872" spans="1:26" ht="12.75" customHeight="1" x14ac:dyDescent="0.2">
      <c r="A47872" s="258"/>
      <c r="Z47872" s="258"/>
    </row>
    <row r="47873" spans="1:26" ht="12.75" customHeight="1" x14ac:dyDescent="0.2">
      <c r="A47873" s="258"/>
      <c r="Z47873" s="258"/>
    </row>
    <row r="47874" spans="1:26" ht="12.75" customHeight="1" x14ac:dyDescent="0.2">
      <c r="A47874" s="258"/>
      <c r="Z47874" s="258"/>
    </row>
    <row r="47875" spans="1:26" ht="12.75" customHeight="1" x14ac:dyDescent="0.2">
      <c r="A47875" s="258"/>
      <c r="Z47875" s="258"/>
    </row>
    <row r="47876" spans="1:26" ht="12.75" customHeight="1" x14ac:dyDescent="0.2">
      <c r="A47876" s="258"/>
      <c r="Z47876" s="258"/>
    </row>
    <row r="47877" spans="1:26" ht="12.75" customHeight="1" x14ac:dyDescent="0.2">
      <c r="A47877" s="258"/>
      <c r="Z47877" s="258"/>
    </row>
    <row r="47878" spans="1:26" ht="12.75" customHeight="1" x14ac:dyDescent="0.2">
      <c r="A47878" s="258"/>
      <c r="Z47878" s="258"/>
    </row>
    <row r="47879" spans="1:26" ht="12.75" customHeight="1" x14ac:dyDescent="0.2">
      <c r="A47879" s="258"/>
      <c r="Z47879" s="258"/>
    </row>
    <row r="47880" spans="1:26" ht="12.75" customHeight="1" x14ac:dyDescent="0.2">
      <c r="A47880" s="258"/>
      <c r="Z47880" s="258"/>
    </row>
    <row r="47881" spans="1:26" ht="12.75" customHeight="1" x14ac:dyDescent="0.2">
      <c r="A47881" s="258"/>
      <c r="Z47881" s="258"/>
    </row>
    <row r="47882" spans="1:26" ht="12.75" customHeight="1" x14ac:dyDescent="0.2">
      <c r="A47882" s="258"/>
      <c r="Z47882" s="258"/>
    </row>
    <row r="47883" spans="1:26" ht="12.75" customHeight="1" x14ac:dyDescent="0.2">
      <c r="A47883" s="258"/>
      <c r="Z47883" s="258"/>
    </row>
    <row r="47884" spans="1:26" ht="12.75" customHeight="1" x14ac:dyDescent="0.2">
      <c r="A47884" s="258"/>
      <c r="Z47884" s="258"/>
    </row>
    <row r="47885" spans="1:26" ht="12.75" customHeight="1" x14ac:dyDescent="0.2">
      <c r="A47885" s="258"/>
      <c r="Z47885" s="258"/>
    </row>
    <row r="47886" spans="1:26" ht="12.75" customHeight="1" x14ac:dyDescent="0.2">
      <c r="A47886" s="258"/>
      <c r="Z47886" s="258"/>
    </row>
    <row r="47887" spans="1:26" ht="12.75" customHeight="1" x14ac:dyDescent="0.2">
      <c r="A47887" s="258"/>
      <c r="Z47887" s="258"/>
    </row>
    <row r="47888" spans="1:26" ht="12.75" customHeight="1" x14ac:dyDescent="0.2">
      <c r="A47888" s="258"/>
      <c r="Z47888" s="258"/>
    </row>
    <row r="47889" spans="1:26" ht="12.75" customHeight="1" x14ac:dyDescent="0.2">
      <c r="A47889" s="258"/>
      <c r="Z47889" s="258"/>
    </row>
    <row r="47890" spans="1:26" ht="12.75" customHeight="1" x14ac:dyDescent="0.2">
      <c r="A47890" s="258"/>
      <c r="Z47890" s="258"/>
    </row>
    <row r="47891" spans="1:26" ht="12.75" customHeight="1" x14ac:dyDescent="0.2">
      <c r="A47891" s="258"/>
      <c r="Z47891" s="258"/>
    </row>
    <row r="47892" spans="1:26" ht="12.75" customHeight="1" x14ac:dyDescent="0.2">
      <c r="A47892" s="258"/>
      <c r="Z47892" s="258"/>
    </row>
    <row r="47893" spans="1:26" ht="12.75" customHeight="1" x14ac:dyDescent="0.2">
      <c r="A47893" s="258"/>
      <c r="Z47893" s="258"/>
    </row>
    <row r="47894" spans="1:26" ht="12.75" customHeight="1" x14ac:dyDescent="0.2">
      <c r="A47894" s="258"/>
      <c r="Z47894" s="258"/>
    </row>
    <row r="47895" spans="1:26" ht="12.75" customHeight="1" x14ac:dyDescent="0.2">
      <c r="A47895" s="258"/>
      <c r="Z47895" s="258"/>
    </row>
    <row r="47896" spans="1:26" ht="12.75" customHeight="1" x14ac:dyDescent="0.2">
      <c r="A47896" s="258"/>
      <c r="Z47896" s="258"/>
    </row>
    <row r="47897" spans="1:26" ht="12.75" customHeight="1" x14ac:dyDescent="0.2">
      <c r="A47897" s="258"/>
      <c r="Z47897" s="258"/>
    </row>
    <row r="47898" spans="1:26" ht="12.75" customHeight="1" x14ac:dyDescent="0.2">
      <c r="A47898" s="258"/>
      <c r="Z47898" s="258"/>
    </row>
    <row r="47899" spans="1:26" ht="12.75" customHeight="1" x14ac:dyDescent="0.2">
      <c r="A47899" s="258"/>
      <c r="Z47899" s="258"/>
    </row>
    <row r="47900" spans="1:26" ht="12.75" customHeight="1" x14ac:dyDescent="0.2">
      <c r="A47900" s="258"/>
      <c r="Z47900" s="258"/>
    </row>
    <row r="47901" spans="1:26" ht="12.75" customHeight="1" x14ac:dyDescent="0.2">
      <c r="A47901" s="258"/>
      <c r="Z47901" s="258"/>
    </row>
    <row r="47902" spans="1:26" ht="12.75" customHeight="1" x14ac:dyDescent="0.2">
      <c r="A47902" s="258"/>
      <c r="Z47902" s="258"/>
    </row>
    <row r="47903" spans="1:26" ht="12.75" customHeight="1" x14ac:dyDescent="0.2">
      <c r="A47903" s="258"/>
      <c r="Z47903" s="258"/>
    </row>
    <row r="47904" spans="1:26" ht="12.75" customHeight="1" x14ac:dyDescent="0.2">
      <c r="A47904" s="258"/>
      <c r="Z47904" s="258"/>
    </row>
    <row r="47905" spans="1:26" ht="12.75" customHeight="1" x14ac:dyDescent="0.2">
      <c r="A47905" s="258"/>
      <c r="Z47905" s="258"/>
    </row>
    <row r="47906" spans="1:26" ht="12.75" customHeight="1" x14ac:dyDescent="0.2">
      <c r="A47906" s="258"/>
      <c r="Z47906" s="258"/>
    </row>
    <row r="47907" spans="1:26" ht="12.75" customHeight="1" x14ac:dyDescent="0.2">
      <c r="A47907" s="258"/>
      <c r="Z47907" s="258"/>
    </row>
    <row r="47908" spans="1:26" ht="12.75" customHeight="1" x14ac:dyDescent="0.2">
      <c r="A47908" s="258"/>
      <c r="Z47908" s="258"/>
    </row>
    <row r="47909" spans="1:26" ht="12.75" customHeight="1" x14ac:dyDescent="0.2">
      <c r="A47909" s="258"/>
      <c r="Z47909" s="258"/>
    </row>
    <row r="47910" spans="1:26" ht="12.75" customHeight="1" x14ac:dyDescent="0.2">
      <c r="A47910" s="258"/>
      <c r="Z47910" s="258"/>
    </row>
    <row r="47911" spans="1:26" ht="12.75" customHeight="1" x14ac:dyDescent="0.2">
      <c r="A47911" s="258"/>
      <c r="Z47911" s="258"/>
    </row>
    <row r="47912" spans="1:26" ht="12.75" customHeight="1" x14ac:dyDescent="0.2">
      <c r="A47912" s="258"/>
      <c r="Z47912" s="258"/>
    </row>
    <row r="47913" spans="1:26" ht="12.75" customHeight="1" x14ac:dyDescent="0.2">
      <c r="A47913" s="258"/>
      <c r="Z47913" s="258"/>
    </row>
    <row r="47914" spans="1:26" ht="12.75" customHeight="1" x14ac:dyDescent="0.2">
      <c r="A47914" s="258"/>
      <c r="Z47914" s="258"/>
    </row>
    <row r="47915" spans="1:26" ht="12.75" customHeight="1" x14ac:dyDescent="0.2">
      <c r="A47915" s="258"/>
      <c r="Z47915" s="258"/>
    </row>
    <row r="47916" spans="1:26" ht="12.75" customHeight="1" x14ac:dyDescent="0.2">
      <c r="A47916" s="258"/>
      <c r="Z47916" s="258"/>
    </row>
    <row r="47917" spans="1:26" ht="12.75" customHeight="1" x14ac:dyDescent="0.2">
      <c r="A47917" s="258"/>
      <c r="Z47917" s="258"/>
    </row>
    <row r="47918" spans="1:26" ht="12.75" customHeight="1" x14ac:dyDescent="0.2">
      <c r="A47918" s="258"/>
      <c r="Z47918" s="258"/>
    </row>
    <row r="47919" spans="1:26" ht="12.75" customHeight="1" x14ac:dyDescent="0.2">
      <c r="A47919" s="258"/>
      <c r="Z47919" s="258"/>
    </row>
    <row r="47920" spans="1:26" ht="12.75" customHeight="1" x14ac:dyDescent="0.2">
      <c r="A47920" s="258"/>
      <c r="Z47920" s="258"/>
    </row>
    <row r="47921" spans="1:26" ht="12.75" customHeight="1" x14ac:dyDescent="0.2">
      <c r="A47921" s="258"/>
      <c r="Z47921" s="258"/>
    </row>
    <row r="47922" spans="1:26" ht="12.75" customHeight="1" x14ac:dyDescent="0.2">
      <c r="A47922" s="258"/>
      <c r="Z47922" s="258"/>
    </row>
    <row r="47923" spans="1:26" ht="12.75" customHeight="1" x14ac:dyDescent="0.2">
      <c r="A47923" s="258"/>
      <c r="Z47923" s="258"/>
    </row>
    <row r="47924" spans="1:26" ht="12.75" customHeight="1" x14ac:dyDescent="0.2">
      <c r="A47924" s="258"/>
      <c r="Z47924" s="258"/>
    </row>
    <row r="47925" spans="1:26" ht="12.75" customHeight="1" x14ac:dyDescent="0.2">
      <c r="A47925" s="258"/>
      <c r="Z47925" s="258"/>
    </row>
    <row r="47926" spans="1:26" ht="12.75" customHeight="1" x14ac:dyDescent="0.2">
      <c r="A47926" s="258"/>
      <c r="Z47926" s="258"/>
    </row>
    <row r="47927" spans="1:26" ht="12.75" customHeight="1" x14ac:dyDescent="0.2">
      <c r="A47927" s="258"/>
      <c r="Z47927" s="258"/>
    </row>
    <row r="47928" spans="1:26" ht="12.75" customHeight="1" x14ac:dyDescent="0.2">
      <c r="A47928" s="258"/>
      <c r="Z47928" s="258"/>
    </row>
    <row r="47929" spans="1:26" ht="12.75" customHeight="1" x14ac:dyDescent="0.2">
      <c r="A47929" s="258"/>
      <c r="Z47929" s="258"/>
    </row>
    <row r="47930" spans="1:26" ht="12.75" customHeight="1" x14ac:dyDescent="0.2">
      <c r="A47930" s="258"/>
      <c r="Z47930" s="258"/>
    </row>
    <row r="47931" spans="1:26" ht="12.75" customHeight="1" x14ac:dyDescent="0.2">
      <c r="A47931" s="258"/>
      <c r="Z47931" s="258"/>
    </row>
    <row r="47932" spans="1:26" ht="12.75" customHeight="1" x14ac:dyDescent="0.2">
      <c r="A47932" s="258"/>
      <c r="Z47932" s="258"/>
    </row>
    <row r="47933" spans="1:26" ht="12.75" customHeight="1" x14ac:dyDescent="0.2">
      <c r="A47933" s="258"/>
      <c r="Z47933" s="258"/>
    </row>
    <row r="47934" spans="1:26" ht="12.75" customHeight="1" x14ac:dyDescent="0.2">
      <c r="A47934" s="258"/>
      <c r="Z47934" s="258"/>
    </row>
    <row r="47935" spans="1:26" ht="12.75" customHeight="1" x14ac:dyDescent="0.2">
      <c r="A47935" s="258"/>
      <c r="Z47935" s="258"/>
    </row>
    <row r="47936" spans="1:26" ht="12.75" customHeight="1" x14ac:dyDescent="0.2">
      <c r="A47936" s="258"/>
      <c r="Z47936" s="258"/>
    </row>
    <row r="47937" spans="1:26" ht="12.75" customHeight="1" x14ac:dyDescent="0.2">
      <c r="A47937" s="258"/>
      <c r="Z47937" s="258"/>
    </row>
    <row r="47938" spans="1:26" ht="12.75" customHeight="1" x14ac:dyDescent="0.2">
      <c r="A47938" s="258"/>
      <c r="Z47938" s="258"/>
    </row>
    <row r="47939" spans="1:26" ht="12.75" customHeight="1" x14ac:dyDescent="0.2">
      <c r="A47939" s="258"/>
      <c r="Z47939" s="258"/>
    </row>
    <row r="47940" spans="1:26" ht="12.75" customHeight="1" x14ac:dyDescent="0.2">
      <c r="A47940" s="258"/>
      <c r="Z47940" s="258"/>
    </row>
    <row r="47941" spans="1:26" ht="12.75" customHeight="1" x14ac:dyDescent="0.2">
      <c r="A47941" s="258"/>
      <c r="Z47941" s="258"/>
    </row>
    <row r="47942" spans="1:26" ht="12.75" customHeight="1" x14ac:dyDescent="0.2">
      <c r="A47942" s="258"/>
      <c r="Z47942" s="258"/>
    </row>
    <row r="47943" spans="1:26" ht="12.75" customHeight="1" x14ac:dyDescent="0.2">
      <c r="A47943" s="258"/>
      <c r="Z47943" s="258"/>
    </row>
    <row r="47944" spans="1:26" ht="12.75" customHeight="1" x14ac:dyDescent="0.2">
      <c r="A47944" s="258"/>
      <c r="Z47944" s="258"/>
    </row>
    <row r="47945" spans="1:26" ht="12.75" customHeight="1" x14ac:dyDescent="0.2">
      <c r="A47945" s="258"/>
      <c r="Z47945" s="258"/>
    </row>
    <row r="47946" spans="1:26" ht="12.75" customHeight="1" x14ac:dyDescent="0.2">
      <c r="A47946" s="258"/>
      <c r="Z47946" s="258"/>
    </row>
    <row r="47947" spans="1:26" ht="12.75" customHeight="1" x14ac:dyDescent="0.2">
      <c r="A47947" s="258"/>
      <c r="Z47947" s="258"/>
    </row>
    <row r="47948" spans="1:26" ht="12.75" customHeight="1" x14ac:dyDescent="0.2">
      <c r="A47948" s="258"/>
      <c r="Z47948" s="258"/>
    </row>
    <row r="47949" spans="1:26" ht="12.75" customHeight="1" x14ac:dyDescent="0.2">
      <c r="A47949" s="258"/>
      <c r="Z47949" s="258"/>
    </row>
    <row r="47950" spans="1:26" ht="12.75" customHeight="1" x14ac:dyDescent="0.2">
      <c r="A47950" s="258"/>
      <c r="Z47950" s="258"/>
    </row>
    <row r="47951" spans="1:26" ht="12.75" customHeight="1" x14ac:dyDescent="0.2">
      <c r="A47951" s="258"/>
      <c r="Z47951" s="258"/>
    </row>
    <row r="47952" spans="1:26" ht="12.75" customHeight="1" x14ac:dyDescent="0.2">
      <c r="A47952" s="258"/>
      <c r="Z47952" s="258"/>
    </row>
    <row r="47953" spans="1:26" ht="12.75" customHeight="1" x14ac:dyDescent="0.2">
      <c r="A47953" s="258"/>
      <c r="Z47953" s="258"/>
    </row>
    <row r="47954" spans="1:26" ht="12.75" customHeight="1" x14ac:dyDescent="0.2">
      <c r="A47954" s="258"/>
      <c r="Z47954" s="258"/>
    </row>
    <row r="47955" spans="1:26" ht="12.75" customHeight="1" x14ac:dyDescent="0.2">
      <c r="A47955" s="258"/>
      <c r="Z47955" s="258"/>
    </row>
    <row r="47956" spans="1:26" ht="12.75" customHeight="1" x14ac:dyDescent="0.2">
      <c r="A47956" s="258"/>
      <c r="Z47956" s="258"/>
    </row>
    <row r="47957" spans="1:26" ht="12.75" customHeight="1" x14ac:dyDescent="0.2">
      <c r="A47957" s="258"/>
      <c r="Z47957" s="258"/>
    </row>
    <row r="47958" spans="1:26" ht="12.75" customHeight="1" x14ac:dyDescent="0.2">
      <c r="A47958" s="258"/>
      <c r="Z47958" s="258"/>
    </row>
    <row r="47959" spans="1:26" ht="12.75" customHeight="1" x14ac:dyDescent="0.2">
      <c r="A47959" s="258"/>
      <c r="Z47959" s="258"/>
    </row>
    <row r="47960" spans="1:26" ht="12.75" customHeight="1" x14ac:dyDescent="0.2">
      <c r="A47960" s="258"/>
      <c r="Z47960" s="258"/>
    </row>
    <row r="47961" spans="1:26" ht="12.75" customHeight="1" x14ac:dyDescent="0.2">
      <c r="A47961" s="258"/>
      <c r="Z47961" s="258"/>
    </row>
    <row r="47962" spans="1:26" ht="12.75" customHeight="1" x14ac:dyDescent="0.2">
      <c r="A47962" s="258"/>
      <c r="Z47962" s="258"/>
    </row>
    <row r="47963" spans="1:26" ht="12.75" customHeight="1" x14ac:dyDescent="0.2">
      <c r="A47963" s="258"/>
      <c r="Z47963" s="258"/>
    </row>
    <row r="47964" spans="1:26" ht="12.75" customHeight="1" x14ac:dyDescent="0.2">
      <c r="A47964" s="258"/>
      <c r="Z47964" s="258"/>
    </row>
    <row r="47965" spans="1:26" ht="12.75" customHeight="1" x14ac:dyDescent="0.2">
      <c r="A47965" s="258"/>
      <c r="Z47965" s="258"/>
    </row>
    <row r="47966" spans="1:26" ht="12.75" customHeight="1" x14ac:dyDescent="0.2">
      <c r="A47966" s="258"/>
      <c r="Z47966" s="258"/>
    </row>
    <row r="47967" spans="1:26" ht="12.75" customHeight="1" x14ac:dyDescent="0.2">
      <c r="A47967" s="258"/>
      <c r="Z47967" s="258"/>
    </row>
    <row r="47968" spans="1:26" ht="12.75" customHeight="1" x14ac:dyDescent="0.2">
      <c r="A47968" s="258"/>
      <c r="Z47968" s="258"/>
    </row>
    <row r="47969" spans="1:26" ht="12.75" customHeight="1" x14ac:dyDescent="0.2">
      <c r="A47969" s="258"/>
      <c r="Z47969" s="258"/>
    </row>
    <row r="47970" spans="1:26" ht="12.75" customHeight="1" x14ac:dyDescent="0.2">
      <c r="A47970" s="258"/>
      <c r="Z47970" s="258"/>
    </row>
    <row r="47971" spans="1:26" ht="12.75" customHeight="1" x14ac:dyDescent="0.2">
      <c r="A47971" s="258"/>
      <c r="Z47971" s="258"/>
    </row>
    <row r="47972" spans="1:26" ht="12.75" customHeight="1" x14ac:dyDescent="0.2">
      <c r="A47972" s="258"/>
      <c r="Z47972" s="258"/>
    </row>
    <row r="47973" spans="1:26" ht="12.75" customHeight="1" x14ac:dyDescent="0.2">
      <c r="A47973" s="258"/>
      <c r="Z47973" s="258"/>
    </row>
    <row r="47974" spans="1:26" ht="12.75" customHeight="1" x14ac:dyDescent="0.2">
      <c r="A47974" s="258"/>
      <c r="Z47974" s="258"/>
    </row>
    <row r="47975" spans="1:26" ht="12.75" customHeight="1" x14ac:dyDescent="0.2">
      <c r="A47975" s="258"/>
      <c r="Z47975" s="258"/>
    </row>
    <row r="47976" spans="1:26" ht="12.75" customHeight="1" x14ac:dyDescent="0.2">
      <c r="A47976" s="258"/>
      <c r="Z47976" s="258"/>
    </row>
    <row r="47977" spans="1:26" ht="12.75" customHeight="1" x14ac:dyDescent="0.2">
      <c r="A47977" s="258"/>
      <c r="Z47977" s="258"/>
    </row>
    <row r="47978" spans="1:26" ht="12.75" customHeight="1" x14ac:dyDescent="0.2">
      <c r="A47978" s="258"/>
      <c r="Z47978" s="258"/>
    </row>
    <row r="47979" spans="1:26" ht="12.75" customHeight="1" x14ac:dyDescent="0.2">
      <c r="A47979" s="258"/>
      <c r="Z47979" s="258"/>
    </row>
    <row r="47980" spans="1:26" ht="12.75" customHeight="1" x14ac:dyDescent="0.2">
      <c r="A47980" s="258"/>
      <c r="Z47980" s="258"/>
    </row>
    <row r="47981" spans="1:26" ht="12.75" customHeight="1" x14ac:dyDescent="0.2">
      <c r="A47981" s="258"/>
      <c r="Z47981" s="258"/>
    </row>
    <row r="47982" spans="1:26" ht="12.75" customHeight="1" x14ac:dyDescent="0.2">
      <c r="A47982" s="258"/>
      <c r="Z47982" s="258"/>
    </row>
    <row r="47983" spans="1:26" ht="12.75" customHeight="1" x14ac:dyDescent="0.2">
      <c r="A47983" s="258"/>
      <c r="Z47983" s="258"/>
    </row>
    <row r="47984" spans="1:26" ht="12.75" customHeight="1" x14ac:dyDescent="0.2">
      <c r="A47984" s="258"/>
      <c r="Z47984" s="258"/>
    </row>
    <row r="47985" spans="1:26" ht="12.75" customHeight="1" x14ac:dyDescent="0.2">
      <c r="A47985" s="258"/>
      <c r="Z47985" s="258"/>
    </row>
    <row r="47986" spans="1:26" ht="12.75" customHeight="1" x14ac:dyDescent="0.2">
      <c r="A47986" s="258"/>
      <c r="Z47986" s="258"/>
    </row>
    <row r="47987" spans="1:26" ht="12.75" customHeight="1" x14ac:dyDescent="0.2">
      <c r="A47987" s="258"/>
      <c r="Z47987" s="258"/>
    </row>
    <row r="47988" spans="1:26" ht="12.75" customHeight="1" x14ac:dyDescent="0.2">
      <c r="A47988" s="258"/>
      <c r="Z47988" s="258"/>
    </row>
    <row r="47989" spans="1:26" ht="12.75" customHeight="1" x14ac:dyDescent="0.2">
      <c r="A47989" s="258"/>
      <c r="Z47989" s="258"/>
    </row>
    <row r="47990" spans="1:26" ht="12.75" customHeight="1" x14ac:dyDescent="0.2">
      <c r="A47990" s="258"/>
      <c r="Z47990" s="258"/>
    </row>
    <row r="47991" spans="1:26" ht="12.75" customHeight="1" x14ac:dyDescent="0.2">
      <c r="A47991" s="258"/>
      <c r="Z47991" s="258"/>
    </row>
    <row r="47992" spans="1:26" ht="12.75" customHeight="1" x14ac:dyDescent="0.2">
      <c r="A47992" s="258"/>
      <c r="Z47992" s="258"/>
    </row>
    <row r="47993" spans="1:26" ht="12.75" customHeight="1" x14ac:dyDescent="0.2">
      <c r="A47993" s="258"/>
      <c r="Z47993" s="258"/>
    </row>
    <row r="47994" spans="1:26" ht="12.75" customHeight="1" x14ac:dyDescent="0.2">
      <c r="A47994" s="258"/>
      <c r="Z47994" s="258"/>
    </row>
    <row r="47995" spans="1:26" ht="12.75" customHeight="1" x14ac:dyDescent="0.2">
      <c r="A47995" s="258"/>
      <c r="Z47995" s="258"/>
    </row>
    <row r="47996" spans="1:26" ht="12.75" customHeight="1" x14ac:dyDescent="0.2">
      <c r="A47996" s="258"/>
      <c r="Z47996" s="258"/>
    </row>
    <row r="47997" spans="1:26" ht="12.75" customHeight="1" x14ac:dyDescent="0.2">
      <c r="A47997" s="258"/>
      <c r="Z47997" s="258"/>
    </row>
    <row r="47998" spans="1:26" ht="12.75" customHeight="1" x14ac:dyDescent="0.2">
      <c r="A47998" s="258"/>
      <c r="Z47998" s="258"/>
    </row>
    <row r="47999" spans="1:26" ht="12.75" customHeight="1" x14ac:dyDescent="0.2">
      <c r="A47999" s="258"/>
      <c r="Z47999" s="258"/>
    </row>
    <row r="48000" spans="1:26" ht="12.75" customHeight="1" x14ac:dyDescent="0.2">
      <c r="A48000" s="258"/>
      <c r="Z48000" s="258"/>
    </row>
    <row r="48001" spans="1:26" ht="12.75" customHeight="1" x14ac:dyDescent="0.2">
      <c r="A48001" s="258"/>
      <c r="Z48001" s="258"/>
    </row>
    <row r="48002" spans="1:26" ht="12.75" customHeight="1" x14ac:dyDescent="0.2">
      <c r="A48002" s="258"/>
      <c r="Z48002" s="258"/>
    </row>
    <row r="48003" spans="1:26" ht="12.75" customHeight="1" x14ac:dyDescent="0.2">
      <c r="A48003" s="258"/>
      <c r="Z48003" s="258"/>
    </row>
    <row r="48004" spans="1:26" ht="12.75" customHeight="1" x14ac:dyDescent="0.2">
      <c r="A48004" s="258"/>
      <c r="Z48004" s="258"/>
    </row>
    <row r="48005" spans="1:26" ht="12.75" customHeight="1" x14ac:dyDescent="0.2">
      <c r="A48005" s="258"/>
      <c r="Z48005" s="258"/>
    </row>
    <row r="48006" spans="1:26" ht="12.75" customHeight="1" x14ac:dyDescent="0.2">
      <c r="A48006" s="258"/>
      <c r="Z48006" s="258"/>
    </row>
    <row r="48007" spans="1:26" ht="12.75" customHeight="1" x14ac:dyDescent="0.2">
      <c r="A48007" s="258"/>
      <c r="Z48007" s="258"/>
    </row>
    <row r="48008" spans="1:26" ht="12.75" customHeight="1" x14ac:dyDescent="0.2">
      <c r="A48008" s="258"/>
      <c r="Z48008" s="258"/>
    </row>
    <row r="48009" spans="1:26" ht="12.75" customHeight="1" x14ac:dyDescent="0.2">
      <c r="A48009" s="258"/>
      <c r="Z48009" s="258"/>
    </row>
    <row r="48010" spans="1:26" ht="12.75" customHeight="1" x14ac:dyDescent="0.2">
      <c r="A48010" s="258"/>
      <c r="Z48010" s="258"/>
    </row>
    <row r="48011" spans="1:26" ht="12.75" customHeight="1" x14ac:dyDescent="0.2">
      <c r="A48011" s="258"/>
      <c r="Z48011" s="258"/>
    </row>
    <row r="48012" spans="1:26" ht="12.75" customHeight="1" x14ac:dyDescent="0.2">
      <c r="A48012" s="258"/>
      <c r="Z48012" s="258"/>
    </row>
    <row r="48013" spans="1:26" ht="12.75" customHeight="1" x14ac:dyDescent="0.2">
      <c r="A48013" s="258"/>
      <c r="Z48013" s="258"/>
    </row>
    <row r="48014" spans="1:26" ht="12.75" customHeight="1" x14ac:dyDescent="0.2">
      <c r="A48014" s="258"/>
      <c r="Z48014" s="258"/>
    </row>
    <row r="48015" spans="1:26" ht="12.75" customHeight="1" x14ac:dyDescent="0.2">
      <c r="A48015" s="258"/>
      <c r="Z48015" s="258"/>
    </row>
    <row r="48016" spans="1:26" ht="12.75" customHeight="1" x14ac:dyDescent="0.2">
      <c r="A48016" s="258"/>
      <c r="Z48016" s="258"/>
    </row>
    <row r="48017" spans="1:26" ht="12.75" customHeight="1" x14ac:dyDescent="0.2">
      <c r="A48017" s="258"/>
      <c r="Z48017" s="258"/>
    </row>
    <row r="48018" spans="1:26" ht="12.75" customHeight="1" x14ac:dyDescent="0.2">
      <c r="A48018" s="258"/>
      <c r="Z48018" s="258"/>
    </row>
    <row r="48019" spans="1:26" ht="12.75" customHeight="1" x14ac:dyDescent="0.2">
      <c r="A48019" s="258"/>
      <c r="Z48019" s="258"/>
    </row>
    <row r="48020" spans="1:26" ht="12.75" customHeight="1" x14ac:dyDescent="0.2">
      <c r="A48020" s="258"/>
      <c r="Z48020" s="258"/>
    </row>
    <row r="48021" spans="1:26" ht="12.75" customHeight="1" x14ac:dyDescent="0.2">
      <c r="A48021" s="258"/>
      <c r="Z48021" s="258"/>
    </row>
    <row r="48022" spans="1:26" ht="12.75" customHeight="1" x14ac:dyDescent="0.2">
      <c r="A48022" s="258"/>
      <c r="Z48022" s="258"/>
    </row>
    <row r="48023" spans="1:26" ht="12.75" customHeight="1" x14ac:dyDescent="0.2">
      <c r="A48023" s="258"/>
      <c r="Z48023" s="258"/>
    </row>
    <row r="48024" spans="1:26" ht="12.75" customHeight="1" x14ac:dyDescent="0.2">
      <c r="A48024" s="258"/>
      <c r="Z48024" s="258"/>
    </row>
    <row r="48025" spans="1:26" ht="12.75" customHeight="1" x14ac:dyDescent="0.2">
      <c r="A48025" s="258"/>
      <c r="Z48025" s="258"/>
    </row>
    <row r="48026" spans="1:26" ht="12.75" customHeight="1" x14ac:dyDescent="0.2">
      <c r="A48026" s="258"/>
      <c r="Z48026" s="258"/>
    </row>
    <row r="48027" spans="1:26" ht="12.75" customHeight="1" x14ac:dyDescent="0.2">
      <c r="A48027" s="258"/>
      <c r="Z48027" s="258"/>
    </row>
    <row r="48028" spans="1:26" ht="12.75" customHeight="1" x14ac:dyDescent="0.2">
      <c r="A48028" s="258"/>
      <c r="Z48028" s="258"/>
    </row>
    <row r="48029" spans="1:26" ht="12.75" customHeight="1" x14ac:dyDescent="0.2">
      <c r="A48029" s="258"/>
      <c r="Z48029" s="258"/>
    </row>
    <row r="48030" spans="1:26" ht="12.75" customHeight="1" x14ac:dyDescent="0.2">
      <c r="A48030" s="258"/>
      <c r="Z48030" s="258"/>
    </row>
    <row r="48031" spans="1:26" ht="12.75" customHeight="1" x14ac:dyDescent="0.2">
      <c r="A48031" s="258"/>
      <c r="Z48031" s="258"/>
    </row>
    <row r="48032" spans="1:26" ht="12.75" customHeight="1" x14ac:dyDescent="0.2">
      <c r="A48032" s="258"/>
      <c r="Z48032" s="258"/>
    </row>
    <row r="48033" spans="1:26" ht="12.75" customHeight="1" x14ac:dyDescent="0.2">
      <c r="A48033" s="258"/>
      <c r="Z48033" s="258"/>
    </row>
    <row r="48034" spans="1:26" ht="12.75" customHeight="1" x14ac:dyDescent="0.2">
      <c r="A48034" s="258"/>
      <c r="Z48034" s="258"/>
    </row>
    <row r="48035" spans="1:26" ht="12.75" customHeight="1" x14ac:dyDescent="0.2">
      <c r="A48035" s="258"/>
      <c r="Z48035" s="258"/>
    </row>
    <row r="48036" spans="1:26" ht="12.75" customHeight="1" x14ac:dyDescent="0.2">
      <c r="A48036" s="258"/>
      <c r="Z48036" s="258"/>
    </row>
    <row r="48037" spans="1:26" ht="12.75" customHeight="1" x14ac:dyDescent="0.2">
      <c r="A48037" s="258"/>
      <c r="Z48037" s="258"/>
    </row>
    <row r="48038" spans="1:26" ht="12.75" customHeight="1" x14ac:dyDescent="0.2">
      <c r="A48038" s="258"/>
      <c r="Z48038" s="258"/>
    </row>
    <row r="48039" spans="1:26" ht="12.75" customHeight="1" x14ac:dyDescent="0.2">
      <c r="A48039" s="258"/>
      <c r="Z48039" s="258"/>
    </row>
    <row r="48040" spans="1:26" ht="12.75" customHeight="1" x14ac:dyDescent="0.2">
      <c r="A48040" s="258"/>
      <c r="Z48040" s="258"/>
    </row>
    <row r="48041" spans="1:26" ht="12.75" customHeight="1" x14ac:dyDescent="0.2">
      <c r="A48041" s="258"/>
      <c r="Z48041" s="258"/>
    </row>
    <row r="48042" spans="1:26" ht="12.75" customHeight="1" x14ac:dyDescent="0.2">
      <c r="A48042" s="258"/>
      <c r="Z48042" s="258"/>
    </row>
    <row r="48043" spans="1:26" ht="12.75" customHeight="1" x14ac:dyDescent="0.2">
      <c r="A48043" s="258"/>
      <c r="Z48043" s="258"/>
    </row>
    <row r="48044" spans="1:26" ht="12.75" customHeight="1" x14ac:dyDescent="0.2">
      <c r="A48044" s="258"/>
      <c r="Z48044" s="258"/>
    </row>
    <row r="48045" spans="1:26" ht="12.75" customHeight="1" x14ac:dyDescent="0.2">
      <c r="A48045" s="258"/>
      <c r="Z48045" s="258"/>
    </row>
    <row r="48046" spans="1:26" ht="12.75" customHeight="1" x14ac:dyDescent="0.2">
      <c r="A48046" s="258"/>
      <c r="Z48046" s="258"/>
    </row>
    <row r="48047" spans="1:26" ht="12.75" customHeight="1" x14ac:dyDescent="0.2">
      <c r="A48047" s="258"/>
      <c r="Z48047" s="258"/>
    </row>
    <row r="48048" spans="1:26" ht="12.75" customHeight="1" x14ac:dyDescent="0.2">
      <c r="A48048" s="258"/>
      <c r="Z48048" s="258"/>
    </row>
    <row r="48049" spans="1:26" ht="12.75" customHeight="1" x14ac:dyDescent="0.2">
      <c r="A48049" s="258"/>
      <c r="Z48049" s="258"/>
    </row>
    <row r="48050" spans="1:26" ht="12.75" customHeight="1" x14ac:dyDescent="0.2">
      <c r="A48050" s="258"/>
      <c r="Z48050" s="258"/>
    </row>
    <row r="48051" spans="1:26" ht="12.75" customHeight="1" x14ac:dyDescent="0.2">
      <c r="A48051" s="258"/>
      <c r="Z48051" s="258"/>
    </row>
    <row r="48052" spans="1:26" ht="12.75" customHeight="1" x14ac:dyDescent="0.2">
      <c r="A48052" s="258"/>
      <c r="Z48052" s="258"/>
    </row>
    <row r="48053" spans="1:26" ht="12.75" customHeight="1" x14ac:dyDescent="0.2">
      <c r="A48053" s="258"/>
      <c r="Z48053" s="258"/>
    </row>
    <row r="48054" spans="1:26" ht="12.75" customHeight="1" x14ac:dyDescent="0.2">
      <c r="A48054" s="258"/>
      <c r="Z48054" s="258"/>
    </row>
    <row r="48055" spans="1:26" ht="12.75" customHeight="1" x14ac:dyDescent="0.2">
      <c r="A48055" s="258"/>
      <c r="Z48055" s="258"/>
    </row>
    <row r="48056" spans="1:26" ht="12.75" customHeight="1" x14ac:dyDescent="0.2">
      <c r="A48056" s="258"/>
      <c r="Z48056" s="258"/>
    </row>
    <row r="48057" spans="1:26" ht="12.75" customHeight="1" x14ac:dyDescent="0.2">
      <c r="A48057" s="258"/>
      <c r="Z48057" s="258"/>
    </row>
    <row r="48058" spans="1:26" ht="12.75" customHeight="1" x14ac:dyDescent="0.2">
      <c r="A48058" s="258"/>
      <c r="Z48058" s="258"/>
    </row>
    <row r="48059" spans="1:26" ht="12.75" customHeight="1" x14ac:dyDescent="0.2">
      <c r="A48059" s="258"/>
      <c r="Z48059" s="258"/>
    </row>
    <row r="48060" spans="1:26" ht="12.75" customHeight="1" x14ac:dyDescent="0.2">
      <c r="A48060" s="258"/>
      <c r="Z48060" s="258"/>
    </row>
    <row r="48061" spans="1:26" ht="12.75" customHeight="1" x14ac:dyDescent="0.2">
      <c r="A48061" s="258"/>
      <c r="Z48061" s="258"/>
    </row>
    <row r="48062" spans="1:26" ht="12.75" customHeight="1" x14ac:dyDescent="0.2">
      <c r="A48062" s="258"/>
      <c r="Z48062" s="258"/>
    </row>
    <row r="48063" spans="1:26" ht="12.75" customHeight="1" x14ac:dyDescent="0.2">
      <c r="A48063" s="258"/>
      <c r="Z48063" s="258"/>
    </row>
    <row r="48064" spans="1:26" ht="12.75" customHeight="1" x14ac:dyDescent="0.2">
      <c r="A48064" s="258"/>
      <c r="Z48064" s="258"/>
    </row>
    <row r="48065" spans="1:26" ht="12.75" customHeight="1" x14ac:dyDescent="0.2">
      <c r="A48065" s="258"/>
      <c r="Z48065" s="258"/>
    </row>
    <row r="48066" spans="1:26" ht="12.75" customHeight="1" x14ac:dyDescent="0.2">
      <c r="A48066" s="258"/>
      <c r="Z48066" s="258"/>
    </row>
    <row r="48067" spans="1:26" ht="12.75" customHeight="1" x14ac:dyDescent="0.2">
      <c r="A48067" s="258"/>
      <c r="Z48067" s="258"/>
    </row>
    <row r="48068" spans="1:26" ht="12.75" customHeight="1" x14ac:dyDescent="0.2">
      <c r="A48068" s="258"/>
      <c r="Z48068" s="258"/>
    </row>
    <row r="48069" spans="1:26" ht="12.75" customHeight="1" x14ac:dyDescent="0.2">
      <c r="A48069" s="258"/>
      <c r="Z48069" s="258"/>
    </row>
    <row r="48070" spans="1:26" ht="12.75" customHeight="1" x14ac:dyDescent="0.2">
      <c r="A48070" s="258"/>
      <c r="Z48070" s="258"/>
    </row>
    <row r="48071" spans="1:26" ht="12.75" customHeight="1" x14ac:dyDescent="0.2">
      <c r="A48071" s="258"/>
      <c r="Z48071" s="258"/>
    </row>
    <row r="48072" spans="1:26" ht="12.75" customHeight="1" x14ac:dyDescent="0.2">
      <c r="A48072" s="258"/>
      <c r="Z48072" s="258"/>
    </row>
    <row r="48073" spans="1:26" ht="12.75" customHeight="1" x14ac:dyDescent="0.2">
      <c r="A48073" s="258"/>
      <c r="Z48073" s="258"/>
    </row>
    <row r="48074" spans="1:26" ht="12.75" customHeight="1" x14ac:dyDescent="0.2">
      <c r="A48074" s="258"/>
      <c r="Z48074" s="258"/>
    </row>
    <row r="48075" spans="1:26" ht="12.75" customHeight="1" x14ac:dyDescent="0.2">
      <c r="A48075" s="258"/>
      <c r="Z48075" s="258"/>
    </row>
    <row r="48076" spans="1:26" ht="12.75" customHeight="1" x14ac:dyDescent="0.2">
      <c r="A48076" s="258"/>
      <c r="Z48076" s="258"/>
    </row>
    <row r="48077" spans="1:26" ht="12.75" customHeight="1" x14ac:dyDescent="0.2">
      <c r="A48077" s="258"/>
      <c r="Z48077" s="258"/>
    </row>
    <row r="48078" spans="1:26" ht="12.75" customHeight="1" x14ac:dyDescent="0.2">
      <c r="A48078" s="258"/>
      <c r="Z48078" s="258"/>
    </row>
    <row r="48079" spans="1:26" ht="12.75" customHeight="1" x14ac:dyDescent="0.2">
      <c r="A48079" s="258"/>
      <c r="Z48079" s="258"/>
    </row>
    <row r="48080" spans="1:26" ht="12.75" customHeight="1" x14ac:dyDescent="0.2">
      <c r="A48080" s="258"/>
      <c r="Z48080" s="258"/>
    </row>
    <row r="48081" spans="1:26" ht="12.75" customHeight="1" x14ac:dyDescent="0.2">
      <c r="A48081" s="258"/>
      <c r="Z48081" s="258"/>
    </row>
    <row r="48082" spans="1:26" ht="12.75" customHeight="1" x14ac:dyDescent="0.2">
      <c r="A48082" s="258"/>
      <c r="Z48082" s="258"/>
    </row>
    <row r="48083" spans="1:26" ht="12.75" customHeight="1" x14ac:dyDescent="0.2">
      <c r="A48083" s="258"/>
      <c r="Z48083" s="258"/>
    </row>
    <row r="48084" spans="1:26" ht="12.75" customHeight="1" x14ac:dyDescent="0.2">
      <c r="A48084" s="258"/>
      <c r="Z48084" s="258"/>
    </row>
    <row r="48085" spans="1:26" ht="12.75" customHeight="1" x14ac:dyDescent="0.2">
      <c r="A48085" s="258"/>
      <c r="Z48085" s="258"/>
    </row>
    <row r="48086" spans="1:26" ht="12.75" customHeight="1" x14ac:dyDescent="0.2">
      <c r="A48086" s="258"/>
      <c r="Z48086" s="258"/>
    </row>
    <row r="48087" spans="1:26" ht="12.75" customHeight="1" x14ac:dyDescent="0.2">
      <c r="A48087" s="258"/>
      <c r="Z48087" s="258"/>
    </row>
    <row r="48088" spans="1:26" ht="12.75" customHeight="1" x14ac:dyDescent="0.2">
      <c r="A48088" s="258"/>
      <c r="Z48088" s="258"/>
    </row>
    <row r="48089" spans="1:26" ht="12.75" customHeight="1" x14ac:dyDescent="0.2">
      <c r="A48089" s="258"/>
      <c r="Z48089" s="258"/>
    </row>
    <row r="48090" spans="1:26" ht="12.75" customHeight="1" x14ac:dyDescent="0.2">
      <c r="A48090" s="258"/>
      <c r="Z48090" s="258"/>
    </row>
    <row r="48091" spans="1:26" ht="12.75" customHeight="1" x14ac:dyDescent="0.2">
      <c r="A48091" s="258"/>
      <c r="Z48091" s="258"/>
    </row>
    <row r="48092" spans="1:26" ht="12.75" customHeight="1" x14ac:dyDescent="0.2">
      <c r="A48092" s="258"/>
      <c r="Z48092" s="258"/>
    </row>
    <row r="48093" spans="1:26" ht="12.75" customHeight="1" x14ac:dyDescent="0.2">
      <c r="A48093" s="258"/>
      <c r="Z48093" s="258"/>
    </row>
    <row r="48094" spans="1:26" ht="12.75" customHeight="1" x14ac:dyDescent="0.2">
      <c r="A48094" s="258"/>
      <c r="Z48094" s="258"/>
    </row>
    <row r="48095" spans="1:26" ht="12.75" customHeight="1" x14ac:dyDescent="0.2">
      <c r="A48095" s="258"/>
      <c r="Z48095" s="258"/>
    </row>
    <row r="48096" spans="1:26" ht="12.75" customHeight="1" x14ac:dyDescent="0.2">
      <c r="A48096" s="258"/>
      <c r="Z48096" s="258"/>
    </row>
    <row r="48097" spans="1:26" ht="12.75" customHeight="1" x14ac:dyDescent="0.2">
      <c r="A48097" s="258"/>
      <c r="Z48097" s="258"/>
    </row>
    <row r="48098" spans="1:26" ht="12.75" customHeight="1" x14ac:dyDescent="0.2">
      <c r="A48098" s="258"/>
      <c r="Z48098" s="258"/>
    </row>
    <row r="48099" spans="1:26" ht="12.75" customHeight="1" x14ac:dyDescent="0.2">
      <c r="A48099" s="258"/>
      <c r="Z48099" s="258"/>
    </row>
    <row r="48100" spans="1:26" ht="12.75" customHeight="1" x14ac:dyDescent="0.2">
      <c r="A48100" s="258"/>
      <c r="Z48100" s="258"/>
    </row>
    <row r="48101" spans="1:26" ht="12.75" customHeight="1" x14ac:dyDescent="0.2">
      <c r="A48101" s="258"/>
      <c r="Z48101" s="258"/>
    </row>
    <row r="48102" spans="1:26" ht="12.75" customHeight="1" x14ac:dyDescent="0.2">
      <c r="A48102" s="258"/>
      <c r="Z48102" s="258"/>
    </row>
    <row r="48103" spans="1:26" ht="12.75" customHeight="1" x14ac:dyDescent="0.2">
      <c r="A48103" s="258"/>
      <c r="Z48103" s="258"/>
    </row>
    <row r="48104" spans="1:26" ht="12.75" customHeight="1" x14ac:dyDescent="0.2">
      <c r="A48104" s="258"/>
      <c r="Z48104" s="258"/>
    </row>
    <row r="48105" spans="1:26" ht="12.75" customHeight="1" x14ac:dyDescent="0.2">
      <c r="A48105" s="258"/>
      <c r="Z48105" s="258"/>
    </row>
    <row r="48106" spans="1:26" ht="12.75" customHeight="1" x14ac:dyDescent="0.2">
      <c r="A48106" s="258"/>
      <c r="Z48106" s="258"/>
    </row>
    <row r="48107" spans="1:26" ht="12.75" customHeight="1" x14ac:dyDescent="0.2">
      <c r="A48107" s="258"/>
      <c r="Z48107" s="258"/>
    </row>
    <row r="48108" spans="1:26" ht="12.75" customHeight="1" x14ac:dyDescent="0.2">
      <c r="A48108" s="258"/>
      <c r="Z48108" s="258"/>
    </row>
    <row r="48109" spans="1:26" ht="12.75" customHeight="1" x14ac:dyDescent="0.2">
      <c r="A48109" s="258"/>
      <c r="Z48109" s="258"/>
    </row>
    <row r="48110" spans="1:26" ht="12.75" customHeight="1" x14ac:dyDescent="0.2">
      <c r="A48110" s="258"/>
      <c r="Z48110" s="258"/>
    </row>
    <row r="48111" spans="1:26" ht="12.75" customHeight="1" x14ac:dyDescent="0.2">
      <c r="A48111" s="258"/>
      <c r="Z48111" s="258"/>
    </row>
    <row r="48112" spans="1:26" ht="12.75" customHeight="1" x14ac:dyDescent="0.2">
      <c r="A48112" s="258"/>
      <c r="Z48112" s="258"/>
    </row>
    <row r="48113" spans="1:26" ht="12.75" customHeight="1" x14ac:dyDescent="0.2">
      <c r="A48113" s="258"/>
      <c r="Z48113" s="258"/>
    </row>
    <row r="48114" spans="1:26" ht="12.75" customHeight="1" x14ac:dyDescent="0.2">
      <c r="A48114" s="258"/>
      <c r="Z48114" s="258"/>
    </row>
    <row r="48115" spans="1:26" ht="12.75" customHeight="1" x14ac:dyDescent="0.2">
      <c r="A48115" s="258"/>
      <c r="Z48115" s="258"/>
    </row>
    <row r="48116" spans="1:26" ht="12.75" customHeight="1" x14ac:dyDescent="0.2">
      <c r="A48116" s="258"/>
      <c r="Z48116" s="258"/>
    </row>
    <row r="48117" spans="1:26" ht="12.75" customHeight="1" x14ac:dyDescent="0.2">
      <c r="A48117" s="258"/>
      <c r="Z48117" s="258"/>
    </row>
    <row r="48118" spans="1:26" ht="12.75" customHeight="1" x14ac:dyDescent="0.2">
      <c r="A48118" s="258"/>
      <c r="Z48118" s="258"/>
    </row>
    <row r="48119" spans="1:26" ht="12.75" customHeight="1" x14ac:dyDescent="0.2">
      <c r="A48119" s="258"/>
      <c r="Z48119" s="258"/>
    </row>
    <row r="48120" spans="1:26" ht="12.75" customHeight="1" x14ac:dyDescent="0.2">
      <c r="A48120" s="258"/>
      <c r="Z48120" s="258"/>
    </row>
    <row r="48121" spans="1:26" ht="12.75" customHeight="1" x14ac:dyDescent="0.2">
      <c r="A48121" s="258"/>
      <c r="Z48121" s="258"/>
    </row>
    <row r="48122" spans="1:26" ht="12.75" customHeight="1" x14ac:dyDescent="0.2">
      <c r="A48122" s="258"/>
      <c r="Z48122" s="258"/>
    </row>
    <row r="48123" spans="1:26" ht="12.75" customHeight="1" x14ac:dyDescent="0.2">
      <c r="A48123" s="258"/>
      <c r="Z48123" s="258"/>
    </row>
    <row r="48124" spans="1:26" ht="12.75" customHeight="1" x14ac:dyDescent="0.2">
      <c r="A48124" s="258"/>
      <c r="Z48124" s="258"/>
    </row>
    <row r="48125" spans="1:26" ht="12.75" customHeight="1" x14ac:dyDescent="0.2">
      <c r="A48125" s="258"/>
      <c r="Z48125" s="258"/>
    </row>
    <row r="48126" spans="1:26" ht="12.75" customHeight="1" x14ac:dyDescent="0.2">
      <c r="A48126" s="258"/>
      <c r="Z48126" s="258"/>
    </row>
    <row r="48127" spans="1:26" ht="12.75" customHeight="1" x14ac:dyDescent="0.2">
      <c r="A48127" s="258"/>
      <c r="Z48127" s="258"/>
    </row>
    <row r="48128" spans="1:26" ht="12.75" customHeight="1" x14ac:dyDescent="0.2">
      <c r="A48128" s="258"/>
      <c r="Z48128" s="258"/>
    </row>
    <row r="48129" spans="1:26" ht="12.75" customHeight="1" x14ac:dyDescent="0.2">
      <c r="A48129" s="258"/>
      <c r="Z48129" s="258"/>
    </row>
    <row r="48130" spans="1:26" ht="12.75" customHeight="1" x14ac:dyDescent="0.2">
      <c r="A48130" s="258"/>
      <c r="Z48130" s="258"/>
    </row>
    <row r="48131" spans="1:26" ht="12.75" customHeight="1" x14ac:dyDescent="0.2">
      <c r="A48131" s="258"/>
      <c r="Z48131" s="258"/>
    </row>
    <row r="48132" spans="1:26" ht="12.75" customHeight="1" x14ac:dyDescent="0.2">
      <c r="A48132" s="258"/>
      <c r="Z48132" s="258"/>
    </row>
    <row r="48133" spans="1:26" ht="12.75" customHeight="1" x14ac:dyDescent="0.2">
      <c r="A48133" s="258"/>
      <c r="Z48133" s="258"/>
    </row>
    <row r="48134" spans="1:26" ht="12.75" customHeight="1" x14ac:dyDescent="0.2">
      <c r="A48134" s="258"/>
      <c r="Z48134" s="258"/>
    </row>
    <row r="48135" spans="1:26" ht="12.75" customHeight="1" x14ac:dyDescent="0.2">
      <c r="A48135" s="258"/>
      <c r="Z48135" s="258"/>
    </row>
    <row r="48136" spans="1:26" ht="12.75" customHeight="1" x14ac:dyDescent="0.2">
      <c r="A48136" s="258"/>
      <c r="Z48136" s="258"/>
    </row>
    <row r="48137" spans="1:26" ht="12.75" customHeight="1" x14ac:dyDescent="0.2">
      <c r="A48137" s="258"/>
      <c r="Z48137" s="258"/>
    </row>
    <row r="48138" spans="1:26" ht="12.75" customHeight="1" x14ac:dyDescent="0.2">
      <c r="A48138" s="258"/>
      <c r="Z48138" s="258"/>
    </row>
    <row r="48139" spans="1:26" ht="12.75" customHeight="1" x14ac:dyDescent="0.2">
      <c r="A48139" s="258"/>
      <c r="Z48139" s="258"/>
    </row>
    <row r="48140" spans="1:26" ht="12.75" customHeight="1" x14ac:dyDescent="0.2">
      <c r="A48140" s="258"/>
      <c r="Z48140" s="258"/>
    </row>
    <row r="48141" spans="1:26" ht="12.75" customHeight="1" x14ac:dyDescent="0.2">
      <c r="A48141" s="258"/>
      <c r="Z48141" s="258"/>
    </row>
    <row r="48142" spans="1:26" ht="12.75" customHeight="1" x14ac:dyDescent="0.2">
      <c r="A48142" s="258"/>
      <c r="Z48142" s="258"/>
    </row>
    <row r="48143" spans="1:26" ht="12.75" customHeight="1" x14ac:dyDescent="0.2">
      <c r="A48143" s="258"/>
      <c r="Z48143" s="258"/>
    </row>
    <row r="48144" spans="1:26" ht="12.75" customHeight="1" x14ac:dyDescent="0.2">
      <c r="A48144" s="258"/>
      <c r="Z48144" s="258"/>
    </row>
    <row r="48145" spans="1:26" ht="12.75" customHeight="1" x14ac:dyDescent="0.2">
      <c r="A48145" s="258"/>
      <c r="Z48145" s="258"/>
    </row>
    <row r="48146" spans="1:26" ht="12.75" customHeight="1" x14ac:dyDescent="0.2">
      <c r="A48146" s="258"/>
      <c r="Z48146" s="258"/>
    </row>
    <row r="48147" spans="1:26" ht="12.75" customHeight="1" x14ac:dyDescent="0.2">
      <c r="A48147" s="258"/>
      <c r="Z48147" s="258"/>
    </row>
    <row r="48148" spans="1:26" ht="12.75" customHeight="1" x14ac:dyDescent="0.2">
      <c r="A48148" s="258"/>
      <c r="Z48148" s="258"/>
    </row>
    <row r="48149" spans="1:26" ht="12.75" customHeight="1" x14ac:dyDescent="0.2">
      <c r="A48149" s="258"/>
      <c r="Z48149" s="258"/>
    </row>
    <row r="48150" spans="1:26" ht="12.75" customHeight="1" x14ac:dyDescent="0.2">
      <c r="A48150" s="258"/>
      <c r="Z48150" s="258"/>
    </row>
    <row r="48151" spans="1:26" ht="12.75" customHeight="1" x14ac:dyDescent="0.2">
      <c r="A48151" s="258"/>
      <c r="Z48151" s="258"/>
    </row>
    <row r="48152" spans="1:26" ht="12.75" customHeight="1" x14ac:dyDescent="0.2">
      <c r="A48152" s="258"/>
      <c r="Z48152" s="258"/>
    </row>
    <row r="48153" spans="1:26" ht="12.75" customHeight="1" x14ac:dyDescent="0.2">
      <c r="A48153" s="258"/>
      <c r="Z48153" s="258"/>
    </row>
    <row r="48154" spans="1:26" ht="12.75" customHeight="1" x14ac:dyDescent="0.2">
      <c r="A48154" s="258"/>
      <c r="Z48154" s="258"/>
    </row>
    <row r="48155" spans="1:26" ht="12.75" customHeight="1" x14ac:dyDescent="0.2">
      <c r="A48155" s="258"/>
      <c r="Z48155" s="258"/>
    </row>
    <row r="48156" spans="1:26" ht="12.75" customHeight="1" x14ac:dyDescent="0.2">
      <c r="A48156" s="258"/>
      <c r="Z48156" s="258"/>
    </row>
    <row r="48157" spans="1:26" ht="12.75" customHeight="1" x14ac:dyDescent="0.2">
      <c r="A48157" s="258"/>
      <c r="Z48157" s="258"/>
    </row>
    <row r="48158" spans="1:26" ht="12.75" customHeight="1" x14ac:dyDescent="0.2">
      <c r="A48158" s="258"/>
      <c r="Z48158" s="258"/>
    </row>
    <row r="48159" spans="1:26" ht="12.75" customHeight="1" x14ac:dyDescent="0.2">
      <c r="A48159" s="258"/>
      <c r="Z48159" s="258"/>
    </row>
    <row r="48160" spans="1:26" ht="12.75" customHeight="1" x14ac:dyDescent="0.2">
      <c r="A48160" s="258"/>
      <c r="Z48160" s="258"/>
    </row>
    <row r="48161" spans="1:26" ht="12.75" customHeight="1" x14ac:dyDescent="0.2">
      <c r="A48161" s="258"/>
      <c r="Z48161" s="258"/>
    </row>
    <row r="48162" spans="1:26" ht="12.75" customHeight="1" x14ac:dyDescent="0.2">
      <c r="A48162" s="258"/>
      <c r="Z48162" s="258"/>
    </row>
    <row r="48163" spans="1:26" ht="12.75" customHeight="1" x14ac:dyDescent="0.2">
      <c r="A48163" s="258"/>
      <c r="Z48163" s="258"/>
    </row>
    <row r="48164" spans="1:26" ht="12.75" customHeight="1" x14ac:dyDescent="0.2">
      <c r="A48164" s="258"/>
      <c r="Z48164" s="258"/>
    </row>
    <row r="48165" spans="1:26" ht="12.75" customHeight="1" x14ac:dyDescent="0.2">
      <c r="A48165" s="258"/>
      <c r="Z48165" s="258"/>
    </row>
    <row r="48166" spans="1:26" ht="12.75" customHeight="1" x14ac:dyDescent="0.2">
      <c r="A48166" s="258"/>
      <c r="Z48166" s="258"/>
    </row>
    <row r="48167" spans="1:26" ht="12.75" customHeight="1" x14ac:dyDescent="0.2">
      <c r="A48167" s="258"/>
      <c r="Z48167" s="258"/>
    </row>
    <row r="48168" spans="1:26" ht="12.75" customHeight="1" x14ac:dyDescent="0.2">
      <c r="A48168" s="258"/>
      <c r="Z48168" s="258"/>
    </row>
    <row r="48169" spans="1:26" ht="12.75" customHeight="1" x14ac:dyDescent="0.2">
      <c r="A48169" s="258"/>
      <c r="Z48169" s="258"/>
    </row>
    <row r="48170" spans="1:26" ht="12.75" customHeight="1" x14ac:dyDescent="0.2">
      <c r="A48170" s="258"/>
      <c r="Z48170" s="258"/>
    </row>
    <row r="48171" spans="1:26" ht="12.75" customHeight="1" x14ac:dyDescent="0.2">
      <c r="A48171" s="258"/>
      <c r="Z48171" s="258"/>
    </row>
    <row r="48172" spans="1:26" ht="12.75" customHeight="1" x14ac:dyDescent="0.2">
      <c r="A48172" s="258"/>
      <c r="Z48172" s="258"/>
    </row>
    <row r="48173" spans="1:26" ht="12.75" customHeight="1" x14ac:dyDescent="0.2">
      <c r="A48173" s="258"/>
      <c r="Z48173" s="258"/>
    </row>
    <row r="48174" spans="1:26" ht="12.75" customHeight="1" x14ac:dyDescent="0.2">
      <c r="A48174" s="258"/>
      <c r="Z48174" s="258"/>
    </row>
    <row r="48175" spans="1:26" ht="12.75" customHeight="1" x14ac:dyDescent="0.2">
      <c r="A48175" s="258"/>
      <c r="Z48175" s="258"/>
    </row>
    <row r="48176" spans="1:26" ht="12.75" customHeight="1" x14ac:dyDescent="0.2">
      <c r="A48176" s="258"/>
      <c r="Z48176" s="258"/>
    </row>
    <row r="48177" spans="1:26" ht="12.75" customHeight="1" x14ac:dyDescent="0.2">
      <c r="A48177" s="258"/>
      <c r="Z48177" s="258"/>
    </row>
    <row r="48178" spans="1:26" ht="12.75" customHeight="1" x14ac:dyDescent="0.2">
      <c r="A48178" s="258"/>
      <c r="Z48178" s="258"/>
    </row>
    <row r="48179" spans="1:26" ht="12.75" customHeight="1" x14ac:dyDescent="0.2">
      <c r="A48179" s="258"/>
      <c r="Z48179" s="258"/>
    </row>
    <row r="48180" spans="1:26" ht="12.75" customHeight="1" x14ac:dyDescent="0.2">
      <c r="A48180" s="258"/>
      <c r="Z48180" s="258"/>
    </row>
    <row r="48181" spans="1:26" ht="12.75" customHeight="1" x14ac:dyDescent="0.2">
      <c r="A48181" s="258"/>
      <c r="Z48181" s="258"/>
    </row>
    <row r="48182" spans="1:26" ht="12.75" customHeight="1" x14ac:dyDescent="0.2">
      <c r="A48182" s="258"/>
      <c r="Z48182" s="258"/>
    </row>
    <row r="48183" spans="1:26" ht="12.75" customHeight="1" x14ac:dyDescent="0.2">
      <c r="A48183" s="258"/>
      <c r="Z48183" s="258"/>
    </row>
    <row r="48184" spans="1:26" ht="12.75" customHeight="1" x14ac:dyDescent="0.2">
      <c r="A48184" s="258"/>
      <c r="Z48184" s="258"/>
    </row>
    <row r="48185" spans="1:26" ht="12.75" customHeight="1" x14ac:dyDescent="0.2">
      <c r="A48185" s="258"/>
      <c r="Z48185" s="258"/>
    </row>
    <row r="48186" spans="1:26" ht="12.75" customHeight="1" x14ac:dyDescent="0.2">
      <c r="A48186" s="258"/>
      <c r="Z48186" s="258"/>
    </row>
    <row r="48187" spans="1:26" ht="12.75" customHeight="1" x14ac:dyDescent="0.2">
      <c r="A48187" s="258"/>
      <c r="Z48187" s="258"/>
    </row>
    <row r="48188" spans="1:26" ht="12.75" customHeight="1" x14ac:dyDescent="0.2">
      <c r="A48188" s="258"/>
      <c r="Z48188" s="258"/>
    </row>
    <row r="48189" spans="1:26" ht="12.75" customHeight="1" x14ac:dyDescent="0.2">
      <c r="A48189" s="258"/>
      <c r="Z48189" s="258"/>
    </row>
    <row r="48190" spans="1:26" ht="12.75" customHeight="1" x14ac:dyDescent="0.2">
      <c r="A48190" s="258"/>
      <c r="Z48190" s="258"/>
    </row>
    <row r="48191" spans="1:26" ht="12.75" customHeight="1" x14ac:dyDescent="0.2">
      <c r="A48191" s="258"/>
      <c r="Z48191" s="258"/>
    </row>
    <row r="48192" spans="1:26" ht="12.75" customHeight="1" x14ac:dyDescent="0.2">
      <c r="A48192" s="258"/>
      <c r="Z48192" s="258"/>
    </row>
    <row r="48193" spans="1:26" ht="12.75" customHeight="1" x14ac:dyDescent="0.2">
      <c r="A48193" s="258"/>
      <c r="Z48193" s="258"/>
    </row>
    <row r="48194" spans="1:26" ht="12.75" customHeight="1" x14ac:dyDescent="0.2">
      <c r="A48194" s="258"/>
      <c r="Z48194" s="258"/>
    </row>
    <row r="48195" spans="1:26" ht="12.75" customHeight="1" x14ac:dyDescent="0.2">
      <c r="A48195" s="258"/>
      <c r="Z48195" s="258"/>
    </row>
    <row r="48196" spans="1:26" ht="12.75" customHeight="1" x14ac:dyDescent="0.2">
      <c r="A48196" s="258"/>
      <c r="Z48196" s="258"/>
    </row>
    <row r="48197" spans="1:26" ht="12.75" customHeight="1" x14ac:dyDescent="0.2">
      <c r="A48197" s="258"/>
      <c r="Z48197" s="258"/>
    </row>
    <row r="48198" spans="1:26" ht="12.75" customHeight="1" x14ac:dyDescent="0.2">
      <c r="A48198" s="258"/>
      <c r="Z48198" s="258"/>
    </row>
    <row r="48199" spans="1:26" ht="12.75" customHeight="1" x14ac:dyDescent="0.2">
      <c r="A48199" s="258"/>
      <c r="Z48199" s="258"/>
    </row>
    <row r="48200" spans="1:26" ht="12.75" customHeight="1" x14ac:dyDescent="0.2">
      <c r="A48200" s="258"/>
      <c r="Z48200" s="258"/>
    </row>
    <row r="48201" spans="1:26" ht="12.75" customHeight="1" x14ac:dyDescent="0.2">
      <c r="A48201" s="258"/>
      <c r="Z48201" s="258"/>
    </row>
    <row r="48202" spans="1:26" ht="12.75" customHeight="1" x14ac:dyDescent="0.2">
      <c r="A48202" s="258"/>
      <c r="Z48202" s="258"/>
    </row>
    <row r="48203" spans="1:26" ht="12.75" customHeight="1" x14ac:dyDescent="0.2">
      <c r="A48203" s="258"/>
      <c r="Z48203" s="258"/>
    </row>
    <row r="48204" spans="1:26" ht="12.75" customHeight="1" x14ac:dyDescent="0.2">
      <c r="A48204" s="258"/>
      <c r="Z48204" s="258"/>
    </row>
    <row r="48205" spans="1:26" ht="12.75" customHeight="1" x14ac:dyDescent="0.2">
      <c r="A48205" s="258"/>
      <c r="Z48205" s="258"/>
    </row>
    <row r="48206" spans="1:26" ht="12.75" customHeight="1" x14ac:dyDescent="0.2">
      <c r="A48206" s="258"/>
      <c r="Z48206" s="258"/>
    </row>
    <row r="48207" spans="1:26" ht="12.75" customHeight="1" x14ac:dyDescent="0.2">
      <c r="A48207" s="258"/>
      <c r="Z48207" s="258"/>
    </row>
    <row r="48208" spans="1:26" ht="12.75" customHeight="1" x14ac:dyDescent="0.2">
      <c r="A48208" s="258"/>
      <c r="Z48208" s="258"/>
    </row>
    <row r="48209" spans="1:26" ht="12.75" customHeight="1" x14ac:dyDescent="0.2">
      <c r="A48209" s="258"/>
      <c r="Z48209" s="258"/>
    </row>
    <row r="48210" spans="1:26" ht="12.75" customHeight="1" x14ac:dyDescent="0.2">
      <c r="A48210" s="258"/>
      <c r="Z48210" s="258"/>
    </row>
    <row r="48211" spans="1:26" ht="12.75" customHeight="1" x14ac:dyDescent="0.2">
      <c r="A48211" s="258"/>
      <c r="Z48211" s="258"/>
    </row>
    <row r="48212" spans="1:26" ht="12.75" customHeight="1" x14ac:dyDescent="0.2">
      <c r="A48212" s="258"/>
      <c r="Z48212" s="258"/>
    </row>
    <row r="48213" spans="1:26" ht="12.75" customHeight="1" x14ac:dyDescent="0.2">
      <c r="A48213" s="258"/>
      <c r="Z48213" s="258"/>
    </row>
    <row r="48214" spans="1:26" ht="12.75" customHeight="1" x14ac:dyDescent="0.2">
      <c r="A48214" s="258"/>
      <c r="Z48214" s="258"/>
    </row>
    <row r="48215" spans="1:26" ht="12.75" customHeight="1" x14ac:dyDescent="0.2">
      <c r="A48215" s="258"/>
      <c r="Z48215" s="258"/>
    </row>
    <row r="48216" spans="1:26" ht="12.75" customHeight="1" x14ac:dyDescent="0.2">
      <c r="A48216" s="258"/>
      <c r="Z48216" s="258"/>
    </row>
    <row r="48217" spans="1:26" ht="12.75" customHeight="1" x14ac:dyDescent="0.2">
      <c r="A48217" s="258"/>
      <c r="Z48217" s="258"/>
    </row>
    <row r="48218" spans="1:26" ht="12.75" customHeight="1" x14ac:dyDescent="0.2">
      <c r="A48218" s="258"/>
      <c r="Z48218" s="258"/>
    </row>
    <row r="48219" spans="1:26" ht="12.75" customHeight="1" x14ac:dyDescent="0.2">
      <c r="A48219" s="258"/>
      <c r="Z48219" s="258"/>
    </row>
    <row r="48220" spans="1:26" ht="12.75" customHeight="1" x14ac:dyDescent="0.2">
      <c r="A48220" s="258"/>
      <c r="Z48220" s="258"/>
    </row>
    <row r="48221" spans="1:26" ht="12.75" customHeight="1" x14ac:dyDescent="0.2">
      <c r="A48221" s="258"/>
      <c r="Z48221" s="258"/>
    </row>
    <row r="48222" spans="1:26" ht="12.75" customHeight="1" x14ac:dyDescent="0.2">
      <c r="A48222" s="258"/>
      <c r="Z48222" s="258"/>
    </row>
    <row r="48223" spans="1:26" ht="12.75" customHeight="1" x14ac:dyDescent="0.2">
      <c r="A48223" s="258"/>
      <c r="Z48223" s="258"/>
    </row>
    <row r="48224" spans="1:26" ht="12.75" customHeight="1" x14ac:dyDescent="0.2">
      <c r="A48224" s="258"/>
      <c r="Z48224" s="258"/>
    </row>
    <row r="48225" spans="1:26" ht="12.75" customHeight="1" x14ac:dyDescent="0.2">
      <c r="A48225" s="258"/>
      <c r="Z48225" s="258"/>
    </row>
    <row r="48226" spans="1:26" ht="12.75" customHeight="1" x14ac:dyDescent="0.2">
      <c r="A48226" s="258"/>
      <c r="Z48226" s="258"/>
    </row>
    <row r="48227" spans="1:26" ht="12.75" customHeight="1" x14ac:dyDescent="0.2">
      <c r="A48227" s="258"/>
      <c r="Z48227" s="258"/>
    </row>
    <row r="48228" spans="1:26" ht="12.75" customHeight="1" x14ac:dyDescent="0.2">
      <c r="A48228" s="258"/>
      <c r="Z48228" s="258"/>
    </row>
    <row r="48229" spans="1:26" ht="12.75" customHeight="1" x14ac:dyDescent="0.2">
      <c r="A48229" s="258"/>
      <c r="Z48229" s="258"/>
    </row>
    <row r="48230" spans="1:26" ht="12.75" customHeight="1" x14ac:dyDescent="0.2">
      <c r="A48230" s="258"/>
      <c r="Z48230" s="258"/>
    </row>
    <row r="48231" spans="1:26" ht="12.75" customHeight="1" x14ac:dyDescent="0.2">
      <c r="A48231" s="258"/>
      <c r="Z48231" s="258"/>
    </row>
    <row r="48232" spans="1:26" ht="12.75" customHeight="1" x14ac:dyDescent="0.2">
      <c r="A48232" s="258"/>
      <c r="Z48232" s="258"/>
    </row>
    <row r="48233" spans="1:26" ht="12.75" customHeight="1" x14ac:dyDescent="0.2">
      <c r="A48233" s="258"/>
      <c r="Z48233" s="258"/>
    </row>
    <row r="48234" spans="1:26" ht="12.75" customHeight="1" x14ac:dyDescent="0.2">
      <c r="A48234" s="258"/>
      <c r="Z48234" s="258"/>
    </row>
    <row r="48235" spans="1:26" ht="12.75" customHeight="1" x14ac:dyDescent="0.2">
      <c r="A48235" s="258"/>
      <c r="Z48235" s="258"/>
    </row>
    <row r="48236" spans="1:26" ht="12.75" customHeight="1" x14ac:dyDescent="0.2">
      <c r="A48236" s="258"/>
      <c r="Z48236" s="258"/>
    </row>
    <row r="48237" spans="1:26" ht="12.75" customHeight="1" x14ac:dyDescent="0.2">
      <c r="A48237" s="258"/>
      <c r="Z48237" s="258"/>
    </row>
    <row r="48238" spans="1:26" ht="12.75" customHeight="1" x14ac:dyDescent="0.2">
      <c r="A48238" s="258"/>
      <c r="Z48238" s="258"/>
    </row>
    <row r="48239" spans="1:26" ht="12.75" customHeight="1" x14ac:dyDescent="0.2">
      <c r="A48239" s="258"/>
      <c r="Z48239" s="258"/>
    </row>
    <row r="48240" spans="1:26" ht="12.75" customHeight="1" x14ac:dyDescent="0.2">
      <c r="A48240" s="258"/>
      <c r="Z48240" s="258"/>
    </row>
    <row r="48241" spans="1:26" ht="12.75" customHeight="1" x14ac:dyDescent="0.2">
      <c r="A48241" s="258"/>
      <c r="Z48241" s="258"/>
    </row>
    <row r="48242" spans="1:26" ht="12.75" customHeight="1" x14ac:dyDescent="0.2">
      <c r="A48242" s="258"/>
      <c r="Z48242" s="258"/>
    </row>
    <row r="48243" spans="1:26" ht="12.75" customHeight="1" x14ac:dyDescent="0.2">
      <c r="A48243" s="258"/>
      <c r="Z48243" s="258"/>
    </row>
    <row r="48244" spans="1:26" ht="12.75" customHeight="1" x14ac:dyDescent="0.2">
      <c r="A48244" s="258"/>
      <c r="Z48244" s="258"/>
    </row>
    <row r="48245" spans="1:26" ht="12.75" customHeight="1" x14ac:dyDescent="0.2">
      <c r="A48245" s="258"/>
      <c r="Z48245" s="258"/>
    </row>
    <row r="48246" spans="1:26" ht="12.75" customHeight="1" x14ac:dyDescent="0.2">
      <c r="A48246" s="258"/>
      <c r="Z48246" s="258"/>
    </row>
    <row r="48247" spans="1:26" ht="12.75" customHeight="1" x14ac:dyDescent="0.2">
      <c r="A48247" s="258"/>
      <c r="Z48247" s="258"/>
    </row>
    <row r="48248" spans="1:26" ht="12.75" customHeight="1" x14ac:dyDescent="0.2">
      <c r="A48248" s="258"/>
      <c r="Z48248" s="258"/>
    </row>
    <row r="48249" spans="1:26" ht="12.75" customHeight="1" x14ac:dyDescent="0.2">
      <c r="A48249" s="258"/>
      <c r="Z48249" s="258"/>
    </row>
    <row r="48250" spans="1:26" ht="12.75" customHeight="1" x14ac:dyDescent="0.2">
      <c r="A48250" s="258"/>
      <c r="Z48250" s="258"/>
    </row>
    <row r="48251" spans="1:26" ht="12.75" customHeight="1" x14ac:dyDescent="0.2">
      <c r="A48251" s="258"/>
      <c r="Z48251" s="258"/>
    </row>
    <row r="48252" spans="1:26" ht="12.75" customHeight="1" x14ac:dyDescent="0.2">
      <c r="A48252" s="258"/>
      <c r="Z48252" s="258"/>
    </row>
    <row r="48253" spans="1:26" ht="12.75" customHeight="1" x14ac:dyDescent="0.2">
      <c r="A48253" s="258"/>
      <c r="Z48253" s="258"/>
    </row>
    <row r="48254" spans="1:26" ht="12.75" customHeight="1" x14ac:dyDescent="0.2">
      <c r="A48254" s="258"/>
      <c r="Z48254" s="258"/>
    </row>
    <row r="48255" spans="1:26" ht="12.75" customHeight="1" x14ac:dyDescent="0.2">
      <c r="A48255" s="258"/>
      <c r="Z48255" s="258"/>
    </row>
    <row r="48256" spans="1:26" ht="12.75" customHeight="1" x14ac:dyDescent="0.2">
      <c r="A48256" s="258"/>
      <c r="Z48256" s="258"/>
    </row>
    <row r="48257" spans="1:26" ht="12.75" customHeight="1" x14ac:dyDescent="0.2">
      <c r="A48257" s="258"/>
      <c r="Z48257" s="258"/>
    </row>
    <row r="48258" spans="1:26" ht="12.75" customHeight="1" x14ac:dyDescent="0.2">
      <c r="A48258" s="258"/>
      <c r="Z48258" s="258"/>
    </row>
    <row r="48259" spans="1:26" ht="12.75" customHeight="1" x14ac:dyDescent="0.2">
      <c r="A48259" s="258"/>
      <c r="Z48259" s="258"/>
    </row>
    <row r="48260" spans="1:26" ht="12.75" customHeight="1" x14ac:dyDescent="0.2">
      <c r="A48260" s="258"/>
      <c r="Z48260" s="258"/>
    </row>
    <row r="48261" spans="1:26" ht="12.75" customHeight="1" x14ac:dyDescent="0.2">
      <c r="A48261" s="258"/>
      <c r="Z48261" s="258"/>
    </row>
    <row r="48262" spans="1:26" ht="12.75" customHeight="1" x14ac:dyDescent="0.2">
      <c r="A48262" s="258"/>
      <c r="Z48262" s="258"/>
    </row>
    <row r="48263" spans="1:26" ht="12.75" customHeight="1" x14ac:dyDescent="0.2">
      <c r="A48263" s="258"/>
      <c r="Z48263" s="258"/>
    </row>
    <row r="48264" spans="1:26" ht="12.75" customHeight="1" x14ac:dyDescent="0.2">
      <c r="A48264" s="258"/>
      <c r="Z48264" s="258"/>
    </row>
    <row r="48265" spans="1:26" ht="12.75" customHeight="1" x14ac:dyDescent="0.2">
      <c r="A48265" s="258"/>
      <c r="Z48265" s="258"/>
    </row>
    <row r="48266" spans="1:26" ht="12.75" customHeight="1" x14ac:dyDescent="0.2">
      <c r="A48266" s="258"/>
      <c r="Z48266" s="258"/>
    </row>
    <row r="48267" spans="1:26" ht="12.75" customHeight="1" x14ac:dyDescent="0.2">
      <c r="A48267" s="258"/>
      <c r="Z48267" s="258"/>
    </row>
    <row r="48268" spans="1:26" ht="12.75" customHeight="1" x14ac:dyDescent="0.2">
      <c r="A48268" s="258"/>
      <c r="Z48268" s="258"/>
    </row>
    <row r="48269" spans="1:26" ht="12.75" customHeight="1" x14ac:dyDescent="0.2">
      <c r="A48269" s="258"/>
      <c r="Z48269" s="258"/>
    </row>
    <row r="48270" spans="1:26" ht="12.75" customHeight="1" x14ac:dyDescent="0.2">
      <c r="A48270" s="258"/>
      <c r="Z48270" s="258"/>
    </row>
    <row r="48271" spans="1:26" ht="12.75" customHeight="1" x14ac:dyDescent="0.2">
      <c r="A48271" s="258"/>
      <c r="Z48271" s="258"/>
    </row>
    <row r="48272" spans="1:26" ht="12.75" customHeight="1" x14ac:dyDescent="0.2">
      <c r="A48272" s="258"/>
      <c r="Z48272" s="258"/>
    </row>
    <row r="48273" spans="1:26" ht="12.75" customHeight="1" x14ac:dyDescent="0.2">
      <c r="A48273" s="258"/>
      <c r="Z48273" s="258"/>
    </row>
    <row r="48274" spans="1:26" ht="12.75" customHeight="1" x14ac:dyDescent="0.2">
      <c r="A48274" s="258"/>
      <c r="Z48274" s="258"/>
    </row>
    <row r="48275" spans="1:26" ht="12.75" customHeight="1" x14ac:dyDescent="0.2">
      <c r="A48275" s="258"/>
      <c r="Z48275" s="258"/>
    </row>
    <row r="48276" spans="1:26" ht="12.75" customHeight="1" x14ac:dyDescent="0.2">
      <c r="A48276" s="258"/>
      <c r="Z48276" s="258"/>
    </row>
    <row r="48277" spans="1:26" ht="12.75" customHeight="1" x14ac:dyDescent="0.2">
      <c r="A48277" s="258"/>
      <c r="Z48277" s="258"/>
    </row>
    <row r="48278" spans="1:26" ht="12.75" customHeight="1" x14ac:dyDescent="0.2">
      <c r="A48278" s="258"/>
      <c r="Z48278" s="258"/>
    </row>
    <row r="48279" spans="1:26" ht="12.75" customHeight="1" x14ac:dyDescent="0.2">
      <c r="A48279" s="258"/>
      <c r="Z48279" s="258"/>
    </row>
    <row r="48280" spans="1:26" ht="12.75" customHeight="1" x14ac:dyDescent="0.2">
      <c r="A48280" s="258"/>
      <c r="Z48280" s="258"/>
    </row>
    <row r="48281" spans="1:26" ht="12.75" customHeight="1" x14ac:dyDescent="0.2">
      <c r="A48281" s="258"/>
      <c r="Z48281" s="258"/>
    </row>
    <row r="48282" spans="1:26" ht="12.75" customHeight="1" x14ac:dyDescent="0.2">
      <c r="A48282" s="258"/>
      <c r="Z48282" s="258"/>
    </row>
    <row r="48283" spans="1:26" ht="12.75" customHeight="1" x14ac:dyDescent="0.2">
      <c r="A48283" s="258"/>
      <c r="Z48283" s="258"/>
    </row>
    <row r="48284" spans="1:26" ht="12.75" customHeight="1" x14ac:dyDescent="0.2">
      <c r="A48284" s="258"/>
      <c r="Z48284" s="258"/>
    </row>
    <row r="48285" spans="1:26" ht="12.75" customHeight="1" x14ac:dyDescent="0.2">
      <c r="A48285" s="258"/>
      <c r="Z48285" s="258"/>
    </row>
    <row r="48286" spans="1:26" ht="12.75" customHeight="1" x14ac:dyDescent="0.2">
      <c r="A48286" s="258"/>
      <c r="Z48286" s="258"/>
    </row>
    <row r="48287" spans="1:26" ht="12.75" customHeight="1" x14ac:dyDescent="0.2">
      <c r="A48287" s="258"/>
      <c r="Z48287" s="258"/>
    </row>
    <row r="48288" spans="1:26" ht="12.75" customHeight="1" x14ac:dyDescent="0.2">
      <c r="A48288" s="258"/>
      <c r="Z48288" s="258"/>
    </row>
    <row r="48289" spans="1:26" ht="12.75" customHeight="1" x14ac:dyDescent="0.2">
      <c r="A48289" s="258"/>
      <c r="Z48289" s="258"/>
    </row>
    <row r="48290" spans="1:26" ht="12.75" customHeight="1" x14ac:dyDescent="0.2">
      <c r="A48290" s="258"/>
      <c r="Z48290" s="258"/>
    </row>
    <row r="48291" spans="1:26" ht="12.75" customHeight="1" x14ac:dyDescent="0.2">
      <c r="A48291" s="258"/>
      <c r="Z48291" s="258"/>
    </row>
    <row r="48292" spans="1:26" ht="12.75" customHeight="1" x14ac:dyDescent="0.2">
      <c r="A48292" s="258"/>
      <c r="Z48292" s="258"/>
    </row>
    <row r="48293" spans="1:26" ht="12.75" customHeight="1" x14ac:dyDescent="0.2">
      <c r="A48293" s="258"/>
      <c r="Z48293" s="258"/>
    </row>
    <row r="48294" spans="1:26" ht="12.75" customHeight="1" x14ac:dyDescent="0.2">
      <c r="A48294" s="258"/>
      <c r="Z48294" s="258"/>
    </row>
    <row r="48295" spans="1:26" ht="12.75" customHeight="1" x14ac:dyDescent="0.2">
      <c r="A48295" s="258"/>
      <c r="Z48295" s="258"/>
    </row>
    <row r="48296" spans="1:26" ht="12.75" customHeight="1" x14ac:dyDescent="0.2">
      <c r="A48296" s="258"/>
      <c r="Z48296" s="258"/>
    </row>
    <row r="48297" spans="1:26" ht="12.75" customHeight="1" x14ac:dyDescent="0.2">
      <c r="A48297" s="258"/>
      <c r="Z48297" s="258"/>
    </row>
    <row r="48298" spans="1:26" ht="12.75" customHeight="1" x14ac:dyDescent="0.2">
      <c r="A48298" s="258"/>
      <c r="Z48298" s="258"/>
    </row>
    <row r="48299" spans="1:26" ht="12.75" customHeight="1" x14ac:dyDescent="0.2">
      <c r="A48299" s="258"/>
      <c r="Z48299" s="258"/>
    </row>
    <row r="48300" spans="1:26" ht="12.75" customHeight="1" x14ac:dyDescent="0.2">
      <c r="A48300" s="258"/>
      <c r="Z48300" s="258"/>
    </row>
    <row r="48301" spans="1:26" ht="12.75" customHeight="1" x14ac:dyDescent="0.2">
      <c r="A48301" s="258"/>
      <c r="Z48301" s="258"/>
    </row>
    <row r="48302" spans="1:26" ht="12.75" customHeight="1" x14ac:dyDescent="0.2">
      <c r="A48302" s="258"/>
      <c r="Z48302" s="258"/>
    </row>
    <row r="48303" spans="1:26" ht="12.75" customHeight="1" x14ac:dyDescent="0.2">
      <c r="A48303" s="258"/>
      <c r="Z48303" s="258"/>
    </row>
    <row r="48304" spans="1:26" ht="12.75" customHeight="1" x14ac:dyDescent="0.2">
      <c r="A48304" s="258"/>
      <c r="Z48304" s="258"/>
    </row>
    <row r="48305" spans="1:26" ht="12.75" customHeight="1" x14ac:dyDescent="0.2">
      <c r="A48305" s="258"/>
      <c r="Z48305" s="258"/>
    </row>
    <row r="48306" spans="1:26" ht="12.75" customHeight="1" x14ac:dyDescent="0.2">
      <c r="A48306" s="258"/>
      <c r="Z48306" s="258"/>
    </row>
    <row r="48307" spans="1:26" ht="12.75" customHeight="1" x14ac:dyDescent="0.2">
      <c r="A48307" s="258"/>
      <c r="Z48307" s="258"/>
    </row>
    <row r="48308" spans="1:26" ht="12.75" customHeight="1" x14ac:dyDescent="0.2">
      <c r="A48308" s="258"/>
      <c r="Z48308" s="258"/>
    </row>
    <row r="48309" spans="1:26" ht="12.75" customHeight="1" x14ac:dyDescent="0.2">
      <c r="A48309" s="258"/>
      <c r="Z48309" s="258"/>
    </row>
    <row r="48310" spans="1:26" ht="12.75" customHeight="1" x14ac:dyDescent="0.2">
      <c r="A48310" s="258"/>
      <c r="Z48310" s="258"/>
    </row>
    <row r="48311" spans="1:26" ht="12.75" customHeight="1" x14ac:dyDescent="0.2">
      <c r="A48311" s="258"/>
      <c r="Z48311" s="258"/>
    </row>
    <row r="48312" spans="1:26" ht="12.75" customHeight="1" x14ac:dyDescent="0.2">
      <c r="A48312" s="258"/>
      <c r="Z48312" s="258"/>
    </row>
    <row r="48313" spans="1:26" ht="12.75" customHeight="1" x14ac:dyDescent="0.2">
      <c r="A48313" s="258"/>
      <c r="Z48313" s="258"/>
    </row>
    <row r="48314" spans="1:26" ht="12.75" customHeight="1" x14ac:dyDescent="0.2">
      <c r="A48314" s="258"/>
      <c r="Z48314" s="258"/>
    </row>
    <row r="48315" spans="1:26" ht="12.75" customHeight="1" x14ac:dyDescent="0.2">
      <c r="A48315" s="258"/>
      <c r="Z48315" s="258"/>
    </row>
    <row r="48316" spans="1:26" ht="12.75" customHeight="1" x14ac:dyDescent="0.2">
      <c r="A48316" s="258"/>
      <c r="Z48316" s="258"/>
    </row>
    <row r="48317" spans="1:26" ht="12.75" customHeight="1" x14ac:dyDescent="0.2">
      <c r="A48317" s="258"/>
      <c r="Z48317" s="258"/>
    </row>
    <row r="48318" spans="1:26" ht="12.75" customHeight="1" x14ac:dyDescent="0.2">
      <c r="A48318" s="258"/>
      <c r="Z48318" s="258"/>
    </row>
    <row r="48319" spans="1:26" ht="12.75" customHeight="1" x14ac:dyDescent="0.2">
      <c r="A48319" s="258"/>
      <c r="Z48319" s="258"/>
    </row>
    <row r="48320" spans="1:26" ht="12.75" customHeight="1" x14ac:dyDescent="0.2">
      <c r="A48320" s="258"/>
      <c r="Z48320" s="258"/>
    </row>
    <row r="48321" spans="1:26" ht="12.75" customHeight="1" x14ac:dyDescent="0.2">
      <c r="A48321" s="258"/>
      <c r="Z48321" s="258"/>
    </row>
    <row r="48322" spans="1:26" ht="12.75" customHeight="1" x14ac:dyDescent="0.2">
      <c r="A48322" s="258"/>
      <c r="Z48322" s="258"/>
    </row>
    <row r="48323" spans="1:26" ht="12.75" customHeight="1" x14ac:dyDescent="0.2">
      <c r="A48323" s="258"/>
      <c r="Z48323" s="258"/>
    </row>
    <row r="48324" spans="1:26" ht="12.75" customHeight="1" x14ac:dyDescent="0.2">
      <c r="A48324" s="258"/>
      <c r="Z48324" s="258"/>
    </row>
    <row r="48325" spans="1:26" ht="12.75" customHeight="1" x14ac:dyDescent="0.2">
      <c r="A48325" s="258"/>
      <c r="Z48325" s="258"/>
    </row>
    <row r="48326" spans="1:26" ht="12.75" customHeight="1" x14ac:dyDescent="0.2">
      <c r="A48326" s="258"/>
      <c r="Z48326" s="258"/>
    </row>
    <row r="48327" spans="1:26" ht="12.75" customHeight="1" x14ac:dyDescent="0.2">
      <c r="A48327" s="258"/>
      <c r="Z48327" s="258"/>
    </row>
    <row r="48328" spans="1:26" ht="12.75" customHeight="1" x14ac:dyDescent="0.2">
      <c r="A48328" s="258"/>
      <c r="Z48328" s="258"/>
    </row>
    <row r="48329" spans="1:26" ht="12.75" customHeight="1" x14ac:dyDescent="0.2">
      <c r="A48329" s="258"/>
      <c r="Z48329" s="258"/>
    </row>
    <row r="48330" spans="1:26" ht="12.75" customHeight="1" x14ac:dyDescent="0.2">
      <c r="A48330" s="258"/>
      <c r="Z48330" s="258"/>
    </row>
    <row r="48331" spans="1:26" ht="12.75" customHeight="1" x14ac:dyDescent="0.2">
      <c r="A48331" s="258"/>
      <c r="Z48331" s="258"/>
    </row>
    <row r="48332" spans="1:26" ht="12.75" customHeight="1" x14ac:dyDescent="0.2">
      <c r="A48332" s="258"/>
      <c r="Z48332" s="258"/>
    </row>
    <row r="48333" spans="1:26" ht="12.75" customHeight="1" x14ac:dyDescent="0.2">
      <c r="A48333" s="258"/>
      <c r="Z48333" s="258"/>
    </row>
    <row r="48334" spans="1:26" ht="12.75" customHeight="1" x14ac:dyDescent="0.2">
      <c r="A48334" s="258"/>
      <c r="Z48334" s="258"/>
    </row>
    <row r="48335" spans="1:26" ht="12.75" customHeight="1" x14ac:dyDescent="0.2">
      <c r="A48335" s="258"/>
      <c r="Z48335" s="258"/>
    </row>
    <row r="48336" spans="1:26" ht="12.75" customHeight="1" x14ac:dyDescent="0.2">
      <c r="A48336" s="258"/>
      <c r="Z48336" s="258"/>
    </row>
    <row r="48337" spans="1:26" ht="12.75" customHeight="1" x14ac:dyDescent="0.2">
      <c r="A48337" s="258"/>
      <c r="Z48337" s="258"/>
    </row>
    <row r="48338" spans="1:26" ht="12.75" customHeight="1" x14ac:dyDescent="0.2">
      <c r="A48338" s="258"/>
      <c r="Z48338" s="258"/>
    </row>
    <row r="48339" spans="1:26" ht="12.75" customHeight="1" x14ac:dyDescent="0.2">
      <c r="A48339" s="258"/>
      <c r="Z48339" s="258"/>
    </row>
    <row r="48340" spans="1:26" ht="12.75" customHeight="1" x14ac:dyDescent="0.2">
      <c r="A48340" s="258"/>
      <c r="Z48340" s="258"/>
    </row>
    <row r="48341" spans="1:26" ht="12.75" customHeight="1" x14ac:dyDescent="0.2">
      <c r="A48341" s="258"/>
      <c r="Z48341" s="258"/>
    </row>
    <row r="48342" spans="1:26" ht="12.75" customHeight="1" x14ac:dyDescent="0.2">
      <c r="A48342" s="258"/>
      <c r="Z48342" s="258"/>
    </row>
    <row r="48343" spans="1:26" ht="12.75" customHeight="1" x14ac:dyDescent="0.2">
      <c r="A48343" s="258"/>
      <c r="Z48343" s="258"/>
    </row>
    <row r="48344" spans="1:26" ht="12.75" customHeight="1" x14ac:dyDescent="0.2">
      <c r="A48344" s="258"/>
      <c r="Z48344" s="258"/>
    </row>
    <row r="48345" spans="1:26" ht="12.75" customHeight="1" x14ac:dyDescent="0.2">
      <c r="A48345" s="258"/>
      <c r="Z48345" s="258"/>
    </row>
    <row r="48346" spans="1:26" ht="12.75" customHeight="1" x14ac:dyDescent="0.2">
      <c r="A48346" s="258"/>
      <c r="Z48346" s="258"/>
    </row>
    <row r="48347" spans="1:26" ht="12.75" customHeight="1" x14ac:dyDescent="0.2">
      <c r="A48347" s="258"/>
      <c r="Z48347" s="258"/>
    </row>
    <row r="48348" spans="1:26" ht="12.75" customHeight="1" x14ac:dyDescent="0.2">
      <c r="A48348" s="258"/>
      <c r="Z48348" s="258"/>
    </row>
    <row r="48349" spans="1:26" ht="12.75" customHeight="1" x14ac:dyDescent="0.2">
      <c r="A48349" s="258"/>
      <c r="Z48349" s="258"/>
    </row>
    <row r="48350" spans="1:26" ht="12.75" customHeight="1" x14ac:dyDescent="0.2">
      <c r="A48350" s="258"/>
      <c r="Z48350" s="258"/>
    </row>
    <row r="48351" spans="1:26" ht="12.75" customHeight="1" x14ac:dyDescent="0.2">
      <c r="A48351" s="258"/>
      <c r="Z48351" s="258"/>
    </row>
    <row r="48352" spans="1:26" ht="12.75" customHeight="1" x14ac:dyDescent="0.2">
      <c r="A48352" s="258"/>
      <c r="Z48352" s="258"/>
    </row>
    <row r="48353" spans="1:26" ht="12.75" customHeight="1" x14ac:dyDescent="0.2">
      <c r="A48353" s="258"/>
      <c r="Z48353" s="258"/>
    </row>
    <row r="48354" spans="1:26" ht="12.75" customHeight="1" x14ac:dyDescent="0.2">
      <c r="A48354" s="258"/>
      <c r="Z48354" s="258"/>
    </row>
    <row r="48355" spans="1:26" ht="12.75" customHeight="1" x14ac:dyDescent="0.2">
      <c r="A48355" s="258"/>
      <c r="Z48355" s="258"/>
    </row>
    <row r="48356" spans="1:26" ht="12.75" customHeight="1" x14ac:dyDescent="0.2">
      <c r="A48356" s="258"/>
      <c r="Z48356" s="258"/>
    </row>
    <row r="48357" spans="1:26" ht="12.75" customHeight="1" x14ac:dyDescent="0.2">
      <c r="A48357" s="258"/>
      <c r="Z48357" s="258"/>
    </row>
    <row r="48358" spans="1:26" ht="12.75" customHeight="1" x14ac:dyDescent="0.2">
      <c r="A48358" s="258"/>
      <c r="Z48358" s="258"/>
    </row>
    <row r="48359" spans="1:26" ht="12.75" customHeight="1" x14ac:dyDescent="0.2">
      <c r="A48359" s="258"/>
      <c r="Z48359" s="258"/>
    </row>
    <row r="48360" spans="1:26" ht="12.75" customHeight="1" x14ac:dyDescent="0.2">
      <c r="A48360" s="258"/>
      <c r="Z48360" s="258"/>
    </row>
    <row r="48361" spans="1:26" ht="12.75" customHeight="1" x14ac:dyDescent="0.2">
      <c r="A48361" s="258"/>
      <c r="Z48361" s="258"/>
    </row>
    <row r="48362" spans="1:26" ht="12.75" customHeight="1" x14ac:dyDescent="0.2">
      <c r="A48362" s="258"/>
      <c r="Z48362" s="258"/>
    </row>
    <row r="48363" spans="1:26" ht="12.75" customHeight="1" x14ac:dyDescent="0.2">
      <c r="A48363" s="258"/>
      <c r="Z48363" s="258"/>
    </row>
    <row r="48364" spans="1:26" ht="12.75" customHeight="1" x14ac:dyDescent="0.2">
      <c r="A48364" s="258"/>
      <c r="Z48364" s="258"/>
    </row>
    <row r="48365" spans="1:26" ht="12.75" customHeight="1" x14ac:dyDescent="0.2">
      <c r="A48365" s="258"/>
      <c r="Z48365" s="258"/>
    </row>
    <row r="48366" spans="1:26" ht="12.75" customHeight="1" x14ac:dyDescent="0.2">
      <c r="A48366" s="258"/>
      <c r="Z48366" s="258"/>
    </row>
    <row r="48367" spans="1:26" ht="12.75" customHeight="1" x14ac:dyDescent="0.2">
      <c r="A48367" s="258"/>
      <c r="Z48367" s="258"/>
    </row>
    <row r="48368" spans="1:26" ht="12.75" customHeight="1" x14ac:dyDescent="0.2">
      <c r="A48368" s="258"/>
      <c r="Z48368" s="258"/>
    </row>
    <row r="48369" spans="1:26" ht="12.75" customHeight="1" x14ac:dyDescent="0.2">
      <c r="A48369" s="258"/>
      <c r="Z48369" s="258"/>
    </row>
    <row r="48370" spans="1:26" ht="12.75" customHeight="1" x14ac:dyDescent="0.2">
      <c r="A48370" s="258"/>
      <c r="Z48370" s="258"/>
    </row>
    <row r="48371" spans="1:26" ht="12.75" customHeight="1" x14ac:dyDescent="0.2">
      <c r="A48371" s="258"/>
      <c r="Z48371" s="258"/>
    </row>
    <row r="48372" spans="1:26" ht="12.75" customHeight="1" x14ac:dyDescent="0.2">
      <c r="A48372" s="258"/>
      <c r="Z48372" s="258"/>
    </row>
    <row r="48373" spans="1:26" ht="12.75" customHeight="1" x14ac:dyDescent="0.2">
      <c r="A48373" s="258"/>
      <c r="Z48373" s="258"/>
    </row>
    <row r="48374" spans="1:26" ht="12.75" customHeight="1" x14ac:dyDescent="0.2">
      <c r="A48374" s="258"/>
      <c r="Z48374" s="258"/>
    </row>
    <row r="48375" spans="1:26" ht="12.75" customHeight="1" x14ac:dyDescent="0.2">
      <c r="A48375" s="258"/>
      <c r="Z48375" s="258"/>
    </row>
    <row r="48376" spans="1:26" ht="12.75" customHeight="1" x14ac:dyDescent="0.2">
      <c r="A48376" s="258"/>
      <c r="Z48376" s="258"/>
    </row>
    <row r="48377" spans="1:26" ht="12.75" customHeight="1" x14ac:dyDescent="0.2">
      <c r="A48377" s="258"/>
      <c r="Z48377" s="258"/>
    </row>
    <row r="48378" spans="1:26" ht="12.75" customHeight="1" x14ac:dyDescent="0.2">
      <c r="A48378" s="258"/>
      <c r="Z48378" s="258"/>
    </row>
    <row r="48379" spans="1:26" ht="12.75" customHeight="1" x14ac:dyDescent="0.2">
      <c r="A48379" s="258"/>
      <c r="Z48379" s="258"/>
    </row>
    <row r="48380" spans="1:26" ht="12.75" customHeight="1" x14ac:dyDescent="0.2">
      <c r="A48380" s="258"/>
      <c r="Z48380" s="258"/>
    </row>
    <row r="48381" spans="1:26" ht="12.75" customHeight="1" x14ac:dyDescent="0.2">
      <c r="A48381" s="258"/>
      <c r="Z48381" s="258"/>
    </row>
    <row r="48382" spans="1:26" ht="12.75" customHeight="1" x14ac:dyDescent="0.2">
      <c r="A48382" s="258"/>
      <c r="Z48382" s="258"/>
    </row>
    <row r="48383" spans="1:26" ht="12.75" customHeight="1" x14ac:dyDescent="0.2">
      <c r="A48383" s="258"/>
      <c r="Z48383" s="258"/>
    </row>
    <row r="48384" spans="1:26" ht="12.75" customHeight="1" x14ac:dyDescent="0.2">
      <c r="A48384" s="258"/>
      <c r="Z48384" s="258"/>
    </row>
    <row r="48385" spans="1:26" ht="12.75" customHeight="1" x14ac:dyDescent="0.2">
      <c r="A48385" s="258"/>
      <c r="Z48385" s="258"/>
    </row>
    <row r="48386" spans="1:26" ht="12.75" customHeight="1" x14ac:dyDescent="0.2">
      <c r="A48386" s="258"/>
      <c r="Z48386" s="258"/>
    </row>
    <row r="48387" spans="1:26" ht="12.75" customHeight="1" x14ac:dyDescent="0.2">
      <c r="A48387" s="258"/>
      <c r="Z48387" s="258"/>
    </row>
    <row r="48388" spans="1:26" ht="12.75" customHeight="1" x14ac:dyDescent="0.2">
      <c r="A48388" s="258"/>
      <c r="Z48388" s="258"/>
    </row>
    <row r="48389" spans="1:26" ht="12.75" customHeight="1" x14ac:dyDescent="0.2">
      <c r="A48389" s="258"/>
      <c r="Z48389" s="258"/>
    </row>
    <row r="48390" spans="1:26" ht="12.75" customHeight="1" x14ac:dyDescent="0.2">
      <c r="A48390" s="258"/>
      <c r="Z48390" s="258"/>
    </row>
    <row r="48391" spans="1:26" ht="12.75" customHeight="1" x14ac:dyDescent="0.2">
      <c r="A48391" s="258"/>
      <c r="Z48391" s="258"/>
    </row>
    <row r="48392" spans="1:26" ht="12.75" customHeight="1" x14ac:dyDescent="0.2">
      <c r="A48392" s="258"/>
      <c r="Z48392" s="258"/>
    </row>
    <row r="48393" spans="1:26" ht="12.75" customHeight="1" x14ac:dyDescent="0.2">
      <c r="A48393" s="258"/>
      <c r="Z48393" s="258"/>
    </row>
    <row r="48394" spans="1:26" ht="12.75" customHeight="1" x14ac:dyDescent="0.2">
      <c r="A48394" s="258"/>
      <c r="Z48394" s="258"/>
    </row>
    <row r="48395" spans="1:26" ht="12.75" customHeight="1" x14ac:dyDescent="0.2">
      <c r="A48395" s="258"/>
      <c r="Z48395" s="258"/>
    </row>
    <row r="48396" spans="1:26" ht="12.75" customHeight="1" x14ac:dyDescent="0.2">
      <c r="A48396" s="258"/>
      <c r="Z48396" s="258"/>
    </row>
    <row r="48397" spans="1:26" ht="12.75" customHeight="1" x14ac:dyDescent="0.2">
      <c r="A48397" s="258"/>
      <c r="Z48397" s="258"/>
    </row>
    <row r="48398" spans="1:26" ht="12.75" customHeight="1" x14ac:dyDescent="0.2">
      <c r="A48398" s="258"/>
      <c r="Z48398" s="258"/>
    </row>
    <row r="48399" spans="1:26" ht="12.75" customHeight="1" x14ac:dyDescent="0.2">
      <c r="A48399" s="258"/>
      <c r="Z48399" s="258"/>
    </row>
    <row r="48400" spans="1:26" ht="12.75" customHeight="1" x14ac:dyDescent="0.2">
      <c r="A48400" s="258"/>
      <c r="Z48400" s="258"/>
    </row>
    <row r="48401" spans="1:26" ht="12.75" customHeight="1" x14ac:dyDescent="0.2">
      <c r="A48401" s="258"/>
      <c r="Z48401" s="258"/>
    </row>
    <row r="48402" spans="1:26" ht="12.75" customHeight="1" x14ac:dyDescent="0.2">
      <c r="A48402" s="258"/>
      <c r="Z48402" s="258"/>
    </row>
    <row r="48403" spans="1:26" ht="12.75" customHeight="1" x14ac:dyDescent="0.2">
      <c r="A48403" s="258"/>
      <c r="Z48403" s="258"/>
    </row>
    <row r="48404" spans="1:26" ht="12.75" customHeight="1" x14ac:dyDescent="0.2">
      <c r="A48404" s="258"/>
      <c r="Z48404" s="258"/>
    </row>
    <row r="48405" spans="1:26" ht="12.75" customHeight="1" x14ac:dyDescent="0.2">
      <c r="A48405" s="258"/>
      <c r="Z48405" s="258"/>
    </row>
    <row r="48406" spans="1:26" ht="12.75" customHeight="1" x14ac:dyDescent="0.2">
      <c r="A48406" s="258"/>
      <c r="Z48406" s="258"/>
    </row>
    <row r="48407" spans="1:26" ht="12.75" customHeight="1" x14ac:dyDescent="0.2">
      <c r="A48407" s="258"/>
      <c r="Z48407" s="258"/>
    </row>
    <row r="48408" spans="1:26" ht="12.75" customHeight="1" x14ac:dyDescent="0.2">
      <c r="A48408" s="258"/>
      <c r="Z48408" s="258"/>
    </row>
    <row r="48409" spans="1:26" ht="12.75" customHeight="1" x14ac:dyDescent="0.2">
      <c r="A48409" s="258"/>
      <c r="Z48409" s="258"/>
    </row>
    <row r="48410" spans="1:26" ht="12.75" customHeight="1" x14ac:dyDescent="0.2">
      <c r="A48410" s="258"/>
      <c r="Z48410" s="258"/>
    </row>
    <row r="48411" spans="1:26" ht="12.75" customHeight="1" x14ac:dyDescent="0.2">
      <c r="A48411" s="258"/>
      <c r="Z48411" s="258"/>
    </row>
    <row r="48412" spans="1:26" ht="12.75" customHeight="1" x14ac:dyDescent="0.2">
      <c r="A48412" s="258"/>
      <c r="Z48412" s="258"/>
    </row>
    <row r="48413" spans="1:26" ht="12.75" customHeight="1" x14ac:dyDescent="0.2">
      <c r="A48413" s="258"/>
      <c r="Z48413" s="258"/>
    </row>
    <row r="48414" spans="1:26" ht="12.75" customHeight="1" x14ac:dyDescent="0.2">
      <c r="A48414" s="258"/>
      <c r="Z48414" s="258"/>
    </row>
    <row r="48415" spans="1:26" ht="12.75" customHeight="1" x14ac:dyDescent="0.2">
      <c r="A48415" s="258"/>
      <c r="Z48415" s="258"/>
    </row>
    <row r="48416" spans="1:26" ht="12.75" customHeight="1" x14ac:dyDescent="0.2">
      <c r="A48416" s="258"/>
      <c r="Z48416" s="258"/>
    </row>
    <row r="48417" spans="1:26" ht="12.75" customHeight="1" x14ac:dyDescent="0.2">
      <c r="A48417" s="258"/>
      <c r="Z48417" s="258"/>
    </row>
    <row r="48418" spans="1:26" ht="12.75" customHeight="1" x14ac:dyDescent="0.2">
      <c r="A48418" s="258"/>
      <c r="Z48418" s="258"/>
    </row>
    <row r="48419" spans="1:26" ht="12.75" customHeight="1" x14ac:dyDescent="0.2">
      <c r="A48419" s="258"/>
      <c r="Z48419" s="258"/>
    </row>
    <row r="48420" spans="1:26" ht="12.75" customHeight="1" x14ac:dyDescent="0.2">
      <c r="A48420" s="258"/>
      <c r="Z48420" s="258"/>
    </row>
    <row r="48421" spans="1:26" ht="12.75" customHeight="1" x14ac:dyDescent="0.2">
      <c r="A48421" s="258"/>
      <c r="Z48421" s="258"/>
    </row>
    <row r="48422" spans="1:26" ht="12.75" customHeight="1" x14ac:dyDescent="0.2">
      <c r="A48422" s="258"/>
      <c r="Z48422" s="258"/>
    </row>
    <row r="48423" spans="1:26" ht="12.75" customHeight="1" x14ac:dyDescent="0.2">
      <c r="A48423" s="258"/>
      <c r="Z48423" s="258"/>
    </row>
    <row r="48424" spans="1:26" ht="12.75" customHeight="1" x14ac:dyDescent="0.2">
      <c r="A48424" s="258"/>
      <c r="Z48424" s="258"/>
    </row>
    <row r="48425" spans="1:26" ht="12.75" customHeight="1" x14ac:dyDescent="0.2">
      <c r="A48425" s="258"/>
      <c r="Z48425" s="258"/>
    </row>
    <row r="48426" spans="1:26" ht="12.75" customHeight="1" x14ac:dyDescent="0.2">
      <c r="A48426" s="258"/>
      <c r="Z48426" s="258"/>
    </row>
    <row r="48427" spans="1:26" ht="12.75" customHeight="1" x14ac:dyDescent="0.2">
      <c r="A48427" s="258"/>
      <c r="Z48427" s="258"/>
    </row>
    <row r="48428" spans="1:26" ht="12.75" customHeight="1" x14ac:dyDescent="0.2">
      <c r="A48428" s="258"/>
      <c r="Z48428" s="258"/>
    </row>
    <row r="48429" spans="1:26" ht="12.75" customHeight="1" x14ac:dyDescent="0.2">
      <c r="A48429" s="258"/>
      <c r="Z48429" s="258"/>
    </row>
    <row r="48430" spans="1:26" ht="12.75" customHeight="1" x14ac:dyDescent="0.2">
      <c r="A48430" s="258"/>
      <c r="Z48430" s="258"/>
    </row>
    <row r="48431" spans="1:26" ht="12.75" customHeight="1" x14ac:dyDescent="0.2">
      <c r="A48431" s="258"/>
      <c r="Z48431" s="258"/>
    </row>
    <row r="48432" spans="1:26" ht="12.75" customHeight="1" x14ac:dyDescent="0.2">
      <c r="A48432" s="258"/>
      <c r="Z48432" s="258"/>
    </row>
    <row r="48433" spans="1:26" ht="12.75" customHeight="1" x14ac:dyDescent="0.2">
      <c r="A48433" s="258"/>
      <c r="Z48433" s="258"/>
    </row>
    <row r="48434" spans="1:26" ht="12.75" customHeight="1" x14ac:dyDescent="0.2">
      <c r="A48434" s="258"/>
      <c r="Z48434" s="258"/>
    </row>
    <row r="48435" spans="1:26" ht="12.75" customHeight="1" x14ac:dyDescent="0.2">
      <c r="A48435" s="258"/>
      <c r="Z48435" s="258"/>
    </row>
    <row r="48436" spans="1:26" ht="12.75" customHeight="1" x14ac:dyDescent="0.2">
      <c r="A48436" s="258"/>
      <c r="Z48436" s="258"/>
    </row>
    <row r="48437" spans="1:26" ht="12.75" customHeight="1" x14ac:dyDescent="0.2">
      <c r="A48437" s="258"/>
      <c r="Z48437" s="258"/>
    </row>
    <row r="48438" spans="1:26" ht="12.75" customHeight="1" x14ac:dyDescent="0.2">
      <c r="A48438" s="258"/>
      <c r="Z48438" s="258"/>
    </row>
    <row r="48439" spans="1:26" ht="12.75" customHeight="1" x14ac:dyDescent="0.2">
      <c r="A48439" s="258"/>
      <c r="Z48439" s="258"/>
    </row>
    <row r="48440" spans="1:26" ht="12.75" customHeight="1" x14ac:dyDescent="0.2">
      <c r="A48440" s="258"/>
      <c r="Z48440" s="258"/>
    </row>
    <row r="48441" spans="1:26" ht="12.75" customHeight="1" x14ac:dyDescent="0.2">
      <c r="A48441" s="258"/>
      <c r="Z48441" s="258"/>
    </row>
    <row r="48442" spans="1:26" ht="12.75" customHeight="1" x14ac:dyDescent="0.2">
      <c r="A48442" s="258"/>
      <c r="Z48442" s="258"/>
    </row>
    <row r="48443" spans="1:26" ht="12.75" customHeight="1" x14ac:dyDescent="0.2">
      <c r="A48443" s="258"/>
      <c r="Z48443" s="258"/>
    </row>
    <row r="48444" spans="1:26" ht="12.75" customHeight="1" x14ac:dyDescent="0.2">
      <c r="A48444" s="258"/>
      <c r="Z48444" s="258"/>
    </row>
    <row r="48445" spans="1:26" ht="12.75" customHeight="1" x14ac:dyDescent="0.2">
      <c r="A48445" s="258"/>
      <c r="Z48445" s="258"/>
    </row>
    <row r="48446" spans="1:26" ht="12.75" customHeight="1" x14ac:dyDescent="0.2">
      <c r="A48446" s="258"/>
      <c r="Z48446" s="258"/>
    </row>
    <row r="48447" spans="1:26" ht="12.75" customHeight="1" x14ac:dyDescent="0.2">
      <c r="A48447" s="258"/>
      <c r="Z48447" s="258"/>
    </row>
    <row r="48448" spans="1:26" ht="12.75" customHeight="1" x14ac:dyDescent="0.2">
      <c r="A48448" s="258"/>
      <c r="Z48448" s="258"/>
    </row>
    <row r="48449" spans="1:26" ht="12.75" customHeight="1" x14ac:dyDescent="0.2">
      <c r="A48449" s="258"/>
      <c r="Z48449" s="258"/>
    </row>
    <row r="48450" spans="1:26" ht="12.75" customHeight="1" x14ac:dyDescent="0.2">
      <c r="A48450" s="258"/>
      <c r="Z48450" s="258"/>
    </row>
    <row r="48451" spans="1:26" ht="12.75" customHeight="1" x14ac:dyDescent="0.2">
      <c r="A48451" s="258"/>
      <c r="Z48451" s="258"/>
    </row>
    <row r="48452" spans="1:26" ht="12.75" customHeight="1" x14ac:dyDescent="0.2">
      <c r="A48452" s="258"/>
      <c r="Z48452" s="258"/>
    </row>
    <row r="48453" spans="1:26" ht="12.75" customHeight="1" x14ac:dyDescent="0.2">
      <c r="A48453" s="258"/>
      <c r="Z48453" s="258"/>
    </row>
    <row r="48454" spans="1:26" ht="12.75" customHeight="1" x14ac:dyDescent="0.2">
      <c r="A48454" s="258"/>
      <c r="Z48454" s="258"/>
    </row>
    <row r="48455" spans="1:26" ht="12.75" customHeight="1" x14ac:dyDescent="0.2">
      <c r="A48455" s="258"/>
      <c r="Z48455" s="258"/>
    </row>
    <row r="48456" spans="1:26" ht="12.75" customHeight="1" x14ac:dyDescent="0.2">
      <c r="A48456" s="258"/>
      <c r="Z48456" s="258"/>
    </row>
    <row r="48457" spans="1:26" ht="12.75" customHeight="1" x14ac:dyDescent="0.2">
      <c r="A48457" s="258"/>
      <c r="Z48457" s="258"/>
    </row>
    <row r="48458" spans="1:26" ht="12.75" customHeight="1" x14ac:dyDescent="0.2">
      <c r="A48458" s="258"/>
      <c r="Z48458" s="258"/>
    </row>
    <row r="48459" spans="1:26" ht="12.75" customHeight="1" x14ac:dyDescent="0.2">
      <c r="A48459" s="258"/>
      <c r="Z48459" s="258"/>
    </row>
    <row r="48460" spans="1:26" ht="12.75" customHeight="1" x14ac:dyDescent="0.2">
      <c r="A48460" s="258"/>
      <c r="Z48460" s="258"/>
    </row>
    <row r="48461" spans="1:26" ht="12.75" customHeight="1" x14ac:dyDescent="0.2">
      <c r="A48461" s="258"/>
      <c r="Z48461" s="258"/>
    </row>
    <row r="48462" spans="1:26" ht="12.75" customHeight="1" x14ac:dyDescent="0.2">
      <c r="A48462" s="258"/>
      <c r="Z48462" s="258"/>
    </row>
    <row r="48463" spans="1:26" ht="12.75" customHeight="1" x14ac:dyDescent="0.2">
      <c r="A48463" s="258"/>
      <c r="Z48463" s="258"/>
    </row>
    <row r="48464" spans="1:26" ht="12.75" customHeight="1" x14ac:dyDescent="0.2">
      <c r="A48464" s="258"/>
      <c r="Z48464" s="258"/>
    </row>
    <row r="48465" spans="1:26" ht="12.75" customHeight="1" x14ac:dyDescent="0.2">
      <c r="A48465" s="258"/>
      <c r="Z48465" s="258"/>
    </row>
    <row r="48466" spans="1:26" ht="12.75" customHeight="1" x14ac:dyDescent="0.2">
      <c r="A48466" s="258"/>
      <c r="Z48466" s="258"/>
    </row>
    <row r="48467" spans="1:26" ht="12.75" customHeight="1" x14ac:dyDescent="0.2">
      <c r="A48467" s="258"/>
      <c r="Z48467" s="258"/>
    </row>
    <row r="48468" spans="1:26" ht="12.75" customHeight="1" x14ac:dyDescent="0.2">
      <c r="A48468" s="258"/>
      <c r="Z48468" s="258"/>
    </row>
    <row r="48469" spans="1:26" ht="12.75" customHeight="1" x14ac:dyDescent="0.2">
      <c r="A48469" s="258"/>
      <c r="Z48469" s="258"/>
    </row>
    <row r="48470" spans="1:26" ht="12.75" customHeight="1" x14ac:dyDescent="0.2">
      <c r="A48470" s="258"/>
      <c r="Z48470" s="258"/>
    </row>
    <row r="48471" spans="1:26" ht="12.75" customHeight="1" x14ac:dyDescent="0.2">
      <c r="A48471" s="258"/>
      <c r="Z48471" s="258"/>
    </row>
    <row r="48472" spans="1:26" ht="12.75" customHeight="1" x14ac:dyDescent="0.2">
      <c r="A48472" s="258"/>
      <c r="Z48472" s="258"/>
    </row>
    <row r="48473" spans="1:26" ht="12.75" customHeight="1" x14ac:dyDescent="0.2">
      <c r="A48473" s="258"/>
      <c r="Z48473" s="258"/>
    </row>
    <row r="48474" spans="1:26" ht="12.75" customHeight="1" x14ac:dyDescent="0.2">
      <c r="A48474" s="258"/>
      <c r="Z48474" s="258"/>
    </row>
    <row r="48475" spans="1:26" ht="12.75" customHeight="1" x14ac:dyDescent="0.2">
      <c r="A48475" s="258"/>
      <c r="Z48475" s="258"/>
    </row>
    <row r="48476" spans="1:26" ht="12.75" customHeight="1" x14ac:dyDescent="0.2">
      <c r="A48476" s="258"/>
      <c r="Z48476" s="258"/>
    </row>
    <row r="48477" spans="1:26" ht="12.75" customHeight="1" x14ac:dyDescent="0.2">
      <c r="A48477" s="258"/>
      <c r="Z48477" s="258"/>
    </row>
    <row r="48478" spans="1:26" ht="12.75" customHeight="1" x14ac:dyDescent="0.2">
      <c r="A48478" s="258"/>
      <c r="Z48478" s="258"/>
    </row>
    <row r="48479" spans="1:26" ht="12.75" customHeight="1" x14ac:dyDescent="0.2">
      <c r="A48479" s="258"/>
      <c r="Z48479" s="258"/>
    </row>
    <row r="48480" spans="1:26" ht="12.75" customHeight="1" x14ac:dyDescent="0.2">
      <c r="A48480" s="258"/>
      <c r="Z48480" s="258"/>
    </row>
    <row r="48481" spans="1:26" ht="12.75" customHeight="1" x14ac:dyDescent="0.2">
      <c r="A48481" s="258"/>
      <c r="Z48481" s="258"/>
    </row>
    <row r="48482" spans="1:26" ht="12.75" customHeight="1" x14ac:dyDescent="0.2">
      <c r="A48482" s="258"/>
      <c r="Z48482" s="258"/>
    </row>
    <row r="48483" spans="1:26" ht="12.75" customHeight="1" x14ac:dyDescent="0.2">
      <c r="A48483" s="258"/>
      <c r="Z48483" s="258"/>
    </row>
    <row r="48484" spans="1:26" ht="12.75" customHeight="1" x14ac:dyDescent="0.2">
      <c r="A48484" s="258"/>
      <c r="Z48484" s="258"/>
    </row>
    <row r="48485" spans="1:26" ht="12.75" customHeight="1" x14ac:dyDescent="0.2">
      <c r="A48485" s="258"/>
      <c r="Z48485" s="258"/>
    </row>
    <row r="48486" spans="1:26" ht="12.75" customHeight="1" x14ac:dyDescent="0.2">
      <c r="A48486" s="258"/>
      <c r="Z48486" s="258"/>
    </row>
    <row r="48487" spans="1:26" ht="12.75" customHeight="1" x14ac:dyDescent="0.2">
      <c r="A48487" s="258"/>
      <c r="Z48487" s="258"/>
    </row>
    <row r="48488" spans="1:26" ht="12.75" customHeight="1" x14ac:dyDescent="0.2">
      <c r="A48488" s="258"/>
      <c r="Z48488" s="258"/>
    </row>
    <row r="48489" spans="1:26" ht="12.75" customHeight="1" x14ac:dyDescent="0.2">
      <c r="A48489" s="258"/>
      <c r="Z48489" s="258"/>
    </row>
    <row r="48490" spans="1:26" ht="12.75" customHeight="1" x14ac:dyDescent="0.2">
      <c r="A48490" s="258"/>
      <c r="Z48490" s="258"/>
    </row>
    <row r="48491" spans="1:26" ht="12.75" customHeight="1" x14ac:dyDescent="0.2">
      <c r="A48491" s="258"/>
      <c r="Z48491" s="258"/>
    </row>
    <row r="48492" spans="1:26" ht="12.75" customHeight="1" x14ac:dyDescent="0.2">
      <c r="A48492" s="258"/>
      <c r="Z48492" s="258"/>
    </row>
    <row r="48493" spans="1:26" ht="12.75" customHeight="1" x14ac:dyDescent="0.2">
      <c r="A48493" s="258"/>
      <c r="Z48493" s="258"/>
    </row>
    <row r="48494" spans="1:26" ht="12.75" customHeight="1" x14ac:dyDescent="0.2">
      <c r="A48494" s="258"/>
      <c r="Z48494" s="258"/>
    </row>
    <row r="48495" spans="1:26" ht="12.75" customHeight="1" x14ac:dyDescent="0.2">
      <c r="A48495" s="258"/>
      <c r="Z48495" s="258"/>
    </row>
    <row r="48496" spans="1:26" ht="12.75" customHeight="1" x14ac:dyDescent="0.2">
      <c r="A48496" s="258"/>
      <c r="Z48496" s="258"/>
    </row>
    <row r="48497" spans="1:26" ht="12.75" customHeight="1" x14ac:dyDescent="0.2">
      <c r="A48497" s="258"/>
      <c r="Z48497" s="258"/>
    </row>
    <row r="48498" spans="1:26" ht="12.75" customHeight="1" x14ac:dyDescent="0.2">
      <c r="A48498" s="258"/>
      <c r="Z48498" s="258"/>
    </row>
    <row r="48499" spans="1:26" ht="12.75" customHeight="1" x14ac:dyDescent="0.2">
      <c r="A48499" s="258"/>
      <c r="Z48499" s="258"/>
    </row>
    <row r="48500" spans="1:26" ht="12.75" customHeight="1" x14ac:dyDescent="0.2">
      <c r="A48500" s="258"/>
      <c r="Z48500" s="258"/>
    </row>
    <row r="48501" spans="1:26" ht="12.75" customHeight="1" x14ac:dyDescent="0.2">
      <c r="A48501" s="258"/>
      <c r="Z48501" s="258"/>
    </row>
    <row r="48502" spans="1:26" ht="12.75" customHeight="1" x14ac:dyDescent="0.2">
      <c r="A48502" s="258"/>
      <c r="Z48502" s="258"/>
    </row>
    <row r="48503" spans="1:26" ht="12.75" customHeight="1" x14ac:dyDescent="0.2">
      <c r="A48503" s="258"/>
      <c r="Z48503" s="258"/>
    </row>
    <row r="48504" spans="1:26" ht="12.75" customHeight="1" x14ac:dyDescent="0.2">
      <c r="A48504" s="258"/>
      <c r="Z48504" s="258"/>
    </row>
    <row r="48505" spans="1:26" ht="12.75" customHeight="1" x14ac:dyDescent="0.2">
      <c r="A48505" s="258"/>
      <c r="Z48505" s="258"/>
    </row>
    <row r="48506" spans="1:26" ht="12.75" customHeight="1" x14ac:dyDescent="0.2">
      <c r="A48506" s="258"/>
      <c r="Z48506" s="258"/>
    </row>
    <row r="48507" spans="1:26" ht="12.75" customHeight="1" x14ac:dyDescent="0.2">
      <c r="A48507" s="258"/>
      <c r="Z48507" s="258"/>
    </row>
    <row r="48508" spans="1:26" ht="12.75" customHeight="1" x14ac:dyDescent="0.2">
      <c r="A48508" s="258"/>
      <c r="Z48508" s="258"/>
    </row>
    <row r="48509" spans="1:26" ht="12.75" customHeight="1" x14ac:dyDescent="0.2">
      <c r="A48509" s="258"/>
      <c r="Z48509" s="258"/>
    </row>
    <row r="48510" spans="1:26" ht="12.75" customHeight="1" x14ac:dyDescent="0.2">
      <c r="A48510" s="258"/>
      <c r="Z48510" s="258"/>
    </row>
    <row r="48511" spans="1:26" ht="12.75" customHeight="1" x14ac:dyDescent="0.2">
      <c r="A48511" s="258"/>
      <c r="Z48511" s="258"/>
    </row>
    <row r="48512" spans="1:26" ht="12.75" customHeight="1" x14ac:dyDescent="0.2">
      <c r="A48512" s="258"/>
      <c r="Z48512" s="258"/>
    </row>
    <row r="48513" spans="1:26" ht="12.75" customHeight="1" x14ac:dyDescent="0.2">
      <c r="A48513" s="258"/>
      <c r="Z48513" s="258"/>
    </row>
    <row r="48514" spans="1:26" ht="12.75" customHeight="1" x14ac:dyDescent="0.2">
      <c r="A48514" s="258"/>
      <c r="Z48514" s="258"/>
    </row>
    <row r="48515" spans="1:26" ht="12.75" customHeight="1" x14ac:dyDescent="0.2">
      <c r="A48515" s="258"/>
      <c r="Z48515" s="258"/>
    </row>
    <row r="48516" spans="1:26" ht="12.75" customHeight="1" x14ac:dyDescent="0.2">
      <c r="A48516" s="258"/>
      <c r="Z48516" s="258"/>
    </row>
    <row r="48517" spans="1:26" ht="12.75" customHeight="1" x14ac:dyDescent="0.2">
      <c r="A48517" s="258"/>
      <c r="Z48517" s="258"/>
    </row>
    <row r="48518" spans="1:26" ht="12.75" customHeight="1" x14ac:dyDescent="0.2">
      <c r="A48518" s="258"/>
      <c r="Z48518" s="258"/>
    </row>
    <row r="48519" spans="1:26" ht="12.75" customHeight="1" x14ac:dyDescent="0.2">
      <c r="A48519" s="258"/>
      <c r="Z48519" s="258"/>
    </row>
    <row r="48520" spans="1:26" ht="12.75" customHeight="1" x14ac:dyDescent="0.2">
      <c r="A48520" s="258"/>
      <c r="Z48520" s="258"/>
    </row>
    <row r="48521" spans="1:26" ht="12.75" customHeight="1" x14ac:dyDescent="0.2">
      <c r="A48521" s="258"/>
      <c r="Z48521" s="258"/>
    </row>
    <row r="48522" spans="1:26" ht="12.75" customHeight="1" x14ac:dyDescent="0.2">
      <c r="A48522" s="258"/>
      <c r="Z48522" s="258"/>
    </row>
    <row r="48523" spans="1:26" ht="12.75" customHeight="1" x14ac:dyDescent="0.2">
      <c r="A48523" s="258"/>
      <c r="Z48523" s="258"/>
    </row>
    <row r="48524" spans="1:26" ht="12.75" customHeight="1" x14ac:dyDescent="0.2">
      <c r="A48524" s="258"/>
      <c r="Z48524" s="258"/>
    </row>
    <row r="48525" spans="1:26" ht="12.75" customHeight="1" x14ac:dyDescent="0.2">
      <c r="A48525" s="258"/>
      <c r="Z48525" s="258"/>
    </row>
    <row r="48526" spans="1:26" ht="12.75" customHeight="1" x14ac:dyDescent="0.2">
      <c r="A48526" s="258"/>
      <c r="Z48526" s="258"/>
    </row>
    <row r="48527" spans="1:26" ht="12.75" customHeight="1" x14ac:dyDescent="0.2">
      <c r="A48527" s="258"/>
      <c r="Z48527" s="258"/>
    </row>
    <row r="48528" spans="1:26" ht="12.75" customHeight="1" x14ac:dyDescent="0.2">
      <c r="A48528" s="258"/>
      <c r="Z48528" s="258"/>
    </row>
    <row r="48529" spans="1:26" ht="12.75" customHeight="1" x14ac:dyDescent="0.2">
      <c r="A48529" s="258"/>
      <c r="Z48529" s="258"/>
    </row>
    <row r="48530" spans="1:26" ht="12.75" customHeight="1" x14ac:dyDescent="0.2">
      <c r="A48530" s="258"/>
      <c r="Z48530" s="258"/>
    </row>
    <row r="48531" spans="1:26" ht="12.75" customHeight="1" x14ac:dyDescent="0.2">
      <c r="A48531" s="258"/>
      <c r="Z48531" s="258"/>
    </row>
    <row r="48532" spans="1:26" ht="12.75" customHeight="1" x14ac:dyDescent="0.2">
      <c r="A48532" s="258"/>
      <c r="Z48532" s="258"/>
    </row>
    <row r="48533" spans="1:26" ht="12.75" customHeight="1" x14ac:dyDescent="0.2">
      <c r="A48533" s="258"/>
      <c r="Z48533" s="258"/>
    </row>
    <row r="48534" spans="1:26" ht="12.75" customHeight="1" x14ac:dyDescent="0.2">
      <c r="A48534" s="258"/>
      <c r="Z48534" s="258"/>
    </row>
    <row r="48535" spans="1:26" ht="12.75" customHeight="1" x14ac:dyDescent="0.2">
      <c r="A48535" s="258"/>
      <c r="Z48535" s="258"/>
    </row>
    <row r="48536" spans="1:26" ht="12.75" customHeight="1" x14ac:dyDescent="0.2">
      <c r="A48536" s="258"/>
      <c r="Z48536" s="258"/>
    </row>
    <row r="48537" spans="1:26" ht="12.75" customHeight="1" x14ac:dyDescent="0.2">
      <c r="A48537" s="258"/>
      <c r="Z48537" s="258"/>
    </row>
    <row r="48538" spans="1:26" ht="12.75" customHeight="1" x14ac:dyDescent="0.2">
      <c r="A48538" s="258"/>
      <c r="Z48538" s="258"/>
    </row>
    <row r="48539" spans="1:26" ht="12.75" customHeight="1" x14ac:dyDescent="0.2">
      <c r="A48539" s="258"/>
      <c r="Z48539" s="258"/>
    </row>
    <row r="48540" spans="1:26" ht="12.75" customHeight="1" x14ac:dyDescent="0.2">
      <c r="A48540" s="258"/>
      <c r="Z48540" s="258"/>
    </row>
    <row r="48541" spans="1:26" ht="12.75" customHeight="1" x14ac:dyDescent="0.2">
      <c r="A48541" s="258"/>
      <c r="Z48541" s="258"/>
    </row>
    <row r="48542" spans="1:26" ht="12.75" customHeight="1" x14ac:dyDescent="0.2">
      <c r="A48542" s="258"/>
      <c r="Z48542" s="258"/>
    </row>
    <row r="48543" spans="1:26" ht="12.75" customHeight="1" x14ac:dyDescent="0.2">
      <c r="A48543" s="258"/>
      <c r="Z48543" s="258"/>
    </row>
    <row r="48544" spans="1:26" ht="12.75" customHeight="1" x14ac:dyDescent="0.2">
      <c r="A48544" s="258"/>
      <c r="Z48544" s="258"/>
    </row>
    <row r="48545" spans="1:26" ht="12.75" customHeight="1" x14ac:dyDescent="0.2">
      <c r="A48545" s="258"/>
      <c r="Z48545" s="258"/>
    </row>
    <row r="48546" spans="1:26" ht="12.75" customHeight="1" x14ac:dyDescent="0.2">
      <c r="A48546" s="258"/>
      <c r="Z48546" s="258"/>
    </row>
    <row r="48547" spans="1:26" ht="12.75" customHeight="1" x14ac:dyDescent="0.2">
      <c r="A48547" s="258"/>
      <c r="Z48547" s="258"/>
    </row>
    <row r="48548" spans="1:26" ht="12.75" customHeight="1" x14ac:dyDescent="0.2">
      <c r="A48548" s="258"/>
      <c r="Z48548" s="258"/>
    </row>
    <row r="48549" spans="1:26" ht="12.75" customHeight="1" x14ac:dyDescent="0.2">
      <c r="A48549" s="258"/>
      <c r="Z48549" s="258"/>
    </row>
    <row r="48550" spans="1:26" ht="12.75" customHeight="1" x14ac:dyDescent="0.2">
      <c r="A48550" s="258"/>
      <c r="Z48550" s="258"/>
    </row>
    <row r="48551" spans="1:26" ht="12.75" customHeight="1" x14ac:dyDescent="0.2">
      <c r="A48551" s="258"/>
      <c r="Z48551" s="258"/>
    </row>
    <row r="48552" spans="1:26" ht="12.75" customHeight="1" x14ac:dyDescent="0.2">
      <c r="A48552" s="258"/>
      <c r="Z48552" s="258"/>
    </row>
    <row r="48553" spans="1:26" ht="12.75" customHeight="1" x14ac:dyDescent="0.2">
      <c r="A48553" s="258"/>
      <c r="Z48553" s="258"/>
    </row>
    <row r="48554" spans="1:26" ht="12.75" customHeight="1" x14ac:dyDescent="0.2">
      <c r="A48554" s="258"/>
      <c r="Z48554" s="258"/>
    </row>
    <row r="48555" spans="1:26" ht="12.75" customHeight="1" x14ac:dyDescent="0.2">
      <c r="A48555" s="258"/>
      <c r="Z48555" s="258"/>
    </row>
    <row r="48556" spans="1:26" ht="12.75" customHeight="1" x14ac:dyDescent="0.2">
      <c r="A48556" s="258"/>
      <c r="Z48556" s="258"/>
    </row>
    <row r="48557" spans="1:26" ht="12.75" customHeight="1" x14ac:dyDescent="0.2">
      <c r="A48557" s="258"/>
      <c r="Z48557" s="258"/>
    </row>
    <row r="48558" spans="1:26" ht="12.75" customHeight="1" x14ac:dyDescent="0.2">
      <c r="A48558" s="258"/>
      <c r="Z48558" s="258"/>
    </row>
    <row r="48559" spans="1:26" ht="12.75" customHeight="1" x14ac:dyDescent="0.2">
      <c r="A48559" s="258"/>
      <c r="Z48559" s="258"/>
    </row>
    <row r="48560" spans="1:26" ht="12.75" customHeight="1" x14ac:dyDescent="0.2">
      <c r="A48560" s="258"/>
      <c r="Z48560" s="258"/>
    </row>
    <row r="48561" spans="1:26" ht="12.75" customHeight="1" x14ac:dyDescent="0.2">
      <c r="A48561" s="258"/>
      <c r="Z48561" s="258"/>
    </row>
    <row r="48562" spans="1:26" ht="12.75" customHeight="1" x14ac:dyDescent="0.2">
      <c r="A48562" s="258"/>
      <c r="Z48562" s="258"/>
    </row>
    <row r="48563" spans="1:26" ht="12.75" customHeight="1" x14ac:dyDescent="0.2">
      <c r="A48563" s="258"/>
      <c r="Z48563" s="258"/>
    </row>
    <row r="48564" spans="1:26" ht="12.75" customHeight="1" x14ac:dyDescent="0.2">
      <c r="A48564" s="258"/>
      <c r="Z48564" s="258"/>
    </row>
    <row r="48565" spans="1:26" ht="12.75" customHeight="1" x14ac:dyDescent="0.2">
      <c r="A48565" s="258"/>
      <c r="Z48565" s="258"/>
    </row>
    <row r="48566" spans="1:26" ht="12.75" customHeight="1" x14ac:dyDescent="0.2">
      <c r="A48566" s="258"/>
      <c r="Z48566" s="258"/>
    </row>
    <row r="48567" spans="1:26" ht="12.75" customHeight="1" x14ac:dyDescent="0.2">
      <c r="A48567" s="258"/>
      <c r="Z48567" s="258"/>
    </row>
    <row r="48568" spans="1:26" ht="12.75" customHeight="1" x14ac:dyDescent="0.2">
      <c r="A48568" s="258"/>
      <c r="Z48568" s="258"/>
    </row>
    <row r="48569" spans="1:26" ht="12.75" customHeight="1" x14ac:dyDescent="0.2">
      <c r="A48569" s="258"/>
      <c r="Z48569" s="258"/>
    </row>
    <row r="48570" spans="1:26" ht="12.75" customHeight="1" x14ac:dyDescent="0.2">
      <c r="A48570" s="258"/>
      <c r="Z48570" s="258"/>
    </row>
    <row r="48571" spans="1:26" ht="12.75" customHeight="1" x14ac:dyDescent="0.2">
      <c r="A48571" s="258"/>
      <c r="Z48571" s="258"/>
    </row>
    <row r="48572" spans="1:26" ht="12.75" customHeight="1" x14ac:dyDescent="0.2">
      <c r="A48572" s="258"/>
      <c r="Z48572" s="258"/>
    </row>
    <row r="48573" spans="1:26" ht="12.75" customHeight="1" x14ac:dyDescent="0.2">
      <c r="A48573" s="258"/>
      <c r="Z48573" s="258"/>
    </row>
    <row r="48574" spans="1:26" ht="12.75" customHeight="1" x14ac:dyDescent="0.2">
      <c r="A48574" s="258"/>
      <c r="Z48574" s="258"/>
    </row>
    <row r="48575" spans="1:26" ht="12.75" customHeight="1" x14ac:dyDescent="0.2">
      <c r="A48575" s="258"/>
      <c r="Z48575" s="258"/>
    </row>
    <row r="48576" spans="1:26" ht="12.75" customHeight="1" x14ac:dyDescent="0.2">
      <c r="A48576" s="258"/>
      <c r="Z48576" s="258"/>
    </row>
    <row r="48577" spans="1:26" ht="12.75" customHeight="1" x14ac:dyDescent="0.2">
      <c r="A48577" s="258"/>
      <c r="Z48577" s="258"/>
    </row>
    <row r="48578" spans="1:26" ht="12.75" customHeight="1" x14ac:dyDescent="0.2">
      <c r="A48578" s="258"/>
      <c r="Z48578" s="258"/>
    </row>
    <row r="48579" spans="1:26" ht="12.75" customHeight="1" x14ac:dyDescent="0.2">
      <c r="A48579" s="258"/>
      <c r="Z48579" s="258"/>
    </row>
    <row r="48580" spans="1:26" ht="12.75" customHeight="1" x14ac:dyDescent="0.2">
      <c r="A48580" s="258"/>
      <c r="Z48580" s="258"/>
    </row>
    <row r="48581" spans="1:26" ht="12.75" customHeight="1" x14ac:dyDescent="0.2">
      <c r="A48581" s="258"/>
      <c r="Z48581" s="258"/>
    </row>
    <row r="48582" spans="1:26" ht="12.75" customHeight="1" x14ac:dyDescent="0.2">
      <c r="A48582" s="258"/>
      <c r="Z48582" s="258"/>
    </row>
    <row r="48583" spans="1:26" ht="12.75" customHeight="1" x14ac:dyDescent="0.2">
      <c r="A48583" s="258"/>
      <c r="Z48583" s="258"/>
    </row>
    <row r="48584" spans="1:26" ht="12.75" customHeight="1" x14ac:dyDescent="0.2">
      <c r="A48584" s="258"/>
      <c r="Z48584" s="258"/>
    </row>
    <row r="48585" spans="1:26" ht="12.75" customHeight="1" x14ac:dyDescent="0.2">
      <c r="A48585" s="258"/>
      <c r="Z48585" s="258"/>
    </row>
    <row r="48586" spans="1:26" ht="12.75" customHeight="1" x14ac:dyDescent="0.2">
      <c r="A48586" s="258"/>
      <c r="Z48586" s="258"/>
    </row>
    <row r="48587" spans="1:26" ht="12.75" customHeight="1" x14ac:dyDescent="0.2">
      <c r="A48587" s="258"/>
      <c r="Z48587" s="258"/>
    </row>
    <row r="48588" spans="1:26" ht="12.75" customHeight="1" x14ac:dyDescent="0.2">
      <c r="A48588" s="258"/>
      <c r="Z48588" s="258"/>
    </row>
    <row r="48589" spans="1:26" ht="12.75" customHeight="1" x14ac:dyDescent="0.2">
      <c r="A48589" s="258"/>
      <c r="Z48589" s="258"/>
    </row>
    <row r="48590" spans="1:26" ht="12.75" customHeight="1" x14ac:dyDescent="0.2">
      <c r="A48590" s="258"/>
      <c r="Z48590" s="258"/>
    </row>
    <row r="48591" spans="1:26" ht="12.75" customHeight="1" x14ac:dyDescent="0.2">
      <c r="A48591" s="258"/>
      <c r="Z48591" s="258"/>
    </row>
    <row r="48592" spans="1:26" ht="12.75" customHeight="1" x14ac:dyDescent="0.2">
      <c r="A48592" s="258"/>
      <c r="Z48592" s="258"/>
    </row>
    <row r="48593" spans="1:26" ht="12.75" customHeight="1" x14ac:dyDescent="0.2">
      <c r="A48593" s="258"/>
      <c r="Z48593" s="258"/>
    </row>
    <row r="48594" spans="1:26" ht="12.75" customHeight="1" x14ac:dyDescent="0.2">
      <c r="A48594" s="258"/>
      <c r="Z48594" s="258"/>
    </row>
    <row r="48595" spans="1:26" ht="12.75" customHeight="1" x14ac:dyDescent="0.2">
      <c r="A48595" s="258"/>
      <c r="Z48595" s="258"/>
    </row>
    <row r="48596" spans="1:26" ht="12.75" customHeight="1" x14ac:dyDescent="0.2">
      <c r="A48596" s="258"/>
      <c r="Z48596" s="258"/>
    </row>
    <row r="48597" spans="1:26" ht="12.75" customHeight="1" x14ac:dyDescent="0.2">
      <c r="A48597" s="258"/>
      <c r="Z48597" s="258"/>
    </row>
    <row r="48598" spans="1:26" ht="12.75" customHeight="1" x14ac:dyDescent="0.2">
      <c r="A48598" s="258"/>
      <c r="Z48598" s="258"/>
    </row>
    <row r="48599" spans="1:26" ht="12.75" customHeight="1" x14ac:dyDescent="0.2">
      <c r="A48599" s="258"/>
      <c r="Z48599" s="258"/>
    </row>
    <row r="48600" spans="1:26" ht="12.75" customHeight="1" x14ac:dyDescent="0.2">
      <c r="A48600" s="258"/>
      <c r="Z48600" s="258"/>
    </row>
    <row r="48601" spans="1:26" ht="12.75" customHeight="1" x14ac:dyDescent="0.2">
      <c r="A48601" s="258"/>
      <c r="Z48601" s="258"/>
    </row>
    <row r="48602" spans="1:26" ht="12.75" customHeight="1" x14ac:dyDescent="0.2">
      <c r="A48602" s="258"/>
      <c r="Z48602" s="258"/>
    </row>
    <row r="48603" spans="1:26" ht="12.75" customHeight="1" x14ac:dyDescent="0.2">
      <c r="A48603" s="258"/>
      <c r="Z48603" s="258"/>
    </row>
    <row r="48604" spans="1:26" ht="12.75" customHeight="1" x14ac:dyDescent="0.2">
      <c r="A48604" s="258"/>
      <c r="Z48604" s="258"/>
    </row>
    <row r="48605" spans="1:26" ht="12.75" customHeight="1" x14ac:dyDescent="0.2">
      <c r="A48605" s="258"/>
      <c r="Z48605" s="258"/>
    </row>
    <row r="48606" spans="1:26" ht="12.75" customHeight="1" x14ac:dyDescent="0.2">
      <c r="A48606" s="258"/>
      <c r="Z48606" s="258"/>
    </row>
    <row r="48607" spans="1:26" ht="12.75" customHeight="1" x14ac:dyDescent="0.2">
      <c r="A48607" s="258"/>
      <c r="Z48607" s="258"/>
    </row>
    <row r="48608" spans="1:26" ht="12.75" customHeight="1" x14ac:dyDescent="0.2">
      <c r="A48608" s="258"/>
      <c r="Z48608" s="258"/>
    </row>
    <row r="48609" spans="1:26" ht="12.75" customHeight="1" x14ac:dyDescent="0.2">
      <c r="A48609" s="258"/>
      <c r="Z48609" s="258"/>
    </row>
    <row r="48610" spans="1:26" ht="12.75" customHeight="1" x14ac:dyDescent="0.2">
      <c r="A48610" s="258"/>
      <c r="Z48610" s="258"/>
    </row>
    <row r="48611" spans="1:26" ht="12.75" customHeight="1" x14ac:dyDescent="0.2">
      <c r="A48611" s="258"/>
      <c r="Z48611" s="258"/>
    </row>
    <row r="48612" spans="1:26" ht="12.75" customHeight="1" x14ac:dyDescent="0.2">
      <c r="A48612" s="258"/>
      <c r="Z48612" s="258"/>
    </row>
    <row r="48613" spans="1:26" ht="12.75" customHeight="1" x14ac:dyDescent="0.2">
      <c r="A48613" s="258"/>
      <c r="Z48613" s="258"/>
    </row>
    <row r="48614" spans="1:26" ht="12.75" customHeight="1" x14ac:dyDescent="0.2">
      <c r="A48614" s="258"/>
      <c r="Z48614" s="258"/>
    </row>
    <row r="48615" spans="1:26" ht="12.75" customHeight="1" x14ac:dyDescent="0.2">
      <c r="A48615" s="258"/>
      <c r="Z48615" s="258"/>
    </row>
    <row r="48616" spans="1:26" ht="12.75" customHeight="1" x14ac:dyDescent="0.2">
      <c r="A48616" s="258"/>
      <c r="Z48616" s="258"/>
    </row>
    <row r="48617" spans="1:26" ht="12.75" customHeight="1" x14ac:dyDescent="0.2">
      <c r="A48617" s="258"/>
      <c r="Z48617" s="258"/>
    </row>
    <row r="48618" spans="1:26" ht="12.75" customHeight="1" x14ac:dyDescent="0.2">
      <c r="A48618" s="258"/>
      <c r="Z48618" s="258"/>
    </row>
    <row r="48619" spans="1:26" ht="12.75" customHeight="1" x14ac:dyDescent="0.2">
      <c r="A48619" s="258"/>
      <c r="Z48619" s="258"/>
    </row>
    <row r="48620" spans="1:26" ht="12.75" customHeight="1" x14ac:dyDescent="0.2">
      <c r="A48620" s="258"/>
      <c r="Z48620" s="258"/>
    </row>
    <row r="48621" spans="1:26" ht="12.75" customHeight="1" x14ac:dyDescent="0.2">
      <c r="A48621" s="258"/>
      <c r="Z48621" s="258"/>
    </row>
    <row r="48622" spans="1:26" ht="12.75" customHeight="1" x14ac:dyDescent="0.2">
      <c r="A48622" s="258"/>
      <c r="Z48622" s="258"/>
    </row>
    <row r="48623" spans="1:26" ht="12.75" customHeight="1" x14ac:dyDescent="0.2">
      <c r="A48623" s="258"/>
      <c r="Z48623" s="258"/>
    </row>
    <row r="48624" spans="1:26" ht="12.75" customHeight="1" x14ac:dyDescent="0.2">
      <c r="A48624" s="258"/>
      <c r="Z48624" s="258"/>
    </row>
    <row r="48625" spans="1:26" ht="12.75" customHeight="1" x14ac:dyDescent="0.2">
      <c r="A48625" s="258"/>
      <c r="Z48625" s="258"/>
    </row>
    <row r="48626" spans="1:26" ht="12.75" customHeight="1" x14ac:dyDescent="0.2">
      <c r="A48626" s="258"/>
      <c r="Z48626" s="258"/>
    </row>
    <row r="48627" spans="1:26" ht="12.75" customHeight="1" x14ac:dyDescent="0.2">
      <c r="A48627" s="258"/>
      <c r="Z48627" s="258"/>
    </row>
    <row r="48628" spans="1:26" ht="12.75" customHeight="1" x14ac:dyDescent="0.2">
      <c r="A48628" s="258"/>
      <c r="Z48628" s="258"/>
    </row>
    <row r="48629" spans="1:26" ht="12.75" customHeight="1" x14ac:dyDescent="0.2">
      <c r="A48629" s="258"/>
      <c r="Z48629" s="258"/>
    </row>
    <row r="48630" spans="1:26" ht="12.75" customHeight="1" x14ac:dyDescent="0.2">
      <c r="A48630" s="258"/>
      <c r="Z48630" s="258"/>
    </row>
    <row r="48631" spans="1:26" ht="12.75" customHeight="1" x14ac:dyDescent="0.2">
      <c r="A48631" s="258"/>
      <c r="Z48631" s="258"/>
    </row>
    <row r="48632" spans="1:26" ht="12.75" customHeight="1" x14ac:dyDescent="0.2">
      <c r="A48632" s="258"/>
      <c r="Z48632" s="258"/>
    </row>
    <row r="48633" spans="1:26" ht="12.75" customHeight="1" x14ac:dyDescent="0.2">
      <c r="A48633" s="258"/>
      <c r="Z48633" s="258"/>
    </row>
    <row r="48634" spans="1:26" ht="12.75" customHeight="1" x14ac:dyDescent="0.2">
      <c r="A48634" s="258"/>
      <c r="Z48634" s="258"/>
    </row>
    <row r="48635" spans="1:26" ht="12.75" customHeight="1" x14ac:dyDescent="0.2">
      <c r="A48635" s="258"/>
      <c r="Z48635" s="258"/>
    </row>
    <row r="48636" spans="1:26" ht="12.75" customHeight="1" x14ac:dyDescent="0.2">
      <c r="A48636" s="258"/>
      <c r="Z48636" s="258"/>
    </row>
    <row r="48637" spans="1:26" ht="12.75" customHeight="1" x14ac:dyDescent="0.2">
      <c r="A48637" s="258"/>
      <c r="Z48637" s="258"/>
    </row>
    <row r="48638" spans="1:26" ht="12.75" customHeight="1" x14ac:dyDescent="0.2">
      <c r="A48638" s="258"/>
      <c r="Z48638" s="258"/>
    </row>
    <row r="48639" spans="1:26" ht="12.75" customHeight="1" x14ac:dyDescent="0.2">
      <c r="A48639" s="258"/>
      <c r="Z48639" s="258"/>
    </row>
    <row r="48640" spans="1:26" ht="12.75" customHeight="1" x14ac:dyDescent="0.2">
      <c r="A48640" s="258"/>
      <c r="Z48640" s="258"/>
    </row>
    <row r="48641" spans="1:26" ht="12.75" customHeight="1" x14ac:dyDescent="0.2">
      <c r="A48641" s="258"/>
      <c r="Z48641" s="258"/>
    </row>
    <row r="48642" spans="1:26" ht="12.75" customHeight="1" x14ac:dyDescent="0.2">
      <c r="A48642" s="258"/>
      <c r="Z48642" s="258"/>
    </row>
    <row r="48643" spans="1:26" ht="12.75" customHeight="1" x14ac:dyDescent="0.2">
      <c r="A48643" s="258"/>
      <c r="Z48643" s="258"/>
    </row>
    <row r="48644" spans="1:26" ht="12.75" customHeight="1" x14ac:dyDescent="0.2">
      <c r="A48644" s="258"/>
      <c r="Z48644" s="258"/>
    </row>
    <row r="48645" spans="1:26" ht="12.75" customHeight="1" x14ac:dyDescent="0.2">
      <c r="A48645" s="258"/>
      <c r="Z48645" s="258"/>
    </row>
    <row r="48646" spans="1:26" ht="12.75" customHeight="1" x14ac:dyDescent="0.2">
      <c r="A48646" s="258"/>
      <c r="Z48646" s="258"/>
    </row>
    <row r="48647" spans="1:26" ht="12.75" customHeight="1" x14ac:dyDescent="0.2">
      <c r="A48647" s="258"/>
      <c r="Z48647" s="258"/>
    </row>
    <row r="48648" spans="1:26" ht="12.75" customHeight="1" x14ac:dyDescent="0.2">
      <c r="A48648" s="258"/>
      <c r="Z48648" s="258"/>
    </row>
    <row r="48649" spans="1:26" ht="12.75" customHeight="1" x14ac:dyDescent="0.2">
      <c r="A48649" s="258"/>
      <c r="Z48649" s="258"/>
    </row>
    <row r="48650" spans="1:26" ht="12.75" customHeight="1" x14ac:dyDescent="0.2">
      <c r="A48650" s="258"/>
      <c r="Z48650" s="258"/>
    </row>
    <row r="48651" spans="1:26" ht="12.75" customHeight="1" x14ac:dyDescent="0.2">
      <c r="A48651" s="258"/>
      <c r="Z48651" s="258"/>
    </row>
    <row r="48652" spans="1:26" ht="12.75" customHeight="1" x14ac:dyDescent="0.2">
      <c r="A48652" s="258"/>
      <c r="Z48652" s="258"/>
    </row>
    <row r="48653" spans="1:26" ht="12.75" customHeight="1" x14ac:dyDescent="0.2">
      <c r="A48653" s="258"/>
      <c r="Z48653" s="258"/>
    </row>
    <row r="48654" spans="1:26" ht="12.75" customHeight="1" x14ac:dyDescent="0.2">
      <c r="A48654" s="258"/>
      <c r="Z48654" s="258"/>
    </row>
    <row r="48655" spans="1:26" ht="12.75" customHeight="1" x14ac:dyDescent="0.2">
      <c r="A48655" s="258"/>
      <c r="Z48655" s="258"/>
    </row>
    <row r="48656" spans="1:26" ht="12.75" customHeight="1" x14ac:dyDescent="0.2">
      <c r="A48656" s="258"/>
      <c r="Z48656" s="258"/>
    </row>
    <row r="48657" spans="1:26" ht="12.75" customHeight="1" x14ac:dyDescent="0.2">
      <c r="A48657" s="258"/>
      <c r="Z48657" s="258"/>
    </row>
    <row r="48658" spans="1:26" ht="12.75" customHeight="1" x14ac:dyDescent="0.2">
      <c r="A48658" s="258"/>
      <c r="Z48658" s="258"/>
    </row>
    <row r="48659" spans="1:26" ht="12.75" customHeight="1" x14ac:dyDescent="0.2">
      <c r="A48659" s="258"/>
      <c r="Z48659" s="258"/>
    </row>
    <row r="48660" spans="1:26" ht="12.75" customHeight="1" x14ac:dyDescent="0.2">
      <c r="A48660" s="258"/>
      <c r="Z48660" s="258"/>
    </row>
    <row r="48661" spans="1:26" ht="12.75" customHeight="1" x14ac:dyDescent="0.2">
      <c r="A48661" s="258"/>
      <c r="Z48661" s="258"/>
    </row>
    <row r="48662" spans="1:26" ht="12.75" customHeight="1" x14ac:dyDescent="0.2">
      <c r="A48662" s="258"/>
      <c r="Z48662" s="258"/>
    </row>
    <row r="48663" spans="1:26" ht="12.75" customHeight="1" x14ac:dyDescent="0.2">
      <c r="A48663" s="258"/>
      <c r="Z48663" s="258"/>
    </row>
    <row r="48664" spans="1:26" ht="12.75" customHeight="1" x14ac:dyDescent="0.2">
      <c r="A48664" s="258"/>
      <c r="Z48664" s="258"/>
    </row>
    <row r="48665" spans="1:26" ht="12.75" customHeight="1" x14ac:dyDescent="0.2">
      <c r="A48665" s="258"/>
      <c r="Z48665" s="258"/>
    </row>
    <row r="48666" spans="1:26" ht="12.75" customHeight="1" x14ac:dyDescent="0.2">
      <c r="A48666" s="258"/>
      <c r="Z48666" s="258"/>
    </row>
    <row r="48667" spans="1:26" ht="12.75" customHeight="1" x14ac:dyDescent="0.2">
      <c r="A48667" s="258"/>
      <c r="Z48667" s="258"/>
    </row>
    <row r="48668" spans="1:26" ht="12.75" customHeight="1" x14ac:dyDescent="0.2">
      <c r="A48668" s="258"/>
      <c r="Z48668" s="258"/>
    </row>
    <row r="48669" spans="1:26" ht="12.75" customHeight="1" x14ac:dyDescent="0.2">
      <c r="A48669" s="258"/>
      <c r="Z48669" s="258"/>
    </row>
    <row r="48670" spans="1:26" ht="12.75" customHeight="1" x14ac:dyDescent="0.2">
      <c r="A48670" s="258"/>
      <c r="Z48670" s="258"/>
    </row>
    <row r="48671" spans="1:26" ht="12.75" customHeight="1" x14ac:dyDescent="0.2">
      <c r="A48671" s="258"/>
      <c r="Z48671" s="258"/>
    </row>
    <row r="48672" spans="1:26" ht="12.75" customHeight="1" x14ac:dyDescent="0.2">
      <c r="A48672" s="258"/>
      <c r="Z48672" s="258"/>
    </row>
    <row r="48673" spans="1:26" ht="12.75" customHeight="1" x14ac:dyDescent="0.2">
      <c r="A48673" s="258"/>
      <c r="Z48673" s="258"/>
    </row>
    <row r="48674" spans="1:26" ht="12.75" customHeight="1" x14ac:dyDescent="0.2">
      <c r="A48674" s="258"/>
      <c r="Z48674" s="258"/>
    </row>
    <row r="48675" spans="1:26" ht="12.75" customHeight="1" x14ac:dyDescent="0.2">
      <c r="A48675" s="258"/>
      <c r="Z48675" s="258"/>
    </row>
    <row r="48676" spans="1:26" ht="12.75" customHeight="1" x14ac:dyDescent="0.2">
      <c r="A48676" s="258"/>
      <c r="Z48676" s="258"/>
    </row>
    <row r="48677" spans="1:26" ht="12.75" customHeight="1" x14ac:dyDescent="0.2">
      <c r="A48677" s="258"/>
      <c r="Z48677" s="258"/>
    </row>
    <row r="48678" spans="1:26" ht="12.75" customHeight="1" x14ac:dyDescent="0.2">
      <c r="A48678" s="258"/>
      <c r="Z48678" s="258"/>
    </row>
    <row r="48679" spans="1:26" ht="12.75" customHeight="1" x14ac:dyDescent="0.2">
      <c r="A48679" s="258"/>
      <c r="Z48679" s="258"/>
    </row>
    <row r="48680" spans="1:26" ht="12.75" customHeight="1" x14ac:dyDescent="0.2">
      <c r="A48680" s="258"/>
      <c r="Z48680" s="258"/>
    </row>
    <row r="48681" spans="1:26" ht="12.75" customHeight="1" x14ac:dyDescent="0.2">
      <c r="A48681" s="258"/>
      <c r="Z48681" s="258"/>
    </row>
    <row r="48682" spans="1:26" ht="12.75" customHeight="1" x14ac:dyDescent="0.2">
      <c r="A48682" s="258"/>
      <c r="Z48682" s="258"/>
    </row>
    <row r="48683" spans="1:26" ht="12.75" customHeight="1" x14ac:dyDescent="0.2">
      <c r="A48683" s="258"/>
      <c r="Z48683" s="258"/>
    </row>
    <row r="48684" spans="1:26" ht="12.75" customHeight="1" x14ac:dyDescent="0.2">
      <c r="A48684" s="258"/>
      <c r="Z48684" s="258"/>
    </row>
    <row r="48685" spans="1:26" ht="12.75" customHeight="1" x14ac:dyDescent="0.2">
      <c r="A48685" s="258"/>
      <c r="Z48685" s="258"/>
    </row>
    <row r="48686" spans="1:26" ht="12.75" customHeight="1" x14ac:dyDescent="0.2">
      <c r="A48686" s="258"/>
      <c r="Z48686" s="258"/>
    </row>
    <row r="48687" spans="1:26" ht="12.75" customHeight="1" x14ac:dyDescent="0.2">
      <c r="A48687" s="258"/>
      <c r="Z48687" s="258"/>
    </row>
    <row r="48688" spans="1:26" ht="12.75" customHeight="1" x14ac:dyDescent="0.2">
      <c r="A48688" s="258"/>
      <c r="Z48688" s="258"/>
    </row>
    <row r="48689" spans="1:26" ht="12.75" customHeight="1" x14ac:dyDescent="0.2">
      <c r="A48689" s="258"/>
      <c r="Z48689" s="258"/>
    </row>
    <row r="48690" spans="1:26" ht="12.75" customHeight="1" x14ac:dyDescent="0.2">
      <c r="A48690" s="258"/>
      <c r="Z48690" s="258"/>
    </row>
    <row r="48691" spans="1:26" ht="12.75" customHeight="1" x14ac:dyDescent="0.2">
      <c r="A48691" s="258"/>
      <c r="Z48691" s="258"/>
    </row>
    <row r="48692" spans="1:26" ht="12.75" customHeight="1" x14ac:dyDescent="0.2">
      <c r="A48692" s="258"/>
      <c r="Z48692" s="258"/>
    </row>
    <row r="48693" spans="1:26" ht="12.75" customHeight="1" x14ac:dyDescent="0.2">
      <c r="A48693" s="258"/>
      <c r="Z48693" s="258"/>
    </row>
    <row r="48694" spans="1:26" ht="12.75" customHeight="1" x14ac:dyDescent="0.2">
      <c r="A48694" s="258"/>
      <c r="Z48694" s="258"/>
    </row>
    <row r="48695" spans="1:26" ht="12.75" customHeight="1" x14ac:dyDescent="0.2">
      <c r="A48695" s="258"/>
      <c r="Z48695" s="258"/>
    </row>
    <row r="48696" spans="1:26" ht="12.75" customHeight="1" x14ac:dyDescent="0.2">
      <c r="A48696" s="258"/>
      <c r="Z48696" s="258"/>
    </row>
    <row r="48697" spans="1:26" ht="12.75" customHeight="1" x14ac:dyDescent="0.2">
      <c r="A48697" s="258"/>
      <c r="Z48697" s="258"/>
    </row>
    <row r="48698" spans="1:26" ht="12.75" customHeight="1" x14ac:dyDescent="0.2">
      <c r="A48698" s="258"/>
      <c r="Z48698" s="258"/>
    </row>
    <row r="48699" spans="1:26" ht="12.75" customHeight="1" x14ac:dyDescent="0.2">
      <c r="A48699" s="258"/>
      <c r="Z48699" s="258"/>
    </row>
    <row r="48700" spans="1:26" ht="12.75" customHeight="1" x14ac:dyDescent="0.2">
      <c r="A48700" s="258"/>
      <c r="Z48700" s="258"/>
    </row>
    <row r="48701" spans="1:26" ht="12.75" customHeight="1" x14ac:dyDescent="0.2">
      <c r="A48701" s="258"/>
      <c r="Z48701" s="258"/>
    </row>
    <row r="48702" spans="1:26" ht="12.75" customHeight="1" x14ac:dyDescent="0.2">
      <c r="A48702" s="258"/>
      <c r="Z48702" s="258"/>
    </row>
    <row r="48703" spans="1:26" ht="12.75" customHeight="1" x14ac:dyDescent="0.2">
      <c r="A48703" s="258"/>
      <c r="Z48703" s="258"/>
    </row>
    <row r="48704" spans="1:26" ht="12.75" customHeight="1" x14ac:dyDescent="0.2">
      <c r="A48704" s="258"/>
      <c r="Z48704" s="258"/>
    </row>
    <row r="48705" spans="1:26" ht="12.75" customHeight="1" x14ac:dyDescent="0.2">
      <c r="A48705" s="258"/>
      <c r="Z48705" s="258"/>
    </row>
    <row r="48706" spans="1:26" ht="12.75" customHeight="1" x14ac:dyDescent="0.2">
      <c r="A48706" s="258"/>
      <c r="Z48706" s="258"/>
    </row>
    <row r="48707" spans="1:26" ht="12.75" customHeight="1" x14ac:dyDescent="0.2">
      <c r="A48707" s="258"/>
      <c r="Z48707" s="258"/>
    </row>
    <row r="48708" spans="1:26" ht="12.75" customHeight="1" x14ac:dyDescent="0.2">
      <c r="A48708" s="258"/>
      <c r="Z48708" s="258"/>
    </row>
    <row r="48709" spans="1:26" ht="12.75" customHeight="1" x14ac:dyDescent="0.2">
      <c r="A48709" s="258"/>
      <c r="Z48709" s="258"/>
    </row>
    <row r="48710" spans="1:26" ht="12.75" customHeight="1" x14ac:dyDescent="0.2">
      <c r="A48710" s="258"/>
      <c r="Z48710" s="258"/>
    </row>
    <row r="48711" spans="1:26" ht="12.75" customHeight="1" x14ac:dyDescent="0.2">
      <c r="A48711" s="258"/>
      <c r="Z48711" s="258"/>
    </row>
    <row r="48712" spans="1:26" ht="12.75" customHeight="1" x14ac:dyDescent="0.2">
      <c r="A48712" s="258"/>
      <c r="Z48712" s="258"/>
    </row>
    <row r="48713" spans="1:26" ht="12.75" customHeight="1" x14ac:dyDescent="0.2">
      <c r="A48713" s="258"/>
      <c r="Z48713" s="258"/>
    </row>
    <row r="48714" spans="1:26" ht="12.75" customHeight="1" x14ac:dyDescent="0.2">
      <c r="A48714" s="258"/>
      <c r="Z48714" s="258"/>
    </row>
    <row r="48715" spans="1:26" ht="12.75" customHeight="1" x14ac:dyDescent="0.2">
      <c r="A48715" s="258"/>
      <c r="Z48715" s="258"/>
    </row>
    <row r="48716" spans="1:26" ht="12.75" customHeight="1" x14ac:dyDescent="0.2">
      <c r="A48716" s="258"/>
      <c r="Z48716" s="258"/>
    </row>
    <row r="48717" spans="1:26" ht="12.75" customHeight="1" x14ac:dyDescent="0.2">
      <c r="A48717" s="258"/>
      <c r="Z48717" s="258"/>
    </row>
    <row r="48718" spans="1:26" ht="12.75" customHeight="1" x14ac:dyDescent="0.2">
      <c r="A48718" s="258"/>
      <c r="Z48718" s="258"/>
    </row>
    <row r="48719" spans="1:26" ht="12.75" customHeight="1" x14ac:dyDescent="0.2">
      <c r="A48719" s="258"/>
      <c r="Z48719" s="258"/>
    </row>
    <row r="48720" spans="1:26" ht="12.75" customHeight="1" x14ac:dyDescent="0.2">
      <c r="A48720" s="258"/>
      <c r="Z48720" s="258"/>
    </row>
    <row r="48721" spans="1:26" ht="12.75" customHeight="1" x14ac:dyDescent="0.2">
      <c r="A48721" s="258"/>
      <c r="Z48721" s="258"/>
    </row>
    <row r="48722" spans="1:26" ht="12.75" customHeight="1" x14ac:dyDescent="0.2">
      <c r="A48722" s="258"/>
      <c r="Z48722" s="258"/>
    </row>
    <row r="48723" spans="1:26" ht="12.75" customHeight="1" x14ac:dyDescent="0.2">
      <c r="A48723" s="258"/>
      <c r="Z48723" s="258"/>
    </row>
    <row r="48724" spans="1:26" ht="12.75" customHeight="1" x14ac:dyDescent="0.2">
      <c r="A48724" s="258"/>
      <c r="Z48724" s="258"/>
    </row>
    <row r="48725" spans="1:26" ht="12.75" customHeight="1" x14ac:dyDescent="0.2">
      <c r="A48725" s="258"/>
      <c r="Z48725" s="258"/>
    </row>
    <row r="48726" spans="1:26" ht="12.75" customHeight="1" x14ac:dyDescent="0.2">
      <c r="A48726" s="258"/>
      <c r="Z48726" s="258"/>
    </row>
    <row r="48727" spans="1:26" ht="12.75" customHeight="1" x14ac:dyDescent="0.2">
      <c r="A48727" s="258"/>
      <c r="Z48727" s="258"/>
    </row>
    <row r="48728" spans="1:26" ht="12.75" customHeight="1" x14ac:dyDescent="0.2">
      <c r="A48728" s="258"/>
      <c r="Z48728" s="258"/>
    </row>
    <row r="48729" spans="1:26" ht="12.75" customHeight="1" x14ac:dyDescent="0.2">
      <c r="A48729" s="258"/>
      <c r="Z48729" s="258"/>
    </row>
    <row r="48730" spans="1:26" ht="12.75" customHeight="1" x14ac:dyDescent="0.2">
      <c r="A48730" s="258"/>
      <c r="Z48730" s="258"/>
    </row>
    <row r="48731" spans="1:26" ht="12.75" customHeight="1" x14ac:dyDescent="0.2">
      <c r="A48731" s="258"/>
      <c r="Z48731" s="258"/>
    </row>
    <row r="48732" spans="1:26" ht="12.75" customHeight="1" x14ac:dyDescent="0.2">
      <c r="A48732" s="258"/>
      <c r="Z48732" s="258"/>
    </row>
    <row r="48733" spans="1:26" ht="12.75" customHeight="1" x14ac:dyDescent="0.2">
      <c r="A48733" s="258"/>
      <c r="Z48733" s="258"/>
    </row>
    <row r="48734" spans="1:26" ht="12.75" customHeight="1" x14ac:dyDescent="0.2">
      <c r="A48734" s="258"/>
      <c r="Z48734" s="258"/>
    </row>
    <row r="48735" spans="1:26" ht="12.75" customHeight="1" x14ac:dyDescent="0.2">
      <c r="A48735" s="258"/>
      <c r="Z48735" s="258"/>
    </row>
    <row r="48736" spans="1:26" ht="12.75" customHeight="1" x14ac:dyDescent="0.2">
      <c r="A48736" s="258"/>
      <c r="Z48736" s="258"/>
    </row>
    <row r="48737" spans="1:26" ht="12.75" customHeight="1" x14ac:dyDescent="0.2">
      <c r="A48737" s="258"/>
      <c r="Z48737" s="258"/>
    </row>
    <row r="48738" spans="1:26" ht="12.75" customHeight="1" x14ac:dyDescent="0.2">
      <c r="A48738" s="258"/>
      <c r="Z48738" s="258"/>
    </row>
    <row r="48739" spans="1:26" ht="12.75" customHeight="1" x14ac:dyDescent="0.2">
      <c r="A48739" s="258"/>
      <c r="Z48739" s="258"/>
    </row>
    <row r="48740" spans="1:26" ht="12.75" customHeight="1" x14ac:dyDescent="0.2">
      <c r="A48740" s="258"/>
      <c r="Z48740" s="258"/>
    </row>
    <row r="48741" spans="1:26" ht="12.75" customHeight="1" x14ac:dyDescent="0.2">
      <c r="A48741" s="258"/>
      <c r="Z48741" s="258"/>
    </row>
    <row r="48742" spans="1:26" ht="12.75" customHeight="1" x14ac:dyDescent="0.2">
      <c r="A48742" s="258"/>
      <c r="Z48742" s="258"/>
    </row>
    <row r="48743" spans="1:26" ht="12.75" customHeight="1" x14ac:dyDescent="0.2">
      <c r="A48743" s="258"/>
      <c r="Z48743" s="258"/>
    </row>
    <row r="48744" spans="1:26" ht="12.75" customHeight="1" x14ac:dyDescent="0.2">
      <c r="A48744" s="258"/>
      <c r="Z48744" s="258"/>
    </row>
    <row r="48745" spans="1:26" ht="12.75" customHeight="1" x14ac:dyDescent="0.2">
      <c r="A48745" s="258"/>
      <c r="Z48745" s="258"/>
    </row>
    <row r="48746" spans="1:26" ht="12.75" customHeight="1" x14ac:dyDescent="0.2">
      <c r="A48746" s="258"/>
      <c r="Z48746" s="258"/>
    </row>
    <row r="48747" spans="1:26" ht="12.75" customHeight="1" x14ac:dyDescent="0.2">
      <c r="A48747" s="258"/>
      <c r="Z48747" s="258"/>
    </row>
    <row r="48748" spans="1:26" ht="12.75" customHeight="1" x14ac:dyDescent="0.2">
      <c r="A48748" s="258"/>
      <c r="Z48748" s="258"/>
    </row>
    <row r="48749" spans="1:26" ht="12.75" customHeight="1" x14ac:dyDescent="0.2">
      <c r="A48749" s="258"/>
      <c r="Z48749" s="258"/>
    </row>
    <row r="48750" spans="1:26" ht="12.75" customHeight="1" x14ac:dyDescent="0.2">
      <c r="A48750" s="258"/>
      <c r="Z48750" s="258"/>
    </row>
    <row r="48751" spans="1:26" ht="12.75" customHeight="1" x14ac:dyDescent="0.2">
      <c r="A48751" s="258"/>
      <c r="Z48751" s="258"/>
    </row>
    <row r="48752" spans="1:26" ht="12.75" customHeight="1" x14ac:dyDescent="0.2">
      <c r="A48752" s="258"/>
      <c r="Z48752" s="258"/>
    </row>
    <row r="48753" spans="1:26" ht="12.75" customHeight="1" x14ac:dyDescent="0.2">
      <c r="A48753" s="258"/>
      <c r="Z48753" s="258"/>
    </row>
    <row r="48754" spans="1:26" ht="12.75" customHeight="1" x14ac:dyDescent="0.2">
      <c r="A48754" s="258"/>
      <c r="Z48754" s="258"/>
    </row>
    <row r="48755" spans="1:26" ht="12.75" customHeight="1" x14ac:dyDescent="0.2">
      <c r="A48755" s="258"/>
      <c r="Z48755" s="258"/>
    </row>
    <row r="48756" spans="1:26" ht="12.75" customHeight="1" x14ac:dyDescent="0.2">
      <c r="A48756" s="258"/>
      <c r="Z48756" s="258"/>
    </row>
    <row r="48757" spans="1:26" ht="12.75" customHeight="1" x14ac:dyDescent="0.2">
      <c r="A48757" s="258"/>
      <c r="Z48757" s="258"/>
    </row>
    <row r="48758" spans="1:26" ht="12.75" customHeight="1" x14ac:dyDescent="0.2">
      <c r="A48758" s="258"/>
      <c r="Z48758" s="258"/>
    </row>
    <row r="48759" spans="1:26" ht="12.75" customHeight="1" x14ac:dyDescent="0.2">
      <c r="A48759" s="258"/>
      <c r="Z48759" s="258"/>
    </row>
    <row r="48760" spans="1:26" ht="12.75" customHeight="1" x14ac:dyDescent="0.2">
      <c r="A48760" s="258"/>
      <c r="Z48760" s="258"/>
    </row>
    <row r="48761" spans="1:26" ht="12.75" customHeight="1" x14ac:dyDescent="0.2">
      <c r="A48761" s="258"/>
      <c r="Z48761" s="258"/>
    </row>
    <row r="48762" spans="1:26" ht="12.75" customHeight="1" x14ac:dyDescent="0.2">
      <c r="A48762" s="258"/>
      <c r="Z48762" s="258"/>
    </row>
    <row r="48763" spans="1:26" ht="12.75" customHeight="1" x14ac:dyDescent="0.2">
      <c r="A48763" s="258"/>
      <c r="Z48763" s="258"/>
    </row>
    <row r="48764" spans="1:26" ht="12.75" customHeight="1" x14ac:dyDescent="0.2">
      <c r="A48764" s="258"/>
      <c r="Z48764" s="258"/>
    </row>
    <row r="48765" spans="1:26" ht="12.75" customHeight="1" x14ac:dyDescent="0.2">
      <c r="A48765" s="258"/>
      <c r="Z48765" s="258"/>
    </row>
    <row r="48766" spans="1:26" ht="12.75" customHeight="1" x14ac:dyDescent="0.2">
      <c r="A48766" s="258"/>
      <c r="Z48766" s="258"/>
    </row>
    <row r="48767" spans="1:26" ht="12.75" customHeight="1" x14ac:dyDescent="0.2">
      <c r="A48767" s="258"/>
      <c r="Z48767" s="258"/>
    </row>
    <row r="48768" spans="1:26" ht="12.75" customHeight="1" x14ac:dyDescent="0.2">
      <c r="A48768" s="258"/>
      <c r="Z48768" s="258"/>
    </row>
    <row r="48769" spans="1:26" ht="12.75" customHeight="1" x14ac:dyDescent="0.2">
      <c r="A48769" s="258"/>
      <c r="Z48769" s="258"/>
    </row>
    <row r="48770" spans="1:26" ht="12.75" customHeight="1" x14ac:dyDescent="0.2">
      <c r="A48770" s="258"/>
      <c r="Z48770" s="258"/>
    </row>
    <row r="48771" spans="1:26" ht="12.75" customHeight="1" x14ac:dyDescent="0.2">
      <c r="A48771" s="258"/>
      <c r="Z48771" s="258"/>
    </row>
    <row r="48772" spans="1:26" ht="12.75" customHeight="1" x14ac:dyDescent="0.2">
      <c r="A48772" s="258"/>
      <c r="Z48772" s="258"/>
    </row>
    <row r="48773" spans="1:26" ht="12.75" customHeight="1" x14ac:dyDescent="0.2">
      <c r="A48773" s="258"/>
      <c r="Z48773" s="258"/>
    </row>
    <row r="48774" spans="1:26" ht="12.75" customHeight="1" x14ac:dyDescent="0.2">
      <c r="A48774" s="258"/>
      <c r="Z48774" s="258"/>
    </row>
    <row r="48775" spans="1:26" ht="12.75" customHeight="1" x14ac:dyDescent="0.2">
      <c r="A48775" s="258"/>
      <c r="Z48775" s="258"/>
    </row>
    <row r="48776" spans="1:26" ht="12.75" customHeight="1" x14ac:dyDescent="0.2">
      <c r="A48776" s="258"/>
      <c r="Z48776" s="258"/>
    </row>
    <row r="48777" spans="1:26" ht="12.75" customHeight="1" x14ac:dyDescent="0.2">
      <c r="A48777" s="258"/>
      <c r="Z48777" s="258"/>
    </row>
    <row r="48778" spans="1:26" ht="12.75" customHeight="1" x14ac:dyDescent="0.2">
      <c r="A48778" s="258"/>
      <c r="Z48778" s="258"/>
    </row>
    <row r="48779" spans="1:26" ht="12.75" customHeight="1" x14ac:dyDescent="0.2">
      <c r="A48779" s="258"/>
      <c r="Z48779" s="258"/>
    </row>
    <row r="48780" spans="1:26" ht="12.75" customHeight="1" x14ac:dyDescent="0.2">
      <c r="A48780" s="258"/>
      <c r="Z48780" s="258"/>
    </row>
    <row r="48781" spans="1:26" ht="12.75" customHeight="1" x14ac:dyDescent="0.2">
      <c r="A48781" s="258"/>
      <c r="Z48781" s="258"/>
    </row>
    <row r="48782" spans="1:26" ht="12.75" customHeight="1" x14ac:dyDescent="0.2">
      <c r="A48782" s="258"/>
      <c r="Z48782" s="258"/>
    </row>
    <row r="48783" spans="1:26" ht="12.75" customHeight="1" x14ac:dyDescent="0.2">
      <c r="A48783" s="258"/>
      <c r="Z48783" s="258"/>
    </row>
    <row r="48784" spans="1:26" ht="12.75" customHeight="1" x14ac:dyDescent="0.2">
      <c r="A48784" s="258"/>
      <c r="Z48784" s="258"/>
    </row>
    <row r="48785" spans="1:26" ht="12.75" customHeight="1" x14ac:dyDescent="0.2">
      <c r="A48785" s="258"/>
      <c r="Z48785" s="258"/>
    </row>
    <row r="48786" spans="1:26" ht="12.75" customHeight="1" x14ac:dyDescent="0.2">
      <c r="A48786" s="258"/>
      <c r="Z48786" s="258"/>
    </row>
    <row r="48787" spans="1:26" ht="12.75" customHeight="1" x14ac:dyDescent="0.2">
      <c r="A48787" s="258"/>
      <c r="Z48787" s="258"/>
    </row>
    <row r="48788" spans="1:26" ht="12.75" customHeight="1" x14ac:dyDescent="0.2">
      <c r="A48788" s="258"/>
      <c r="Z48788" s="258"/>
    </row>
    <row r="48789" spans="1:26" ht="12.75" customHeight="1" x14ac:dyDescent="0.2">
      <c r="A48789" s="258"/>
      <c r="Z48789" s="258"/>
    </row>
    <row r="48790" spans="1:26" ht="12.75" customHeight="1" x14ac:dyDescent="0.2">
      <c r="A48790" s="258"/>
      <c r="Z48790" s="258"/>
    </row>
    <row r="48791" spans="1:26" ht="12.75" customHeight="1" x14ac:dyDescent="0.2">
      <c r="A48791" s="258"/>
      <c r="Z48791" s="258"/>
    </row>
    <row r="48792" spans="1:26" ht="12.75" customHeight="1" x14ac:dyDescent="0.2">
      <c r="A48792" s="258"/>
      <c r="Z48792" s="258"/>
    </row>
    <row r="48793" spans="1:26" ht="12.75" customHeight="1" x14ac:dyDescent="0.2">
      <c r="A48793" s="258"/>
      <c r="Z48793" s="258"/>
    </row>
    <row r="48794" spans="1:26" ht="12.75" customHeight="1" x14ac:dyDescent="0.2">
      <c r="A48794" s="258"/>
      <c r="Z48794" s="258"/>
    </row>
    <row r="48795" spans="1:26" ht="12.75" customHeight="1" x14ac:dyDescent="0.2">
      <c r="A48795" s="258"/>
      <c r="Z48795" s="258"/>
    </row>
    <row r="48796" spans="1:26" ht="12.75" customHeight="1" x14ac:dyDescent="0.2">
      <c r="A48796" s="258"/>
      <c r="Z48796" s="258"/>
    </row>
    <row r="48797" spans="1:26" ht="12.75" customHeight="1" x14ac:dyDescent="0.2">
      <c r="A48797" s="258"/>
      <c r="Z48797" s="258"/>
    </row>
    <row r="48798" spans="1:26" ht="12.75" customHeight="1" x14ac:dyDescent="0.2">
      <c r="A48798" s="258"/>
      <c r="Z48798" s="258"/>
    </row>
    <row r="48799" spans="1:26" ht="12.75" customHeight="1" x14ac:dyDescent="0.2">
      <c r="A48799" s="258"/>
      <c r="Z48799" s="258"/>
    </row>
    <row r="48800" spans="1:26" ht="12.75" customHeight="1" x14ac:dyDescent="0.2">
      <c r="A48800" s="258"/>
      <c r="Z48800" s="258"/>
    </row>
    <row r="48801" spans="1:26" ht="12.75" customHeight="1" x14ac:dyDescent="0.2">
      <c r="A48801" s="258"/>
      <c r="Z48801" s="258"/>
    </row>
    <row r="48802" spans="1:26" ht="12.75" customHeight="1" x14ac:dyDescent="0.2">
      <c r="A48802" s="258"/>
      <c r="Z48802" s="258"/>
    </row>
    <row r="48803" spans="1:26" ht="12.75" customHeight="1" x14ac:dyDescent="0.2">
      <c r="A48803" s="258"/>
      <c r="Z48803" s="258"/>
    </row>
    <row r="48804" spans="1:26" ht="12.75" customHeight="1" x14ac:dyDescent="0.2">
      <c r="A48804" s="258"/>
      <c r="Z48804" s="258"/>
    </row>
    <row r="48805" spans="1:26" ht="12.75" customHeight="1" x14ac:dyDescent="0.2">
      <c r="A48805" s="258"/>
      <c r="Z48805" s="258"/>
    </row>
    <row r="48806" spans="1:26" ht="12.75" customHeight="1" x14ac:dyDescent="0.2">
      <c r="A48806" s="258"/>
      <c r="Z48806" s="258"/>
    </row>
    <row r="48807" spans="1:26" ht="12.75" customHeight="1" x14ac:dyDescent="0.2">
      <c r="A48807" s="258"/>
      <c r="Z48807" s="258"/>
    </row>
    <row r="48808" spans="1:26" ht="12.75" customHeight="1" x14ac:dyDescent="0.2">
      <c r="A48808" s="258"/>
      <c r="Z48808" s="258"/>
    </row>
    <row r="48809" spans="1:26" ht="12.75" customHeight="1" x14ac:dyDescent="0.2">
      <c r="A48809" s="258"/>
      <c r="Z48809" s="258"/>
    </row>
    <row r="48810" spans="1:26" ht="12.75" customHeight="1" x14ac:dyDescent="0.2">
      <c r="A48810" s="258"/>
      <c r="Z48810" s="258"/>
    </row>
    <row r="48811" spans="1:26" ht="12.75" customHeight="1" x14ac:dyDescent="0.2">
      <c r="A48811" s="258"/>
      <c r="Z48811" s="258"/>
    </row>
    <row r="48812" spans="1:26" ht="12.75" customHeight="1" x14ac:dyDescent="0.2">
      <c r="A48812" s="258"/>
      <c r="Z48812" s="258"/>
    </row>
    <row r="48813" spans="1:26" ht="12.75" customHeight="1" x14ac:dyDescent="0.2">
      <c r="A48813" s="258"/>
      <c r="Z48813" s="258"/>
    </row>
    <row r="48814" spans="1:26" ht="12.75" customHeight="1" x14ac:dyDescent="0.2">
      <c r="A48814" s="258"/>
      <c r="Z48814" s="258"/>
    </row>
    <row r="48815" spans="1:26" ht="12.75" customHeight="1" x14ac:dyDescent="0.2">
      <c r="A48815" s="258"/>
      <c r="Z48815" s="258"/>
    </row>
    <row r="48816" spans="1:26" ht="12.75" customHeight="1" x14ac:dyDescent="0.2">
      <c r="A48816" s="258"/>
      <c r="Z48816" s="258"/>
    </row>
    <row r="48817" spans="1:26" ht="12.75" customHeight="1" x14ac:dyDescent="0.2">
      <c r="A48817" s="258"/>
      <c r="Z48817" s="258"/>
    </row>
    <row r="48818" spans="1:26" ht="12.75" customHeight="1" x14ac:dyDescent="0.2">
      <c r="A48818" s="258"/>
      <c r="Z48818" s="258"/>
    </row>
    <row r="48819" spans="1:26" ht="12.75" customHeight="1" x14ac:dyDescent="0.2">
      <c r="A48819" s="258"/>
      <c r="Z48819" s="258"/>
    </row>
    <row r="48820" spans="1:26" ht="12.75" customHeight="1" x14ac:dyDescent="0.2">
      <c r="A48820" s="258"/>
      <c r="Z48820" s="258"/>
    </row>
    <row r="48821" spans="1:26" ht="12.75" customHeight="1" x14ac:dyDescent="0.2">
      <c r="A48821" s="258"/>
      <c r="Z48821" s="258"/>
    </row>
    <row r="48822" spans="1:26" ht="12.75" customHeight="1" x14ac:dyDescent="0.2">
      <c r="A48822" s="258"/>
      <c r="Z48822" s="258"/>
    </row>
    <row r="48823" spans="1:26" ht="12.75" customHeight="1" x14ac:dyDescent="0.2">
      <c r="A48823" s="258"/>
      <c r="Z48823" s="258"/>
    </row>
    <row r="48824" spans="1:26" ht="12.75" customHeight="1" x14ac:dyDescent="0.2">
      <c r="A48824" s="258"/>
      <c r="Z48824" s="258"/>
    </row>
    <row r="48825" spans="1:26" ht="12.75" customHeight="1" x14ac:dyDescent="0.2">
      <c r="A48825" s="258"/>
      <c r="Z48825" s="258"/>
    </row>
    <row r="48826" spans="1:26" ht="12.75" customHeight="1" x14ac:dyDescent="0.2">
      <c r="A48826" s="258"/>
      <c r="Z48826" s="258"/>
    </row>
    <row r="48827" spans="1:26" ht="12.75" customHeight="1" x14ac:dyDescent="0.2">
      <c r="A48827" s="258"/>
      <c r="Z48827" s="258"/>
    </row>
    <row r="48828" spans="1:26" ht="12.75" customHeight="1" x14ac:dyDescent="0.2">
      <c r="A48828" s="258"/>
      <c r="Z48828" s="258"/>
    </row>
    <row r="48829" spans="1:26" ht="12.75" customHeight="1" x14ac:dyDescent="0.2">
      <c r="A48829" s="258"/>
      <c r="Z48829" s="258"/>
    </row>
    <row r="48830" spans="1:26" ht="12.75" customHeight="1" x14ac:dyDescent="0.2">
      <c r="A48830" s="258"/>
      <c r="Z48830" s="258"/>
    </row>
    <row r="48831" spans="1:26" ht="12.75" customHeight="1" x14ac:dyDescent="0.2">
      <c r="A48831" s="258"/>
      <c r="Z48831" s="258"/>
    </row>
    <row r="48832" spans="1:26" ht="12.75" customHeight="1" x14ac:dyDescent="0.2">
      <c r="A48832" s="258"/>
      <c r="Z48832" s="258"/>
    </row>
    <row r="48833" spans="1:26" ht="12.75" customHeight="1" x14ac:dyDescent="0.2">
      <c r="A48833" s="258"/>
      <c r="Z48833" s="258"/>
    </row>
    <row r="48834" spans="1:26" ht="12.75" customHeight="1" x14ac:dyDescent="0.2">
      <c r="A48834" s="258"/>
      <c r="Z48834" s="258"/>
    </row>
    <row r="48835" spans="1:26" ht="12.75" customHeight="1" x14ac:dyDescent="0.2">
      <c r="A48835" s="258"/>
      <c r="Z48835" s="258"/>
    </row>
    <row r="48836" spans="1:26" ht="12.75" customHeight="1" x14ac:dyDescent="0.2">
      <c r="A48836" s="258"/>
      <c r="Z48836" s="258"/>
    </row>
    <row r="48837" spans="1:26" ht="12.75" customHeight="1" x14ac:dyDescent="0.2">
      <c r="A48837" s="258"/>
      <c r="Z48837" s="258"/>
    </row>
    <row r="48838" spans="1:26" ht="12.75" customHeight="1" x14ac:dyDescent="0.2">
      <c r="A48838" s="258"/>
      <c r="Z48838" s="258"/>
    </row>
    <row r="48839" spans="1:26" ht="12.75" customHeight="1" x14ac:dyDescent="0.2">
      <c r="A48839" s="258"/>
      <c r="Z48839" s="258"/>
    </row>
    <row r="48840" spans="1:26" ht="12.75" customHeight="1" x14ac:dyDescent="0.2">
      <c r="A48840" s="258"/>
      <c r="Z48840" s="258"/>
    </row>
    <row r="48841" spans="1:26" ht="12.75" customHeight="1" x14ac:dyDescent="0.2">
      <c r="A48841" s="258"/>
      <c r="Z48841" s="258"/>
    </row>
    <row r="48842" spans="1:26" ht="12.75" customHeight="1" x14ac:dyDescent="0.2">
      <c r="A48842" s="258"/>
      <c r="Z48842" s="258"/>
    </row>
    <row r="48843" spans="1:26" ht="12.75" customHeight="1" x14ac:dyDescent="0.2">
      <c r="A48843" s="258"/>
      <c r="Z48843" s="258"/>
    </row>
    <row r="48844" spans="1:26" ht="12.75" customHeight="1" x14ac:dyDescent="0.2">
      <c r="A48844" s="258"/>
      <c r="Z48844" s="258"/>
    </row>
    <row r="48845" spans="1:26" ht="12.75" customHeight="1" x14ac:dyDescent="0.2">
      <c r="A48845" s="258"/>
      <c r="Z48845" s="258"/>
    </row>
    <row r="48846" spans="1:26" ht="12.75" customHeight="1" x14ac:dyDescent="0.2">
      <c r="A48846" s="258"/>
      <c r="Z48846" s="258"/>
    </row>
    <row r="48847" spans="1:26" ht="12.75" customHeight="1" x14ac:dyDescent="0.2">
      <c r="A48847" s="258"/>
      <c r="Z48847" s="258"/>
    </row>
    <row r="48848" spans="1:26" ht="12.75" customHeight="1" x14ac:dyDescent="0.2">
      <c r="A48848" s="258"/>
      <c r="Z48848" s="258"/>
    </row>
    <row r="48849" spans="1:26" ht="12.75" customHeight="1" x14ac:dyDescent="0.2">
      <c r="A48849" s="258"/>
      <c r="Z48849" s="258"/>
    </row>
    <row r="48850" spans="1:26" ht="12.75" customHeight="1" x14ac:dyDescent="0.2">
      <c r="A48850" s="258"/>
      <c r="Z48850" s="258"/>
    </row>
    <row r="48851" spans="1:26" ht="12.75" customHeight="1" x14ac:dyDescent="0.2">
      <c r="A48851" s="258"/>
      <c r="Z48851" s="258"/>
    </row>
    <row r="48852" spans="1:26" ht="12.75" customHeight="1" x14ac:dyDescent="0.2">
      <c r="A48852" s="258"/>
      <c r="Z48852" s="258"/>
    </row>
    <row r="48853" spans="1:26" ht="12.75" customHeight="1" x14ac:dyDescent="0.2">
      <c r="A48853" s="258"/>
      <c r="Z48853" s="258"/>
    </row>
    <row r="48854" spans="1:26" ht="12.75" customHeight="1" x14ac:dyDescent="0.2">
      <c r="A48854" s="258"/>
      <c r="Z48854" s="258"/>
    </row>
    <row r="48855" spans="1:26" ht="12.75" customHeight="1" x14ac:dyDescent="0.2">
      <c r="A48855" s="258"/>
      <c r="Z48855" s="258"/>
    </row>
    <row r="48856" spans="1:26" ht="12.75" customHeight="1" x14ac:dyDescent="0.2">
      <c r="A48856" s="258"/>
      <c r="Z48856" s="258"/>
    </row>
    <row r="48857" spans="1:26" ht="12.75" customHeight="1" x14ac:dyDescent="0.2">
      <c r="A48857" s="258"/>
      <c r="Z48857" s="258"/>
    </row>
    <row r="48858" spans="1:26" ht="12.75" customHeight="1" x14ac:dyDescent="0.2">
      <c r="A48858" s="258"/>
      <c r="Z48858" s="258"/>
    </row>
    <row r="48859" spans="1:26" ht="12.75" customHeight="1" x14ac:dyDescent="0.2">
      <c r="A48859" s="258"/>
      <c r="Z48859" s="258"/>
    </row>
    <row r="48860" spans="1:26" ht="12.75" customHeight="1" x14ac:dyDescent="0.2">
      <c r="A48860" s="258"/>
      <c r="Z48860" s="258"/>
    </row>
    <row r="48861" spans="1:26" ht="12.75" customHeight="1" x14ac:dyDescent="0.2">
      <c r="A48861" s="258"/>
      <c r="Z48861" s="258"/>
    </row>
    <row r="48862" spans="1:26" ht="12.75" customHeight="1" x14ac:dyDescent="0.2">
      <c r="A48862" s="258"/>
      <c r="Z48862" s="258"/>
    </row>
    <row r="48863" spans="1:26" ht="12.75" customHeight="1" x14ac:dyDescent="0.2">
      <c r="A48863" s="258"/>
      <c r="Z48863" s="258"/>
    </row>
    <row r="48864" spans="1:26" ht="12.75" customHeight="1" x14ac:dyDescent="0.2">
      <c r="A48864" s="258"/>
      <c r="Z48864" s="258"/>
    </row>
    <row r="48865" spans="1:26" ht="12.75" customHeight="1" x14ac:dyDescent="0.2">
      <c r="A48865" s="258"/>
      <c r="Z48865" s="258"/>
    </row>
    <row r="48866" spans="1:26" ht="12.75" customHeight="1" x14ac:dyDescent="0.2">
      <c r="A48866" s="258"/>
      <c r="Z48866" s="258"/>
    </row>
    <row r="48867" spans="1:26" ht="12.75" customHeight="1" x14ac:dyDescent="0.2">
      <c r="A48867" s="258"/>
      <c r="Z48867" s="258"/>
    </row>
    <row r="48868" spans="1:26" ht="12.75" customHeight="1" x14ac:dyDescent="0.2">
      <c r="A48868" s="258"/>
      <c r="Z48868" s="258"/>
    </row>
    <row r="48869" spans="1:26" ht="12.75" customHeight="1" x14ac:dyDescent="0.2">
      <c r="A48869" s="258"/>
      <c r="Z48869" s="258"/>
    </row>
    <row r="48870" spans="1:26" ht="12.75" customHeight="1" x14ac:dyDescent="0.2">
      <c r="A48870" s="258"/>
      <c r="Z48870" s="258"/>
    </row>
    <row r="48871" spans="1:26" ht="12.75" customHeight="1" x14ac:dyDescent="0.2">
      <c r="A48871" s="258"/>
      <c r="Z48871" s="258"/>
    </row>
    <row r="48872" spans="1:26" ht="12.75" customHeight="1" x14ac:dyDescent="0.2">
      <c r="A48872" s="258"/>
      <c r="Z48872" s="258"/>
    </row>
    <row r="48873" spans="1:26" ht="12.75" customHeight="1" x14ac:dyDescent="0.2">
      <c r="A48873" s="258"/>
      <c r="Z48873" s="258"/>
    </row>
    <row r="48874" spans="1:26" ht="12.75" customHeight="1" x14ac:dyDescent="0.2">
      <c r="A48874" s="258"/>
      <c r="Z48874" s="258"/>
    </row>
    <row r="48875" spans="1:26" ht="12.75" customHeight="1" x14ac:dyDescent="0.2">
      <c r="A48875" s="258"/>
      <c r="Z48875" s="258"/>
    </row>
    <row r="48876" spans="1:26" ht="12.75" customHeight="1" x14ac:dyDescent="0.2">
      <c r="A48876" s="258"/>
      <c r="Z48876" s="258"/>
    </row>
    <row r="48877" spans="1:26" ht="12.75" customHeight="1" x14ac:dyDescent="0.2">
      <c r="A48877" s="258"/>
      <c r="Z48877" s="258"/>
    </row>
    <row r="48878" spans="1:26" ht="12.75" customHeight="1" x14ac:dyDescent="0.2">
      <c r="A48878" s="258"/>
      <c r="Z48878" s="258"/>
    </row>
    <row r="48879" spans="1:26" ht="12.75" customHeight="1" x14ac:dyDescent="0.2">
      <c r="A48879" s="258"/>
      <c r="Z48879" s="258"/>
    </row>
    <row r="48880" spans="1:26" ht="12.75" customHeight="1" x14ac:dyDescent="0.2">
      <c r="A48880" s="258"/>
      <c r="Z48880" s="258"/>
    </row>
    <row r="48881" spans="1:26" ht="12.75" customHeight="1" x14ac:dyDescent="0.2">
      <c r="A48881" s="258"/>
      <c r="Z48881" s="258"/>
    </row>
    <row r="48882" spans="1:26" ht="12.75" customHeight="1" x14ac:dyDescent="0.2">
      <c r="A48882" s="258"/>
      <c r="Z48882" s="258"/>
    </row>
    <row r="48883" spans="1:26" ht="12.75" customHeight="1" x14ac:dyDescent="0.2">
      <c r="A48883" s="258"/>
      <c r="Z48883" s="258"/>
    </row>
    <row r="48884" spans="1:26" ht="12.75" customHeight="1" x14ac:dyDescent="0.2">
      <c r="A48884" s="258"/>
      <c r="Z48884" s="258"/>
    </row>
    <row r="48885" spans="1:26" ht="12.75" customHeight="1" x14ac:dyDescent="0.2">
      <c r="A48885" s="258"/>
      <c r="Z48885" s="258"/>
    </row>
    <row r="48886" spans="1:26" ht="12.75" customHeight="1" x14ac:dyDescent="0.2">
      <c r="A48886" s="258"/>
      <c r="Z48886" s="258"/>
    </row>
    <row r="48887" spans="1:26" ht="12.75" customHeight="1" x14ac:dyDescent="0.2">
      <c r="A48887" s="258"/>
      <c r="Z48887" s="258"/>
    </row>
    <row r="48888" spans="1:26" ht="12.75" customHeight="1" x14ac:dyDescent="0.2">
      <c r="A48888" s="258"/>
      <c r="Z48888" s="258"/>
    </row>
    <row r="48889" spans="1:26" ht="12.75" customHeight="1" x14ac:dyDescent="0.2">
      <c r="A48889" s="258"/>
      <c r="Z48889" s="258"/>
    </row>
    <row r="48890" spans="1:26" ht="12.75" customHeight="1" x14ac:dyDescent="0.2">
      <c r="A48890" s="258"/>
      <c r="Z48890" s="258"/>
    </row>
    <row r="48891" spans="1:26" ht="12.75" customHeight="1" x14ac:dyDescent="0.2">
      <c r="A48891" s="258"/>
      <c r="Z48891" s="258"/>
    </row>
    <row r="48892" spans="1:26" ht="12.75" customHeight="1" x14ac:dyDescent="0.2">
      <c r="A48892" s="258"/>
      <c r="Z48892" s="258"/>
    </row>
    <row r="48893" spans="1:26" ht="12.75" customHeight="1" x14ac:dyDescent="0.2">
      <c r="A48893" s="258"/>
      <c r="Z48893" s="258"/>
    </row>
    <row r="48894" spans="1:26" ht="12.75" customHeight="1" x14ac:dyDescent="0.2">
      <c r="A48894" s="258"/>
      <c r="Z48894" s="258"/>
    </row>
    <row r="48895" spans="1:26" ht="12.75" customHeight="1" x14ac:dyDescent="0.2">
      <c r="A48895" s="258"/>
      <c r="Z48895" s="258"/>
    </row>
    <row r="48896" spans="1:26" ht="12.75" customHeight="1" x14ac:dyDescent="0.2">
      <c r="A48896" s="258"/>
      <c r="Z48896" s="258"/>
    </row>
    <row r="48897" spans="1:26" ht="12.75" customHeight="1" x14ac:dyDescent="0.2">
      <c r="A48897" s="258"/>
      <c r="Z48897" s="258"/>
    </row>
    <row r="48898" spans="1:26" ht="12.75" customHeight="1" x14ac:dyDescent="0.2">
      <c r="A48898" s="258"/>
      <c r="Z48898" s="258"/>
    </row>
    <row r="48899" spans="1:26" ht="12.75" customHeight="1" x14ac:dyDescent="0.2">
      <c r="A48899" s="258"/>
      <c r="Z48899" s="258"/>
    </row>
    <row r="48900" spans="1:26" ht="12.75" customHeight="1" x14ac:dyDescent="0.2">
      <c r="A48900" s="258"/>
      <c r="Z48900" s="258"/>
    </row>
    <row r="48901" spans="1:26" ht="12.75" customHeight="1" x14ac:dyDescent="0.2">
      <c r="A48901" s="258"/>
      <c r="Z48901" s="258"/>
    </row>
    <row r="48902" spans="1:26" ht="12.75" customHeight="1" x14ac:dyDescent="0.2">
      <c r="A48902" s="258"/>
      <c r="Z48902" s="258"/>
    </row>
    <row r="48903" spans="1:26" ht="12.75" customHeight="1" x14ac:dyDescent="0.2">
      <c r="A48903" s="258"/>
      <c r="Z48903" s="258"/>
    </row>
    <row r="48904" spans="1:26" ht="12.75" customHeight="1" x14ac:dyDescent="0.2">
      <c r="A48904" s="258"/>
      <c r="Z48904" s="258"/>
    </row>
    <row r="48905" spans="1:26" ht="12.75" customHeight="1" x14ac:dyDescent="0.2">
      <c r="A48905" s="258"/>
      <c r="Z48905" s="258"/>
    </row>
    <row r="48906" spans="1:26" ht="12.75" customHeight="1" x14ac:dyDescent="0.2">
      <c r="A48906" s="258"/>
      <c r="Z48906" s="258"/>
    </row>
    <row r="48907" spans="1:26" ht="12.75" customHeight="1" x14ac:dyDescent="0.2">
      <c r="A48907" s="258"/>
      <c r="Z48907" s="258"/>
    </row>
    <row r="48908" spans="1:26" ht="12.75" customHeight="1" x14ac:dyDescent="0.2">
      <c r="A48908" s="258"/>
      <c r="Z48908" s="258"/>
    </row>
    <row r="48909" spans="1:26" ht="12.75" customHeight="1" x14ac:dyDescent="0.2">
      <c r="A48909" s="258"/>
      <c r="Z48909" s="258"/>
    </row>
    <row r="48910" spans="1:26" ht="12.75" customHeight="1" x14ac:dyDescent="0.2">
      <c r="A48910" s="258"/>
      <c r="Z48910" s="258"/>
    </row>
    <row r="48911" spans="1:26" ht="12.75" customHeight="1" x14ac:dyDescent="0.2">
      <c r="A48911" s="258"/>
      <c r="Z48911" s="258"/>
    </row>
    <row r="48912" spans="1:26" ht="12.75" customHeight="1" x14ac:dyDescent="0.2">
      <c r="A48912" s="258"/>
      <c r="Z48912" s="258"/>
    </row>
    <row r="48913" spans="1:26" ht="12.75" customHeight="1" x14ac:dyDescent="0.2">
      <c r="A48913" s="258"/>
      <c r="Z48913" s="258"/>
    </row>
    <row r="48914" spans="1:26" ht="12.75" customHeight="1" x14ac:dyDescent="0.2">
      <c r="A48914" s="258"/>
      <c r="Z48914" s="258"/>
    </row>
    <row r="48915" spans="1:26" ht="12.75" customHeight="1" x14ac:dyDescent="0.2">
      <c r="A48915" s="258"/>
      <c r="Z48915" s="258"/>
    </row>
    <row r="48916" spans="1:26" ht="12.75" customHeight="1" x14ac:dyDescent="0.2">
      <c r="A48916" s="258"/>
      <c r="Z48916" s="258"/>
    </row>
    <row r="48917" spans="1:26" ht="12.75" customHeight="1" x14ac:dyDescent="0.2">
      <c r="A48917" s="258"/>
      <c r="Z48917" s="258"/>
    </row>
    <row r="48918" spans="1:26" ht="12.75" customHeight="1" x14ac:dyDescent="0.2">
      <c r="A48918" s="258"/>
      <c r="Z48918" s="258"/>
    </row>
    <row r="48919" spans="1:26" ht="12.75" customHeight="1" x14ac:dyDescent="0.2">
      <c r="A48919" s="258"/>
      <c r="Z48919" s="258"/>
    </row>
    <row r="48920" spans="1:26" ht="12.75" customHeight="1" x14ac:dyDescent="0.2">
      <c r="A48920" s="258"/>
      <c r="Z48920" s="258"/>
    </row>
    <row r="48921" spans="1:26" ht="12.75" customHeight="1" x14ac:dyDescent="0.2">
      <c r="A48921" s="258"/>
      <c r="Z48921" s="258"/>
    </row>
    <row r="48922" spans="1:26" ht="12.75" customHeight="1" x14ac:dyDescent="0.2">
      <c r="A48922" s="258"/>
      <c r="Z48922" s="258"/>
    </row>
    <row r="48923" spans="1:26" ht="12.75" customHeight="1" x14ac:dyDescent="0.2">
      <c r="A48923" s="258"/>
      <c r="Z48923" s="258"/>
    </row>
    <row r="48924" spans="1:26" ht="12.75" customHeight="1" x14ac:dyDescent="0.2">
      <c r="A48924" s="258"/>
      <c r="Z48924" s="258"/>
    </row>
    <row r="48925" spans="1:26" ht="12.75" customHeight="1" x14ac:dyDescent="0.2">
      <c r="A48925" s="258"/>
      <c r="Z48925" s="258"/>
    </row>
    <row r="48926" spans="1:26" ht="12.75" customHeight="1" x14ac:dyDescent="0.2">
      <c r="A48926" s="258"/>
      <c r="Z48926" s="258"/>
    </row>
    <row r="48927" spans="1:26" ht="12.75" customHeight="1" x14ac:dyDescent="0.2">
      <c r="A48927" s="258"/>
      <c r="Z48927" s="258"/>
    </row>
    <row r="48928" spans="1:26" ht="12.75" customHeight="1" x14ac:dyDescent="0.2">
      <c r="A48928" s="258"/>
      <c r="Z48928" s="258"/>
    </row>
    <row r="48929" spans="1:26" ht="12.75" customHeight="1" x14ac:dyDescent="0.2">
      <c r="A48929" s="258"/>
      <c r="Z48929" s="258"/>
    </row>
    <row r="48930" spans="1:26" ht="12.75" customHeight="1" x14ac:dyDescent="0.2">
      <c r="A48930" s="258"/>
      <c r="Z48930" s="258"/>
    </row>
    <row r="48931" spans="1:26" ht="12.75" customHeight="1" x14ac:dyDescent="0.2">
      <c r="A48931" s="258"/>
      <c r="Z48931" s="258"/>
    </row>
    <row r="48932" spans="1:26" ht="12.75" customHeight="1" x14ac:dyDescent="0.2">
      <c r="A48932" s="258"/>
      <c r="Z48932" s="258"/>
    </row>
    <row r="48933" spans="1:26" ht="12.75" customHeight="1" x14ac:dyDescent="0.2">
      <c r="A48933" s="258"/>
      <c r="Z48933" s="258"/>
    </row>
    <row r="48934" spans="1:26" ht="12.75" customHeight="1" x14ac:dyDescent="0.2">
      <c r="A48934" s="258"/>
      <c r="Z48934" s="258"/>
    </row>
    <row r="48935" spans="1:26" ht="12.75" customHeight="1" x14ac:dyDescent="0.2">
      <c r="A48935" s="258"/>
      <c r="Z48935" s="258"/>
    </row>
    <row r="48936" spans="1:26" ht="12.75" customHeight="1" x14ac:dyDescent="0.2">
      <c r="A48936" s="258"/>
      <c r="Z48936" s="258"/>
    </row>
    <row r="48937" spans="1:26" ht="12.75" customHeight="1" x14ac:dyDescent="0.2">
      <c r="A48937" s="258"/>
      <c r="Z48937" s="258"/>
    </row>
    <row r="48938" spans="1:26" ht="12.75" customHeight="1" x14ac:dyDescent="0.2">
      <c r="A48938" s="258"/>
      <c r="Z48938" s="258"/>
    </row>
    <row r="48939" spans="1:26" ht="12.75" customHeight="1" x14ac:dyDescent="0.2">
      <c r="A48939" s="258"/>
      <c r="Z48939" s="258"/>
    </row>
    <row r="48940" spans="1:26" ht="12.75" customHeight="1" x14ac:dyDescent="0.2">
      <c r="A48940" s="258"/>
      <c r="Z48940" s="258"/>
    </row>
    <row r="48941" spans="1:26" ht="12.75" customHeight="1" x14ac:dyDescent="0.2">
      <c r="A48941" s="258"/>
      <c r="Z48941" s="258"/>
    </row>
    <row r="48942" spans="1:26" ht="12.75" customHeight="1" x14ac:dyDescent="0.2">
      <c r="A48942" s="258"/>
      <c r="Z48942" s="258"/>
    </row>
    <row r="48943" spans="1:26" ht="12.75" customHeight="1" x14ac:dyDescent="0.2">
      <c r="A48943" s="258"/>
      <c r="Z48943" s="258"/>
    </row>
    <row r="48944" spans="1:26" ht="12.75" customHeight="1" x14ac:dyDescent="0.2">
      <c r="A48944" s="258"/>
      <c r="Z48944" s="258"/>
    </row>
    <row r="48945" spans="1:26" ht="12.75" customHeight="1" x14ac:dyDescent="0.2">
      <c r="A48945" s="258"/>
      <c r="Z48945" s="258"/>
    </row>
    <row r="48946" spans="1:26" ht="12.75" customHeight="1" x14ac:dyDescent="0.2">
      <c r="A48946" s="258"/>
      <c r="Z48946" s="258"/>
    </row>
    <row r="48947" spans="1:26" ht="12.75" customHeight="1" x14ac:dyDescent="0.2">
      <c r="A48947" s="258"/>
      <c r="Z48947" s="258"/>
    </row>
    <row r="48948" spans="1:26" ht="12.75" customHeight="1" x14ac:dyDescent="0.2">
      <c r="A48948" s="258"/>
      <c r="Z48948" s="258"/>
    </row>
    <row r="48949" spans="1:26" ht="12.75" customHeight="1" x14ac:dyDescent="0.2">
      <c r="A48949" s="258"/>
      <c r="Z48949" s="258"/>
    </row>
    <row r="48950" spans="1:26" ht="12.75" customHeight="1" x14ac:dyDescent="0.2">
      <c r="A48950" s="258"/>
      <c r="Z48950" s="258"/>
    </row>
    <row r="48951" spans="1:26" ht="12.75" customHeight="1" x14ac:dyDescent="0.2">
      <c r="A48951" s="258"/>
      <c r="Z48951" s="258"/>
    </row>
    <row r="48952" spans="1:26" ht="12.75" customHeight="1" x14ac:dyDescent="0.2">
      <c r="A48952" s="258"/>
      <c r="Z48952" s="258"/>
    </row>
    <row r="48953" spans="1:26" ht="12.75" customHeight="1" x14ac:dyDescent="0.2">
      <c r="A48953" s="258"/>
      <c r="Z48953" s="258"/>
    </row>
    <row r="48954" spans="1:26" ht="12.75" customHeight="1" x14ac:dyDescent="0.2">
      <c r="A48954" s="258"/>
      <c r="Z48954" s="258"/>
    </row>
    <row r="48955" spans="1:26" ht="12.75" customHeight="1" x14ac:dyDescent="0.2">
      <c r="A48955" s="258"/>
      <c r="Z48955" s="258"/>
    </row>
    <row r="48956" spans="1:26" ht="12.75" customHeight="1" x14ac:dyDescent="0.2">
      <c r="A48956" s="258"/>
      <c r="Z48956" s="258"/>
    </row>
    <row r="48957" spans="1:26" ht="12.75" customHeight="1" x14ac:dyDescent="0.2">
      <c r="A48957" s="258"/>
      <c r="Z48957" s="258"/>
    </row>
    <row r="48958" spans="1:26" ht="12.75" customHeight="1" x14ac:dyDescent="0.2">
      <c r="A48958" s="258"/>
      <c r="Z48958" s="258"/>
    </row>
    <row r="48959" spans="1:26" ht="12.75" customHeight="1" x14ac:dyDescent="0.2">
      <c r="A48959" s="258"/>
      <c r="Z48959" s="258"/>
    </row>
    <row r="48960" spans="1:26" ht="12.75" customHeight="1" x14ac:dyDescent="0.2">
      <c r="A48960" s="258"/>
      <c r="Z48960" s="258"/>
    </row>
    <row r="48961" spans="1:26" ht="12.75" customHeight="1" x14ac:dyDescent="0.2">
      <c r="A48961" s="258"/>
      <c r="Z48961" s="258"/>
    </row>
    <row r="48962" spans="1:26" ht="12.75" customHeight="1" x14ac:dyDescent="0.2">
      <c r="A48962" s="258"/>
      <c r="Z48962" s="258"/>
    </row>
    <row r="48963" spans="1:26" ht="12.75" customHeight="1" x14ac:dyDescent="0.2">
      <c r="A48963" s="258"/>
      <c r="Z48963" s="258"/>
    </row>
    <row r="48964" spans="1:26" ht="12.75" customHeight="1" x14ac:dyDescent="0.2">
      <c r="A48964" s="258"/>
      <c r="Z48964" s="258"/>
    </row>
    <row r="48965" spans="1:26" ht="12.75" customHeight="1" x14ac:dyDescent="0.2">
      <c r="A48965" s="258"/>
      <c r="Z48965" s="258"/>
    </row>
    <row r="48966" spans="1:26" ht="12.75" customHeight="1" x14ac:dyDescent="0.2">
      <c r="A48966" s="258"/>
      <c r="Z48966" s="258"/>
    </row>
    <row r="48967" spans="1:26" ht="12.75" customHeight="1" x14ac:dyDescent="0.2">
      <c r="A48967" s="258"/>
      <c r="Z48967" s="258"/>
    </row>
    <row r="48968" spans="1:26" ht="12.75" customHeight="1" x14ac:dyDescent="0.2">
      <c r="A48968" s="258"/>
      <c r="Z48968" s="258"/>
    </row>
    <row r="48969" spans="1:26" ht="12.75" customHeight="1" x14ac:dyDescent="0.2">
      <c r="A48969" s="258"/>
      <c r="Z48969" s="258"/>
    </row>
    <row r="48970" spans="1:26" ht="12.75" customHeight="1" x14ac:dyDescent="0.2">
      <c r="A48970" s="258"/>
      <c r="Z48970" s="258"/>
    </row>
    <row r="48971" spans="1:26" ht="12.75" customHeight="1" x14ac:dyDescent="0.2">
      <c r="A48971" s="258"/>
      <c r="Z48971" s="258"/>
    </row>
    <row r="48972" spans="1:26" ht="12.75" customHeight="1" x14ac:dyDescent="0.2">
      <c r="A48972" s="258"/>
      <c r="Z48972" s="258"/>
    </row>
    <row r="48973" spans="1:26" ht="12.75" customHeight="1" x14ac:dyDescent="0.2">
      <c r="A48973" s="258"/>
      <c r="Z48973" s="258"/>
    </row>
    <row r="48974" spans="1:26" ht="12.75" customHeight="1" x14ac:dyDescent="0.2">
      <c r="A48974" s="258"/>
      <c r="Z48974" s="258"/>
    </row>
    <row r="48975" spans="1:26" ht="12.75" customHeight="1" x14ac:dyDescent="0.2">
      <c r="A48975" s="258"/>
      <c r="Z48975" s="258"/>
    </row>
    <row r="48976" spans="1:26" ht="12.75" customHeight="1" x14ac:dyDescent="0.2">
      <c r="A48976" s="258"/>
      <c r="Z48976" s="258"/>
    </row>
    <row r="48977" spans="1:26" ht="12.75" customHeight="1" x14ac:dyDescent="0.2">
      <c r="A48977" s="258"/>
      <c r="Z48977" s="258"/>
    </row>
    <row r="48978" spans="1:26" ht="12.75" customHeight="1" x14ac:dyDescent="0.2">
      <c r="A48978" s="258"/>
      <c r="Z48978" s="258"/>
    </row>
    <row r="48979" spans="1:26" ht="12.75" customHeight="1" x14ac:dyDescent="0.2">
      <c r="A48979" s="258"/>
      <c r="Z48979" s="258"/>
    </row>
    <row r="48980" spans="1:26" ht="12.75" customHeight="1" x14ac:dyDescent="0.2">
      <c r="A48980" s="258"/>
      <c r="Z48980" s="258"/>
    </row>
    <row r="48981" spans="1:26" ht="12.75" customHeight="1" x14ac:dyDescent="0.2">
      <c r="A48981" s="258"/>
      <c r="Z48981" s="258"/>
    </row>
    <row r="48982" spans="1:26" ht="12.75" customHeight="1" x14ac:dyDescent="0.2">
      <c r="A48982" s="258"/>
      <c r="Z48982" s="258"/>
    </row>
    <row r="48983" spans="1:26" ht="12.75" customHeight="1" x14ac:dyDescent="0.2">
      <c r="A48983" s="258"/>
      <c r="Z48983" s="258"/>
    </row>
    <row r="48984" spans="1:26" ht="12.75" customHeight="1" x14ac:dyDescent="0.2">
      <c r="A48984" s="258"/>
      <c r="Z48984" s="258"/>
    </row>
    <row r="48985" spans="1:26" ht="12.75" customHeight="1" x14ac:dyDescent="0.2">
      <c r="A48985" s="258"/>
      <c r="Z48985" s="258"/>
    </row>
    <row r="48986" spans="1:26" ht="12.75" customHeight="1" x14ac:dyDescent="0.2">
      <c r="A48986" s="258"/>
      <c r="Z48986" s="258"/>
    </row>
    <row r="48987" spans="1:26" ht="12.75" customHeight="1" x14ac:dyDescent="0.2">
      <c r="A48987" s="258"/>
      <c r="Z48987" s="258"/>
    </row>
    <row r="48988" spans="1:26" ht="12.75" customHeight="1" x14ac:dyDescent="0.2">
      <c r="A48988" s="258"/>
      <c r="Z48988" s="258"/>
    </row>
    <row r="48989" spans="1:26" ht="12.75" customHeight="1" x14ac:dyDescent="0.2">
      <c r="A48989" s="258"/>
      <c r="Z48989" s="258"/>
    </row>
    <row r="48990" spans="1:26" ht="12.75" customHeight="1" x14ac:dyDescent="0.2">
      <c r="A48990" s="258"/>
      <c r="Z48990" s="258"/>
    </row>
    <row r="48991" spans="1:26" ht="12.75" customHeight="1" x14ac:dyDescent="0.2">
      <c r="A48991" s="258"/>
      <c r="Z48991" s="258"/>
    </row>
    <row r="48992" spans="1:26" ht="12.75" customHeight="1" x14ac:dyDescent="0.2">
      <c r="A48992" s="258"/>
      <c r="Z48992" s="258"/>
    </row>
    <row r="48993" spans="1:26" ht="12.75" customHeight="1" x14ac:dyDescent="0.2">
      <c r="A48993" s="258"/>
      <c r="Z48993" s="258"/>
    </row>
    <row r="48994" spans="1:26" ht="12.75" customHeight="1" x14ac:dyDescent="0.2">
      <c r="A48994" s="258"/>
      <c r="Z48994" s="258"/>
    </row>
    <row r="48995" spans="1:26" ht="12.75" customHeight="1" x14ac:dyDescent="0.2">
      <c r="A48995" s="258"/>
      <c r="Z48995" s="258"/>
    </row>
    <row r="48996" spans="1:26" ht="12.75" customHeight="1" x14ac:dyDescent="0.2">
      <c r="A48996" s="258"/>
      <c r="Z48996" s="258"/>
    </row>
    <row r="48997" spans="1:26" ht="12.75" customHeight="1" x14ac:dyDescent="0.2">
      <c r="A48997" s="258"/>
      <c r="Z48997" s="258"/>
    </row>
    <row r="48998" spans="1:26" ht="12.75" customHeight="1" x14ac:dyDescent="0.2">
      <c r="A48998" s="258"/>
      <c r="Z48998" s="258"/>
    </row>
    <row r="48999" spans="1:26" ht="12.75" customHeight="1" x14ac:dyDescent="0.2">
      <c r="A48999" s="258"/>
      <c r="Z48999" s="258"/>
    </row>
    <row r="49000" spans="1:26" ht="12.75" customHeight="1" x14ac:dyDescent="0.2">
      <c r="A49000" s="258"/>
      <c r="Z49000" s="258"/>
    </row>
    <row r="49001" spans="1:26" ht="12.75" customHeight="1" x14ac:dyDescent="0.2">
      <c r="A49001" s="258"/>
      <c r="Z49001" s="258"/>
    </row>
    <row r="49002" spans="1:26" ht="12.75" customHeight="1" x14ac:dyDescent="0.2">
      <c r="A49002" s="258"/>
      <c r="Z49002" s="258"/>
    </row>
    <row r="49003" spans="1:26" ht="12.75" customHeight="1" x14ac:dyDescent="0.2">
      <c r="A49003" s="258"/>
      <c r="Z49003" s="258"/>
    </row>
    <row r="49004" spans="1:26" ht="12.75" customHeight="1" x14ac:dyDescent="0.2">
      <c r="A49004" s="258"/>
      <c r="Z49004" s="258"/>
    </row>
    <row r="49005" spans="1:26" ht="12.75" customHeight="1" x14ac:dyDescent="0.2">
      <c r="A49005" s="258"/>
      <c r="Z49005" s="258"/>
    </row>
    <row r="49006" spans="1:26" ht="12.75" customHeight="1" x14ac:dyDescent="0.2">
      <c r="A49006" s="258"/>
      <c r="Z49006" s="258"/>
    </row>
    <row r="49007" spans="1:26" ht="12.75" customHeight="1" x14ac:dyDescent="0.2">
      <c r="A49007" s="258"/>
      <c r="Z49007" s="258"/>
    </row>
    <row r="49008" spans="1:26" ht="12.75" customHeight="1" x14ac:dyDescent="0.2">
      <c r="A49008" s="258"/>
      <c r="Z49008" s="258"/>
    </row>
    <row r="49009" spans="1:26" ht="12.75" customHeight="1" x14ac:dyDescent="0.2">
      <c r="A49009" s="258"/>
      <c r="Z49009" s="258"/>
    </row>
    <row r="49010" spans="1:26" ht="12.75" customHeight="1" x14ac:dyDescent="0.2">
      <c r="A49010" s="258"/>
      <c r="Z49010" s="258"/>
    </row>
    <row r="49011" spans="1:26" ht="12.75" customHeight="1" x14ac:dyDescent="0.2">
      <c r="A49011" s="258"/>
      <c r="Z49011" s="258"/>
    </row>
    <row r="49012" spans="1:26" ht="12.75" customHeight="1" x14ac:dyDescent="0.2">
      <c r="A49012" s="258"/>
      <c r="Z49012" s="258"/>
    </row>
    <row r="49013" spans="1:26" ht="12.75" customHeight="1" x14ac:dyDescent="0.2">
      <c r="A49013" s="258"/>
      <c r="Z49013" s="258"/>
    </row>
    <row r="49014" spans="1:26" ht="12.75" customHeight="1" x14ac:dyDescent="0.2">
      <c r="A49014" s="258"/>
      <c r="Z49014" s="258"/>
    </row>
    <row r="49015" spans="1:26" ht="12.75" customHeight="1" x14ac:dyDescent="0.2">
      <c r="A49015" s="258"/>
      <c r="Z49015" s="258"/>
    </row>
    <row r="49016" spans="1:26" ht="12.75" customHeight="1" x14ac:dyDescent="0.2">
      <c r="A49016" s="258"/>
      <c r="Z49016" s="258"/>
    </row>
    <row r="49017" spans="1:26" ht="12.75" customHeight="1" x14ac:dyDescent="0.2">
      <c r="A49017" s="258"/>
      <c r="Z49017" s="258"/>
    </row>
    <row r="49018" spans="1:26" ht="12.75" customHeight="1" x14ac:dyDescent="0.2">
      <c r="A49018" s="258"/>
      <c r="Z49018" s="258"/>
    </row>
    <row r="49019" spans="1:26" ht="12.75" customHeight="1" x14ac:dyDescent="0.2">
      <c r="A49019" s="258"/>
      <c r="Z49019" s="258"/>
    </row>
    <row r="49020" spans="1:26" ht="12.75" customHeight="1" x14ac:dyDescent="0.2">
      <c r="A49020" s="258"/>
      <c r="Z49020" s="258"/>
    </row>
    <row r="49021" spans="1:26" ht="12.75" customHeight="1" x14ac:dyDescent="0.2">
      <c r="A49021" s="258"/>
      <c r="Z49021" s="258"/>
    </row>
    <row r="49022" spans="1:26" ht="12.75" customHeight="1" x14ac:dyDescent="0.2">
      <c r="A49022" s="258"/>
      <c r="Z49022" s="258"/>
    </row>
    <row r="49023" spans="1:26" ht="12.75" customHeight="1" x14ac:dyDescent="0.2">
      <c r="A49023" s="258"/>
      <c r="Z49023" s="258"/>
    </row>
    <row r="49024" spans="1:26" ht="12.75" customHeight="1" x14ac:dyDescent="0.2">
      <c r="A49024" s="258"/>
      <c r="Z49024" s="258"/>
    </row>
    <row r="49025" spans="1:26" ht="12.75" customHeight="1" x14ac:dyDescent="0.2">
      <c r="A49025" s="258"/>
      <c r="Z49025" s="258"/>
    </row>
    <row r="49026" spans="1:26" ht="12.75" customHeight="1" x14ac:dyDescent="0.2">
      <c r="A49026" s="258"/>
      <c r="Z49026" s="258"/>
    </row>
    <row r="49027" spans="1:26" ht="12.75" customHeight="1" x14ac:dyDescent="0.2">
      <c r="A49027" s="258"/>
      <c r="Z49027" s="258"/>
    </row>
    <row r="49028" spans="1:26" ht="12.75" customHeight="1" x14ac:dyDescent="0.2">
      <c r="A49028" s="258"/>
      <c r="Z49028" s="258"/>
    </row>
    <row r="49029" spans="1:26" ht="12.75" customHeight="1" x14ac:dyDescent="0.2">
      <c r="A49029" s="258"/>
      <c r="Z49029" s="258"/>
    </row>
    <row r="49030" spans="1:26" ht="12.75" customHeight="1" x14ac:dyDescent="0.2">
      <c r="A49030" s="258"/>
      <c r="Z49030" s="258"/>
    </row>
    <row r="49031" spans="1:26" ht="12.75" customHeight="1" x14ac:dyDescent="0.2">
      <c r="A49031" s="258"/>
      <c r="Z49031" s="258"/>
    </row>
    <row r="49032" spans="1:26" ht="12.75" customHeight="1" x14ac:dyDescent="0.2">
      <c r="A49032" s="258"/>
      <c r="Z49032" s="258"/>
    </row>
    <row r="49033" spans="1:26" ht="12.75" customHeight="1" x14ac:dyDescent="0.2">
      <c r="A49033" s="258"/>
      <c r="Z49033" s="258"/>
    </row>
    <row r="49034" spans="1:26" ht="12.75" customHeight="1" x14ac:dyDescent="0.2">
      <c r="A49034" s="258"/>
      <c r="Z49034" s="258"/>
    </row>
    <row r="49035" spans="1:26" ht="12.75" customHeight="1" x14ac:dyDescent="0.2">
      <c r="A49035" s="258"/>
      <c r="Z49035" s="258"/>
    </row>
    <row r="49036" spans="1:26" ht="12.75" customHeight="1" x14ac:dyDescent="0.2">
      <c r="A49036" s="258"/>
      <c r="Z49036" s="258"/>
    </row>
    <row r="49037" spans="1:26" ht="12.75" customHeight="1" x14ac:dyDescent="0.2">
      <c r="A49037" s="258"/>
      <c r="Z49037" s="258"/>
    </row>
    <row r="49038" spans="1:26" ht="12.75" customHeight="1" x14ac:dyDescent="0.2">
      <c r="A49038" s="258"/>
      <c r="Z49038" s="258"/>
    </row>
    <row r="49039" spans="1:26" ht="12.75" customHeight="1" x14ac:dyDescent="0.2">
      <c r="A49039" s="258"/>
      <c r="Z49039" s="258"/>
    </row>
    <row r="49040" spans="1:26" ht="12.75" customHeight="1" x14ac:dyDescent="0.2">
      <c r="A49040" s="258"/>
      <c r="Z49040" s="258"/>
    </row>
    <row r="49041" spans="1:26" ht="12.75" customHeight="1" x14ac:dyDescent="0.2">
      <c r="A49041" s="258"/>
      <c r="Z49041" s="258"/>
    </row>
    <row r="49042" spans="1:26" ht="12.75" customHeight="1" x14ac:dyDescent="0.2">
      <c r="A49042" s="258"/>
      <c r="Z49042" s="258"/>
    </row>
    <row r="49043" spans="1:26" ht="12.75" customHeight="1" x14ac:dyDescent="0.2">
      <c r="A49043" s="258"/>
      <c r="Z49043" s="258"/>
    </row>
    <row r="49044" spans="1:26" ht="12.75" customHeight="1" x14ac:dyDescent="0.2">
      <c r="A49044" s="258"/>
      <c r="Z49044" s="258"/>
    </row>
    <row r="49045" spans="1:26" ht="12.75" customHeight="1" x14ac:dyDescent="0.2">
      <c r="A49045" s="258"/>
      <c r="Z49045" s="258"/>
    </row>
    <row r="49046" spans="1:26" ht="12.75" customHeight="1" x14ac:dyDescent="0.2">
      <c r="A49046" s="258"/>
      <c r="Z49046" s="258"/>
    </row>
    <row r="49047" spans="1:26" ht="12.75" customHeight="1" x14ac:dyDescent="0.2">
      <c r="A49047" s="258"/>
      <c r="Z49047" s="258"/>
    </row>
    <row r="49048" spans="1:26" ht="12.75" customHeight="1" x14ac:dyDescent="0.2">
      <c r="A49048" s="258"/>
      <c r="Z49048" s="258"/>
    </row>
    <row r="49049" spans="1:26" ht="12.75" customHeight="1" x14ac:dyDescent="0.2">
      <c r="A49049" s="258"/>
      <c r="Z49049" s="258"/>
    </row>
    <row r="49050" spans="1:26" ht="12.75" customHeight="1" x14ac:dyDescent="0.2">
      <c r="A49050" s="258"/>
      <c r="Z49050" s="258"/>
    </row>
    <row r="49051" spans="1:26" ht="12.75" customHeight="1" x14ac:dyDescent="0.2">
      <c r="A49051" s="258"/>
      <c r="Z49051" s="258"/>
    </row>
    <row r="49052" spans="1:26" ht="12.75" customHeight="1" x14ac:dyDescent="0.2">
      <c r="A49052" s="258"/>
      <c r="Z49052" s="258"/>
    </row>
    <row r="49053" spans="1:26" ht="12.75" customHeight="1" x14ac:dyDescent="0.2">
      <c r="A49053" s="258"/>
      <c r="Z49053" s="258"/>
    </row>
    <row r="49054" spans="1:26" ht="12.75" customHeight="1" x14ac:dyDescent="0.2">
      <c r="A49054" s="258"/>
      <c r="Z49054" s="258"/>
    </row>
    <row r="49055" spans="1:26" ht="12.75" customHeight="1" x14ac:dyDescent="0.2">
      <c r="A49055" s="258"/>
      <c r="Z49055" s="258"/>
    </row>
    <row r="49056" spans="1:26" ht="12.75" customHeight="1" x14ac:dyDescent="0.2">
      <c r="A49056" s="258"/>
      <c r="Z49056" s="258"/>
    </row>
    <row r="49057" spans="1:26" ht="12.75" customHeight="1" x14ac:dyDescent="0.2">
      <c r="A49057" s="258"/>
      <c r="Z49057" s="258"/>
    </row>
    <row r="49058" spans="1:26" ht="12.75" customHeight="1" x14ac:dyDescent="0.2">
      <c r="A49058" s="258"/>
      <c r="Z49058" s="258"/>
    </row>
    <row r="49059" spans="1:26" ht="12.75" customHeight="1" x14ac:dyDescent="0.2">
      <c r="A49059" s="258"/>
      <c r="Z49059" s="258"/>
    </row>
    <row r="49060" spans="1:26" ht="12.75" customHeight="1" x14ac:dyDescent="0.2">
      <c r="A49060" s="258"/>
      <c r="Z49060" s="258"/>
    </row>
    <row r="49061" spans="1:26" ht="12.75" customHeight="1" x14ac:dyDescent="0.2">
      <c r="A49061" s="258"/>
      <c r="Z49061" s="258"/>
    </row>
    <row r="49062" spans="1:26" ht="12.75" customHeight="1" x14ac:dyDescent="0.2">
      <c r="A49062" s="258"/>
      <c r="Z49062" s="258"/>
    </row>
    <row r="49063" spans="1:26" ht="12.75" customHeight="1" x14ac:dyDescent="0.2">
      <c r="A49063" s="258"/>
      <c r="Z49063" s="258"/>
    </row>
    <row r="49064" spans="1:26" ht="12.75" customHeight="1" x14ac:dyDescent="0.2">
      <c r="A49064" s="258"/>
      <c r="Z49064" s="258"/>
    </row>
    <row r="49065" spans="1:26" ht="12.75" customHeight="1" x14ac:dyDescent="0.2">
      <c r="A49065" s="258"/>
      <c r="Z49065" s="258"/>
    </row>
    <row r="49066" spans="1:26" ht="12.75" customHeight="1" x14ac:dyDescent="0.2">
      <c r="A49066" s="258"/>
      <c r="Z49066" s="258"/>
    </row>
    <row r="49067" spans="1:26" ht="12.75" customHeight="1" x14ac:dyDescent="0.2">
      <c r="A49067" s="258"/>
      <c r="Z49067" s="258"/>
    </row>
    <row r="49068" spans="1:26" ht="12.75" customHeight="1" x14ac:dyDescent="0.2">
      <c r="A49068" s="258"/>
      <c r="Z49068" s="258"/>
    </row>
    <row r="49069" spans="1:26" ht="12.75" customHeight="1" x14ac:dyDescent="0.2">
      <c r="A49069" s="258"/>
      <c r="Z49069" s="258"/>
    </row>
    <row r="49070" spans="1:26" ht="12.75" customHeight="1" x14ac:dyDescent="0.2">
      <c r="A49070" s="258"/>
      <c r="Z49070" s="258"/>
    </row>
    <row r="49071" spans="1:26" ht="12.75" customHeight="1" x14ac:dyDescent="0.2">
      <c r="A49071" s="258"/>
      <c r="Z49071" s="258"/>
    </row>
    <row r="49072" spans="1:26" ht="12.75" customHeight="1" x14ac:dyDescent="0.2">
      <c r="A49072" s="258"/>
      <c r="Z49072" s="258"/>
    </row>
    <row r="49073" spans="1:26" ht="12.75" customHeight="1" x14ac:dyDescent="0.2">
      <c r="A49073" s="258"/>
      <c r="Z49073" s="258"/>
    </row>
    <row r="49074" spans="1:26" ht="12.75" customHeight="1" x14ac:dyDescent="0.2">
      <c r="A49074" s="258"/>
      <c r="Z49074" s="258"/>
    </row>
    <row r="49075" spans="1:26" ht="12.75" customHeight="1" x14ac:dyDescent="0.2">
      <c r="A49075" s="258"/>
      <c r="Z49075" s="258"/>
    </row>
    <row r="49076" spans="1:26" ht="12.75" customHeight="1" x14ac:dyDescent="0.2">
      <c r="A49076" s="258"/>
      <c r="Z49076" s="258"/>
    </row>
    <row r="49077" spans="1:26" ht="12.75" customHeight="1" x14ac:dyDescent="0.2">
      <c r="A49077" s="258"/>
      <c r="Z49077" s="258"/>
    </row>
    <row r="49078" spans="1:26" ht="12.75" customHeight="1" x14ac:dyDescent="0.2">
      <c r="A49078" s="258"/>
      <c r="Z49078" s="258"/>
    </row>
    <row r="49079" spans="1:26" ht="12.75" customHeight="1" x14ac:dyDescent="0.2">
      <c r="A49079" s="258"/>
      <c r="Z49079" s="258"/>
    </row>
    <row r="49080" spans="1:26" ht="12.75" customHeight="1" x14ac:dyDescent="0.2">
      <c r="A49080" s="258"/>
      <c r="Z49080" s="258"/>
    </row>
    <row r="49081" spans="1:26" ht="12.75" customHeight="1" x14ac:dyDescent="0.2">
      <c r="A49081" s="258"/>
      <c r="Z49081" s="258"/>
    </row>
    <row r="49082" spans="1:26" ht="12.75" customHeight="1" x14ac:dyDescent="0.2">
      <c r="A49082" s="258"/>
      <c r="Z49082" s="258"/>
    </row>
    <row r="49083" spans="1:26" ht="12.75" customHeight="1" x14ac:dyDescent="0.2">
      <c r="A49083" s="258"/>
      <c r="Z49083" s="258"/>
    </row>
    <row r="49084" spans="1:26" ht="12.75" customHeight="1" x14ac:dyDescent="0.2">
      <c r="A49084" s="258"/>
      <c r="Z49084" s="258"/>
    </row>
    <row r="49085" spans="1:26" ht="12.75" customHeight="1" x14ac:dyDescent="0.2">
      <c r="A49085" s="258"/>
      <c r="Z49085" s="258"/>
    </row>
    <row r="49086" spans="1:26" ht="12.75" customHeight="1" x14ac:dyDescent="0.2">
      <c r="A49086" s="258"/>
      <c r="Z49086" s="258"/>
    </row>
    <row r="49087" spans="1:26" ht="12.75" customHeight="1" x14ac:dyDescent="0.2">
      <c r="A49087" s="258"/>
      <c r="Z49087" s="258"/>
    </row>
    <row r="49088" spans="1:26" ht="12.75" customHeight="1" x14ac:dyDescent="0.2">
      <c r="A49088" s="258"/>
      <c r="Z49088" s="258"/>
    </row>
    <row r="49089" spans="1:26" ht="12.75" customHeight="1" x14ac:dyDescent="0.2">
      <c r="A49089" s="258"/>
      <c r="Z49089" s="258"/>
    </row>
    <row r="49090" spans="1:26" ht="12.75" customHeight="1" x14ac:dyDescent="0.2">
      <c r="A49090" s="258"/>
      <c r="Z49090" s="258"/>
    </row>
    <row r="49091" spans="1:26" ht="12.75" customHeight="1" x14ac:dyDescent="0.2">
      <c r="A49091" s="258"/>
      <c r="Z49091" s="258"/>
    </row>
    <row r="49092" spans="1:26" ht="12.75" customHeight="1" x14ac:dyDescent="0.2">
      <c r="A49092" s="258"/>
      <c r="Z49092" s="258"/>
    </row>
    <row r="49093" spans="1:26" ht="12.75" customHeight="1" x14ac:dyDescent="0.2">
      <c r="A49093" s="258"/>
      <c r="Z49093" s="258"/>
    </row>
    <row r="49094" spans="1:26" ht="12.75" customHeight="1" x14ac:dyDescent="0.2">
      <c r="A49094" s="258"/>
      <c r="Z49094" s="258"/>
    </row>
    <row r="49095" spans="1:26" ht="12.75" customHeight="1" x14ac:dyDescent="0.2">
      <c r="A49095" s="258"/>
      <c r="Z49095" s="258"/>
    </row>
    <row r="49096" spans="1:26" ht="12.75" customHeight="1" x14ac:dyDescent="0.2">
      <c r="A49096" s="258"/>
      <c r="Z49096" s="258"/>
    </row>
    <row r="49097" spans="1:26" ht="12.75" customHeight="1" x14ac:dyDescent="0.2">
      <c r="A49097" s="258"/>
      <c r="Z49097" s="258"/>
    </row>
    <row r="49098" spans="1:26" ht="12.75" customHeight="1" x14ac:dyDescent="0.2">
      <c r="A49098" s="258"/>
      <c r="Z49098" s="258"/>
    </row>
    <row r="49099" spans="1:26" ht="12.75" customHeight="1" x14ac:dyDescent="0.2">
      <c r="A49099" s="258"/>
      <c r="Z49099" s="258"/>
    </row>
    <row r="49100" spans="1:26" ht="12.75" customHeight="1" x14ac:dyDescent="0.2">
      <c r="A49100" s="258"/>
      <c r="Z49100" s="258"/>
    </row>
    <row r="49101" spans="1:26" ht="12.75" customHeight="1" x14ac:dyDescent="0.2">
      <c r="A49101" s="258"/>
      <c r="Z49101" s="258"/>
    </row>
    <row r="49102" spans="1:26" ht="12.75" customHeight="1" x14ac:dyDescent="0.2">
      <c r="A49102" s="258"/>
      <c r="Z49102" s="258"/>
    </row>
    <row r="49103" spans="1:26" ht="12.75" customHeight="1" x14ac:dyDescent="0.2">
      <c r="A49103" s="258"/>
      <c r="Z49103" s="258"/>
    </row>
    <row r="49104" spans="1:26" ht="12.75" customHeight="1" x14ac:dyDescent="0.2">
      <c r="A49104" s="258"/>
      <c r="Z49104" s="258"/>
    </row>
    <row r="49105" spans="1:26" ht="12.75" customHeight="1" x14ac:dyDescent="0.2">
      <c r="A49105" s="258"/>
      <c r="Z49105" s="258"/>
    </row>
    <row r="49106" spans="1:26" ht="12.75" customHeight="1" x14ac:dyDescent="0.2">
      <c r="A49106" s="258"/>
      <c r="Z49106" s="258"/>
    </row>
    <row r="49107" spans="1:26" ht="12.75" customHeight="1" x14ac:dyDescent="0.2">
      <c r="A49107" s="258"/>
      <c r="Z49107" s="258"/>
    </row>
    <row r="49108" spans="1:26" ht="12.75" customHeight="1" x14ac:dyDescent="0.2">
      <c r="A49108" s="258"/>
      <c r="Z49108" s="258"/>
    </row>
    <row r="49109" spans="1:26" ht="12.75" customHeight="1" x14ac:dyDescent="0.2">
      <c r="A49109" s="258"/>
      <c r="Z49109" s="258"/>
    </row>
    <row r="49110" spans="1:26" ht="12.75" customHeight="1" x14ac:dyDescent="0.2">
      <c r="A49110" s="258"/>
      <c r="Z49110" s="258"/>
    </row>
    <row r="49111" spans="1:26" ht="12.75" customHeight="1" x14ac:dyDescent="0.2">
      <c r="A49111" s="258"/>
      <c r="Z49111" s="258"/>
    </row>
    <row r="49112" spans="1:26" ht="12.75" customHeight="1" x14ac:dyDescent="0.2">
      <c r="A49112" s="258"/>
      <c r="Z49112" s="258"/>
    </row>
    <row r="49113" spans="1:26" ht="12.75" customHeight="1" x14ac:dyDescent="0.2">
      <c r="A49113" s="258"/>
      <c r="Z49113" s="258"/>
    </row>
    <row r="49114" spans="1:26" ht="12.75" customHeight="1" x14ac:dyDescent="0.2">
      <c r="A49114" s="258"/>
      <c r="Z49114" s="258"/>
    </row>
    <row r="49115" spans="1:26" ht="12.75" customHeight="1" x14ac:dyDescent="0.2">
      <c r="A49115" s="258"/>
      <c r="Z49115" s="258"/>
    </row>
    <row r="49116" spans="1:26" ht="12.75" customHeight="1" x14ac:dyDescent="0.2">
      <c r="A49116" s="258"/>
      <c r="Z49116" s="258"/>
    </row>
    <row r="49117" spans="1:26" ht="12.75" customHeight="1" x14ac:dyDescent="0.2">
      <c r="A49117" s="258"/>
      <c r="Z49117" s="258"/>
    </row>
    <row r="49118" spans="1:26" ht="12.75" customHeight="1" x14ac:dyDescent="0.2">
      <c r="A49118" s="258"/>
      <c r="Z49118" s="258"/>
    </row>
    <row r="49119" spans="1:26" ht="12.75" customHeight="1" x14ac:dyDescent="0.2">
      <c r="A49119" s="258"/>
      <c r="Z49119" s="258"/>
    </row>
    <row r="49120" spans="1:26" ht="12.75" customHeight="1" x14ac:dyDescent="0.2">
      <c r="A49120" s="258"/>
      <c r="Z49120" s="258"/>
    </row>
    <row r="49121" spans="1:26" ht="12.75" customHeight="1" x14ac:dyDescent="0.2">
      <c r="A49121" s="258"/>
      <c r="Z49121" s="258"/>
    </row>
    <row r="49122" spans="1:26" ht="12.75" customHeight="1" x14ac:dyDescent="0.2">
      <c r="A49122" s="258"/>
      <c r="Z49122" s="258"/>
    </row>
    <row r="49123" spans="1:26" ht="12.75" customHeight="1" x14ac:dyDescent="0.2">
      <c r="A49123" s="258"/>
      <c r="Z49123" s="258"/>
    </row>
    <row r="49124" spans="1:26" ht="12.75" customHeight="1" x14ac:dyDescent="0.2">
      <c r="A49124" s="258"/>
      <c r="Z49124" s="258"/>
    </row>
    <row r="49125" spans="1:26" ht="12.75" customHeight="1" x14ac:dyDescent="0.2">
      <c r="A49125" s="258"/>
      <c r="Z49125" s="258"/>
    </row>
    <row r="49126" spans="1:26" ht="12.75" customHeight="1" x14ac:dyDescent="0.2">
      <c r="A49126" s="258"/>
      <c r="Z49126" s="258"/>
    </row>
    <row r="49127" spans="1:26" ht="12.75" customHeight="1" x14ac:dyDescent="0.2">
      <c r="A49127" s="258"/>
      <c r="Z49127" s="258"/>
    </row>
    <row r="49128" spans="1:26" ht="12.75" customHeight="1" x14ac:dyDescent="0.2">
      <c r="A49128" s="258"/>
      <c r="Z49128" s="258"/>
    </row>
    <row r="49129" spans="1:26" ht="12.75" customHeight="1" x14ac:dyDescent="0.2">
      <c r="A49129" s="258"/>
      <c r="Z49129" s="258"/>
    </row>
    <row r="49130" spans="1:26" ht="12.75" customHeight="1" x14ac:dyDescent="0.2">
      <c r="A49130" s="258"/>
      <c r="Z49130" s="258"/>
    </row>
    <row r="49131" spans="1:26" ht="12.75" customHeight="1" x14ac:dyDescent="0.2">
      <c r="A49131" s="258"/>
      <c r="Z49131" s="258"/>
    </row>
    <row r="49132" spans="1:26" ht="12.75" customHeight="1" x14ac:dyDescent="0.2">
      <c r="A49132" s="258"/>
      <c r="Z49132" s="258"/>
    </row>
    <row r="49133" spans="1:26" ht="12.75" customHeight="1" x14ac:dyDescent="0.2">
      <c r="A49133" s="258"/>
      <c r="Z49133" s="258"/>
    </row>
    <row r="49134" spans="1:26" ht="12.75" customHeight="1" x14ac:dyDescent="0.2">
      <c r="A49134" s="258"/>
      <c r="Z49134" s="258"/>
    </row>
    <row r="49135" spans="1:26" ht="12.75" customHeight="1" x14ac:dyDescent="0.2">
      <c r="A49135" s="258"/>
      <c r="Z49135" s="258"/>
    </row>
    <row r="49136" spans="1:26" ht="12.75" customHeight="1" x14ac:dyDescent="0.2">
      <c r="A49136" s="258"/>
      <c r="Z49136" s="258"/>
    </row>
    <row r="49137" spans="1:26" ht="12.75" customHeight="1" x14ac:dyDescent="0.2">
      <c r="A49137" s="258"/>
      <c r="Z49137" s="258"/>
    </row>
    <row r="49138" spans="1:26" ht="12.75" customHeight="1" x14ac:dyDescent="0.2">
      <c r="A49138" s="258"/>
      <c r="Z49138" s="258"/>
    </row>
    <row r="49139" spans="1:26" ht="12.75" customHeight="1" x14ac:dyDescent="0.2">
      <c r="A49139" s="258"/>
      <c r="Z49139" s="258"/>
    </row>
    <row r="49140" spans="1:26" ht="12.75" customHeight="1" x14ac:dyDescent="0.2">
      <c r="A49140" s="258"/>
      <c r="Z49140" s="258"/>
    </row>
    <row r="49141" spans="1:26" ht="12.75" customHeight="1" x14ac:dyDescent="0.2">
      <c r="A49141" s="258"/>
      <c r="Z49141" s="258"/>
    </row>
    <row r="49142" spans="1:26" ht="12.75" customHeight="1" x14ac:dyDescent="0.2">
      <c r="A49142" s="258"/>
      <c r="Z49142" s="258"/>
    </row>
    <row r="49143" spans="1:26" ht="12.75" customHeight="1" x14ac:dyDescent="0.2">
      <c r="A49143" s="258"/>
      <c r="Z49143" s="258"/>
    </row>
    <row r="49144" spans="1:26" ht="12.75" customHeight="1" x14ac:dyDescent="0.2">
      <c r="A49144" s="258"/>
      <c r="Z49144" s="258"/>
    </row>
    <row r="49145" spans="1:26" ht="12.75" customHeight="1" x14ac:dyDescent="0.2">
      <c r="A49145" s="258"/>
      <c r="Z49145" s="258"/>
    </row>
    <row r="49146" spans="1:26" ht="12.75" customHeight="1" x14ac:dyDescent="0.2">
      <c r="A49146" s="258"/>
      <c r="Z49146" s="258"/>
    </row>
    <row r="49147" spans="1:26" ht="12.75" customHeight="1" x14ac:dyDescent="0.2">
      <c r="A49147" s="258"/>
      <c r="Z49147" s="258"/>
    </row>
    <row r="49148" spans="1:26" ht="12.75" customHeight="1" x14ac:dyDescent="0.2">
      <c r="A49148" s="258"/>
      <c r="Z49148" s="258"/>
    </row>
    <row r="49149" spans="1:26" ht="12.75" customHeight="1" x14ac:dyDescent="0.2">
      <c r="A49149" s="258"/>
      <c r="Z49149" s="258"/>
    </row>
    <row r="49150" spans="1:26" ht="12.75" customHeight="1" x14ac:dyDescent="0.2">
      <c r="A49150" s="258"/>
      <c r="Z49150" s="258"/>
    </row>
    <row r="49151" spans="1:26" ht="12.75" customHeight="1" x14ac:dyDescent="0.2">
      <c r="A49151" s="258"/>
      <c r="Z49151" s="258"/>
    </row>
    <row r="49152" spans="1:26" ht="12.75" customHeight="1" x14ac:dyDescent="0.2">
      <c r="A49152" s="258"/>
      <c r="Z49152" s="258"/>
    </row>
    <row r="49153" spans="1:26" ht="12.75" customHeight="1" x14ac:dyDescent="0.2">
      <c r="A49153" s="258"/>
      <c r="Z49153" s="258"/>
    </row>
    <row r="49154" spans="1:26" ht="12.75" customHeight="1" x14ac:dyDescent="0.2">
      <c r="A49154" s="258"/>
      <c r="Z49154" s="258"/>
    </row>
    <row r="49155" spans="1:26" ht="12.75" customHeight="1" x14ac:dyDescent="0.2">
      <c r="A49155" s="258"/>
      <c r="Z49155" s="258"/>
    </row>
    <row r="49156" spans="1:26" ht="12.75" customHeight="1" x14ac:dyDescent="0.2">
      <c r="A49156" s="258"/>
      <c r="Z49156" s="258"/>
    </row>
    <row r="49157" spans="1:26" ht="12.75" customHeight="1" x14ac:dyDescent="0.2">
      <c r="A49157" s="258"/>
      <c r="Z49157" s="258"/>
    </row>
    <row r="49158" spans="1:26" ht="12.75" customHeight="1" x14ac:dyDescent="0.2">
      <c r="A49158" s="258"/>
      <c r="Z49158" s="258"/>
    </row>
    <row r="49159" spans="1:26" ht="12.75" customHeight="1" x14ac:dyDescent="0.2">
      <c r="A49159" s="258"/>
      <c r="Z49159" s="258"/>
    </row>
    <row r="49160" spans="1:26" ht="12.75" customHeight="1" x14ac:dyDescent="0.2">
      <c r="A49160" s="258"/>
      <c r="Z49160" s="258"/>
    </row>
    <row r="49161" spans="1:26" ht="12.75" customHeight="1" x14ac:dyDescent="0.2">
      <c r="A49161" s="258"/>
      <c r="Z49161" s="258"/>
    </row>
    <row r="49162" spans="1:26" ht="12.75" customHeight="1" x14ac:dyDescent="0.2">
      <c r="A49162" s="258"/>
      <c r="Z49162" s="258"/>
    </row>
    <row r="49163" spans="1:26" ht="12.75" customHeight="1" x14ac:dyDescent="0.2">
      <c r="A49163" s="258"/>
      <c r="Z49163" s="258"/>
    </row>
    <row r="49164" spans="1:26" ht="12.75" customHeight="1" x14ac:dyDescent="0.2">
      <c r="A49164" s="258"/>
      <c r="Z49164" s="258"/>
    </row>
    <row r="49165" spans="1:26" ht="12.75" customHeight="1" x14ac:dyDescent="0.2">
      <c r="A49165" s="258"/>
      <c r="Z49165" s="258"/>
    </row>
    <row r="49166" spans="1:26" ht="12.75" customHeight="1" x14ac:dyDescent="0.2">
      <c r="A49166" s="258"/>
      <c r="Z49166" s="258"/>
    </row>
    <row r="49167" spans="1:26" ht="12.75" customHeight="1" x14ac:dyDescent="0.2">
      <c r="A49167" s="258"/>
      <c r="Z49167" s="258"/>
    </row>
    <row r="49168" spans="1:26" ht="12.75" customHeight="1" x14ac:dyDescent="0.2">
      <c r="A49168" s="258"/>
      <c r="Z49168" s="258"/>
    </row>
    <row r="49169" spans="1:26" ht="12.75" customHeight="1" x14ac:dyDescent="0.2">
      <c r="A49169" s="258"/>
      <c r="Z49169" s="258"/>
    </row>
    <row r="49170" spans="1:26" ht="12.75" customHeight="1" x14ac:dyDescent="0.2">
      <c r="A49170" s="258"/>
      <c r="Z49170" s="258"/>
    </row>
    <row r="49171" spans="1:26" ht="12.75" customHeight="1" x14ac:dyDescent="0.2">
      <c r="A49171" s="258"/>
      <c r="Z49171" s="258"/>
    </row>
    <row r="49172" spans="1:26" ht="12.75" customHeight="1" x14ac:dyDescent="0.2">
      <c r="A49172" s="258"/>
      <c r="Z49172" s="258"/>
    </row>
    <row r="49173" spans="1:26" ht="12.75" customHeight="1" x14ac:dyDescent="0.2">
      <c r="A49173" s="258"/>
      <c r="Z49173" s="258"/>
    </row>
    <row r="49174" spans="1:26" ht="12.75" customHeight="1" x14ac:dyDescent="0.2">
      <c r="A49174" s="258"/>
      <c r="Z49174" s="258"/>
    </row>
    <row r="49175" spans="1:26" ht="12.75" customHeight="1" x14ac:dyDescent="0.2">
      <c r="A49175" s="258"/>
      <c r="Z49175" s="258"/>
    </row>
    <row r="49176" spans="1:26" ht="12.75" customHeight="1" x14ac:dyDescent="0.2">
      <c r="A49176" s="258"/>
      <c r="Z49176" s="258"/>
    </row>
    <row r="49177" spans="1:26" ht="12.75" customHeight="1" x14ac:dyDescent="0.2">
      <c r="A49177" s="258"/>
      <c r="Z49177" s="258"/>
    </row>
    <row r="49178" spans="1:26" ht="12.75" customHeight="1" x14ac:dyDescent="0.2">
      <c r="A49178" s="258"/>
      <c r="Z49178" s="258"/>
    </row>
    <row r="49179" spans="1:26" ht="12.75" customHeight="1" x14ac:dyDescent="0.2">
      <c r="A49179" s="258"/>
      <c r="Z49179" s="258"/>
    </row>
    <row r="49180" spans="1:26" ht="12.75" customHeight="1" x14ac:dyDescent="0.2">
      <c r="A49180" s="258"/>
      <c r="Z49180" s="258"/>
    </row>
    <row r="49181" spans="1:26" ht="12.75" customHeight="1" x14ac:dyDescent="0.2">
      <c r="A49181" s="258"/>
      <c r="Z49181" s="258"/>
    </row>
    <row r="49182" spans="1:26" ht="12.75" customHeight="1" x14ac:dyDescent="0.2">
      <c r="A49182" s="258"/>
      <c r="Z49182" s="258"/>
    </row>
    <row r="49183" spans="1:26" ht="12.75" customHeight="1" x14ac:dyDescent="0.2">
      <c r="A49183" s="258"/>
      <c r="Z49183" s="258"/>
    </row>
    <row r="49184" spans="1:26" ht="12.75" customHeight="1" x14ac:dyDescent="0.2">
      <c r="A49184" s="258"/>
      <c r="Z49184" s="258"/>
    </row>
    <row r="49185" spans="1:26" ht="12.75" customHeight="1" x14ac:dyDescent="0.2">
      <c r="A49185" s="258"/>
      <c r="Z49185" s="258"/>
    </row>
    <row r="49186" spans="1:26" ht="12.75" customHeight="1" x14ac:dyDescent="0.2">
      <c r="A49186" s="258"/>
      <c r="Z49186" s="258"/>
    </row>
    <row r="49187" spans="1:26" ht="12.75" customHeight="1" x14ac:dyDescent="0.2">
      <c r="A49187" s="258"/>
      <c r="Z49187" s="258"/>
    </row>
    <row r="49188" spans="1:26" ht="12.75" customHeight="1" x14ac:dyDescent="0.2">
      <c r="A49188" s="258"/>
      <c r="Z49188" s="258"/>
    </row>
    <row r="49189" spans="1:26" ht="12.75" customHeight="1" x14ac:dyDescent="0.2">
      <c r="A49189" s="258"/>
      <c r="Z49189" s="258"/>
    </row>
    <row r="49190" spans="1:26" ht="12.75" customHeight="1" x14ac:dyDescent="0.2">
      <c r="A49190" s="258"/>
      <c r="Z49190" s="258"/>
    </row>
    <row r="49191" spans="1:26" ht="12.75" customHeight="1" x14ac:dyDescent="0.2">
      <c r="A49191" s="258"/>
      <c r="Z49191" s="258"/>
    </row>
    <row r="49192" spans="1:26" ht="12.75" customHeight="1" x14ac:dyDescent="0.2">
      <c r="A49192" s="258"/>
      <c r="Z49192" s="258"/>
    </row>
    <row r="49193" spans="1:26" ht="12.75" customHeight="1" x14ac:dyDescent="0.2">
      <c r="A49193" s="258"/>
      <c r="Z49193" s="258"/>
    </row>
    <row r="49194" spans="1:26" ht="12.75" customHeight="1" x14ac:dyDescent="0.2">
      <c r="A49194" s="258"/>
      <c r="Z49194" s="258"/>
    </row>
    <row r="49195" spans="1:26" ht="12.75" customHeight="1" x14ac:dyDescent="0.2">
      <c r="A49195" s="258"/>
      <c r="Z49195" s="258"/>
    </row>
    <row r="49196" spans="1:26" ht="12.75" customHeight="1" x14ac:dyDescent="0.2">
      <c r="A49196" s="258"/>
      <c r="Z49196" s="258"/>
    </row>
    <row r="49197" spans="1:26" ht="12.75" customHeight="1" x14ac:dyDescent="0.2">
      <c r="A49197" s="258"/>
      <c r="Z49197" s="258"/>
    </row>
    <row r="49198" spans="1:26" ht="12.75" customHeight="1" x14ac:dyDescent="0.2">
      <c r="A49198" s="258"/>
      <c r="Z49198" s="258"/>
    </row>
    <row r="49199" spans="1:26" ht="12.75" customHeight="1" x14ac:dyDescent="0.2">
      <c r="A49199" s="258"/>
      <c r="Z49199" s="258"/>
    </row>
    <row r="49200" spans="1:26" ht="12.75" customHeight="1" x14ac:dyDescent="0.2">
      <c r="A49200" s="258"/>
      <c r="Z49200" s="258"/>
    </row>
    <row r="49201" spans="1:26" ht="12.75" customHeight="1" x14ac:dyDescent="0.2">
      <c r="A49201" s="258"/>
      <c r="Z49201" s="258"/>
    </row>
    <row r="49202" spans="1:26" ht="12.75" customHeight="1" x14ac:dyDescent="0.2">
      <c r="A49202" s="258"/>
      <c r="Z49202" s="258"/>
    </row>
    <row r="49203" spans="1:26" ht="12.75" customHeight="1" x14ac:dyDescent="0.2">
      <c r="A49203" s="258"/>
      <c r="Z49203" s="258"/>
    </row>
    <row r="49204" spans="1:26" ht="12.75" customHeight="1" x14ac:dyDescent="0.2">
      <c r="A49204" s="258"/>
      <c r="Z49204" s="258"/>
    </row>
    <row r="49205" spans="1:26" ht="12.75" customHeight="1" x14ac:dyDescent="0.2">
      <c r="A49205" s="258"/>
      <c r="Z49205" s="258"/>
    </row>
    <row r="49206" spans="1:26" ht="12.75" customHeight="1" x14ac:dyDescent="0.2">
      <c r="A49206" s="258"/>
      <c r="Z49206" s="258"/>
    </row>
    <row r="49207" spans="1:26" ht="12.75" customHeight="1" x14ac:dyDescent="0.2">
      <c r="A49207" s="258"/>
      <c r="Z49207" s="258"/>
    </row>
    <row r="49208" spans="1:26" ht="12.75" customHeight="1" x14ac:dyDescent="0.2">
      <c r="A49208" s="258"/>
      <c r="Z49208" s="258"/>
    </row>
    <row r="49209" spans="1:26" ht="12.75" customHeight="1" x14ac:dyDescent="0.2">
      <c r="A49209" s="258"/>
      <c r="Z49209" s="258"/>
    </row>
    <row r="49210" spans="1:26" ht="12.75" customHeight="1" x14ac:dyDescent="0.2">
      <c r="A49210" s="258"/>
      <c r="Z49210" s="258"/>
    </row>
    <row r="49211" spans="1:26" ht="12.75" customHeight="1" x14ac:dyDescent="0.2">
      <c r="A49211" s="258"/>
      <c r="Z49211" s="258"/>
    </row>
    <row r="49212" spans="1:26" ht="12.75" customHeight="1" x14ac:dyDescent="0.2">
      <c r="A49212" s="258"/>
      <c r="Z49212" s="258"/>
    </row>
    <row r="49213" spans="1:26" ht="12.75" customHeight="1" x14ac:dyDescent="0.2">
      <c r="A49213" s="258"/>
      <c r="Z49213" s="258"/>
    </row>
    <row r="49214" spans="1:26" ht="12.75" customHeight="1" x14ac:dyDescent="0.2">
      <c r="A49214" s="258"/>
      <c r="Z49214" s="258"/>
    </row>
    <row r="49215" spans="1:26" ht="12.75" customHeight="1" x14ac:dyDescent="0.2">
      <c r="A49215" s="258"/>
      <c r="Z49215" s="258"/>
    </row>
    <row r="49216" spans="1:26" ht="12.75" customHeight="1" x14ac:dyDescent="0.2">
      <c r="A49216" s="258"/>
      <c r="Z49216" s="258"/>
    </row>
    <row r="49217" spans="1:26" ht="12.75" customHeight="1" x14ac:dyDescent="0.2">
      <c r="A49217" s="258"/>
      <c r="Z49217" s="258"/>
    </row>
    <row r="49218" spans="1:26" ht="12.75" customHeight="1" x14ac:dyDescent="0.2">
      <c r="A49218" s="258"/>
      <c r="Z49218" s="258"/>
    </row>
    <row r="49219" spans="1:26" ht="12.75" customHeight="1" x14ac:dyDescent="0.2">
      <c r="A49219" s="258"/>
      <c r="Z49219" s="258"/>
    </row>
    <row r="49220" spans="1:26" ht="12.75" customHeight="1" x14ac:dyDescent="0.2">
      <c r="A49220" s="258"/>
      <c r="Z49220" s="258"/>
    </row>
    <row r="49221" spans="1:26" ht="12.75" customHeight="1" x14ac:dyDescent="0.2">
      <c r="A49221" s="258"/>
      <c r="Z49221" s="258"/>
    </row>
    <row r="49222" spans="1:26" ht="12.75" customHeight="1" x14ac:dyDescent="0.2">
      <c r="A49222" s="258"/>
      <c r="Z49222" s="258"/>
    </row>
    <row r="49223" spans="1:26" ht="12.75" customHeight="1" x14ac:dyDescent="0.2">
      <c r="A49223" s="258"/>
      <c r="Z49223" s="258"/>
    </row>
    <row r="49224" spans="1:26" ht="12.75" customHeight="1" x14ac:dyDescent="0.2">
      <c r="A49224" s="258"/>
      <c r="Z49224" s="258"/>
    </row>
    <row r="49225" spans="1:26" ht="12.75" customHeight="1" x14ac:dyDescent="0.2">
      <c r="A49225" s="258"/>
      <c r="Z49225" s="258"/>
    </row>
    <row r="49226" spans="1:26" ht="12.75" customHeight="1" x14ac:dyDescent="0.2">
      <c r="A49226" s="258"/>
      <c r="Z49226" s="258"/>
    </row>
    <row r="49227" spans="1:26" ht="12.75" customHeight="1" x14ac:dyDescent="0.2">
      <c r="A49227" s="258"/>
      <c r="Z49227" s="258"/>
    </row>
    <row r="49228" spans="1:26" ht="12.75" customHeight="1" x14ac:dyDescent="0.2">
      <c r="A49228" s="258"/>
      <c r="Z49228" s="258"/>
    </row>
    <row r="49229" spans="1:26" ht="12.75" customHeight="1" x14ac:dyDescent="0.2">
      <c r="A49229" s="258"/>
      <c r="Z49229" s="258"/>
    </row>
    <row r="49230" spans="1:26" ht="12.75" customHeight="1" x14ac:dyDescent="0.2">
      <c r="A49230" s="258"/>
      <c r="Z49230" s="258"/>
    </row>
    <row r="49231" spans="1:26" ht="12.75" customHeight="1" x14ac:dyDescent="0.2">
      <c r="A49231" s="258"/>
      <c r="Z49231" s="258"/>
    </row>
    <row r="49232" spans="1:26" ht="12.75" customHeight="1" x14ac:dyDescent="0.2">
      <c r="A49232" s="258"/>
      <c r="Z49232" s="258"/>
    </row>
    <row r="49233" spans="1:26" ht="12.75" customHeight="1" x14ac:dyDescent="0.2">
      <c r="A49233" s="258"/>
      <c r="Z49233" s="258"/>
    </row>
    <row r="49234" spans="1:26" ht="12.75" customHeight="1" x14ac:dyDescent="0.2">
      <c r="A49234" s="258"/>
      <c r="Z49234" s="258"/>
    </row>
    <row r="49235" spans="1:26" ht="12.75" customHeight="1" x14ac:dyDescent="0.2">
      <c r="A49235" s="258"/>
      <c r="Z49235" s="258"/>
    </row>
    <row r="49236" spans="1:26" ht="12.75" customHeight="1" x14ac:dyDescent="0.2">
      <c r="A49236" s="258"/>
      <c r="Z49236" s="258"/>
    </row>
    <row r="49237" spans="1:26" ht="12.75" customHeight="1" x14ac:dyDescent="0.2">
      <c r="A49237" s="258"/>
      <c r="Z49237" s="258"/>
    </row>
    <row r="49238" spans="1:26" ht="12.75" customHeight="1" x14ac:dyDescent="0.2">
      <c r="A49238" s="258"/>
      <c r="Z49238" s="258"/>
    </row>
    <row r="49239" spans="1:26" ht="12.75" customHeight="1" x14ac:dyDescent="0.2">
      <c r="A49239" s="258"/>
      <c r="Z49239" s="258"/>
    </row>
    <row r="49240" spans="1:26" ht="12.75" customHeight="1" x14ac:dyDescent="0.2">
      <c r="A49240" s="258"/>
      <c r="Z49240" s="258"/>
    </row>
    <row r="49241" spans="1:26" ht="12.75" customHeight="1" x14ac:dyDescent="0.2">
      <c r="A49241" s="258"/>
      <c r="Z49241" s="258"/>
    </row>
    <row r="49242" spans="1:26" ht="12.75" customHeight="1" x14ac:dyDescent="0.2">
      <c r="A49242" s="258"/>
      <c r="Z49242" s="258"/>
    </row>
    <row r="49243" spans="1:26" ht="12.75" customHeight="1" x14ac:dyDescent="0.2">
      <c r="A49243" s="258"/>
      <c r="Z49243" s="258"/>
    </row>
    <row r="49244" spans="1:26" ht="12.75" customHeight="1" x14ac:dyDescent="0.2">
      <c r="A49244" s="258"/>
      <c r="Z49244" s="258"/>
    </row>
    <row r="49245" spans="1:26" ht="12.75" customHeight="1" x14ac:dyDescent="0.2">
      <c r="A49245" s="258"/>
      <c r="Z49245" s="258"/>
    </row>
    <row r="49246" spans="1:26" ht="12.75" customHeight="1" x14ac:dyDescent="0.2">
      <c r="A49246" s="258"/>
      <c r="Z49246" s="258"/>
    </row>
    <row r="49247" spans="1:26" ht="12.75" customHeight="1" x14ac:dyDescent="0.2">
      <c r="A49247" s="258"/>
      <c r="Z49247" s="258"/>
    </row>
    <row r="49248" spans="1:26" ht="12.75" customHeight="1" x14ac:dyDescent="0.2">
      <c r="A49248" s="258"/>
      <c r="Z49248" s="258"/>
    </row>
    <row r="49249" spans="1:26" ht="12.75" customHeight="1" x14ac:dyDescent="0.2">
      <c r="A49249" s="258"/>
      <c r="Z49249" s="258"/>
    </row>
    <row r="49250" spans="1:26" ht="12.75" customHeight="1" x14ac:dyDescent="0.2">
      <c r="A49250" s="258"/>
      <c r="Z49250" s="258"/>
    </row>
    <row r="49251" spans="1:26" ht="12.75" customHeight="1" x14ac:dyDescent="0.2">
      <c r="A49251" s="258"/>
      <c r="Z49251" s="258"/>
    </row>
    <row r="49252" spans="1:26" ht="12.75" customHeight="1" x14ac:dyDescent="0.2">
      <c r="A49252" s="258"/>
      <c r="Z49252" s="258"/>
    </row>
    <row r="49253" spans="1:26" ht="12.75" customHeight="1" x14ac:dyDescent="0.2">
      <c r="A49253" s="258"/>
      <c r="Z49253" s="258"/>
    </row>
    <row r="49254" spans="1:26" ht="12.75" customHeight="1" x14ac:dyDescent="0.2">
      <c r="A49254" s="258"/>
      <c r="Z49254" s="258"/>
    </row>
    <row r="49255" spans="1:26" ht="12.75" customHeight="1" x14ac:dyDescent="0.2">
      <c r="A49255" s="258"/>
      <c r="Z49255" s="258"/>
    </row>
    <row r="49256" spans="1:26" ht="12.75" customHeight="1" x14ac:dyDescent="0.2">
      <c r="A49256" s="258"/>
      <c r="Z49256" s="258"/>
    </row>
    <row r="49257" spans="1:26" ht="12.75" customHeight="1" x14ac:dyDescent="0.2">
      <c r="A49257" s="258"/>
      <c r="Z49257" s="258"/>
    </row>
    <row r="49258" spans="1:26" ht="12.75" customHeight="1" x14ac:dyDescent="0.2">
      <c r="A49258" s="258"/>
      <c r="Z49258" s="258"/>
    </row>
    <row r="49259" spans="1:26" ht="12.75" customHeight="1" x14ac:dyDescent="0.2">
      <c r="A49259" s="258"/>
      <c r="Z49259" s="258"/>
    </row>
    <row r="49260" spans="1:26" ht="12.75" customHeight="1" x14ac:dyDescent="0.2">
      <c r="A49260" s="258"/>
      <c r="Z49260" s="258"/>
    </row>
    <row r="49261" spans="1:26" ht="12.75" customHeight="1" x14ac:dyDescent="0.2">
      <c r="A49261" s="258"/>
      <c r="Z49261" s="258"/>
    </row>
    <row r="49262" spans="1:26" ht="12.75" customHeight="1" x14ac:dyDescent="0.2">
      <c r="A49262" s="258"/>
      <c r="Z49262" s="258"/>
    </row>
    <row r="49263" spans="1:26" ht="12.75" customHeight="1" x14ac:dyDescent="0.2">
      <c r="A49263" s="258"/>
      <c r="Z49263" s="258"/>
    </row>
    <row r="49264" spans="1:26" ht="12.75" customHeight="1" x14ac:dyDescent="0.2">
      <c r="A49264" s="258"/>
      <c r="Z49264" s="258"/>
    </row>
    <row r="49265" spans="1:26" ht="12.75" customHeight="1" x14ac:dyDescent="0.2">
      <c r="A49265" s="258"/>
      <c r="Z49265" s="258"/>
    </row>
    <row r="49266" spans="1:26" ht="12.75" customHeight="1" x14ac:dyDescent="0.2">
      <c r="A49266" s="258"/>
      <c r="Z49266" s="258"/>
    </row>
    <row r="49267" spans="1:26" ht="12.75" customHeight="1" x14ac:dyDescent="0.2">
      <c r="A49267" s="258"/>
      <c r="Z49267" s="258"/>
    </row>
    <row r="49268" spans="1:26" ht="12.75" customHeight="1" x14ac:dyDescent="0.2">
      <c r="A49268" s="258"/>
      <c r="Z49268" s="258"/>
    </row>
    <row r="49269" spans="1:26" ht="12.75" customHeight="1" x14ac:dyDescent="0.2">
      <c r="A49269" s="258"/>
      <c r="Z49269" s="258"/>
    </row>
    <row r="49270" spans="1:26" ht="12.75" customHeight="1" x14ac:dyDescent="0.2">
      <c r="A49270" s="258"/>
      <c r="Z49270" s="258"/>
    </row>
    <row r="49271" spans="1:26" ht="12.75" customHeight="1" x14ac:dyDescent="0.2">
      <c r="A49271" s="258"/>
      <c r="Z49271" s="258"/>
    </row>
    <row r="49272" spans="1:26" ht="12.75" customHeight="1" x14ac:dyDescent="0.2">
      <c r="A49272" s="258"/>
      <c r="Z49272" s="258"/>
    </row>
    <row r="49273" spans="1:26" ht="12.75" customHeight="1" x14ac:dyDescent="0.2">
      <c r="A49273" s="258"/>
      <c r="Z49273" s="258"/>
    </row>
    <row r="49274" spans="1:26" ht="12.75" customHeight="1" x14ac:dyDescent="0.2">
      <c r="A49274" s="258"/>
      <c r="Z49274" s="258"/>
    </row>
    <row r="49275" spans="1:26" ht="12.75" customHeight="1" x14ac:dyDescent="0.2">
      <c r="A49275" s="258"/>
      <c r="Z49275" s="258"/>
    </row>
    <row r="49276" spans="1:26" ht="12.75" customHeight="1" x14ac:dyDescent="0.2">
      <c r="A49276" s="258"/>
      <c r="Z49276" s="258"/>
    </row>
    <row r="49277" spans="1:26" ht="12.75" customHeight="1" x14ac:dyDescent="0.2">
      <c r="A49277" s="258"/>
      <c r="Z49277" s="258"/>
    </row>
    <row r="49278" spans="1:26" ht="12.75" customHeight="1" x14ac:dyDescent="0.2">
      <c r="A49278" s="258"/>
      <c r="Z49278" s="258"/>
    </row>
    <row r="49279" spans="1:26" ht="12.75" customHeight="1" x14ac:dyDescent="0.2">
      <c r="A49279" s="258"/>
      <c r="Z49279" s="258"/>
    </row>
    <row r="49280" spans="1:26" ht="12.75" customHeight="1" x14ac:dyDescent="0.2">
      <c r="A49280" s="258"/>
      <c r="Z49280" s="258"/>
    </row>
    <row r="49281" spans="1:26" ht="12.75" customHeight="1" x14ac:dyDescent="0.2">
      <c r="A49281" s="258"/>
      <c r="Z49281" s="258"/>
    </row>
    <row r="49282" spans="1:26" ht="12.75" customHeight="1" x14ac:dyDescent="0.2">
      <c r="A49282" s="258"/>
      <c r="Z49282" s="258"/>
    </row>
    <row r="49283" spans="1:26" ht="12.75" customHeight="1" x14ac:dyDescent="0.2">
      <c r="A49283" s="258"/>
      <c r="Z49283" s="258"/>
    </row>
    <row r="49284" spans="1:26" ht="12.75" customHeight="1" x14ac:dyDescent="0.2">
      <c r="A49284" s="258"/>
      <c r="Z49284" s="258"/>
    </row>
    <row r="49285" spans="1:26" ht="12.75" customHeight="1" x14ac:dyDescent="0.2">
      <c r="A49285" s="258"/>
      <c r="Z49285" s="258"/>
    </row>
    <row r="49286" spans="1:26" ht="12.75" customHeight="1" x14ac:dyDescent="0.2">
      <c r="A49286" s="258"/>
      <c r="Z49286" s="258"/>
    </row>
    <row r="49287" spans="1:26" ht="12.75" customHeight="1" x14ac:dyDescent="0.2">
      <c r="A49287" s="258"/>
      <c r="Z49287" s="258"/>
    </row>
    <row r="49288" spans="1:26" ht="12.75" customHeight="1" x14ac:dyDescent="0.2">
      <c r="A49288" s="258"/>
      <c r="Z49288" s="258"/>
    </row>
    <row r="49289" spans="1:26" ht="12.75" customHeight="1" x14ac:dyDescent="0.2">
      <c r="A49289" s="258"/>
      <c r="Z49289" s="258"/>
    </row>
    <row r="49290" spans="1:26" ht="12.75" customHeight="1" x14ac:dyDescent="0.2">
      <c r="A49290" s="258"/>
      <c r="Z49290" s="258"/>
    </row>
    <row r="49291" spans="1:26" ht="12.75" customHeight="1" x14ac:dyDescent="0.2">
      <c r="A49291" s="258"/>
      <c r="Z49291" s="258"/>
    </row>
    <row r="49292" spans="1:26" ht="12.75" customHeight="1" x14ac:dyDescent="0.2">
      <c r="A49292" s="258"/>
      <c r="Z49292" s="258"/>
    </row>
    <row r="49293" spans="1:26" ht="12.75" customHeight="1" x14ac:dyDescent="0.2">
      <c r="A49293" s="258"/>
      <c r="Z49293" s="258"/>
    </row>
    <row r="49294" spans="1:26" ht="12.75" customHeight="1" x14ac:dyDescent="0.2">
      <c r="A49294" s="258"/>
      <c r="Z49294" s="258"/>
    </row>
    <row r="49295" spans="1:26" ht="12.75" customHeight="1" x14ac:dyDescent="0.2">
      <c r="A49295" s="258"/>
      <c r="Z49295" s="258"/>
    </row>
    <row r="49296" spans="1:26" ht="12.75" customHeight="1" x14ac:dyDescent="0.2">
      <c r="A49296" s="258"/>
      <c r="Z49296" s="258"/>
    </row>
    <row r="49297" spans="1:26" ht="12.75" customHeight="1" x14ac:dyDescent="0.2">
      <c r="A49297" s="258"/>
      <c r="Z49297" s="258"/>
    </row>
    <row r="49298" spans="1:26" ht="12.75" customHeight="1" x14ac:dyDescent="0.2">
      <c r="A49298" s="258"/>
      <c r="Z49298" s="258"/>
    </row>
    <row r="49299" spans="1:26" ht="12.75" customHeight="1" x14ac:dyDescent="0.2">
      <c r="A49299" s="258"/>
      <c r="Z49299" s="258"/>
    </row>
    <row r="49300" spans="1:26" ht="12.75" customHeight="1" x14ac:dyDescent="0.2">
      <c r="A49300" s="258"/>
      <c r="Z49300" s="258"/>
    </row>
    <row r="49301" spans="1:26" ht="12.75" customHeight="1" x14ac:dyDescent="0.2">
      <c r="A49301" s="258"/>
      <c r="Z49301" s="258"/>
    </row>
    <row r="49302" spans="1:26" ht="12.75" customHeight="1" x14ac:dyDescent="0.2">
      <c r="A49302" s="258"/>
      <c r="Z49302" s="258"/>
    </row>
    <row r="49303" spans="1:26" ht="12.75" customHeight="1" x14ac:dyDescent="0.2">
      <c r="A49303" s="258"/>
      <c r="Z49303" s="258"/>
    </row>
    <row r="49304" spans="1:26" ht="12.75" customHeight="1" x14ac:dyDescent="0.2">
      <c r="A49304" s="258"/>
      <c r="Z49304" s="258"/>
    </row>
    <row r="49305" spans="1:26" ht="12.75" customHeight="1" x14ac:dyDescent="0.2">
      <c r="A49305" s="258"/>
      <c r="Z49305" s="258"/>
    </row>
    <row r="49306" spans="1:26" ht="12.75" customHeight="1" x14ac:dyDescent="0.2">
      <c r="A49306" s="258"/>
      <c r="Z49306" s="258"/>
    </row>
    <row r="49307" spans="1:26" ht="12.75" customHeight="1" x14ac:dyDescent="0.2">
      <c r="A49307" s="258"/>
      <c r="Z49307" s="258"/>
    </row>
    <row r="49308" spans="1:26" ht="12.75" customHeight="1" x14ac:dyDescent="0.2">
      <c r="A49308" s="258"/>
      <c r="Z49308" s="258"/>
    </row>
    <row r="49309" spans="1:26" ht="12.75" customHeight="1" x14ac:dyDescent="0.2">
      <c r="A49309" s="258"/>
      <c r="Z49309" s="258"/>
    </row>
    <row r="49310" spans="1:26" ht="12.75" customHeight="1" x14ac:dyDescent="0.2">
      <c r="A49310" s="258"/>
      <c r="Z49310" s="258"/>
    </row>
    <row r="49311" spans="1:26" ht="12.75" customHeight="1" x14ac:dyDescent="0.2">
      <c r="A49311" s="258"/>
      <c r="Z49311" s="258"/>
    </row>
    <row r="49312" spans="1:26" ht="12.75" customHeight="1" x14ac:dyDescent="0.2">
      <c r="A49312" s="258"/>
      <c r="Z49312" s="258"/>
    </row>
    <row r="49313" spans="1:26" ht="12.75" customHeight="1" x14ac:dyDescent="0.2">
      <c r="A49313" s="258"/>
      <c r="Z49313" s="258"/>
    </row>
    <row r="49314" spans="1:26" ht="12.75" customHeight="1" x14ac:dyDescent="0.2">
      <c r="A49314" s="258"/>
      <c r="Z49314" s="258"/>
    </row>
    <row r="49315" spans="1:26" ht="12.75" customHeight="1" x14ac:dyDescent="0.2">
      <c r="A49315" s="258"/>
      <c r="Z49315" s="258"/>
    </row>
    <row r="49316" spans="1:26" ht="12.75" customHeight="1" x14ac:dyDescent="0.2">
      <c r="A49316" s="258"/>
      <c r="Z49316" s="258"/>
    </row>
    <row r="49317" spans="1:26" ht="12.75" customHeight="1" x14ac:dyDescent="0.2">
      <c r="A49317" s="258"/>
      <c r="Z49317" s="258"/>
    </row>
    <row r="49318" spans="1:26" ht="12.75" customHeight="1" x14ac:dyDescent="0.2">
      <c r="A49318" s="258"/>
      <c r="Z49318" s="258"/>
    </row>
    <row r="49319" spans="1:26" ht="12.75" customHeight="1" x14ac:dyDescent="0.2">
      <c r="A49319" s="258"/>
      <c r="Z49319" s="258"/>
    </row>
    <row r="49320" spans="1:26" ht="12.75" customHeight="1" x14ac:dyDescent="0.2">
      <c r="A49320" s="258"/>
      <c r="Z49320" s="258"/>
    </row>
    <row r="49321" spans="1:26" ht="12.75" customHeight="1" x14ac:dyDescent="0.2">
      <c r="A49321" s="258"/>
      <c r="Z49321" s="258"/>
    </row>
    <row r="49322" spans="1:26" ht="12.75" customHeight="1" x14ac:dyDescent="0.2">
      <c r="A49322" s="258"/>
      <c r="Z49322" s="258"/>
    </row>
    <row r="49323" spans="1:26" ht="12.75" customHeight="1" x14ac:dyDescent="0.2">
      <c r="A49323" s="258"/>
      <c r="Z49323" s="258"/>
    </row>
    <row r="49324" spans="1:26" ht="12.75" customHeight="1" x14ac:dyDescent="0.2">
      <c r="A49324" s="258"/>
      <c r="Z49324" s="258"/>
    </row>
    <row r="49325" spans="1:26" ht="12.75" customHeight="1" x14ac:dyDescent="0.2">
      <c r="A49325" s="258"/>
      <c r="Z49325" s="258"/>
    </row>
    <row r="49326" spans="1:26" ht="12.75" customHeight="1" x14ac:dyDescent="0.2">
      <c r="A49326" s="258"/>
      <c r="Z49326" s="258"/>
    </row>
    <row r="49327" spans="1:26" ht="12.75" customHeight="1" x14ac:dyDescent="0.2">
      <c r="A49327" s="258"/>
      <c r="Z49327" s="258"/>
    </row>
    <row r="49328" spans="1:26" ht="12.75" customHeight="1" x14ac:dyDescent="0.2">
      <c r="A49328" s="258"/>
      <c r="Z49328" s="258"/>
    </row>
    <row r="49329" spans="1:26" ht="12.75" customHeight="1" x14ac:dyDescent="0.2">
      <c r="A49329" s="258"/>
      <c r="Z49329" s="258"/>
    </row>
    <row r="49330" spans="1:26" ht="12.75" customHeight="1" x14ac:dyDescent="0.2">
      <c r="A49330" s="258"/>
      <c r="Z49330" s="258"/>
    </row>
    <row r="49331" spans="1:26" ht="12.75" customHeight="1" x14ac:dyDescent="0.2">
      <c r="A49331" s="258"/>
      <c r="Z49331" s="258"/>
    </row>
    <row r="49332" spans="1:26" ht="12.75" customHeight="1" x14ac:dyDescent="0.2">
      <c r="A49332" s="258"/>
      <c r="Z49332" s="258"/>
    </row>
    <row r="49333" spans="1:26" ht="12.75" customHeight="1" x14ac:dyDescent="0.2">
      <c r="A49333" s="258"/>
      <c r="Z49333" s="258"/>
    </row>
    <row r="49334" spans="1:26" ht="12.75" customHeight="1" x14ac:dyDescent="0.2">
      <c r="A49334" s="258"/>
      <c r="Z49334" s="258"/>
    </row>
    <row r="49335" spans="1:26" ht="12.75" customHeight="1" x14ac:dyDescent="0.2">
      <c r="A49335" s="258"/>
      <c r="Z49335" s="258"/>
    </row>
    <row r="49336" spans="1:26" ht="12.75" customHeight="1" x14ac:dyDescent="0.2">
      <c r="A49336" s="258"/>
      <c r="Z49336" s="258"/>
    </row>
    <row r="49337" spans="1:26" ht="12.75" customHeight="1" x14ac:dyDescent="0.2">
      <c r="A49337" s="258"/>
      <c r="Z49337" s="258"/>
    </row>
    <row r="49338" spans="1:26" ht="12.75" customHeight="1" x14ac:dyDescent="0.2">
      <c r="A49338" s="258"/>
      <c r="Z49338" s="258"/>
    </row>
    <row r="49339" spans="1:26" ht="12.75" customHeight="1" x14ac:dyDescent="0.2">
      <c r="A49339" s="258"/>
      <c r="Z49339" s="258"/>
    </row>
    <row r="49340" spans="1:26" ht="12.75" customHeight="1" x14ac:dyDescent="0.2">
      <c r="A49340" s="258"/>
      <c r="Z49340" s="258"/>
    </row>
    <row r="49341" spans="1:26" ht="12.75" customHeight="1" x14ac:dyDescent="0.2">
      <c r="A49341" s="258"/>
      <c r="Z49341" s="258"/>
    </row>
    <row r="49342" spans="1:26" ht="12.75" customHeight="1" x14ac:dyDescent="0.2">
      <c r="A49342" s="258"/>
      <c r="Z49342" s="258"/>
    </row>
    <row r="49343" spans="1:26" ht="12.75" customHeight="1" x14ac:dyDescent="0.2">
      <c r="A49343" s="258"/>
      <c r="Z49343" s="258"/>
    </row>
    <row r="49344" spans="1:26" ht="12.75" customHeight="1" x14ac:dyDescent="0.2">
      <c r="A49344" s="258"/>
      <c r="Z49344" s="258"/>
    </row>
    <row r="49345" spans="1:26" ht="12.75" customHeight="1" x14ac:dyDescent="0.2">
      <c r="A49345" s="258"/>
      <c r="Z49345" s="258"/>
    </row>
    <row r="49346" spans="1:26" ht="12.75" customHeight="1" x14ac:dyDescent="0.2">
      <c r="A49346" s="258"/>
      <c r="Z49346" s="258"/>
    </row>
    <row r="49347" spans="1:26" ht="12.75" customHeight="1" x14ac:dyDescent="0.2">
      <c r="A49347" s="258"/>
      <c r="Z49347" s="258"/>
    </row>
    <row r="49348" spans="1:26" ht="12.75" customHeight="1" x14ac:dyDescent="0.2">
      <c r="A49348" s="258"/>
      <c r="Z49348" s="258"/>
    </row>
    <row r="49349" spans="1:26" ht="12.75" customHeight="1" x14ac:dyDescent="0.2">
      <c r="A49349" s="258"/>
      <c r="Z49349" s="258"/>
    </row>
    <row r="49350" spans="1:26" ht="12.75" customHeight="1" x14ac:dyDescent="0.2">
      <c r="A49350" s="258"/>
      <c r="Z49350" s="258"/>
    </row>
    <row r="49351" spans="1:26" ht="12.75" customHeight="1" x14ac:dyDescent="0.2">
      <c r="A49351" s="258"/>
      <c r="Z49351" s="258"/>
    </row>
    <row r="49352" spans="1:26" ht="12.75" customHeight="1" x14ac:dyDescent="0.2">
      <c r="A49352" s="258"/>
      <c r="Z49352" s="258"/>
    </row>
    <row r="49353" spans="1:26" ht="12.75" customHeight="1" x14ac:dyDescent="0.2">
      <c r="A49353" s="258"/>
      <c r="Z49353" s="258"/>
    </row>
    <row r="49354" spans="1:26" ht="12.75" customHeight="1" x14ac:dyDescent="0.2">
      <c r="A49354" s="258"/>
      <c r="Z49354" s="258"/>
    </row>
    <row r="49355" spans="1:26" ht="12.75" customHeight="1" x14ac:dyDescent="0.2">
      <c r="A49355" s="258"/>
      <c r="Z49355" s="258"/>
    </row>
    <row r="49356" spans="1:26" ht="12.75" customHeight="1" x14ac:dyDescent="0.2">
      <c r="A49356" s="258"/>
      <c r="Z49356" s="258"/>
    </row>
    <row r="49357" spans="1:26" ht="12.75" customHeight="1" x14ac:dyDescent="0.2">
      <c r="A49357" s="258"/>
      <c r="Z49357" s="258"/>
    </row>
    <row r="49358" spans="1:26" ht="12.75" customHeight="1" x14ac:dyDescent="0.2">
      <c r="A49358" s="258"/>
      <c r="Z49358" s="258"/>
    </row>
    <row r="49359" spans="1:26" ht="12.75" customHeight="1" x14ac:dyDescent="0.2">
      <c r="A49359" s="258"/>
      <c r="Z49359" s="258"/>
    </row>
    <row r="49360" spans="1:26" ht="12.75" customHeight="1" x14ac:dyDescent="0.2">
      <c r="A49360" s="258"/>
      <c r="Z49360" s="258"/>
    </row>
    <row r="49361" spans="1:26" ht="12.75" customHeight="1" x14ac:dyDescent="0.2">
      <c r="A49361" s="258"/>
      <c r="Z49361" s="258"/>
    </row>
    <row r="49362" spans="1:26" ht="12.75" customHeight="1" x14ac:dyDescent="0.2">
      <c r="A49362" s="258"/>
      <c r="Z49362" s="258"/>
    </row>
    <row r="49363" spans="1:26" ht="12.75" customHeight="1" x14ac:dyDescent="0.2">
      <c r="A49363" s="258"/>
      <c r="Z49363" s="258"/>
    </row>
    <row r="49364" spans="1:26" ht="12.75" customHeight="1" x14ac:dyDescent="0.2">
      <c r="A49364" s="258"/>
      <c r="Z49364" s="258"/>
    </row>
    <row r="49365" spans="1:26" ht="12.75" customHeight="1" x14ac:dyDescent="0.2">
      <c r="A49365" s="258"/>
      <c r="Z49365" s="258"/>
    </row>
    <row r="49366" spans="1:26" ht="12.75" customHeight="1" x14ac:dyDescent="0.2">
      <c r="A49366" s="258"/>
      <c r="Z49366" s="258"/>
    </row>
    <row r="49367" spans="1:26" ht="12.75" customHeight="1" x14ac:dyDescent="0.2">
      <c r="A49367" s="258"/>
      <c r="Z49367" s="258"/>
    </row>
    <row r="49368" spans="1:26" ht="12.75" customHeight="1" x14ac:dyDescent="0.2">
      <c r="A49368" s="258"/>
      <c r="Z49368" s="258"/>
    </row>
    <row r="49369" spans="1:26" ht="12.75" customHeight="1" x14ac:dyDescent="0.2">
      <c r="A49369" s="258"/>
      <c r="Z49369" s="258"/>
    </row>
    <row r="49370" spans="1:26" ht="12.75" customHeight="1" x14ac:dyDescent="0.2">
      <c r="A49370" s="258"/>
      <c r="Z49370" s="258"/>
    </row>
    <row r="49371" spans="1:26" ht="12.75" customHeight="1" x14ac:dyDescent="0.2">
      <c r="A49371" s="258"/>
      <c r="Z49371" s="258"/>
    </row>
    <row r="49372" spans="1:26" ht="12.75" customHeight="1" x14ac:dyDescent="0.2">
      <c r="A49372" s="258"/>
      <c r="Z49372" s="258"/>
    </row>
    <row r="49373" spans="1:26" ht="12.75" customHeight="1" x14ac:dyDescent="0.2">
      <c r="A49373" s="258"/>
      <c r="Z49373" s="258"/>
    </row>
    <row r="49374" spans="1:26" ht="12.75" customHeight="1" x14ac:dyDescent="0.2">
      <c r="A49374" s="258"/>
      <c r="Z49374" s="258"/>
    </row>
    <row r="49375" spans="1:26" ht="12.75" customHeight="1" x14ac:dyDescent="0.2">
      <c r="A49375" s="258"/>
      <c r="Z49375" s="258"/>
    </row>
    <row r="49376" spans="1:26" ht="12.75" customHeight="1" x14ac:dyDescent="0.2">
      <c r="A49376" s="258"/>
      <c r="Z49376" s="258"/>
    </row>
    <row r="49377" spans="1:26" ht="12.75" customHeight="1" x14ac:dyDescent="0.2">
      <c r="A49377" s="258"/>
      <c r="Z49377" s="258"/>
    </row>
    <row r="49378" spans="1:26" ht="12.75" customHeight="1" x14ac:dyDescent="0.2">
      <c r="A49378" s="258"/>
      <c r="Z49378" s="258"/>
    </row>
    <row r="49379" spans="1:26" ht="12.75" customHeight="1" x14ac:dyDescent="0.2">
      <c r="A49379" s="258"/>
      <c r="Z49379" s="258"/>
    </row>
    <row r="49380" spans="1:26" ht="12.75" customHeight="1" x14ac:dyDescent="0.2">
      <c r="A49380" s="258"/>
      <c r="Z49380" s="258"/>
    </row>
    <row r="49381" spans="1:26" ht="12.75" customHeight="1" x14ac:dyDescent="0.2">
      <c r="A49381" s="258"/>
      <c r="Z49381" s="258"/>
    </row>
    <row r="49382" spans="1:26" ht="12.75" customHeight="1" x14ac:dyDescent="0.2">
      <c r="A49382" s="258"/>
      <c r="Z49382" s="258"/>
    </row>
    <row r="49383" spans="1:26" ht="12.75" customHeight="1" x14ac:dyDescent="0.2">
      <c r="A49383" s="258"/>
      <c r="Z49383" s="258"/>
    </row>
    <row r="49384" spans="1:26" ht="12.75" customHeight="1" x14ac:dyDescent="0.2">
      <c r="A49384" s="258"/>
      <c r="Z49384" s="258"/>
    </row>
    <row r="49385" spans="1:26" ht="12.75" customHeight="1" x14ac:dyDescent="0.2">
      <c r="A49385" s="258"/>
      <c r="Z49385" s="258"/>
    </row>
    <row r="49386" spans="1:26" ht="12.75" customHeight="1" x14ac:dyDescent="0.2">
      <c r="A49386" s="258"/>
      <c r="Z49386" s="258"/>
    </row>
    <row r="49387" spans="1:26" ht="12.75" customHeight="1" x14ac:dyDescent="0.2">
      <c r="A49387" s="258"/>
      <c r="Z49387" s="258"/>
    </row>
    <row r="49388" spans="1:26" ht="12.75" customHeight="1" x14ac:dyDescent="0.2">
      <c r="A49388" s="258"/>
      <c r="Z49388" s="258"/>
    </row>
    <row r="49389" spans="1:26" ht="12.75" customHeight="1" x14ac:dyDescent="0.2">
      <c r="A49389" s="258"/>
      <c r="Z49389" s="258"/>
    </row>
    <row r="49390" spans="1:26" ht="12.75" customHeight="1" x14ac:dyDescent="0.2">
      <c r="A49390" s="258"/>
      <c r="Z49390" s="258"/>
    </row>
    <row r="49391" spans="1:26" ht="12.75" customHeight="1" x14ac:dyDescent="0.2">
      <c r="A49391" s="258"/>
      <c r="Z49391" s="258"/>
    </row>
    <row r="49392" spans="1:26" ht="12.75" customHeight="1" x14ac:dyDescent="0.2">
      <c r="A49392" s="258"/>
      <c r="Z49392" s="258"/>
    </row>
    <row r="49393" spans="1:26" ht="12.75" customHeight="1" x14ac:dyDescent="0.2">
      <c r="A49393" s="258"/>
      <c r="Z49393" s="258"/>
    </row>
    <row r="49394" spans="1:26" ht="12.75" customHeight="1" x14ac:dyDescent="0.2">
      <c r="A49394" s="258"/>
      <c r="Z49394" s="258"/>
    </row>
    <row r="49395" spans="1:26" ht="12.75" customHeight="1" x14ac:dyDescent="0.2">
      <c r="A49395" s="258"/>
      <c r="Z49395" s="258"/>
    </row>
    <row r="49396" spans="1:26" ht="12.75" customHeight="1" x14ac:dyDescent="0.2">
      <c r="A49396" s="258"/>
      <c r="Z49396" s="258"/>
    </row>
    <row r="49397" spans="1:26" ht="12.75" customHeight="1" x14ac:dyDescent="0.2">
      <c r="A49397" s="258"/>
      <c r="Z49397" s="258"/>
    </row>
    <row r="49398" spans="1:26" ht="12.75" customHeight="1" x14ac:dyDescent="0.2">
      <c r="A49398" s="258"/>
      <c r="Z49398" s="258"/>
    </row>
    <row r="49399" spans="1:26" ht="12.75" customHeight="1" x14ac:dyDescent="0.2">
      <c r="A49399" s="258"/>
      <c r="Z49399" s="258"/>
    </row>
    <row r="49400" spans="1:26" ht="12.75" customHeight="1" x14ac:dyDescent="0.2">
      <c r="A49400" s="258"/>
      <c r="Z49400" s="258"/>
    </row>
    <row r="49401" spans="1:26" ht="12.75" customHeight="1" x14ac:dyDescent="0.2">
      <c r="A49401" s="258"/>
      <c r="Z49401" s="258"/>
    </row>
    <row r="49402" spans="1:26" ht="12.75" customHeight="1" x14ac:dyDescent="0.2">
      <c r="A49402" s="258"/>
      <c r="Z49402" s="258"/>
    </row>
    <row r="49403" spans="1:26" ht="12.75" customHeight="1" x14ac:dyDescent="0.2">
      <c r="A49403" s="258"/>
      <c r="Z49403" s="258"/>
    </row>
    <row r="49404" spans="1:26" ht="12.75" customHeight="1" x14ac:dyDescent="0.2">
      <c r="A49404" s="258"/>
      <c r="Z49404" s="258"/>
    </row>
    <row r="49405" spans="1:26" ht="12.75" customHeight="1" x14ac:dyDescent="0.2">
      <c r="A49405" s="258"/>
      <c r="Z49405" s="258"/>
    </row>
    <row r="49406" spans="1:26" ht="12.75" customHeight="1" x14ac:dyDescent="0.2">
      <c r="A49406" s="258"/>
      <c r="Z49406" s="258"/>
    </row>
    <row r="49407" spans="1:26" ht="12.75" customHeight="1" x14ac:dyDescent="0.2">
      <c r="A49407" s="258"/>
      <c r="Z49407" s="258"/>
    </row>
    <row r="49408" spans="1:26" ht="12.75" customHeight="1" x14ac:dyDescent="0.2">
      <c r="A49408" s="258"/>
      <c r="Z49408" s="258"/>
    </row>
    <row r="49409" spans="1:26" ht="12.75" customHeight="1" x14ac:dyDescent="0.2">
      <c r="A49409" s="258"/>
      <c r="Z49409" s="258"/>
    </row>
    <row r="49410" spans="1:26" ht="12.75" customHeight="1" x14ac:dyDescent="0.2">
      <c r="A49410" s="258"/>
      <c r="Z49410" s="258"/>
    </row>
    <row r="49411" spans="1:26" ht="12.75" customHeight="1" x14ac:dyDescent="0.2">
      <c r="A49411" s="258"/>
      <c r="Z49411" s="258"/>
    </row>
    <row r="49412" spans="1:26" ht="12.75" customHeight="1" x14ac:dyDescent="0.2">
      <c r="A49412" s="258"/>
      <c r="Z49412" s="258"/>
    </row>
    <row r="49413" spans="1:26" ht="12.75" customHeight="1" x14ac:dyDescent="0.2">
      <c r="A49413" s="258"/>
      <c r="Z49413" s="258"/>
    </row>
    <row r="49414" spans="1:26" ht="12.75" customHeight="1" x14ac:dyDescent="0.2">
      <c r="A49414" s="258"/>
      <c r="Z49414" s="258"/>
    </row>
    <row r="49415" spans="1:26" ht="12.75" customHeight="1" x14ac:dyDescent="0.2">
      <c r="A49415" s="258"/>
      <c r="Z49415" s="258"/>
    </row>
    <row r="49416" spans="1:26" ht="12.75" customHeight="1" x14ac:dyDescent="0.2">
      <c r="A49416" s="258"/>
      <c r="Z49416" s="258"/>
    </row>
    <row r="49417" spans="1:26" ht="12.75" customHeight="1" x14ac:dyDescent="0.2">
      <c r="A49417" s="258"/>
      <c r="Z49417" s="258"/>
    </row>
    <row r="49418" spans="1:26" ht="12.75" customHeight="1" x14ac:dyDescent="0.2">
      <c r="A49418" s="258"/>
      <c r="Z49418" s="258"/>
    </row>
    <row r="49419" spans="1:26" ht="12.75" customHeight="1" x14ac:dyDescent="0.2">
      <c r="A49419" s="258"/>
      <c r="Z49419" s="258"/>
    </row>
    <row r="49420" spans="1:26" ht="12.75" customHeight="1" x14ac:dyDescent="0.2">
      <c r="A49420" s="258"/>
      <c r="Z49420" s="258"/>
    </row>
    <row r="49421" spans="1:26" ht="12.75" customHeight="1" x14ac:dyDescent="0.2">
      <c r="A49421" s="258"/>
      <c r="Z49421" s="258"/>
    </row>
    <row r="49422" spans="1:26" ht="12.75" customHeight="1" x14ac:dyDescent="0.2">
      <c r="A49422" s="258"/>
      <c r="Z49422" s="258"/>
    </row>
    <row r="49423" spans="1:26" ht="12.75" customHeight="1" x14ac:dyDescent="0.2">
      <c r="A49423" s="258"/>
      <c r="Z49423" s="258"/>
    </row>
    <row r="49424" spans="1:26" ht="12.75" customHeight="1" x14ac:dyDescent="0.2">
      <c r="A49424" s="258"/>
      <c r="Z49424" s="258"/>
    </row>
    <row r="49425" spans="1:26" ht="12.75" customHeight="1" x14ac:dyDescent="0.2">
      <c r="A49425" s="258"/>
      <c r="Z49425" s="258"/>
    </row>
    <row r="49426" spans="1:26" ht="12.75" customHeight="1" x14ac:dyDescent="0.2">
      <c r="A49426" s="258"/>
      <c r="Z49426" s="258"/>
    </row>
    <row r="49427" spans="1:26" ht="12.75" customHeight="1" x14ac:dyDescent="0.2">
      <c r="A49427" s="258"/>
      <c r="Z49427" s="258"/>
    </row>
    <row r="49428" spans="1:26" ht="12.75" customHeight="1" x14ac:dyDescent="0.2">
      <c r="A49428" s="258"/>
      <c r="Z49428" s="258"/>
    </row>
    <row r="49429" spans="1:26" ht="12.75" customHeight="1" x14ac:dyDescent="0.2">
      <c r="A49429" s="258"/>
      <c r="Z49429" s="258"/>
    </row>
    <row r="49430" spans="1:26" ht="12.75" customHeight="1" x14ac:dyDescent="0.2">
      <c r="A49430" s="258"/>
      <c r="Z49430" s="258"/>
    </row>
    <row r="49431" spans="1:26" ht="12.75" customHeight="1" x14ac:dyDescent="0.2">
      <c r="A49431" s="258"/>
      <c r="Z49431" s="258"/>
    </row>
    <row r="49432" spans="1:26" ht="12.75" customHeight="1" x14ac:dyDescent="0.2">
      <c r="A49432" s="258"/>
      <c r="Z49432" s="258"/>
    </row>
    <row r="49433" spans="1:26" ht="12.75" customHeight="1" x14ac:dyDescent="0.2">
      <c r="A49433" s="258"/>
      <c r="Z49433" s="258"/>
    </row>
    <row r="49434" spans="1:26" ht="12.75" customHeight="1" x14ac:dyDescent="0.2">
      <c r="A49434" s="258"/>
      <c r="Z49434" s="258"/>
    </row>
    <row r="49435" spans="1:26" ht="12.75" customHeight="1" x14ac:dyDescent="0.2">
      <c r="A49435" s="258"/>
      <c r="Z49435" s="258"/>
    </row>
    <row r="49436" spans="1:26" ht="12.75" customHeight="1" x14ac:dyDescent="0.2">
      <c r="A49436" s="258"/>
      <c r="Z49436" s="258"/>
    </row>
    <row r="49437" spans="1:26" ht="12.75" customHeight="1" x14ac:dyDescent="0.2">
      <c r="A49437" s="258"/>
      <c r="Z49437" s="258"/>
    </row>
    <row r="49438" spans="1:26" ht="12.75" customHeight="1" x14ac:dyDescent="0.2">
      <c r="A49438" s="258"/>
      <c r="Z49438" s="258"/>
    </row>
    <row r="49439" spans="1:26" ht="12.75" customHeight="1" x14ac:dyDescent="0.2">
      <c r="A49439" s="258"/>
      <c r="Z49439" s="258"/>
    </row>
    <row r="49440" spans="1:26" ht="12.75" customHeight="1" x14ac:dyDescent="0.2">
      <c r="A49440" s="258"/>
      <c r="Z49440" s="258"/>
    </row>
    <row r="49441" spans="1:26" ht="12.75" customHeight="1" x14ac:dyDescent="0.2">
      <c r="A49441" s="258"/>
      <c r="Z49441" s="258"/>
    </row>
    <row r="49442" spans="1:26" ht="12.75" customHeight="1" x14ac:dyDescent="0.2">
      <c r="A49442" s="258"/>
      <c r="Z49442" s="258"/>
    </row>
    <row r="49443" spans="1:26" ht="12.75" customHeight="1" x14ac:dyDescent="0.2">
      <c r="A49443" s="258"/>
      <c r="Z49443" s="258"/>
    </row>
    <row r="49444" spans="1:26" ht="12.75" customHeight="1" x14ac:dyDescent="0.2">
      <c r="A49444" s="258"/>
      <c r="Z49444" s="258"/>
    </row>
    <row r="49445" spans="1:26" ht="12.75" customHeight="1" x14ac:dyDescent="0.2">
      <c r="A49445" s="258"/>
      <c r="Z49445" s="258"/>
    </row>
    <row r="49446" spans="1:26" ht="12.75" customHeight="1" x14ac:dyDescent="0.2">
      <c r="A49446" s="258"/>
      <c r="Z49446" s="258"/>
    </row>
    <row r="49447" spans="1:26" ht="12.75" customHeight="1" x14ac:dyDescent="0.2">
      <c r="A49447" s="258"/>
      <c r="Z49447" s="258"/>
    </row>
    <row r="49448" spans="1:26" ht="12.75" customHeight="1" x14ac:dyDescent="0.2">
      <c r="A49448" s="258"/>
      <c r="Z49448" s="258"/>
    </row>
    <row r="49449" spans="1:26" ht="12.75" customHeight="1" x14ac:dyDescent="0.2">
      <c r="A49449" s="258"/>
      <c r="Z49449" s="258"/>
    </row>
    <row r="49450" spans="1:26" ht="12.75" customHeight="1" x14ac:dyDescent="0.2">
      <c r="A49450" s="258"/>
      <c r="Z49450" s="258"/>
    </row>
    <row r="49451" spans="1:26" ht="12.75" customHeight="1" x14ac:dyDescent="0.2">
      <c r="A49451" s="258"/>
      <c r="Z49451" s="258"/>
    </row>
    <row r="49452" spans="1:26" ht="12.75" customHeight="1" x14ac:dyDescent="0.2">
      <c r="A49452" s="258"/>
      <c r="Z49452" s="258"/>
    </row>
    <row r="49453" spans="1:26" ht="12.75" customHeight="1" x14ac:dyDescent="0.2">
      <c r="A49453" s="258"/>
      <c r="Z49453" s="258"/>
    </row>
    <row r="49454" spans="1:26" ht="12.75" customHeight="1" x14ac:dyDescent="0.2">
      <c r="A49454" s="258"/>
      <c r="Z49454" s="258"/>
    </row>
    <row r="49455" spans="1:26" ht="12.75" customHeight="1" x14ac:dyDescent="0.2">
      <c r="A49455" s="258"/>
      <c r="Z49455" s="258"/>
    </row>
    <row r="49456" spans="1:26" ht="12.75" customHeight="1" x14ac:dyDescent="0.2">
      <c r="A49456" s="258"/>
      <c r="Z49456" s="258"/>
    </row>
    <row r="49457" spans="1:26" ht="12.75" customHeight="1" x14ac:dyDescent="0.2">
      <c r="A49457" s="258"/>
      <c r="Z49457" s="258"/>
    </row>
    <row r="49458" spans="1:26" ht="12.75" customHeight="1" x14ac:dyDescent="0.2">
      <c r="A49458" s="258"/>
      <c r="Z49458" s="258"/>
    </row>
    <row r="49459" spans="1:26" ht="12.75" customHeight="1" x14ac:dyDescent="0.2">
      <c r="A49459" s="258"/>
      <c r="Z49459" s="258"/>
    </row>
    <row r="49460" spans="1:26" ht="12.75" customHeight="1" x14ac:dyDescent="0.2">
      <c r="A49460" s="258"/>
      <c r="Z49460" s="258"/>
    </row>
    <row r="49461" spans="1:26" ht="12.75" customHeight="1" x14ac:dyDescent="0.2">
      <c r="A49461" s="258"/>
      <c r="Z49461" s="258"/>
    </row>
    <row r="49462" spans="1:26" ht="12.75" customHeight="1" x14ac:dyDescent="0.2">
      <c r="A49462" s="258"/>
      <c r="Z49462" s="258"/>
    </row>
    <row r="49463" spans="1:26" ht="12.75" customHeight="1" x14ac:dyDescent="0.2">
      <c r="A49463" s="258"/>
      <c r="Z49463" s="258"/>
    </row>
    <row r="49464" spans="1:26" ht="12.75" customHeight="1" x14ac:dyDescent="0.2">
      <c r="A49464" s="258"/>
      <c r="Z49464" s="258"/>
    </row>
    <row r="49465" spans="1:26" ht="12.75" customHeight="1" x14ac:dyDescent="0.2">
      <c r="A49465" s="258"/>
      <c r="Z49465" s="258"/>
    </row>
    <row r="49466" spans="1:26" ht="12.75" customHeight="1" x14ac:dyDescent="0.2">
      <c r="A49466" s="258"/>
      <c r="Z49466" s="258"/>
    </row>
    <row r="49467" spans="1:26" ht="12.75" customHeight="1" x14ac:dyDescent="0.2">
      <c r="A49467" s="258"/>
      <c r="Z49467" s="258"/>
    </row>
    <row r="49468" spans="1:26" ht="12.75" customHeight="1" x14ac:dyDescent="0.2">
      <c r="A49468" s="258"/>
      <c r="Z49468" s="258"/>
    </row>
    <row r="49469" spans="1:26" ht="12.75" customHeight="1" x14ac:dyDescent="0.2">
      <c r="A49469" s="258"/>
      <c r="Z49469" s="258"/>
    </row>
    <row r="49470" spans="1:26" ht="12.75" customHeight="1" x14ac:dyDescent="0.2">
      <c r="A49470" s="258"/>
      <c r="Z49470" s="258"/>
    </row>
    <row r="49471" spans="1:26" ht="12.75" customHeight="1" x14ac:dyDescent="0.2">
      <c r="A49471" s="258"/>
      <c r="Z49471" s="258"/>
    </row>
    <row r="49472" spans="1:26" ht="12.75" customHeight="1" x14ac:dyDescent="0.2">
      <c r="A49472" s="258"/>
      <c r="Z49472" s="258"/>
    </row>
    <row r="49473" spans="1:26" ht="12.75" customHeight="1" x14ac:dyDescent="0.2">
      <c r="A49473" s="258"/>
      <c r="Z49473" s="258"/>
    </row>
    <row r="49474" spans="1:26" ht="12.75" customHeight="1" x14ac:dyDescent="0.2">
      <c r="A49474" s="258"/>
      <c r="Z49474" s="258"/>
    </row>
    <row r="49475" spans="1:26" ht="12.75" customHeight="1" x14ac:dyDescent="0.2">
      <c r="A49475" s="258"/>
      <c r="Z49475" s="258"/>
    </row>
    <row r="49476" spans="1:26" ht="12.75" customHeight="1" x14ac:dyDescent="0.2">
      <c r="A49476" s="258"/>
      <c r="Z49476" s="258"/>
    </row>
    <row r="49477" spans="1:26" ht="12.75" customHeight="1" x14ac:dyDescent="0.2">
      <c r="A49477" s="258"/>
      <c r="Z49477" s="258"/>
    </row>
    <row r="49478" spans="1:26" ht="12.75" customHeight="1" x14ac:dyDescent="0.2">
      <c r="A49478" s="258"/>
      <c r="Z49478" s="258"/>
    </row>
    <row r="49479" spans="1:26" ht="12.75" customHeight="1" x14ac:dyDescent="0.2">
      <c r="A49479" s="258"/>
      <c r="Z49479" s="258"/>
    </row>
    <row r="49480" spans="1:26" ht="12.75" customHeight="1" x14ac:dyDescent="0.2">
      <c r="A49480" s="258"/>
      <c r="Z49480" s="258"/>
    </row>
    <row r="49481" spans="1:26" ht="12.75" customHeight="1" x14ac:dyDescent="0.2">
      <c r="A49481" s="258"/>
      <c r="Z49481" s="258"/>
    </row>
    <row r="49482" spans="1:26" ht="12.75" customHeight="1" x14ac:dyDescent="0.2">
      <c r="A49482" s="258"/>
      <c r="Z49482" s="258"/>
    </row>
    <row r="49483" spans="1:26" ht="12.75" customHeight="1" x14ac:dyDescent="0.2">
      <c r="A49483" s="258"/>
      <c r="Z49483" s="258"/>
    </row>
    <row r="49484" spans="1:26" ht="12.75" customHeight="1" x14ac:dyDescent="0.2">
      <c r="A49484" s="258"/>
      <c r="Z49484" s="258"/>
    </row>
    <row r="49485" spans="1:26" ht="12.75" customHeight="1" x14ac:dyDescent="0.2">
      <c r="A49485" s="258"/>
      <c r="Z49485" s="258"/>
    </row>
    <row r="49486" spans="1:26" ht="12.75" customHeight="1" x14ac:dyDescent="0.2">
      <c r="A49486" s="258"/>
      <c r="Z49486" s="258"/>
    </row>
    <row r="49487" spans="1:26" ht="12.75" customHeight="1" x14ac:dyDescent="0.2">
      <c r="A49487" s="258"/>
      <c r="Z49487" s="258"/>
    </row>
    <row r="49488" spans="1:26" ht="12.75" customHeight="1" x14ac:dyDescent="0.2">
      <c r="A49488" s="258"/>
      <c r="Z49488" s="258"/>
    </row>
    <row r="49489" spans="1:26" ht="12.75" customHeight="1" x14ac:dyDescent="0.2">
      <c r="A49489" s="258"/>
      <c r="Z49489" s="258"/>
    </row>
    <row r="49490" spans="1:26" ht="12.75" customHeight="1" x14ac:dyDescent="0.2">
      <c r="A49490" s="258"/>
      <c r="Z49490" s="258"/>
    </row>
    <row r="49491" spans="1:26" ht="12.75" customHeight="1" x14ac:dyDescent="0.2">
      <c r="A49491" s="258"/>
      <c r="Z49491" s="258"/>
    </row>
    <row r="49492" spans="1:26" ht="12.75" customHeight="1" x14ac:dyDescent="0.2">
      <c r="A49492" s="258"/>
      <c r="Z49492" s="258"/>
    </row>
    <row r="49493" spans="1:26" ht="12.75" customHeight="1" x14ac:dyDescent="0.2">
      <c r="A49493" s="258"/>
      <c r="Z49493" s="258"/>
    </row>
    <row r="49494" spans="1:26" ht="12.75" customHeight="1" x14ac:dyDescent="0.2">
      <c r="A49494" s="258"/>
      <c r="Z49494" s="258"/>
    </row>
    <row r="49495" spans="1:26" ht="12.75" customHeight="1" x14ac:dyDescent="0.2">
      <c r="A49495" s="258"/>
      <c r="Z49495" s="258"/>
    </row>
    <row r="49496" spans="1:26" ht="12.75" customHeight="1" x14ac:dyDescent="0.2">
      <c r="A49496" s="258"/>
      <c r="Z49496" s="258"/>
    </row>
    <row r="49497" spans="1:26" ht="12.75" customHeight="1" x14ac:dyDescent="0.2">
      <c r="A49497" s="258"/>
      <c r="Z49497" s="258"/>
    </row>
    <row r="49498" spans="1:26" ht="12.75" customHeight="1" x14ac:dyDescent="0.2">
      <c r="A49498" s="258"/>
      <c r="Z49498" s="258"/>
    </row>
    <row r="49499" spans="1:26" ht="12.75" customHeight="1" x14ac:dyDescent="0.2">
      <c r="A49499" s="258"/>
      <c r="Z49499" s="258"/>
    </row>
    <row r="49500" spans="1:26" ht="12.75" customHeight="1" x14ac:dyDescent="0.2">
      <c r="A49500" s="258"/>
      <c r="Z49500" s="258"/>
    </row>
    <row r="49501" spans="1:26" ht="12.75" customHeight="1" x14ac:dyDescent="0.2">
      <c r="A49501" s="258"/>
      <c r="Z49501" s="258"/>
    </row>
    <row r="49502" spans="1:26" ht="12.75" customHeight="1" x14ac:dyDescent="0.2">
      <c r="A49502" s="258"/>
      <c r="Z49502" s="258"/>
    </row>
    <row r="49503" spans="1:26" ht="12.75" customHeight="1" x14ac:dyDescent="0.2">
      <c r="A49503" s="258"/>
      <c r="Z49503" s="258"/>
    </row>
    <row r="49504" spans="1:26" ht="12.75" customHeight="1" x14ac:dyDescent="0.2">
      <c r="A49504" s="258"/>
      <c r="Z49504" s="258"/>
    </row>
    <row r="49505" spans="1:26" ht="12.75" customHeight="1" x14ac:dyDescent="0.2">
      <c r="A49505" s="258"/>
      <c r="Z49505" s="258"/>
    </row>
    <row r="49506" spans="1:26" ht="12.75" customHeight="1" x14ac:dyDescent="0.2">
      <c r="A49506" s="258"/>
      <c r="Z49506" s="258"/>
    </row>
    <row r="49507" spans="1:26" ht="12.75" customHeight="1" x14ac:dyDescent="0.2">
      <c r="A49507" s="258"/>
      <c r="Z49507" s="258"/>
    </row>
    <row r="49508" spans="1:26" ht="12.75" customHeight="1" x14ac:dyDescent="0.2">
      <c r="A49508" s="258"/>
      <c r="Z49508" s="258"/>
    </row>
    <row r="49509" spans="1:26" ht="12.75" customHeight="1" x14ac:dyDescent="0.2">
      <c r="A49509" s="258"/>
      <c r="Z49509" s="258"/>
    </row>
    <row r="49510" spans="1:26" ht="12.75" customHeight="1" x14ac:dyDescent="0.2">
      <c r="A49510" s="258"/>
      <c r="Z49510" s="258"/>
    </row>
    <row r="49511" spans="1:26" ht="12.75" customHeight="1" x14ac:dyDescent="0.2">
      <c r="A49511" s="258"/>
      <c r="Z49511" s="258"/>
    </row>
    <row r="49512" spans="1:26" ht="12.75" customHeight="1" x14ac:dyDescent="0.2">
      <c r="A49512" s="258"/>
      <c r="Z49512" s="258"/>
    </row>
    <row r="49513" spans="1:26" ht="12.75" customHeight="1" x14ac:dyDescent="0.2">
      <c r="A49513" s="258"/>
      <c r="Z49513" s="258"/>
    </row>
    <row r="49514" spans="1:26" ht="12.75" customHeight="1" x14ac:dyDescent="0.2">
      <c r="A49514" s="258"/>
      <c r="Z49514" s="258"/>
    </row>
    <row r="49515" spans="1:26" ht="12.75" customHeight="1" x14ac:dyDescent="0.2">
      <c r="A49515" s="258"/>
      <c r="Z49515" s="258"/>
    </row>
    <row r="49516" spans="1:26" ht="12.75" customHeight="1" x14ac:dyDescent="0.2">
      <c r="A49516" s="258"/>
      <c r="Z49516" s="258"/>
    </row>
    <row r="49517" spans="1:26" ht="12.75" customHeight="1" x14ac:dyDescent="0.2">
      <c r="A49517" s="258"/>
      <c r="Z49517" s="258"/>
    </row>
    <row r="49518" spans="1:26" ht="12.75" customHeight="1" x14ac:dyDescent="0.2">
      <c r="A49518" s="258"/>
      <c r="Z49518" s="258"/>
    </row>
    <row r="49519" spans="1:26" ht="12.75" customHeight="1" x14ac:dyDescent="0.2">
      <c r="A49519" s="258"/>
      <c r="Z49519" s="258"/>
    </row>
    <row r="49520" spans="1:26" ht="12.75" customHeight="1" x14ac:dyDescent="0.2">
      <c r="A49520" s="258"/>
      <c r="Z49520" s="258"/>
    </row>
    <row r="49521" spans="1:26" ht="12.75" customHeight="1" x14ac:dyDescent="0.2">
      <c r="A49521" s="258"/>
      <c r="Z49521" s="258"/>
    </row>
    <row r="49522" spans="1:26" ht="12.75" customHeight="1" x14ac:dyDescent="0.2">
      <c r="A49522" s="258"/>
      <c r="Z49522" s="258"/>
    </row>
    <row r="49523" spans="1:26" ht="12.75" customHeight="1" x14ac:dyDescent="0.2">
      <c r="A49523" s="258"/>
      <c r="Z49523" s="258"/>
    </row>
    <row r="49524" spans="1:26" ht="12.75" customHeight="1" x14ac:dyDescent="0.2">
      <c r="A49524" s="258"/>
      <c r="Z49524" s="258"/>
    </row>
    <row r="49525" spans="1:26" ht="12.75" customHeight="1" x14ac:dyDescent="0.2">
      <c r="A49525" s="258"/>
      <c r="Z49525" s="258"/>
    </row>
    <row r="49526" spans="1:26" ht="12.75" customHeight="1" x14ac:dyDescent="0.2">
      <c r="A49526" s="258"/>
      <c r="Z49526" s="258"/>
    </row>
    <row r="49527" spans="1:26" ht="12.75" customHeight="1" x14ac:dyDescent="0.2">
      <c r="A49527" s="258"/>
      <c r="Z49527" s="258"/>
    </row>
    <row r="49528" spans="1:26" ht="12.75" customHeight="1" x14ac:dyDescent="0.2">
      <c r="A49528" s="258"/>
      <c r="Z49528" s="258"/>
    </row>
    <row r="49529" spans="1:26" ht="12.75" customHeight="1" x14ac:dyDescent="0.2">
      <c r="A49529" s="258"/>
      <c r="Z49529" s="258"/>
    </row>
    <row r="49530" spans="1:26" ht="12.75" customHeight="1" x14ac:dyDescent="0.2">
      <c r="A49530" s="258"/>
      <c r="Z49530" s="258"/>
    </row>
    <row r="49531" spans="1:26" ht="12.75" customHeight="1" x14ac:dyDescent="0.2">
      <c r="A49531" s="258"/>
      <c r="Z49531" s="258"/>
    </row>
    <row r="49532" spans="1:26" ht="12.75" customHeight="1" x14ac:dyDescent="0.2">
      <c r="A49532" s="258"/>
      <c r="Z49532" s="258"/>
    </row>
    <row r="49533" spans="1:26" ht="12.75" customHeight="1" x14ac:dyDescent="0.2">
      <c r="A49533" s="258"/>
      <c r="Z49533" s="258"/>
    </row>
    <row r="49534" spans="1:26" ht="12.75" customHeight="1" x14ac:dyDescent="0.2">
      <c r="A49534" s="258"/>
      <c r="Z49534" s="258"/>
    </row>
    <row r="49535" spans="1:26" ht="12.75" customHeight="1" x14ac:dyDescent="0.2">
      <c r="A49535" s="258"/>
      <c r="Z49535" s="258"/>
    </row>
    <row r="49536" spans="1:26" ht="12.75" customHeight="1" x14ac:dyDescent="0.2">
      <c r="A49536" s="258"/>
      <c r="Z49536" s="258"/>
    </row>
    <row r="49537" spans="1:26" ht="12.75" customHeight="1" x14ac:dyDescent="0.2">
      <c r="A49537" s="258"/>
      <c r="Z49537" s="258"/>
    </row>
    <row r="49538" spans="1:26" ht="12.75" customHeight="1" x14ac:dyDescent="0.2">
      <c r="A49538" s="258"/>
      <c r="Z49538" s="258"/>
    </row>
    <row r="49539" spans="1:26" ht="12.75" customHeight="1" x14ac:dyDescent="0.2">
      <c r="A49539" s="258"/>
      <c r="Z49539" s="258"/>
    </row>
    <row r="49540" spans="1:26" ht="12.75" customHeight="1" x14ac:dyDescent="0.2">
      <c r="A49540" s="258"/>
      <c r="Z49540" s="258"/>
    </row>
    <row r="49541" spans="1:26" ht="12.75" customHeight="1" x14ac:dyDescent="0.2">
      <c r="A49541" s="258"/>
      <c r="Z49541" s="258"/>
    </row>
    <row r="49542" spans="1:26" ht="12.75" customHeight="1" x14ac:dyDescent="0.2">
      <c r="A49542" s="258"/>
      <c r="Z49542" s="258"/>
    </row>
    <row r="49543" spans="1:26" ht="12.75" customHeight="1" x14ac:dyDescent="0.2">
      <c r="A49543" s="258"/>
      <c r="Z49543" s="258"/>
    </row>
    <row r="49544" spans="1:26" ht="12.75" customHeight="1" x14ac:dyDescent="0.2">
      <c r="A49544" s="258"/>
      <c r="Z49544" s="258"/>
    </row>
    <row r="49545" spans="1:26" ht="12.75" customHeight="1" x14ac:dyDescent="0.2">
      <c r="A49545" s="258"/>
      <c r="Z49545" s="258"/>
    </row>
    <row r="49546" spans="1:26" ht="12.75" customHeight="1" x14ac:dyDescent="0.2">
      <c r="A49546" s="258"/>
      <c r="Z49546" s="258"/>
    </row>
    <row r="49547" spans="1:26" ht="12.75" customHeight="1" x14ac:dyDescent="0.2">
      <c r="A49547" s="258"/>
      <c r="Z49547" s="258"/>
    </row>
    <row r="49548" spans="1:26" ht="12.75" customHeight="1" x14ac:dyDescent="0.2">
      <c r="A49548" s="258"/>
      <c r="Z49548" s="258"/>
    </row>
    <row r="49549" spans="1:26" ht="12.75" customHeight="1" x14ac:dyDescent="0.2">
      <c r="A49549" s="258"/>
      <c r="Z49549" s="258"/>
    </row>
    <row r="49550" spans="1:26" ht="12.75" customHeight="1" x14ac:dyDescent="0.2">
      <c r="A49550" s="258"/>
      <c r="Z49550" s="258"/>
    </row>
    <row r="49551" spans="1:26" ht="12.75" customHeight="1" x14ac:dyDescent="0.2">
      <c r="A49551" s="258"/>
      <c r="Z49551" s="258"/>
    </row>
    <row r="49552" spans="1:26" ht="12.75" customHeight="1" x14ac:dyDescent="0.2">
      <c r="A49552" s="258"/>
      <c r="Z49552" s="258"/>
    </row>
    <row r="49553" spans="1:26" ht="12.75" customHeight="1" x14ac:dyDescent="0.2">
      <c r="A49553" s="258"/>
      <c r="Z49553" s="258"/>
    </row>
    <row r="49554" spans="1:26" ht="12.75" customHeight="1" x14ac:dyDescent="0.2">
      <c r="A49554" s="258"/>
      <c r="Z49554" s="258"/>
    </row>
    <row r="49555" spans="1:26" ht="12.75" customHeight="1" x14ac:dyDescent="0.2">
      <c r="A49555" s="258"/>
      <c r="Z49555" s="258"/>
    </row>
    <row r="49556" spans="1:26" ht="12.75" customHeight="1" x14ac:dyDescent="0.2">
      <c r="A49556" s="258"/>
      <c r="Z49556" s="258"/>
    </row>
    <row r="49557" spans="1:26" ht="12.75" customHeight="1" x14ac:dyDescent="0.2">
      <c r="A49557" s="258"/>
      <c r="Z49557" s="258"/>
    </row>
    <row r="49558" spans="1:26" ht="12.75" customHeight="1" x14ac:dyDescent="0.2">
      <c r="A49558" s="258"/>
      <c r="Z49558" s="258"/>
    </row>
    <row r="49559" spans="1:26" ht="12.75" customHeight="1" x14ac:dyDescent="0.2">
      <c r="A49559" s="258"/>
      <c r="Z49559" s="258"/>
    </row>
    <row r="49560" spans="1:26" ht="12.75" customHeight="1" x14ac:dyDescent="0.2">
      <c r="A49560" s="258"/>
      <c r="Z49560" s="258"/>
    </row>
    <row r="49561" spans="1:26" ht="12.75" customHeight="1" x14ac:dyDescent="0.2">
      <c r="A49561" s="258"/>
      <c r="Z49561" s="258"/>
    </row>
    <row r="49562" spans="1:26" ht="12.75" customHeight="1" x14ac:dyDescent="0.2">
      <c r="A49562" s="258"/>
      <c r="Z49562" s="258"/>
    </row>
    <row r="49563" spans="1:26" ht="12.75" customHeight="1" x14ac:dyDescent="0.2">
      <c r="A49563" s="258"/>
      <c r="Z49563" s="258"/>
    </row>
    <row r="49564" spans="1:26" ht="12.75" customHeight="1" x14ac:dyDescent="0.2">
      <c r="A49564" s="258"/>
      <c r="Z49564" s="258"/>
    </row>
    <row r="49565" spans="1:26" ht="12.75" customHeight="1" x14ac:dyDescent="0.2">
      <c r="A49565" s="258"/>
      <c r="Z49565" s="258"/>
    </row>
    <row r="49566" spans="1:26" ht="12.75" customHeight="1" x14ac:dyDescent="0.2">
      <c r="A49566" s="258"/>
      <c r="Z49566" s="258"/>
    </row>
    <row r="49567" spans="1:26" ht="12.75" customHeight="1" x14ac:dyDescent="0.2">
      <c r="A49567" s="258"/>
      <c r="Z49567" s="258"/>
    </row>
    <row r="49568" spans="1:26" ht="12.75" customHeight="1" x14ac:dyDescent="0.2">
      <c r="A49568" s="258"/>
      <c r="Z49568" s="258"/>
    </row>
    <row r="49569" spans="1:26" ht="12.75" customHeight="1" x14ac:dyDescent="0.2">
      <c r="A49569" s="258"/>
      <c r="Z49569" s="258"/>
    </row>
    <row r="49570" spans="1:26" ht="12.75" customHeight="1" x14ac:dyDescent="0.2">
      <c r="A49570" s="258"/>
      <c r="Z49570" s="258"/>
    </row>
    <row r="49571" spans="1:26" ht="12.75" customHeight="1" x14ac:dyDescent="0.2">
      <c r="A49571" s="258"/>
      <c r="Z49571" s="258"/>
    </row>
    <row r="49572" spans="1:26" ht="12.75" customHeight="1" x14ac:dyDescent="0.2">
      <c r="A49572" s="258"/>
      <c r="Z49572" s="258"/>
    </row>
    <row r="49573" spans="1:26" ht="12.75" customHeight="1" x14ac:dyDescent="0.2">
      <c r="A49573" s="258"/>
      <c r="Z49573" s="258"/>
    </row>
    <row r="49574" spans="1:26" ht="12.75" customHeight="1" x14ac:dyDescent="0.2">
      <c r="A49574" s="258"/>
      <c r="Z49574" s="258"/>
    </row>
    <row r="49575" spans="1:26" ht="12.75" customHeight="1" x14ac:dyDescent="0.2">
      <c r="A49575" s="258"/>
      <c r="Z49575" s="258"/>
    </row>
    <row r="49576" spans="1:26" ht="12.75" customHeight="1" x14ac:dyDescent="0.2">
      <c r="A49576" s="258"/>
      <c r="Z49576" s="258"/>
    </row>
    <row r="49577" spans="1:26" ht="12.75" customHeight="1" x14ac:dyDescent="0.2">
      <c r="A49577" s="258"/>
      <c r="Z49577" s="258"/>
    </row>
    <row r="49578" spans="1:26" ht="12.75" customHeight="1" x14ac:dyDescent="0.2">
      <c r="A49578" s="258"/>
      <c r="Z49578" s="258"/>
    </row>
    <row r="49579" spans="1:26" ht="12.75" customHeight="1" x14ac:dyDescent="0.2">
      <c r="A49579" s="258"/>
      <c r="Z49579" s="258"/>
    </row>
    <row r="49580" spans="1:26" ht="12.75" customHeight="1" x14ac:dyDescent="0.2">
      <c r="A49580" s="258"/>
      <c r="Z49580" s="258"/>
    </row>
    <row r="49581" spans="1:26" ht="12.75" customHeight="1" x14ac:dyDescent="0.2">
      <c r="A49581" s="258"/>
      <c r="Z49581" s="258"/>
    </row>
    <row r="49582" spans="1:26" ht="12.75" customHeight="1" x14ac:dyDescent="0.2">
      <c r="A49582" s="258"/>
      <c r="Z49582" s="258"/>
    </row>
    <row r="49583" spans="1:26" ht="12.75" customHeight="1" x14ac:dyDescent="0.2">
      <c r="A49583" s="258"/>
      <c r="Z49583" s="258"/>
    </row>
    <row r="49584" spans="1:26" ht="12.75" customHeight="1" x14ac:dyDescent="0.2">
      <c r="A49584" s="258"/>
      <c r="Z49584" s="258"/>
    </row>
    <row r="49585" spans="1:26" ht="12.75" customHeight="1" x14ac:dyDescent="0.2">
      <c r="A49585" s="258"/>
      <c r="Z49585" s="258"/>
    </row>
    <row r="49586" spans="1:26" ht="12.75" customHeight="1" x14ac:dyDescent="0.2">
      <c r="A49586" s="258"/>
      <c r="Z49586" s="258"/>
    </row>
    <row r="49587" spans="1:26" ht="12.75" customHeight="1" x14ac:dyDescent="0.2">
      <c r="A49587" s="258"/>
      <c r="Z49587" s="258"/>
    </row>
    <row r="49588" spans="1:26" ht="12.75" customHeight="1" x14ac:dyDescent="0.2">
      <c r="A49588" s="258"/>
      <c r="Z49588" s="258"/>
    </row>
    <row r="49589" spans="1:26" ht="12.75" customHeight="1" x14ac:dyDescent="0.2">
      <c r="A49589" s="258"/>
      <c r="Z49589" s="258"/>
    </row>
    <row r="49590" spans="1:26" ht="12.75" customHeight="1" x14ac:dyDescent="0.2">
      <c r="A49590" s="258"/>
      <c r="Z49590" s="258"/>
    </row>
    <row r="49591" spans="1:26" ht="12.75" customHeight="1" x14ac:dyDescent="0.2">
      <c r="A49591" s="258"/>
      <c r="Z49591" s="258"/>
    </row>
    <row r="49592" spans="1:26" ht="12.75" customHeight="1" x14ac:dyDescent="0.2">
      <c r="A49592" s="258"/>
      <c r="Z49592" s="258"/>
    </row>
    <row r="49593" spans="1:26" ht="12.75" customHeight="1" x14ac:dyDescent="0.2">
      <c r="A49593" s="258"/>
      <c r="Z49593" s="258"/>
    </row>
    <row r="49594" spans="1:26" ht="12.75" customHeight="1" x14ac:dyDescent="0.2">
      <c r="A49594" s="258"/>
      <c r="Z49594" s="258"/>
    </row>
    <row r="49595" spans="1:26" ht="12.75" customHeight="1" x14ac:dyDescent="0.2">
      <c r="A49595" s="258"/>
      <c r="Z49595" s="258"/>
    </row>
    <row r="49596" spans="1:26" ht="12.75" customHeight="1" x14ac:dyDescent="0.2">
      <c r="A49596" s="258"/>
      <c r="Z49596" s="258"/>
    </row>
    <row r="49597" spans="1:26" ht="12.75" customHeight="1" x14ac:dyDescent="0.2">
      <c r="A49597" s="258"/>
      <c r="Z49597" s="258"/>
    </row>
    <row r="49598" spans="1:26" ht="12.75" customHeight="1" x14ac:dyDescent="0.2">
      <c r="A49598" s="258"/>
      <c r="Z49598" s="258"/>
    </row>
    <row r="49599" spans="1:26" ht="12.75" customHeight="1" x14ac:dyDescent="0.2">
      <c r="A49599" s="258"/>
      <c r="Z49599" s="258"/>
    </row>
    <row r="49600" spans="1:26" ht="12.75" customHeight="1" x14ac:dyDescent="0.2">
      <c r="A49600" s="258"/>
      <c r="Z49600" s="258"/>
    </row>
    <row r="49601" spans="1:26" ht="12.75" customHeight="1" x14ac:dyDescent="0.2">
      <c r="A49601" s="258"/>
      <c r="Z49601" s="258"/>
    </row>
    <row r="49602" spans="1:26" ht="12.75" customHeight="1" x14ac:dyDescent="0.2">
      <c r="A49602" s="258"/>
      <c r="Z49602" s="258"/>
    </row>
    <row r="49603" spans="1:26" ht="12.75" customHeight="1" x14ac:dyDescent="0.2">
      <c r="A49603" s="258"/>
      <c r="Z49603" s="258"/>
    </row>
    <row r="49604" spans="1:26" ht="12.75" customHeight="1" x14ac:dyDescent="0.2">
      <c r="A49604" s="258"/>
      <c r="Z49604" s="258"/>
    </row>
    <row r="49605" spans="1:26" ht="12.75" customHeight="1" x14ac:dyDescent="0.2">
      <c r="A49605" s="258"/>
      <c r="Z49605" s="258"/>
    </row>
    <row r="49606" spans="1:26" ht="12.75" customHeight="1" x14ac:dyDescent="0.2">
      <c r="A49606" s="258"/>
      <c r="Z49606" s="258"/>
    </row>
    <row r="49607" spans="1:26" ht="12.75" customHeight="1" x14ac:dyDescent="0.2">
      <c r="A49607" s="258"/>
      <c r="Z49607" s="258"/>
    </row>
    <row r="49608" spans="1:26" ht="12.75" customHeight="1" x14ac:dyDescent="0.2">
      <c r="A49608" s="258"/>
      <c r="Z49608" s="258"/>
    </row>
    <row r="49609" spans="1:26" ht="12.75" customHeight="1" x14ac:dyDescent="0.2">
      <c r="A49609" s="258"/>
      <c r="Z49609" s="258"/>
    </row>
    <row r="49610" spans="1:26" ht="12.75" customHeight="1" x14ac:dyDescent="0.2">
      <c r="A49610" s="258"/>
      <c r="Z49610" s="258"/>
    </row>
    <row r="49611" spans="1:26" ht="12.75" customHeight="1" x14ac:dyDescent="0.2">
      <c r="A49611" s="258"/>
      <c r="Z49611" s="258"/>
    </row>
    <row r="49612" spans="1:26" ht="12.75" customHeight="1" x14ac:dyDescent="0.2">
      <c r="A49612" s="258"/>
      <c r="Z49612" s="258"/>
    </row>
    <row r="49613" spans="1:26" ht="12.75" customHeight="1" x14ac:dyDescent="0.2">
      <c r="A49613" s="258"/>
      <c r="Z49613" s="258"/>
    </row>
    <row r="49614" spans="1:26" ht="12.75" customHeight="1" x14ac:dyDescent="0.2">
      <c r="A49614" s="258"/>
      <c r="Z49614" s="258"/>
    </row>
    <row r="49615" spans="1:26" ht="12.75" customHeight="1" x14ac:dyDescent="0.2">
      <c r="A49615" s="258"/>
      <c r="Z49615" s="258"/>
    </row>
    <row r="49616" spans="1:26" ht="12.75" customHeight="1" x14ac:dyDescent="0.2">
      <c r="A49616" s="258"/>
      <c r="Z49616" s="258"/>
    </row>
    <row r="49617" spans="1:26" ht="12.75" customHeight="1" x14ac:dyDescent="0.2">
      <c r="A49617" s="258"/>
      <c r="Z49617" s="258"/>
    </row>
    <row r="49618" spans="1:26" ht="12.75" customHeight="1" x14ac:dyDescent="0.2">
      <c r="A49618" s="258"/>
      <c r="Z49618" s="258"/>
    </row>
    <row r="49619" spans="1:26" ht="12.75" customHeight="1" x14ac:dyDescent="0.2">
      <c r="A49619" s="258"/>
      <c r="Z49619" s="258"/>
    </row>
    <row r="49620" spans="1:26" ht="12.75" customHeight="1" x14ac:dyDescent="0.2">
      <c r="A49620" s="258"/>
      <c r="Z49620" s="258"/>
    </row>
    <row r="49621" spans="1:26" ht="12.75" customHeight="1" x14ac:dyDescent="0.2">
      <c r="A49621" s="258"/>
      <c r="Z49621" s="258"/>
    </row>
    <row r="49622" spans="1:26" ht="12.75" customHeight="1" x14ac:dyDescent="0.2">
      <c r="A49622" s="258"/>
      <c r="Z49622" s="258"/>
    </row>
    <row r="49623" spans="1:26" ht="12.75" customHeight="1" x14ac:dyDescent="0.2">
      <c r="A49623" s="258"/>
      <c r="Z49623" s="258"/>
    </row>
    <row r="49624" spans="1:26" ht="12.75" customHeight="1" x14ac:dyDescent="0.2">
      <c r="A49624" s="258"/>
      <c r="Z49624" s="258"/>
    </row>
    <row r="49625" spans="1:26" ht="12.75" customHeight="1" x14ac:dyDescent="0.2">
      <c r="A49625" s="258"/>
      <c r="Z49625" s="258"/>
    </row>
    <row r="49626" spans="1:26" ht="12.75" customHeight="1" x14ac:dyDescent="0.2">
      <c r="A49626" s="258"/>
      <c r="Z49626" s="258"/>
    </row>
    <row r="49627" spans="1:26" ht="12.75" customHeight="1" x14ac:dyDescent="0.2">
      <c r="A49627" s="258"/>
      <c r="Z49627" s="258"/>
    </row>
    <row r="49628" spans="1:26" ht="12.75" customHeight="1" x14ac:dyDescent="0.2">
      <c r="A49628" s="258"/>
      <c r="Z49628" s="258"/>
    </row>
    <row r="49629" spans="1:26" ht="12.75" customHeight="1" x14ac:dyDescent="0.2">
      <c r="A49629" s="258"/>
      <c r="Z49629" s="258"/>
    </row>
    <row r="49630" spans="1:26" ht="12.75" customHeight="1" x14ac:dyDescent="0.2">
      <c r="A49630" s="258"/>
      <c r="Z49630" s="258"/>
    </row>
    <row r="49631" spans="1:26" ht="12.75" customHeight="1" x14ac:dyDescent="0.2">
      <c r="A49631" s="258"/>
      <c r="Z49631" s="258"/>
    </row>
    <row r="49632" spans="1:26" ht="12.75" customHeight="1" x14ac:dyDescent="0.2">
      <c r="A49632" s="258"/>
      <c r="Z49632" s="258"/>
    </row>
    <row r="49633" spans="1:26" ht="12.75" customHeight="1" x14ac:dyDescent="0.2">
      <c r="A49633" s="258"/>
      <c r="Z49633" s="258"/>
    </row>
    <row r="49634" spans="1:26" ht="12.75" customHeight="1" x14ac:dyDescent="0.2">
      <c r="A49634" s="258"/>
      <c r="Z49634" s="258"/>
    </row>
    <row r="49635" spans="1:26" ht="12.75" customHeight="1" x14ac:dyDescent="0.2">
      <c r="A49635" s="258"/>
      <c r="Z49635" s="258"/>
    </row>
    <row r="49636" spans="1:26" ht="12.75" customHeight="1" x14ac:dyDescent="0.2">
      <c r="A49636" s="258"/>
      <c r="Z49636" s="258"/>
    </row>
    <row r="49637" spans="1:26" ht="12.75" customHeight="1" x14ac:dyDescent="0.2">
      <c r="A49637" s="258"/>
      <c r="Z49637" s="258"/>
    </row>
    <row r="49638" spans="1:26" ht="12.75" customHeight="1" x14ac:dyDescent="0.2">
      <c r="A49638" s="258"/>
      <c r="Z49638" s="258"/>
    </row>
    <row r="49639" spans="1:26" ht="12.75" customHeight="1" x14ac:dyDescent="0.2">
      <c r="A49639" s="258"/>
      <c r="Z49639" s="258"/>
    </row>
    <row r="49640" spans="1:26" ht="12.75" customHeight="1" x14ac:dyDescent="0.2">
      <c r="A49640" s="258"/>
      <c r="Z49640" s="258"/>
    </row>
    <row r="49641" spans="1:26" ht="12.75" customHeight="1" x14ac:dyDescent="0.2">
      <c r="A49641" s="258"/>
      <c r="Z49641" s="258"/>
    </row>
    <row r="49642" spans="1:26" ht="12.75" customHeight="1" x14ac:dyDescent="0.2">
      <c r="A49642" s="258"/>
      <c r="Z49642" s="258"/>
    </row>
    <row r="49643" spans="1:26" ht="12.75" customHeight="1" x14ac:dyDescent="0.2">
      <c r="A49643" s="258"/>
      <c r="Z49643" s="258"/>
    </row>
    <row r="49644" spans="1:26" ht="12.75" customHeight="1" x14ac:dyDescent="0.2">
      <c r="A49644" s="258"/>
      <c r="Z49644" s="258"/>
    </row>
    <row r="49645" spans="1:26" ht="12.75" customHeight="1" x14ac:dyDescent="0.2">
      <c r="A49645" s="258"/>
      <c r="Z49645" s="258"/>
    </row>
    <row r="49646" spans="1:26" ht="12.75" customHeight="1" x14ac:dyDescent="0.2">
      <c r="A49646" s="258"/>
      <c r="Z49646" s="258"/>
    </row>
    <row r="49647" spans="1:26" ht="12.75" customHeight="1" x14ac:dyDescent="0.2">
      <c r="A49647" s="258"/>
      <c r="Z49647" s="258"/>
    </row>
    <row r="49648" spans="1:26" ht="12.75" customHeight="1" x14ac:dyDescent="0.2">
      <c r="A49648" s="258"/>
      <c r="Z49648" s="258"/>
    </row>
    <row r="49649" spans="1:26" ht="12.75" customHeight="1" x14ac:dyDescent="0.2">
      <c r="A49649" s="258"/>
      <c r="Z49649" s="258"/>
    </row>
    <row r="49650" spans="1:26" ht="12.75" customHeight="1" x14ac:dyDescent="0.2">
      <c r="A49650" s="258"/>
      <c r="Z49650" s="258"/>
    </row>
    <row r="49651" spans="1:26" ht="12.75" customHeight="1" x14ac:dyDescent="0.2">
      <c r="A49651" s="258"/>
      <c r="Z49651" s="258"/>
    </row>
    <row r="49652" spans="1:26" ht="12.75" customHeight="1" x14ac:dyDescent="0.2">
      <c r="A49652" s="258"/>
      <c r="Z49652" s="258"/>
    </row>
    <row r="49653" spans="1:26" ht="12.75" customHeight="1" x14ac:dyDescent="0.2">
      <c r="A49653" s="258"/>
      <c r="Z49653" s="258"/>
    </row>
    <row r="49654" spans="1:26" ht="12.75" customHeight="1" x14ac:dyDescent="0.2">
      <c r="A49654" s="258"/>
      <c r="Z49654" s="258"/>
    </row>
    <row r="49655" spans="1:26" ht="12.75" customHeight="1" x14ac:dyDescent="0.2">
      <c r="A49655" s="258"/>
      <c r="Z49655" s="258"/>
    </row>
    <row r="49656" spans="1:26" ht="12.75" customHeight="1" x14ac:dyDescent="0.2">
      <c r="A49656" s="258"/>
      <c r="Z49656" s="258"/>
    </row>
    <row r="49657" spans="1:26" ht="12.75" customHeight="1" x14ac:dyDescent="0.2">
      <c r="A49657" s="258"/>
      <c r="Z49657" s="258"/>
    </row>
    <row r="49658" spans="1:26" ht="12.75" customHeight="1" x14ac:dyDescent="0.2">
      <c r="A49658" s="258"/>
      <c r="Z49658" s="258"/>
    </row>
    <row r="49659" spans="1:26" ht="12.75" customHeight="1" x14ac:dyDescent="0.2">
      <c r="A49659" s="258"/>
      <c r="Z49659" s="258"/>
    </row>
    <row r="49660" spans="1:26" ht="12.75" customHeight="1" x14ac:dyDescent="0.2">
      <c r="A49660" s="258"/>
      <c r="Z49660" s="258"/>
    </row>
    <row r="49661" spans="1:26" ht="12.75" customHeight="1" x14ac:dyDescent="0.2">
      <c r="A49661" s="258"/>
      <c r="Z49661" s="258"/>
    </row>
    <row r="49662" spans="1:26" ht="12.75" customHeight="1" x14ac:dyDescent="0.2">
      <c r="A49662" s="258"/>
      <c r="Z49662" s="258"/>
    </row>
    <row r="49663" spans="1:26" ht="12.75" customHeight="1" x14ac:dyDescent="0.2">
      <c r="A49663" s="258"/>
      <c r="Z49663" s="258"/>
    </row>
    <row r="49664" spans="1:26" ht="12.75" customHeight="1" x14ac:dyDescent="0.2">
      <c r="A49664" s="258"/>
      <c r="Z49664" s="258"/>
    </row>
    <row r="49665" spans="1:26" ht="12.75" customHeight="1" x14ac:dyDescent="0.2">
      <c r="A49665" s="258"/>
      <c r="Z49665" s="258"/>
    </row>
    <row r="49666" spans="1:26" ht="12.75" customHeight="1" x14ac:dyDescent="0.2">
      <c r="A49666" s="258"/>
      <c r="Z49666" s="258"/>
    </row>
    <row r="49667" spans="1:26" ht="12.75" customHeight="1" x14ac:dyDescent="0.2">
      <c r="A49667" s="258"/>
      <c r="Z49667" s="258"/>
    </row>
    <row r="49668" spans="1:26" ht="12.75" customHeight="1" x14ac:dyDescent="0.2">
      <c r="A49668" s="258"/>
      <c r="Z49668" s="258"/>
    </row>
    <row r="49669" spans="1:26" ht="12.75" customHeight="1" x14ac:dyDescent="0.2">
      <c r="A49669" s="258"/>
      <c r="Z49669" s="258"/>
    </row>
    <row r="49670" spans="1:26" ht="12.75" customHeight="1" x14ac:dyDescent="0.2">
      <c r="A49670" s="258"/>
      <c r="Z49670" s="258"/>
    </row>
    <row r="49671" spans="1:26" ht="12.75" customHeight="1" x14ac:dyDescent="0.2">
      <c r="A49671" s="258"/>
      <c r="Z49671" s="258"/>
    </row>
    <row r="49672" spans="1:26" ht="12.75" customHeight="1" x14ac:dyDescent="0.2">
      <c r="A49672" s="258"/>
      <c r="Z49672" s="258"/>
    </row>
    <row r="49673" spans="1:26" ht="12.75" customHeight="1" x14ac:dyDescent="0.2">
      <c r="A49673" s="258"/>
      <c r="Z49673" s="258"/>
    </row>
    <row r="49674" spans="1:26" ht="12.75" customHeight="1" x14ac:dyDescent="0.2">
      <c r="A49674" s="258"/>
      <c r="Z49674" s="258"/>
    </row>
    <row r="49675" spans="1:26" ht="12.75" customHeight="1" x14ac:dyDescent="0.2">
      <c r="A49675" s="258"/>
      <c r="Z49675" s="258"/>
    </row>
    <row r="49676" spans="1:26" ht="12.75" customHeight="1" x14ac:dyDescent="0.2">
      <c r="A49676" s="258"/>
      <c r="Z49676" s="258"/>
    </row>
    <row r="49677" spans="1:26" ht="12.75" customHeight="1" x14ac:dyDescent="0.2">
      <c r="A49677" s="258"/>
      <c r="Z49677" s="258"/>
    </row>
    <row r="49678" spans="1:26" ht="12.75" customHeight="1" x14ac:dyDescent="0.2">
      <c r="A49678" s="258"/>
      <c r="Z49678" s="258"/>
    </row>
    <row r="49679" spans="1:26" ht="12.75" customHeight="1" x14ac:dyDescent="0.2">
      <c r="A49679" s="258"/>
      <c r="Z49679" s="258"/>
    </row>
    <row r="49680" spans="1:26" ht="12.75" customHeight="1" x14ac:dyDescent="0.2">
      <c r="A49680" s="258"/>
      <c r="Z49680" s="258"/>
    </row>
    <row r="49681" spans="1:26" ht="12.75" customHeight="1" x14ac:dyDescent="0.2">
      <c r="A49681" s="258"/>
      <c r="Z49681" s="258"/>
    </row>
    <row r="49682" spans="1:26" ht="12.75" customHeight="1" x14ac:dyDescent="0.2">
      <c r="A49682" s="258"/>
      <c r="Z49682" s="258"/>
    </row>
    <row r="49683" spans="1:26" ht="12.75" customHeight="1" x14ac:dyDescent="0.2">
      <c r="A49683" s="258"/>
      <c r="Z49683" s="258"/>
    </row>
    <row r="49684" spans="1:26" ht="12.75" customHeight="1" x14ac:dyDescent="0.2">
      <c r="A49684" s="258"/>
      <c r="Z49684" s="258"/>
    </row>
    <row r="49685" spans="1:26" ht="12.75" customHeight="1" x14ac:dyDescent="0.2">
      <c r="A49685" s="258"/>
      <c r="Z49685" s="258"/>
    </row>
    <row r="49686" spans="1:26" ht="12.75" customHeight="1" x14ac:dyDescent="0.2">
      <c r="A49686" s="258"/>
      <c r="Z49686" s="258"/>
    </row>
    <row r="49687" spans="1:26" ht="12.75" customHeight="1" x14ac:dyDescent="0.2">
      <c r="A49687" s="258"/>
      <c r="Z49687" s="258"/>
    </row>
    <row r="49688" spans="1:26" ht="12.75" customHeight="1" x14ac:dyDescent="0.2">
      <c r="A49688" s="258"/>
      <c r="Z49688" s="258"/>
    </row>
    <row r="49689" spans="1:26" ht="12.75" customHeight="1" x14ac:dyDescent="0.2">
      <c r="A49689" s="258"/>
      <c r="Z49689" s="258"/>
    </row>
    <row r="49690" spans="1:26" ht="12.75" customHeight="1" x14ac:dyDescent="0.2">
      <c r="A49690" s="258"/>
      <c r="Z49690" s="258"/>
    </row>
    <row r="49691" spans="1:26" ht="12.75" customHeight="1" x14ac:dyDescent="0.2">
      <c r="A49691" s="258"/>
      <c r="Z49691" s="258"/>
    </row>
    <row r="49692" spans="1:26" ht="12.75" customHeight="1" x14ac:dyDescent="0.2">
      <c r="A49692" s="258"/>
      <c r="Z49692" s="258"/>
    </row>
    <row r="49693" spans="1:26" ht="12.75" customHeight="1" x14ac:dyDescent="0.2">
      <c r="A49693" s="258"/>
      <c r="Z49693" s="258"/>
    </row>
    <row r="49694" spans="1:26" ht="12.75" customHeight="1" x14ac:dyDescent="0.2">
      <c r="A49694" s="258"/>
      <c r="Z49694" s="258"/>
    </row>
    <row r="49695" spans="1:26" ht="12.75" customHeight="1" x14ac:dyDescent="0.2">
      <c r="A49695" s="258"/>
      <c r="Z49695" s="258"/>
    </row>
    <row r="49696" spans="1:26" ht="12.75" customHeight="1" x14ac:dyDescent="0.2">
      <c r="A49696" s="258"/>
      <c r="Z49696" s="258"/>
    </row>
    <row r="49697" spans="1:26" ht="12.75" customHeight="1" x14ac:dyDescent="0.2">
      <c r="A49697" s="258"/>
      <c r="Z49697" s="258"/>
    </row>
    <row r="49698" spans="1:26" ht="12.75" customHeight="1" x14ac:dyDescent="0.2">
      <c r="A49698" s="258"/>
      <c r="Z49698" s="258"/>
    </row>
    <row r="49699" spans="1:26" ht="12.75" customHeight="1" x14ac:dyDescent="0.2">
      <c r="A49699" s="258"/>
      <c r="Z49699" s="258"/>
    </row>
    <row r="49700" spans="1:26" ht="12.75" customHeight="1" x14ac:dyDescent="0.2">
      <c r="A49700" s="258"/>
      <c r="Z49700" s="258"/>
    </row>
    <row r="49701" spans="1:26" ht="12.75" customHeight="1" x14ac:dyDescent="0.2">
      <c r="A49701" s="258"/>
      <c r="Z49701" s="258"/>
    </row>
    <row r="49702" spans="1:26" ht="12.75" customHeight="1" x14ac:dyDescent="0.2">
      <c r="A49702" s="258"/>
      <c r="Z49702" s="258"/>
    </row>
    <row r="49703" spans="1:26" ht="12.75" customHeight="1" x14ac:dyDescent="0.2">
      <c r="A49703" s="258"/>
      <c r="Z49703" s="258"/>
    </row>
    <row r="49704" spans="1:26" ht="12.75" customHeight="1" x14ac:dyDescent="0.2">
      <c r="A49704" s="258"/>
      <c r="Z49704" s="258"/>
    </row>
    <row r="49705" spans="1:26" ht="12.75" customHeight="1" x14ac:dyDescent="0.2">
      <c r="A49705" s="258"/>
      <c r="Z49705" s="258"/>
    </row>
    <row r="49706" spans="1:26" ht="12.75" customHeight="1" x14ac:dyDescent="0.2">
      <c r="A49706" s="258"/>
      <c r="Z49706" s="258"/>
    </row>
    <row r="49707" spans="1:26" ht="12.75" customHeight="1" x14ac:dyDescent="0.2">
      <c r="A49707" s="258"/>
      <c r="Z49707" s="258"/>
    </row>
    <row r="49708" spans="1:26" ht="12.75" customHeight="1" x14ac:dyDescent="0.2">
      <c r="A49708" s="258"/>
      <c r="Z49708" s="258"/>
    </row>
    <row r="49709" spans="1:26" ht="12.75" customHeight="1" x14ac:dyDescent="0.2">
      <c r="A49709" s="258"/>
      <c r="Z49709" s="258"/>
    </row>
    <row r="49710" spans="1:26" ht="12.75" customHeight="1" x14ac:dyDescent="0.2">
      <c r="A49710" s="258"/>
      <c r="Z49710" s="258"/>
    </row>
    <row r="49711" spans="1:26" ht="12.75" customHeight="1" x14ac:dyDescent="0.2">
      <c r="A49711" s="258"/>
      <c r="Z49711" s="258"/>
    </row>
    <row r="49712" spans="1:26" ht="12.75" customHeight="1" x14ac:dyDescent="0.2">
      <c r="A49712" s="258"/>
      <c r="Z49712" s="258"/>
    </row>
    <row r="49713" spans="1:26" ht="12.75" customHeight="1" x14ac:dyDescent="0.2">
      <c r="A49713" s="258"/>
      <c r="Z49713" s="258"/>
    </row>
    <row r="49714" spans="1:26" ht="12.75" customHeight="1" x14ac:dyDescent="0.2">
      <c r="A49714" s="258"/>
      <c r="Z49714" s="258"/>
    </row>
    <row r="49715" spans="1:26" ht="12.75" customHeight="1" x14ac:dyDescent="0.2">
      <c r="A49715" s="258"/>
      <c r="Z49715" s="258"/>
    </row>
    <row r="49716" spans="1:26" ht="12.75" customHeight="1" x14ac:dyDescent="0.2">
      <c r="A49716" s="258"/>
      <c r="Z49716" s="258"/>
    </row>
    <row r="49717" spans="1:26" ht="12.75" customHeight="1" x14ac:dyDescent="0.2">
      <c r="A49717" s="258"/>
      <c r="Z49717" s="258"/>
    </row>
    <row r="49718" spans="1:26" ht="12.75" customHeight="1" x14ac:dyDescent="0.2">
      <c r="A49718" s="258"/>
      <c r="Z49718" s="258"/>
    </row>
    <row r="49719" spans="1:26" ht="12.75" customHeight="1" x14ac:dyDescent="0.2">
      <c r="A49719" s="258"/>
      <c r="Z49719" s="258"/>
    </row>
    <row r="49720" spans="1:26" ht="12.75" customHeight="1" x14ac:dyDescent="0.2">
      <c r="A49720" s="258"/>
      <c r="Z49720" s="258"/>
    </row>
    <row r="49721" spans="1:26" ht="12.75" customHeight="1" x14ac:dyDescent="0.2">
      <c r="A49721" s="258"/>
      <c r="Z49721" s="258"/>
    </row>
    <row r="49722" spans="1:26" ht="12.75" customHeight="1" x14ac:dyDescent="0.2">
      <c r="A49722" s="258"/>
      <c r="Z49722" s="258"/>
    </row>
    <row r="49723" spans="1:26" ht="12.75" customHeight="1" x14ac:dyDescent="0.2">
      <c r="A49723" s="258"/>
      <c r="Z49723" s="258"/>
    </row>
    <row r="49724" spans="1:26" ht="12.75" customHeight="1" x14ac:dyDescent="0.2">
      <c r="A49724" s="258"/>
      <c r="Z49724" s="258"/>
    </row>
    <row r="49725" spans="1:26" ht="12.75" customHeight="1" x14ac:dyDescent="0.2">
      <c r="A49725" s="258"/>
      <c r="Z49725" s="258"/>
    </row>
    <row r="49726" spans="1:26" ht="12.75" customHeight="1" x14ac:dyDescent="0.2">
      <c r="A49726" s="258"/>
      <c r="Z49726" s="258"/>
    </row>
    <row r="49727" spans="1:26" ht="12.75" customHeight="1" x14ac:dyDescent="0.2">
      <c r="A49727" s="258"/>
      <c r="Z49727" s="258"/>
    </row>
    <row r="49728" spans="1:26" ht="12.75" customHeight="1" x14ac:dyDescent="0.2">
      <c r="A49728" s="258"/>
      <c r="Z49728" s="258"/>
    </row>
    <row r="49729" spans="1:26" ht="12.75" customHeight="1" x14ac:dyDescent="0.2">
      <c r="A49729" s="258"/>
      <c r="Z49729" s="258"/>
    </row>
    <row r="49730" spans="1:26" ht="12.75" customHeight="1" x14ac:dyDescent="0.2">
      <c r="A49730" s="258"/>
      <c r="Z49730" s="258"/>
    </row>
    <row r="49731" spans="1:26" ht="12.75" customHeight="1" x14ac:dyDescent="0.2">
      <c r="A49731" s="258"/>
      <c r="Z49731" s="258"/>
    </row>
    <row r="49732" spans="1:26" ht="12.75" customHeight="1" x14ac:dyDescent="0.2">
      <c r="A49732" s="258"/>
      <c r="Z49732" s="258"/>
    </row>
    <row r="49733" spans="1:26" ht="12.75" customHeight="1" x14ac:dyDescent="0.2">
      <c r="A49733" s="258"/>
      <c r="Z49733" s="258"/>
    </row>
    <row r="49734" spans="1:26" ht="12.75" customHeight="1" x14ac:dyDescent="0.2">
      <c r="A49734" s="258"/>
      <c r="Z49734" s="258"/>
    </row>
    <row r="49735" spans="1:26" ht="12.75" customHeight="1" x14ac:dyDescent="0.2">
      <c r="A49735" s="258"/>
      <c r="Z49735" s="258"/>
    </row>
    <row r="49736" spans="1:26" ht="12.75" customHeight="1" x14ac:dyDescent="0.2">
      <c r="A49736" s="258"/>
      <c r="Z49736" s="258"/>
    </row>
    <row r="49737" spans="1:26" ht="12.75" customHeight="1" x14ac:dyDescent="0.2">
      <c r="A49737" s="258"/>
      <c r="Z49737" s="258"/>
    </row>
    <row r="49738" spans="1:26" ht="12.75" customHeight="1" x14ac:dyDescent="0.2">
      <c r="A49738" s="258"/>
      <c r="Z49738" s="258"/>
    </row>
    <row r="49739" spans="1:26" ht="12.75" customHeight="1" x14ac:dyDescent="0.2">
      <c r="A49739" s="258"/>
      <c r="Z49739" s="258"/>
    </row>
    <row r="49740" spans="1:26" ht="12.75" customHeight="1" x14ac:dyDescent="0.2">
      <c r="A49740" s="258"/>
      <c r="Z49740" s="258"/>
    </row>
    <row r="49741" spans="1:26" ht="12.75" customHeight="1" x14ac:dyDescent="0.2">
      <c r="A49741" s="258"/>
      <c r="Z49741" s="258"/>
    </row>
    <row r="49742" spans="1:26" ht="12.75" customHeight="1" x14ac:dyDescent="0.2">
      <c r="A49742" s="258"/>
      <c r="Z49742" s="258"/>
    </row>
    <row r="49743" spans="1:26" ht="12.75" customHeight="1" x14ac:dyDescent="0.2">
      <c r="A49743" s="258"/>
      <c r="Z49743" s="258"/>
    </row>
    <row r="49744" spans="1:26" ht="12.75" customHeight="1" x14ac:dyDescent="0.2">
      <c r="A49744" s="258"/>
      <c r="Z49744" s="258"/>
    </row>
    <row r="49745" spans="1:26" ht="12.75" customHeight="1" x14ac:dyDescent="0.2">
      <c r="A49745" s="258"/>
      <c r="Z49745" s="258"/>
    </row>
    <row r="49746" spans="1:26" ht="12.75" customHeight="1" x14ac:dyDescent="0.2">
      <c r="A49746" s="258"/>
      <c r="Z49746" s="258"/>
    </row>
    <row r="49747" spans="1:26" ht="12.75" customHeight="1" x14ac:dyDescent="0.2">
      <c r="A49747" s="258"/>
      <c r="Z49747" s="258"/>
    </row>
    <row r="49748" spans="1:26" ht="12.75" customHeight="1" x14ac:dyDescent="0.2">
      <c r="A49748" s="258"/>
      <c r="Z49748" s="258"/>
    </row>
    <row r="49749" spans="1:26" ht="12.75" customHeight="1" x14ac:dyDescent="0.2">
      <c r="A49749" s="258"/>
      <c r="Z49749" s="258"/>
    </row>
    <row r="49750" spans="1:26" ht="12.75" customHeight="1" x14ac:dyDescent="0.2">
      <c r="A49750" s="258"/>
      <c r="Z49750" s="258"/>
    </row>
    <row r="49751" spans="1:26" ht="12.75" customHeight="1" x14ac:dyDescent="0.2">
      <c r="A49751" s="258"/>
      <c r="Z49751" s="258"/>
    </row>
    <row r="49752" spans="1:26" ht="12.75" customHeight="1" x14ac:dyDescent="0.2">
      <c r="A49752" s="258"/>
      <c r="Z49752" s="258"/>
    </row>
    <row r="49753" spans="1:26" ht="12.75" customHeight="1" x14ac:dyDescent="0.2">
      <c r="A49753" s="258"/>
      <c r="Z49753" s="258"/>
    </row>
    <row r="49754" spans="1:26" ht="12.75" customHeight="1" x14ac:dyDescent="0.2">
      <c r="A49754" s="258"/>
      <c r="Z49754" s="258"/>
    </row>
    <row r="49755" spans="1:26" ht="12.75" customHeight="1" x14ac:dyDescent="0.2">
      <c r="A49755" s="258"/>
      <c r="Z49755" s="258"/>
    </row>
    <row r="49756" spans="1:26" ht="12.75" customHeight="1" x14ac:dyDescent="0.2">
      <c r="A49756" s="258"/>
      <c r="Z49756" s="258"/>
    </row>
    <row r="49757" spans="1:26" ht="12.75" customHeight="1" x14ac:dyDescent="0.2">
      <c r="A49757" s="258"/>
      <c r="Z49757" s="258"/>
    </row>
    <row r="49758" spans="1:26" ht="12.75" customHeight="1" x14ac:dyDescent="0.2">
      <c r="A49758" s="258"/>
      <c r="Z49758" s="258"/>
    </row>
    <row r="49759" spans="1:26" ht="12.75" customHeight="1" x14ac:dyDescent="0.2">
      <c r="A49759" s="258"/>
      <c r="Z49759" s="258"/>
    </row>
    <row r="49760" spans="1:26" ht="12.75" customHeight="1" x14ac:dyDescent="0.2">
      <c r="A49760" s="258"/>
      <c r="Z49760" s="258"/>
    </row>
    <row r="49761" spans="1:26" ht="12.75" customHeight="1" x14ac:dyDescent="0.2">
      <c r="A49761" s="258"/>
      <c r="Z49761" s="258"/>
    </row>
    <row r="49762" spans="1:26" ht="12.75" customHeight="1" x14ac:dyDescent="0.2">
      <c r="A49762" s="258"/>
      <c r="Z49762" s="258"/>
    </row>
    <row r="49763" spans="1:26" ht="12.75" customHeight="1" x14ac:dyDescent="0.2">
      <c r="A49763" s="258"/>
      <c r="Z49763" s="258"/>
    </row>
    <row r="49764" spans="1:26" ht="12.75" customHeight="1" x14ac:dyDescent="0.2">
      <c r="A49764" s="258"/>
      <c r="Z49764" s="258"/>
    </row>
    <row r="49765" spans="1:26" ht="12.75" customHeight="1" x14ac:dyDescent="0.2">
      <c r="A49765" s="258"/>
      <c r="Z49765" s="258"/>
    </row>
    <row r="49766" spans="1:26" ht="12.75" customHeight="1" x14ac:dyDescent="0.2">
      <c r="A49766" s="258"/>
      <c r="Z49766" s="258"/>
    </row>
    <row r="49767" spans="1:26" ht="12.75" customHeight="1" x14ac:dyDescent="0.2">
      <c r="A49767" s="258"/>
      <c r="Z49767" s="258"/>
    </row>
    <row r="49768" spans="1:26" ht="12.75" customHeight="1" x14ac:dyDescent="0.2">
      <c r="A49768" s="258"/>
      <c r="Z49768" s="258"/>
    </row>
    <row r="49769" spans="1:26" ht="12.75" customHeight="1" x14ac:dyDescent="0.2">
      <c r="A49769" s="258"/>
      <c r="Z49769" s="258"/>
    </row>
    <row r="49770" spans="1:26" ht="12.75" customHeight="1" x14ac:dyDescent="0.2">
      <c r="A49770" s="258"/>
      <c r="Z49770" s="258"/>
    </row>
    <row r="49771" spans="1:26" ht="12.75" customHeight="1" x14ac:dyDescent="0.2">
      <c r="A49771" s="258"/>
      <c r="Z49771" s="258"/>
    </row>
    <row r="49772" spans="1:26" ht="12.75" customHeight="1" x14ac:dyDescent="0.2">
      <c r="A49772" s="258"/>
      <c r="Z49772" s="258"/>
    </row>
    <row r="49773" spans="1:26" ht="12.75" customHeight="1" x14ac:dyDescent="0.2">
      <c r="A49773" s="258"/>
      <c r="Z49773" s="258"/>
    </row>
    <row r="49774" spans="1:26" ht="12.75" customHeight="1" x14ac:dyDescent="0.2">
      <c r="A49774" s="258"/>
      <c r="Z49774" s="258"/>
    </row>
    <row r="49775" spans="1:26" ht="12.75" customHeight="1" x14ac:dyDescent="0.2">
      <c r="A49775" s="258"/>
      <c r="Z49775" s="258"/>
    </row>
    <row r="49776" spans="1:26" ht="12.75" customHeight="1" x14ac:dyDescent="0.2">
      <c r="A49776" s="258"/>
      <c r="Z49776" s="258"/>
    </row>
    <row r="49777" spans="1:26" ht="12.75" customHeight="1" x14ac:dyDescent="0.2">
      <c r="A49777" s="258"/>
      <c r="Z49777" s="258"/>
    </row>
    <row r="49778" spans="1:26" ht="12.75" customHeight="1" x14ac:dyDescent="0.2">
      <c r="A49778" s="258"/>
      <c r="Z49778" s="258"/>
    </row>
    <row r="49779" spans="1:26" ht="12.75" customHeight="1" x14ac:dyDescent="0.2">
      <c r="A49779" s="258"/>
      <c r="Z49779" s="258"/>
    </row>
    <row r="49780" spans="1:26" ht="12.75" customHeight="1" x14ac:dyDescent="0.2">
      <c r="A49780" s="258"/>
      <c r="Z49780" s="258"/>
    </row>
    <row r="49781" spans="1:26" ht="12.75" customHeight="1" x14ac:dyDescent="0.2">
      <c r="A49781" s="258"/>
      <c r="Z49781" s="258"/>
    </row>
    <row r="49782" spans="1:26" ht="12.75" customHeight="1" x14ac:dyDescent="0.2">
      <c r="A49782" s="258"/>
      <c r="Z49782" s="258"/>
    </row>
    <row r="49783" spans="1:26" ht="12.75" customHeight="1" x14ac:dyDescent="0.2">
      <c r="A49783" s="258"/>
      <c r="Z49783" s="258"/>
    </row>
    <row r="49784" spans="1:26" ht="12.75" customHeight="1" x14ac:dyDescent="0.2">
      <c r="A49784" s="258"/>
      <c r="Z49784" s="258"/>
    </row>
    <row r="49785" spans="1:26" ht="12.75" customHeight="1" x14ac:dyDescent="0.2">
      <c r="A49785" s="258"/>
      <c r="Z49785" s="258"/>
    </row>
    <row r="49786" spans="1:26" ht="12.75" customHeight="1" x14ac:dyDescent="0.2">
      <c r="A49786" s="258"/>
      <c r="Z49786" s="258"/>
    </row>
    <row r="49787" spans="1:26" ht="12.75" customHeight="1" x14ac:dyDescent="0.2">
      <c r="A49787" s="258"/>
      <c r="Z49787" s="258"/>
    </row>
    <row r="49788" spans="1:26" ht="12.75" customHeight="1" x14ac:dyDescent="0.2">
      <c r="A49788" s="258"/>
      <c r="Z49788" s="258"/>
    </row>
    <row r="49789" spans="1:26" ht="12.75" customHeight="1" x14ac:dyDescent="0.2">
      <c r="A49789" s="258"/>
      <c r="Z49789" s="258"/>
    </row>
    <row r="49790" spans="1:26" ht="12.75" customHeight="1" x14ac:dyDescent="0.2">
      <c r="A49790" s="258"/>
      <c r="Z49790" s="258"/>
    </row>
    <row r="49791" spans="1:26" ht="12.75" customHeight="1" x14ac:dyDescent="0.2">
      <c r="A49791" s="258"/>
      <c r="Z49791" s="258"/>
    </row>
    <row r="49792" spans="1:26" ht="12.75" customHeight="1" x14ac:dyDescent="0.2">
      <c r="A49792" s="258"/>
      <c r="Z49792" s="258"/>
    </row>
    <row r="49793" spans="1:26" ht="12.75" customHeight="1" x14ac:dyDescent="0.2">
      <c r="A49793" s="258"/>
      <c r="Z49793" s="258"/>
    </row>
    <row r="49794" spans="1:26" ht="12.75" customHeight="1" x14ac:dyDescent="0.2">
      <c r="A49794" s="258"/>
      <c r="Z49794" s="258"/>
    </row>
    <row r="49795" spans="1:26" ht="12.75" customHeight="1" x14ac:dyDescent="0.2">
      <c r="A49795" s="258"/>
      <c r="Z49795" s="258"/>
    </row>
    <row r="49796" spans="1:26" ht="12.75" customHeight="1" x14ac:dyDescent="0.2">
      <c r="A49796" s="258"/>
      <c r="Z49796" s="258"/>
    </row>
    <row r="49797" spans="1:26" ht="12.75" customHeight="1" x14ac:dyDescent="0.2">
      <c r="A49797" s="258"/>
      <c r="Z49797" s="258"/>
    </row>
    <row r="49798" spans="1:26" ht="12.75" customHeight="1" x14ac:dyDescent="0.2">
      <c r="A49798" s="258"/>
      <c r="Z49798" s="258"/>
    </row>
    <row r="49799" spans="1:26" ht="12.75" customHeight="1" x14ac:dyDescent="0.2">
      <c r="A49799" s="258"/>
      <c r="Z49799" s="258"/>
    </row>
    <row r="49800" spans="1:26" ht="12.75" customHeight="1" x14ac:dyDescent="0.2">
      <c r="A49800" s="258"/>
      <c r="Z49800" s="258"/>
    </row>
    <row r="49801" spans="1:26" ht="12.75" customHeight="1" x14ac:dyDescent="0.2">
      <c r="A49801" s="258"/>
      <c r="Z49801" s="258"/>
    </row>
    <row r="49802" spans="1:26" ht="12.75" customHeight="1" x14ac:dyDescent="0.2">
      <c r="A49802" s="258"/>
      <c r="Z49802" s="258"/>
    </row>
    <row r="49803" spans="1:26" ht="12.75" customHeight="1" x14ac:dyDescent="0.2">
      <c r="A49803" s="258"/>
      <c r="Z49803" s="258"/>
    </row>
    <row r="49804" spans="1:26" ht="12.75" customHeight="1" x14ac:dyDescent="0.2">
      <c r="A49804" s="258"/>
      <c r="Z49804" s="258"/>
    </row>
    <row r="49805" spans="1:26" ht="12.75" customHeight="1" x14ac:dyDescent="0.2">
      <c r="A49805" s="258"/>
      <c r="Z49805" s="258"/>
    </row>
    <row r="49806" spans="1:26" ht="12.75" customHeight="1" x14ac:dyDescent="0.2">
      <c r="A49806" s="258"/>
      <c r="Z49806" s="258"/>
    </row>
    <row r="49807" spans="1:26" ht="12.75" customHeight="1" x14ac:dyDescent="0.2">
      <c r="A49807" s="258"/>
      <c r="Z49807" s="258"/>
    </row>
    <row r="49808" spans="1:26" ht="12.75" customHeight="1" x14ac:dyDescent="0.2">
      <c r="A49808" s="258"/>
      <c r="Z49808" s="258"/>
    </row>
    <row r="49809" spans="1:26" ht="12.75" customHeight="1" x14ac:dyDescent="0.2">
      <c r="A49809" s="258"/>
      <c r="Z49809" s="258"/>
    </row>
    <row r="49810" spans="1:26" ht="12.75" customHeight="1" x14ac:dyDescent="0.2">
      <c r="A49810" s="258"/>
      <c r="Z49810" s="258"/>
    </row>
    <row r="49811" spans="1:26" ht="12.75" customHeight="1" x14ac:dyDescent="0.2">
      <c r="A49811" s="258"/>
      <c r="Z49811" s="258"/>
    </row>
    <row r="49812" spans="1:26" ht="12.75" customHeight="1" x14ac:dyDescent="0.2">
      <c r="A49812" s="258"/>
      <c r="Z49812" s="258"/>
    </row>
    <row r="49813" spans="1:26" ht="12.75" customHeight="1" x14ac:dyDescent="0.2">
      <c r="A49813" s="258"/>
      <c r="Z49813" s="258"/>
    </row>
    <row r="49814" spans="1:26" ht="12.75" customHeight="1" x14ac:dyDescent="0.2">
      <c r="A49814" s="258"/>
      <c r="Z49814" s="258"/>
    </row>
    <row r="49815" spans="1:26" ht="12.75" customHeight="1" x14ac:dyDescent="0.2">
      <c r="A49815" s="258"/>
      <c r="Z49815" s="258"/>
    </row>
    <row r="49816" spans="1:26" ht="12.75" customHeight="1" x14ac:dyDescent="0.2">
      <c r="A49816" s="258"/>
      <c r="Z49816" s="258"/>
    </row>
    <row r="49817" spans="1:26" ht="12.75" customHeight="1" x14ac:dyDescent="0.2">
      <c r="A49817" s="258"/>
      <c r="Z49817" s="258"/>
    </row>
    <row r="49818" spans="1:26" ht="12.75" customHeight="1" x14ac:dyDescent="0.2">
      <c r="A49818" s="258"/>
      <c r="Z49818" s="258"/>
    </row>
    <row r="49819" spans="1:26" ht="12.75" customHeight="1" x14ac:dyDescent="0.2">
      <c r="A49819" s="258"/>
      <c r="Z49819" s="258"/>
    </row>
    <row r="49820" spans="1:26" ht="12.75" customHeight="1" x14ac:dyDescent="0.2">
      <c r="A49820" s="258"/>
      <c r="Z49820" s="258"/>
    </row>
    <row r="49821" spans="1:26" ht="12.75" customHeight="1" x14ac:dyDescent="0.2">
      <c r="A49821" s="258"/>
      <c r="Z49821" s="258"/>
    </row>
    <row r="49822" spans="1:26" ht="12.75" customHeight="1" x14ac:dyDescent="0.2">
      <c r="A49822" s="258"/>
      <c r="Z49822" s="258"/>
    </row>
    <row r="49823" spans="1:26" ht="12.75" customHeight="1" x14ac:dyDescent="0.2">
      <c r="A49823" s="258"/>
      <c r="Z49823" s="258"/>
    </row>
    <row r="49824" spans="1:26" ht="12.75" customHeight="1" x14ac:dyDescent="0.2">
      <c r="A49824" s="258"/>
      <c r="Z49824" s="258"/>
    </row>
    <row r="49825" spans="1:26" ht="12.75" customHeight="1" x14ac:dyDescent="0.2">
      <c r="A49825" s="258"/>
      <c r="Z49825" s="258"/>
    </row>
    <row r="49826" spans="1:26" ht="12.75" customHeight="1" x14ac:dyDescent="0.2">
      <c r="A49826" s="258"/>
      <c r="Z49826" s="258"/>
    </row>
    <row r="49827" spans="1:26" ht="12.75" customHeight="1" x14ac:dyDescent="0.2">
      <c r="A49827" s="258"/>
      <c r="Z49827" s="258"/>
    </row>
    <row r="49828" spans="1:26" ht="12.75" customHeight="1" x14ac:dyDescent="0.2">
      <c r="A49828" s="258"/>
      <c r="Z49828" s="258"/>
    </row>
    <row r="49829" spans="1:26" ht="12.75" customHeight="1" x14ac:dyDescent="0.2">
      <c r="A49829" s="258"/>
      <c r="Z49829" s="258"/>
    </row>
    <row r="49830" spans="1:26" ht="12.75" customHeight="1" x14ac:dyDescent="0.2">
      <c r="A49830" s="258"/>
      <c r="Z49830" s="258"/>
    </row>
    <row r="49831" spans="1:26" ht="12.75" customHeight="1" x14ac:dyDescent="0.2">
      <c r="A49831" s="258"/>
      <c r="Z49831" s="258"/>
    </row>
    <row r="49832" spans="1:26" ht="12.75" customHeight="1" x14ac:dyDescent="0.2">
      <c r="A49832" s="258"/>
      <c r="Z49832" s="258"/>
    </row>
    <row r="49833" spans="1:26" ht="12.75" customHeight="1" x14ac:dyDescent="0.2">
      <c r="A49833" s="258"/>
      <c r="Z49833" s="258"/>
    </row>
    <row r="49834" spans="1:26" ht="12.75" customHeight="1" x14ac:dyDescent="0.2">
      <c r="A49834" s="258"/>
      <c r="Z49834" s="258"/>
    </row>
    <row r="49835" spans="1:26" ht="12.75" customHeight="1" x14ac:dyDescent="0.2">
      <c r="A49835" s="258"/>
      <c r="Z49835" s="258"/>
    </row>
    <row r="49836" spans="1:26" ht="12.75" customHeight="1" x14ac:dyDescent="0.2">
      <c r="A49836" s="258"/>
      <c r="Z49836" s="258"/>
    </row>
    <row r="49837" spans="1:26" ht="12.75" customHeight="1" x14ac:dyDescent="0.2">
      <c r="A49837" s="258"/>
      <c r="Z49837" s="258"/>
    </row>
    <row r="49838" spans="1:26" ht="12.75" customHeight="1" x14ac:dyDescent="0.2">
      <c r="A49838" s="258"/>
      <c r="Z49838" s="258"/>
    </row>
    <row r="49839" spans="1:26" ht="12.75" customHeight="1" x14ac:dyDescent="0.2">
      <c r="A49839" s="258"/>
      <c r="Z49839" s="258"/>
    </row>
    <row r="49840" spans="1:26" ht="12.75" customHeight="1" x14ac:dyDescent="0.2">
      <c r="A49840" s="258"/>
      <c r="Z49840" s="258"/>
    </row>
    <row r="49841" spans="1:26" ht="12.75" customHeight="1" x14ac:dyDescent="0.2">
      <c r="A49841" s="258"/>
      <c r="Z49841" s="258"/>
    </row>
    <row r="49842" spans="1:26" ht="12.75" customHeight="1" x14ac:dyDescent="0.2">
      <c r="A49842" s="258"/>
      <c r="Z49842" s="258"/>
    </row>
    <row r="49843" spans="1:26" ht="12.75" customHeight="1" x14ac:dyDescent="0.2">
      <c r="A49843" s="258"/>
      <c r="Z49843" s="258"/>
    </row>
    <row r="49844" spans="1:26" ht="12.75" customHeight="1" x14ac:dyDescent="0.2">
      <c r="A49844" s="258"/>
      <c r="Z49844" s="258"/>
    </row>
    <row r="49845" spans="1:26" ht="12.75" customHeight="1" x14ac:dyDescent="0.2">
      <c r="A49845" s="258"/>
      <c r="Z49845" s="258"/>
    </row>
    <row r="49846" spans="1:26" ht="12.75" customHeight="1" x14ac:dyDescent="0.2">
      <c r="A49846" s="258"/>
      <c r="Z49846" s="258"/>
    </row>
    <row r="49847" spans="1:26" ht="12.75" customHeight="1" x14ac:dyDescent="0.2">
      <c r="A49847" s="258"/>
      <c r="Z49847" s="258"/>
    </row>
    <row r="49848" spans="1:26" ht="12.75" customHeight="1" x14ac:dyDescent="0.2">
      <c r="A49848" s="258"/>
      <c r="Z49848" s="258"/>
    </row>
    <row r="49849" spans="1:26" ht="12.75" customHeight="1" x14ac:dyDescent="0.2">
      <c r="A49849" s="258"/>
      <c r="Z49849" s="258"/>
    </row>
    <row r="49850" spans="1:26" ht="12.75" customHeight="1" x14ac:dyDescent="0.2">
      <c r="A49850" s="258"/>
      <c r="Z49850" s="258"/>
    </row>
    <row r="49851" spans="1:26" ht="12.75" customHeight="1" x14ac:dyDescent="0.2">
      <c r="A49851" s="258"/>
      <c r="Z49851" s="258"/>
    </row>
    <row r="49852" spans="1:26" ht="12.75" customHeight="1" x14ac:dyDescent="0.2">
      <c r="A49852" s="258"/>
      <c r="Z49852" s="258"/>
    </row>
    <row r="49853" spans="1:26" ht="12.75" customHeight="1" x14ac:dyDescent="0.2">
      <c r="A49853" s="258"/>
      <c r="Z49853" s="258"/>
    </row>
    <row r="49854" spans="1:26" ht="12.75" customHeight="1" x14ac:dyDescent="0.2">
      <c r="A49854" s="258"/>
      <c r="Z49854" s="258"/>
    </row>
    <row r="49855" spans="1:26" ht="12.75" customHeight="1" x14ac:dyDescent="0.2">
      <c r="A49855" s="258"/>
      <c r="Z49855" s="258"/>
    </row>
    <row r="49856" spans="1:26" ht="12.75" customHeight="1" x14ac:dyDescent="0.2">
      <c r="A49856" s="258"/>
      <c r="Z49856" s="258"/>
    </row>
    <row r="49857" spans="1:26" ht="12.75" customHeight="1" x14ac:dyDescent="0.2">
      <c r="A49857" s="258"/>
      <c r="Z49857" s="258"/>
    </row>
    <row r="49858" spans="1:26" ht="12.75" customHeight="1" x14ac:dyDescent="0.2">
      <c r="A49858" s="258"/>
      <c r="Z49858" s="258"/>
    </row>
    <row r="49859" spans="1:26" ht="12.75" customHeight="1" x14ac:dyDescent="0.2">
      <c r="A49859" s="258"/>
      <c r="Z49859" s="258"/>
    </row>
    <row r="49860" spans="1:26" ht="12.75" customHeight="1" x14ac:dyDescent="0.2">
      <c r="A49860" s="258"/>
      <c r="Z49860" s="258"/>
    </row>
    <row r="49861" spans="1:26" ht="12.75" customHeight="1" x14ac:dyDescent="0.2">
      <c r="A49861" s="258"/>
      <c r="Z49861" s="258"/>
    </row>
    <row r="49862" spans="1:26" ht="12.75" customHeight="1" x14ac:dyDescent="0.2">
      <c r="A49862" s="258"/>
      <c r="Z49862" s="258"/>
    </row>
    <row r="49863" spans="1:26" ht="12.75" customHeight="1" x14ac:dyDescent="0.2">
      <c r="A49863" s="258"/>
      <c r="Z49863" s="258"/>
    </row>
    <row r="49864" spans="1:26" ht="12.75" customHeight="1" x14ac:dyDescent="0.2">
      <c r="A49864" s="258"/>
      <c r="Z49864" s="258"/>
    </row>
    <row r="49865" spans="1:26" ht="12.75" customHeight="1" x14ac:dyDescent="0.2">
      <c r="A49865" s="258"/>
      <c r="Z49865" s="258"/>
    </row>
    <row r="49866" spans="1:26" ht="12.75" customHeight="1" x14ac:dyDescent="0.2">
      <c r="A49866" s="258"/>
      <c r="Z49866" s="258"/>
    </row>
    <row r="49867" spans="1:26" ht="12.75" customHeight="1" x14ac:dyDescent="0.2">
      <c r="A49867" s="258"/>
      <c r="Z49867" s="258"/>
    </row>
    <row r="49868" spans="1:26" ht="12.75" customHeight="1" x14ac:dyDescent="0.2">
      <c r="A49868" s="258"/>
      <c r="Z49868" s="258"/>
    </row>
    <row r="49869" spans="1:26" ht="12.75" customHeight="1" x14ac:dyDescent="0.2">
      <c r="A49869" s="258"/>
      <c r="Z49869" s="258"/>
    </row>
    <row r="49870" spans="1:26" ht="12.75" customHeight="1" x14ac:dyDescent="0.2">
      <c r="A49870" s="258"/>
      <c r="Z49870" s="258"/>
    </row>
    <row r="49871" spans="1:26" ht="12.75" customHeight="1" x14ac:dyDescent="0.2">
      <c r="A49871" s="258"/>
      <c r="Z49871" s="258"/>
    </row>
    <row r="49872" spans="1:26" ht="12.75" customHeight="1" x14ac:dyDescent="0.2">
      <c r="A49872" s="258"/>
      <c r="Z49872" s="258"/>
    </row>
    <row r="49873" spans="1:26" ht="12.75" customHeight="1" x14ac:dyDescent="0.2">
      <c r="A49873" s="258"/>
      <c r="Z49873" s="258"/>
    </row>
    <row r="49874" spans="1:26" ht="12.75" customHeight="1" x14ac:dyDescent="0.2">
      <c r="A49874" s="258"/>
      <c r="Z49874" s="258"/>
    </row>
    <row r="49875" spans="1:26" ht="12.75" customHeight="1" x14ac:dyDescent="0.2">
      <c r="A49875" s="258"/>
      <c r="Z49875" s="258"/>
    </row>
    <row r="49876" spans="1:26" ht="12.75" customHeight="1" x14ac:dyDescent="0.2">
      <c r="A49876" s="258"/>
      <c r="Z49876" s="258"/>
    </row>
    <row r="49877" spans="1:26" ht="12.75" customHeight="1" x14ac:dyDescent="0.2">
      <c r="A49877" s="258"/>
      <c r="Z49877" s="258"/>
    </row>
    <row r="49878" spans="1:26" ht="12.75" customHeight="1" x14ac:dyDescent="0.2">
      <c r="A49878" s="258"/>
      <c r="Z49878" s="258"/>
    </row>
    <row r="49879" spans="1:26" ht="12.75" customHeight="1" x14ac:dyDescent="0.2">
      <c r="A49879" s="258"/>
      <c r="Z49879" s="258"/>
    </row>
    <row r="49880" spans="1:26" ht="12.75" customHeight="1" x14ac:dyDescent="0.2">
      <c r="A49880" s="258"/>
      <c r="Z49880" s="258"/>
    </row>
    <row r="49881" spans="1:26" ht="12.75" customHeight="1" x14ac:dyDescent="0.2">
      <c r="A49881" s="258"/>
      <c r="Z49881" s="258"/>
    </row>
    <row r="49882" spans="1:26" ht="12.75" customHeight="1" x14ac:dyDescent="0.2">
      <c r="A49882" s="258"/>
      <c r="Z49882" s="258"/>
    </row>
    <row r="49883" spans="1:26" ht="12.75" customHeight="1" x14ac:dyDescent="0.2">
      <c r="A49883" s="258"/>
      <c r="Z49883" s="258"/>
    </row>
    <row r="49884" spans="1:26" ht="12.75" customHeight="1" x14ac:dyDescent="0.2">
      <c r="A49884" s="258"/>
      <c r="Z49884" s="258"/>
    </row>
    <row r="49885" spans="1:26" ht="12.75" customHeight="1" x14ac:dyDescent="0.2">
      <c r="A49885" s="258"/>
      <c r="Z49885" s="258"/>
    </row>
    <row r="49886" spans="1:26" ht="12.75" customHeight="1" x14ac:dyDescent="0.2">
      <c r="A49886" s="258"/>
      <c r="Z49886" s="258"/>
    </row>
    <row r="49887" spans="1:26" ht="12.75" customHeight="1" x14ac:dyDescent="0.2">
      <c r="A49887" s="258"/>
      <c r="Z49887" s="258"/>
    </row>
    <row r="49888" spans="1:26" ht="12.75" customHeight="1" x14ac:dyDescent="0.2">
      <c r="A49888" s="258"/>
      <c r="Z49888" s="258"/>
    </row>
    <row r="49889" spans="1:26" ht="12.75" customHeight="1" x14ac:dyDescent="0.2">
      <c r="A49889" s="258"/>
      <c r="Z49889" s="258"/>
    </row>
    <row r="49890" spans="1:26" ht="12.75" customHeight="1" x14ac:dyDescent="0.2">
      <c r="A49890" s="258"/>
      <c r="Z49890" s="258"/>
    </row>
    <row r="49891" spans="1:26" ht="12.75" customHeight="1" x14ac:dyDescent="0.2">
      <c r="A49891" s="258"/>
      <c r="Z49891" s="258"/>
    </row>
    <row r="49892" spans="1:26" ht="12.75" customHeight="1" x14ac:dyDescent="0.2">
      <c r="A49892" s="258"/>
      <c r="Z49892" s="258"/>
    </row>
    <row r="49893" spans="1:26" ht="12.75" customHeight="1" x14ac:dyDescent="0.2">
      <c r="A49893" s="258"/>
      <c r="Z49893" s="258"/>
    </row>
    <row r="49894" spans="1:26" ht="12.75" customHeight="1" x14ac:dyDescent="0.2">
      <c r="A49894" s="258"/>
      <c r="Z49894" s="258"/>
    </row>
    <row r="49895" spans="1:26" ht="12.75" customHeight="1" x14ac:dyDescent="0.2">
      <c r="A49895" s="258"/>
      <c r="Z49895" s="258"/>
    </row>
    <row r="49896" spans="1:26" ht="12.75" customHeight="1" x14ac:dyDescent="0.2">
      <c r="A49896" s="258"/>
      <c r="Z49896" s="258"/>
    </row>
    <row r="49897" spans="1:26" ht="12.75" customHeight="1" x14ac:dyDescent="0.2">
      <c r="A49897" s="258"/>
      <c r="Z49897" s="258"/>
    </row>
    <row r="49898" spans="1:26" ht="12.75" customHeight="1" x14ac:dyDescent="0.2">
      <c r="A49898" s="258"/>
      <c r="Z49898" s="258"/>
    </row>
    <row r="49899" spans="1:26" ht="12.75" customHeight="1" x14ac:dyDescent="0.2">
      <c r="A49899" s="258"/>
      <c r="Z49899" s="258"/>
    </row>
    <row r="49900" spans="1:26" ht="12.75" customHeight="1" x14ac:dyDescent="0.2">
      <c r="A49900" s="258"/>
      <c r="Z49900" s="258"/>
    </row>
    <row r="49901" spans="1:26" ht="12.75" customHeight="1" x14ac:dyDescent="0.2">
      <c r="A49901" s="258"/>
      <c r="Z49901" s="258"/>
    </row>
    <row r="49902" spans="1:26" ht="12.75" customHeight="1" x14ac:dyDescent="0.2">
      <c r="A49902" s="258"/>
      <c r="Z49902" s="258"/>
    </row>
    <row r="49903" spans="1:26" ht="12.75" customHeight="1" x14ac:dyDescent="0.2">
      <c r="A49903" s="258"/>
      <c r="Z49903" s="258"/>
    </row>
    <row r="49904" spans="1:26" ht="12.75" customHeight="1" x14ac:dyDescent="0.2">
      <c r="A49904" s="258"/>
      <c r="Z49904" s="258"/>
    </row>
    <row r="49905" spans="1:26" ht="12.75" customHeight="1" x14ac:dyDescent="0.2">
      <c r="A49905" s="258"/>
      <c r="Z49905" s="258"/>
    </row>
    <row r="49906" spans="1:26" ht="12.75" customHeight="1" x14ac:dyDescent="0.2">
      <c r="A49906" s="258"/>
      <c r="Z49906" s="258"/>
    </row>
    <row r="49907" spans="1:26" ht="12.75" customHeight="1" x14ac:dyDescent="0.2">
      <c r="A49907" s="258"/>
      <c r="Z49907" s="258"/>
    </row>
    <row r="49908" spans="1:26" ht="12.75" customHeight="1" x14ac:dyDescent="0.2">
      <c r="A49908" s="258"/>
      <c r="Z49908" s="258"/>
    </row>
    <row r="49909" spans="1:26" ht="12.75" customHeight="1" x14ac:dyDescent="0.2">
      <c r="A49909" s="258"/>
      <c r="Z49909" s="258"/>
    </row>
    <row r="49910" spans="1:26" ht="12.75" customHeight="1" x14ac:dyDescent="0.2">
      <c r="A49910" s="258"/>
      <c r="Z49910" s="258"/>
    </row>
    <row r="49911" spans="1:26" ht="12.75" customHeight="1" x14ac:dyDescent="0.2">
      <c r="A49911" s="258"/>
      <c r="Z49911" s="258"/>
    </row>
    <row r="49912" spans="1:26" ht="12.75" customHeight="1" x14ac:dyDescent="0.2">
      <c r="A49912" s="258"/>
      <c r="Z49912" s="258"/>
    </row>
    <row r="49913" spans="1:26" ht="12.75" customHeight="1" x14ac:dyDescent="0.2">
      <c r="A49913" s="258"/>
      <c r="Z49913" s="258"/>
    </row>
    <row r="49914" spans="1:26" ht="12.75" customHeight="1" x14ac:dyDescent="0.2">
      <c r="A49914" s="258"/>
      <c r="Z49914" s="258"/>
    </row>
    <row r="49915" spans="1:26" ht="12.75" customHeight="1" x14ac:dyDescent="0.2">
      <c r="A49915" s="258"/>
      <c r="Z49915" s="258"/>
    </row>
    <row r="49916" spans="1:26" ht="12.75" customHeight="1" x14ac:dyDescent="0.2">
      <c r="A49916" s="258"/>
      <c r="Z49916" s="258"/>
    </row>
    <row r="49917" spans="1:26" ht="12.75" customHeight="1" x14ac:dyDescent="0.2">
      <c r="A49917" s="258"/>
      <c r="Z49917" s="258"/>
    </row>
    <row r="49918" spans="1:26" ht="12.75" customHeight="1" x14ac:dyDescent="0.2">
      <c r="A49918" s="258"/>
      <c r="Z49918" s="258"/>
    </row>
    <row r="49919" spans="1:26" ht="12.75" customHeight="1" x14ac:dyDescent="0.2">
      <c r="A49919" s="258"/>
      <c r="Z49919" s="258"/>
    </row>
    <row r="49920" spans="1:26" ht="12.75" customHeight="1" x14ac:dyDescent="0.2">
      <c r="A49920" s="258"/>
      <c r="Z49920" s="258"/>
    </row>
    <row r="49921" spans="1:26" ht="12.75" customHeight="1" x14ac:dyDescent="0.2">
      <c r="A49921" s="258"/>
      <c r="Z49921" s="258"/>
    </row>
    <row r="49922" spans="1:26" ht="12.75" customHeight="1" x14ac:dyDescent="0.2">
      <c r="A49922" s="258"/>
      <c r="Z49922" s="258"/>
    </row>
    <row r="49923" spans="1:26" ht="12.75" customHeight="1" x14ac:dyDescent="0.2">
      <c r="A49923" s="258"/>
      <c r="Z49923" s="258"/>
    </row>
    <row r="49924" spans="1:26" ht="12.75" customHeight="1" x14ac:dyDescent="0.2">
      <c r="A49924" s="258"/>
      <c r="Z49924" s="258"/>
    </row>
    <row r="49925" spans="1:26" ht="12.75" customHeight="1" x14ac:dyDescent="0.2">
      <c r="A49925" s="258"/>
      <c r="Z49925" s="258"/>
    </row>
    <row r="49926" spans="1:26" ht="12.75" customHeight="1" x14ac:dyDescent="0.2">
      <c r="A49926" s="258"/>
      <c r="Z49926" s="258"/>
    </row>
    <row r="49927" spans="1:26" ht="12.75" customHeight="1" x14ac:dyDescent="0.2">
      <c r="A49927" s="258"/>
      <c r="Z49927" s="258"/>
    </row>
    <row r="49928" spans="1:26" ht="12.75" customHeight="1" x14ac:dyDescent="0.2">
      <c r="A49928" s="258"/>
      <c r="Z49928" s="258"/>
    </row>
    <row r="49929" spans="1:26" ht="12.75" customHeight="1" x14ac:dyDescent="0.2">
      <c r="A49929" s="258"/>
      <c r="Z49929" s="258"/>
    </row>
    <row r="49930" spans="1:26" ht="12.75" customHeight="1" x14ac:dyDescent="0.2">
      <c r="A49930" s="258"/>
      <c r="Z49930" s="258"/>
    </row>
    <row r="49931" spans="1:26" ht="12.75" customHeight="1" x14ac:dyDescent="0.2">
      <c r="A49931" s="258"/>
      <c r="Z49931" s="258"/>
    </row>
    <row r="49932" spans="1:26" ht="12.75" customHeight="1" x14ac:dyDescent="0.2">
      <c r="A49932" s="258"/>
      <c r="Z49932" s="258"/>
    </row>
    <row r="49933" spans="1:26" ht="12.75" customHeight="1" x14ac:dyDescent="0.2">
      <c r="A49933" s="258"/>
      <c r="Z49933" s="258"/>
    </row>
    <row r="49934" spans="1:26" ht="12.75" customHeight="1" x14ac:dyDescent="0.2">
      <c r="A49934" s="258"/>
      <c r="Z49934" s="258"/>
    </row>
    <row r="49935" spans="1:26" ht="12.75" customHeight="1" x14ac:dyDescent="0.2">
      <c r="A49935" s="258"/>
      <c r="Z49935" s="258"/>
    </row>
    <row r="49936" spans="1:26" ht="12.75" customHeight="1" x14ac:dyDescent="0.2">
      <c r="A49936" s="258"/>
      <c r="Z49936" s="258"/>
    </row>
    <row r="49937" spans="1:26" ht="12.75" customHeight="1" x14ac:dyDescent="0.2">
      <c r="A49937" s="258"/>
      <c r="Z49937" s="258"/>
    </row>
    <row r="49938" spans="1:26" ht="12.75" customHeight="1" x14ac:dyDescent="0.2">
      <c r="A49938" s="258"/>
      <c r="Z49938" s="258"/>
    </row>
    <row r="49939" spans="1:26" ht="12.75" customHeight="1" x14ac:dyDescent="0.2">
      <c r="A49939" s="258"/>
      <c r="Z49939" s="258"/>
    </row>
    <row r="49940" spans="1:26" ht="12.75" customHeight="1" x14ac:dyDescent="0.2">
      <c r="A49940" s="258"/>
      <c r="Z49940" s="258"/>
    </row>
    <row r="49941" spans="1:26" ht="12.75" customHeight="1" x14ac:dyDescent="0.2">
      <c r="A49941" s="258"/>
      <c r="Z49941" s="258"/>
    </row>
    <row r="49942" spans="1:26" ht="12.75" customHeight="1" x14ac:dyDescent="0.2">
      <c r="A49942" s="258"/>
      <c r="Z49942" s="258"/>
    </row>
    <row r="49943" spans="1:26" ht="12.75" customHeight="1" x14ac:dyDescent="0.2">
      <c r="A49943" s="258"/>
      <c r="Z49943" s="258"/>
    </row>
    <row r="49944" spans="1:26" ht="12.75" customHeight="1" x14ac:dyDescent="0.2">
      <c r="A49944" s="258"/>
      <c r="Z49944" s="258"/>
    </row>
    <row r="49945" spans="1:26" ht="12.75" customHeight="1" x14ac:dyDescent="0.2">
      <c r="A49945" s="258"/>
      <c r="Z49945" s="258"/>
    </row>
    <row r="49946" spans="1:26" ht="12.75" customHeight="1" x14ac:dyDescent="0.2">
      <c r="A49946" s="258"/>
      <c r="Z49946" s="258"/>
    </row>
    <row r="49947" spans="1:26" ht="12.75" customHeight="1" x14ac:dyDescent="0.2">
      <c r="A49947" s="258"/>
      <c r="Z49947" s="258"/>
    </row>
    <row r="49948" spans="1:26" ht="12.75" customHeight="1" x14ac:dyDescent="0.2">
      <c r="A49948" s="258"/>
      <c r="Z49948" s="258"/>
    </row>
    <row r="49949" spans="1:26" ht="12.75" customHeight="1" x14ac:dyDescent="0.2">
      <c r="A49949" s="258"/>
      <c r="Z49949" s="258"/>
    </row>
    <row r="49950" spans="1:26" ht="12.75" customHeight="1" x14ac:dyDescent="0.2">
      <c r="A49950" s="258"/>
      <c r="Z49950" s="258"/>
    </row>
    <row r="49951" spans="1:26" ht="12.75" customHeight="1" x14ac:dyDescent="0.2">
      <c r="A49951" s="258"/>
      <c r="Z49951" s="258"/>
    </row>
    <row r="49952" spans="1:26" ht="12.75" customHeight="1" x14ac:dyDescent="0.2">
      <c r="A49952" s="258"/>
      <c r="Z49952" s="258"/>
    </row>
    <row r="49953" spans="1:26" ht="12.75" customHeight="1" x14ac:dyDescent="0.2">
      <c r="A49953" s="258"/>
      <c r="Z49953" s="258"/>
    </row>
    <row r="49954" spans="1:26" ht="12.75" customHeight="1" x14ac:dyDescent="0.2">
      <c r="A49954" s="258"/>
      <c r="Z49954" s="258"/>
    </row>
    <row r="49955" spans="1:26" ht="12.75" customHeight="1" x14ac:dyDescent="0.2">
      <c r="A49955" s="258"/>
      <c r="Z49955" s="258"/>
    </row>
    <row r="49956" spans="1:26" ht="12.75" customHeight="1" x14ac:dyDescent="0.2">
      <c r="A49956" s="258"/>
      <c r="Z49956" s="258"/>
    </row>
    <row r="49957" spans="1:26" ht="12.75" customHeight="1" x14ac:dyDescent="0.2">
      <c r="A49957" s="258"/>
      <c r="Z49957" s="258"/>
    </row>
    <row r="49958" spans="1:26" ht="12.75" customHeight="1" x14ac:dyDescent="0.2">
      <c r="A49958" s="258"/>
      <c r="Z49958" s="258"/>
    </row>
    <row r="49959" spans="1:26" ht="12.75" customHeight="1" x14ac:dyDescent="0.2">
      <c r="A49959" s="258"/>
      <c r="Z49959" s="258"/>
    </row>
    <row r="49960" spans="1:26" ht="12.75" customHeight="1" x14ac:dyDescent="0.2">
      <c r="A49960" s="258"/>
      <c r="Z49960" s="258"/>
    </row>
    <row r="49961" spans="1:26" ht="12.75" customHeight="1" x14ac:dyDescent="0.2">
      <c r="A49961" s="258"/>
      <c r="Z49961" s="258"/>
    </row>
    <row r="49962" spans="1:26" ht="12.75" customHeight="1" x14ac:dyDescent="0.2">
      <c r="A49962" s="258"/>
      <c r="Z49962" s="258"/>
    </row>
    <row r="49963" spans="1:26" ht="12.75" customHeight="1" x14ac:dyDescent="0.2">
      <c r="A49963" s="258"/>
      <c r="Z49963" s="258"/>
    </row>
    <row r="49964" spans="1:26" ht="12.75" customHeight="1" x14ac:dyDescent="0.2">
      <c r="A49964" s="258"/>
      <c r="Z49964" s="258"/>
    </row>
    <row r="49965" spans="1:26" ht="12.75" customHeight="1" x14ac:dyDescent="0.2">
      <c r="A49965" s="258"/>
      <c r="Z49965" s="258"/>
    </row>
    <row r="49966" spans="1:26" ht="12.75" customHeight="1" x14ac:dyDescent="0.2">
      <c r="A49966" s="258"/>
      <c r="Z49966" s="258"/>
    </row>
    <row r="49967" spans="1:26" ht="12.75" customHeight="1" x14ac:dyDescent="0.2">
      <c r="A49967" s="258"/>
      <c r="Z49967" s="258"/>
    </row>
    <row r="49968" spans="1:26" ht="12.75" customHeight="1" x14ac:dyDescent="0.2">
      <c r="A49968" s="258"/>
      <c r="Z49968" s="258"/>
    </row>
    <row r="49969" spans="1:26" ht="12.75" customHeight="1" x14ac:dyDescent="0.2">
      <c r="A49969" s="258"/>
      <c r="Z49969" s="258"/>
    </row>
    <row r="49970" spans="1:26" ht="12.75" customHeight="1" x14ac:dyDescent="0.2">
      <c r="A49970" s="258"/>
      <c r="Z49970" s="258"/>
    </row>
    <row r="49971" spans="1:26" ht="12.75" customHeight="1" x14ac:dyDescent="0.2">
      <c r="A49971" s="258"/>
      <c r="Z49971" s="258"/>
    </row>
    <row r="49972" spans="1:26" ht="12.75" customHeight="1" x14ac:dyDescent="0.2">
      <c r="A49972" s="258"/>
      <c r="Z49972" s="258"/>
    </row>
    <row r="49973" spans="1:26" ht="12.75" customHeight="1" x14ac:dyDescent="0.2">
      <c r="A49973" s="258"/>
      <c r="Z49973" s="258"/>
    </row>
    <row r="49974" spans="1:26" ht="12.75" customHeight="1" x14ac:dyDescent="0.2">
      <c r="A49974" s="258"/>
      <c r="Z49974" s="258"/>
    </row>
    <row r="49975" spans="1:26" ht="12.75" customHeight="1" x14ac:dyDescent="0.2">
      <c r="A49975" s="258"/>
      <c r="Z49975" s="258"/>
    </row>
    <row r="49976" spans="1:26" ht="12.75" customHeight="1" x14ac:dyDescent="0.2">
      <c r="A49976" s="258"/>
      <c r="Z49976" s="258"/>
    </row>
    <row r="49977" spans="1:26" ht="12.75" customHeight="1" x14ac:dyDescent="0.2">
      <c r="A49977" s="258"/>
      <c r="Z49977" s="258"/>
    </row>
    <row r="49978" spans="1:26" ht="12.75" customHeight="1" x14ac:dyDescent="0.2">
      <c r="A49978" s="258"/>
      <c r="Z49978" s="258"/>
    </row>
    <row r="49979" spans="1:26" ht="12.75" customHeight="1" x14ac:dyDescent="0.2">
      <c r="A49979" s="258"/>
      <c r="Z49979" s="258"/>
    </row>
    <row r="49980" spans="1:26" ht="12.75" customHeight="1" x14ac:dyDescent="0.2">
      <c r="A49980" s="258"/>
      <c r="Z49980" s="258"/>
    </row>
    <row r="49981" spans="1:26" ht="12.75" customHeight="1" x14ac:dyDescent="0.2">
      <c r="A49981" s="258"/>
      <c r="Z49981" s="258"/>
    </row>
    <row r="49982" spans="1:26" ht="12.75" customHeight="1" x14ac:dyDescent="0.2">
      <c r="A49982" s="258"/>
      <c r="Z49982" s="258"/>
    </row>
    <row r="49983" spans="1:26" ht="12.75" customHeight="1" x14ac:dyDescent="0.2">
      <c r="A49983" s="258"/>
      <c r="Z49983" s="258"/>
    </row>
    <row r="49984" spans="1:26" ht="12.75" customHeight="1" x14ac:dyDescent="0.2">
      <c r="A49984" s="258"/>
      <c r="Z49984" s="258"/>
    </row>
    <row r="49985" spans="1:26" ht="12.75" customHeight="1" x14ac:dyDescent="0.2">
      <c r="A49985" s="258"/>
      <c r="Z49985" s="258"/>
    </row>
    <row r="49986" spans="1:26" ht="12.75" customHeight="1" x14ac:dyDescent="0.2">
      <c r="A49986" s="258"/>
      <c r="Z49986" s="258"/>
    </row>
    <row r="49987" spans="1:26" ht="12.75" customHeight="1" x14ac:dyDescent="0.2">
      <c r="A49987" s="258"/>
      <c r="Z49987" s="258"/>
    </row>
    <row r="49988" spans="1:26" ht="12.75" customHeight="1" x14ac:dyDescent="0.2">
      <c r="A49988" s="258"/>
      <c r="Z49988" s="258"/>
    </row>
    <row r="49989" spans="1:26" ht="12.75" customHeight="1" x14ac:dyDescent="0.2">
      <c r="A49989" s="258"/>
      <c r="Z49989" s="258"/>
    </row>
    <row r="49990" spans="1:26" ht="12.75" customHeight="1" x14ac:dyDescent="0.2">
      <c r="A49990" s="258"/>
      <c r="Z49990" s="258"/>
    </row>
    <row r="49991" spans="1:26" ht="12.75" customHeight="1" x14ac:dyDescent="0.2">
      <c r="A49991" s="258"/>
      <c r="Z49991" s="258"/>
    </row>
    <row r="49992" spans="1:26" ht="12.75" customHeight="1" x14ac:dyDescent="0.2">
      <c r="A49992" s="258"/>
      <c r="Z49992" s="258"/>
    </row>
    <row r="49993" spans="1:26" ht="12.75" customHeight="1" x14ac:dyDescent="0.2">
      <c r="A49993" s="258"/>
      <c r="Z49993" s="258"/>
    </row>
    <row r="49994" spans="1:26" ht="12.75" customHeight="1" x14ac:dyDescent="0.2">
      <c r="A49994" s="258"/>
      <c r="Z49994" s="258"/>
    </row>
    <row r="49995" spans="1:26" ht="12.75" customHeight="1" x14ac:dyDescent="0.2">
      <c r="A49995" s="258"/>
      <c r="Z49995" s="258"/>
    </row>
    <row r="49996" spans="1:26" ht="12.75" customHeight="1" x14ac:dyDescent="0.2">
      <c r="A49996" s="258"/>
      <c r="Z49996" s="258"/>
    </row>
    <row r="49997" spans="1:26" ht="12.75" customHeight="1" x14ac:dyDescent="0.2">
      <c r="A49997" s="258"/>
      <c r="Z49997" s="258"/>
    </row>
    <row r="49998" spans="1:26" ht="12.75" customHeight="1" x14ac:dyDescent="0.2">
      <c r="A49998" s="258"/>
      <c r="Z49998" s="258"/>
    </row>
    <row r="49999" spans="1:26" ht="12.75" customHeight="1" x14ac:dyDescent="0.2">
      <c r="A49999" s="258"/>
      <c r="Z49999" s="258"/>
    </row>
    <row r="50000" spans="1:26" ht="12.75" customHeight="1" x14ac:dyDescent="0.2">
      <c r="A50000" s="258"/>
      <c r="Z50000" s="258"/>
    </row>
    <row r="50001" spans="1:26" ht="12.75" customHeight="1" x14ac:dyDescent="0.2">
      <c r="A50001" s="258"/>
      <c r="Z50001" s="258"/>
    </row>
    <row r="50002" spans="1:26" ht="12.75" customHeight="1" x14ac:dyDescent="0.2">
      <c r="A50002" s="258"/>
      <c r="Z50002" s="258"/>
    </row>
    <row r="50003" spans="1:26" ht="12.75" customHeight="1" x14ac:dyDescent="0.2">
      <c r="A50003" s="258"/>
      <c r="Z50003" s="258"/>
    </row>
    <row r="50004" spans="1:26" ht="12.75" customHeight="1" x14ac:dyDescent="0.2">
      <c r="A50004" s="258"/>
      <c r="Z50004" s="258"/>
    </row>
    <row r="50005" spans="1:26" ht="12.75" customHeight="1" x14ac:dyDescent="0.2">
      <c r="A50005" s="258"/>
      <c r="Z50005" s="258"/>
    </row>
    <row r="50006" spans="1:26" ht="12.75" customHeight="1" x14ac:dyDescent="0.2">
      <c r="A50006" s="258"/>
      <c r="Z50006" s="258"/>
    </row>
    <row r="50007" spans="1:26" ht="12.75" customHeight="1" x14ac:dyDescent="0.2">
      <c r="A50007" s="258"/>
      <c r="Z50007" s="258"/>
    </row>
    <row r="50008" spans="1:26" ht="12.75" customHeight="1" x14ac:dyDescent="0.2">
      <c r="A50008" s="258"/>
      <c r="Z50008" s="258"/>
    </row>
    <row r="50009" spans="1:26" ht="12.75" customHeight="1" x14ac:dyDescent="0.2">
      <c r="A50009" s="258"/>
      <c r="Z50009" s="258"/>
    </row>
    <row r="50010" spans="1:26" ht="12.75" customHeight="1" x14ac:dyDescent="0.2">
      <c r="A50010" s="258"/>
      <c r="Z50010" s="258"/>
    </row>
    <row r="50011" spans="1:26" ht="12.75" customHeight="1" x14ac:dyDescent="0.2">
      <c r="A50011" s="258"/>
      <c r="Z50011" s="258"/>
    </row>
    <row r="50012" spans="1:26" ht="12.75" customHeight="1" x14ac:dyDescent="0.2">
      <c r="A50012" s="258"/>
      <c r="Z50012" s="258"/>
    </row>
    <row r="50013" spans="1:26" ht="12.75" customHeight="1" x14ac:dyDescent="0.2">
      <c r="A50013" s="258"/>
      <c r="Z50013" s="258"/>
    </row>
    <row r="50014" spans="1:26" ht="12.75" customHeight="1" x14ac:dyDescent="0.2">
      <c r="A50014" s="258"/>
      <c r="Z50014" s="258"/>
    </row>
    <row r="50015" spans="1:26" ht="12.75" customHeight="1" x14ac:dyDescent="0.2">
      <c r="A50015" s="258"/>
      <c r="Z50015" s="258"/>
    </row>
    <row r="50016" spans="1:26" ht="12.75" customHeight="1" x14ac:dyDescent="0.2">
      <c r="A50016" s="258"/>
      <c r="Z50016" s="258"/>
    </row>
    <row r="50017" spans="1:26" ht="12.75" customHeight="1" x14ac:dyDescent="0.2">
      <c r="A50017" s="258"/>
      <c r="Z50017" s="258"/>
    </row>
    <row r="50018" spans="1:26" ht="12.75" customHeight="1" x14ac:dyDescent="0.2">
      <c r="A50018" s="258"/>
      <c r="Z50018" s="258"/>
    </row>
    <row r="50019" spans="1:26" ht="12.75" customHeight="1" x14ac:dyDescent="0.2">
      <c r="A50019" s="258"/>
      <c r="Z50019" s="258"/>
    </row>
    <row r="50020" spans="1:26" ht="12.75" customHeight="1" x14ac:dyDescent="0.2">
      <c r="A50020" s="258"/>
      <c r="Z50020" s="258"/>
    </row>
    <row r="50021" spans="1:26" ht="12.75" customHeight="1" x14ac:dyDescent="0.2">
      <c r="A50021" s="258"/>
      <c r="Z50021" s="258"/>
    </row>
    <row r="50022" spans="1:26" ht="12.75" customHeight="1" x14ac:dyDescent="0.2">
      <c r="A50022" s="258"/>
      <c r="Z50022" s="258"/>
    </row>
    <row r="50023" spans="1:26" ht="12.75" customHeight="1" x14ac:dyDescent="0.2">
      <c r="A50023" s="258"/>
      <c r="Z50023" s="258"/>
    </row>
    <row r="50024" spans="1:26" ht="12.75" customHeight="1" x14ac:dyDescent="0.2">
      <c r="A50024" s="258"/>
      <c r="Z50024" s="258"/>
    </row>
    <row r="50025" spans="1:26" ht="12.75" customHeight="1" x14ac:dyDescent="0.2">
      <c r="A50025" s="258"/>
      <c r="Z50025" s="258"/>
    </row>
    <row r="50026" spans="1:26" ht="12.75" customHeight="1" x14ac:dyDescent="0.2">
      <c r="A50026" s="258"/>
      <c r="Z50026" s="258"/>
    </row>
    <row r="50027" spans="1:26" ht="12.75" customHeight="1" x14ac:dyDescent="0.2">
      <c r="A50027" s="258"/>
      <c r="Z50027" s="258"/>
    </row>
    <row r="50028" spans="1:26" ht="12.75" customHeight="1" x14ac:dyDescent="0.2">
      <c r="A50028" s="258"/>
      <c r="Z50028" s="258"/>
    </row>
    <row r="50029" spans="1:26" ht="12.75" customHeight="1" x14ac:dyDescent="0.2">
      <c r="A50029" s="258"/>
      <c r="Z50029" s="258"/>
    </row>
    <row r="50030" spans="1:26" ht="12.75" customHeight="1" x14ac:dyDescent="0.2">
      <c r="A50030" s="258"/>
      <c r="Z50030" s="258"/>
    </row>
    <row r="50031" spans="1:26" ht="12.75" customHeight="1" x14ac:dyDescent="0.2">
      <c r="A50031" s="258"/>
      <c r="Z50031" s="258"/>
    </row>
    <row r="50032" spans="1:26" ht="12.75" customHeight="1" x14ac:dyDescent="0.2">
      <c r="A50032" s="258"/>
      <c r="Z50032" s="258"/>
    </row>
    <row r="50033" spans="1:26" ht="12.75" customHeight="1" x14ac:dyDescent="0.2">
      <c r="A50033" s="258"/>
      <c r="Z50033" s="258"/>
    </row>
    <row r="50034" spans="1:26" ht="12.75" customHeight="1" x14ac:dyDescent="0.2">
      <c r="A50034" s="258"/>
      <c r="Z50034" s="258"/>
    </row>
    <row r="50035" spans="1:26" ht="12.75" customHeight="1" x14ac:dyDescent="0.2">
      <c r="A50035" s="258"/>
      <c r="Z50035" s="258"/>
    </row>
    <row r="50036" spans="1:26" ht="12.75" customHeight="1" x14ac:dyDescent="0.2">
      <c r="A50036" s="258"/>
      <c r="Z50036" s="258"/>
    </row>
    <row r="50037" spans="1:26" ht="12.75" customHeight="1" x14ac:dyDescent="0.2">
      <c r="A50037" s="258"/>
      <c r="Z50037" s="258"/>
    </row>
    <row r="50038" spans="1:26" ht="12.75" customHeight="1" x14ac:dyDescent="0.2">
      <c r="A50038" s="258"/>
      <c r="Z50038" s="258"/>
    </row>
    <row r="50039" spans="1:26" ht="12.75" customHeight="1" x14ac:dyDescent="0.2">
      <c r="A50039" s="258"/>
      <c r="Z50039" s="258"/>
    </row>
    <row r="50040" spans="1:26" ht="12.75" customHeight="1" x14ac:dyDescent="0.2">
      <c r="A50040" s="258"/>
      <c r="Z50040" s="258"/>
    </row>
    <row r="50041" spans="1:26" ht="12.75" customHeight="1" x14ac:dyDescent="0.2">
      <c r="A50041" s="258"/>
      <c r="Z50041" s="258"/>
    </row>
    <row r="50042" spans="1:26" ht="12.75" customHeight="1" x14ac:dyDescent="0.2">
      <c r="A50042" s="258"/>
      <c r="Z50042" s="258"/>
    </row>
    <row r="50043" spans="1:26" ht="12.75" customHeight="1" x14ac:dyDescent="0.2">
      <c r="A50043" s="258"/>
      <c r="Z50043" s="258"/>
    </row>
    <row r="50044" spans="1:26" ht="12.75" customHeight="1" x14ac:dyDescent="0.2">
      <c r="A50044" s="258"/>
      <c r="Z50044" s="258"/>
    </row>
    <row r="50045" spans="1:26" ht="12.75" customHeight="1" x14ac:dyDescent="0.2">
      <c r="A50045" s="258"/>
      <c r="Z50045" s="258"/>
    </row>
    <row r="50046" spans="1:26" ht="12.75" customHeight="1" x14ac:dyDescent="0.2">
      <c r="A50046" s="258"/>
      <c r="Z50046" s="258"/>
    </row>
    <row r="50047" spans="1:26" ht="12.75" customHeight="1" x14ac:dyDescent="0.2">
      <c r="A50047" s="258"/>
      <c r="Z50047" s="258"/>
    </row>
    <row r="50048" spans="1:26" ht="12.75" customHeight="1" x14ac:dyDescent="0.2">
      <c r="A50048" s="258"/>
      <c r="Z50048" s="258"/>
    </row>
    <row r="50049" spans="1:26" ht="12.75" customHeight="1" x14ac:dyDescent="0.2">
      <c r="A50049" s="258"/>
      <c r="Z50049" s="258"/>
    </row>
    <row r="50050" spans="1:26" ht="12.75" customHeight="1" x14ac:dyDescent="0.2">
      <c r="A50050" s="258"/>
      <c r="Z50050" s="258"/>
    </row>
    <row r="50051" spans="1:26" ht="12.75" customHeight="1" x14ac:dyDescent="0.2">
      <c r="A50051" s="258"/>
      <c r="Z50051" s="258"/>
    </row>
    <row r="50052" spans="1:26" ht="12.75" customHeight="1" x14ac:dyDescent="0.2">
      <c r="A50052" s="258"/>
      <c r="Z50052" s="258"/>
    </row>
    <row r="50053" spans="1:26" ht="12.75" customHeight="1" x14ac:dyDescent="0.2">
      <c r="A50053" s="258"/>
      <c r="Z50053" s="258"/>
    </row>
    <row r="50054" spans="1:26" ht="12.75" customHeight="1" x14ac:dyDescent="0.2">
      <c r="A50054" s="258"/>
      <c r="Z50054" s="258"/>
    </row>
    <row r="50055" spans="1:26" ht="12.75" customHeight="1" x14ac:dyDescent="0.2">
      <c r="A50055" s="258"/>
      <c r="Z50055" s="258"/>
    </row>
    <row r="50056" spans="1:26" ht="12.75" customHeight="1" x14ac:dyDescent="0.2">
      <c r="A50056" s="258"/>
      <c r="Z50056" s="258"/>
    </row>
    <row r="50057" spans="1:26" ht="12.75" customHeight="1" x14ac:dyDescent="0.2">
      <c r="A50057" s="258"/>
      <c r="Z50057" s="258"/>
    </row>
    <row r="50058" spans="1:26" ht="12.75" customHeight="1" x14ac:dyDescent="0.2">
      <c r="A50058" s="258"/>
      <c r="Z50058" s="258"/>
    </row>
    <row r="50059" spans="1:26" ht="12.75" customHeight="1" x14ac:dyDescent="0.2">
      <c r="A50059" s="258"/>
      <c r="Z50059" s="258"/>
    </row>
    <row r="50060" spans="1:26" ht="12.75" customHeight="1" x14ac:dyDescent="0.2">
      <c r="A50060" s="258"/>
      <c r="Z50060" s="258"/>
    </row>
    <row r="50061" spans="1:26" ht="12.75" customHeight="1" x14ac:dyDescent="0.2">
      <c r="A50061" s="258"/>
      <c r="Z50061" s="258"/>
    </row>
    <row r="50062" spans="1:26" ht="12.75" customHeight="1" x14ac:dyDescent="0.2">
      <c r="A50062" s="258"/>
      <c r="Z50062" s="258"/>
    </row>
    <row r="50063" spans="1:26" ht="12.75" customHeight="1" x14ac:dyDescent="0.2">
      <c r="A50063" s="258"/>
      <c r="Z50063" s="258"/>
    </row>
    <row r="50064" spans="1:26" ht="12.75" customHeight="1" x14ac:dyDescent="0.2">
      <c r="A50064" s="258"/>
      <c r="Z50064" s="258"/>
    </row>
    <row r="50065" spans="1:26" ht="12.75" customHeight="1" x14ac:dyDescent="0.2">
      <c r="A50065" s="258"/>
      <c r="Z50065" s="258"/>
    </row>
    <row r="50066" spans="1:26" ht="12.75" customHeight="1" x14ac:dyDescent="0.2">
      <c r="A50066" s="258"/>
      <c r="Z50066" s="258"/>
    </row>
    <row r="50067" spans="1:26" ht="12.75" customHeight="1" x14ac:dyDescent="0.2">
      <c r="A50067" s="258"/>
      <c r="Z50067" s="258"/>
    </row>
    <row r="50068" spans="1:26" ht="12.75" customHeight="1" x14ac:dyDescent="0.2">
      <c r="A50068" s="258"/>
      <c r="Z50068" s="258"/>
    </row>
    <row r="50069" spans="1:26" ht="12.75" customHeight="1" x14ac:dyDescent="0.2">
      <c r="A50069" s="258"/>
      <c r="Z50069" s="258"/>
    </row>
    <row r="50070" spans="1:26" ht="12.75" customHeight="1" x14ac:dyDescent="0.2">
      <c r="A50070" s="258"/>
      <c r="Z50070" s="258"/>
    </row>
    <row r="50071" spans="1:26" ht="12.75" customHeight="1" x14ac:dyDescent="0.2">
      <c r="A50071" s="258"/>
      <c r="Z50071" s="258"/>
    </row>
    <row r="50072" spans="1:26" ht="12.75" customHeight="1" x14ac:dyDescent="0.2">
      <c r="A50072" s="258"/>
      <c r="Z50072" s="258"/>
    </row>
    <row r="50073" spans="1:26" ht="12.75" customHeight="1" x14ac:dyDescent="0.2">
      <c r="A50073" s="258"/>
      <c r="Z50073" s="258"/>
    </row>
    <row r="50074" spans="1:26" ht="12.75" customHeight="1" x14ac:dyDescent="0.2">
      <c r="A50074" s="258"/>
      <c r="Z50074" s="258"/>
    </row>
    <row r="50075" spans="1:26" ht="12.75" customHeight="1" x14ac:dyDescent="0.2">
      <c r="A50075" s="258"/>
      <c r="Z50075" s="258"/>
    </row>
    <row r="50076" spans="1:26" ht="12.75" customHeight="1" x14ac:dyDescent="0.2">
      <c r="A50076" s="258"/>
      <c r="Z50076" s="258"/>
    </row>
    <row r="50077" spans="1:26" ht="12.75" customHeight="1" x14ac:dyDescent="0.2">
      <c r="A50077" s="258"/>
      <c r="Z50077" s="258"/>
    </row>
    <row r="50078" spans="1:26" ht="12.75" customHeight="1" x14ac:dyDescent="0.2">
      <c r="A50078" s="258"/>
      <c r="Z50078" s="258"/>
    </row>
    <row r="50079" spans="1:26" ht="12.75" customHeight="1" x14ac:dyDescent="0.2">
      <c r="A50079" s="258"/>
      <c r="Z50079" s="258"/>
    </row>
    <row r="50080" spans="1:26" ht="12.75" customHeight="1" x14ac:dyDescent="0.2">
      <c r="A50080" s="258"/>
      <c r="Z50080" s="258"/>
    </row>
    <row r="50081" spans="1:26" ht="12.75" customHeight="1" x14ac:dyDescent="0.2">
      <c r="A50081" s="258"/>
      <c r="Z50081" s="258"/>
    </row>
    <row r="50082" spans="1:26" ht="12.75" customHeight="1" x14ac:dyDescent="0.2">
      <c r="A50082" s="258"/>
      <c r="Z50082" s="258"/>
    </row>
    <row r="50083" spans="1:26" ht="12.75" customHeight="1" x14ac:dyDescent="0.2">
      <c r="A50083" s="258"/>
      <c r="Z50083" s="258"/>
    </row>
    <row r="50084" spans="1:26" ht="12.75" customHeight="1" x14ac:dyDescent="0.2">
      <c r="A50084" s="258"/>
      <c r="Z50084" s="258"/>
    </row>
    <row r="50085" spans="1:26" ht="12.75" customHeight="1" x14ac:dyDescent="0.2">
      <c r="A50085" s="258"/>
      <c r="Z50085" s="258"/>
    </row>
    <row r="50086" spans="1:26" ht="12.75" customHeight="1" x14ac:dyDescent="0.2">
      <c r="A50086" s="258"/>
      <c r="Z50086" s="258"/>
    </row>
    <row r="50087" spans="1:26" ht="12.75" customHeight="1" x14ac:dyDescent="0.2">
      <c r="A50087" s="258"/>
      <c r="Z50087" s="258"/>
    </row>
    <row r="50088" spans="1:26" ht="12.75" customHeight="1" x14ac:dyDescent="0.2">
      <c r="A50088" s="258"/>
      <c r="Z50088" s="258"/>
    </row>
    <row r="50089" spans="1:26" ht="12.75" customHeight="1" x14ac:dyDescent="0.2">
      <c r="A50089" s="258"/>
      <c r="Z50089" s="258"/>
    </row>
    <row r="50090" spans="1:26" ht="12.75" customHeight="1" x14ac:dyDescent="0.2">
      <c r="A50090" s="258"/>
      <c r="Z50090" s="258"/>
    </row>
    <row r="50091" spans="1:26" ht="12.75" customHeight="1" x14ac:dyDescent="0.2">
      <c r="A50091" s="258"/>
      <c r="Z50091" s="258"/>
    </row>
    <row r="50092" spans="1:26" ht="12.75" customHeight="1" x14ac:dyDescent="0.2">
      <c r="A50092" s="258"/>
      <c r="Z50092" s="258"/>
    </row>
    <row r="50093" spans="1:26" ht="12.75" customHeight="1" x14ac:dyDescent="0.2">
      <c r="A50093" s="258"/>
      <c r="Z50093" s="258"/>
    </row>
    <row r="50094" spans="1:26" ht="12.75" customHeight="1" x14ac:dyDescent="0.2">
      <c r="A50094" s="258"/>
      <c r="Z50094" s="258"/>
    </row>
    <row r="50095" spans="1:26" ht="12.75" customHeight="1" x14ac:dyDescent="0.2">
      <c r="A50095" s="258"/>
      <c r="Z50095" s="258"/>
    </row>
    <row r="50096" spans="1:26" ht="12.75" customHeight="1" x14ac:dyDescent="0.2">
      <c r="A50096" s="258"/>
      <c r="Z50096" s="258"/>
    </row>
    <row r="50097" spans="1:26" ht="12.75" customHeight="1" x14ac:dyDescent="0.2">
      <c r="A50097" s="258"/>
      <c r="Z50097" s="258"/>
    </row>
    <row r="50098" spans="1:26" ht="12.75" customHeight="1" x14ac:dyDescent="0.2">
      <c r="A50098" s="258"/>
      <c r="Z50098" s="258"/>
    </row>
    <row r="50099" spans="1:26" ht="12.75" customHeight="1" x14ac:dyDescent="0.2">
      <c r="A50099" s="258"/>
      <c r="Z50099" s="258"/>
    </row>
    <row r="50100" spans="1:26" ht="12.75" customHeight="1" x14ac:dyDescent="0.2">
      <c r="A50100" s="258"/>
      <c r="Z50100" s="258"/>
    </row>
    <row r="50101" spans="1:26" ht="12.75" customHeight="1" x14ac:dyDescent="0.2">
      <c r="A50101" s="258"/>
      <c r="Z50101" s="258"/>
    </row>
    <row r="50102" spans="1:26" ht="12.75" customHeight="1" x14ac:dyDescent="0.2">
      <c r="A50102" s="258"/>
      <c r="Z50102" s="258"/>
    </row>
    <row r="50103" spans="1:26" ht="12.75" customHeight="1" x14ac:dyDescent="0.2">
      <c r="A50103" s="258"/>
      <c r="Z50103" s="258"/>
    </row>
    <row r="50104" spans="1:26" ht="12.75" customHeight="1" x14ac:dyDescent="0.2">
      <c r="A50104" s="258"/>
      <c r="Z50104" s="258"/>
    </row>
    <row r="50105" spans="1:26" ht="12.75" customHeight="1" x14ac:dyDescent="0.2">
      <c r="A50105" s="258"/>
      <c r="Z50105" s="258"/>
    </row>
    <row r="50106" spans="1:26" ht="12.75" customHeight="1" x14ac:dyDescent="0.2">
      <c r="A50106" s="258"/>
      <c r="Z50106" s="258"/>
    </row>
    <row r="50107" spans="1:26" ht="12.75" customHeight="1" x14ac:dyDescent="0.2">
      <c r="A50107" s="258"/>
      <c r="Z50107" s="258"/>
    </row>
    <row r="50108" spans="1:26" ht="12.75" customHeight="1" x14ac:dyDescent="0.2">
      <c r="A50108" s="258"/>
      <c r="Z50108" s="258"/>
    </row>
    <row r="50109" spans="1:26" ht="12.75" customHeight="1" x14ac:dyDescent="0.2">
      <c r="A50109" s="258"/>
      <c r="Z50109" s="258"/>
    </row>
    <row r="50110" spans="1:26" ht="12.75" customHeight="1" x14ac:dyDescent="0.2">
      <c r="A50110" s="258"/>
      <c r="Z50110" s="258"/>
    </row>
    <row r="50111" spans="1:26" ht="12.75" customHeight="1" x14ac:dyDescent="0.2">
      <c r="A50111" s="258"/>
      <c r="Z50111" s="258"/>
    </row>
    <row r="50112" spans="1:26" ht="12.75" customHeight="1" x14ac:dyDescent="0.2">
      <c r="A50112" s="258"/>
      <c r="Z50112" s="258"/>
    </row>
    <row r="50113" spans="1:26" ht="12.75" customHeight="1" x14ac:dyDescent="0.2">
      <c r="A50113" s="258"/>
      <c r="Z50113" s="258"/>
    </row>
    <row r="50114" spans="1:26" ht="12.75" customHeight="1" x14ac:dyDescent="0.2">
      <c r="A50114" s="258"/>
      <c r="Z50114" s="258"/>
    </row>
    <row r="50115" spans="1:26" ht="12.75" customHeight="1" x14ac:dyDescent="0.2">
      <c r="A50115" s="258"/>
      <c r="Z50115" s="258"/>
    </row>
    <row r="50116" spans="1:26" ht="12.75" customHeight="1" x14ac:dyDescent="0.2">
      <c r="A50116" s="258"/>
      <c r="Z50116" s="258"/>
    </row>
    <row r="50117" spans="1:26" ht="12.75" customHeight="1" x14ac:dyDescent="0.2">
      <c r="A50117" s="258"/>
      <c r="Z50117" s="258"/>
    </row>
    <row r="50118" spans="1:26" ht="12.75" customHeight="1" x14ac:dyDescent="0.2">
      <c r="A50118" s="258"/>
      <c r="Z50118" s="258"/>
    </row>
    <row r="50119" spans="1:26" ht="12.75" customHeight="1" x14ac:dyDescent="0.2">
      <c r="A50119" s="258"/>
      <c r="Z50119" s="258"/>
    </row>
    <row r="50120" spans="1:26" ht="12.75" customHeight="1" x14ac:dyDescent="0.2">
      <c r="A50120" s="258"/>
      <c r="Z50120" s="258"/>
    </row>
    <row r="50121" spans="1:26" ht="12.75" customHeight="1" x14ac:dyDescent="0.2">
      <c r="A50121" s="258"/>
      <c r="Z50121" s="258"/>
    </row>
    <row r="50122" spans="1:26" ht="12.75" customHeight="1" x14ac:dyDescent="0.2">
      <c r="A50122" s="258"/>
      <c r="Z50122" s="258"/>
    </row>
    <row r="50123" spans="1:26" ht="12.75" customHeight="1" x14ac:dyDescent="0.2">
      <c r="A50123" s="258"/>
      <c r="Z50123" s="258"/>
    </row>
    <row r="50124" spans="1:26" ht="12.75" customHeight="1" x14ac:dyDescent="0.2">
      <c r="A50124" s="258"/>
      <c r="Z50124" s="258"/>
    </row>
    <row r="50125" spans="1:26" ht="12.75" customHeight="1" x14ac:dyDescent="0.2">
      <c r="A50125" s="258"/>
      <c r="Z50125" s="258"/>
    </row>
    <row r="50126" spans="1:26" ht="12.75" customHeight="1" x14ac:dyDescent="0.2">
      <c r="A50126" s="258"/>
      <c r="Z50126" s="258"/>
    </row>
    <row r="50127" spans="1:26" ht="12.75" customHeight="1" x14ac:dyDescent="0.2">
      <c r="A50127" s="258"/>
      <c r="Z50127" s="258"/>
    </row>
    <row r="50128" spans="1:26" ht="12.75" customHeight="1" x14ac:dyDescent="0.2">
      <c r="A50128" s="258"/>
      <c r="Z50128" s="258"/>
    </row>
    <row r="50129" spans="1:26" ht="12.75" customHeight="1" x14ac:dyDescent="0.2">
      <c r="A50129" s="258"/>
      <c r="Z50129" s="258"/>
    </row>
    <row r="50130" spans="1:26" ht="12.75" customHeight="1" x14ac:dyDescent="0.2">
      <c r="A50130" s="258"/>
      <c r="Z50130" s="258"/>
    </row>
    <row r="50131" spans="1:26" ht="12.75" customHeight="1" x14ac:dyDescent="0.2">
      <c r="A50131" s="258"/>
      <c r="Z50131" s="258"/>
    </row>
    <row r="50132" spans="1:26" ht="12.75" customHeight="1" x14ac:dyDescent="0.2">
      <c r="A50132" s="258"/>
      <c r="Z50132" s="258"/>
    </row>
    <row r="50133" spans="1:26" ht="12.75" customHeight="1" x14ac:dyDescent="0.2">
      <c r="A50133" s="258"/>
      <c r="Z50133" s="258"/>
    </row>
    <row r="50134" spans="1:26" ht="12.75" customHeight="1" x14ac:dyDescent="0.2">
      <c r="A50134" s="258"/>
      <c r="Z50134" s="258"/>
    </row>
    <row r="50135" spans="1:26" ht="12.75" customHeight="1" x14ac:dyDescent="0.2">
      <c r="A50135" s="258"/>
      <c r="Z50135" s="258"/>
    </row>
    <row r="50136" spans="1:26" ht="12.75" customHeight="1" x14ac:dyDescent="0.2">
      <c r="A50136" s="258"/>
      <c r="Z50136" s="258"/>
    </row>
    <row r="50137" spans="1:26" ht="12.75" customHeight="1" x14ac:dyDescent="0.2">
      <c r="A50137" s="258"/>
      <c r="Z50137" s="258"/>
    </row>
    <row r="50138" spans="1:26" ht="12.75" customHeight="1" x14ac:dyDescent="0.2">
      <c r="A50138" s="258"/>
      <c r="Z50138" s="258"/>
    </row>
    <row r="50139" spans="1:26" ht="12.75" customHeight="1" x14ac:dyDescent="0.2">
      <c r="A50139" s="258"/>
      <c r="Z50139" s="258"/>
    </row>
    <row r="50140" spans="1:26" ht="12.75" customHeight="1" x14ac:dyDescent="0.2">
      <c r="A50140" s="258"/>
      <c r="Z50140" s="258"/>
    </row>
    <row r="50141" spans="1:26" ht="12.75" customHeight="1" x14ac:dyDescent="0.2">
      <c r="A50141" s="258"/>
      <c r="Z50141" s="258"/>
    </row>
    <row r="50142" spans="1:26" ht="12.75" customHeight="1" x14ac:dyDescent="0.2">
      <c r="A50142" s="258"/>
      <c r="Z50142" s="258"/>
    </row>
    <row r="50143" spans="1:26" ht="12.75" customHeight="1" x14ac:dyDescent="0.2">
      <c r="A50143" s="258"/>
      <c r="Z50143" s="258"/>
    </row>
    <row r="50144" spans="1:26" ht="12.75" customHeight="1" x14ac:dyDescent="0.2">
      <c r="A50144" s="258"/>
      <c r="Z50144" s="258"/>
    </row>
    <row r="50145" spans="1:26" ht="12.75" customHeight="1" x14ac:dyDescent="0.2">
      <c r="A50145" s="258"/>
      <c r="Z50145" s="258"/>
    </row>
    <row r="50146" spans="1:26" ht="12.75" customHeight="1" x14ac:dyDescent="0.2">
      <c r="A50146" s="258"/>
      <c r="Z50146" s="258"/>
    </row>
    <row r="50147" spans="1:26" ht="12.75" customHeight="1" x14ac:dyDescent="0.2">
      <c r="A50147" s="258"/>
      <c r="Z50147" s="258"/>
    </row>
    <row r="50148" spans="1:26" ht="12.75" customHeight="1" x14ac:dyDescent="0.2">
      <c r="A50148" s="258"/>
      <c r="Z50148" s="258"/>
    </row>
    <row r="50149" spans="1:26" ht="12.75" customHeight="1" x14ac:dyDescent="0.2">
      <c r="A50149" s="258"/>
      <c r="Z50149" s="258"/>
    </row>
    <row r="50150" spans="1:26" ht="12.75" customHeight="1" x14ac:dyDescent="0.2">
      <c r="A50150" s="258"/>
      <c r="Z50150" s="258"/>
    </row>
    <row r="50151" spans="1:26" ht="12.75" customHeight="1" x14ac:dyDescent="0.2">
      <c r="A50151" s="258"/>
      <c r="Z50151" s="258"/>
    </row>
    <row r="50152" spans="1:26" ht="12.75" customHeight="1" x14ac:dyDescent="0.2">
      <c r="A50152" s="258"/>
      <c r="Z50152" s="258"/>
    </row>
    <row r="50153" spans="1:26" ht="12.75" customHeight="1" x14ac:dyDescent="0.2">
      <c r="A50153" s="258"/>
      <c r="Z50153" s="258"/>
    </row>
    <row r="50154" spans="1:26" ht="12.75" customHeight="1" x14ac:dyDescent="0.2">
      <c r="A50154" s="258"/>
      <c r="Z50154" s="258"/>
    </row>
    <row r="50155" spans="1:26" ht="12.75" customHeight="1" x14ac:dyDescent="0.2">
      <c r="A50155" s="258"/>
      <c r="Z50155" s="258"/>
    </row>
    <row r="50156" spans="1:26" ht="12.75" customHeight="1" x14ac:dyDescent="0.2">
      <c r="A50156" s="258"/>
      <c r="Z50156" s="258"/>
    </row>
    <row r="50157" spans="1:26" ht="12.75" customHeight="1" x14ac:dyDescent="0.2">
      <c r="A50157" s="258"/>
      <c r="Z50157" s="258"/>
    </row>
    <row r="50158" spans="1:26" ht="12.75" customHeight="1" x14ac:dyDescent="0.2">
      <c r="A50158" s="258"/>
      <c r="Z50158" s="258"/>
    </row>
    <row r="50159" spans="1:26" ht="12.75" customHeight="1" x14ac:dyDescent="0.2">
      <c r="A50159" s="258"/>
      <c r="Z50159" s="258"/>
    </row>
    <row r="50160" spans="1:26" ht="12.75" customHeight="1" x14ac:dyDescent="0.2">
      <c r="A50160" s="258"/>
      <c r="Z50160" s="258"/>
    </row>
    <row r="50161" spans="1:26" ht="12.75" customHeight="1" x14ac:dyDescent="0.2">
      <c r="A50161" s="258"/>
      <c r="Z50161" s="258"/>
    </row>
    <row r="50162" spans="1:26" ht="12.75" customHeight="1" x14ac:dyDescent="0.2">
      <c r="A50162" s="258"/>
      <c r="Z50162" s="258"/>
    </row>
    <row r="50163" spans="1:26" ht="12.75" customHeight="1" x14ac:dyDescent="0.2">
      <c r="A50163" s="258"/>
      <c r="Z50163" s="258"/>
    </row>
    <row r="50164" spans="1:26" ht="12.75" customHeight="1" x14ac:dyDescent="0.2">
      <c r="A50164" s="258"/>
      <c r="Z50164" s="258"/>
    </row>
    <row r="50165" spans="1:26" ht="12.75" customHeight="1" x14ac:dyDescent="0.2">
      <c r="A50165" s="258"/>
      <c r="Z50165" s="258"/>
    </row>
    <row r="50166" spans="1:26" ht="12.75" customHeight="1" x14ac:dyDescent="0.2">
      <c r="A50166" s="258"/>
      <c r="Z50166" s="258"/>
    </row>
    <row r="50167" spans="1:26" ht="12.75" customHeight="1" x14ac:dyDescent="0.2">
      <c r="A50167" s="258"/>
      <c r="Z50167" s="258"/>
    </row>
    <row r="50168" spans="1:26" ht="12.75" customHeight="1" x14ac:dyDescent="0.2">
      <c r="A50168" s="258"/>
      <c r="Z50168" s="258"/>
    </row>
    <row r="50169" spans="1:26" ht="12.75" customHeight="1" x14ac:dyDescent="0.2">
      <c r="A50169" s="258"/>
      <c r="Z50169" s="258"/>
    </row>
    <row r="50170" spans="1:26" ht="12.75" customHeight="1" x14ac:dyDescent="0.2">
      <c r="A50170" s="258"/>
      <c r="Z50170" s="258"/>
    </row>
    <row r="50171" spans="1:26" ht="12.75" customHeight="1" x14ac:dyDescent="0.2">
      <c r="A50171" s="258"/>
      <c r="Z50171" s="258"/>
    </row>
    <row r="50172" spans="1:26" ht="12.75" customHeight="1" x14ac:dyDescent="0.2">
      <c r="A50172" s="258"/>
      <c r="Z50172" s="258"/>
    </row>
    <row r="50173" spans="1:26" ht="12.75" customHeight="1" x14ac:dyDescent="0.2">
      <c r="A50173" s="258"/>
      <c r="Z50173" s="258"/>
    </row>
    <row r="50174" spans="1:26" ht="12.75" customHeight="1" x14ac:dyDescent="0.2">
      <c r="A50174" s="258"/>
      <c r="Z50174" s="258"/>
    </row>
    <row r="50175" spans="1:26" ht="12.75" customHeight="1" x14ac:dyDescent="0.2">
      <c r="A50175" s="258"/>
      <c r="Z50175" s="258"/>
    </row>
    <row r="50176" spans="1:26" ht="12.75" customHeight="1" x14ac:dyDescent="0.2">
      <c r="A50176" s="258"/>
      <c r="Z50176" s="258"/>
    </row>
    <row r="50177" spans="1:26" ht="12.75" customHeight="1" x14ac:dyDescent="0.2">
      <c r="A50177" s="258"/>
      <c r="Z50177" s="258"/>
    </row>
    <row r="50178" spans="1:26" ht="12.75" customHeight="1" x14ac:dyDescent="0.2">
      <c r="A50178" s="258"/>
      <c r="Z50178" s="258"/>
    </row>
    <row r="50179" spans="1:26" ht="12.75" customHeight="1" x14ac:dyDescent="0.2">
      <c r="A50179" s="258"/>
      <c r="Z50179" s="258"/>
    </row>
    <row r="50180" spans="1:26" ht="12.75" customHeight="1" x14ac:dyDescent="0.2">
      <c r="A50180" s="258"/>
      <c r="Z50180" s="258"/>
    </row>
    <row r="50181" spans="1:26" ht="12.75" customHeight="1" x14ac:dyDescent="0.2">
      <c r="A50181" s="258"/>
      <c r="Z50181" s="258"/>
    </row>
    <row r="50182" spans="1:26" ht="12.75" customHeight="1" x14ac:dyDescent="0.2">
      <c r="A50182" s="258"/>
      <c r="Z50182" s="258"/>
    </row>
    <row r="50183" spans="1:26" ht="12.75" customHeight="1" x14ac:dyDescent="0.2">
      <c r="A50183" s="258"/>
      <c r="Z50183" s="258"/>
    </row>
    <row r="50184" spans="1:26" ht="12.75" customHeight="1" x14ac:dyDescent="0.2">
      <c r="A50184" s="258"/>
      <c r="Z50184" s="258"/>
    </row>
    <row r="50185" spans="1:26" ht="12.75" customHeight="1" x14ac:dyDescent="0.2">
      <c r="A50185" s="258"/>
      <c r="Z50185" s="258"/>
    </row>
    <row r="50186" spans="1:26" ht="12.75" customHeight="1" x14ac:dyDescent="0.2">
      <c r="A50186" s="258"/>
      <c r="Z50186" s="258"/>
    </row>
    <row r="50187" spans="1:26" ht="12.75" customHeight="1" x14ac:dyDescent="0.2">
      <c r="A50187" s="258"/>
      <c r="Z50187" s="258"/>
    </row>
    <row r="50188" spans="1:26" ht="12.75" customHeight="1" x14ac:dyDescent="0.2">
      <c r="A50188" s="258"/>
      <c r="Z50188" s="258"/>
    </row>
    <row r="50189" spans="1:26" ht="12.75" customHeight="1" x14ac:dyDescent="0.2">
      <c r="A50189" s="258"/>
      <c r="Z50189" s="258"/>
    </row>
    <row r="50190" spans="1:26" ht="12.75" customHeight="1" x14ac:dyDescent="0.2">
      <c r="A50190" s="258"/>
      <c r="Z50190" s="258"/>
    </row>
    <row r="50191" spans="1:26" ht="12.75" customHeight="1" x14ac:dyDescent="0.2">
      <c r="A50191" s="258"/>
      <c r="Z50191" s="258"/>
    </row>
    <row r="50192" spans="1:26" ht="12.75" customHeight="1" x14ac:dyDescent="0.2">
      <c r="A50192" s="258"/>
      <c r="Z50192" s="258"/>
    </row>
    <row r="50193" spans="1:26" ht="12.75" customHeight="1" x14ac:dyDescent="0.2">
      <c r="A50193" s="258"/>
      <c r="Z50193" s="258"/>
    </row>
    <row r="50194" spans="1:26" ht="12.75" customHeight="1" x14ac:dyDescent="0.2">
      <c r="A50194" s="258"/>
      <c r="Z50194" s="258"/>
    </row>
    <row r="50195" spans="1:26" ht="12.75" customHeight="1" x14ac:dyDescent="0.2">
      <c r="A50195" s="258"/>
      <c r="Z50195" s="258"/>
    </row>
    <row r="50196" spans="1:26" ht="12.75" customHeight="1" x14ac:dyDescent="0.2">
      <c r="A50196" s="258"/>
      <c r="Z50196" s="258"/>
    </row>
    <row r="50197" spans="1:26" ht="12.75" customHeight="1" x14ac:dyDescent="0.2">
      <c r="A50197" s="258"/>
      <c r="Z50197" s="258"/>
    </row>
    <row r="50198" spans="1:26" ht="12.75" customHeight="1" x14ac:dyDescent="0.2">
      <c r="A50198" s="258"/>
      <c r="Z50198" s="258"/>
    </row>
    <row r="50199" spans="1:26" ht="12.75" customHeight="1" x14ac:dyDescent="0.2">
      <c r="A50199" s="258"/>
      <c r="Z50199" s="258"/>
    </row>
    <row r="50200" spans="1:26" ht="12.75" customHeight="1" x14ac:dyDescent="0.2">
      <c r="A50200" s="258"/>
      <c r="Z50200" s="258"/>
    </row>
    <row r="50201" spans="1:26" ht="12.75" customHeight="1" x14ac:dyDescent="0.2">
      <c r="A50201" s="258"/>
      <c r="Z50201" s="258"/>
    </row>
    <row r="50202" spans="1:26" ht="12.75" customHeight="1" x14ac:dyDescent="0.2">
      <c r="A50202" s="258"/>
      <c r="Z50202" s="258"/>
    </row>
    <row r="50203" spans="1:26" ht="12.75" customHeight="1" x14ac:dyDescent="0.2">
      <c r="A50203" s="258"/>
      <c r="Z50203" s="258"/>
    </row>
    <row r="50204" spans="1:26" ht="12.75" customHeight="1" x14ac:dyDescent="0.2">
      <c r="A50204" s="258"/>
      <c r="Z50204" s="258"/>
    </row>
    <row r="50205" spans="1:26" ht="12.75" customHeight="1" x14ac:dyDescent="0.2">
      <c r="A50205" s="258"/>
      <c r="Z50205" s="258"/>
    </row>
    <row r="50206" spans="1:26" ht="12.75" customHeight="1" x14ac:dyDescent="0.2">
      <c r="A50206" s="258"/>
      <c r="Z50206" s="258"/>
    </row>
    <row r="50207" spans="1:26" ht="12.75" customHeight="1" x14ac:dyDescent="0.2">
      <c r="A50207" s="258"/>
      <c r="Z50207" s="258"/>
    </row>
    <row r="50208" spans="1:26" ht="12.75" customHeight="1" x14ac:dyDescent="0.2">
      <c r="A50208" s="258"/>
      <c r="Z50208" s="258"/>
    </row>
    <row r="50209" spans="1:26" ht="12.75" customHeight="1" x14ac:dyDescent="0.2">
      <c r="A50209" s="258"/>
      <c r="Z50209" s="258"/>
    </row>
    <row r="50210" spans="1:26" ht="12.75" customHeight="1" x14ac:dyDescent="0.2">
      <c r="A50210" s="258"/>
      <c r="Z50210" s="258"/>
    </row>
    <row r="50211" spans="1:26" ht="12.75" customHeight="1" x14ac:dyDescent="0.2">
      <c r="A50211" s="258"/>
      <c r="Z50211" s="258"/>
    </row>
    <row r="50212" spans="1:26" ht="12.75" customHeight="1" x14ac:dyDescent="0.2">
      <c r="A50212" s="258"/>
      <c r="Z50212" s="258"/>
    </row>
    <row r="50213" spans="1:26" ht="12.75" customHeight="1" x14ac:dyDescent="0.2">
      <c r="A50213" s="258"/>
      <c r="Z50213" s="258"/>
    </row>
    <row r="50214" spans="1:26" ht="12.75" customHeight="1" x14ac:dyDescent="0.2">
      <c r="A50214" s="258"/>
      <c r="Z50214" s="258"/>
    </row>
    <row r="50215" spans="1:26" ht="12.75" customHeight="1" x14ac:dyDescent="0.2">
      <c r="A50215" s="258"/>
      <c r="Z50215" s="258"/>
    </row>
    <row r="50216" spans="1:26" ht="12.75" customHeight="1" x14ac:dyDescent="0.2">
      <c r="A50216" s="258"/>
      <c r="Z50216" s="258"/>
    </row>
    <row r="50217" spans="1:26" ht="12.75" customHeight="1" x14ac:dyDescent="0.2">
      <c r="A50217" s="258"/>
      <c r="Z50217" s="258"/>
    </row>
    <row r="50218" spans="1:26" ht="12.75" customHeight="1" x14ac:dyDescent="0.2">
      <c r="A50218" s="258"/>
      <c r="Z50218" s="258"/>
    </row>
    <row r="50219" spans="1:26" ht="12.75" customHeight="1" x14ac:dyDescent="0.2">
      <c r="A50219" s="258"/>
      <c r="Z50219" s="258"/>
    </row>
    <row r="50220" spans="1:26" ht="12.75" customHeight="1" x14ac:dyDescent="0.2">
      <c r="A50220" s="258"/>
      <c r="Z50220" s="258"/>
    </row>
    <row r="50221" spans="1:26" ht="12.75" customHeight="1" x14ac:dyDescent="0.2">
      <c r="A50221" s="258"/>
      <c r="Z50221" s="258"/>
    </row>
    <row r="50222" spans="1:26" ht="12.75" customHeight="1" x14ac:dyDescent="0.2">
      <c r="A50222" s="258"/>
      <c r="Z50222" s="258"/>
    </row>
    <row r="50223" spans="1:26" ht="12.75" customHeight="1" x14ac:dyDescent="0.2">
      <c r="A50223" s="258"/>
      <c r="Z50223" s="258"/>
    </row>
    <row r="50224" spans="1:26" ht="12.75" customHeight="1" x14ac:dyDescent="0.2">
      <c r="A50224" s="258"/>
      <c r="Z50224" s="258"/>
    </row>
    <row r="50225" spans="1:26" ht="12.75" customHeight="1" x14ac:dyDescent="0.2">
      <c r="A50225" s="258"/>
      <c r="Z50225" s="258"/>
    </row>
    <row r="50226" spans="1:26" ht="12.75" customHeight="1" x14ac:dyDescent="0.2">
      <c r="A50226" s="258"/>
      <c r="Z50226" s="258"/>
    </row>
    <row r="50227" spans="1:26" ht="12.75" customHeight="1" x14ac:dyDescent="0.2">
      <c r="A50227" s="258"/>
      <c r="Z50227" s="258"/>
    </row>
    <row r="50228" spans="1:26" ht="12.75" customHeight="1" x14ac:dyDescent="0.2">
      <c r="A50228" s="258"/>
      <c r="Z50228" s="258"/>
    </row>
    <row r="50229" spans="1:26" ht="12.75" customHeight="1" x14ac:dyDescent="0.2">
      <c r="A50229" s="258"/>
      <c r="Z50229" s="258"/>
    </row>
    <row r="50230" spans="1:26" ht="12.75" customHeight="1" x14ac:dyDescent="0.2">
      <c r="A50230" s="258"/>
      <c r="Z50230" s="258"/>
    </row>
    <row r="50231" spans="1:26" ht="12.75" customHeight="1" x14ac:dyDescent="0.2">
      <c r="A50231" s="258"/>
      <c r="Z50231" s="258"/>
    </row>
    <row r="50232" spans="1:26" ht="12.75" customHeight="1" x14ac:dyDescent="0.2">
      <c r="A50232" s="258"/>
      <c r="Z50232" s="258"/>
    </row>
    <row r="50233" spans="1:26" ht="12.75" customHeight="1" x14ac:dyDescent="0.2">
      <c r="A50233" s="258"/>
      <c r="Z50233" s="258"/>
    </row>
    <row r="50234" spans="1:26" ht="12.75" customHeight="1" x14ac:dyDescent="0.2">
      <c r="A50234" s="258"/>
      <c r="Z50234" s="258"/>
    </row>
    <row r="50235" spans="1:26" ht="12.75" customHeight="1" x14ac:dyDescent="0.2">
      <c r="A50235" s="258"/>
      <c r="Z50235" s="258"/>
    </row>
    <row r="50236" spans="1:26" ht="12.75" customHeight="1" x14ac:dyDescent="0.2">
      <c r="A50236" s="258"/>
      <c r="Z50236" s="258"/>
    </row>
    <row r="50237" spans="1:26" ht="12.75" customHeight="1" x14ac:dyDescent="0.2">
      <c r="A50237" s="258"/>
      <c r="Z50237" s="258"/>
    </row>
    <row r="50238" spans="1:26" ht="12.75" customHeight="1" x14ac:dyDescent="0.2">
      <c r="A50238" s="258"/>
      <c r="Z50238" s="258"/>
    </row>
    <row r="50239" spans="1:26" ht="12.75" customHeight="1" x14ac:dyDescent="0.2">
      <c r="A50239" s="258"/>
      <c r="Z50239" s="258"/>
    </row>
    <row r="50240" spans="1:26" ht="12.75" customHeight="1" x14ac:dyDescent="0.2">
      <c r="A50240" s="258"/>
      <c r="Z50240" s="258"/>
    </row>
    <row r="50241" spans="1:26" ht="12.75" customHeight="1" x14ac:dyDescent="0.2">
      <c r="A50241" s="258"/>
      <c r="Z50241" s="258"/>
    </row>
    <row r="50242" spans="1:26" ht="12.75" customHeight="1" x14ac:dyDescent="0.2">
      <c r="A50242" s="258"/>
      <c r="Z50242" s="258"/>
    </row>
    <row r="50243" spans="1:26" ht="12.75" customHeight="1" x14ac:dyDescent="0.2">
      <c r="A50243" s="258"/>
      <c r="Z50243" s="258"/>
    </row>
    <row r="50244" spans="1:26" ht="12.75" customHeight="1" x14ac:dyDescent="0.2">
      <c r="A50244" s="258"/>
      <c r="Z50244" s="258"/>
    </row>
    <row r="50245" spans="1:26" ht="12.75" customHeight="1" x14ac:dyDescent="0.2">
      <c r="A50245" s="258"/>
      <c r="Z50245" s="258"/>
    </row>
    <row r="50246" spans="1:26" ht="12.75" customHeight="1" x14ac:dyDescent="0.2">
      <c r="A50246" s="258"/>
      <c r="Z50246" s="258"/>
    </row>
    <row r="50247" spans="1:26" ht="12.75" customHeight="1" x14ac:dyDescent="0.2">
      <c r="A50247" s="258"/>
      <c r="Z50247" s="258"/>
    </row>
    <row r="50248" spans="1:26" ht="12.75" customHeight="1" x14ac:dyDescent="0.2">
      <c r="A50248" s="258"/>
      <c r="Z50248" s="258"/>
    </row>
    <row r="50249" spans="1:26" ht="12.75" customHeight="1" x14ac:dyDescent="0.2">
      <c r="A50249" s="258"/>
      <c r="Z50249" s="258"/>
    </row>
    <row r="50250" spans="1:26" ht="12.75" customHeight="1" x14ac:dyDescent="0.2">
      <c r="A50250" s="258"/>
      <c r="Z50250" s="258"/>
    </row>
    <row r="50251" spans="1:26" ht="12.75" customHeight="1" x14ac:dyDescent="0.2">
      <c r="A50251" s="258"/>
      <c r="Z50251" s="258"/>
    </row>
    <row r="50252" spans="1:26" ht="12.75" customHeight="1" x14ac:dyDescent="0.2">
      <c r="A50252" s="258"/>
      <c r="Z50252" s="258"/>
    </row>
    <row r="50253" spans="1:26" ht="12.75" customHeight="1" x14ac:dyDescent="0.2">
      <c r="A50253" s="258"/>
      <c r="Z50253" s="258"/>
    </row>
    <row r="50254" spans="1:26" ht="12.75" customHeight="1" x14ac:dyDescent="0.2">
      <c r="A50254" s="258"/>
      <c r="Z50254" s="258"/>
    </row>
    <row r="50255" spans="1:26" ht="12.75" customHeight="1" x14ac:dyDescent="0.2">
      <c r="A50255" s="258"/>
      <c r="Z50255" s="258"/>
    </row>
    <row r="50256" spans="1:26" ht="12.75" customHeight="1" x14ac:dyDescent="0.2">
      <c r="A50256" s="258"/>
      <c r="Z50256" s="258"/>
    </row>
    <row r="50257" spans="1:26" ht="12.75" customHeight="1" x14ac:dyDescent="0.2">
      <c r="A50257" s="258"/>
      <c r="Z50257" s="258"/>
    </row>
    <row r="50258" spans="1:26" ht="12.75" customHeight="1" x14ac:dyDescent="0.2">
      <c r="A50258" s="258"/>
      <c r="Z50258" s="258"/>
    </row>
    <row r="50259" spans="1:26" ht="12.75" customHeight="1" x14ac:dyDescent="0.2">
      <c r="A50259" s="258"/>
      <c r="Z50259" s="258"/>
    </row>
    <row r="50260" spans="1:26" ht="12.75" customHeight="1" x14ac:dyDescent="0.2">
      <c r="A50260" s="258"/>
      <c r="Z50260" s="258"/>
    </row>
    <row r="50261" spans="1:26" ht="12.75" customHeight="1" x14ac:dyDescent="0.2">
      <c r="A50261" s="258"/>
      <c r="Z50261" s="258"/>
    </row>
    <row r="50262" spans="1:26" ht="12.75" customHeight="1" x14ac:dyDescent="0.2">
      <c r="A50262" s="258"/>
      <c r="Z50262" s="258"/>
    </row>
    <row r="50263" spans="1:26" ht="12.75" customHeight="1" x14ac:dyDescent="0.2">
      <c r="A50263" s="258"/>
      <c r="Z50263" s="258"/>
    </row>
    <row r="50264" spans="1:26" ht="12.75" customHeight="1" x14ac:dyDescent="0.2">
      <c r="A50264" s="258"/>
      <c r="Z50264" s="258"/>
    </row>
    <row r="50265" spans="1:26" ht="12.75" customHeight="1" x14ac:dyDescent="0.2">
      <c r="A50265" s="258"/>
      <c r="Z50265" s="258"/>
    </row>
    <row r="50266" spans="1:26" ht="12.75" customHeight="1" x14ac:dyDescent="0.2">
      <c r="A50266" s="258"/>
      <c r="Z50266" s="258"/>
    </row>
    <row r="50267" spans="1:26" ht="12.75" customHeight="1" x14ac:dyDescent="0.2">
      <c r="A50267" s="258"/>
      <c r="Z50267" s="258"/>
    </row>
    <row r="50268" spans="1:26" ht="12.75" customHeight="1" x14ac:dyDescent="0.2">
      <c r="A50268" s="258"/>
      <c r="Z50268" s="258"/>
    </row>
    <row r="50269" spans="1:26" ht="12.75" customHeight="1" x14ac:dyDescent="0.2">
      <c r="A50269" s="258"/>
      <c r="Z50269" s="258"/>
    </row>
    <row r="50270" spans="1:26" ht="12.75" customHeight="1" x14ac:dyDescent="0.2">
      <c r="A50270" s="258"/>
      <c r="Z50270" s="258"/>
    </row>
    <row r="50271" spans="1:26" ht="12.75" customHeight="1" x14ac:dyDescent="0.2">
      <c r="A50271" s="258"/>
      <c r="Z50271" s="258"/>
    </row>
    <row r="50272" spans="1:26" ht="12.75" customHeight="1" x14ac:dyDescent="0.2">
      <c r="A50272" s="258"/>
      <c r="Z50272" s="258"/>
    </row>
    <row r="50273" spans="1:26" ht="12.75" customHeight="1" x14ac:dyDescent="0.2">
      <c r="A50273" s="258"/>
      <c r="Z50273" s="258"/>
    </row>
    <row r="50274" spans="1:26" ht="12.75" customHeight="1" x14ac:dyDescent="0.2">
      <c r="A50274" s="258"/>
      <c r="Z50274" s="258"/>
    </row>
    <row r="50275" spans="1:26" ht="12.75" customHeight="1" x14ac:dyDescent="0.2">
      <c r="A50275" s="258"/>
      <c r="Z50275" s="258"/>
    </row>
    <row r="50276" spans="1:26" ht="12.75" customHeight="1" x14ac:dyDescent="0.2">
      <c r="A50276" s="258"/>
      <c r="Z50276" s="258"/>
    </row>
    <row r="50277" spans="1:26" ht="12.75" customHeight="1" x14ac:dyDescent="0.2">
      <c r="A50277" s="258"/>
      <c r="Z50277" s="258"/>
    </row>
    <row r="50278" spans="1:26" ht="12.75" customHeight="1" x14ac:dyDescent="0.2">
      <c r="A50278" s="258"/>
      <c r="Z50278" s="258"/>
    </row>
    <row r="50279" spans="1:26" ht="12.75" customHeight="1" x14ac:dyDescent="0.2">
      <c r="A50279" s="258"/>
      <c r="Z50279" s="258"/>
    </row>
    <row r="50280" spans="1:26" ht="12.75" customHeight="1" x14ac:dyDescent="0.2">
      <c r="A50280" s="258"/>
      <c r="Z50280" s="258"/>
    </row>
    <row r="50281" spans="1:26" ht="12.75" customHeight="1" x14ac:dyDescent="0.2">
      <c r="A50281" s="258"/>
      <c r="Z50281" s="258"/>
    </row>
    <row r="50282" spans="1:26" ht="12.75" customHeight="1" x14ac:dyDescent="0.2">
      <c r="A50282" s="258"/>
      <c r="Z50282" s="258"/>
    </row>
    <row r="50283" spans="1:26" ht="12.75" customHeight="1" x14ac:dyDescent="0.2">
      <c r="A50283" s="258"/>
      <c r="Z50283" s="258"/>
    </row>
    <row r="50284" spans="1:26" ht="12.75" customHeight="1" x14ac:dyDescent="0.2">
      <c r="A50284" s="258"/>
      <c r="Z50284" s="258"/>
    </row>
    <row r="50285" spans="1:26" ht="12.75" customHeight="1" x14ac:dyDescent="0.2">
      <c r="A50285" s="258"/>
      <c r="Z50285" s="258"/>
    </row>
    <row r="50286" spans="1:26" ht="12.75" customHeight="1" x14ac:dyDescent="0.2">
      <c r="A50286" s="258"/>
      <c r="Z50286" s="258"/>
    </row>
    <row r="50287" spans="1:26" ht="12.75" customHeight="1" x14ac:dyDescent="0.2">
      <c r="A50287" s="258"/>
      <c r="Z50287" s="258"/>
    </row>
    <row r="50288" spans="1:26" ht="12.75" customHeight="1" x14ac:dyDescent="0.2">
      <c r="A50288" s="258"/>
      <c r="Z50288" s="258"/>
    </row>
    <row r="50289" spans="1:26" ht="12.75" customHeight="1" x14ac:dyDescent="0.2">
      <c r="A50289" s="258"/>
      <c r="Z50289" s="258"/>
    </row>
    <row r="50290" spans="1:26" ht="12.75" customHeight="1" x14ac:dyDescent="0.2">
      <c r="A50290" s="258"/>
      <c r="Z50290" s="258"/>
    </row>
    <row r="50291" spans="1:26" ht="12.75" customHeight="1" x14ac:dyDescent="0.2">
      <c r="A50291" s="258"/>
      <c r="Z50291" s="258"/>
    </row>
    <row r="50292" spans="1:26" ht="12.75" customHeight="1" x14ac:dyDescent="0.2">
      <c r="A50292" s="258"/>
      <c r="Z50292" s="258"/>
    </row>
    <row r="50293" spans="1:26" ht="12.75" customHeight="1" x14ac:dyDescent="0.2">
      <c r="A50293" s="258"/>
      <c r="Z50293" s="258"/>
    </row>
    <row r="50294" spans="1:26" ht="12.75" customHeight="1" x14ac:dyDescent="0.2">
      <c r="A50294" s="258"/>
      <c r="Z50294" s="258"/>
    </row>
    <row r="50295" spans="1:26" ht="12.75" customHeight="1" x14ac:dyDescent="0.2">
      <c r="A50295" s="258"/>
      <c r="Z50295" s="258"/>
    </row>
    <row r="50296" spans="1:26" ht="12.75" customHeight="1" x14ac:dyDescent="0.2">
      <c r="A50296" s="258"/>
      <c r="Z50296" s="258"/>
    </row>
    <row r="50297" spans="1:26" ht="12.75" customHeight="1" x14ac:dyDescent="0.2">
      <c r="A50297" s="258"/>
      <c r="Z50297" s="258"/>
    </row>
    <row r="50298" spans="1:26" ht="12.75" customHeight="1" x14ac:dyDescent="0.2">
      <c r="A50298" s="258"/>
      <c r="Z50298" s="258"/>
    </row>
    <row r="50299" spans="1:26" ht="12.75" customHeight="1" x14ac:dyDescent="0.2">
      <c r="A50299" s="258"/>
      <c r="Z50299" s="258"/>
    </row>
    <row r="50300" spans="1:26" ht="12.75" customHeight="1" x14ac:dyDescent="0.2">
      <c r="A50300" s="258"/>
      <c r="Z50300" s="258"/>
    </row>
    <row r="50301" spans="1:26" ht="12.75" customHeight="1" x14ac:dyDescent="0.2">
      <c r="A50301" s="258"/>
      <c r="Z50301" s="258"/>
    </row>
    <row r="50302" spans="1:26" ht="12.75" customHeight="1" x14ac:dyDescent="0.2">
      <c r="A50302" s="258"/>
      <c r="Z50302" s="258"/>
    </row>
    <row r="50303" spans="1:26" ht="12.75" customHeight="1" x14ac:dyDescent="0.2">
      <c r="A50303" s="258"/>
      <c r="Z50303" s="258"/>
    </row>
    <row r="50304" spans="1:26" ht="12.75" customHeight="1" x14ac:dyDescent="0.2">
      <c r="A50304" s="258"/>
      <c r="Z50304" s="258"/>
    </row>
    <row r="50305" spans="1:26" ht="12.75" customHeight="1" x14ac:dyDescent="0.2">
      <c r="A50305" s="258"/>
      <c r="Z50305" s="258"/>
    </row>
    <row r="50306" spans="1:26" ht="12.75" customHeight="1" x14ac:dyDescent="0.2">
      <c r="A50306" s="258"/>
      <c r="Z50306" s="258"/>
    </row>
    <row r="50307" spans="1:26" ht="12.75" customHeight="1" x14ac:dyDescent="0.2">
      <c r="A50307" s="258"/>
      <c r="Z50307" s="258"/>
    </row>
    <row r="50308" spans="1:26" ht="12.75" customHeight="1" x14ac:dyDescent="0.2">
      <c r="A50308" s="258"/>
      <c r="Z50308" s="258"/>
    </row>
    <row r="50309" spans="1:26" ht="12.75" customHeight="1" x14ac:dyDescent="0.2">
      <c r="A50309" s="258"/>
      <c r="Z50309" s="258"/>
    </row>
    <row r="50310" spans="1:26" ht="12.75" customHeight="1" x14ac:dyDescent="0.2">
      <c r="A50310" s="258"/>
      <c r="Z50310" s="258"/>
    </row>
    <row r="50311" spans="1:26" ht="12.75" customHeight="1" x14ac:dyDescent="0.2">
      <c r="A50311" s="258"/>
      <c r="Z50311" s="258"/>
    </row>
    <row r="50312" spans="1:26" ht="12.75" customHeight="1" x14ac:dyDescent="0.2">
      <c r="A50312" s="258"/>
      <c r="Z50312" s="258"/>
    </row>
    <row r="50313" spans="1:26" ht="12.75" customHeight="1" x14ac:dyDescent="0.2">
      <c r="A50313" s="258"/>
      <c r="Z50313" s="258"/>
    </row>
    <row r="50314" spans="1:26" ht="12.75" customHeight="1" x14ac:dyDescent="0.2">
      <c r="A50314" s="258"/>
      <c r="Z50314" s="258"/>
    </row>
    <row r="50315" spans="1:26" ht="12.75" customHeight="1" x14ac:dyDescent="0.2">
      <c r="A50315" s="258"/>
      <c r="Z50315" s="258"/>
    </row>
    <row r="50316" spans="1:26" ht="12.75" customHeight="1" x14ac:dyDescent="0.2">
      <c r="A50316" s="258"/>
      <c r="Z50316" s="258"/>
    </row>
    <row r="50317" spans="1:26" ht="12.75" customHeight="1" x14ac:dyDescent="0.2">
      <c r="A50317" s="258"/>
      <c r="Z50317" s="258"/>
    </row>
    <row r="50318" spans="1:26" ht="12.75" customHeight="1" x14ac:dyDescent="0.2">
      <c r="A50318" s="258"/>
      <c r="Z50318" s="258"/>
    </row>
    <row r="50319" spans="1:26" ht="12.75" customHeight="1" x14ac:dyDescent="0.2">
      <c r="A50319" s="258"/>
      <c r="Z50319" s="258"/>
    </row>
    <row r="50320" spans="1:26" ht="12.75" customHeight="1" x14ac:dyDescent="0.2">
      <c r="A50320" s="258"/>
      <c r="Z50320" s="258"/>
    </row>
    <row r="50321" spans="1:26" ht="12.75" customHeight="1" x14ac:dyDescent="0.2">
      <c r="A50321" s="258"/>
      <c r="Z50321" s="258"/>
    </row>
    <row r="50322" spans="1:26" ht="12.75" customHeight="1" x14ac:dyDescent="0.2">
      <c r="A50322" s="258"/>
      <c r="Z50322" s="258"/>
    </row>
    <row r="50323" spans="1:26" ht="12.75" customHeight="1" x14ac:dyDescent="0.2">
      <c r="A50323" s="258"/>
      <c r="Z50323" s="258"/>
    </row>
    <row r="50324" spans="1:26" ht="12.75" customHeight="1" x14ac:dyDescent="0.2">
      <c r="A50324" s="258"/>
      <c r="Z50324" s="258"/>
    </row>
    <row r="50325" spans="1:26" ht="12.75" customHeight="1" x14ac:dyDescent="0.2">
      <c r="A50325" s="258"/>
      <c r="Z50325" s="258"/>
    </row>
    <row r="50326" spans="1:26" ht="12.75" customHeight="1" x14ac:dyDescent="0.2">
      <c r="A50326" s="258"/>
      <c r="Z50326" s="258"/>
    </row>
    <row r="50327" spans="1:26" ht="12.75" customHeight="1" x14ac:dyDescent="0.2">
      <c r="A50327" s="258"/>
      <c r="Z50327" s="258"/>
    </row>
    <row r="50328" spans="1:26" ht="12.75" customHeight="1" x14ac:dyDescent="0.2">
      <c r="A50328" s="258"/>
      <c r="Z50328" s="258"/>
    </row>
    <row r="50329" spans="1:26" ht="12.75" customHeight="1" x14ac:dyDescent="0.2">
      <c r="A50329" s="258"/>
      <c r="Z50329" s="258"/>
    </row>
    <row r="50330" spans="1:26" ht="12.75" customHeight="1" x14ac:dyDescent="0.2">
      <c r="A50330" s="258"/>
      <c r="Z50330" s="258"/>
    </row>
    <row r="50331" spans="1:26" ht="12.75" customHeight="1" x14ac:dyDescent="0.2">
      <c r="A50331" s="258"/>
      <c r="Z50331" s="258"/>
    </row>
    <row r="50332" spans="1:26" ht="12.75" customHeight="1" x14ac:dyDescent="0.2">
      <c r="A50332" s="258"/>
      <c r="Z50332" s="258"/>
    </row>
    <row r="50333" spans="1:26" ht="12.75" customHeight="1" x14ac:dyDescent="0.2">
      <c r="A50333" s="258"/>
      <c r="Z50333" s="258"/>
    </row>
    <row r="50334" spans="1:26" ht="12.75" customHeight="1" x14ac:dyDescent="0.2">
      <c r="A50334" s="258"/>
      <c r="Z50334" s="258"/>
    </row>
    <row r="50335" spans="1:26" ht="12.75" customHeight="1" x14ac:dyDescent="0.2">
      <c r="A50335" s="258"/>
      <c r="Z50335" s="258"/>
    </row>
    <row r="50336" spans="1:26" ht="12.75" customHeight="1" x14ac:dyDescent="0.2">
      <c r="A50336" s="258"/>
      <c r="Z50336" s="258"/>
    </row>
    <row r="50337" spans="1:26" ht="12.75" customHeight="1" x14ac:dyDescent="0.2">
      <c r="A50337" s="258"/>
      <c r="Z50337" s="258"/>
    </row>
    <row r="50338" spans="1:26" ht="12.75" customHeight="1" x14ac:dyDescent="0.2">
      <c r="A50338" s="258"/>
      <c r="Z50338" s="258"/>
    </row>
    <row r="50339" spans="1:26" ht="12.75" customHeight="1" x14ac:dyDescent="0.2">
      <c r="A50339" s="258"/>
      <c r="Z50339" s="258"/>
    </row>
    <row r="50340" spans="1:26" ht="12.75" customHeight="1" x14ac:dyDescent="0.2">
      <c r="A50340" s="258"/>
      <c r="Z50340" s="258"/>
    </row>
    <row r="50341" spans="1:26" ht="12.75" customHeight="1" x14ac:dyDescent="0.2">
      <c r="A50341" s="258"/>
      <c r="Z50341" s="258"/>
    </row>
    <row r="50342" spans="1:26" ht="12.75" customHeight="1" x14ac:dyDescent="0.2">
      <c r="A50342" s="258"/>
      <c r="Z50342" s="258"/>
    </row>
    <row r="50343" spans="1:26" ht="12.75" customHeight="1" x14ac:dyDescent="0.2">
      <c r="A50343" s="258"/>
      <c r="Z50343" s="258"/>
    </row>
    <row r="50344" spans="1:26" ht="12.75" customHeight="1" x14ac:dyDescent="0.2">
      <c r="A50344" s="258"/>
      <c r="Z50344" s="258"/>
    </row>
    <row r="50345" spans="1:26" ht="12.75" customHeight="1" x14ac:dyDescent="0.2">
      <c r="A50345" s="258"/>
      <c r="Z50345" s="258"/>
    </row>
    <row r="50346" spans="1:26" ht="12.75" customHeight="1" x14ac:dyDescent="0.2">
      <c r="A50346" s="258"/>
      <c r="Z50346" s="258"/>
    </row>
    <row r="50347" spans="1:26" ht="12.75" customHeight="1" x14ac:dyDescent="0.2">
      <c r="A50347" s="258"/>
      <c r="Z50347" s="258"/>
    </row>
    <row r="50348" spans="1:26" ht="12.75" customHeight="1" x14ac:dyDescent="0.2">
      <c r="A50348" s="258"/>
      <c r="Z50348" s="258"/>
    </row>
    <row r="50349" spans="1:26" ht="12.75" customHeight="1" x14ac:dyDescent="0.2">
      <c r="A50349" s="258"/>
      <c r="Z50349" s="258"/>
    </row>
    <row r="50350" spans="1:26" ht="12.75" customHeight="1" x14ac:dyDescent="0.2">
      <c r="A50350" s="258"/>
      <c r="Z50350" s="258"/>
    </row>
    <row r="50351" spans="1:26" ht="12.75" customHeight="1" x14ac:dyDescent="0.2">
      <c r="A50351" s="258"/>
      <c r="Z50351" s="258"/>
    </row>
    <row r="50352" spans="1:26" ht="12.75" customHeight="1" x14ac:dyDescent="0.2">
      <c r="A50352" s="258"/>
      <c r="Z50352" s="258"/>
    </row>
    <row r="50353" spans="1:26" ht="12.75" customHeight="1" x14ac:dyDescent="0.2">
      <c r="A50353" s="258"/>
      <c r="Z50353" s="258"/>
    </row>
    <row r="50354" spans="1:26" ht="12.75" customHeight="1" x14ac:dyDescent="0.2">
      <c r="A50354" s="258"/>
      <c r="Z50354" s="258"/>
    </row>
    <row r="50355" spans="1:26" ht="12.75" customHeight="1" x14ac:dyDescent="0.2">
      <c r="A50355" s="258"/>
      <c r="Z50355" s="258"/>
    </row>
    <row r="50356" spans="1:26" ht="12.75" customHeight="1" x14ac:dyDescent="0.2">
      <c r="A50356" s="258"/>
      <c r="Z50356" s="258"/>
    </row>
    <row r="50357" spans="1:26" ht="12.75" customHeight="1" x14ac:dyDescent="0.2">
      <c r="A50357" s="258"/>
      <c r="Z50357" s="258"/>
    </row>
    <row r="50358" spans="1:26" ht="12.75" customHeight="1" x14ac:dyDescent="0.2">
      <c r="A50358" s="258"/>
      <c r="Z50358" s="258"/>
    </row>
    <row r="50359" spans="1:26" ht="12.75" customHeight="1" x14ac:dyDescent="0.2">
      <c r="A50359" s="258"/>
      <c r="Z50359" s="258"/>
    </row>
    <row r="50360" spans="1:26" ht="12.75" customHeight="1" x14ac:dyDescent="0.2">
      <c r="A50360" s="258"/>
      <c r="Z50360" s="258"/>
    </row>
    <row r="50361" spans="1:26" ht="12.75" customHeight="1" x14ac:dyDescent="0.2">
      <c r="A50361" s="258"/>
      <c r="Z50361" s="258"/>
    </row>
    <row r="50362" spans="1:26" ht="12.75" customHeight="1" x14ac:dyDescent="0.2">
      <c r="A50362" s="258"/>
      <c r="Z50362" s="258"/>
    </row>
    <row r="50363" spans="1:26" ht="12.75" customHeight="1" x14ac:dyDescent="0.2">
      <c r="A50363" s="258"/>
      <c r="Z50363" s="258"/>
    </row>
    <row r="50364" spans="1:26" ht="12.75" customHeight="1" x14ac:dyDescent="0.2">
      <c r="A50364" s="258"/>
      <c r="Z50364" s="258"/>
    </row>
    <row r="50365" spans="1:26" ht="12.75" customHeight="1" x14ac:dyDescent="0.2">
      <c r="A50365" s="258"/>
      <c r="Z50365" s="258"/>
    </row>
    <row r="50366" spans="1:26" ht="12.75" customHeight="1" x14ac:dyDescent="0.2">
      <c r="A50366" s="258"/>
      <c r="Z50366" s="258"/>
    </row>
    <row r="50367" spans="1:26" ht="12.75" customHeight="1" x14ac:dyDescent="0.2">
      <c r="A50367" s="258"/>
      <c r="Z50367" s="258"/>
    </row>
    <row r="50368" spans="1:26" ht="12.75" customHeight="1" x14ac:dyDescent="0.2">
      <c r="A50368" s="258"/>
      <c r="Z50368" s="258"/>
    </row>
    <row r="50369" spans="1:26" ht="12.75" customHeight="1" x14ac:dyDescent="0.2">
      <c r="A50369" s="258"/>
      <c r="Z50369" s="258"/>
    </row>
    <row r="50370" spans="1:26" ht="12.75" customHeight="1" x14ac:dyDescent="0.2">
      <c r="A50370" s="258"/>
      <c r="Z50370" s="258"/>
    </row>
    <row r="50371" spans="1:26" ht="12.75" customHeight="1" x14ac:dyDescent="0.2">
      <c r="A50371" s="258"/>
      <c r="Z50371" s="258"/>
    </row>
    <row r="50372" spans="1:26" ht="12.75" customHeight="1" x14ac:dyDescent="0.2">
      <c r="A50372" s="258"/>
      <c r="Z50372" s="258"/>
    </row>
    <row r="50373" spans="1:26" ht="12.75" customHeight="1" x14ac:dyDescent="0.2">
      <c r="A50373" s="258"/>
      <c r="Z50373" s="258"/>
    </row>
    <row r="50374" spans="1:26" ht="12.75" customHeight="1" x14ac:dyDescent="0.2">
      <c r="A50374" s="258"/>
      <c r="Z50374" s="258"/>
    </row>
    <row r="50375" spans="1:26" ht="12.75" customHeight="1" x14ac:dyDescent="0.2">
      <c r="A50375" s="258"/>
      <c r="Z50375" s="258"/>
    </row>
    <row r="50376" spans="1:26" ht="12.75" customHeight="1" x14ac:dyDescent="0.2">
      <c r="A50376" s="258"/>
      <c r="Z50376" s="258"/>
    </row>
    <row r="50377" spans="1:26" ht="12.75" customHeight="1" x14ac:dyDescent="0.2">
      <c r="A50377" s="258"/>
      <c r="Z50377" s="258"/>
    </row>
    <row r="50378" spans="1:26" ht="12.75" customHeight="1" x14ac:dyDescent="0.2">
      <c r="A50378" s="258"/>
      <c r="Z50378" s="258"/>
    </row>
    <row r="50379" spans="1:26" ht="12.75" customHeight="1" x14ac:dyDescent="0.2">
      <c r="A50379" s="258"/>
      <c r="Z50379" s="258"/>
    </row>
    <row r="50380" spans="1:26" ht="12.75" customHeight="1" x14ac:dyDescent="0.2">
      <c r="A50380" s="258"/>
      <c r="Z50380" s="258"/>
    </row>
    <row r="50381" spans="1:26" ht="12.75" customHeight="1" x14ac:dyDescent="0.2">
      <c r="A50381" s="258"/>
      <c r="Z50381" s="258"/>
    </row>
    <row r="50382" spans="1:26" ht="12.75" customHeight="1" x14ac:dyDescent="0.2">
      <c r="A50382" s="258"/>
      <c r="Z50382" s="258"/>
    </row>
    <row r="50383" spans="1:26" ht="12.75" customHeight="1" x14ac:dyDescent="0.2">
      <c r="A50383" s="258"/>
      <c r="Z50383" s="258"/>
    </row>
    <row r="50384" spans="1:26" ht="12.75" customHeight="1" x14ac:dyDescent="0.2">
      <c r="A50384" s="258"/>
      <c r="Z50384" s="258"/>
    </row>
    <row r="50385" spans="1:26" ht="12.75" customHeight="1" x14ac:dyDescent="0.2">
      <c r="A50385" s="258"/>
      <c r="Z50385" s="258"/>
    </row>
    <row r="50386" spans="1:26" ht="12.75" customHeight="1" x14ac:dyDescent="0.2">
      <c r="A50386" s="258"/>
      <c r="Z50386" s="258"/>
    </row>
    <row r="50387" spans="1:26" ht="12.75" customHeight="1" x14ac:dyDescent="0.2">
      <c r="A50387" s="258"/>
      <c r="Z50387" s="258"/>
    </row>
    <row r="50388" spans="1:26" ht="12.75" customHeight="1" x14ac:dyDescent="0.2">
      <c r="A50388" s="258"/>
      <c r="Z50388" s="258"/>
    </row>
    <row r="50389" spans="1:26" ht="12.75" customHeight="1" x14ac:dyDescent="0.2">
      <c r="A50389" s="258"/>
      <c r="Z50389" s="258"/>
    </row>
    <row r="50390" spans="1:26" ht="12.75" customHeight="1" x14ac:dyDescent="0.2">
      <c r="A50390" s="258"/>
      <c r="Z50390" s="258"/>
    </row>
    <row r="50391" spans="1:26" ht="12.75" customHeight="1" x14ac:dyDescent="0.2">
      <c r="A50391" s="258"/>
      <c r="Z50391" s="258"/>
    </row>
    <row r="50392" spans="1:26" ht="12.75" customHeight="1" x14ac:dyDescent="0.2">
      <c r="A50392" s="258"/>
      <c r="Z50392" s="258"/>
    </row>
    <row r="50393" spans="1:26" ht="12.75" customHeight="1" x14ac:dyDescent="0.2">
      <c r="A50393" s="258"/>
      <c r="Z50393" s="258"/>
    </row>
    <row r="50394" spans="1:26" ht="12.75" customHeight="1" x14ac:dyDescent="0.2">
      <c r="A50394" s="258"/>
      <c r="Z50394" s="258"/>
    </row>
    <row r="50395" spans="1:26" ht="12.75" customHeight="1" x14ac:dyDescent="0.2">
      <c r="A50395" s="258"/>
      <c r="Z50395" s="258"/>
    </row>
    <row r="50396" spans="1:26" ht="12.75" customHeight="1" x14ac:dyDescent="0.2">
      <c r="A50396" s="258"/>
      <c r="Z50396" s="258"/>
    </row>
    <row r="50397" spans="1:26" ht="12.75" customHeight="1" x14ac:dyDescent="0.2">
      <c r="A50397" s="258"/>
      <c r="Z50397" s="258"/>
    </row>
    <row r="50398" spans="1:26" ht="12.75" customHeight="1" x14ac:dyDescent="0.2">
      <c r="A50398" s="258"/>
      <c r="Z50398" s="258"/>
    </row>
    <row r="50399" spans="1:26" ht="12.75" customHeight="1" x14ac:dyDescent="0.2">
      <c r="A50399" s="258"/>
      <c r="Z50399" s="258"/>
    </row>
    <row r="50400" spans="1:26" ht="12.75" customHeight="1" x14ac:dyDescent="0.2">
      <c r="A50400" s="258"/>
      <c r="Z50400" s="258"/>
    </row>
    <row r="50401" spans="1:26" ht="12.75" customHeight="1" x14ac:dyDescent="0.2">
      <c r="A50401" s="258"/>
      <c r="Z50401" s="258"/>
    </row>
    <row r="50402" spans="1:26" ht="12.75" customHeight="1" x14ac:dyDescent="0.2">
      <c r="A50402" s="258"/>
      <c r="Z50402" s="258"/>
    </row>
    <row r="50403" spans="1:26" ht="12.75" customHeight="1" x14ac:dyDescent="0.2">
      <c r="A50403" s="258"/>
      <c r="Z50403" s="258"/>
    </row>
    <row r="50404" spans="1:26" ht="12.75" customHeight="1" x14ac:dyDescent="0.2">
      <c r="A50404" s="258"/>
      <c r="Z50404" s="258"/>
    </row>
    <row r="50405" spans="1:26" ht="12.75" customHeight="1" x14ac:dyDescent="0.2">
      <c r="A50405" s="258"/>
      <c r="Z50405" s="258"/>
    </row>
    <row r="50406" spans="1:26" ht="12.75" customHeight="1" x14ac:dyDescent="0.2">
      <c r="A50406" s="258"/>
      <c r="Z50406" s="258"/>
    </row>
    <row r="50407" spans="1:26" ht="12.75" customHeight="1" x14ac:dyDescent="0.2">
      <c r="A50407" s="258"/>
      <c r="Z50407" s="258"/>
    </row>
    <row r="50408" spans="1:26" ht="12.75" customHeight="1" x14ac:dyDescent="0.2">
      <c r="A50408" s="258"/>
      <c r="Z50408" s="258"/>
    </row>
    <row r="50409" spans="1:26" ht="12.75" customHeight="1" x14ac:dyDescent="0.2">
      <c r="A50409" s="258"/>
      <c r="Z50409" s="258"/>
    </row>
    <row r="50410" spans="1:26" ht="12.75" customHeight="1" x14ac:dyDescent="0.2">
      <c r="A50410" s="258"/>
      <c r="Z50410" s="258"/>
    </row>
    <row r="50411" spans="1:26" ht="12.75" customHeight="1" x14ac:dyDescent="0.2">
      <c r="A50411" s="258"/>
      <c r="Z50411" s="258"/>
    </row>
    <row r="50412" spans="1:26" ht="12.75" customHeight="1" x14ac:dyDescent="0.2">
      <c r="A50412" s="258"/>
      <c r="Z50412" s="258"/>
    </row>
    <row r="50413" spans="1:26" ht="12.75" customHeight="1" x14ac:dyDescent="0.2">
      <c r="A50413" s="258"/>
      <c r="Z50413" s="258"/>
    </row>
    <row r="50414" spans="1:26" ht="12.75" customHeight="1" x14ac:dyDescent="0.2">
      <c r="A50414" s="258"/>
      <c r="Z50414" s="258"/>
    </row>
    <row r="50415" spans="1:26" ht="12.75" customHeight="1" x14ac:dyDescent="0.2">
      <c r="A50415" s="258"/>
      <c r="Z50415" s="258"/>
    </row>
    <row r="50416" spans="1:26" ht="12.75" customHeight="1" x14ac:dyDescent="0.2">
      <c r="A50416" s="258"/>
      <c r="Z50416" s="258"/>
    </row>
    <row r="50417" spans="1:26" ht="12.75" customHeight="1" x14ac:dyDescent="0.2">
      <c r="A50417" s="258"/>
      <c r="Z50417" s="258"/>
    </row>
    <row r="50418" spans="1:26" ht="12.75" customHeight="1" x14ac:dyDescent="0.2">
      <c r="A50418" s="258"/>
      <c r="Z50418" s="258"/>
    </row>
    <row r="50419" spans="1:26" ht="12.75" customHeight="1" x14ac:dyDescent="0.2">
      <c r="A50419" s="258"/>
      <c r="Z50419" s="258"/>
    </row>
    <row r="50420" spans="1:26" ht="12.75" customHeight="1" x14ac:dyDescent="0.2">
      <c r="A50420" s="258"/>
      <c r="Z50420" s="258"/>
    </row>
    <row r="50421" spans="1:26" ht="12.75" customHeight="1" x14ac:dyDescent="0.2">
      <c r="A50421" s="258"/>
      <c r="Z50421" s="258"/>
    </row>
    <row r="50422" spans="1:26" ht="12.75" customHeight="1" x14ac:dyDescent="0.2">
      <c r="A50422" s="258"/>
      <c r="Z50422" s="258"/>
    </row>
    <row r="50423" spans="1:26" ht="12.75" customHeight="1" x14ac:dyDescent="0.2">
      <c r="A50423" s="258"/>
      <c r="Z50423" s="258"/>
    </row>
    <row r="50424" spans="1:26" ht="12.75" customHeight="1" x14ac:dyDescent="0.2">
      <c r="A50424" s="258"/>
      <c r="Z50424" s="258"/>
    </row>
    <row r="50425" spans="1:26" ht="12.75" customHeight="1" x14ac:dyDescent="0.2">
      <c r="A50425" s="258"/>
      <c r="Z50425" s="258"/>
    </row>
    <row r="50426" spans="1:26" ht="12.75" customHeight="1" x14ac:dyDescent="0.2">
      <c r="A50426" s="258"/>
      <c r="Z50426" s="258"/>
    </row>
    <row r="50427" spans="1:26" ht="12.75" customHeight="1" x14ac:dyDescent="0.2">
      <c r="A50427" s="258"/>
      <c r="Z50427" s="258"/>
    </row>
    <row r="50428" spans="1:26" ht="12.75" customHeight="1" x14ac:dyDescent="0.2">
      <c r="A50428" s="258"/>
      <c r="Z50428" s="258"/>
    </row>
    <row r="50429" spans="1:26" ht="12.75" customHeight="1" x14ac:dyDescent="0.2">
      <c r="A50429" s="258"/>
      <c r="Z50429" s="258"/>
    </row>
    <row r="50430" spans="1:26" ht="12.75" customHeight="1" x14ac:dyDescent="0.2">
      <c r="A50430" s="258"/>
      <c r="Z50430" s="258"/>
    </row>
    <row r="50431" spans="1:26" ht="12.75" customHeight="1" x14ac:dyDescent="0.2">
      <c r="A50431" s="258"/>
      <c r="Z50431" s="258"/>
    </row>
    <row r="50432" spans="1:26" ht="12.75" customHeight="1" x14ac:dyDescent="0.2">
      <c r="A50432" s="258"/>
      <c r="Z50432" s="258"/>
    </row>
    <row r="50433" spans="1:26" ht="12.75" customHeight="1" x14ac:dyDescent="0.2">
      <c r="A50433" s="258"/>
      <c r="Z50433" s="258"/>
    </row>
    <row r="50434" spans="1:26" ht="12.75" customHeight="1" x14ac:dyDescent="0.2">
      <c r="A50434" s="258"/>
      <c r="Z50434" s="258"/>
    </row>
    <row r="50435" spans="1:26" ht="12.75" customHeight="1" x14ac:dyDescent="0.2">
      <c r="A50435" s="258"/>
      <c r="Z50435" s="258"/>
    </row>
    <row r="50436" spans="1:26" ht="12.75" customHeight="1" x14ac:dyDescent="0.2">
      <c r="A50436" s="258"/>
      <c r="Z50436" s="258"/>
    </row>
    <row r="50437" spans="1:26" ht="12.75" customHeight="1" x14ac:dyDescent="0.2">
      <c r="A50437" s="258"/>
      <c r="Z50437" s="258"/>
    </row>
    <row r="50438" spans="1:26" ht="12.75" customHeight="1" x14ac:dyDescent="0.2">
      <c r="A50438" s="258"/>
      <c r="Z50438" s="258"/>
    </row>
    <row r="50439" spans="1:26" ht="12.75" customHeight="1" x14ac:dyDescent="0.2">
      <c r="A50439" s="258"/>
      <c r="Z50439" s="258"/>
    </row>
    <row r="50440" spans="1:26" ht="12.75" customHeight="1" x14ac:dyDescent="0.2">
      <c r="A50440" s="258"/>
      <c r="Z50440" s="258"/>
    </row>
    <row r="50441" spans="1:26" ht="12.75" customHeight="1" x14ac:dyDescent="0.2">
      <c r="A50441" s="258"/>
      <c r="Z50441" s="258"/>
    </row>
    <row r="50442" spans="1:26" ht="12.75" customHeight="1" x14ac:dyDescent="0.2">
      <c r="A50442" s="258"/>
      <c r="Z50442" s="258"/>
    </row>
    <row r="50443" spans="1:26" ht="12.75" customHeight="1" x14ac:dyDescent="0.2">
      <c r="A50443" s="258"/>
      <c r="Z50443" s="258"/>
    </row>
    <row r="50444" spans="1:26" ht="12.75" customHeight="1" x14ac:dyDescent="0.2">
      <c r="A50444" s="258"/>
      <c r="Z50444" s="258"/>
    </row>
    <row r="50445" spans="1:26" ht="12.75" customHeight="1" x14ac:dyDescent="0.2">
      <c r="A50445" s="258"/>
      <c r="Z50445" s="258"/>
    </row>
    <row r="50446" spans="1:26" ht="12.75" customHeight="1" x14ac:dyDescent="0.2">
      <c r="A50446" s="258"/>
      <c r="Z50446" s="258"/>
    </row>
    <row r="50447" spans="1:26" ht="12.75" customHeight="1" x14ac:dyDescent="0.2">
      <c r="A50447" s="258"/>
      <c r="Z50447" s="258"/>
    </row>
    <row r="50448" spans="1:26" ht="12.75" customHeight="1" x14ac:dyDescent="0.2">
      <c r="A50448" s="258"/>
      <c r="Z50448" s="258"/>
    </row>
    <row r="50449" spans="1:26" ht="12.75" customHeight="1" x14ac:dyDescent="0.2">
      <c r="A50449" s="258"/>
      <c r="Z50449" s="258"/>
    </row>
    <row r="50450" spans="1:26" ht="12.75" customHeight="1" x14ac:dyDescent="0.2">
      <c r="A50450" s="258"/>
      <c r="Z50450" s="258"/>
    </row>
    <row r="50451" spans="1:26" ht="12.75" customHeight="1" x14ac:dyDescent="0.2">
      <c r="A50451" s="258"/>
      <c r="Z50451" s="258"/>
    </row>
    <row r="50452" spans="1:26" ht="12.75" customHeight="1" x14ac:dyDescent="0.2">
      <c r="A50452" s="258"/>
      <c r="Z50452" s="258"/>
    </row>
    <row r="50453" spans="1:26" ht="12.75" customHeight="1" x14ac:dyDescent="0.2">
      <c r="A50453" s="258"/>
      <c r="Z50453" s="258"/>
    </row>
    <row r="50454" spans="1:26" ht="12.75" customHeight="1" x14ac:dyDescent="0.2">
      <c r="A50454" s="258"/>
      <c r="Z50454" s="258"/>
    </row>
    <row r="50455" spans="1:26" ht="12.75" customHeight="1" x14ac:dyDescent="0.2">
      <c r="A50455" s="258"/>
      <c r="Z50455" s="258"/>
    </row>
    <row r="50456" spans="1:26" ht="12.75" customHeight="1" x14ac:dyDescent="0.2">
      <c r="A50456" s="258"/>
      <c r="Z50456" s="258"/>
    </row>
    <row r="50457" spans="1:26" ht="12.75" customHeight="1" x14ac:dyDescent="0.2">
      <c r="A50457" s="258"/>
      <c r="Z50457" s="258"/>
    </row>
    <row r="50458" spans="1:26" ht="12.75" customHeight="1" x14ac:dyDescent="0.2">
      <c r="A50458" s="258"/>
      <c r="Z50458" s="258"/>
    </row>
    <row r="50459" spans="1:26" ht="12.75" customHeight="1" x14ac:dyDescent="0.2">
      <c r="A50459" s="258"/>
      <c r="Z50459" s="258"/>
    </row>
    <row r="50460" spans="1:26" ht="12.75" customHeight="1" x14ac:dyDescent="0.2">
      <c r="A50460" s="258"/>
      <c r="Z50460" s="258"/>
    </row>
    <row r="50461" spans="1:26" ht="12.75" customHeight="1" x14ac:dyDescent="0.2">
      <c r="A50461" s="258"/>
      <c r="Z50461" s="258"/>
    </row>
    <row r="50462" spans="1:26" ht="12.75" customHeight="1" x14ac:dyDescent="0.2">
      <c r="A50462" s="258"/>
      <c r="Z50462" s="258"/>
    </row>
    <row r="50463" spans="1:26" ht="12.75" customHeight="1" x14ac:dyDescent="0.2">
      <c r="A50463" s="258"/>
      <c r="Z50463" s="258"/>
    </row>
    <row r="50464" spans="1:26" ht="12.75" customHeight="1" x14ac:dyDescent="0.2">
      <c r="A50464" s="258"/>
      <c r="Z50464" s="258"/>
    </row>
    <row r="50465" spans="1:26" ht="12.75" customHeight="1" x14ac:dyDescent="0.2">
      <c r="A50465" s="258"/>
      <c r="Z50465" s="258"/>
    </row>
    <row r="50466" spans="1:26" ht="12.75" customHeight="1" x14ac:dyDescent="0.2">
      <c r="A50466" s="258"/>
      <c r="Z50466" s="258"/>
    </row>
    <row r="50467" spans="1:26" ht="12.75" customHeight="1" x14ac:dyDescent="0.2">
      <c r="A50467" s="258"/>
      <c r="Z50467" s="258"/>
    </row>
    <row r="50468" spans="1:26" ht="12.75" customHeight="1" x14ac:dyDescent="0.2">
      <c r="A50468" s="258"/>
      <c r="Z50468" s="258"/>
    </row>
    <row r="50469" spans="1:26" ht="12.75" customHeight="1" x14ac:dyDescent="0.2">
      <c r="A50469" s="258"/>
      <c r="Z50469" s="258"/>
    </row>
    <row r="50470" spans="1:26" ht="12.75" customHeight="1" x14ac:dyDescent="0.2">
      <c r="A50470" s="258"/>
      <c r="Z50470" s="258"/>
    </row>
    <row r="50471" spans="1:26" ht="12.75" customHeight="1" x14ac:dyDescent="0.2">
      <c r="A50471" s="258"/>
      <c r="Z50471" s="258"/>
    </row>
    <row r="50472" spans="1:26" ht="12.75" customHeight="1" x14ac:dyDescent="0.2">
      <c r="A50472" s="258"/>
      <c r="Z50472" s="258"/>
    </row>
    <row r="50473" spans="1:26" ht="12.75" customHeight="1" x14ac:dyDescent="0.2">
      <c r="A50473" s="258"/>
      <c r="Z50473" s="258"/>
    </row>
    <row r="50474" spans="1:26" ht="12.75" customHeight="1" x14ac:dyDescent="0.2">
      <c r="A50474" s="258"/>
      <c r="Z50474" s="258"/>
    </row>
    <row r="50475" spans="1:26" ht="12.75" customHeight="1" x14ac:dyDescent="0.2">
      <c r="A50475" s="258"/>
      <c r="Z50475" s="258"/>
    </row>
    <row r="50476" spans="1:26" ht="12.75" customHeight="1" x14ac:dyDescent="0.2">
      <c r="A50476" s="258"/>
      <c r="Z50476" s="258"/>
    </row>
    <row r="50477" spans="1:26" ht="12.75" customHeight="1" x14ac:dyDescent="0.2">
      <c r="A50477" s="258"/>
      <c r="Z50477" s="258"/>
    </row>
    <row r="50478" spans="1:26" ht="12.75" customHeight="1" x14ac:dyDescent="0.2">
      <c r="A50478" s="258"/>
      <c r="Z50478" s="258"/>
    </row>
    <row r="50479" spans="1:26" ht="12.75" customHeight="1" x14ac:dyDescent="0.2">
      <c r="A50479" s="258"/>
      <c r="Z50479" s="258"/>
    </row>
    <row r="50480" spans="1:26" ht="12.75" customHeight="1" x14ac:dyDescent="0.2">
      <c r="A50480" s="258"/>
      <c r="Z50480" s="258"/>
    </row>
    <row r="50481" spans="1:26" ht="12.75" customHeight="1" x14ac:dyDescent="0.2">
      <c r="A50481" s="258"/>
      <c r="Z50481" s="258"/>
    </row>
    <row r="50482" spans="1:26" ht="12.75" customHeight="1" x14ac:dyDescent="0.2">
      <c r="A50482" s="258"/>
      <c r="Z50482" s="258"/>
    </row>
    <row r="50483" spans="1:26" ht="12.75" customHeight="1" x14ac:dyDescent="0.2">
      <c r="A50483" s="258"/>
      <c r="Z50483" s="258"/>
    </row>
    <row r="50484" spans="1:26" ht="12.75" customHeight="1" x14ac:dyDescent="0.2">
      <c r="A50484" s="258"/>
      <c r="Z50484" s="258"/>
    </row>
    <row r="50485" spans="1:26" ht="12.75" customHeight="1" x14ac:dyDescent="0.2">
      <c r="A50485" s="258"/>
      <c r="Z50485" s="258"/>
    </row>
    <row r="50486" spans="1:26" ht="12.75" customHeight="1" x14ac:dyDescent="0.2">
      <c r="A50486" s="258"/>
      <c r="Z50486" s="258"/>
    </row>
    <row r="50487" spans="1:26" ht="12.75" customHeight="1" x14ac:dyDescent="0.2">
      <c r="A50487" s="258"/>
      <c r="Z50487" s="258"/>
    </row>
    <row r="50488" spans="1:26" ht="12.75" customHeight="1" x14ac:dyDescent="0.2">
      <c r="A50488" s="258"/>
      <c r="Z50488" s="258"/>
    </row>
    <row r="50489" spans="1:26" ht="12.75" customHeight="1" x14ac:dyDescent="0.2">
      <c r="A50489" s="258"/>
      <c r="Z50489" s="258"/>
    </row>
    <row r="50490" spans="1:26" ht="12.75" customHeight="1" x14ac:dyDescent="0.2">
      <c r="A50490" s="258"/>
      <c r="Z50490" s="258"/>
    </row>
    <row r="50491" spans="1:26" ht="12.75" customHeight="1" x14ac:dyDescent="0.2">
      <c r="A50491" s="258"/>
      <c r="Z50491" s="258"/>
    </row>
    <row r="50492" spans="1:26" ht="12.75" customHeight="1" x14ac:dyDescent="0.2">
      <c r="A50492" s="258"/>
      <c r="Z50492" s="258"/>
    </row>
    <row r="50493" spans="1:26" ht="12.75" customHeight="1" x14ac:dyDescent="0.2">
      <c r="A50493" s="258"/>
      <c r="Z50493" s="258"/>
    </row>
    <row r="50494" spans="1:26" ht="12.75" customHeight="1" x14ac:dyDescent="0.2">
      <c r="A50494" s="258"/>
      <c r="Z50494" s="258"/>
    </row>
    <row r="50495" spans="1:26" ht="12.75" customHeight="1" x14ac:dyDescent="0.2">
      <c r="A50495" s="258"/>
      <c r="Z50495" s="258"/>
    </row>
    <row r="50496" spans="1:26" ht="12.75" customHeight="1" x14ac:dyDescent="0.2">
      <c r="A50496" s="258"/>
      <c r="Z50496" s="258"/>
    </row>
    <row r="50497" spans="1:26" ht="12.75" customHeight="1" x14ac:dyDescent="0.2">
      <c r="A50497" s="258"/>
      <c r="Z50497" s="258"/>
    </row>
    <row r="50498" spans="1:26" ht="12.75" customHeight="1" x14ac:dyDescent="0.2">
      <c r="A50498" s="258"/>
      <c r="Z50498" s="258"/>
    </row>
    <row r="50499" spans="1:26" ht="12.75" customHeight="1" x14ac:dyDescent="0.2">
      <c r="A50499" s="258"/>
      <c r="Z50499" s="258"/>
    </row>
    <row r="50500" spans="1:26" ht="12.75" customHeight="1" x14ac:dyDescent="0.2">
      <c r="A50500" s="258"/>
      <c r="Z50500" s="258"/>
    </row>
    <row r="50501" spans="1:26" ht="12.75" customHeight="1" x14ac:dyDescent="0.2">
      <c r="A50501" s="258"/>
      <c r="Z50501" s="258"/>
    </row>
    <row r="50502" spans="1:26" ht="12.75" customHeight="1" x14ac:dyDescent="0.2">
      <c r="A50502" s="258"/>
      <c r="Z50502" s="258"/>
    </row>
    <row r="50503" spans="1:26" ht="12.75" customHeight="1" x14ac:dyDescent="0.2">
      <c r="A50503" s="258"/>
      <c r="Z50503" s="258"/>
    </row>
    <row r="50504" spans="1:26" ht="12.75" customHeight="1" x14ac:dyDescent="0.2">
      <c r="A50504" s="258"/>
      <c r="Z50504" s="258"/>
    </row>
    <row r="50505" spans="1:26" ht="12.75" customHeight="1" x14ac:dyDescent="0.2">
      <c r="A50505" s="258"/>
      <c r="Z50505" s="258"/>
    </row>
    <row r="50506" spans="1:26" ht="12.75" customHeight="1" x14ac:dyDescent="0.2">
      <c r="A50506" s="258"/>
      <c r="Z50506" s="258"/>
    </row>
    <row r="50507" spans="1:26" ht="12.75" customHeight="1" x14ac:dyDescent="0.2">
      <c r="A50507" s="258"/>
      <c r="Z50507" s="258"/>
    </row>
    <row r="50508" spans="1:26" ht="12.75" customHeight="1" x14ac:dyDescent="0.2">
      <c r="A50508" s="258"/>
      <c r="Z50508" s="258"/>
    </row>
    <row r="50509" spans="1:26" ht="12.75" customHeight="1" x14ac:dyDescent="0.2">
      <c r="A50509" s="258"/>
      <c r="Z50509" s="258"/>
    </row>
    <row r="50510" spans="1:26" ht="12.75" customHeight="1" x14ac:dyDescent="0.2">
      <c r="A50510" s="258"/>
      <c r="Z50510" s="258"/>
    </row>
    <row r="50511" spans="1:26" ht="12.75" customHeight="1" x14ac:dyDescent="0.2">
      <c r="A50511" s="258"/>
      <c r="Z50511" s="258"/>
    </row>
    <row r="50512" spans="1:26" ht="12.75" customHeight="1" x14ac:dyDescent="0.2">
      <c r="A50512" s="258"/>
      <c r="Z50512" s="258"/>
    </row>
    <row r="50513" spans="1:26" ht="12.75" customHeight="1" x14ac:dyDescent="0.2">
      <c r="A50513" s="258"/>
      <c r="Z50513" s="258"/>
    </row>
    <row r="50514" spans="1:26" ht="12.75" customHeight="1" x14ac:dyDescent="0.2">
      <c r="A50514" s="258"/>
      <c r="Z50514" s="258"/>
    </row>
    <row r="50515" spans="1:26" ht="12.75" customHeight="1" x14ac:dyDescent="0.2">
      <c r="A50515" s="258"/>
      <c r="Z50515" s="258"/>
    </row>
    <row r="50516" spans="1:26" ht="12.75" customHeight="1" x14ac:dyDescent="0.2">
      <c r="A50516" s="258"/>
      <c r="Z50516" s="258"/>
    </row>
    <row r="50517" spans="1:26" ht="12.75" customHeight="1" x14ac:dyDescent="0.2">
      <c r="A50517" s="258"/>
      <c r="Z50517" s="258"/>
    </row>
    <row r="50518" spans="1:26" ht="12.75" customHeight="1" x14ac:dyDescent="0.2">
      <c r="A50518" s="258"/>
      <c r="Z50518" s="258"/>
    </row>
    <row r="50519" spans="1:26" ht="12.75" customHeight="1" x14ac:dyDescent="0.2">
      <c r="A50519" s="258"/>
      <c r="Z50519" s="258"/>
    </row>
    <row r="50520" spans="1:26" ht="12.75" customHeight="1" x14ac:dyDescent="0.2">
      <c r="A50520" s="258"/>
      <c r="Z50520" s="258"/>
    </row>
    <row r="50521" spans="1:26" ht="12.75" customHeight="1" x14ac:dyDescent="0.2">
      <c r="A50521" s="258"/>
      <c r="Z50521" s="258"/>
    </row>
    <row r="50522" spans="1:26" ht="12.75" customHeight="1" x14ac:dyDescent="0.2">
      <c r="A50522" s="258"/>
      <c r="Z50522" s="258"/>
    </row>
    <row r="50523" spans="1:26" ht="12.75" customHeight="1" x14ac:dyDescent="0.2">
      <c r="A50523" s="258"/>
      <c r="Z50523" s="258"/>
    </row>
    <row r="50524" spans="1:26" ht="12.75" customHeight="1" x14ac:dyDescent="0.2">
      <c r="A50524" s="258"/>
      <c r="Z50524" s="258"/>
    </row>
    <row r="50525" spans="1:26" ht="12.75" customHeight="1" x14ac:dyDescent="0.2">
      <c r="A50525" s="258"/>
      <c r="Z50525" s="258"/>
    </row>
    <row r="50526" spans="1:26" ht="12.75" customHeight="1" x14ac:dyDescent="0.2">
      <c r="A50526" s="258"/>
      <c r="Z50526" s="258"/>
    </row>
    <row r="50527" spans="1:26" ht="12.75" customHeight="1" x14ac:dyDescent="0.2">
      <c r="A50527" s="258"/>
      <c r="Z50527" s="258"/>
    </row>
    <row r="50528" spans="1:26" ht="12.75" customHeight="1" x14ac:dyDescent="0.2">
      <c r="A50528" s="258"/>
      <c r="Z50528" s="258"/>
    </row>
    <row r="50529" spans="1:26" ht="12.75" customHeight="1" x14ac:dyDescent="0.2">
      <c r="A50529" s="258"/>
      <c r="Z50529" s="258"/>
    </row>
    <row r="50530" spans="1:26" ht="12.75" customHeight="1" x14ac:dyDescent="0.2">
      <c r="A50530" s="258"/>
      <c r="Z50530" s="258"/>
    </row>
    <row r="50531" spans="1:26" ht="12.75" customHeight="1" x14ac:dyDescent="0.2">
      <c r="A50531" s="258"/>
      <c r="Z50531" s="258"/>
    </row>
    <row r="50532" spans="1:26" ht="12.75" customHeight="1" x14ac:dyDescent="0.2">
      <c r="A50532" s="258"/>
      <c r="Z50532" s="258"/>
    </row>
    <row r="50533" spans="1:26" ht="12.75" customHeight="1" x14ac:dyDescent="0.2">
      <c r="A50533" s="258"/>
      <c r="Z50533" s="258"/>
    </row>
    <row r="50534" spans="1:26" ht="12.75" customHeight="1" x14ac:dyDescent="0.2">
      <c r="A50534" s="258"/>
      <c r="Z50534" s="258"/>
    </row>
    <row r="50535" spans="1:26" ht="12.75" customHeight="1" x14ac:dyDescent="0.2">
      <c r="A50535" s="258"/>
      <c r="Z50535" s="258"/>
    </row>
    <row r="50536" spans="1:26" ht="12.75" customHeight="1" x14ac:dyDescent="0.2">
      <c r="A50536" s="258"/>
      <c r="Z50536" s="258"/>
    </row>
    <row r="50537" spans="1:26" ht="12.75" customHeight="1" x14ac:dyDescent="0.2">
      <c r="A50537" s="258"/>
      <c r="Z50537" s="258"/>
    </row>
    <row r="50538" spans="1:26" ht="12.75" customHeight="1" x14ac:dyDescent="0.2">
      <c r="A50538" s="258"/>
      <c r="Z50538" s="258"/>
    </row>
    <row r="50539" spans="1:26" ht="12.75" customHeight="1" x14ac:dyDescent="0.2">
      <c r="A50539" s="258"/>
      <c r="Z50539" s="258"/>
    </row>
    <row r="50540" spans="1:26" ht="12.75" customHeight="1" x14ac:dyDescent="0.2">
      <c r="A50540" s="258"/>
      <c r="Z50540" s="258"/>
    </row>
    <row r="50541" spans="1:26" ht="12.75" customHeight="1" x14ac:dyDescent="0.2">
      <c r="A50541" s="258"/>
      <c r="Z50541" s="258"/>
    </row>
    <row r="50542" spans="1:26" ht="12.75" customHeight="1" x14ac:dyDescent="0.2">
      <c r="A50542" s="258"/>
      <c r="Z50542" s="258"/>
    </row>
    <row r="50543" spans="1:26" ht="12.75" customHeight="1" x14ac:dyDescent="0.2">
      <c r="A50543" s="258"/>
      <c r="Z50543" s="258"/>
    </row>
    <row r="50544" spans="1:26" ht="12.75" customHeight="1" x14ac:dyDescent="0.2">
      <c r="A50544" s="258"/>
      <c r="Z50544" s="258"/>
    </row>
    <row r="50545" spans="1:26" ht="12.75" customHeight="1" x14ac:dyDescent="0.2">
      <c r="A50545" s="258"/>
      <c r="Z50545" s="258"/>
    </row>
    <row r="50546" spans="1:26" ht="12.75" customHeight="1" x14ac:dyDescent="0.2">
      <c r="A50546" s="258"/>
      <c r="Z50546" s="258"/>
    </row>
    <row r="50547" spans="1:26" ht="12.75" customHeight="1" x14ac:dyDescent="0.2">
      <c r="A50547" s="258"/>
      <c r="Z50547" s="258"/>
    </row>
    <row r="50548" spans="1:26" ht="12.75" customHeight="1" x14ac:dyDescent="0.2">
      <c r="A50548" s="258"/>
      <c r="Z50548" s="258"/>
    </row>
    <row r="50549" spans="1:26" ht="12.75" customHeight="1" x14ac:dyDescent="0.2">
      <c r="A50549" s="258"/>
      <c r="Z50549" s="258"/>
    </row>
    <row r="50550" spans="1:26" ht="12.75" customHeight="1" x14ac:dyDescent="0.2">
      <c r="A50550" s="258"/>
      <c r="Z50550" s="258"/>
    </row>
    <row r="50551" spans="1:26" ht="12.75" customHeight="1" x14ac:dyDescent="0.2">
      <c r="A50551" s="258"/>
      <c r="Z50551" s="258"/>
    </row>
    <row r="50552" spans="1:26" ht="12.75" customHeight="1" x14ac:dyDescent="0.2">
      <c r="A50552" s="258"/>
      <c r="Z50552" s="258"/>
    </row>
    <row r="50553" spans="1:26" ht="12.75" customHeight="1" x14ac:dyDescent="0.2">
      <c r="A50553" s="258"/>
      <c r="Z50553" s="258"/>
    </row>
    <row r="50554" spans="1:26" ht="12.75" customHeight="1" x14ac:dyDescent="0.2">
      <c r="A50554" s="258"/>
      <c r="Z50554" s="258"/>
    </row>
    <row r="50555" spans="1:26" ht="12.75" customHeight="1" x14ac:dyDescent="0.2">
      <c r="A50555" s="258"/>
      <c r="Z50555" s="258"/>
    </row>
    <row r="50556" spans="1:26" ht="12.75" customHeight="1" x14ac:dyDescent="0.2">
      <c r="A50556" s="258"/>
      <c r="Z50556" s="258"/>
    </row>
    <row r="50557" spans="1:26" ht="12.75" customHeight="1" x14ac:dyDescent="0.2">
      <c r="A50557" s="258"/>
      <c r="Z50557" s="258"/>
    </row>
    <row r="50558" spans="1:26" ht="12.75" customHeight="1" x14ac:dyDescent="0.2">
      <c r="A50558" s="258"/>
      <c r="Z50558" s="258"/>
    </row>
    <row r="50559" spans="1:26" ht="12.75" customHeight="1" x14ac:dyDescent="0.2">
      <c r="A50559" s="258"/>
      <c r="Z50559" s="258"/>
    </row>
    <row r="50560" spans="1:26" ht="12.75" customHeight="1" x14ac:dyDescent="0.2">
      <c r="A50560" s="258"/>
      <c r="Z50560" s="258"/>
    </row>
    <row r="50561" spans="1:26" ht="12.75" customHeight="1" x14ac:dyDescent="0.2">
      <c r="A50561" s="258"/>
      <c r="Z50561" s="258"/>
    </row>
    <row r="50562" spans="1:26" ht="12.75" customHeight="1" x14ac:dyDescent="0.2">
      <c r="A50562" s="258"/>
      <c r="Z50562" s="258"/>
    </row>
    <row r="50563" spans="1:26" ht="12.75" customHeight="1" x14ac:dyDescent="0.2">
      <c r="A50563" s="258"/>
      <c r="Z50563" s="258"/>
    </row>
    <row r="50564" spans="1:26" ht="12.75" customHeight="1" x14ac:dyDescent="0.2">
      <c r="A50564" s="258"/>
      <c r="Z50564" s="258"/>
    </row>
    <row r="50565" spans="1:26" ht="12.75" customHeight="1" x14ac:dyDescent="0.2">
      <c r="A50565" s="258"/>
      <c r="Z50565" s="258"/>
    </row>
    <row r="50566" spans="1:26" ht="12.75" customHeight="1" x14ac:dyDescent="0.2">
      <c r="A50566" s="258"/>
      <c r="Z50566" s="258"/>
    </row>
    <row r="50567" spans="1:26" ht="12.75" customHeight="1" x14ac:dyDescent="0.2">
      <c r="A50567" s="258"/>
      <c r="Z50567" s="258"/>
    </row>
    <row r="50568" spans="1:26" ht="12.75" customHeight="1" x14ac:dyDescent="0.2">
      <c r="A50568" s="258"/>
      <c r="Z50568" s="258"/>
    </row>
    <row r="50569" spans="1:26" ht="12.75" customHeight="1" x14ac:dyDescent="0.2">
      <c r="A50569" s="258"/>
      <c r="Z50569" s="258"/>
    </row>
    <row r="50570" spans="1:26" ht="12.75" customHeight="1" x14ac:dyDescent="0.2">
      <c r="A50570" s="258"/>
      <c r="Z50570" s="258"/>
    </row>
    <row r="50571" spans="1:26" ht="12.75" customHeight="1" x14ac:dyDescent="0.2">
      <c r="A50571" s="258"/>
      <c r="Z50571" s="258"/>
    </row>
    <row r="50572" spans="1:26" ht="12.75" customHeight="1" x14ac:dyDescent="0.2">
      <c r="A50572" s="258"/>
      <c r="Z50572" s="258"/>
    </row>
    <row r="50573" spans="1:26" ht="12.75" customHeight="1" x14ac:dyDescent="0.2">
      <c r="A50573" s="258"/>
      <c r="Z50573" s="258"/>
    </row>
    <row r="50574" spans="1:26" ht="12.75" customHeight="1" x14ac:dyDescent="0.2">
      <c r="A50574" s="258"/>
      <c r="Z50574" s="258"/>
    </row>
    <row r="50575" spans="1:26" ht="12.75" customHeight="1" x14ac:dyDescent="0.2">
      <c r="A50575" s="258"/>
      <c r="Z50575" s="258"/>
    </row>
    <row r="50576" spans="1:26" ht="12.75" customHeight="1" x14ac:dyDescent="0.2">
      <c r="A50576" s="258"/>
      <c r="Z50576" s="258"/>
    </row>
    <row r="50577" spans="1:26" ht="12.75" customHeight="1" x14ac:dyDescent="0.2">
      <c r="A50577" s="258"/>
      <c r="Z50577" s="258"/>
    </row>
    <row r="50578" spans="1:26" ht="12.75" customHeight="1" x14ac:dyDescent="0.2">
      <c r="A50578" s="258"/>
      <c r="Z50578" s="258"/>
    </row>
    <row r="50579" spans="1:26" ht="12.75" customHeight="1" x14ac:dyDescent="0.2">
      <c r="A50579" s="258"/>
      <c r="Z50579" s="258"/>
    </row>
    <row r="50580" spans="1:26" ht="12.75" customHeight="1" x14ac:dyDescent="0.2">
      <c r="A50580" s="258"/>
      <c r="Z50580" s="258"/>
    </row>
    <row r="50581" spans="1:26" ht="12.75" customHeight="1" x14ac:dyDescent="0.2">
      <c r="A50581" s="258"/>
      <c r="Z50581" s="258"/>
    </row>
    <row r="50582" spans="1:26" ht="12.75" customHeight="1" x14ac:dyDescent="0.2">
      <c r="A50582" s="258"/>
      <c r="Z50582" s="258"/>
    </row>
    <row r="50583" spans="1:26" ht="12.75" customHeight="1" x14ac:dyDescent="0.2">
      <c r="A50583" s="258"/>
      <c r="Z50583" s="258"/>
    </row>
    <row r="50584" spans="1:26" ht="12.75" customHeight="1" x14ac:dyDescent="0.2">
      <c r="A50584" s="258"/>
      <c r="Z50584" s="258"/>
    </row>
    <row r="50585" spans="1:26" ht="12.75" customHeight="1" x14ac:dyDescent="0.2">
      <c r="A50585" s="258"/>
      <c r="Z50585" s="258"/>
    </row>
    <row r="50586" spans="1:26" ht="12.75" customHeight="1" x14ac:dyDescent="0.2">
      <c r="A50586" s="258"/>
      <c r="Z50586" s="258"/>
    </row>
    <row r="50587" spans="1:26" ht="12.75" customHeight="1" x14ac:dyDescent="0.2">
      <c r="A50587" s="258"/>
      <c r="Z50587" s="258"/>
    </row>
    <row r="50588" spans="1:26" ht="12.75" customHeight="1" x14ac:dyDescent="0.2">
      <c r="A50588" s="258"/>
      <c r="Z50588" s="258"/>
    </row>
    <row r="50589" spans="1:26" ht="12.75" customHeight="1" x14ac:dyDescent="0.2">
      <c r="A50589" s="258"/>
      <c r="Z50589" s="258"/>
    </row>
    <row r="50590" spans="1:26" ht="12.75" customHeight="1" x14ac:dyDescent="0.2">
      <c r="A50590" s="258"/>
      <c r="Z50590" s="258"/>
    </row>
    <row r="50591" spans="1:26" ht="12.75" customHeight="1" x14ac:dyDescent="0.2">
      <c r="A50591" s="258"/>
      <c r="Z50591" s="258"/>
    </row>
    <row r="50592" spans="1:26" ht="12.75" customHeight="1" x14ac:dyDescent="0.2">
      <c r="A50592" s="258"/>
      <c r="Z50592" s="258"/>
    </row>
    <row r="50593" spans="1:26" ht="12.75" customHeight="1" x14ac:dyDescent="0.2">
      <c r="A50593" s="258"/>
      <c r="Z50593" s="258"/>
    </row>
    <row r="50594" spans="1:26" ht="12.75" customHeight="1" x14ac:dyDescent="0.2">
      <c r="A50594" s="258"/>
      <c r="Z50594" s="258"/>
    </row>
    <row r="50595" spans="1:26" ht="12.75" customHeight="1" x14ac:dyDescent="0.2">
      <c r="A50595" s="258"/>
      <c r="Z50595" s="258"/>
    </row>
    <row r="50596" spans="1:26" ht="12.75" customHeight="1" x14ac:dyDescent="0.2">
      <c r="A50596" s="258"/>
      <c r="Z50596" s="258"/>
    </row>
    <row r="50597" spans="1:26" ht="12.75" customHeight="1" x14ac:dyDescent="0.2">
      <c r="A50597" s="258"/>
      <c r="Z50597" s="258"/>
    </row>
    <row r="50598" spans="1:26" ht="12.75" customHeight="1" x14ac:dyDescent="0.2">
      <c r="A50598" s="258"/>
      <c r="Z50598" s="258"/>
    </row>
    <row r="50599" spans="1:26" ht="12.75" customHeight="1" x14ac:dyDescent="0.2">
      <c r="A50599" s="258"/>
      <c r="Z50599" s="258"/>
    </row>
    <row r="50600" spans="1:26" ht="12.75" customHeight="1" x14ac:dyDescent="0.2">
      <c r="A50600" s="258"/>
      <c r="Z50600" s="258"/>
    </row>
    <row r="50601" spans="1:26" ht="12.75" customHeight="1" x14ac:dyDescent="0.2">
      <c r="A50601" s="258"/>
      <c r="Z50601" s="258"/>
    </row>
    <row r="50602" spans="1:26" ht="12.75" customHeight="1" x14ac:dyDescent="0.2">
      <c r="A50602" s="258"/>
      <c r="Z50602" s="258"/>
    </row>
    <row r="50603" spans="1:26" ht="12.75" customHeight="1" x14ac:dyDescent="0.2">
      <c r="A50603" s="258"/>
      <c r="Z50603" s="258"/>
    </row>
    <row r="50604" spans="1:26" ht="12.75" customHeight="1" x14ac:dyDescent="0.2">
      <c r="A50604" s="258"/>
      <c r="Z50604" s="258"/>
    </row>
    <row r="50605" spans="1:26" ht="12.75" customHeight="1" x14ac:dyDescent="0.2">
      <c r="A50605" s="258"/>
      <c r="Z50605" s="258"/>
    </row>
    <row r="50606" spans="1:26" ht="12.75" customHeight="1" x14ac:dyDescent="0.2">
      <c r="A50606" s="258"/>
      <c r="Z50606" s="258"/>
    </row>
    <row r="50607" spans="1:26" ht="12.75" customHeight="1" x14ac:dyDescent="0.2">
      <c r="A50607" s="258"/>
      <c r="Z50607" s="258"/>
    </row>
    <row r="50608" spans="1:26" ht="12.75" customHeight="1" x14ac:dyDescent="0.2">
      <c r="A50608" s="258"/>
      <c r="Z50608" s="258"/>
    </row>
    <row r="50609" spans="1:26" ht="12.75" customHeight="1" x14ac:dyDescent="0.2">
      <c r="A50609" s="258"/>
      <c r="Z50609" s="258"/>
    </row>
    <row r="50610" spans="1:26" ht="12.75" customHeight="1" x14ac:dyDescent="0.2">
      <c r="A50610" s="258"/>
      <c r="Z50610" s="258"/>
    </row>
    <row r="50611" spans="1:26" ht="12.75" customHeight="1" x14ac:dyDescent="0.2">
      <c r="A50611" s="258"/>
      <c r="Z50611" s="258"/>
    </row>
    <row r="50612" spans="1:26" ht="12.75" customHeight="1" x14ac:dyDescent="0.2">
      <c r="A50612" s="258"/>
      <c r="Z50612" s="258"/>
    </row>
    <row r="50613" spans="1:26" ht="12.75" customHeight="1" x14ac:dyDescent="0.2">
      <c r="A50613" s="258"/>
      <c r="Z50613" s="258"/>
    </row>
    <row r="50614" spans="1:26" ht="12.75" customHeight="1" x14ac:dyDescent="0.2">
      <c r="A50614" s="258"/>
      <c r="Z50614" s="258"/>
    </row>
    <row r="50615" spans="1:26" ht="12.75" customHeight="1" x14ac:dyDescent="0.2">
      <c r="A50615" s="258"/>
      <c r="Z50615" s="258"/>
    </row>
    <row r="50616" spans="1:26" ht="12.75" customHeight="1" x14ac:dyDescent="0.2">
      <c r="A50616" s="258"/>
      <c r="Z50616" s="258"/>
    </row>
    <row r="50617" spans="1:26" ht="12.75" customHeight="1" x14ac:dyDescent="0.2">
      <c r="A50617" s="258"/>
      <c r="Z50617" s="258"/>
    </row>
    <row r="50618" spans="1:26" ht="12.75" customHeight="1" x14ac:dyDescent="0.2">
      <c r="A50618" s="258"/>
      <c r="Z50618" s="258"/>
    </row>
    <row r="50619" spans="1:26" ht="12.75" customHeight="1" x14ac:dyDescent="0.2">
      <c r="A50619" s="258"/>
      <c r="Z50619" s="258"/>
    </row>
    <row r="50620" spans="1:26" ht="12.75" customHeight="1" x14ac:dyDescent="0.2">
      <c r="A50620" s="258"/>
      <c r="Z50620" s="258"/>
    </row>
    <row r="50621" spans="1:26" ht="12.75" customHeight="1" x14ac:dyDescent="0.2">
      <c r="A50621" s="258"/>
      <c r="Z50621" s="258"/>
    </row>
    <row r="50622" spans="1:26" ht="12.75" customHeight="1" x14ac:dyDescent="0.2">
      <c r="A50622" s="258"/>
      <c r="Z50622" s="258"/>
    </row>
    <row r="50623" spans="1:26" ht="12.75" customHeight="1" x14ac:dyDescent="0.2">
      <c r="A50623" s="258"/>
      <c r="Z50623" s="258"/>
    </row>
    <row r="50624" spans="1:26" ht="12.75" customHeight="1" x14ac:dyDescent="0.2">
      <c r="A50624" s="258"/>
      <c r="Z50624" s="258"/>
    </row>
    <row r="50625" spans="1:26" ht="12.75" customHeight="1" x14ac:dyDescent="0.2">
      <c r="A50625" s="258"/>
      <c r="Z50625" s="258"/>
    </row>
    <row r="50626" spans="1:26" ht="12.75" customHeight="1" x14ac:dyDescent="0.2">
      <c r="A50626" s="258"/>
      <c r="Z50626" s="258"/>
    </row>
    <row r="50627" spans="1:26" ht="12.75" customHeight="1" x14ac:dyDescent="0.2">
      <c r="A50627" s="258"/>
      <c r="Z50627" s="258"/>
    </row>
    <row r="50628" spans="1:26" ht="12.75" customHeight="1" x14ac:dyDescent="0.2">
      <c r="A50628" s="258"/>
      <c r="Z50628" s="258"/>
    </row>
    <row r="50629" spans="1:26" ht="12.75" customHeight="1" x14ac:dyDescent="0.2">
      <c r="A50629" s="258"/>
      <c r="Z50629" s="258"/>
    </row>
    <row r="50630" spans="1:26" ht="12.75" customHeight="1" x14ac:dyDescent="0.2">
      <c r="A50630" s="258"/>
      <c r="Z50630" s="258"/>
    </row>
    <row r="50631" spans="1:26" ht="12.75" customHeight="1" x14ac:dyDescent="0.2">
      <c r="A50631" s="258"/>
      <c r="Z50631" s="258"/>
    </row>
    <row r="50632" spans="1:26" ht="12.75" customHeight="1" x14ac:dyDescent="0.2">
      <c r="A50632" s="258"/>
      <c r="Z50632" s="258"/>
    </row>
    <row r="50633" spans="1:26" ht="12.75" customHeight="1" x14ac:dyDescent="0.2">
      <c r="A50633" s="258"/>
      <c r="Z50633" s="258"/>
    </row>
    <row r="50634" spans="1:26" ht="12.75" customHeight="1" x14ac:dyDescent="0.2">
      <c r="A50634" s="258"/>
      <c r="Z50634" s="258"/>
    </row>
    <row r="50635" spans="1:26" ht="12.75" customHeight="1" x14ac:dyDescent="0.2">
      <c r="A50635" s="258"/>
      <c r="Z50635" s="258"/>
    </row>
    <row r="50636" spans="1:26" ht="12.75" customHeight="1" x14ac:dyDescent="0.2">
      <c r="A50636" s="258"/>
      <c r="Z50636" s="258"/>
    </row>
    <row r="50637" spans="1:26" ht="12.75" customHeight="1" x14ac:dyDescent="0.2">
      <c r="A50637" s="258"/>
      <c r="Z50637" s="258"/>
    </row>
    <row r="50638" spans="1:26" ht="12.75" customHeight="1" x14ac:dyDescent="0.2">
      <c r="A50638" s="258"/>
      <c r="Z50638" s="258"/>
    </row>
    <row r="50639" spans="1:26" ht="12.75" customHeight="1" x14ac:dyDescent="0.2">
      <c r="A50639" s="258"/>
      <c r="Z50639" s="258"/>
    </row>
    <row r="50640" spans="1:26" ht="12.75" customHeight="1" x14ac:dyDescent="0.2">
      <c r="A50640" s="258"/>
      <c r="Z50640" s="258"/>
    </row>
    <row r="50641" spans="1:26" ht="12.75" customHeight="1" x14ac:dyDescent="0.2">
      <c r="A50641" s="258"/>
      <c r="Z50641" s="258"/>
    </row>
    <row r="50642" spans="1:26" ht="12.75" customHeight="1" x14ac:dyDescent="0.2">
      <c r="A50642" s="258"/>
      <c r="Z50642" s="258"/>
    </row>
    <row r="50643" spans="1:26" ht="12.75" customHeight="1" x14ac:dyDescent="0.2">
      <c r="A50643" s="258"/>
      <c r="Z50643" s="258"/>
    </row>
    <row r="50644" spans="1:26" ht="12.75" customHeight="1" x14ac:dyDescent="0.2">
      <c r="A50644" s="258"/>
      <c r="Z50644" s="258"/>
    </row>
    <row r="50645" spans="1:26" ht="12.75" customHeight="1" x14ac:dyDescent="0.2">
      <c r="A50645" s="258"/>
      <c r="Z50645" s="258"/>
    </row>
    <row r="50646" spans="1:26" ht="12.75" customHeight="1" x14ac:dyDescent="0.2">
      <c r="A50646" s="258"/>
      <c r="Z50646" s="258"/>
    </row>
    <row r="50647" spans="1:26" ht="12.75" customHeight="1" x14ac:dyDescent="0.2">
      <c r="A50647" s="258"/>
      <c r="Z50647" s="258"/>
    </row>
    <row r="50648" spans="1:26" ht="12.75" customHeight="1" x14ac:dyDescent="0.2">
      <c r="A50648" s="258"/>
      <c r="Z50648" s="258"/>
    </row>
    <row r="50649" spans="1:26" ht="12.75" customHeight="1" x14ac:dyDescent="0.2">
      <c r="A50649" s="258"/>
      <c r="Z50649" s="258"/>
    </row>
    <row r="50650" spans="1:26" ht="12.75" customHeight="1" x14ac:dyDescent="0.2">
      <c r="A50650" s="258"/>
      <c r="Z50650" s="258"/>
    </row>
    <row r="50651" spans="1:26" ht="12.75" customHeight="1" x14ac:dyDescent="0.2">
      <c r="A50651" s="258"/>
      <c r="Z50651" s="258"/>
    </row>
    <row r="50652" spans="1:26" ht="12.75" customHeight="1" x14ac:dyDescent="0.2">
      <c r="A50652" s="258"/>
      <c r="Z50652" s="258"/>
    </row>
    <row r="50653" spans="1:26" ht="12.75" customHeight="1" x14ac:dyDescent="0.2">
      <c r="A50653" s="258"/>
      <c r="Z50653" s="258"/>
    </row>
    <row r="50654" spans="1:26" ht="12.75" customHeight="1" x14ac:dyDescent="0.2">
      <c r="A50654" s="258"/>
      <c r="Z50654" s="258"/>
    </row>
    <row r="50655" spans="1:26" ht="12.75" customHeight="1" x14ac:dyDescent="0.2">
      <c r="A50655" s="258"/>
      <c r="Z50655" s="258"/>
    </row>
    <row r="50656" spans="1:26" ht="12.75" customHeight="1" x14ac:dyDescent="0.2">
      <c r="A50656" s="258"/>
      <c r="Z50656" s="258"/>
    </row>
    <row r="50657" spans="1:26" ht="12.75" customHeight="1" x14ac:dyDescent="0.2">
      <c r="A50657" s="258"/>
      <c r="Z50657" s="258"/>
    </row>
    <row r="50658" spans="1:26" ht="12.75" customHeight="1" x14ac:dyDescent="0.2">
      <c r="A50658" s="258"/>
      <c r="Z50658" s="258"/>
    </row>
    <row r="50659" spans="1:26" ht="12.75" customHeight="1" x14ac:dyDescent="0.2">
      <c r="A50659" s="258"/>
      <c r="Z50659" s="258"/>
    </row>
    <row r="50660" spans="1:26" ht="12.75" customHeight="1" x14ac:dyDescent="0.2">
      <c r="A50660" s="258"/>
      <c r="Z50660" s="258"/>
    </row>
    <row r="50661" spans="1:26" ht="12.75" customHeight="1" x14ac:dyDescent="0.2">
      <c r="A50661" s="258"/>
      <c r="Z50661" s="258"/>
    </row>
    <row r="50662" spans="1:26" ht="12.75" customHeight="1" x14ac:dyDescent="0.2">
      <c r="A50662" s="258"/>
      <c r="Z50662" s="258"/>
    </row>
    <row r="50663" spans="1:26" ht="12.75" customHeight="1" x14ac:dyDescent="0.2">
      <c r="A50663" s="258"/>
      <c r="Z50663" s="258"/>
    </row>
    <row r="50664" spans="1:26" ht="12.75" customHeight="1" x14ac:dyDescent="0.2">
      <c r="A50664" s="258"/>
      <c r="Z50664" s="258"/>
    </row>
    <row r="50665" spans="1:26" ht="12.75" customHeight="1" x14ac:dyDescent="0.2">
      <c r="A50665" s="258"/>
      <c r="Z50665" s="258"/>
    </row>
    <row r="50666" spans="1:26" ht="12.75" customHeight="1" x14ac:dyDescent="0.2">
      <c r="A50666" s="258"/>
      <c r="Z50666" s="258"/>
    </row>
    <row r="50667" spans="1:26" ht="12.75" customHeight="1" x14ac:dyDescent="0.2">
      <c r="A50667" s="258"/>
      <c r="Z50667" s="258"/>
    </row>
    <row r="50668" spans="1:26" ht="12.75" customHeight="1" x14ac:dyDescent="0.2">
      <c r="A50668" s="258"/>
      <c r="Z50668" s="258"/>
    </row>
    <row r="50669" spans="1:26" ht="12.75" customHeight="1" x14ac:dyDescent="0.2">
      <c r="A50669" s="258"/>
      <c r="Z50669" s="258"/>
    </row>
    <row r="50670" spans="1:26" ht="12.75" customHeight="1" x14ac:dyDescent="0.2">
      <c r="A50670" s="258"/>
      <c r="Z50670" s="258"/>
    </row>
    <row r="50671" spans="1:26" ht="12.75" customHeight="1" x14ac:dyDescent="0.2">
      <c r="A50671" s="258"/>
      <c r="Z50671" s="258"/>
    </row>
    <row r="50672" spans="1:26" ht="12.75" customHeight="1" x14ac:dyDescent="0.2">
      <c r="A50672" s="258"/>
      <c r="Z50672" s="258"/>
    </row>
    <row r="50673" spans="1:26" ht="12.75" customHeight="1" x14ac:dyDescent="0.2">
      <c r="A50673" s="258"/>
      <c r="Z50673" s="258"/>
    </row>
    <row r="50674" spans="1:26" ht="12.75" customHeight="1" x14ac:dyDescent="0.2">
      <c r="A50674" s="258"/>
      <c r="Z50674" s="258"/>
    </row>
    <row r="50675" spans="1:26" ht="12.75" customHeight="1" x14ac:dyDescent="0.2">
      <c r="A50675" s="258"/>
      <c r="Z50675" s="258"/>
    </row>
    <row r="50676" spans="1:26" ht="12.75" customHeight="1" x14ac:dyDescent="0.2">
      <c r="A50676" s="258"/>
      <c r="Z50676" s="258"/>
    </row>
    <row r="50677" spans="1:26" ht="12.75" customHeight="1" x14ac:dyDescent="0.2">
      <c r="A50677" s="258"/>
      <c r="Z50677" s="258"/>
    </row>
    <row r="50678" spans="1:26" ht="12.75" customHeight="1" x14ac:dyDescent="0.2">
      <c r="A50678" s="258"/>
      <c r="Z50678" s="258"/>
    </row>
    <row r="50679" spans="1:26" ht="12.75" customHeight="1" x14ac:dyDescent="0.2">
      <c r="A50679" s="258"/>
      <c r="Z50679" s="258"/>
    </row>
    <row r="50680" spans="1:26" ht="12.75" customHeight="1" x14ac:dyDescent="0.2">
      <c r="A50680" s="258"/>
      <c r="Z50680" s="258"/>
    </row>
    <row r="50681" spans="1:26" ht="12.75" customHeight="1" x14ac:dyDescent="0.2">
      <c r="A50681" s="258"/>
      <c r="Z50681" s="258"/>
    </row>
    <row r="50682" spans="1:26" ht="12.75" customHeight="1" x14ac:dyDescent="0.2">
      <c r="A50682" s="258"/>
      <c r="Z50682" s="258"/>
    </row>
    <row r="50683" spans="1:26" ht="12.75" customHeight="1" x14ac:dyDescent="0.2">
      <c r="A50683" s="258"/>
      <c r="Z50683" s="258"/>
    </row>
    <row r="50684" spans="1:26" ht="12.75" customHeight="1" x14ac:dyDescent="0.2">
      <c r="A50684" s="258"/>
      <c r="Z50684" s="258"/>
    </row>
    <row r="50685" spans="1:26" ht="12.75" customHeight="1" x14ac:dyDescent="0.2">
      <c r="A50685" s="258"/>
      <c r="Z50685" s="258"/>
    </row>
    <row r="50686" spans="1:26" ht="12.75" customHeight="1" x14ac:dyDescent="0.2">
      <c r="A50686" s="258"/>
      <c r="Z50686" s="258"/>
    </row>
    <row r="50687" spans="1:26" ht="12.75" customHeight="1" x14ac:dyDescent="0.2">
      <c r="A50687" s="258"/>
      <c r="Z50687" s="258"/>
    </row>
    <row r="50688" spans="1:26" ht="12.75" customHeight="1" x14ac:dyDescent="0.2">
      <c r="A50688" s="258"/>
      <c r="Z50688" s="258"/>
    </row>
    <row r="50689" spans="1:26" ht="12.75" customHeight="1" x14ac:dyDescent="0.2">
      <c r="A50689" s="258"/>
      <c r="Z50689" s="258"/>
    </row>
    <row r="50690" spans="1:26" ht="12.75" customHeight="1" x14ac:dyDescent="0.2">
      <c r="A50690" s="258"/>
      <c r="Z50690" s="258"/>
    </row>
    <row r="50691" spans="1:26" ht="12.75" customHeight="1" x14ac:dyDescent="0.2">
      <c r="A50691" s="258"/>
      <c r="Z50691" s="258"/>
    </row>
    <row r="50692" spans="1:26" ht="12.75" customHeight="1" x14ac:dyDescent="0.2">
      <c r="A50692" s="258"/>
      <c r="Z50692" s="258"/>
    </row>
    <row r="50693" spans="1:26" ht="12.75" customHeight="1" x14ac:dyDescent="0.2">
      <c r="A50693" s="258"/>
      <c r="Z50693" s="258"/>
    </row>
    <row r="50694" spans="1:26" ht="12.75" customHeight="1" x14ac:dyDescent="0.2">
      <c r="A50694" s="258"/>
      <c r="Z50694" s="258"/>
    </row>
    <row r="50695" spans="1:26" ht="12.75" customHeight="1" x14ac:dyDescent="0.2">
      <c r="A50695" s="258"/>
      <c r="Z50695" s="258"/>
    </row>
    <row r="50696" spans="1:26" ht="12.75" customHeight="1" x14ac:dyDescent="0.2">
      <c r="A50696" s="258"/>
      <c r="Z50696" s="258"/>
    </row>
    <row r="50697" spans="1:26" ht="12.75" customHeight="1" x14ac:dyDescent="0.2">
      <c r="A50697" s="258"/>
      <c r="Z50697" s="258"/>
    </row>
    <row r="50698" spans="1:26" ht="12.75" customHeight="1" x14ac:dyDescent="0.2">
      <c r="A50698" s="258"/>
      <c r="Z50698" s="258"/>
    </row>
    <row r="50699" spans="1:26" ht="12.75" customHeight="1" x14ac:dyDescent="0.2">
      <c r="A50699" s="258"/>
      <c r="Z50699" s="258"/>
    </row>
    <row r="50700" spans="1:26" ht="12.75" customHeight="1" x14ac:dyDescent="0.2">
      <c r="A50700" s="258"/>
      <c r="Z50700" s="258"/>
    </row>
    <row r="50701" spans="1:26" ht="12.75" customHeight="1" x14ac:dyDescent="0.2">
      <c r="A50701" s="258"/>
      <c r="Z50701" s="258"/>
    </row>
    <row r="50702" spans="1:26" ht="12.75" customHeight="1" x14ac:dyDescent="0.2">
      <c r="A50702" s="258"/>
      <c r="Z50702" s="258"/>
    </row>
    <row r="50703" spans="1:26" ht="12.75" customHeight="1" x14ac:dyDescent="0.2">
      <c r="A50703" s="258"/>
      <c r="Z50703" s="258"/>
    </row>
    <row r="50704" spans="1:26" ht="12.75" customHeight="1" x14ac:dyDescent="0.2">
      <c r="A50704" s="258"/>
      <c r="Z50704" s="258"/>
    </row>
    <row r="50705" spans="1:26" ht="12.75" customHeight="1" x14ac:dyDescent="0.2">
      <c r="A50705" s="258"/>
      <c r="Z50705" s="258"/>
    </row>
    <row r="50706" spans="1:26" ht="12.75" customHeight="1" x14ac:dyDescent="0.2">
      <c r="A50706" s="258"/>
      <c r="Z50706" s="258"/>
    </row>
    <row r="50707" spans="1:26" ht="12.75" customHeight="1" x14ac:dyDescent="0.2">
      <c r="A50707" s="258"/>
      <c r="Z50707" s="258"/>
    </row>
    <row r="50708" spans="1:26" ht="12.75" customHeight="1" x14ac:dyDescent="0.2">
      <c r="A50708" s="258"/>
      <c r="Z50708" s="258"/>
    </row>
    <row r="50709" spans="1:26" ht="12.75" customHeight="1" x14ac:dyDescent="0.2">
      <c r="A50709" s="258"/>
      <c r="Z50709" s="258"/>
    </row>
    <row r="50710" spans="1:26" ht="12.75" customHeight="1" x14ac:dyDescent="0.2">
      <c r="A50710" s="258"/>
      <c r="Z50710" s="258"/>
    </row>
    <row r="50711" spans="1:26" ht="12.75" customHeight="1" x14ac:dyDescent="0.2">
      <c r="A50711" s="258"/>
      <c r="Z50711" s="258"/>
    </row>
    <row r="50712" spans="1:26" ht="12.75" customHeight="1" x14ac:dyDescent="0.2">
      <c r="A50712" s="258"/>
      <c r="Z50712" s="258"/>
    </row>
    <row r="50713" spans="1:26" ht="12.75" customHeight="1" x14ac:dyDescent="0.2">
      <c r="A50713" s="258"/>
      <c r="Z50713" s="258"/>
    </row>
    <row r="50714" spans="1:26" ht="12.75" customHeight="1" x14ac:dyDescent="0.2">
      <c r="A50714" s="258"/>
      <c r="Z50714" s="258"/>
    </row>
    <row r="50715" spans="1:26" ht="12.75" customHeight="1" x14ac:dyDescent="0.2">
      <c r="A50715" s="258"/>
      <c r="Z50715" s="258"/>
    </row>
    <row r="50716" spans="1:26" ht="12.75" customHeight="1" x14ac:dyDescent="0.2">
      <c r="A50716" s="258"/>
      <c r="Z50716" s="258"/>
    </row>
    <row r="50717" spans="1:26" ht="12.75" customHeight="1" x14ac:dyDescent="0.2">
      <c r="A50717" s="258"/>
      <c r="Z50717" s="258"/>
    </row>
    <row r="50718" spans="1:26" ht="12.75" customHeight="1" x14ac:dyDescent="0.2">
      <c r="A50718" s="258"/>
      <c r="Z50718" s="258"/>
    </row>
    <row r="50719" spans="1:26" ht="12.75" customHeight="1" x14ac:dyDescent="0.2">
      <c r="A50719" s="258"/>
      <c r="Z50719" s="258"/>
    </row>
    <row r="50720" spans="1:26" ht="12.75" customHeight="1" x14ac:dyDescent="0.2">
      <c r="A50720" s="258"/>
      <c r="Z50720" s="258"/>
    </row>
    <row r="50721" spans="1:26" ht="12.75" customHeight="1" x14ac:dyDescent="0.2">
      <c r="A50721" s="258"/>
      <c r="Z50721" s="258"/>
    </row>
    <row r="50722" spans="1:26" ht="12.75" customHeight="1" x14ac:dyDescent="0.2">
      <c r="A50722" s="258"/>
      <c r="Z50722" s="258"/>
    </row>
    <row r="50723" spans="1:26" ht="12.75" customHeight="1" x14ac:dyDescent="0.2">
      <c r="A50723" s="258"/>
      <c r="Z50723" s="258"/>
    </row>
    <row r="50724" spans="1:26" ht="12.75" customHeight="1" x14ac:dyDescent="0.2">
      <c r="A50724" s="258"/>
      <c r="Z50724" s="258"/>
    </row>
    <row r="50725" spans="1:26" ht="12.75" customHeight="1" x14ac:dyDescent="0.2">
      <c r="A50725" s="258"/>
      <c r="Z50725" s="258"/>
    </row>
    <row r="50726" spans="1:26" ht="12.75" customHeight="1" x14ac:dyDescent="0.2">
      <c r="A50726" s="258"/>
      <c r="Z50726" s="258"/>
    </row>
    <row r="50727" spans="1:26" ht="12.75" customHeight="1" x14ac:dyDescent="0.2">
      <c r="A50727" s="258"/>
      <c r="Z50727" s="258"/>
    </row>
    <row r="50728" spans="1:26" ht="12.75" customHeight="1" x14ac:dyDescent="0.2">
      <c r="A50728" s="258"/>
      <c r="Z50728" s="258"/>
    </row>
    <row r="50729" spans="1:26" ht="12.75" customHeight="1" x14ac:dyDescent="0.2">
      <c r="A50729" s="258"/>
      <c r="Z50729" s="258"/>
    </row>
    <row r="50730" spans="1:26" ht="12.75" customHeight="1" x14ac:dyDescent="0.2">
      <c r="A50730" s="258"/>
      <c r="Z50730" s="258"/>
    </row>
    <row r="50731" spans="1:26" ht="12.75" customHeight="1" x14ac:dyDescent="0.2">
      <c r="A50731" s="258"/>
      <c r="Z50731" s="258"/>
    </row>
    <row r="50732" spans="1:26" ht="12.75" customHeight="1" x14ac:dyDescent="0.2">
      <c r="A50732" s="258"/>
      <c r="Z50732" s="258"/>
    </row>
    <row r="50733" spans="1:26" ht="12.75" customHeight="1" x14ac:dyDescent="0.2">
      <c r="A50733" s="258"/>
      <c r="Z50733" s="258"/>
    </row>
    <row r="50734" spans="1:26" ht="12.75" customHeight="1" x14ac:dyDescent="0.2">
      <c r="A50734" s="258"/>
      <c r="Z50734" s="258"/>
    </row>
    <row r="50735" spans="1:26" ht="12.75" customHeight="1" x14ac:dyDescent="0.2">
      <c r="A50735" s="258"/>
      <c r="Z50735" s="258"/>
    </row>
    <row r="50736" spans="1:26" ht="12.75" customHeight="1" x14ac:dyDescent="0.2">
      <c r="A50736" s="258"/>
      <c r="Z50736" s="258"/>
    </row>
    <row r="50737" spans="1:26" ht="12.75" customHeight="1" x14ac:dyDescent="0.2">
      <c r="A50737" s="258"/>
      <c r="Z50737" s="258"/>
    </row>
    <row r="50738" spans="1:26" ht="12.75" customHeight="1" x14ac:dyDescent="0.2">
      <c r="A50738" s="258"/>
      <c r="Z50738" s="258"/>
    </row>
    <row r="50739" spans="1:26" ht="12.75" customHeight="1" x14ac:dyDescent="0.2">
      <c r="A50739" s="258"/>
      <c r="Z50739" s="258"/>
    </row>
    <row r="50740" spans="1:26" ht="12.75" customHeight="1" x14ac:dyDescent="0.2">
      <c r="A50740" s="258"/>
      <c r="Z50740" s="258"/>
    </row>
    <row r="50741" spans="1:26" ht="12.75" customHeight="1" x14ac:dyDescent="0.2">
      <c r="A50741" s="258"/>
      <c r="Z50741" s="258"/>
    </row>
    <row r="50742" spans="1:26" ht="12.75" customHeight="1" x14ac:dyDescent="0.2">
      <c r="A50742" s="258"/>
      <c r="Z50742" s="258"/>
    </row>
    <row r="50743" spans="1:26" ht="12.75" customHeight="1" x14ac:dyDescent="0.2">
      <c r="A50743" s="258"/>
      <c r="Z50743" s="258"/>
    </row>
    <row r="50744" spans="1:26" ht="12.75" customHeight="1" x14ac:dyDescent="0.2">
      <c r="A50744" s="258"/>
      <c r="Z50744" s="258"/>
    </row>
    <row r="50745" spans="1:26" ht="12.75" customHeight="1" x14ac:dyDescent="0.2">
      <c r="A50745" s="258"/>
      <c r="Z50745" s="258"/>
    </row>
    <row r="50746" spans="1:26" ht="12.75" customHeight="1" x14ac:dyDescent="0.2">
      <c r="A50746" s="258"/>
      <c r="Z50746" s="258"/>
    </row>
    <row r="50747" spans="1:26" ht="12.75" customHeight="1" x14ac:dyDescent="0.2">
      <c r="A50747" s="258"/>
      <c r="Z50747" s="258"/>
    </row>
    <row r="50748" spans="1:26" ht="12.75" customHeight="1" x14ac:dyDescent="0.2">
      <c r="A50748" s="258"/>
      <c r="Z50748" s="258"/>
    </row>
    <row r="50749" spans="1:26" ht="12.75" customHeight="1" x14ac:dyDescent="0.2">
      <c r="A50749" s="258"/>
      <c r="Z50749" s="258"/>
    </row>
    <row r="50750" spans="1:26" ht="12.75" customHeight="1" x14ac:dyDescent="0.2">
      <c r="A50750" s="258"/>
      <c r="Z50750" s="258"/>
    </row>
    <row r="50751" spans="1:26" ht="12.75" customHeight="1" x14ac:dyDescent="0.2">
      <c r="A50751" s="258"/>
      <c r="Z50751" s="258"/>
    </row>
    <row r="50752" spans="1:26" ht="12.75" customHeight="1" x14ac:dyDescent="0.2">
      <c r="A50752" s="258"/>
      <c r="Z50752" s="258"/>
    </row>
    <row r="50753" spans="1:26" ht="12.75" customHeight="1" x14ac:dyDescent="0.2">
      <c r="A50753" s="258"/>
      <c r="Z50753" s="258"/>
    </row>
    <row r="50754" spans="1:26" ht="12.75" customHeight="1" x14ac:dyDescent="0.2">
      <c r="A50754" s="258"/>
      <c r="Z50754" s="258"/>
    </row>
    <row r="50755" spans="1:26" ht="12.75" customHeight="1" x14ac:dyDescent="0.2">
      <c r="A50755" s="258"/>
      <c r="Z50755" s="258"/>
    </row>
    <row r="50756" spans="1:26" ht="12.75" customHeight="1" x14ac:dyDescent="0.2">
      <c r="A50756" s="258"/>
      <c r="Z50756" s="258"/>
    </row>
    <row r="50757" spans="1:26" ht="12.75" customHeight="1" x14ac:dyDescent="0.2">
      <c r="A50757" s="258"/>
      <c r="Z50757" s="258"/>
    </row>
    <row r="50758" spans="1:26" ht="12.75" customHeight="1" x14ac:dyDescent="0.2">
      <c r="A50758" s="258"/>
      <c r="Z50758" s="258"/>
    </row>
    <row r="50759" spans="1:26" ht="12.75" customHeight="1" x14ac:dyDescent="0.2">
      <c r="A50759" s="258"/>
      <c r="Z50759" s="258"/>
    </row>
    <row r="50760" spans="1:26" ht="12.75" customHeight="1" x14ac:dyDescent="0.2">
      <c r="A50760" s="258"/>
      <c r="Z50760" s="258"/>
    </row>
    <row r="50761" spans="1:26" ht="12.75" customHeight="1" x14ac:dyDescent="0.2">
      <c r="A50761" s="258"/>
      <c r="Z50761" s="258"/>
    </row>
    <row r="50762" spans="1:26" ht="12.75" customHeight="1" x14ac:dyDescent="0.2">
      <c r="A50762" s="258"/>
      <c r="Z50762" s="258"/>
    </row>
    <row r="50763" spans="1:26" ht="12.75" customHeight="1" x14ac:dyDescent="0.2">
      <c r="A50763" s="258"/>
      <c r="Z50763" s="258"/>
    </row>
    <row r="50764" spans="1:26" ht="12.75" customHeight="1" x14ac:dyDescent="0.2">
      <c r="A50764" s="258"/>
      <c r="Z50764" s="258"/>
    </row>
    <row r="50765" spans="1:26" ht="12.75" customHeight="1" x14ac:dyDescent="0.2">
      <c r="A50765" s="258"/>
      <c r="Z50765" s="258"/>
    </row>
    <row r="50766" spans="1:26" ht="12.75" customHeight="1" x14ac:dyDescent="0.2">
      <c r="A50766" s="258"/>
      <c r="Z50766" s="258"/>
    </row>
    <row r="50767" spans="1:26" ht="12.75" customHeight="1" x14ac:dyDescent="0.2">
      <c r="A50767" s="258"/>
      <c r="Z50767" s="258"/>
    </row>
    <row r="50768" spans="1:26" ht="12.75" customHeight="1" x14ac:dyDescent="0.2">
      <c r="A50768" s="258"/>
      <c r="Z50768" s="258"/>
    </row>
    <row r="50769" spans="1:26" ht="12.75" customHeight="1" x14ac:dyDescent="0.2">
      <c r="A50769" s="258"/>
      <c r="Z50769" s="258"/>
    </row>
    <row r="50770" spans="1:26" ht="12.75" customHeight="1" x14ac:dyDescent="0.2">
      <c r="A50770" s="258"/>
      <c r="Z50770" s="258"/>
    </row>
    <row r="50771" spans="1:26" ht="12.75" customHeight="1" x14ac:dyDescent="0.2">
      <c r="A50771" s="258"/>
      <c r="Z50771" s="258"/>
    </row>
    <row r="50772" spans="1:26" ht="12.75" customHeight="1" x14ac:dyDescent="0.2">
      <c r="A50772" s="258"/>
      <c r="Z50772" s="258"/>
    </row>
    <row r="50773" spans="1:26" ht="12.75" customHeight="1" x14ac:dyDescent="0.2">
      <c r="A50773" s="258"/>
      <c r="Z50773" s="258"/>
    </row>
    <row r="50774" spans="1:26" ht="12.75" customHeight="1" x14ac:dyDescent="0.2">
      <c r="A50774" s="258"/>
      <c r="Z50774" s="258"/>
    </row>
    <row r="50775" spans="1:26" ht="12.75" customHeight="1" x14ac:dyDescent="0.2">
      <c r="A50775" s="258"/>
      <c r="Z50775" s="258"/>
    </row>
    <row r="50776" spans="1:26" ht="12.75" customHeight="1" x14ac:dyDescent="0.2">
      <c r="A50776" s="258"/>
      <c r="Z50776" s="258"/>
    </row>
    <row r="50777" spans="1:26" ht="12.75" customHeight="1" x14ac:dyDescent="0.2">
      <c r="A50777" s="258"/>
      <c r="Z50777" s="258"/>
    </row>
    <row r="50778" spans="1:26" ht="12.75" customHeight="1" x14ac:dyDescent="0.2">
      <c r="A50778" s="258"/>
      <c r="Z50778" s="258"/>
    </row>
    <row r="50779" spans="1:26" ht="12.75" customHeight="1" x14ac:dyDescent="0.2">
      <c r="A50779" s="258"/>
      <c r="Z50779" s="258"/>
    </row>
    <row r="50780" spans="1:26" ht="12.75" customHeight="1" x14ac:dyDescent="0.2">
      <c r="A50780" s="258"/>
      <c r="Z50780" s="258"/>
    </row>
    <row r="50781" spans="1:26" ht="12.75" customHeight="1" x14ac:dyDescent="0.2">
      <c r="A50781" s="258"/>
      <c r="Z50781" s="258"/>
    </row>
    <row r="50782" spans="1:26" ht="12.75" customHeight="1" x14ac:dyDescent="0.2">
      <c r="A50782" s="258"/>
      <c r="Z50782" s="258"/>
    </row>
    <row r="50783" spans="1:26" ht="12.75" customHeight="1" x14ac:dyDescent="0.2">
      <c r="A50783" s="258"/>
      <c r="Z50783" s="258"/>
    </row>
    <row r="50784" spans="1:26" ht="12.75" customHeight="1" x14ac:dyDescent="0.2">
      <c r="A50784" s="258"/>
      <c r="Z50784" s="258"/>
    </row>
    <row r="50785" spans="1:26" ht="12.75" customHeight="1" x14ac:dyDescent="0.2">
      <c r="A50785" s="258"/>
      <c r="Z50785" s="258"/>
    </row>
    <row r="50786" spans="1:26" ht="12.75" customHeight="1" x14ac:dyDescent="0.2">
      <c r="A50786" s="258"/>
      <c r="Z50786" s="258"/>
    </row>
    <row r="50787" spans="1:26" ht="12.75" customHeight="1" x14ac:dyDescent="0.2">
      <c r="A50787" s="258"/>
      <c r="Z50787" s="258"/>
    </row>
    <row r="50788" spans="1:26" ht="12.75" customHeight="1" x14ac:dyDescent="0.2">
      <c r="A50788" s="258"/>
      <c r="Z50788" s="258"/>
    </row>
    <row r="50789" spans="1:26" ht="12.75" customHeight="1" x14ac:dyDescent="0.2">
      <c r="A50789" s="258"/>
      <c r="Z50789" s="258"/>
    </row>
    <row r="50790" spans="1:26" ht="12.75" customHeight="1" x14ac:dyDescent="0.2">
      <c r="A50790" s="258"/>
      <c r="Z50790" s="258"/>
    </row>
    <row r="50791" spans="1:26" ht="12.75" customHeight="1" x14ac:dyDescent="0.2">
      <c r="A50791" s="258"/>
      <c r="Z50791" s="258"/>
    </row>
    <row r="50792" spans="1:26" ht="12.75" customHeight="1" x14ac:dyDescent="0.2">
      <c r="A50792" s="258"/>
      <c r="Z50792" s="258"/>
    </row>
    <row r="50793" spans="1:26" ht="12.75" customHeight="1" x14ac:dyDescent="0.2">
      <c r="A50793" s="258"/>
      <c r="Z50793" s="258"/>
    </row>
    <row r="50794" spans="1:26" ht="12.75" customHeight="1" x14ac:dyDescent="0.2">
      <c r="A50794" s="258"/>
      <c r="Z50794" s="258"/>
    </row>
    <row r="50795" spans="1:26" ht="12.75" customHeight="1" x14ac:dyDescent="0.2">
      <c r="A50795" s="258"/>
      <c r="Z50795" s="258"/>
    </row>
    <row r="50796" spans="1:26" ht="12.75" customHeight="1" x14ac:dyDescent="0.2">
      <c r="A50796" s="258"/>
      <c r="Z50796" s="258"/>
    </row>
    <row r="50797" spans="1:26" ht="12.75" customHeight="1" x14ac:dyDescent="0.2">
      <c r="A50797" s="258"/>
      <c r="Z50797" s="258"/>
    </row>
    <row r="50798" spans="1:26" ht="12.75" customHeight="1" x14ac:dyDescent="0.2">
      <c r="A50798" s="258"/>
      <c r="Z50798" s="258"/>
    </row>
    <row r="50799" spans="1:26" ht="12.75" customHeight="1" x14ac:dyDescent="0.2">
      <c r="A50799" s="258"/>
      <c r="Z50799" s="258"/>
    </row>
    <row r="50800" spans="1:26" ht="12.75" customHeight="1" x14ac:dyDescent="0.2">
      <c r="A50800" s="258"/>
      <c r="Z50800" s="258"/>
    </row>
    <row r="50801" spans="1:26" ht="12.75" customHeight="1" x14ac:dyDescent="0.2">
      <c r="A50801" s="258"/>
      <c r="Z50801" s="258"/>
    </row>
    <row r="50802" spans="1:26" ht="12.75" customHeight="1" x14ac:dyDescent="0.2">
      <c r="A50802" s="258"/>
      <c r="Z50802" s="258"/>
    </row>
    <row r="50803" spans="1:26" ht="12.75" customHeight="1" x14ac:dyDescent="0.2">
      <c r="A50803" s="258"/>
      <c r="Z50803" s="258"/>
    </row>
    <row r="50804" spans="1:26" ht="12.75" customHeight="1" x14ac:dyDescent="0.2">
      <c r="A50804" s="258"/>
      <c r="Z50804" s="258"/>
    </row>
    <row r="50805" spans="1:26" ht="12.75" customHeight="1" x14ac:dyDescent="0.2">
      <c r="A50805" s="258"/>
      <c r="Z50805" s="258"/>
    </row>
    <row r="50806" spans="1:26" ht="12.75" customHeight="1" x14ac:dyDescent="0.2">
      <c r="A50806" s="258"/>
      <c r="Z50806" s="258"/>
    </row>
    <row r="50807" spans="1:26" ht="12.75" customHeight="1" x14ac:dyDescent="0.2">
      <c r="A50807" s="258"/>
      <c r="Z50807" s="258"/>
    </row>
    <row r="50808" spans="1:26" ht="12.75" customHeight="1" x14ac:dyDescent="0.2">
      <c r="A50808" s="258"/>
      <c r="Z50808" s="258"/>
    </row>
    <row r="50809" spans="1:26" ht="12.75" customHeight="1" x14ac:dyDescent="0.2">
      <c r="A50809" s="258"/>
      <c r="Z50809" s="258"/>
    </row>
    <row r="50810" spans="1:26" ht="12.75" customHeight="1" x14ac:dyDescent="0.2">
      <c r="A50810" s="258"/>
      <c r="Z50810" s="258"/>
    </row>
    <row r="50811" spans="1:26" ht="12.75" customHeight="1" x14ac:dyDescent="0.2">
      <c r="A50811" s="258"/>
      <c r="Z50811" s="258"/>
    </row>
    <row r="50812" spans="1:26" ht="12.75" customHeight="1" x14ac:dyDescent="0.2">
      <c r="A50812" s="258"/>
      <c r="Z50812" s="258"/>
    </row>
    <row r="50813" spans="1:26" ht="12.75" customHeight="1" x14ac:dyDescent="0.2">
      <c r="A50813" s="258"/>
      <c r="Z50813" s="258"/>
    </row>
    <row r="50814" spans="1:26" ht="12.75" customHeight="1" x14ac:dyDescent="0.2">
      <c r="A50814" s="258"/>
      <c r="Z50814" s="258"/>
    </row>
    <row r="50815" spans="1:26" ht="12.75" customHeight="1" x14ac:dyDescent="0.2">
      <c r="A50815" s="258"/>
      <c r="Z50815" s="258"/>
    </row>
    <row r="50816" spans="1:26" ht="12.75" customHeight="1" x14ac:dyDescent="0.2">
      <c r="A50816" s="258"/>
      <c r="Z50816" s="258"/>
    </row>
    <row r="50817" spans="1:26" ht="12.75" customHeight="1" x14ac:dyDescent="0.2">
      <c r="A50817" s="258"/>
      <c r="Z50817" s="258"/>
    </row>
    <row r="50818" spans="1:26" ht="12.75" customHeight="1" x14ac:dyDescent="0.2">
      <c r="A50818" s="258"/>
      <c r="Z50818" s="258"/>
    </row>
    <row r="50819" spans="1:26" ht="12.75" customHeight="1" x14ac:dyDescent="0.2">
      <c r="A50819" s="258"/>
      <c r="Z50819" s="258"/>
    </row>
    <row r="50820" spans="1:26" ht="12.75" customHeight="1" x14ac:dyDescent="0.2">
      <c r="A50820" s="258"/>
      <c r="Z50820" s="258"/>
    </row>
    <row r="50821" spans="1:26" ht="12.75" customHeight="1" x14ac:dyDescent="0.2">
      <c r="A50821" s="258"/>
      <c r="Z50821" s="258"/>
    </row>
    <row r="50822" spans="1:26" ht="12.75" customHeight="1" x14ac:dyDescent="0.2">
      <c r="A50822" s="258"/>
      <c r="Z50822" s="258"/>
    </row>
    <row r="50823" spans="1:26" ht="12.75" customHeight="1" x14ac:dyDescent="0.2">
      <c r="A50823" s="258"/>
      <c r="Z50823" s="258"/>
    </row>
    <row r="50824" spans="1:26" ht="12.75" customHeight="1" x14ac:dyDescent="0.2">
      <c r="A50824" s="258"/>
      <c r="Z50824" s="258"/>
    </row>
    <row r="50825" spans="1:26" ht="12.75" customHeight="1" x14ac:dyDescent="0.2">
      <c r="A50825" s="258"/>
      <c r="Z50825" s="258"/>
    </row>
    <row r="50826" spans="1:26" ht="12.75" customHeight="1" x14ac:dyDescent="0.2">
      <c r="A50826" s="258"/>
      <c r="Z50826" s="258"/>
    </row>
    <row r="50827" spans="1:26" ht="12.75" customHeight="1" x14ac:dyDescent="0.2">
      <c r="A50827" s="258"/>
      <c r="Z50827" s="258"/>
    </row>
    <row r="50828" spans="1:26" ht="12.75" customHeight="1" x14ac:dyDescent="0.2">
      <c r="A50828" s="258"/>
      <c r="Z50828" s="258"/>
    </row>
    <row r="50829" spans="1:26" ht="12.75" customHeight="1" x14ac:dyDescent="0.2">
      <c r="A50829" s="258"/>
      <c r="Z50829" s="258"/>
    </row>
    <row r="50830" spans="1:26" ht="12.75" customHeight="1" x14ac:dyDescent="0.2">
      <c r="A50830" s="258"/>
      <c r="Z50830" s="258"/>
    </row>
    <row r="50831" spans="1:26" ht="12.75" customHeight="1" x14ac:dyDescent="0.2">
      <c r="A50831" s="258"/>
      <c r="Z50831" s="258"/>
    </row>
    <row r="50832" spans="1:26" ht="12.75" customHeight="1" x14ac:dyDescent="0.2">
      <c r="A50832" s="258"/>
      <c r="Z50832" s="258"/>
    </row>
    <row r="50833" spans="1:26" ht="12.75" customHeight="1" x14ac:dyDescent="0.2">
      <c r="A50833" s="258"/>
      <c r="Z50833" s="258"/>
    </row>
    <row r="50834" spans="1:26" ht="12.75" customHeight="1" x14ac:dyDescent="0.2">
      <c r="A50834" s="258"/>
      <c r="Z50834" s="258"/>
    </row>
    <row r="50835" spans="1:26" ht="12.75" customHeight="1" x14ac:dyDescent="0.2">
      <c r="A50835" s="258"/>
      <c r="Z50835" s="258"/>
    </row>
    <row r="50836" spans="1:26" ht="12.75" customHeight="1" x14ac:dyDescent="0.2">
      <c r="A50836" s="258"/>
      <c r="Z50836" s="258"/>
    </row>
    <row r="50837" spans="1:26" ht="12.75" customHeight="1" x14ac:dyDescent="0.2">
      <c r="A50837" s="258"/>
      <c r="Z50837" s="258"/>
    </row>
    <row r="50838" spans="1:26" ht="12.75" customHeight="1" x14ac:dyDescent="0.2">
      <c r="A50838" s="258"/>
      <c r="Z50838" s="258"/>
    </row>
    <row r="50839" spans="1:26" ht="12.75" customHeight="1" x14ac:dyDescent="0.2">
      <c r="A50839" s="258"/>
      <c r="Z50839" s="258"/>
    </row>
    <row r="50840" spans="1:26" ht="12.75" customHeight="1" x14ac:dyDescent="0.2">
      <c r="A50840" s="258"/>
      <c r="Z50840" s="258"/>
    </row>
    <row r="50841" spans="1:26" ht="12.75" customHeight="1" x14ac:dyDescent="0.2">
      <c r="A50841" s="258"/>
      <c r="Z50841" s="258"/>
    </row>
    <row r="50842" spans="1:26" ht="12.75" customHeight="1" x14ac:dyDescent="0.2">
      <c r="A50842" s="258"/>
      <c r="Z50842" s="258"/>
    </row>
    <row r="50843" spans="1:26" ht="12.75" customHeight="1" x14ac:dyDescent="0.2">
      <c r="A50843" s="258"/>
      <c r="Z50843" s="258"/>
    </row>
    <row r="50844" spans="1:26" ht="12.75" customHeight="1" x14ac:dyDescent="0.2">
      <c r="A50844" s="258"/>
      <c r="Z50844" s="258"/>
    </row>
    <row r="50845" spans="1:26" ht="12.75" customHeight="1" x14ac:dyDescent="0.2">
      <c r="A50845" s="258"/>
      <c r="Z50845" s="258"/>
    </row>
    <row r="50846" spans="1:26" ht="12.75" customHeight="1" x14ac:dyDescent="0.2">
      <c r="A50846" s="258"/>
      <c r="Z50846" s="258"/>
    </row>
    <row r="50847" spans="1:26" ht="12.75" customHeight="1" x14ac:dyDescent="0.2">
      <c r="A50847" s="258"/>
      <c r="Z50847" s="258"/>
    </row>
    <row r="50848" spans="1:26" ht="12.75" customHeight="1" x14ac:dyDescent="0.2">
      <c r="A50848" s="258"/>
      <c r="Z50848" s="258"/>
    </row>
    <row r="50849" spans="1:26" ht="12.75" customHeight="1" x14ac:dyDescent="0.2">
      <c r="A50849" s="258"/>
      <c r="Z50849" s="258"/>
    </row>
    <row r="50850" spans="1:26" ht="12.75" customHeight="1" x14ac:dyDescent="0.2">
      <c r="A50850" s="258"/>
      <c r="Z50850" s="258"/>
    </row>
    <row r="50851" spans="1:26" ht="12.75" customHeight="1" x14ac:dyDescent="0.2">
      <c r="A50851" s="258"/>
      <c r="Z50851" s="258"/>
    </row>
    <row r="50852" spans="1:26" ht="12.75" customHeight="1" x14ac:dyDescent="0.2">
      <c r="A50852" s="258"/>
      <c r="Z50852" s="258"/>
    </row>
    <row r="50853" spans="1:26" ht="12.75" customHeight="1" x14ac:dyDescent="0.2">
      <c r="A50853" s="258"/>
      <c r="Z50853" s="258"/>
    </row>
    <row r="50854" spans="1:26" ht="12.75" customHeight="1" x14ac:dyDescent="0.2">
      <c r="A50854" s="258"/>
      <c r="Z50854" s="258"/>
    </row>
    <row r="50855" spans="1:26" ht="12.75" customHeight="1" x14ac:dyDescent="0.2">
      <c r="A50855" s="258"/>
      <c r="Z50855" s="258"/>
    </row>
    <row r="50856" spans="1:26" ht="12.75" customHeight="1" x14ac:dyDescent="0.2">
      <c r="A50856" s="258"/>
      <c r="Z50856" s="258"/>
    </row>
    <row r="50857" spans="1:26" ht="12.75" customHeight="1" x14ac:dyDescent="0.2">
      <c r="A50857" s="258"/>
      <c r="Z50857" s="258"/>
    </row>
    <row r="50858" spans="1:26" ht="12.75" customHeight="1" x14ac:dyDescent="0.2">
      <c r="A50858" s="258"/>
      <c r="Z50858" s="258"/>
    </row>
    <row r="50859" spans="1:26" ht="12.75" customHeight="1" x14ac:dyDescent="0.2">
      <c r="A50859" s="258"/>
      <c r="Z50859" s="258"/>
    </row>
    <row r="50860" spans="1:26" ht="12.75" customHeight="1" x14ac:dyDescent="0.2">
      <c r="A50860" s="258"/>
      <c r="Z50860" s="258"/>
    </row>
    <row r="50861" spans="1:26" ht="12.75" customHeight="1" x14ac:dyDescent="0.2">
      <c r="A50861" s="258"/>
      <c r="Z50861" s="258"/>
    </row>
    <row r="50862" spans="1:26" ht="12.75" customHeight="1" x14ac:dyDescent="0.2">
      <c r="A50862" s="258"/>
      <c r="Z50862" s="258"/>
    </row>
    <row r="50863" spans="1:26" ht="12.75" customHeight="1" x14ac:dyDescent="0.2">
      <c r="A50863" s="258"/>
      <c r="Z50863" s="258"/>
    </row>
    <row r="50864" spans="1:26" ht="12.75" customHeight="1" x14ac:dyDescent="0.2">
      <c r="A50864" s="258"/>
      <c r="Z50864" s="258"/>
    </row>
    <row r="50865" spans="1:26" ht="12.75" customHeight="1" x14ac:dyDescent="0.2">
      <c r="A50865" s="258"/>
      <c r="Z50865" s="258"/>
    </row>
    <row r="50866" spans="1:26" ht="12.75" customHeight="1" x14ac:dyDescent="0.2">
      <c r="A50866" s="258"/>
      <c r="Z50866" s="258"/>
    </row>
    <row r="50867" spans="1:26" ht="12.75" customHeight="1" x14ac:dyDescent="0.2">
      <c r="A50867" s="258"/>
      <c r="Z50867" s="258"/>
    </row>
    <row r="50868" spans="1:26" ht="12.75" customHeight="1" x14ac:dyDescent="0.2">
      <c r="A50868" s="258"/>
      <c r="Z50868" s="258"/>
    </row>
    <row r="50869" spans="1:26" ht="12.75" customHeight="1" x14ac:dyDescent="0.2">
      <c r="A50869" s="258"/>
      <c r="Z50869" s="258"/>
    </row>
    <row r="50870" spans="1:26" ht="12.75" customHeight="1" x14ac:dyDescent="0.2">
      <c r="A50870" s="258"/>
      <c r="Z50870" s="258"/>
    </row>
    <row r="50871" spans="1:26" ht="12.75" customHeight="1" x14ac:dyDescent="0.2">
      <c r="A50871" s="258"/>
      <c r="Z50871" s="258"/>
    </row>
    <row r="50872" spans="1:26" ht="12.75" customHeight="1" x14ac:dyDescent="0.2">
      <c r="A50872" s="258"/>
      <c r="Z50872" s="258"/>
    </row>
    <row r="50873" spans="1:26" ht="12.75" customHeight="1" x14ac:dyDescent="0.2">
      <c r="A50873" s="258"/>
      <c r="Z50873" s="258"/>
    </row>
    <row r="50874" spans="1:26" ht="12.75" customHeight="1" x14ac:dyDescent="0.2">
      <c r="A50874" s="258"/>
      <c r="Z50874" s="258"/>
    </row>
    <row r="50875" spans="1:26" ht="12.75" customHeight="1" x14ac:dyDescent="0.2">
      <c r="A50875" s="258"/>
      <c r="Z50875" s="258"/>
    </row>
    <row r="50876" spans="1:26" ht="12.75" customHeight="1" x14ac:dyDescent="0.2">
      <c r="A50876" s="258"/>
      <c r="Z50876" s="258"/>
    </row>
    <row r="50877" spans="1:26" ht="12.75" customHeight="1" x14ac:dyDescent="0.2">
      <c r="A50877" s="258"/>
      <c r="Z50877" s="258"/>
    </row>
    <row r="50878" spans="1:26" ht="12.75" customHeight="1" x14ac:dyDescent="0.2">
      <c r="A50878" s="258"/>
      <c r="Z50878" s="258"/>
    </row>
    <row r="50879" spans="1:26" ht="12.75" customHeight="1" x14ac:dyDescent="0.2">
      <c r="A50879" s="258"/>
      <c r="Z50879" s="258"/>
    </row>
    <row r="50880" spans="1:26" ht="12.75" customHeight="1" x14ac:dyDescent="0.2">
      <c r="A50880" s="258"/>
      <c r="Z50880" s="258"/>
    </row>
    <row r="50881" spans="1:26" ht="12.75" customHeight="1" x14ac:dyDescent="0.2">
      <c r="A50881" s="258"/>
      <c r="Z50881" s="258"/>
    </row>
    <row r="50882" spans="1:26" ht="12.75" customHeight="1" x14ac:dyDescent="0.2">
      <c r="A50882" s="258"/>
      <c r="Z50882" s="258"/>
    </row>
    <row r="50883" spans="1:26" ht="12.75" customHeight="1" x14ac:dyDescent="0.2">
      <c r="A50883" s="258"/>
      <c r="Z50883" s="258"/>
    </row>
    <row r="50884" spans="1:26" ht="12.75" customHeight="1" x14ac:dyDescent="0.2">
      <c r="A50884" s="258"/>
      <c r="Z50884" s="258"/>
    </row>
    <row r="50885" spans="1:26" ht="12.75" customHeight="1" x14ac:dyDescent="0.2">
      <c r="A50885" s="258"/>
      <c r="Z50885" s="258"/>
    </row>
    <row r="50886" spans="1:26" ht="12.75" customHeight="1" x14ac:dyDescent="0.2">
      <c r="A50886" s="258"/>
      <c r="Z50886" s="258"/>
    </row>
    <row r="50887" spans="1:26" ht="12.75" customHeight="1" x14ac:dyDescent="0.2">
      <c r="A50887" s="258"/>
      <c r="Z50887" s="258"/>
    </row>
    <row r="50888" spans="1:26" ht="12.75" customHeight="1" x14ac:dyDescent="0.2">
      <c r="A50888" s="258"/>
      <c r="Z50888" s="258"/>
    </row>
    <row r="50889" spans="1:26" ht="12.75" customHeight="1" x14ac:dyDescent="0.2">
      <c r="A50889" s="258"/>
      <c r="Z50889" s="258"/>
    </row>
    <row r="50890" spans="1:26" ht="12.75" customHeight="1" x14ac:dyDescent="0.2">
      <c r="A50890" s="258"/>
      <c r="Z50890" s="258"/>
    </row>
    <row r="50891" spans="1:26" ht="12.75" customHeight="1" x14ac:dyDescent="0.2">
      <c r="A50891" s="258"/>
      <c r="Z50891" s="258"/>
    </row>
    <row r="50892" spans="1:26" ht="12.75" customHeight="1" x14ac:dyDescent="0.2">
      <c r="A50892" s="258"/>
      <c r="Z50892" s="258"/>
    </row>
    <row r="50893" spans="1:26" ht="12.75" customHeight="1" x14ac:dyDescent="0.2">
      <c r="A50893" s="258"/>
      <c r="Z50893" s="258"/>
    </row>
    <row r="50894" spans="1:26" ht="12.75" customHeight="1" x14ac:dyDescent="0.2">
      <c r="A50894" s="258"/>
      <c r="Z50894" s="258"/>
    </row>
    <row r="50895" spans="1:26" ht="12.75" customHeight="1" x14ac:dyDescent="0.2">
      <c r="A50895" s="258"/>
      <c r="Z50895" s="258"/>
    </row>
    <row r="50896" spans="1:26" ht="12.75" customHeight="1" x14ac:dyDescent="0.2">
      <c r="A50896" s="258"/>
      <c r="Z50896" s="258"/>
    </row>
    <row r="50897" spans="1:26" ht="12.75" customHeight="1" x14ac:dyDescent="0.2">
      <c r="A50897" s="258"/>
      <c r="Z50897" s="258"/>
    </row>
    <row r="50898" spans="1:26" ht="12.75" customHeight="1" x14ac:dyDescent="0.2">
      <c r="A50898" s="258"/>
      <c r="Z50898" s="258"/>
    </row>
    <row r="50899" spans="1:26" ht="12.75" customHeight="1" x14ac:dyDescent="0.2">
      <c r="A50899" s="258"/>
      <c r="Z50899" s="258"/>
    </row>
    <row r="50900" spans="1:26" ht="12.75" customHeight="1" x14ac:dyDescent="0.2">
      <c r="A50900" s="258"/>
      <c r="Z50900" s="258"/>
    </row>
    <row r="50901" spans="1:26" ht="12.75" customHeight="1" x14ac:dyDescent="0.2">
      <c r="A50901" s="258"/>
      <c r="Z50901" s="258"/>
    </row>
    <row r="50902" spans="1:26" ht="12.75" customHeight="1" x14ac:dyDescent="0.2">
      <c r="A50902" s="258"/>
      <c r="Z50902" s="258"/>
    </row>
    <row r="50903" spans="1:26" ht="12.75" customHeight="1" x14ac:dyDescent="0.2">
      <c r="A50903" s="258"/>
      <c r="Z50903" s="258"/>
    </row>
    <row r="50904" spans="1:26" ht="12.75" customHeight="1" x14ac:dyDescent="0.2">
      <c r="A50904" s="258"/>
      <c r="Z50904" s="258"/>
    </row>
    <row r="50905" spans="1:26" ht="12.75" customHeight="1" x14ac:dyDescent="0.2">
      <c r="A50905" s="258"/>
      <c r="Z50905" s="258"/>
    </row>
    <row r="50906" spans="1:26" ht="12.75" customHeight="1" x14ac:dyDescent="0.2">
      <c r="A50906" s="258"/>
      <c r="Z50906" s="258"/>
    </row>
    <row r="50907" spans="1:26" ht="12.75" customHeight="1" x14ac:dyDescent="0.2">
      <c r="A50907" s="258"/>
      <c r="Z50907" s="258"/>
    </row>
    <row r="50908" spans="1:26" ht="12.75" customHeight="1" x14ac:dyDescent="0.2">
      <c r="A50908" s="258"/>
      <c r="Z50908" s="258"/>
    </row>
    <row r="50909" spans="1:26" ht="12.75" customHeight="1" x14ac:dyDescent="0.2">
      <c r="A50909" s="258"/>
      <c r="Z50909" s="258"/>
    </row>
    <row r="50910" spans="1:26" ht="12.75" customHeight="1" x14ac:dyDescent="0.2">
      <c r="A50910" s="258"/>
      <c r="Z50910" s="258"/>
    </row>
    <row r="50911" spans="1:26" ht="12.75" customHeight="1" x14ac:dyDescent="0.2">
      <c r="A50911" s="258"/>
      <c r="Z50911" s="258"/>
    </row>
    <row r="50912" spans="1:26" ht="12.75" customHeight="1" x14ac:dyDescent="0.2">
      <c r="A50912" s="258"/>
      <c r="Z50912" s="258"/>
    </row>
    <row r="50913" spans="1:26" ht="12.75" customHeight="1" x14ac:dyDescent="0.2">
      <c r="A50913" s="258"/>
      <c r="Z50913" s="258"/>
    </row>
    <row r="50914" spans="1:26" ht="12.75" customHeight="1" x14ac:dyDescent="0.2">
      <c r="A50914" s="258"/>
      <c r="Z50914" s="258"/>
    </row>
    <row r="50915" spans="1:26" ht="12.75" customHeight="1" x14ac:dyDescent="0.2">
      <c r="A50915" s="258"/>
      <c r="Z50915" s="258"/>
    </row>
    <row r="50916" spans="1:26" ht="12.75" customHeight="1" x14ac:dyDescent="0.2">
      <c r="A50916" s="258"/>
      <c r="Z50916" s="258"/>
    </row>
    <row r="50917" spans="1:26" ht="12.75" customHeight="1" x14ac:dyDescent="0.2">
      <c r="A50917" s="258"/>
      <c r="Z50917" s="258"/>
    </row>
    <row r="50918" spans="1:26" ht="12.75" customHeight="1" x14ac:dyDescent="0.2">
      <c r="A50918" s="258"/>
      <c r="Z50918" s="258"/>
    </row>
    <row r="50919" spans="1:26" ht="12.75" customHeight="1" x14ac:dyDescent="0.2">
      <c r="A50919" s="258"/>
      <c r="Z50919" s="258"/>
    </row>
    <row r="50920" spans="1:26" ht="12.75" customHeight="1" x14ac:dyDescent="0.2">
      <c r="A50920" s="258"/>
      <c r="Z50920" s="258"/>
    </row>
    <row r="50921" spans="1:26" ht="12.75" customHeight="1" x14ac:dyDescent="0.2">
      <c r="A50921" s="258"/>
      <c r="Z50921" s="258"/>
    </row>
    <row r="50922" spans="1:26" ht="12.75" customHeight="1" x14ac:dyDescent="0.2">
      <c r="A50922" s="258"/>
      <c r="Z50922" s="258"/>
    </row>
    <row r="50923" spans="1:26" ht="12.75" customHeight="1" x14ac:dyDescent="0.2">
      <c r="A50923" s="258"/>
      <c r="Z50923" s="258"/>
    </row>
    <row r="50924" spans="1:26" ht="12.75" customHeight="1" x14ac:dyDescent="0.2">
      <c r="A50924" s="258"/>
      <c r="Z50924" s="258"/>
    </row>
    <row r="50925" spans="1:26" ht="12.75" customHeight="1" x14ac:dyDescent="0.2">
      <c r="A50925" s="258"/>
      <c r="Z50925" s="258"/>
    </row>
    <row r="50926" spans="1:26" ht="12.75" customHeight="1" x14ac:dyDescent="0.2">
      <c r="A50926" s="258"/>
      <c r="Z50926" s="258"/>
    </row>
    <row r="50927" spans="1:26" ht="12.75" customHeight="1" x14ac:dyDescent="0.2">
      <c r="A50927" s="258"/>
      <c r="Z50927" s="258"/>
    </row>
    <row r="50928" spans="1:26" ht="12.75" customHeight="1" x14ac:dyDescent="0.2">
      <c r="A50928" s="258"/>
      <c r="Z50928" s="258"/>
    </row>
    <row r="50929" spans="1:26" ht="12.75" customHeight="1" x14ac:dyDescent="0.2">
      <c r="A50929" s="258"/>
      <c r="Z50929" s="258"/>
    </row>
    <row r="50930" spans="1:26" ht="12.75" customHeight="1" x14ac:dyDescent="0.2">
      <c r="A50930" s="258"/>
      <c r="Z50930" s="258"/>
    </row>
    <row r="50931" spans="1:26" ht="12.75" customHeight="1" x14ac:dyDescent="0.2">
      <c r="A50931" s="258"/>
      <c r="Z50931" s="258"/>
    </row>
    <row r="50932" spans="1:26" ht="12.75" customHeight="1" x14ac:dyDescent="0.2">
      <c r="A50932" s="258"/>
      <c r="Z50932" s="258"/>
    </row>
    <row r="50933" spans="1:26" ht="12.75" customHeight="1" x14ac:dyDescent="0.2">
      <c r="A50933" s="258"/>
      <c r="Z50933" s="258"/>
    </row>
    <row r="50934" spans="1:26" ht="12.75" customHeight="1" x14ac:dyDescent="0.2">
      <c r="A50934" s="258"/>
      <c r="Z50934" s="258"/>
    </row>
    <row r="50935" spans="1:26" ht="12.75" customHeight="1" x14ac:dyDescent="0.2">
      <c r="A50935" s="258"/>
      <c r="Z50935" s="258"/>
    </row>
    <row r="50936" spans="1:26" ht="12.75" customHeight="1" x14ac:dyDescent="0.2">
      <c r="A50936" s="258"/>
      <c r="Z50936" s="258"/>
    </row>
    <row r="50937" spans="1:26" ht="12.75" customHeight="1" x14ac:dyDescent="0.2">
      <c r="A50937" s="258"/>
      <c r="Z50937" s="258"/>
    </row>
    <row r="50938" spans="1:26" ht="12.75" customHeight="1" x14ac:dyDescent="0.2">
      <c r="A50938" s="258"/>
      <c r="Z50938" s="258"/>
    </row>
    <row r="50939" spans="1:26" ht="12.75" customHeight="1" x14ac:dyDescent="0.2">
      <c r="A50939" s="258"/>
      <c r="Z50939" s="258"/>
    </row>
    <row r="50940" spans="1:26" ht="12.75" customHeight="1" x14ac:dyDescent="0.2">
      <c r="A50940" s="258"/>
      <c r="Z50940" s="258"/>
    </row>
    <row r="50941" spans="1:26" ht="12.75" customHeight="1" x14ac:dyDescent="0.2">
      <c r="A50941" s="258"/>
      <c r="Z50941" s="258"/>
    </row>
    <row r="50942" spans="1:26" ht="12.75" customHeight="1" x14ac:dyDescent="0.2">
      <c r="A50942" s="258"/>
      <c r="Z50942" s="258"/>
    </row>
    <row r="50943" spans="1:26" ht="12.75" customHeight="1" x14ac:dyDescent="0.2">
      <c r="A50943" s="258"/>
      <c r="Z50943" s="258"/>
    </row>
    <row r="50944" spans="1:26" ht="12.75" customHeight="1" x14ac:dyDescent="0.2">
      <c r="A50944" s="258"/>
      <c r="Z50944" s="258"/>
    </row>
    <row r="50945" spans="1:26" ht="12.75" customHeight="1" x14ac:dyDescent="0.2">
      <c r="A50945" s="258"/>
      <c r="Z50945" s="258"/>
    </row>
    <row r="50946" spans="1:26" ht="12.75" customHeight="1" x14ac:dyDescent="0.2">
      <c r="A50946" s="258"/>
      <c r="Z50946" s="258"/>
    </row>
    <row r="50947" spans="1:26" ht="12.75" customHeight="1" x14ac:dyDescent="0.2">
      <c r="A50947" s="258"/>
      <c r="Z50947" s="258"/>
    </row>
    <row r="50948" spans="1:26" ht="12.75" customHeight="1" x14ac:dyDescent="0.2">
      <c r="A50948" s="258"/>
      <c r="Z50948" s="258"/>
    </row>
    <row r="50949" spans="1:26" ht="12.75" customHeight="1" x14ac:dyDescent="0.2">
      <c r="A50949" s="258"/>
      <c r="Z50949" s="258"/>
    </row>
    <row r="50950" spans="1:26" ht="12.75" customHeight="1" x14ac:dyDescent="0.2">
      <c r="A50950" s="258"/>
      <c r="Z50950" s="258"/>
    </row>
    <row r="50951" spans="1:26" ht="12.75" customHeight="1" x14ac:dyDescent="0.2">
      <c r="A50951" s="258"/>
      <c r="Z50951" s="258"/>
    </row>
    <row r="50952" spans="1:26" ht="12.75" customHeight="1" x14ac:dyDescent="0.2">
      <c r="A50952" s="258"/>
      <c r="Z50952" s="258"/>
    </row>
    <row r="50953" spans="1:26" ht="12.75" customHeight="1" x14ac:dyDescent="0.2">
      <c r="A50953" s="258"/>
      <c r="Z50953" s="258"/>
    </row>
    <row r="50954" spans="1:26" ht="12.75" customHeight="1" x14ac:dyDescent="0.2">
      <c r="A50954" s="258"/>
      <c r="Z50954" s="258"/>
    </row>
    <row r="50955" spans="1:26" ht="12.75" customHeight="1" x14ac:dyDescent="0.2">
      <c r="A50955" s="258"/>
      <c r="Z50955" s="258"/>
    </row>
    <row r="50956" spans="1:26" ht="12.75" customHeight="1" x14ac:dyDescent="0.2">
      <c r="A50956" s="258"/>
      <c r="Z50956" s="258"/>
    </row>
    <row r="50957" spans="1:26" ht="12.75" customHeight="1" x14ac:dyDescent="0.2">
      <c r="A50957" s="258"/>
      <c r="Z50957" s="258"/>
    </row>
    <row r="50958" spans="1:26" ht="12.75" customHeight="1" x14ac:dyDescent="0.2">
      <c r="A50958" s="258"/>
      <c r="Z50958" s="258"/>
    </row>
    <row r="50959" spans="1:26" ht="12.75" customHeight="1" x14ac:dyDescent="0.2">
      <c r="A50959" s="258"/>
      <c r="Z50959" s="258"/>
    </row>
    <row r="50960" spans="1:26" ht="12.75" customHeight="1" x14ac:dyDescent="0.2">
      <c r="A50960" s="258"/>
      <c r="Z50960" s="258"/>
    </row>
    <row r="50961" spans="1:26" ht="12.75" customHeight="1" x14ac:dyDescent="0.2">
      <c r="A50961" s="258"/>
      <c r="Z50961" s="258"/>
    </row>
    <row r="50962" spans="1:26" ht="12.75" customHeight="1" x14ac:dyDescent="0.2">
      <c r="A50962" s="258"/>
      <c r="Z50962" s="258"/>
    </row>
    <row r="50963" spans="1:26" ht="12.75" customHeight="1" x14ac:dyDescent="0.2">
      <c r="A50963" s="258"/>
      <c r="Z50963" s="258"/>
    </row>
    <row r="50964" spans="1:26" ht="12.75" customHeight="1" x14ac:dyDescent="0.2">
      <c r="A50964" s="258"/>
      <c r="Z50964" s="258"/>
    </row>
    <row r="50965" spans="1:26" ht="12.75" customHeight="1" x14ac:dyDescent="0.2">
      <c r="A50965" s="258"/>
      <c r="Z50965" s="258"/>
    </row>
    <row r="50966" spans="1:26" ht="12.75" customHeight="1" x14ac:dyDescent="0.2">
      <c r="A50966" s="258"/>
      <c r="Z50966" s="258"/>
    </row>
    <row r="50967" spans="1:26" ht="12.75" customHeight="1" x14ac:dyDescent="0.2">
      <c r="A50967" s="258"/>
      <c r="Z50967" s="258"/>
    </row>
    <row r="50968" spans="1:26" ht="12.75" customHeight="1" x14ac:dyDescent="0.2">
      <c r="A50968" s="258"/>
      <c r="Z50968" s="258"/>
    </row>
    <row r="50969" spans="1:26" ht="12.75" customHeight="1" x14ac:dyDescent="0.2">
      <c r="A50969" s="258"/>
      <c r="Z50969" s="258"/>
    </row>
    <row r="50970" spans="1:26" ht="12.75" customHeight="1" x14ac:dyDescent="0.2">
      <c r="A50970" s="258"/>
      <c r="Z50970" s="258"/>
    </row>
    <row r="50971" spans="1:26" ht="12.75" customHeight="1" x14ac:dyDescent="0.2">
      <c r="A50971" s="258"/>
      <c r="Z50971" s="258"/>
    </row>
    <row r="50972" spans="1:26" ht="12.75" customHeight="1" x14ac:dyDescent="0.2">
      <c r="A50972" s="258"/>
      <c r="Z50972" s="258"/>
    </row>
    <row r="50973" spans="1:26" ht="12.75" customHeight="1" x14ac:dyDescent="0.2">
      <c r="A50973" s="258"/>
      <c r="Z50973" s="258"/>
    </row>
    <row r="50974" spans="1:26" ht="12.75" customHeight="1" x14ac:dyDescent="0.2">
      <c r="A50974" s="258"/>
      <c r="Z50974" s="258"/>
    </row>
    <row r="50975" spans="1:26" ht="12.75" customHeight="1" x14ac:dyDescent="0.2">
      <c r="A50975" s="258"/>
      <c r="Z50975" s="258"/>
    </row>
    <row r="50976" spans="1:26" ht="12.75" customHeight="1" x14ac:dyDescent="0.2">
      <c r="A50976" s="258"/>
      <c r="Z50976" s="258"/>
    </row>
    <row r="50977" spans="1:26" ht="12.75" customHeight="1" x14ac:dyDescent="0.2">
      <c r="A50977" s="258"/>
      <c r="Z50977" s="258"/>
    </row>
    <row r="50978" spans="1:26" ht="12.75" customHeight="1" x14ac:dyDescent="0.2">
      <c r="A50978" s="258"/>
      <c r="Z50978" s="258"/>
    </row>
    <row r="50979" spans="1:26" ht="12.75" customHeight="1" x14ac:dyDescent="0.2">
      <c r="A50979" s="258"/>
      <c r="Z50979" s="258"/>
    </row>
    <row r="50980" spans="1:26" ht="12.75" customHeight="1" x14ac:dyDescent="0.2">
      <c r="A50980" s="258"/>
      <c r="Z50980" s="258"/>
    </row>
    <row r="50981" spans="1:26" ht="12.75" customHeight="1" x14ac:dyDescent="0.2">
      <c r="A50981" s="258"/>
      <c r="Z50981" s="258"/>
    </row>
    <row r="50982" spans="1:26" ht="12.75" customHeight="1" x14ac:dyDescent="0.2">
      <c r="A50982" s="258"/>
      <c r="Z50982" s="258"/>
    </row>
    <row r="50983" spans="1:26" ht="12.75" customHeight="1" x14ac:dyDescent="0.2">
      <c r="A50983" s="258"/>
      <c r="Z50983" s="258"/>
    </row>
    <row r="50984" spans="1:26" ht="12.75" customHeight="1" x14ac:dyDescent="0.2">
      <c r="A50984" s="258"/>
      <c r="Z50984" s="258"/>
    </row>
    <row r="50985" spans="1:26" ht="12.75" customHeight="1" x14ac:dyDescent="0.2">
      <c r="A50985" s="258"/>
      <c r="Z50985" s="258"/>
    </row>
    <row r="50986" spans="1:26" ht="12.75" customHeight="1" x14ac:dyDescent="0.2">
      <c r="A50986" s="258"/>
      <c r="Z50986" s="258"/>
    </row>
    <row r="50987" spans="1:26" ht="12.75" customHeight="1" x14ac:dyDescent="0.2">
      <c r="A50987" s="258"/>
      <c r="Z50987" s="258"/>
    </row>
    <row r="50988" spans="1:26" ht="12.75" customHeight="1" x14ac:dyDescent="0.2">
      <c r="A50988" s="258"/>
      <c r="Z50988" s="258"/>
    </row>
    <row r="50989" spans="1:26" ht="12.75" customHeight="1" x14ac:dyDescent="0.2">
      <c r="A50989" s="258"/>
      <c r="Z50989" s="258"/>
    </row>
    <row r="50990" spans="1:26" ht="12.75" customHeight="1" x14ac:dyDescent="0.2">
      <c r="A50990" s="258"/>
      <c r="Z50990" s="258"/>
    </row>
    <row r="50991" spans="1:26" ht="12.75" customHeight="1" x14ac:dyDescent="0.2">
      <c r="A50991" s="258"/>
      <c r="Z50991" s="258"/>
    </row>
    <row r="50992" spans="1:26" ht="12.75" customHeight="1" x14ac:dyDescent="0.2">
      <c r="A50992" s="258"/>
      <c r="Z50992" s="258"/>
    </row>
    <row r="50993" spans="1:26" ht="12.75" customHeight="1" x14ac:dyDescent="0.2">
      <c r="A50993" s="258"/>
      <c r="Z50993" s="258"/>
    </row>
    <row r="50994" spans="1:26" ht="12.75" customHeight="1" x14ac:dyDescent="0.2">
      <c r="A50994" s="258"/>
      <c r="Z50994" s="258"/>
    </row>
    <row r="50995" spans="1:26" ht="12.75" customHeight="1" x14ac:dyDescent="0.2">
      <c r="A50995" s="258"/>
      <c r="Z50995" s="258"/>
    </row>
    <row r="50996" spans="1:26" ht="12.75" customHeight="1" x14ac:dyDescent="0.2">
      <c r="A50996" s="258"/>
      <c r="Z50996" s="258"/>
    </row>
    <row r="50997" spans="1:26" ht="12.75" customHeight="1" x14ac:dyDescent="0.2">
      <c r="A50997" s="258"/>
      <c r="Z50997" s="258"/>
    </row>
    <row r="50998" spans="1:26" ht="12.75" customHeight="1" x14ac:dyDescent="0.2">
      <c r="A50998" s="258"/>
      <c r="Z50998" s="258"/>
    </row>
    <row r="50999" spans="1:26" ht="12.75" customHeight="1" x14ac:dyDescent="0.2">
      <c r="A50999" s="258"/>
      <c r="Z50999" s="258"/>
    </row>
    <row r="51000" spans="1:26" ht="12.75" customHeight="1" x14ac:dyDescent="0.2">
      <c r="A51000" s="258"/>
      <c r="Z51000" s="258"/>
    </row>
    <row r="51001" spans="1:26" ht="12.75" customHeight="1" x14ac:dyDescent="0.2">
      <c r="A51001" s="258"/>
      <c r="Z51001" s="258"/>
    </row>
    <row r="51002" spans="1:26" ht="12.75" customHeight="1" x14ac:dyDescent="0.2">
      <c r="A51002" s="258"/>
      <c r="Z51002" s="258"/>
    </row>
    <row r="51003" spans="1:26" ht="12.75" customHeight="1" x14ac:dyDescent="0.2">
      <c r="A51003" s="258"/>
      <c r="Z51003" s="258"/>
    </row>
    <row r="51004" spans="1:26" ht="12.75" customHeight="1" x14ac:dyDescent="0.2">
      <c r="A51004" s="258"/>
      <c r="Z51004" s="258"/>
    </row>
    <row r="51005" spans="1:26" ht="12.75" customHeight="1" x14ac:dyDescent="0.2">
      <c r="A51005" s="258"/>
      <c r="Z51005" s="258"/>
    </row>
    <row r="51006" spans="1:26" ht="12.75" customHeight="1" x14ac:dyDescent="0.2">
      <c r="A51006" s="258"/>
      <c r="Z51006" s="258"/>
    </row>
    <row r="51007" spans="1:26" ht="12.75" customHeight="1" x14ac:dyDescent="0.2">
      <c r="A51007" s="258"/>
      <c r="Z51007" s="258"/>
    </row>
    <row r="51008" spans="1:26" ht="12.75" customHeight="1" x14ac:dyDescent="0.2">
      <c r="A51008" s="258"/>
      <c r="Z51008" s="258"/>
    </row>
    <row r="51009" spans="1:26" ht="12.75" customHeight="1" x14ac:dyDescent="0.2">
      <c r="A51009" s="258"/>
      <c r="Z51009" s="258"/>
    </row>
    <row r="51010" spans="1:26" ht="12.75" customHeight="1" x14ac:dyDescent="0.2">
      <c r="A51010" s="258"/>
      <c r="Z51010" s="258"/>
    </row>
    <row r="51011" spans="1:26" ht="12.75" customHeight="1" x14ac:dyDescent="0.2">
      <c r="A51011" s="258"/>
      <c r="Z51011" s="258"/>
    </row>
    <row r="51012" spans="1:26" ht="12.75" customHeight="1" x14ac:dyDescent="0.2">
      <c r="A51012" s="258"/>
      <c r="Z51012" s="258"/>
    </row>
    <row r="51013" spans="1:26" ht="12.75" customHeight="1" x14ac:dyDescent="0.2">
      <c r="A51013" s="258"/>
      <c r="Z51013" s="258"/>
    </row>
    <row r="51014" spans="1:26" ht="12.75" customHeight="1" x14ac:dyDescent="0.2">
      <c r="A51014" s="258"/>
      <c r="Z51014" s="258"/>
    </row>
    <row r="51015" spans="1:26" ht="12.75" customHeight="1" x14ac:dyDescent="0.2">
      <c r="A51015" s="258"/>
      <c r="Z51015" s="258"/>
    </row>
    <row r="51016" spans="1:26" ht="12.75" customHeight="1" x14ac:dyDescent="0.2">
      <c r="A51016" s="258"/>
      <c r="Z51016" s="258"/>
    </row>
    <row r="51017" spans="1:26" ht="12.75" customHeight="1" x14ac:dyDescent="0.2">
      <c r="A51017" s="258"/>
      <c r="Z51017" s="258"/>
    </row>
    <row r="51018" spans="1:26" ht="12.75" customHeight="1" x14ac:dyDescent="0.2">
      <c r="A51018" s="258"/>
      <c r="Z51018" s="258"/>
    </row>
    <row r="51019" spans="1:26" ht="12.75" customHeight="1" x14ac:dyDescent="0.2">
      <c r="A51019" s="258"/>
      <c r="Z51019" s="258"/>
    </row>
    <row r="51020" spans="1:26" ht="12.75" customHeight="1" x14ac:dyDescent="0.2">
      <c r="A51020" s="258"/>
      <c r="Z51020" s="258"/>
    </row>
    <row r="51021" spans="1:26" ht="12.75" customHeight="1" x14ac:dyDescent="0.2">
      <c r="A51021" s="258"/>
      <c r="Z51021" s="258"/>
    </row>
    <row r="51022" spans="1:26" ht="12.75" customHeight="1" x14ac:dyDescent="0.2">
      <c r="A51022" s="258"/>
      <c r="Z51022" s="258"/>
    </row>
    <row r="51023" spans="1:26" ht="12.75" customHeight="1" x14ac:dyDescent="0.2">
      <c r="A51023" s="258"/>
      <c r="Z51023" s="258"/>
    </row>
    <row r="51024" spans="1:26" ht="12.75" customHeight="1" x14ac:dyDescent="0.2">
      <c r="A51024" s="258"/>
      <c r="Z51024" s="258"/>
    </row>
    <row r="51025" spans="1:26" ht="12.75" customHeight="1" x14ac:dyDescent="0.2">
      <c r="A51025" s="258"/>
      <c r="Z51025" s="258"/>
    </row>
    <row r="51026" spans="1:26" ht="12.75" customHeight="1" x14ac:dyDescent="0.2">
      <c r="A51026" s="258"/>
      <c r="Z51026" s="258"/>
    </row>
    <row r="51027" spans="1:26" ht="12.75" customHeight="1" x14ac:dyDescent="0.2">
      <c r="A51027" s="258"/>
      <c r="Z51027" s="258"/>
    </row>
    <row r="51028" spans="1:26" ht="12.75" customHeight="1" x14ac:dyDescent="0.2">
      <c r="A51028" s="258"/>
      <c r="Z51028" s="258"/>
    </row>
    <row r="51029" spans="1:26" ht="12.75" customHeight="1" x14ac:dyDescent="0.2">
      <c r="A51029" s="258"/>
      <c r="Z51029" s="258"/>
    </row>
    <row r="51030" spans="1:26" ht="12.75" customHeight="1" x14ac:dyDescent="0.2">
      <c r="A51030" s="258"/>
      <c r="Z51030" s="258"/>
    </row>
    <row r="51031" spans="1:26" ht="12.75" customHeight="1" x14ac:dyDescent="0.2">
      <c r="A51031" s="258"/>
      <c r="Z51031" s="258"/>
    </row>
    <row r="51032" spans="1:26" ht="12.75" customHeight="1" x14ac:dyDescent="0.2">
      <c r="A51032" s="258"/>
      <c r="Z51032" s="258"/>
    </row>
    <row r="51033" spans="1:26" ht="12.75" customHeight="1" x14ac:dyDescent="0.2">
      <c r="A51033" s="258"/>
      <c r="Z51033" s="258"/>
    </row>
    <row r="51034" spans="1:26" ht="12.75" customHeight="1" x14ac:dyDescent="0.2">
      <c r="A51034" s="258"/>
      <c r="Z51034" s="258"/>
    </row>
    <row r="51035" spans="1:26" ht="12.75" customHeight="1" x14ac:dyDescent="0.2">
      <c r="A51035" s="258"/>
      <c r="Z51035" s="258"/>
    </row>
    <row r="51036" spans="1:26" ht="12.75" customHeight="1" x14ac:dyDescent="0.2">
      <c r="A51036" s="258"/>
      <c r="Z51036" s="258"/>
    </row>
    <row r="51037" spans="1:26" ht="12.75" customHeight="1" x14ac:dyDescent="0.2">
      <c r="A51037" s="258"/>
      <c r="Z51037" s="258"/>
    </row>
    <row r="51038" spans="1:26" ht="12.75" customHeight="1" x14ac:dyDescent="0.2">
      <c r="A51038" s="258"/>
      <c r="Z51038" s="258"/>
    </row>
    <row r="51039" spans="1:26" ht="12.75" customHeight="1" x14ac:dyDescent="0.2">
      <c r="A51039" s="258"/>
      <c r="Z51039" s="258"/>
    </row>
    <row r="51040" spans="1:26" ht="12.75" customHeight="1" x14ac:dyDescent="0.2">
      <c r="A51040" s="258"/>
      <c r="Z51040" s="258"/>
    </row>
    <row r="51041" spans="1:26" ht="12.75" customHeight="1" x14ac:dyDescent="0.2">
      <c r="A51041" s="258"/>
      <c r="Z51041" s="258"/>
    </row>
    <row r="51042" spans="1:26" ht="12.75" customHeight="1" x14ac:dyDescent="0.2">
      <c r="A51042" s="258"/>
      <c r="Z51042" s="258"/>
    </row>
    <row r="51043" spans="1:26" ht="12.75" customHeight="1" x14ac:dyDescent="0.2">
      <c r="A51043" s="258"/>
      <c r="Z51043" s="258"/>
    </row>
    <row r="51044" spans="1:26" ht="12.75" customHeight="1" x14ac:dyDescent="0.2">
      <c r="A51044" s="258"/>
      <c r="Z51044" s="258"/>
    </row>
    <row r="51045" spans="1:26" ht="12.75" customHeight="1" x14ac:dyDescent="0.2">
      <c r="A51045" s="258"/>
      <c r="Z51045" s="258"/>
    </row>
    <row r="51046" spans="1:26" ht="12.75" customHeight="1" x14ac:dyDescent="0.2">
      <c r="A51046" s="258"/>
      <c r="Z51046" s="258"/>
    </row>
    <row r="51047" spans="1:26" ht="12.75" customHeight="1" x14ac:dyDescent="0.2">
      <c r="A51047" s="258"/>
      <c r="Z51047" s="258"/>
    </row>
    <row r="51048" spans="1:26" ht="12.75" customHeight="1" x14ac:dyDescent="0.2">
      <c r="A51048" s="258"/>
      <c r="Z51048" s="258"/>
    </row>
    <row r="51049" spans="1:26" ht="12.75" customHeight="1" x14ac:dyDescent="0.2">
      <c r="A51049" s="258"/>
      <c r="Z51049" s="258"/>
    </row>
    <row r="51050" spans="1:26" ht="12.75" customHeight="1" x14ac:dyDescent="0.2">
      <c r="A51050" s="258"/>
      <c r="Z51050" s="258"/>
    </row>
    <row r="51051" spans="1:26" ht="12.75" customHeight="1" x14ac:dyDescent="0.2">
      <c r="A51051" s="258"/>
      <c r="Z51051" s="258"/>
    </row>
    <row r="51052" spans="1:26" ht="12.75" customHeight="1" x14ac:dyDescent="0.2">
      <c r="A51052" s="258"/>
      <c r="Z51052" s="258"/>
    </row>
    <row r="51053" spans="1:26" ht="12.75" customHeight="1" x14ac:dyDescent="0.2">
      <c r="A51053" s="258"/>
      <c r="Z51053" s="258"/>
    </row>
    <row r="51054" spans="1:26" ht="12.75" customHeight="1" x14ac:dyDescent="0.2">
      <c r="A51054" s="258"/>
      <c r="Z51054" s="258"/>
    </row>
    <row r="51055" spans="1:26" ht="12.75" customHeight="1" x14ac:dyDescent="0.2">
      <c r="A51055" s="258"/>
      <c r="Z51055" s="258"/>
    </row>
    <row r="51056" spans="1:26" ht="12.75" customHeight="1" x14ac:dyDescent="0.2">
      <c r="A51056" s="258"/>
      <c r="Z51056" s="258"/>
    </row>
    <row r="51057" spans="1:26" ht="12.75" customHeight="1" x14ac:dyDescent="0.2">
      <c r="A51057" s="258"/>
      <c r="Z51057" s="258"/>
    </row>
    <row r="51058" spans="1:26" ht="12.75" customHeight="1" x14ac:dyDescent="0.2">
      <c r="A51058" s="258"/>
      <c r="Z51058" s="258"/>
    </row>
    <row r="51059" spans="1:26" ht="12.75" customHeight="1" x14ac:dyDescent="0.2">
      <c r="A51059" s="258"/>
      <c r="Z51059" s="258"/>
    </row>
    <row r="51060" spans="1:26" ht="12.75" customHeight="1" x14ac:dyDescent="0.2">
      <c r="A51060" s="258"/>
      <c r="Z51060" s="258"/>
    </row>
    <row r="51061" spans="1:26" ht="12.75" customHeight="1" x14ac:dyDescent="0.2">
      <c r="A51061" s="258"/>
      <c r="Z51061" s="258"/>
    </row>
    <row r="51062" spans="1:26" ht="12.75" customHeight="1" x14ac:dyDescent="0.2">
      <c r="A51062" s="258"/>
      <c r="Z51062" s="258"/>
    </row>
    <row r="51063" spans="1:26" ht="12.75" customHeight="1" x14ac:dyDescent="0.2">
      <c r="A51063" s="258"/>
      <c r="Z51063" s="258"/>
    </row>
    <row r="51064" spans="1:26" ht="12.75" customHeight="1" x14ac:dyDescent="0.2">
      <c r="A51064" s="258"/>
      <c r="Z51064" s="258"/>
    </row>
    <row r="51065" spans="1:26" ht="12.75" customHeight="1" x14ac:dyDescent="0.2">
      <c r="A51065" s="258"/>
      <c r="Z51065" s="258"/>
    </row>
    <row r="51066" spans="1:26" ht="12.75" customHeight="1" x14ac:dyDescent="0.2">
      <c r="A51066" s="258"/>
      <c r="Z51066" s="258"/>
    </row>
    <row r="51067" spans="1:26" ht="12.75" customHeight="1" x14ac:dyDescent="0.2">
      <c r="A51067" s="258"/>
      <c r="Z51067" s="258"/>
    </row>
    <row r="51068" spans="1:26" ht="12.75" customHeight="1" x14ac:dyDescent="0.2">
      <c r="A51068" s="258"/>
      <c r="Z51068" s="258"/>
    </row>
    <row r="51069" spans="1:26" ht="12.75" customHeight="1" x14ac:dyDescent="0.2">
      <c r="A51069" s="258"/>
      <c r="Z51069" s="258"/>
    </row>
    <row r="51070" spans="1:26" ht="12.75" customHeight="1" x14ac:dyDescent="0.2">
      <c r="A51070" s="258"/>
      <c r="Z51070" s="258"/>
    </row>
    <row r="51071" spans="1:26" ht="12.75" customHeight="1" x14ac:dyDescent="0.2">
      <c r="A51071" s="258"/>
      <c r="Z51071" s="258"/>
    </row>
    <row r="51072" spans="1:26" ht="12.75" customHeight="1" x14ac:dyDescent="0.2">
      <c r="A51072" s="258"/>
      <c r="Z51072" s="258"/>
    </row>
    <row r="51073" spans="1:26" ht="12.75" customHeight="1" x14ac:dyDescent="0.2">
      <c r="A51073" s="258"/>
      <c r="Z51073" s="258"/>
    </row>
    <row r="51074" spans="1:26" ht="12.75" customHeight="1" x14ac:dyDescent="0.2">
      <c r="A51074" s="258"/>
      <c r="Z51074" s="258"/>
    </row>
    <row r="51075" spans="1:26" ht="12.75" customHeight="1" x14ac:dyDescent="0.2">
      <c r="A51075" s="258"/>
      <c r="Z51075" s="258"/>
    </row>
    <row r="51076" spans="1:26" ht="12.75" customHeight="1" x14ac:dyDescent="0.2">
      <c r="A51076" s="258"/>
      <c r="Z51076" s="258"/>
    </row>
    <row r="51077" spans="1:26" ht="12.75" customHeight="1" x14ac:dyDescent="0.2">
      <c r="A51077" s="258"/>
      <c r="Z51077" s="258"/>
    </row>
    <row r="51078" spans="1:26" ht="12.75" customHeight="1" x14ac:dyDescent="0.2">
      <c r="A51078" s="258"/>
      <c r="Z51078" s="258"/>
    </row>
    <row r="51079" spans="1:26" ht="12.75" customHeight="1" x14ac:dyDescent="0.2">
      <c r="A51079" s="258"/>
      <c r="Z51079" s="258"/>
    </row>
    <row r="51080" spans="1:26" ht="12.75" customHeight="1" x14ac:dyDescent="0.2">
      <c r="A51080" s="258"/>
      <c r="Z51080" s="258"/>
    </row>
    <row r="51081" spans="1:26" ht="12.75" customHeight="1" x14ac:dyDescent="0.2">
      <c r="A51081" s="258"/>
      <c r="Z51081" s="258"/>
    </row>
    <row r="51082" spans="1:26" ht="12.75" customHeight="1" x14ac:dyDescent="0.2">
      <c r="A51082" s="258"/>
      <c r="Z51082" s="258"/>
    </row>
    <row r="51083" spans="1:26" ht="12.75" customHeight="1" x14ac:dyDescent="0.2">
      <c r="A51083" s="258"/>
      <c r="Z51083" s="258"/>
    </row>
    <row r="51084" spans="1:26" ht="12.75" customHeight="1" x14ac:dyDescent="0.2">
      <c r="A51084" s="258"/>
      <c r="Z51084" s="258"/>
    </row>
    <row r="51085" spans="1:26" ht="12.75" customHeight="1" x14ac:dyDescent="0.2">
      <c r="A51085" s="258"/>
      <c r="Z51085" s="258"/>
    </row>
    <row r="51086" spans="1:26" ht="12.75" customHeight="1" x14ac:dyDescent="0.2">
      <c r="A51086" s="258"/>
      <c r="Z51086" s="258"/>
    </row>
    <row r="51087" spans="1:26" ht="12.75" customHeight="1" x14ac:dyDescent="0.2">
      <c r="A51087" s="258"/>
      <c r="Z51087" s="258"/>
    </row>
    <row r="51088" spans="1:26" ht="12.75" customHeight="1" x14ac:dyDescent="0.2">
      <c r="A51088" s="258"/>
      <c r="Z51088" s="258"/>
    </row>
    <row r="51089" spans="1:26" ht="12.75" customHeight="1" x14ac:dyDescent="0.2">
      <c r="A51089" s="258"/>
      <c r="Z51089" s="258"/>
    </row>
    <row r="51090" spans="1:26" ht="12.75" customHeight="1" x14ac:dyDescent="0.2">
      <c r="A51090" s="258"/>
      <c r="Z51090" s="258"/>
    </row>
    <row r="51091" spans="1:26" ht="12.75" customHeight="1" x14ac:dyDescent="0.2">
      <c r="A51091" s="258"/>
      <c r="Z51091" s="258"/>
    </row>
    <row r="51092" spans="1:26" ht="12.75" customHeight="1" x14ac:dyDescent="0.2">
      <c r="A51092" s="258"/>
      <c r="Z51092" s="258"/>
    </row>
    <row r="51093" spans="1:26" ht="12.75" customHeight="1" x14ac:dyDescent="0.2">
      <c r="A51093" s="258"/>
      <c r="Z51093" s="258"/>
    </row>
    <row r="51094" spans="1:26" ht="12.75" customHeight="1" x14ac:dyDescent="0.2">
      <c r="A51094" s="258"/>
      <c r="Z51094" s="258"/>
    </row>
    <row r="51095" spans="1:26" ht="12.75" customHeight="1" x14ac:dyDescent="0.2">
      <c r="A51095" s="258"/>
      <c r="Z51095" s="258"/>
    </row>
    <row r="51096" spans="1:26" ht="12.75" customHeight="1" x14ac:dyDescent="0.2">
      <c r="A51096" s="258"/>
      <c r="Z51096" s="258"/>
    </row>
    <row r="51097" spans="1:26" ht="12.75" customHeight="1" x14ac:dyDescent="0.2">
      <c r="A51097" s="258"/>
      <c r="Z51097" s="258"/>
    </row>
    <row r="51098" spans="1:26" ht="12.75" customHeight="1" x14ac:dyDescent="0.2">
      <c r="A51098" s="258"/>
      <c r="Z51098" s="258"/>
    </row>
    <row r="51099" spans="1:26" ht="12.75" customHeight="1" x14ac:dyDescent="0.2">
      <c r="A51099" s="258"/>
      <c r="Z51099" s="258"/>
    </row>
    <row r="51100" spans="1:26" ht="12.75" customHeight="1" x14ac:dyDescent="0.2">
      <c r="A51100" s="258"/>
      <c r="Z51100" s="258"/>
    </row>
    <row r="51101" spans="1:26" ht="12.75" customHeight="1" x14ac:dyDescent="0.2">
      <c r="A51101" s="258"/>
      <c r="Z51101" s="258"/>
    </row>
    <row r="51102" spans="1:26" ht="12.75" customHeight="1" x14ac:dyDescent="0.2">
      <c r="A51102" s="258"/>
      <c r="Z51102" s="258"/>
    </row>
    <row r="51103" spans="1:26" ht="12.75" customHeight="1" x14ac:dyDescent="0.2">
      <c r="A51103" s="258"/>
      <c r="Z51103" s="258"/>
    </row>
    <row r="51104" spans="1:26" ht="12.75" customHeight="1" x14ac:dyDescent="0.2">
      <c r="A51104" s="258"/>
      <c r="Z51104" s="258"/>
    </row>
    <row r="51105" spans="1:26" ht="12.75" customHeight="1" x14ac:dyDescent="0.2">
      <c r="A51105" s="258"/>
      <c r="Z51105" s="258"/>
    </row>
    <row r="51106" spans="1:26" ht="12.75" customHeight="1" x14ac:dyDescent="0.2">
      <c r="A51106" s="258"/>
      <c r="Z51106" s="258"/>
    </row>
    <row r="51107" spans="1:26" ht="12.75" customHeight="1" x14ac:dyDescent="0.2">
      <c r="A51107" s="258"/>
      <c r="Z51107" s="258"/>
    </row>
    <row r="51108" spans="1:26" ht="12.75" customHeight="1" x14ac:dyDescent="0.2">
      <c r="A51108" s="258"/>
      <c r="Z51108" s="258"/>
    </row>
    <row r="51109" spans="1:26" ht="12.75" customHeight="1" x14ac:dyDescent="0.2">
      <c r="A51109" s="258"/>
      <c r="Z51109" s="258"/>
    </row>
    <row r="51110" spans="1:26" ht="12.75" customHeight="1" x14ac:dyDescent="0.2">
      <c r="A51110" s="258"/>
      <c r="Z51110" s="258"/>
    </row>
    <row r="51111" spans="1:26" ht="12.75" customHeight="1" x14ac:dyDescent="0.2">
      <c r="A51111" s="258"/>
      <c r="Z51111" s="258"/>
    </row>
    <row r="51112" spans="1:26" ht="12.75" customHeight="1" x14ac:dyDescent="0.2">
      <c r="A51112" s="258"/>
      <c r="Z51112" s="258"/>
    </row>
    <row r="51113" spans="1:26" ht="12.75" customHeight="1" x14ac:dyDescent="0.2">
      <c r="A51113" s="258"/>
      <c r="Z51113" s="258"/>
    </row>
    <row r="51114" spans="1:26" ht="12.75" customHeight="1" x14ac:dyDescent="0.2">
      <c r="A51114" s="258"/>
      <c r="Z51114" s="258"/>
    </row>
    <row r="51115" spans="1:26" ht="12.75" customHeight="1" x14ac:dyDescent="0.2">
      <c r="A51115" s="258"/>
      <c r="Z51115" s="258"/>
    </row>
    <row r="51116" spans="1:26" ht="12.75" customHeight="1" x14ac:dyDescent="0.2">
      <c r="A51116" s="258"/>
      <c r="Z51116" s="258"/>
    </row>
    <row r="51117" spans="1:26" ht="12.75" customHeight="1" x14ac:dyDescent="0.2">
      <c r="A51117" s="258"/>
      <c r="Z51117" s="258"/>
    </row>
    <row r="51118" spans="1:26" ht="12.75" customHeight="1" x14ac:dyDescent="0.2">
      <c r="A51118" s="258"/>
      <c r="Z51118" s="258"/>
    </row>
    <row r="51119" spans="1:26" ht="12.75" customHeight="1" x14ac:dyDescent="0.2">
      <c r="A51119" s="258"/>
      <c r="Z51119" s="258"/>
    </row>
    <row r="51120" spans="1:26" ht="12.75" customHeight="1" x14ac:dyDescent="0.2">
      <c r="A51120" s="258"/>
      <c r="Z51120" s="258"/>
    </row>
    <row r="51121" spans="1:26" ht="12.75" customHeight="1" x14ac:dyDescent="0.2">
      <c r="A51121" s="258"/>
      <c r="Z51121" s="258"/>
    </row>
    <row r="51122" spans="1:26" ht="12.75" customHeight="1" x14ac:dyDescent="0.2">
      <c r="A51122" s="258"/>
      <c r="Z51122" s="258"/>
    </row>
    <row r="51123" spans="1:26" ht="12.75" customHeight="1" x14ac:dyDescent="0.2">
      <c r="A51123" s="258"/>
      <c r="Z51123" s="258"/>
    </row>
    <row r="51124" spans="1:26" ht="12.75" customHeight="1" x14ac:dyDescent="0.2">
      <c r="A51124" s="258"/>
      <c r="Z51124" s="258"/>
    </row>
    <row r="51125" spans="1:26" ht="12.75" customHeight="1" x14ac:dyDescent="0.2">
      <c r="A51125" s="258"/>
      <c r="Z51125" s="258"/>
    </row>
    <row r="51126" spans="1:26" ht="12.75" customHeight="1" x14ac:dyDescent="0.2">
      <c r="A51126" s="258"/>
      <c r="Z51126" s="258"/>
    </row>
    <row r="51127" spans="1:26" ht="12.75" customHeight="1" x14ac:dyDescent="0.2">
      <c r="A51127" s="258"/>
      <c r="Z51127" s="258"/>
    </row>
    <row r="51128" spans="1:26" ht="12.75" customHeight="1" x14ac:dyDescent="0.2">
      <c r="A51128" s="258"/>
      <c r="Z51128" s="258"/>
    </row>
    <row r="51129" spans="1:26" ht="12.75" customHeight="1" x14ac:dyDescent="0.2">
      <c r="A51129" s="258"/>
      <c r="Z51129" s="258"/>
    </row>
    <row r="51130" spans="1:26" ht="12.75" customHeight="1" x14ac:dyDescent="0.2">
      <c r="A51130" s="258"/>
      <c r="Z51130" s="258"/>
    </row>
    <row r="51131" spans="1:26" ht="12.75" customHeight="1" x14ac:dyDescent="0.2">
      <c r="A51131" s="258"/>
      <c r="Z51131" s="258"/>
    </row>
    <row r="51132" spans="1:26" ht="12.75" customHeight="1" x14ac:dyDescent="0.2">
      <c r="A51132" s="258"/>
      <c r="Z51132" s="258"/>
    </row>
    <row r="51133" spans="1:26" ht="12.75" customHeight="1" x14ac:dyDescent="0.2">
      <c r="A51133" s="258"/>
      <c r="Z51133" s="258"/>
    </row>
    <row r="51134" spans="1:26" ht="12.75" customHeight="1" x14ac:dyDescent="0.2">
      <c r="A51134" s="258"/>
      <c r="Z51134" s="258"/>
    </row>
    <row r="51135" spans="1:26" ht="12.75" customHeight="1" x14ac:dyDescent="0.2">
      <c r="A51135" s="258"/>
      <c r="Z51135" s="258"/>
    </row>
    <row r="51136" spans="1:26" ht="12.75" customHeight="1" x14ac:dyDescent="0.2">
      <c r="A51136" s="258"/>
      <c r="Z51136" s="258"/>
    </row>
    <row r="51137" spans="1:26" ht="12.75" customHeight="1" x14ac:dyDescent="0.2">
      <c r="A51137" s="258"/>
      <c r="Z51137" s="258"/>
    </row>
    <row r="51138" spans="1:26" ht="12.75" customHeight="1" x14ac:dyDescent="0.2">
      <c r="A51138" s="258"/>
      <c r="Z51138" s="258"/>
    </row>
    <row r="51139" spans="1:26" ht="12.75" customHeight="1" x14ac:dyDescent="0.2">
      <c r="A51139" s="258"/>
      <c r="Z51139" s="258"/>
    </row>
    <row r="51140" spans="1:26" ht="12.75" customHeight="1" x14ac:dyDescent="0.2">
      <c r="A51140" s="258"/>
      <c r="Z51140" s="258"/>
    </row>
    <row r="51141" spans="1:26" ht="12.75" customHeight="1" x14ac:dyDescent="0.2">
      <c r="A51141" s="258"/>
      <c r="Z51141" s="258"/>
    </row>
    <row r="51142" spans="1:26" ht="12.75" customHeight="1" x14ac:dyDescent="0.2">
      <c r="A51142" s="258"/>
      <c r="Z51142" s="258"/>
    </row>
    <row r="51143" spans="1:26" ht="12.75" customHeight="1" x14ac:dyDescent="0.2">
      <c r="A51143" s="258"/>
      <c r="Z51143" s="258"/>
    </row>
    <row r="51144" spans="1:26" ht="12.75" customHeight="1" x14ac:dyDescent="0.2">
      <c r="A51144" s="258"/>
      <c r="Z51144" s="258"/>
    </row>
    <row r="51145" spans="1:26" ht="12.75" customHeight="1" x14ac:dyDescent="0.2">
      <c r="A51145" s="258"/>
      <c r="Z51145" s="258"/>
    </row>
    <row r="51146" spans="1:26" ht="12.75" customHeight="1" x14ac:dyDescent="0.2">
      <c r="A51146" s="258"/>
      <c r="Z51146" s="258"/>
    </row>
    <row r="51147" spans="1:26" ht="12.75" customHeight="1" x14ac:dyDescent="0.2">
      <c r="A51147" s="258"/>
      <c r="Z51147" s="258"/>
    </row>
    <row r="51148" spans="1:26" ht="12.75" customHeight="1" x14ac:dyDescent="0.2">
      <c r="A51148" s="258"/>
      <c r="Z51148" s="258"/>
    </row>
    <row r="51149" spans="1:26" ht="12.75" customHeight="1" x14ac:dyDescent="0.2">
      <c r="A51149" s="258"/>
      <c r="Z51149" s="258"/>
    </row>
    <row r="51150" spans="1:26" ht="12.75" customHeight="1" x14ac:dyDescent="0.2">
      <c r="A51150" s="258"/>
      <c r="Z51150" s="258"/>
    </row>
    <row r="51151" spans="1:26" ht="12.75" customHeight="1" x14ac:dyDescent="0.2">
      <c r="A51151" s="258"/>
      <c r="Z51151" s="258"/>
    </row>
    <row r="51152" spans="1:26" ht="12.75" customHeight="1" x14ac:dyDescent="0.2">
      <c r="A51152" s="258"/>
      <c r="Z51152" s="258"/>
    </row>
    <row r="51153" spans="1:26" ht="12.75" customHeight="1" x14ac:dyDescent="0.2">
      <c r="A51153" s="258"/>
      <c r="Z51153" s="258"/>
    </row>
    <row r="51154" spans="1:26" ht="12.75" customHeight="1" x14ac:dyDescent="0.2">
      <c r="A51154" s="258"/>
      <c r="Z51154" s="258"/>
    </row>
    <row r="51155" spans="1:26" ht="12.75" customHeight="1" x14ac:dyDescent="0.2">
      <c r="A51155" s="258"/>
      <c r="Z51155" s="258"/>
    </row>
    <row r="51156" spans="1:26" ht="12.75" customHeight="1" x14ac:dyDescent="0.2">
      <c r="A51156" s="258"/>
      <c r="Z51156" s="258"/>
    </row>
    <row r="51157" spans="1:26" ht="12.75" customHeight="1" x14ac:dyDescent="0.2">
      <c r="A51157" s="258"/>
      <c r="Z51157" s="258"/>
    </row>
    <row r="51158" spans="1:26" ht="12.75" customHeight="1" x14ac:dyDescent="0.2">
      <c r="A51158" s="258"/>
      <c r="Z51158" s="258"/>
    </row>
    <row r="51159" spans="1:26" ht="12.75" customHeight="1" x14ac:dyDescent="0.2">
      <c r="A51159" s="258"/>
      <c r="Z51159" s="258"/>
    </row>
    <row r="51160" spans="1:26" ht="12.75" customHeight="1" x14ac:dyDescent="0.2">
      <c r="A51160" s="258"/>
      <c r="Z51160" s="258"/>
    </row>
    <row r="51161" spans="1:26" ht="12.75" customHeight="1" x14ac:dyDescent="0.2">
      <c r="A51161" s="258"/>
      <c r="Z51161" s="258"/>
    </row>
    <row r="51162" spans="1:26" ht="12.75" customHeight="1" x14ac:dyDescent="0.2">
      <c r="A51162" s="258"/>
      <c r="Z51162" s="258"/>
    </row>
    <row r="51163" spans="1:26" ht="12.75" customHeight="1" x14ac:dyDescent="0.2">
      <c r="A51163" s="258"/>
      <c r="Z51163" s="258"/>
    </row>
    <row r="51164" spans="1:26" ht="12.75" customHeight="1" x14ac:dyDescent="0.2">
      <c r="A51164" s="258"/>
      <c r="Z51164" s="258"/>
    </row>
    <row r="51165" spans="1:26" ht="12.75" customHeight="1" x14ac:dyDescent="0.2">
      <c r="A51165" s="258"/>
      <c r="Z51165" s="258"/>
    </row>
    <row r="51166" spans="1:26" ht="12.75" customHeight="1" x14ac:dyDescent="0.2">
      <c r="A51166" s="258"/>
      <c r="Z51166" s="258"/>
    </row>
    <row r="51167" spans="1:26" ht="12.75" customHeight="1" x14ac:dyDescent="0.2">
      <c r="A51167" s="258"/>
      <c r="Z51167" s="258"/>
    </row>
    <row r="51168" spans="1:26" ht="12.75" customHeight="1" x14ac:dyDescent="0.2">
      <c r="A51168" s="258"/>
      <c r="Z51168" s="258"/>
    </row>
    <row r="51169" spans="1:26" ht="12.75" customHeight="1" x14ac:dyDescent="0.2">
      <c r="A51169" s="258"/>
      <c r="Z51169" s="258"/>
    </row>
    <row r="51170" spans="1:26" ht="12.75" customHeight="1" x14ac:dyDescent="0.2">
      <c r="A51170" s="258"/>
      <c r="Z51170" s="258"/>
    </row>
    <row r="51171" spans="1:26" ht="12.75" customHeight="1" x14ac:dyDescent="0.2">
      <c r="A51171" s="258"/>
      <c r="Z51171" s="258"/>
    </row>
    <row r="51172" spans="1:26" ht="12.75" customHeight="1" x14ac:dyDescent="0.2">
      <c r="A51172" s="258"/>
      <c r="Z51172" s="258"/>
    </row>
    <row r="51173" spans="1:26" ht="12.75" customHeight="1" x14ac:dyDescent="0.2">
      <c r="A51173" s="258"/>
      <c r="Z51173" s="258"/>
    </row>
    <row r="51174" spans="1:26" ht="12.75" customHeight="1" x14ac:dyDescent="0.2">
      <c r="A51174" s="258"/>
      <c r="Z51174" s="258"/>
    </row>
    <row r="51175" spans="1:26" ht="12.75" customHeight="1" x14ac:dyDescent="0.2">
      <c r="A51175" s="258"/>
      <c r="Z51175" s="258"/>
    </row>
    <row r="51176" spans="1:26" ht="12.75" customHeight="1" x14ac:dyDescent="0.2">
      <c r="A51176" s="258"/>
      <c r="Z51176" s="258"/>
    </row>
    <row r="51177" spans="1:26" ht="12.75" customHeight="1" x14ac:dyDescent="0.2">
      <c r="A51177" s="258"/>
      <c r="Z51177" s="258"/>
    </row>
    <row r="51178" spans="1:26" ht="12.75" customHeight="1" x14ac:dyDescent="0.2">
      <c r="A51178" s="258"/>
      <c r="Z51178" s="258"/>
    </row>
    <row r="51179" spans="1:26" ht="12.75" customHeight="1" x14ac:dyDescent="0.2">
      <c r="A51179" s="258"/>
      <c r="Z51179" s="258"/>
    </row>
    <row r="51180" spans="1:26" ht="12.75" customHeight="1" x14ac:dyDescent="0.2">
      <c r="A51180" s="258"/>
      <c r="Z51180" s="258"/>
    </row>
    <row r="51181" spans="1:26" ht="12.75" customHeight="1" x14ac:dyDescent="0.2">
      <c r="A51181" s="258"/>
      <c r="Z51181" s="258"/>
    </row>
    <row r="51182" spans="1:26" ht="12.75" customHeight="1" x14ac:dyDescent="0.2">
      <c r="A51182" s="258"/>
      <c r="Z51182" s="258"/>
    </row>
    <row r="51183" spans="1:26" ht="12.75" customHeight="1" x14ac:dyDescent="0.2">
      <c r="A51183" s="258"/>
      <c r="Z51183" s="258"/>
    </row>
    <row r="51184" spans="1:26" ht="12.75" customHeight="1" x14ac:dyDescent="0.2">
      <c r="A51184" s="258"/>
      <c r="Z51184" s="258"/>
    </row>
    <row r="51185" spans="1:26" ht="12.75" customHeight="1" x14ac:dyDescent="0.2">
      <c r="A51185" s="258"/>
      <c r="Z51185" s="258"/>
    </row>
    <row r="51186" spans="1:26" ht="12.75" customHeight="1" x14ac:dyDescent="0.2">
      <c r="A51186" s="258"/>
      <c r="Z51186" s="258"/>
    </row>
    <row r="51187" spans="1:26" ht="12.75" customHeight="1" x14ac:dyDescent="0.2">
      <c r="A51187" s="258"/>
      <c r="Z51187" s="258"/>
    </row>
    <row r="51188" spans="1:26" ht="12.75" customHeight="1" x14ac:dyDescent="0.2">
      <c r="A51188" s="258"/>
      <c r="Z51188" s="258"/>
    </row>
    <row r="51189" spans="1:26" ht="12.75" customHeight="1" x14ac:dyDescent="0.2">
      <c r="A51189" s="258"/>
      <c r="Z51189" s="258"/>
    </row>
    <row r="51190" spans="1:26" ht="12.75" customHeight="1" x14ac:dyDescent="0.2">
      <c r="A51190" s="258"/>
      <c r="Z51190" s="258"/>
    </row>
    <row r="51191" spans="1:26" ht="12.75" customHeight="1" x14ac:dyDescent="0.2">
      <c r="A51191" s="258"/>
      <c r="Z51191" s="258"/>
    </row>
    <row r="51192" spans="1:26" ht="12.75" customHeight="1" x14ac:dyDescent="0.2">
      <c r="A51192" s="258"/>
      <c r="Z51192" s="258"/>
    </row>
    <row r="51193" spans="1:26" ht="12.75" customHeight="1" x14ac:dyDescent="0.2">
      <c r="A51193" s="258"/>
      <c r="Z51193" s="258"/>
    </row>
    <row r="51194" spans="1:26" ht="12.75" customHeight="1" x14ac:dyDescent="0.2">
      <c r="A51194" s="258"/>
      <c r="Z51194" s="258"/>
    </row>
    <row r="51195" spans="1:26" ht="12.75" customHeight="1" x14ac:dyDescent="0.2">
      <c r="A51195" s="258"/>
      <c r="Z51195" s="258"/>
    </row>
    <row r="51196" spans="1:26" ht="12.75" customHeight="1" x14ac:dyDescent="0.2">
      <c r="A51196" s="258"/>
      <c r="Z51196" s="258"/>
    </row>
    <row r="51197" spans="1:26" ht="12.75" customHeight="1" x14ac:dyDescent="0.2">
      <c r="A51197" s="258"/>
      <c r="Z51197" s="258"/>
    </row>
    <row r="51198" spans="1:26" ht="12.75" customHeight="1" x14ac:dyDescent="0.2">
      <c r="A51198" s="258"/>
      <c r="Z51198" s="258"/>
    </row>
    <row r="51199" spans="1:26" ht="12.75" customHeight="1" x14ac:dyDescent="0.2">
      <c r="A51199" s="258"/>
      <c r="Z51199" s="258"/>
    </row>
    <row r="51200" spans="1:26" ht="12.75" customHeight="1" x14ac:dyDescent="0.2">
      <c r="A51200" s="258"/>
      <c r="Z51200" s="258"/>
    </row>
    <row r="51201" spans="1:26" ht="12.75" customHeight="1" x14ac:dyDescent="0.2">
      <c r="A51201" s="258"/>
      <c r="Z51201" s="258"/>
    </row>
    <row r="51202" spans="1:26" ht="12.75" customHeight="1" x14ac:dyDescent="0.2">
      <c r="A51202" s="258"/>
      <c r="Z51202" s="258"/>
    </row>
    <row r="51203" spans="1:26" ht="12.75" customHeight="1" x14ac:dyDescent="0.2">
      <c r="A51203" s="258"/>
      <c r="Z51203" s="258"/>
    </row>
    <row r="51204" spans="1:26" ht="12.75" customHeight="1" x14ac:dyDescent="0.2">
      <c r="A51204" s="258"/>
      <c r="Z51204" s="258"/>
    </row>
    <row r="51205" spans="1:26" ht="12.75" customHeight="1" x14ac:dyDescent="0.2">
      <c r="A51205" s="258"/>
      <c r="Z51205" s="258"/>
    </row>
    <row r="51206" spans="1:26" ht="12.75" customHeight="1" x14ac:dyDescent="0.2">
      <c r="A51206" s="258"/>
      <c r="Z51206" s="258"/>
    </row>
    <row r="51207" spans="1:26" ht="12.75" customHeight="1" x14ac:dyDescent="0.2">
      <c r="A51207" s="258"/>
      <c r="Z51207" s="258"/>
    </row>
    <row r="51208" spans="1:26" ht="12.75" customHeight="1" x14ac:dyDescent="0.2">
      <c r="A51208" s="258"/>
      <c r="Z51208" s="258"/>
    </row>
    <row r="51209" spans="1:26" ht="12.75" customHeight="1" x14ac:dyDescent="0.2">
      <c r="A51209" s="258"/>
      <c r="Z51209" s="258"/>
    </row>
    <row r="51210" spans="1:26" ht="12.75" customHeight="1" x14ac:dyDescent="0.2">
      <c r="A51210" s="258"/>
      <c r="Z51210" s="258"/>
    </row>
    <row r="51211" spans="1:26" ht="12.75" customHeight="1" x14ac:dyDescent="0.2">
      <c r="A51211" s="258"/>
      <c r="Z51211" s="258"/>
    </row>
    <row r="51212" spans="1:26" ht="12.75" customHeight="1" x14ac:dyDescent="0.2">
      <c r="A51212" s="258"/>
      <c r="Z51212" s="258"/>
    </row>
    <row r="51213" spans="1:26" ht="12.75" customHeight="1" x14ac:dyDescent="0.2">
      <c r="A51213" s="258"/>
      <c r="Z51213" s="258"/>
    </row>
    <row r="51214" spans="1:26" ht="12.75" customHeight="1" x14ac:dyDescent="0.2">
      <c r="A51214" s="258"/>
      <c r="Z51214" s="258"/>
    </row>
    <row r="51215" spans="1:26" ht="12.75" customHeight="1" x14ac:dyDescent="0.2">
      <c r="A51215" s="258"/>
      <c r="Z51215" s="258"/>
    </row>
    <row r="51216" spans="1:26" ht="12.75" customHeight="1" x14ac:dyDescent="0.2">
      <c r="A51216" s="258"/>
      <c r="Z51216" s="258"/>
    </row>
    <row r="51217" spans="1:26" ht="12.75" customHeight="1" x14ac:dyDescent="0.2">
      <c r="A51217" s="258"/>
      <c r="Z51217" s="258"/>
    </row>
    <row r="51218" spans="1:26" ht="12.75" customHeight="1" x14ac:dyDescent="0.2">
      <c r="A51218" s="258"/>
      <c r="Z51218" s="258"/>
    </row>
    <row r="51219" spans="1:26" ht="12.75" customHeight="1" x14ac:dyDescent="0.2">
      <c r="A51219" s="258"/>
      <c r="Z51219" s="258"/>
    </row>
    <row r="51220" spans="1:26" ht="12.75" customHeight="1" x14ac:dyDescent="0.2">
      <c r="A51220" s="258"/>
      <c r="Z51220" s="258"/>
    </row>
    <row r="51221" spans="1:26" ht="12.75" customHeight="1" x14ac:dyDescent="0.2">
      <c r="A51221" s="258"/>
      <c r="Z51221" s="258"/>
    </row>
    <row r="51222" spans="1:26" ht="12.75" customHeight="1" x14ac:dyDescent="0.2">
      <c r="A51222" s="258"/>
      <c r="Z51222" s="258"/>
    </row>
    <row r="51223" spans="1:26" ht="12.75" customHeight="1" x14ac:dyDescent="0.2">
      <c r="A51223" s="258"/>
      <c r="Z51223" s="258"/>
    </row>
    <row r="51224" spans="1:26" ht="12.75" customHeight="1" x14ac:dyDescent="0.2">
      <c r="A51224" s="258"/>
      <c r="Z51224" s="258"/>
    </row>
    <row r="51225" spans="1:26" ht="12.75" customHeight="1" x14ac:dyDescent="0.2">
      <c r="A51225" s="258"/>
      <c r="Z51225" s="258"/>
    </row>
    <row r="51226" spans="1:26" ht="12.75" customHeight="1" x14ac:dyDescent="0.2">
      <c r="A51226" s="258"/>
      <c r="Z51226" s="258"/>
    </row>
    <row r="51227" spans="1:26" ht="12.75" customHeight="1" x14ac:dyDescent="0.2">
      <c r="A51227" s="258"/>
      <c r="Z51227" s="258"/>
    </row>
    <row r="51228" spans="1:26" ht="12.75" customHeight="1" x14ac:dyDescent="0.2">
      <c r="A51228" s="258"/>
      <c r="Z51228" s="258"/>
    </row>
    <row r="51229" spans="1:26" ht="12.75" customHeight="1" x14ac:dyDescent="0.2">
      <c r="A51229" s="258"/>
      <c r="Z51229" s="258"/>
    </row>
    <row r="51230" spans="1:26" ht="12.75" customHeight="1" x14ac:dyDescent="0.2">
      <c r="A51230" s="258"/>
      <c r="Z51230" s="258"/>
    </row>
    <row r="51231" spans="1:26" ht="12.75" customHeight="1" x14ac:dyDescent="0.2">
      <c r="A51231" s="258"/>
      <c r="Z51231" s="258"/>
    </row>
    <row r="51232" spans="1:26" ht="12.75" customHeight="1" x14ac:dyDescent="0.2">
      <c r="A51232" s="258"/>
      <c r="Z51232" s="258"/>
    </row>
    <row r="51233" spans="1:26" ht="12.75" customHeight="1" x14ac:dyDescent="0.2">
      <c r="A51233" s="258"/>
      <c r="Z51233" s="258"/>
    </row>
    <row r="51234" spans="1:26" ht="12.75" customHeight="1" x14ac:dyDescent="0.2">
      <c r="A51234" s="258"/>
      <c r="Z51234" s="258"/>
    </row>
    <row r="51235" spans="1:26" ht="12.75" customHeight="1" x14ac:dyDescent="0.2">
      <c r="A51235" s="258"/>
      <c r="Z51235" s="258"/>
    </row>
    <row r="51236" spans="1:26" ht="12.75" customHeight="1" x14ac:dyDescent="0.2">
      <c r="A51236" s="258"/>
      <c r="Z51236" s="258"/>
    </row>
    <row r="51237" spans="1:26" ht="12.75" customHeight="1" x14ac:dyDescent="0.2">
      <c r="A51237" s="258"/>
      <c r="Z51237" s="258"/>
    </row>
    <row r="51238" spans="1:26" ht="12.75" customHeight="1" x14ac:dyDescent="0.2">
      <c r="A51238" s="258"/>
      <c r="Z51238" s="258"/>
    </row>
    <row r="51239" spans="1:26" ht="12.75" customHeight="1" x14ac:dyDescent="0.2">
      <c r="A51239" s="258"/>
      <c r="Z51239" s="258"/>
    </row>
    <row r="51240" spans="1:26" ht="12.75" customHeight="1" x14ac:dyDescent="0.2">
      <c r="A51240" s="258"/>
      <c r="Z51240" s="258"/>
    </row>
    <row r="51241" spans="1:26" ht="12.75" customHeight="1" x14ac:dyDescent="0.2">
      <c r="A51241" s="258"/>
      <c r="Z51241" s="258"/>
    </row>
    <row r="51242" spans="1:26" ht="12.75" customHeight="1" x14ac:dyDescent="0.2">
      <c r="A51242" s="258"/>
      <c r="Z51242" s="258"/>
    </row>
    <row r="51243" spans="1:26" ht="12.75" customHeight="1" x14ac:dyDescent="0.2">
      <c r="A51243" s="258"/>
      <c r="Z51243" s="258"/>
    </row>
    <row r="51244" spans="1:26" ht="12.75" customHeight="1" x14ac:dyDescent="0.2">
      <c r="A51244" s="258"/>
      <c r="Z51244" s="258"/>
    </row>
    <row r="51245" spans="1:26" ht="12.75" customHeight="1" x14ac:dyDescent="0.2">
      <c r="A51245" s="258"/>
      <c r="Z51245" s="258"/>
    </row>
    <row r="51246" spans="1:26" ht="12.75" customHeight="1" x14ac:dyDescent="0.2">
      <c r="A51246" s="258"/>
      <c r="Z51246" s="258"/>
    </row>
    <row r="51247" spans="1:26" ht="12.75" customHeight="1" x14ac:dyDescent="0.2">
      <c r="A51247" s="258"/>
      <c r="Z51247" s="258"/>
    </row>
    <row r="51248" spans="1:26" ht="12.75" customHeight="1" x14ac:dyDescent="0.2">
      <c r="A51248" s="258"/>
      <c r="Z51248" s="258"/>
    </row>
    <row r="51249" spans="1:26" ht="12.75" customHeight="1" x14ac:dyDescent="0.2">
      <c r="A51249" s="258"/>
      <c r="Z51249" s="258"/>
    </row>
    <row r="51250" spans="1:26" ht="12.75" customHeight="1" x14ac:dyDescent="0.2">
      <c r="A51250" s="258"/>
      <c r="Z51250" s="258"/>
    </row>
    <row r="51251" spans="1:26" ht="12.75" customHeight="1" x14ac:dyDescent="0.2">
      <c r="A51251" s="258"/>
      <c r="Z51251" s="258"/>
    </row>
    <row r="51252" spans="1:26" ht="12.75" customHeight="1" x14ac:dyDescent="0.2">
      <c r="A51252" s="258"/>
      <c r="Z51252" s="258"/>
    </row>
    <row r="51253" spans="1:26" ht="12.75" customHeight="1" x14ac:dyDescent="0.2">
      <c r="A51253" s="258"/>
      <c r="Z51253" s="258"/>
    </row>
    <row r="51254" spans="1:26" ht="12.75" customHeight="1" x14ac:dyDescent="0.2">
      <c r="A51254" s="258"/>
      <c r="Z51254" s="258"/>
    </row>
    <row r="51255" spans="1:26" ht="12.75" customHeight="1" x14ac:dyDescent="0.2">
      <c r="A51255" s="258"/>
      <c r="Z51255" s="258"/>
    </row>
    <row r="51256" spans="1:26" ht="12.75" customHeight="1" x14ac:dyDescent="0.2">
      <c r="A51256" s="258"/>
      <c r="Z51256" s="258"/>
    </row>
    <row r="51257" spans="1:26" ht="12.75" customHeight="1" x14ac:dyDescent="0.2">
      <c r="A51257" s="258"/>
      <c r="Z51257" s="258"/>
    </row>
    <row r="51258" spans="1:26" ht="12.75" customHeight="1" x14ac:dyDescent="0.2">
      <c r="A51258" s="258"/>
      <c r="Z51258" s="258"/>
    </row>
    <row r="51259" spans="1:26" ht="12.75" customHeight="1" x14ac:dyDescent="0.2">
      <c r="A51259" s="258"/>
      <c r="Z51259" s="258"/>
    </row>
    <row r="51260" spans="1:26" ht="12.75" customHeight="1" x14ac:dyDescent="0.2">
      <c r="A51260" s="258"/>
      <c r="Z51260" s="258"/>
    </row>
    <row r="51261" spans="1:26" ht="12.75" customHeight="1" x14ac:dyDescent="0.2">
      <c r="A51261" s="258"/>
      <c r="Z51261" s="258"/>
    </row>
    <row r="51262" spans="1:26" ht="12.75" customHeight="1" x14ac:dyDescent="0.2">
      <c r="A51262" s="258"/>
      <c r="Z51262" s="258"/>
    </row>
    <row r="51263" spans="1:26" ht="12.75" customHeight="1" x14ac:dyDescent="0.2">
      <c r="A51263" s="258"/>
      <c r="Z51263" s="258"/>
    </row>
    <row r="51264" spans="1:26" ht="12.75" customHeight="1" x14ac:dyDescent="0.2">
      <c r="A51264" s="258"/>
      <c r="Z51264" s="258"/>
    </row>
    <row r="51265" spans="1:26" ht="12.75" customHeight="1" x14ac:dyDescent="0.2">
      <c r="A51265" s="258"/>
      <c r="Z51265" s="258"/>
    </row>
    <row r="51266" spans="1:26" ht="12.75" customHeight="1" x14ac:dyDescent="0.2">
      <c r="A51266" s="258"/>
      <c r="Z51266" s="258"/>
    </row>
    <row r="51267" spans="1:26" ht="12.75" customHeight="1" x14ac:dyDescent="0.2">
      <c r="A51267" s="258"/>
      <c r="Z51267" s="258"/>
    </row>
    <row r="51268" spans="1:26" ht="12.75" customHeight="1" x14ac:dyDescent="0.2">
      <c r="A51268" s="258"/>
      <c r="Z51268" s="258"/>
    </row>
    <row r="51269" spans="1:26" ht="12.75" customHeight="1" x14ac:dyDescent="0.2">
      <c r="A51269" s="258"/>
      <c r="Z51269" s="258"/>
    </row>
    <row r="51270" spans="1:26" ht="12.75" customHeight="1" x14ac:dyDescent="0.2">
      <c r="A51270" s="258"/>
      <c r="Z51270" s="258"/>
    </row>
    <row r="51271" spans="1:26" ht="12.75" customHeight="1" x14ac:dyDescent="0.2">
      <c r="A51271" s="258"/>
      <c r="Z51271" s="258"/>
    </row>
    <row r="51272" spans="1:26" ht="12.75" customHeight="1" x14ac:dyDescent="0.2">
      <c r="A51272" s="258"/>
      <c r="Z51272" s="258"/>
    </row>
    <row r="51273" spans="1:26" ht="12.75" customHeight="1" x14ac:dyDescent="0.2">
      <c r="A51273" s="258"/>
      <c r="Z51273" s="258"/>
    </row>
    <row r="51274" spans="1:26" ht="12.75" customHeight="1" x14ac:dyDescent="0.2">
      <c r="A51274" s="258"/>
      <c r="Z51274" s="258"/>
    </row>
    <row r="51275" spans="1:26" ht="12.75" customHeight="1" x14ac:dyDescent="0.2">
      <c r="A51275" s="258"/>
      <c r="Z51275" s="258"/>
    </row>
    <row r="51276" spans="1:26" ht="12.75" customHeight="1" x14ac:dyDescent="0.2">
      <c r="A51276" s="258"/>
      <c r="Z51276" s="258"/>
    </row>
    <row r="51277" spans="1:26" ht="12.75" customHeight="1" x14ac:dyDescent="0.2">
      <c r="A51277" s="258"/>
      <c r="Z51277" s="258"/>
    </row>
    <row r="51278" spans="1:26" ht="12.75" customHeight="1" x14ac:dyDescent="0.2">
      <c r="A51278" s="258"/>
      <c r="Z51278" s="258"/>
    </row>
    <row r="51279" spans="1:26" ht="12.75" customHeight="1" x14ac:dyDescent="0.2">
      <c r="A51279" s="258"/>
      <c r="Z51279" s="258"/>
    </row>
    <row r="51280" spans="1:26" ht="12.75" customHeight="1" x14ac:dyDescent="0.2">
      <c r="A51280" s="258"/>
      <c r="Z51280" s="258"/>
    </row>
    <row r="51281" spans="1:26" ht="12.75" customHeight="1" x14ac:dyDescent="0.2">
      <c r="A51281" s="258"/>
      <c r="Z51281" s="258"/>
    </row>
    <row r="51282" spans="1:26" ht="12.75" customHeight="1" x14ac:dyDescent="0.2">
      <c r="A51282" s="258"/>
      <c r="Z51282" s="258"/>
    </row>
    <row r="51283" spans="1:26" ht="12.75" customHeight="1" x14ac:dyDescent="0.2">
      <c r="A51283" s="258"/>
      <c r="Z51283" s="258"/>
    </row>
    <row r="51284" spans="1:26" ht="12.75" customHeight="1" x14ac:dyDescent="0.2">
      <c r="A51284" s="258"/>
      <c r="Z51284" s="258"/>
    </row>
    <row r="51285" spans="1:26" ht="12.75" customHeight="1" x14ac:dyDescent="0.2">
      <c r="A51285" s="258"/>
      <c r="Z51285" s="258"/>
    </row>
    <row r="51286" spans="1:26" ht="12.75" customHeight="1" x14ac:dyDescent="0.2">
      <c r="A51286" s="258"/>
      <c r="Z51286" s="258"/>
    </row>
    <row r="51287" spans="1:26" ht="12.75" customHeight="1" x14ac:dyDescent="0.2">
      <c r="A51287" s="258"/>
      <c r="Z51287" s="258"/>
    </row>
    <row r="51288" spans="1:26" ht="12.75" customHeight="1" x14ac:dyDescent="0.2">
      <c r="A51288" s="258"/>
      <c r="Z51288" s="258"/>
    </row>
    <row r="51289" spans="1:26" ht="12.75" customHeight="1" x14ac:dyDescent="0.2">
      <c r="A51289" s="258"/>
      <c r="Z51289" s="258"/>
    </row>
    <row r="51290" spans="1:26" ht="12.75" customHeight="1" x14ac:dyDescent="0.2">
      <c r="A51290" s="258"/>
      <c r="Z51290" s="258"/>
    </row>
    <row r="51291" spans="1:26" ht="12.75" customHeight="1" x14ac:dyDescent="0.2">
      <c r="A51291" s="258"/>
      <c r="Z51291" s="258"/>
    </row>
    <row r="51292" spans="1:26" ht="12.75" customHeight="1" x14ac:dyDescent="0.2">
      <c r="A51292" s="258"/>
      <c r="Z51292" s="258"/>
    </row>
    <row r="51293" spans="1:26" ht="12.75" customHeight="1" x14ac:dyDescent="0.2">
      <c r="A51293" s="258"/>
      <c r="Z51293" s="258"/>
    </row>
    <row r="51294" spans="1:26" ht="12.75" customHeight="1" x14ac:dyDescent="0.2">
      <c r="A51294" s="258"/>
      <c r="Z51294" s="258"/>
    </row>
    <row r="51295" spans="1:26" ht="12.75" customHeight="1" x14ac:dyDescent="0.2">
      <c r="A51295" s="258"/>
      <c r="Z51295" s="258"/>
    </row>
    <row r="51296" spans="1:26" ht="12.75" customHeight="1" x14ac:dyDescent="0.2">
      <c r="A51296" s="258"/>
      <c r="Z51296" s="258"/>
    </row>
    <row r="51297" spans="1:26" ht="12.75" customHeight="1" x14ac:dyDescent="0.2">
      <c r="A51297" s="258"/>
      <c r="Z51297" s="258"/>
    </row>
    <row r="51298" spans="1:26" ht="12.75" customHeight="1" x14ac:dyDescent="0.2">
      <c r="A51298" s="258"/>
      <c r="Z51298" s="258"/>
    </row>
    <row r="51299" spans="1:26" ht="12.75" customHeight="1" x14ac:dyDescent="0.2">
      <c r="A51299" s="258"/>
      <c r="Z51299" s="258"/>
    </row>
    <row r="51300" spans="1:26" ht="12.75" customHeight="1" x14ac:dyDescent="0.2">
      <c r="A51300" s="258"/>
      <c r="Z51300" s="258"/>
    </row>
    <row r="51301" spans="1:26" ht="12.75" customHeight="1" x14ac:dyDescent="0.2">
      <c r="A51301" s="258"/>
      <c r="Z51301" s="258"/>
    </row>
    <row r="51302" spans="1:26" ht="12.75" customHeight="1" x14ac:dyDescent="0.2">
      <c r="A51302" s="258"/>
      <c r="Z51302" s="258"/>
    </row>
    <row r="51303" spans="1:26" ht="12.75" customHeight="1" x14ac:dyDescent="0.2">
      <c r="A51303" s="258"/>
      <c r="Z51303" s="258"/>
    </row>
    <row r="51304" spans="1:26" ht="12.75" customHeight="1" x14ac:dyDescent="0.2">
      <c r="A51304" s="258"/>
      <c r="Z51304" s="258"/>
    </row>
    <row r="51305" spans="1:26" ht="12.75" customHeight="1" x14ac:dyDescent="0.2">
      <c r="A51305" s="258"/>
      <c r="Z51305" s="258"/>
    </row>
    <row r="51306" spans="1:26" ht="12.75" customHeight="1" x14ac:dyDescent="0.2">
      <c r="A51306" s="258"/>
      <c r="Z51306" s="258"/>
    </row>
    <row r="51307" spans="1:26" ht="12.75" customHeight="1" x14ac:dyDescent="0.2">
      <c r="A51307" s="258"/>
      <c r="Z51307" s="258"/>
    </row>
    <row r="51308" spans="1:26" ht="12.75" customHeight="1" x14ac:dyDescent="0.2">
      <c r="A51308" s="258"/>
      <c r="Z51308" s="258"/>
    </row>
    <row r="51309" spans="1:26" ht="12.75" customHeight="1" x14ac:dyDescent="0.2">
      <c r="A51309" s="258"/>
      <c r="Z51309" s="258"/>
    </row>
    <row r="51310" spans="1:26" ht="12.75" customHeight="1" x14ac:dyDescent="0.2">
      <c r="A51310" s="258"/>
      <c r="Z51310" s="258"/>
    </row>
    <row r="51311" spans="1:26" ht="12.75" customHeight="1" x14ac:dyDescent="0.2">
      <c r="A51311" s="258"/>
      <c r="Z51311" s="258"/>
    </row>
    <row r="51312" spans="1:26" ht="12.75" customHeight="1" x14ac:dyDescent="0.2">
      <c r="A51312" s="258"/>
      <c r="Z51312" s="258"/>
    </row>
    <row r="51313" spans="1:26" ht="12.75" customHeight="1" x14ac:dyDescent="0.2">
      <c r="A51313" s="258"/>
      <c r="Z51313" s="258"/>
    </row>
    <row r="51314" spans="1:26" ht="12.75" customHeight="1" x14ac:dyDescent="0.2">
      <c r="A51314" s="258"/>
      <c r="Z51314" s="258"/>
    </row>
    <row r="51315" spans="1:26" ht="12.75" customHeight="1" x14ac:dyDescent="0.2">
      <c r="A51315" s="258"/>
      <c r="Z51315" s="258"/>
    </row>
    <row r="51316" spans="1:26" ht="12.75" customHeight="1" x14ac:dyDescent="0.2">
      <c r="A51316" s="258"/>
      <c r="Z51316" s="258"/>
    </row>
    <row r="51317" spans="1:26" ht="12.75" customHeight="1" x14ac:dyDescent="0.2">
      <c r="A51317" s="258"/>
      <c r="Z51317" s="258"/>
    </row>
    <row r="51318" spans="1:26" ht="12.75" customHeight="1" x14ac:dyDescent="0.2">
      <c r="A51318" s="258"/>
      <c r="Z51318" s="258"/>
    </row>
    <row r="51319" spans="1:26" ht="12.75" customHeight="1" x14ac:dyDescent="0.2">
      <c r="A51319" s="258"/>
      <c r="Z51319" s="258"/>
    </row>
    <row r="51320" spans="1:26" ht="12.75" customHeight="1" x14ac:dyDescent="0.2">
      <c r="A51320" s="258"/>
      <c r="Z51320" s="258"/>
    </row>
    <row r="51321" spans="1:26" ht="12.75" customHeight="1" x14ac:dyDescent="0.2">
      <c r="A51321" s="258"/>
      <c r="Z51321" s="258"/>
    </row>
    <row r="51322" spans="1:26" ht="12.75" customHeight="1" x14ac:dyDescent="0.2">
      <c r="A51322" s="258"/>
      <c r="Z51322" s="258"/>
    </row>
    <row r="51323" spans="1:26" ht="12.75" customHeight="1" x14ac:dyDescent="0.2">
      <c r="A51323" s="258"/>
      <c r="Z51323" s="258"/>
    </row>
    <row r="51324" spans="1:26" ht="12.75" customHeight="1" x14ac:dyDescent="0.2">
      <c r="A51324" s="258"/>
      <c r="Z51324" s="258"/>
    </row>
    <row r="51325" spans="1:26" ht="12.75" customHeight="1" x14ac:dyDescent="0.2">
      <c r="A51325" s="258"/>
      <c r="Z51325" s="258"/>
    </row>
    <row r="51326" spans="1:26" ht="12.75" customHeight="1" x14ac:dyDescent="0.2">
      <c r="A51326" s="258"/>
      <c r="Z51326" s="258"/>
    </row>
    <row r="51327" spans="1:26" ht="12.75" customHeight="1" x14ac:dyDescent="0.2">
      <c r="A51327" s="258"/>
      <c r="Z51327" s="258"/>
    </row>
    <row r="51328" spans="1:26" ht="12.75" customHeight="1" x14ac:dyDescent="0.2">
      <c r="A51328" s="258"/>
      <c r="Z51328" s="258"/>
    </row>
    <row r="51329" spans="1:26" ht="12.75" customHeight="1" x14ac:dyDescent="0.2">
      <c r="A51329" s="258"/>
      <c r="Z51329" s="258"/>
    </row>
    <row r="51330" spans="1:26" ht="12.75" customHeight="1" x14ac:dyDescent="0.2">
      <c r="A51330" s="258"/>
      <c r="Z51330" s="258"/>
    </row>
    <row r="51331" spans="1:26" ht="12.75" customHeight="1" x14ac:dyDescent="0.2">
      <c r="A51331" s="258"/>
      <c r="Z51331" s="258"/>
    </row>
    <row r="51332" spans="1:26" ht="12.75" customHeight="1" x14ac:dyDescent="0.2">
      <c r="A51332" s="258"/>
      <c r="Z51332" s="258"/>
    </row>
    <row r="51333" spans="1:26" ht="12.75" customHeight="1" x14ac:dyDescent="0.2">
      <c r="A51333" s="258"/>
      <c r="Z51333" s="258"/>
    </row>
    <row r="51334" spans="1:26" ht="12.75" customHeight="1" x14ac:dyDescent="0.2">
      <c r="A51334" s="258"/>
      <c r="Z51334" s="258"/>
    </row>
    <row r="51335" spans="1:26" ht="12.75" customHeight="1" x14ac:dyDescent="0.2">
      <c r="A51335" s="258"/>
      <c r="Z51335" s="258"/>
    </row>
    <row r="51336" spans="1:26" ht="12.75" customHeight="1" x14ac:dyDescent="0.2">
      <c r="A51336" s="258"/>
      <c r="Z51336" s="258"/>
    </row>
    <row r="51337" spans="1:26" ht="12.75" customHeight="1" x14ac:dyDescent="0.2">
      <c r="A51337" s="258"/>
      <c r="Z51337" s="258"/>
    </row>
    <row r="51338" spans="1:26" ht="12.75" customHeight="1" x14ac:dyDescent="0.2">
      <c r="A51338" s="258"/>
      <c r="Z51338" s="258"/>
    </row>
    <row r="51339" spans="1:26" ht="12.75" customHeight="1" x14ac:dyDescent="0.2">
      <c r="A51339" s="258"/>
      <c r="Z51339" s="258"/>
    </row>
    <row r="51340" spans="1:26" ht="12.75" customHeight="1" x14ac:dyDescent="0.2">
      <c r="A51340" s="258"/>
      <c r="Z51340" s="258"/>
    </row>
    <row r="51341" spans="1:26" ht="12.75" customHeight="1" x14ac:dyDescent="0.2">
      <c r="A51341" s="258"/>
      <c r="Z51341" s="258"/>
    </row>
    <row r="51342" spans="1:26" ht="12.75" customHeight="1" x14ac:dyDescent="0.2">
      <c r="A51342" s="258"/>
      <c r="Z51342" s="258"/>
    </row>
    <row r="51343" spans="1:26" ht="12.75" customHeight="1" x14ac:dyDescent="0.2">
      <c r="A51343" s="258"/>
      <c r="Z51343" s="258"/>
    </row>
    <row r="51344" spans="1:26" ht="12.75" customHeight="1" x14ac:dyDescent="0.2">
      <c r="A51344" s="258"/>
      <c r="Z51344" s="258"/>
    </row>
    <row r="51345" spans="1:26" ht="12.75" customHeight="1" x14ac:dyDescent="0.2">
      <c r="A51345" s="258"/>
      <c r="Z51345" s="258"/>
    </row>
    <row r="51346" spans="1:26" ht="12.75" customHeight="1" x14ac:dyDescent="0.2">
      <c r="A51346" s="258"/>
      <c r="Z51346" s="258"/>
    </row>
    <row r="51347" spans="1:26" ht="12.75" customHeight="1" x14ac:dyDescent="0.2">
      <c r="A51347" s="258"/>
      <c r="Z51347" s="258"/>
    </row>
    <row r="51348" spans="1:26" ht="12.75" customHeight="1" x14ac:dyDescent="0.2">
      <c r="A51348" s="258"/>
      <c r="Z51348" s="258"/>
    </row>
    <row r="51349" spans="1:26" ht="12.75" customHeight="1" x14ac:dyDescent="0.2">
      <c r="A51349" s="258"/>
      <c r="Z51349" s="258"/>
    </row>
    <row r="51350" spans="1:26" ht="12.75" customHeight="1" x14ac:dyDescent="0.2">
      <c r="A51350" s="258"/>
      <c r="Z51350" s="258"/>
    </row>
    <row r="51351" spans="1:26" ht="12.75" customHeight="1" x14ac:dyDescent="0.2">
      <c r="A51351" s="258"/>
      <c r="Z51351" s="258"/>
    </row>
    <row r="51352" spans="1:26" ht="12.75" customHeight="1" x14ac:dyDescent="0.2">
      <c r="A51352" s="258"/>
      <c r="Z51352" s="258"/>
    </row>
    <row r="51353" spans="1:26" ht="12.75" customHeight="1" x14ac:dyDescent="0.2">
      <c r="A51353" s="258"/>
      <c r="Z51353" s="258"/>
    </row>
    <row r="51354" spans="1:26" ht="12.75" customHeight="1" x14ac:dyDescent="0.2">
      <c r="A51354" s="258"/>
      <c r="Z51354" s="258"/>
    </row>
    <row r="51355" spans="1:26" ht="12.75" customHeight="1" x14ac:dyDescent="0.2">
      <c r="A51355" s="258"/>
      <c r="Z51355" s="258"/>
    </row>
    <row r="51356" spans="1:26" ht="12.75" customHeight="1" x14ac:dyDescent="0.2">
      <c r="A51356" s="258"/>
      <c r="Z51356" s="258"/>
    </row>
    <row r="51357" spans="1:26" ht="12.75" customHeight="1" x14ac:dyDescent="0.2">
      <c r="A51357" s="258"/>
      <c r="Z51357" s="258"/>
    </row>
    <row r="51358" spans="1:26" ht="12.75" customHeight="1" x14ac:dyDescent="0.2">
      <c r="A51358" s="258"/>
      <c r="Z51358" s="258"/>
    </row>
    <row r="51359" spans="1:26" ht="12.75" customHeight="1" x14ac:dyDescent="0.2">
      <c r="A51359" s="258"/>
      <c r="Z51359" s="258"/>
    </row>
    <row r="51360" spans="1:26" ht="12.75" customHeight="1" x14ac:dyDescent="0.2">
      <c r="A51360" s="258"/>
      <c r="Z51360" s="258"/>
    </row>
    <row r="51361" spans="1:26" ht="12.75" customHeight="1" x14ac:dyDescent="0.2">
      <c r="A51361" s="258"/>
      <c r="Z51361" s="258"/>
    </row>
    <row r="51362" spans="1:26" ht="12.75" customHeight="1" x14ac:dyDescent="0.2">
      <c r="A51362" s="258"/>
      <c r="Z51362" s="258"/>
    </row>
    <row r="51363" spans="1:26" ht="12.75" customHeight="1" x14ac:dyDescent="0.2">
      <c r="A51363" s="258"/>
      <c r="Z51363" s="258"/>
    </row>
    <row r="51364" spans="1:26" ht="12.75" customHeight="1" x14ac:dyDescent="0.2">
      <c r="A51364" s="258"/>
      <c r="Z51364" s="258"/>
    </row>
    <row r="51365" spans="1:26" ht="12.75" customHeight="1" x14ac:dyDescent="0.2">
      <c r="A51365" s="258"/>
      <c r="Z51365" s="258"/>
    </row>
    <row r="51366" spans="1:26" ht="12.75" customHeight="1" x14ac:dyDescent="0.2">
      <c r="A51366" s="258"/>
      <c r="Z51366" s="258"/>
    </row>
    <row r="51367" spans="1:26" ht="12.75" customHeight="1" x14ac:dyDescent="0.2">
      <c r="A51367" s="258"/>
      <c r="Z51367" s="258"/>
    </row>
    <row r="51368" spans="1:26" ht="12.75" customHeight="1" x14ac:dyDescent="0.2">
      <c r="A51368" s="258"/>
      <c r="Z51368" s="258"/>
    </row>
    <row r="51369" spans="1:26" ht="12.75" customHeight="1" x14ac:dyDescent="0.2">
      <c r="A51369" s="258"/>
      <c r="Z51369" s="258"/>
    </row>
    <row r="51370" spans="1:26" ht="12.75" customHeight="1" x14ac:dyDescent="0.2">
      <c r="A51370" s="258"/>
      <c r="Z51370" s="258"/>
    </row>
    <row r="51371" spans="1:26" ht="12.75" customHeight="1" x14ac:dyDescent="0.2">
      <c r="A51371" s="258"/>
      <c r="Z51371" s="258"/>
    </row>
    <row r="51372" spans="1:26" ht="12.75" customHeight="1" x14ac:dyDescent="0.2">
      <c r="A51372" s="258"/>
      <c r="Z51372" s="258"/>
    </row>
    <row r="51373" spans="1:26" ht="12.75" customHeight="1" x14ac:dyDescent="0.2">
      <c r="A51373" s="258"/>
      <c r="Z51373" s="258"/>
    </row>
    <row r="51374" spans="1:26" ht="12.75" customHeight="1" x14ac:dyDescent="0.2">
      <c r="A51374" s="258"/>
      <c r="Z51374" s="258"/>
    </row>
    <row r="51375" spans="1:26" ht="12.75" customHeight="1" x14ac:dyDescent="0.2">
      <c r="A51375" s="258"/>
      <c r="Z51375" s="258"/>
    </row>
    <row r="51376" spans="1:26" ht="12.75" customHeight="1" x14ac:dyDescent="0.2">
      <c r="A51376" s="258"/>
      <c r="Z51376" s="258"/>
    </row>
    <row r="51377" spans="1:26" ht="12.75" customHeight="1" x14ac:dyDescent="0.2">
      <c r="A51377" s="258"/>
      <c r="Z51377" s="258"/>
    </row>
    <row r="51378" spans="1:26" ht="12.75" customHeight="1" x14ac:dyDescent="0.2">
      <c r="A51378" s="258"/>
      <c r="Z51378" s="258"/>
    </row>
    <row r="51379" spans="1:26" ht="12.75" customHeight="1" x14ac:dyDescent="0.2">
      <c r="A51379" s="258"/>
      <c r="Z51379" s="258"/>
    </row>
    <row r="51380" spans="1:26" ht="12.75" customHeight="1" x14ac:dyDescent="0.2">
      <c r="A51380" s="258"/>
      <c r="Z51380" s="258"/>
    </row>
    <row r="51381" spans="1:26" ht="12.75" customHeight="1" x14ac:dyDescent="0.2">
      <c r="A51381" s="258"/>
      <c r="Z51381" s="258"/>
    </row>
    <row r="51382" spans="1:26" ht="12.75" customHeight="1" x14ac:dyDescent="0.2">
      <c r="A51382" s="258"/>
      <c r="Z51382" s="258"/>
    </row>
    <row r="51383" spans="1:26" ht="12.75" customHeight="1" x14ac:dyDescent="0.2">
      <c r="A51383" s="258"/>
      <c r="Z51383" s="258"/>
    </row>
    <row r="51384" spans="1:26" ht="12.75" customHeight="1" x14ac:dyDescent="0.2">
      <c r="A51384" s="258"/>
      <c r="Z51384" s="258"/>
    </row>
    <row r="51385" spans="1:26" ht="12.75" customHeight="1" x14ac:dyDescent="0.2">
      <c r="A51385" s="258"/>
      <c r="Z51385" s="258"/>
    </row>
    <row r="51386" spans="1:26" ht="12.75" customHeight="1" x14ac:dyDescent="0.2">
      <c r="A51386" s="258"/>
      <c r="Z51386" s="258"/>
    </row>
    <row r="51387" spans="1:26" ht="12.75" customHeight="1" x14ac:dyDescent="0.2">
      <c r="A51387" s="258"/>
      <c r="Z51387" s="258"/>
    </row>
    <row r="51388" spans="1:26" ht="12.75" customHeight="1" x14ac:dyDescent="0.2">
      <c r="A51388" s="258"/>
      <c r="Z51388" s="258"/>
    </row>
    <row r="51389" spans="1:26" ht="12.75" customHeight="1" x14ac:dyDescent="0.2">
      <c r="A51389" s="258"/>
      <c r="Z51389" s="258"/>
    </row>
    <row r="51390" spans="1:26" ht="12.75" customHeight="1" x14ac:dyDescent="0.2">
      <c r="A51390" s="258"/>
      <c r="Z51390" s="258"/>
    </row>
    <row r="51391" spans="1:26" ht="12.75" customHeight="1" x14ac:dyDescent="0.2">
      <c r="A51391" s="258"/>
      <c r="Z51391" s="258"/>
    </row>
    <row r="51392" spans="1:26" ht="12.75" customHeight="1" x14ac:dyDescent="0.2">
      <c r="A51392" s="258"/>
      <c r="Z51392" s="258"/>
    </row>
    <row r="51393" spans="1:26" ht="12.75" customHeight="1" x14ac:dyDescent="0.2">
      <c r="A51393" s="258"/>
      <c r="Z51393" s="258"/>
    </row>
    <row r="51394" spans="1:26" ht="12.75" customHeight="1" x14ac:dyDescent="0.2">
      <c r="A51394" s="258"/>
      <c r="Z51394" s="258"/>
    </row>
    <row r="51395" spans="1:26" ht="12.75" customHeight="1" x14ac:dyDescent="0.2">
      <c r="A51395" s="258"/>
      <c r="Z51395" s="258"/>
    </row>
    <row r="51396" spans="1:26" ht="12.75" customHeight="1" x14ac:dyDescent="0.2">
      <c r="A51396" s="258"/>
      <c r="Z51396" s="258"/>
    </row>
    <row r="51397" spans="1:26" ht="12.75" customHeight="1" x14ac:dyDescent="0.2">
      <c r="A51397" s="258"/>
      <c r="Z51397" s="258"/>
    </row>
    <row r="51398" spans="1:26" ht="12.75" customHeight="1" x14ac:dyDescent="0.2">
      <c r="A51398" s="258"/>
      <c r="Z51398" s="258"/>
    </row>
    <row r="51399" spans="1:26" ht="12.75" customHeight="1" x14ac:dyDescent="0.2">
      <c r="A51399" s="258"/>
      <c r="Z51399" s="258"/>
    </row>
    <row r="51400" spans="1:26" ht="12.75" customHeight="1" x14ac:dyDescent="0.2">
      <c r="A51400" s="258"/>
      <c r="Z51400" s="258"/>
    </row>
    <row r="51401" spans="1:26" ht="12.75" customHeight="1" x14ac:dyDescent="0.2">
      <c r="A51401" s="258"/>
      <c r="Z51401" s="258"/>
    </row>
    <row r="51402" spans="1:26" ht="12.75" customHeight="1" x14ac:dyDescent="0.2">
      <c r="A51402" s="258"/>
      <c r="Z51402" s="258"/>
    </row>
    <row r="51403" spans="1:26" ht="12.75" customHeight="1" x14ac:dyDescent="0.2">
      <c r="A51403" s="258"/>
      <c r="Z51403" s="258"/>
    </row>
    <row r="51404" spans="1:26" ht="12.75" customHeight="1" x14ac:dyDescent="0.2">
      <c r="A51404" s="258"/>
      <c r="Z51404" s="258"/>
    </row>
    <row r="51405" spans="1:26" ht="12.75" customHeight="1" x14ac:dyDescent="0.2">
      <c r="A51405" s="258"/>
      <c r="Z51405" s="258"/>
    </row>
    <row r="51406" spans="1:26" ht="12.75" customHeight="1" x14ac:dyDescent="0.2">
      <c r="A51406" s="258"/>
      <c r="Z51406" s="258"/>
    </row>
    <row r="51407" spans="1:26" ht="12.75" customHeight="1" x14ac:dyDescent="0.2">
      <c r="A51407" s="258"/>
      <c r="Z51407" s="258"/>
    </row>
    <row r="51408" spans="1:26" ht="12.75" customHeight="1" x14ac:dyDescent="0.2">
      <c r="A51408" s="258"/>
      <c r="Z51408" s="258"/>
    </row>
    <row r="51409" spans="1:26" ht="12.75" customHeight="1" x14ac:dyDescent="0.2">
      <c r="A51409" s="258"/>
      <c r="Z51409" s="258"/>
    </row>
    <row r="51410" spans="1:26" ht="12.75" customHeight="1" x14ac:dyDescent="0.2">
      <c r="A51410" s="258"/>
      <c r="Z51410" s="258"/>
    </row>
    <row r="51411" spans="1:26" ht="12.75" customHeight="1" x14ac:dyDescent="0.2">
      <c r="A51411" s="258"/>
      <c r="Z51411" s="258"/>
    </row>
    <row r="51412" spans="1:26" ht="12.75" customHeight="1" x14ac:dyDescent="0.2">
      <c r="A51412" s="258"/>
      <c r="Z51412" s="258"/>
    </row>
    <row r="51413" spans="1:26" ht="12.75" customHeight="1" x14ac:dyDescent="0.2">
      <c r="A51413" s="258"/>
      <c r="Z51413" s="258"/>
    </row>
    <row r="51414" spans="1:26" ht="12.75" customHeight="1" x14ac:dyDescent="0.2">
      <c r="A51414" s="258"/>
      <c r="Z51414" s="258"/>
    </row>
    <row r="51415" spans="1:26" ht="12.75" customHeight="1" x14ac:dyDescent="0.2">
      <c r="A51415" s="258"/>
      <c r="Z51415" s="258"/>
    </row>
    <row r="51416" spans="1:26" ht="12.75" customHeight="1" x14ac:dyDescent="0.2">
      <c r="A51416" s="258"/>
      <c r="Z51416" s="258"/>
    </row>
    <row r="51417" spans="1:26" ht="12.75" customHeight="1" x14ac:dyDescent="0.2">
      <c r="A51417" s="258"/>
      <c r="Z51417" s="258"/>
    </row>
    <row r="51418" spans="1:26" ht="12.75" customHeight="1" x14ac:dyDescent="0.2">
      <c r="A51418" s="258"/>
      <c r="Z51418" s="258"/>
    </row>
    <row r="51419" spans="1:26" ht="12.75" customHeight="1" x14ac:dyDescent="0.2">
      <c r="A51419" s="258"/>
      <c r="Z51419" s="258"/>
    </row>
    <row r="51420" spans="1:26" ht="12.75" customHeight="1" x14ac:dyDescent="0.2">
      <c r="A51420" s="258"/>
      <c r="Z51420" s="258"/>
    </row>
    <row r="51421" spans="1:26" ht="12.75" customHeight="1" x14ac:dyDescent="0.2">
      <c r="A51421" s="258"/>
      <c r="Z51421" s="258"/>
    </row>
    <row r="51422" spans="1:26" ht="12.75" customHeight="1" x14ac:dyDescent="0.2">
      <c r="A51422" s="258"/>
      <c r="Z51422" s="258"/>
    </row>
    <row r="51423" spans="1:26" ht="12.75" customHeight="1" x14ac:dyDescent="0.2">
      <c r="A51423" s="258"/>
      <c r="Z51423" s="258"/>
    </row>
    <row r="51424" spans="1:26" ht="12.75" customHeight="1" x14ac:dyDescent="0.2">
      <c r="A51424" s="258"/>
      <c r="Z51424" s="258"/>
    </row>
    <row r="51425" spans="1:26" ht="12.75" customHeight="1" x14ac:dyDescent="0.2">
      <c r="A51425" s="258"/>
      <c r="Z51425" s="258"/>
    </row>
    <row r="51426" spans="1:26" ht="12.75" customHeight="1" x14ac:dyDescent="0.2">
      <c r="A51426" s="258"/>
      <c r="Z51426" s="258"/>
    </row>
    <row r="51427" spans="1:26" ht="12.75" customHeight="1" x14ac:dyDescent="0.2">
      <c r="A51427" s="258"/>
      <c r="Z51427" s="258"/>
    </row>
    <row r="51428" spans="1:26" ht="12.75" customHeight="1" x14ac:dyDescent="0.2">
      <c r="A51428" s="258"/>
      <c r="Z51428" s="258"/>
    </row>
    <row r="51429" spans="1:26" ht="12.75" customHeight="1" x14ac:dyDescent="0.2">
      <c r="A51429" s="258"/>
      <c r="Z51429" s="258"/>
    </row>
    <row r="51430" spans="1:26" ht="12.75" customHeight="1" x14ac:dyDescent="0.2">
      <c r="A51430" s="258"/>
      <c r="Z51430" s="258"/>
    </row>
    <row r="51431" spans="1:26" ht="12.75" customHeight="1" x14ac:dyDescent="0.2">
      <c r="A51431" s="258"/>
      <c r="Z51431" s="258"/>
    </row>
    <row r="51432" spans="1:26" ht="12.75" customHeight="1" x14ac:dyDescent="0.2">
      <c r="A51432" s="258"/>
      <c r="Z51432" s="258"/>
    </row>
    <row r="51433" spans="1:26" ht="12.75" customHeight="1" x14ac:dyDescent="0.2">
      <c r="A51433" s="258"/>
      <c r="Z51433" s="258"/>
    </row>
    <row r="51434" spans="1:26" ht="12.75" customHeight="1" x14ac:dyDescent="0.2">
      <c r="A51434" s="258"/>
      <c r="Z51434" s="258"/>
    </row>
    <row r="51435" spans="1:26" ht="12.75" customHeight="1" x14ac:dyDescent="0.2">
      <c r="A51435" s="258"/>
      <c r="Z51435" s="258"/>
    </row>
    <row r="51436" spans="1:26" ht="12.75" customHeight="1" x14ac:dyDescent="0.2">
      <c r="A51436" s="258"/>
      <c r="Z51436" s="258"/>
    </row>
    <row r="51437" spans="1:26" ht="12.75" customHeight="1" x14ac:dyDescent="0.2">
      <c r="A51437" s="258"/>
      <c r="Z51437" s="258"/>
    </row>
    <row r="51438" spans="1:26" ht="12.75" customHeight="1" x14ac:dyDescent="0.2">
      <c r="A51438" s="258"/>
      <c r="Z51438" s="258"/>
    </row>
    <row r="51439" spans="1:26" ht="12.75" customHeight="1" x14ac:dyDescent="0.2">
      <c r="A51439" s="258"/>
      <c r="Z51439" s="258"/>
    </row>
    <row r="51440" spans="1:26" ht="12.75" customHeight="1" x14ac:dyDescent="0.2">
      <c r="A51440" s="258"/>
      <c r="Z51440" s="258"/>
    </row>
    <row r="51441" spans="1:26" ht="12.75" customHeight="1" x14ac:dyDescent="0.2">
      <c r="A51441" s="258"/>
      <c r="Z51441" s="258"/>
    </row>
    <row r="51442" spans="1:26" ht="12.75" customHeight="1" x14ac:dyDescent="0.2">
      <c r="A51442" s="258"/>
      <c r="Z51442" s="258"/>
    </row>
    <row r="51443" spans="1:26" ht="12.75" customHeight="1" x14ac:dyDescent="0.2">
      <c r="A51443" s="258"/>
      <c r="Z51443" s="258"/>
    </row>
    <row r="51444" spans="1:26" ht="12.75" customHeight="1" x14ac:dyDescent="0.2">
      <c r="A51444" s="258"/>
      <c r="Z51444" s="258"/>
    </row>
    <row r="51445" spans="1:26" ht="12.75" customHeight="1" x14ac:dyDescent="0.2">
      <c r="A51445" s="258"/>
      <c r="Z51445" s="258"/>
    </row>
    <row r="51446" spans="1:26" ht="12.75" customHeight="1" x14ac:dyDescent="0.2">
      <c r="A51446" s="258"/>
      <c r="Z51446" s="258"/>
    </row>
    <row r="51447" spans="1:26" ht="12.75" customHeight="1" x14ac:dyDescent="0.2">
      <c r="A51447" s="258"/>
      <c r="Z51447" s="258"/>
    </row>
    <row r="51448" spans="1:26" ht="12.75" customHeight="1" x14ac:dyDescent="0.2">
      <c r="A51448" s="258"/>
      <c r="Z51448" s="258"/>
    </row>
    <row r="51449" spans="1:26" ht="12.75" customHeight="1" x14ac:dyDescent="0.2">
      <c r="A51449" s="258"/>
      <c r="Z51449" s="258"/>
    </row>
    <row r="51450" spans="1:26" ht="12.75" customHeight="1" x14ac:dyDescent="0.2">
      <c r="A51450" s="258"/>
      <c r="Z51450" s="258"/>
    </row>
    <row r="51451" spans="1:26" ht="12.75" customHeight="1" x14ac:dyDescent="0.2">
      <c r="A51451" s="258"/>
      <c r="Z51451" s="258"/>
    </row>
    <row r="51452" spans="1:26" ht="12.75" customHeight="1" x14ac:dyDescent="0.2">
      <c r="A51452" s="258"/>
      <c r="Z51452" s="258"/>
    </row>
    <row r="51453" spans="1:26" ht="12.75" customHeight="1" x14ac:dyDescent="0.2">
      <c r="A51453" s="258"/>
      <c r="Z51453" s="258"/>
    </row>
    <row r="51454" spans="1:26" ht="12.75" customHeight="1" x14ac:dyDescent="0.2">
      <c r="A51454" s="258"/>
      <c r="Z51454" s="258"/>
    </row>
    <row r="51455" spans="1:26" ht="12.75" customHeight="1" x14ac:dyDescent="0.2">
      <c r="A51455" s="258"/>
      <c r="Z51455" s="258"/>
    </row>
    <row r="51456" spans="1:26" ht="12.75" customHeight="1" x14ac:dyDescent="0.2">
      <c r="A51456" s="258"/>
      <c r="Z51456" s="258"/>
    </row>
    <row r="51457" spans="1:26" ht="12.75" customHeight="1" x14ac:dyDescent="0.2">
      <c r="A51457" s="258"/>
      <c r="Z51457" s="258"/>
    </row>
    <row r="51458" spans="1:26" ht="12.75" customHeight="1" x14ac:dyDescent="0.2">
      <c r="A51458" s="258"/>
      <c r="Z51458" s="258"/>
    </row>
    <row r="51459" spans="1:26" ht="12.75" customHeight="1" x14ac:dyDescent="0.2">
      <c r="A51459" s="258"/>
      <c r="Z51459" s="258"/>
    </row>
    <row r="51460" spans="1:26" ht="12.75" customHeight="1" x14ac:dyDescent="0.2">
      <c r="A51460" s="258"/>
      <c r="Z51460" s="258"/>
    </row>
    <row r="51461" spans="1:26" ht="12.75" customHeight="1" x14ac:dyDescent="0.2">
      <c r="A51461" s="258"/>
      <c r="Z51461" s="258"/>
    </row>
    <row r="51462" spans="1:26" ht="12.75" customHeight="1" x14ac:dyDescent="0.2">
      <c r="A51462" s="258"/>
      <c r="Z51462" s="258"/>
    </row>
    <row r="51463" spans="1:26" ht="12.75" customHeight="1" x14ac:dyDescent="0.2">
      <c r="A51463" s="258"/>
      <c r="Z51463" s="258"/>
    </row>
    <row r="51464" spans="1:26" ht="12.75" customHeight="1" x14ac:dyDescent="0.2">
      <c r="A51464" s="258"/>
      <c r="Z51464" s="258"/>
    </row>
    <row r="51465" spans="1:26" ht="12.75" customHeight="1" x14ac:dyDescent="0.2">
      <c r="A51465" s="258"/>
      <c r="Z51465" s="258"/>
    </row>
    <row r="51466" spans="1:26" ht="12.75" customHeight="1" x14ac:dyDescent="0.2">
      <c r="A51466" s="258"/>
      <c r="Z51466" s="258"/>
    </row>
    <row r="51467" spans="1:26" ht="12.75" customHeight="1" x14ac:dyDescent="0.2">
      <c r="A51467" s="258"/>
      <c r="Z51467" s="258"/>
    </row>
    <row r="51468" spans="1:26" ht="12.75" customHeight="1" x14ac:dyDescent="0.2">
      <c r="A51468" s="258"/>
      <c r="Z51468" s="258"/>
    </row>
    <row r="51469" spans="1:26" ht="12.75" customHeight="1" x14ac:dyDescent="0.2">
      <c r="A51469" s="258"/>
      <c r="Z51469" s="258"/>
    </row>
    <row r="51470" spans="1:26" ht="12.75" customHeight="1" x14ac:dyDescent="0.2">
      <c r="A51470" s="258"/>
      <c r="Z51470" s="258"/>
    </row>
    <row r="51471" spans="1:26" ht="12.75" customHeight="1" x14ac:dyDescent="0.2">
      <c r="A51471" s="258"/>
      <c r="Z51471" s="258"/>
    </row>
    <row r="51472" spans="1:26" ht="12.75" customHeight="1" x14ac:dyDescent="0.2">
      <c r="A51472" s="258"/>
      <c r="Z51472" s="258"/>
    </row>
    <row r="51473" spans="1:26" ht="12.75" customHeight="1" x14ac:dyDescent="0.2">
      <c r="A51473" s="258"/>
      <c r="Z51473" s="258"/>
    </row>
    <row r="51474" spans="1:26" ht="12.75" customHeight="1" x14ac:dyDescent="0.2">
      <c r="A51474" s="258"/>
      <c r="Z51474" s="258"/>
    </row>
    <row r="51475" spans="1:26" ht="12.75" customHeight="1" x14ac:dyDescent="0.2">
      <c r="A51475" s="258"/>
      <c r="Z51475" s="258"/>
    </row>
    <row r="51476" spans="1:26" ht="12.75" customHeight="1" x14ac:dyDescent="0.2">
      <c r="A51476" s="258"/>
      <c r="Z51476" s="258"/>
    </row>
    <row r="51477" spans="1:26" ht="12.75" customHeight="1" x14ac:dyDescent="0.2">
      <c r="A51477" s="258"/>
      <c r="Z51477" s="258"/>
    </row>
    <row r="51478" spans="1:26" ht="12.75" customHeight="1" x14ac:dyDescent="0.2">
      <c r="A51478" s="258"/>
      <c r="Z51478" s="258"/>
    </row>
    <row r="51479" spans="1:26" ht="12.75" customHeight="1" x14ac:dyDescent="0.2">
      <c r="A51479" s="258"/>
      <c r="Z51479" s="258"/>
    </row>
    <row r="51480" spans="1:26" ht="12.75" customHeight="1" x14ac:dyDescent="0.2">
      <c r="A51480" s="258"/>
      <c r="Z51480" s="258"/>
    </row>
    <row r="51481" spans="1:26" ht="12.75" customHeight="1" x14ac:dyDescent="0.2">
      <c r="A51481" s="258"/>
      <c r="Z51481" s="258"/>
    </row>
    <row r="51482" spans="1:26" ht="12.75" customHeight="1" x14ac:dyDescent="0.2">
      <c r="A51482" s="258"/>
      <c r="Z51482" s="258"/>
    </row>
    <row r="51483" spans="1:26" ht="12.75" customHeight="1" x14ac:dyDescent="0.2">
      <c r="A51483" s="258"/>
      <c r="Z51483" s="258"/>
    </row>
    <row r="51484" spans="1:26" ht="12.75" customHeight="1" x14ac:dyDescent="0.2">
      <c r="A51484" s="258"/>
      <c r="Z51484" s="258"/>
    </row>
    <row r="51485" spans="1:26" ht="12.75" customHeight="1" x14ac:dyDescent="0.2">
      <c r="A51485" s="258"/>
      <c r="Z51485" s="258"/>
    </row>
    <row r="51486" spans="1:26" ht="12.75" customHeight="1" x14ac:dyDescent="0.2">
      <c r="A51486" s="258"/>
      <c r="Z51486" s="258"/>
    </row>
    <row r="51487" spans="1:26" ht="12.75" customHeight="1" x14ac:dyDescent="0.2">
      <c r="A51487" s="258"/>
      <c r="Z51487" s="258"/>
    </row>
    <row r="51488" spans="1:26" ht="12.75" customHeight="1" x14ac:dyDescent="0.2">
      <c r="A51488" s="258"/>
      <c r="Z51488" s="258"/>
    </row>
    <row r="51489" spans="1:26" ht="12.75" customHeight="1" x14ac:dyDescent="0.2">
      <c r="A51489" s="258"/>
      <c r="Z51489" s="258"/>
    </row>
    <row r="51490" spans="1:26" ht="12.75" customHeight="1" x14ac:dyDescent="0.2">
      <c r="A51490" s="258"/>
      <c r="Z51490" s="258"/>
    </row>
    <row r="51491" spans="1:26" ht="12.75" customHeight="1" x14ac:dyDescent="0.2">
      <c r="A51491" s="258"/>
      <c r="Z51491" s="258"/>
    </row>
    <row r="51492" spans="1:26" ht="12.75" customHeight="1" x14ac:dyDescent="0.2">
      <c r="A51492" s="258"/>
      <c r="Z51492" s="258"/>
    </row>
    <row r="51493" spans="1:26" ht="12.75" customHeight="1" x14ac:dyDescent="0.2">
      <c r="A51493" s="258"/>
      <c r="Z51493" s="258"/>
    </row>
    <row r="51494" spans="1:26" ht="12.75" customHeight="1" x14ac:dyDescent="0.2">
      <c r="A51494" s="258"/>
      <c r="Z51494" s="258"/>
    </row>
    <row r="51495" spans="1:26" ht="12.75" customHeight="1" x14ac:dyDescent="0.2">
      <c r="A51495" s="258"/>
      <c r="Z51495" s="258"/>
    </row>
    <row r="51496" spans="1:26" ht="12.75" customHeight="1" x14ac:dyDescent="0.2">
      <c r="A51496" s="258"/>
      <c r="Z51496" s="258"/>
    </row>
    <row r="51497" spans="1:26" ht="12.75" customHeight="1" x14ac:dyDescent="0.2">
      <c r="A51497" s="258"/>
      <c r="Z51497" s="258"/>
    </row>
    <row r="51498" spans="1:26" ht="12.75" customHeight="1" x14ac:dyDescent="0.2">
      <c r="A51498" s="258"/>
      <c r="Z51498" s="258"/>
    </row>
    <row r="51499" spans="1:26" ht="12.75" customHeight="1" x14ac:dyDescent="0.2">
      <c r="A51499" s="258"/>
      <c r="Z51499" s="258"/>
    </row>
    <row r="51500" spans="1:26" ht="12.75" customHeight="1" x14ac:dyDescent="0.2">
      <c r="A51500" s="258"/>
      <c r="Z51500" s="258"/>
    </row>
    <row r="51501" spans="1:26" ht="12.75" customHeight="1" x14ac:dyDescent="0.2">
      <c r="A51501" s="258"/>
      <c r="Z51501" s="258"/>
    </row>
    <row r="51502" spans="1:26" ht="12.75" customHeight="1" x14ac:dyDescent="0.2">
      <c r="A51502" s="258"/>
      <c r="Z51502" s="258"/>
    </row>
    <row r="51503" spans="1:26" ht="12.75" customHeight="1" x14ac:dyDescent="0.2">
      <c r="A51503" s="258"/>
      <c r="Z51503" s="258"/>
    </row>
    <row r="51504" spans="1:26" ht="12.75" customHeight="1" x14ac:dyDescent="0.2">
      <c r="A51504" s="258"/>
      <c r="Z51504" s="258"/>
    </row>
    <row r="51505" spans="1:26" ht="12.75" customHeight="1" x14ac:dyDescent="0.2">
      <c r="A51505" s="258"/>
      <c r="Z51505" s="258"/>
    </row>
    <row r="51506" spans="1:26" ht="12.75" customHeight="1" x14ac:dyDescent="0.2">
      <c r="A51506" s="258"/>
      <c r="Z51506" s="258"/>
    </row>
    <row r="51507" spans="1:26" ht="12.75" customHeight="1" x14ac:dyDescent="0.2">
      <c r="A51507" s="258"/>
      <c r="Z51507" s="258"/>
    </row>
    <row r="51508" spans="1:26" ht="12.75" customHeight="1" x14ac:dyDescent="0.2">
      <c r="A51508" s="258"/>
      <c r="Z51508" s="258"/>
    </row>
    <row r="51509" spans="1:26" ht="12.75" customHeight="1" x14ac:dyDescent="0.2">
      <c r="A51509" s="258"/>
      <c r="Z51509" s="258"/>
    </row>
    <row r="51510" spans="1:26" ht="12.75" customHeight="1" x14ac:dyDescent="0.2">
      <c r="A51510" s="258"/>
      <c r="Z51510" s="258"/>
    </row>
    <row r="51511" spans="1:26" ht="12.75" customHeight="1" x14ac:dyDescent="0.2">
      <c r="A51511" s="258"/>
      <c r="Z51511" s="258"/>
    </row>
    <row r="51512" spans="1:26" ht="12.75" customHeight="1" x14ac:dyDescent="0.2">
      <c r="A51512" s="258"/>
      <c r="Z51512" s="258"/>
    </row>
    <row r="51513" spans="1:26" ht="12.75" customHeight="1" x14ac:dyDescent="0.2">
      <c r="A51513" s="258"/>
      <c r="Z51513" s="258"/>
    </row>
    <row r="51514" spans="1:26" ht="12.75" customHeight="1" x14ac:dyDescent="0.2">
      <c r="A51514" s="258"/>
      <c r="Z51514" s="258"/>
    </row>
    <row r="51515" spans="1:26" ht="12.75" customHeight="1" x14ac:dyDescent="0.2">
      <c r="A51515" s="258"/>
      <c r="Z51515" s="258"/>
    </row>
    <row r="51516" spans="1:26" ht="12.75" customHeight="1" x14ac:dyDescent="0.2">
      <c r="A51516" s="258"/>
      <c r="Z51516" s="258"/>
    </row>
    <row r="51517" spans="1:26" ht="12.75" customHeight="1" x14ac:dyDescent="0.2">
      <c r="A51517" s="258"/>
      <c r="Z51517" s="258"/>
    </row>
    <row r="51518" spans="1:26" ht="12.75" customHeight="1" x14ac:dyDescent="0.2">
      <c r="A51518" s="258"/>
      <c r="Z51518" s="258"/>
    </row>
    <row r="51519" spans="1:26" ht="12.75" customHeight="1" x14ac:dyDescent="0.2">
      <c r="A51519" s="258"/>
      <c r="Z51519" s="258"/>
    </row>
    <row r="51520" spans="1:26" ht="12.75" customHeight="1" x14ac:dyDescent="0.2">
      <c r="A51520" s="258"/>
      <c r="Z51520" s="258"/>
    </row>
    <row r="51521" spans="1:26" ht="12.75" customHeight="1" x14ac:dyDescent="0.2">
      <c r="A51521" s="258"/>
      <c r="Z51521" s="258"/>
    </row>
    <row r="51522" spans="1:26" ht="12.75" customHeight="1" x14ac:dyDescent="0.2">
      <c r="A51522" s="258"/>
      <c r="Z51522" s="258"/>
    </row>
    <row r="51523" spans="1:26" ht="12.75" customHeight="1" x14ac:dyDescent="0.2">
      <c r="A51523" s="258"/>
      <c r="Z51523" s="258"/>
    </row>
    <row r="51524" spans="1:26" ht="12.75" customHeight="1" x14ac:dyDescent="0.2">
      <c r="A51524" s="258"/>
      <c r="Z51524" s="258"/>
    </row>
    <row r="51525" spans="1:26" ht="12.75" customHeight="1" x14ac:dyDescent="0.2">
      <c r="A51525" s="258"/>
      <c r="Z51525" s="258"/>
    </row>
    <row r="51526" spans="1:26" ht="12.75" customHeight="1" x14ac:dyDescent="0.2">
      <c r="A51526" s="258"/>
      <c r="Z51526" s="258"/>
    </row>
    <row r="51527" spans="1:26" ht="12.75" customHeight="1" x14ac:dyDescent="0.2">
      <c r="A51527" s="258"/>
      <c r="Z51527" s="258"/>
    </row>
    <row r="51528" spans="1:26" ht="12.75" customHeight="1" x14ac:dyDescent="0.2">
      <c r="A51528" s="258"/>
      <c r="Z51528" s="258"/>
    </row>
    <row r="51529" spans="1:26" ht="12.75" customHeight="1" x14ac:dyDescent="0.2">
      <c r="A51529" s="258"/>
      <c r="Z51529" s="258"/>
    </row>
    <row r="51530" spans="1:26" ht="12.75" customHeight="1" x14ac:dyDescent="0.2">
      <c r="A51530" s="258"/>
      <c r="Z51530" s="258"/>
    </row>
    <row r="51531" spans="1:26" ht="12.75" customHeight="1" x14ac:dyDescent="0.2">
      <c r="A51531" s="258"/>
      <c r="Z51531" s="258"/>
    </row>
    <row r="51532" spans="1:26" ht="12.75" customHeight="1" x14ac:dyDescent="0.2">
      <c r="A51532" s="258"/>
      <c r="Z51532" s="258"/>
    </row>
    <row r="51533" spans="1:26" ht="12.75" customHeight="1" x14ac:dyDescent="0.2">
      <c r="A51533" s="258"/>
      <c r="Z51533" s="258"/>
    </row>
    <row r="51534" spans="1:26" ht="12.75" customHeight="1" x14ac:dyDescent="0.2">
      <c r="A51534" s="258"/>
      <c r="Z51534" s="258"/>
    </row>
    <row r="51535" spans="1:26" ht="12.75" customHeight="1" x14ac:dyDescent="0.2">
      <c r="A51535" s="258"/>
      <c r="Z51535" s="258"/>
    </row>
    <row r="51536" spans="1:26" ht="12.75" customHeight="1" x14ac:dyDescent="0.2">
      <c r="A51536" s="258"/>
      <c r="Z51536" s="258"/>
    </row>
    <row r="51537" spans="1:26" ht="12.75" customHeight="1" x14ac:dyDescent="0.2">
      <c r="A51537" s="258"/>
      <c r="Z51537" s="258"/>
    </row>
    <row r="51538" spans="1:26" ht="12.75" customHeight="1" x14ac:dyDescent="0.2">
      <c r="A51538" s="258"/>
      <c r="Z51538" s="258"/>
    </row>
    <row r="51539" spans="1:26" ht="12.75" customHeight="1" x14ac:dyDescent="0.2">
      <c r="A51539" s="258"/>
      <c r="Z51539" s="258"/>
    </row>
    <row r="51540" spans="1:26" ht="12.75" customHeight="1" x14ac:dyDescent="0.2">
      <c r="A51540" s="258"/>
      <c r="Z51540" s="258"/>
    </row>
    <row r="51541" spans="1:26" ht="12.75" customHeight="1" x14ac:dyDescent="0.2">
      <c r="A51541" s="258"/>
      <c r="Z51541" s="258"/>
    </row>
    <row r="51542" spans="1:26" ht="12.75" customHeight="1" x14ac:dyDescent="0.2">
      <c r="A51542" s="258"/>
      <c r="Z51542" s="258"/>
    </row>
    <row r="51543" spans="1:26" ht="12.75" customHeight="1" x14ac:dyDescent="0.2">
      <c r="A51543" s="258"/>
      <c r="Z51543" s="258"/>
    </row>
    <row r="51544" spans="1:26" ht="12.75" customHeight="1" x14ac:dyDescent="0.2">
      <c r="A51544" s="258"/>
      <c r="Z51544" s="258"/>
    </row>
    <row r="51545" spans="1:26" ht="12.75" customHeight="1" x14ac:dyDescent="0.2">
      <c r="A51545" s="258"/>
      <c r="Z51545" s="258"/>
    </row>
    <row r="51546" spans="1:26" ht="12.75" customHeight="1" x14ac:dyDescent="0.2">
      <c r="A51546" s="258"/>
      <c r="Z51546" s="258"/>
    </row>
    <row r="51547" spans="1:26" ht="12.75" customHeight="1" x14ac:dyDescent="0.2">
      <c r="A51547" s="258"/>
      <c r="Z51547" s="258"/>
    </row>
    <row r="51548" spans="1:26" ht="12.75" customHeight="1" x14ac:dyDescent="0.2">
      <c r="A51548" s="258"/>
      <c r="Z51548" s="258"/>
    </row>
    <row r="51549" spans="1:26" ht="12.75" customHeight="1" x14ac:dyDescent="0.2">
      <c r="A51549" s="258"/>
      <c r="Z51549" s="258"/>
    </row>
    <row r="51550" spans="1:26" ht="12.75" customHeight="1" x14ac:dyDescent="0.2">
      <c r="A51550" s="258"/>
      <c r="Z51550" s="258"/>
    </row>
    <row r="51551" spans="1:26" ht="12.75" customHeight="1" x14ac:dyDescent="0.2">
      <c r="A51551" s="258"/>
      <c r="Z51551" s="258"/>
    </row>
    <row r="51552" spans="1:26" ht="12.75" customHeight="1" x14ac:dyDescent="0.2">
      <c r="A51552" s="258"/>
      <c r="Z51552" s="258"/>
    </row>
    <row r="51553" spans="1:26" ht="12.75" customHeight="1" x14ac:dyDescent="0.2">
      <c r="A51553" s="258"/>
      <c r="Z51553" s="258"/>
    </row>
    <row r="51554" spans="1:26" ht="12.75" customHeight="1" x14ac:dyDescent="0.2">
      <c r="A51554" s="258"/>
      <c r="Z51554" s="258"/>
    </row>
    <row r="51555" spans="1:26" ht="12.75" customHeight="1" x14ac:dyDescent="0.2">
      <c r="A51555" s="258"/>
      <c r="Z51555" s="258"/>
    </row>
    <row r="51556" spans="1:26" ht="12.75" customHeight="1" x14ac:dyDescent="0.2">
      <c r="A51556" s="258"/>
      <c r="Z51556" s="258"/>
    </row>
    <row r="51557" spans="1:26" ht="12.75" customHeight="1" x14ac:dyDescent="0.2">
      <c r="A51557" s="258"/>
      <c r="Z51557" s="258"/>
    </row>
    <row r="51558" spans="1:26" ht="12.75" customHeight="1" x14ac:dyDescent="0.2">
      <c r="A51558" s="258"/>
      <c r="Z51558" s="258"/>
    </row>
    <row r="51559" spans="1:26" ht="12.75" customHeight="1" x14ac:dyDescent="0.2">
      <c r="A51559" s="258"/>
      <c r="Z51559" s="258"/>
    </row>
    <row r="51560" spans="1:26" ht="12.75" customHeight="1" x14ac:dyDescent="0.2">
      <c r="A51560" s="258"/>
      <c r="Z51560" s="258"/>
    </row>
    <row r="51561" spans="1:26" ht="12.75" customHeight="1" x14ac:dyDescent="0.2">
      <c r="A51561" s="258"/>
      <c r="Z51561" s="258"/>
    </row>
    <row r="51562" spans="1:26" ht="12.75" customHeight="1" x14ac:dyDescent="0.2">
      <c r="A51562" s="258"/>
      <c r="Z51562" s="258"/>
    </row>
    <row r="51563" spans="1:26" ht="12.75" customHeight="1" x14ac:dyDescent="0.2">
      <c r="A51563" s="258"/>
      <c r="Z51563" s="258"/>
    </row>
    <row r="51564" spans="1:26" ht="12.75" customHeight="1" x14ac:dyDescent="0.2">
      <c r="A51564" s="258"/>
      <c r="Z51564" s="258"/>
    </row>
    <row r="51565" spans="1:26" ht="12.75" customHeight="1" x14ac:dyDescent="0.2">
      <c r="A51565" s="258"/>
      <c r="Z51565" s="258"/>
    </row>
    <row r="51566" spans="1:26" ht="12.75" customHeight="1" x14ac:dyDescent="0.2">
      <c r="A51566" s="258"/>
      <c r="Z51566" s="258"/>
    </row>
    <row r="51567" spans="1:26" ht="12.75" customHeight="1" x14ac:dyDescent="0.2">
      <c r="A51567" s="258"/>
      <c r="Z51567" s="258"/>
    </row>
    <row r="51568" spans="1:26" ht="12.75" customHeight="1" x14ac:dyDescent="0.2">
      <c r="A51568" s="258"/>
      <c r="Z51568" s="258"/>
    </row>
    <row r="51569" spans="1:26" ht="12.75" customHeight="1" x14ac:dyDescent="0.2">
      <c r="A51569" s="258"/>
      <c r="Z51569" s="258"/>
    </row>
    <row r="51570" spans="1:26" ht="12.75" customHeight="1" x14ac:dyDescent="0.2">
      <c r="A51570" s="258"/>
      <c r="Z51570" s="258"/>
    </row>
    <row r="51571" spans="1:26" ht="12.75" customHeight="1" x14ac:dyDescent="0.2">
      <c r="A51571" s="258"/>
      <c r="Z51571" s="258"/>
    </row>
    <row r="51572" spans="1:26" ht="12.75" customHeight="1" x14ac:dyDescent="0.2">
      <c r="A51572" s="258"/>
      <c r="Z51572" s="258"/>
    </row>
    <row r="51573" spans="1:26" ht="12.75" customHeight="1" x14ac:dyDescent="0.2">
      <c r="A51573" s="258"/>
      <c r="Z51573" s="258"/>
    </row>
    <row r="51574" spans="1:26" ht="12.75" customHeight="1" x14ac:dyDescent="0.2">
      <c r="A51574" s="258"/>
      <c r="Z51574" s="258"/>
    </row>
    <row r="51575" spans="1:26" ht="12.75" customHeight="1" x14ac:dyDescent="0.2">
      <c r="A51575" s="258"/>
      <c r="Z51575" s="258"/>
    </row>
    <row r="51576" spans="1:26" ht="12.75" customHeight="1" x14ac:dyDescent="0.2">
      <c r="A51576" s="258"/>
      <c r="Z51576" s="258"/>
    </row>
    <row r="51577" spans="1:26" ht="12.75" customHeight="1" x14ac:dyDescent="0.2">
      <c r="A51577" s="258"/>
      <c r="Z51577" s="258"/>
    </row>
    <row r="51578" spans="1:26" ht="12.75" customHeight="1" x14ac:dyDescent="0.2">
      <c r="A51578" s="258"/>
      <c r="Z51578" s="258"/>
    </row>
    <row r="51579" spans="1:26" ht="12.75" customHeight="1" x14ac:dyDescent="0.2">
      <c r="A51579" s="258"/>
      <c r="Z51579" s="258"/>
    </row>
    <row r="51580" spans="1:26" ht="12.75" customHeight="1" x14ac:dyDescent="0.2">
      <c r="A51580" s="258"/>
      <c r="Z51580" s="258"/>
    </row>
    <row r="51581" spans="1:26" ht="12.75" customHeight="1" x14ac:dyDescent="0.2">
      <c r="A51581" s="258"/>
      <c r="Z51581" s="258"/>
    </row>
    <row r="51582" spans="1:26" ht="12.75" customHeight="1" x14ac:dyDescent="0.2">
      <c r="A51582" s="258"/>
      <c r="Z51582" s="258"/>
    </row>
    <row r="51583" spans="1:26" ht="12.75" customHeight="1" x14ac:dyDescent="0.2">
      <c r="A51583" s="258"/>
      <c r="Z51583" s="258"/>
    </row>
    <row r="51584" spans="1:26" ht="12.75" customHeight="1" x14ac:dyDescent="0.2">
      <c r="A51584" s="258"/>
      <c r="Z51584" s="258"/>
    </row>
    <row r="51585" spans="1:26" ht="12.75" customHeight="1" x14ac:dyDescent="0.2">
      <c r="A51585" s="258"/>
      <c r="Z51585" s="258"/>
    </row>
    <row r="51586" spans="1:26" ht="12.75" customHeight="1" x14ac:dyDescent="0.2">
      <c r="A51586" s="258"/>
      <c r="Z51586" s="258"/>
    </row>
    <row r="51587" spans="1:26" ht="12.75" customHeight="1" x14ac:dyDescent="0.2">
      <c r="A51587" s="258"/>
      <c r="Z51587" s="258"/>
    </row>
    <row r="51588" spans="1:26" ht="12.75" customHeight="1" x14ac:dyDescent="0.2">
      <c r="A51588" s="258"/>
      <c r="Z51588" s="258"/>
    </row>
    <row r="51589" spans="1:26" ht="12.75" customHeight="1" x14ac:dyDescent="0.2">
      <c r="A51589" s="258"/>
      <c r="Z51589" s="258"/>
    </row>
    <row r="51590" spans="1:26" ht="12.75" customHeight="1" x14ac:dyDescent="0.2">
      <c r="A51590" s="258"/>
      <c r="Z51590" s="258"/>
    </row>
    <row r="51591" spans="1:26" ht="12.75" customHeight="1" x14ac:dyDescent="0.2">
      <c r="A51591" s="258"/>
      <c r="Z51591" s="258"/>
    </row>
    <row r="51592" spans="1:26" ht="12.75" customHeight="1" x14ac:dyDescent="0.2">
      <c r="A51592" s="258"/>
      <c r="Z51592" s="258"/>
    </row>
    <row r="51593" spans="1:26" ht="12.75" customHeight="1" x14ac:dyDescent="0.2">
      <c r="A51593" s="258"/>
      <c r="Z51593" s="258"/>
    </row>
    <row r="51594" spans="1:26" ht="12.75" customHeight="1" x14ac:dyDescent="0.2">
      <c r="A51594" s="258"/>
      <c r="Z51594" s="258"/>
    </row>
    <row r="51595" spans="1:26" ht="12.75" customHeight="1" x14ac:dyDescent="0.2">
      <c r="A51595" s="258"/>
      <c r="Z51595" s="258"/>
    </row>
    <row r="51596" spans="1:26" ht="12.75" customHeight="1" x14ac:dyDescent="0.2">
      <c r="A51596" s="258"/>
      <c r="Z51596" s="258"/>
    </row>
    <row r="51597" spans="1:26" ht="12.75" customHeight="1" x14ac:dyDescent="0.2">
      <c r="A51597" s="258"/>
      <c r="Z51597" s="258"/>
    </row>
    <row r="51598" spans="1:26" ht="12.75" customHeight="1" x14ac:dyDescent="0.2">
      <c r="A51598" s="258"/>
      <c r="Z51598" s="258"/>
    </row>
    <row r="51599" spans="1:26" ht="12.75" customHeight="1" x14ac:dyDescent="0.2">
      <c r="A51599" s="258"/>
      <c r="Z51599" s="258"/>
    </row>
    <row r="51600" spans="1:26" ht="12.75" customHeight="1" x14ac:dyDescent="0.2">
      <c r="A51600" s="258"/>
      <c r="Z51600" s="258"/>
    </row>
    <row r="51601" spans="1:26" ht="12.75" customHeight="1" x14ac:dyDescent="0.2">
      <c r="A51601" s="258"/>
      <c r="Z51601" s="258"/>
    </row>
    <row r="51602" spans="1:26" ht="12.75" customHeight="1" x14ac:dyDescent="0.2">
      <c r="A51602" s="258"/>
      <c r="Z51602" s="258"/>
    </row>
    <row r="51603" spans="1:26" ht="12.75" customHeight="1" x14ac:dyDescent="0.2">
      <c r="A51603" s="258"/>
      <c r="Z51603" s="258"/>
    </row>
    <row r="51604" spans="1:26" ht="12.75" customHeight="1" x14ac:dyDescent="0.2">
      <c r="A51604" s="258"/>
      <c r="Z51604" s="258"/>
    </row>
    <row r="51605" spans="1:26" ht="12.75" customHeight="1" x14ac:dyDescent="0.2">
      <c r="A51605" s="258"/>
      <c r="Z51605" s="258"/>
    </row>
    <row r="51606" spans="1:26" ht="12.75" customHeight="1" x14ac:dyDescent="0.2">
      <c r="A51606" s="258"/>
      <c r="Z51606" s="258"/>
    </row>
    <row r="51607" spans="1:26" ht="12.75" customHeight="1" x14ac:dyDescent="0.2">
      <c r="A51607" s="258"/>
      <c r="Z51607" s="258"/>
    </row>
    <row r="51608" spans="1:26" ht="12.75" customHeight="1" x14ac:dyDescent="0.2">
      <c r="A51608" s="258"/>
      <c r="Z51608" s="258"/>
    </row>
    <row r="51609" spans="1:26" ht="12.75" customHeight="1" x14ac:dyDescent="0.2">
      <c r="A51609" s="258"/>
      <c r="Z51609" s="258"/>
    </row>
    <row r="51610" spans="1:26" ht="12.75" customHeight="1" x14ac:dyDescent="0.2">
      <c r="A51610" s="258"/>
      <c r="Z51610" s="258"/>
    </row>
    <row r="51611" spans="1:26" ht="12.75" customHeight="1" x14ac:dyDescent="0.2">
      <c r="A51611" s="258"/>
      <c r="Z51611" s="258"/>
    </row>
    <row r="51612" spans="1:26" ht="12.75" customHeight="1" x14ac:dyDescent="0.2">
      <c r="A51612" s="258"/>
      <c r="Z51612" s="258"/>
    </row>
    <row r="51613" spans="1:26" ht="12.75" customHeight="1" x14ac:dyDescent="0.2">
      <c r="A51613" s="258"/>
      <c r="Z51613" s="258"/>
    </row>
    <row r="51614" spans="1:26" ht="12.75" customHeight="1" x14ac:dyDescent="0.2">
      <c r="A51614" s="258"/>
      <c r="Z51614" s="258"/>
    </row>
    <row r="51615" spans="1:26" ht="12.75" customHeight="1" x14ac:dyDescent="0.2">
      <c r="A51615" s="258"/>
      <c r="Z51615" s="258"/>
    </row>
    <row r="51616" spans="1:26" ht="12.75" customHeight="1" x14ac:dyDescent="0.2">
      <c r="A51616" s="258"/>
      <c r="Z51616" s="258"/>
    </row>
    <row r="51617" spans="1:26" ht="12.75" customHeight="1" x14ac:dyDescent="0.2">
      <c r="A51617" s="258"/>
      <c r="Z51617" s="258"/>
    </row>
    <row r="51618" spans="1:26" ht="12.75" customHeight="1" x14ac:dyDescent="0.2">
      <c r="A51618" s="258"/>
      <c r="Z51618" s="258"/>
    </row>
    <row r="51619" spans="1:26" ht="12.75" customHeight="1" x14ac:dyDescent="0.2">
      <c r="A51619" s="258"/>
      <c r="Z51619" s="258"/>
    </row>
    <row r="51620" spans="1:26" ht="12.75" customHeight="1" x14ac:dyDescent="0.2">
      <c r="A51620" s="258"/>
      <c r="Z51620" s="258"/>
    </row>
    <row r="51621" spans="1:26" ht="12.75" customHeight="1" x14ac:dyDescent="0.2">
      <c r="A51621" s="258"/>
      <c r="Z51621" s="258"/>
    </row>
    <row r="51622" spans="1:26" ht="12.75" customHeight="1" x14ac:dyDescent="0.2">
      <c r="A51622" s="258"/>
      <c r="Z51622" s="258"/>
    </row>
    <row r="51623" spans="1:26" ht="12.75" customHeight="1" x14ac:dyDescent="0.2">
      <c r="A51623" s="258"/>
      <c r="Z51623" s="258"/>
    </row>
    <row r="51624" spans="1:26" ht="12.75" customHeight="1" x14ac:dyDescent="0.2">
      <c r="A51624" s="258"/>
      <c r="Z51624" s="258"/>
    </row>
    <row r="51625" spans="1:26" ht="12.75" customHeight="1" x14ac:dyDescent="0.2">
      <c r="A51625" s="258"/>
      <c r="Z51625" s="258"/>
    </row>
    <row r="51626" spans="1:26" ht="12.75" customHeight="1" x14ac:dyDescent="0.2">
      <c r="A51626" s="258"/>
      <c r="Z51626" s="258"/>
    </row>
    <row r="51627" spans="1:26" ht="12.75" customHeight="1" x14ac:dyDescent="0.2">
      <c r="A51627" s="258"/>
      <c r="Z51627" s="258"/>
    </row>
    <row r="51628" spans="1:26" ht="12.75" customHeight="1" x14ac:dyDescent="0.2">
      <c r="A51628" s="258"/>
      <c r="Z51628" s="258"/>
    </row>
    <row r="51629" spans="1:26" ht="12.75" customHeight="1" x14ac:dyDescent="0.2">
      <c r="A51629" s="258"/>
      <c r="Z51629" s="258"/>
    </row>
    <row r="51630" spans="1:26" ht="12.75" customHeight="1" x14ac:dyDescent="0.2">
      <c r="A51630" s="258"/>
      <c r="Z51630" s="258"/>
    </row>
    <row r="51631" spans="1:26" ht="12.75" customHeight="1" x14ac:dyDescent="0.2">
      <c r="A51631" s="258"/>
      <c r="Z51631" s="258"/>
    </row>
    <row r="51632" spans="1:26" ht="12.75" customHeight="1" x14ac:dyDescent="0.2">
      <c r="A51632" s="258"/>
      <c r="Z51632" s="258"/>
    </row>
    <row r="51633" spans="1:26" ht="12.75" customHeight="1" x14ac:dyDescent="0.2">
      <c r="A51633" s="258"/>
      <c r="Z51633" s="258"/>
    </row>
    <row r="51634" spans="1:26" ht="12.75" customHeight="1" x14ac:dyDescent="0.2">
      <c r="A51634" s="258"/>
      <c r="Z51634" s="258"/>
    </row>
    <row r="51635" spans="1:26" ht="12.75" customHeight="1" x14ac:dyDescent="0.2">
      <c r="A51635" s="258"/>
      <c r="Z51635" s="258"/>
    </row>
    <row r="51636" spans="1:26" ht="12.75" customHeight="1" x14ac:dyDescent="0.2">
      <c r="A51636" s="258"/>
      <c r="Z51636" s="258"/>
    </row>
    <row r="51637" spans="1:26" ht="12.75" customHeight="1" x14ac:dyDescent="0.2">
      <c r="A51637" s="258"/>
      <c r="Z51637" s="258"/>
    </row>
    <row r="51638" spans="1:26" ht="12.75" customHeight="1" x14ac:dyDescent="0.2">
      <c r="A51638" s="258"/>
      <c r="Z51638" s="258"/>
    </row>
    <row r="51639" spans="1:26" ht="12.75" customHeight="1" x14ac:dyDescent="0.2">
      <c r="A51639" s="258"/>
      <c r="Z51639" s="258"/>
    </row>
    <row r="51640" spans="1:26" ht="12.75" customHeight="1" x14ac:dyDescent="0.2">
      <c r="A51640" s="258"/>
      <c r="Z51640" s="258"/>
    </row>
    <row r="51641" spans="1:26" ht="12.75" customHeight="1" x14ac:dyDescent="0.2">
      <c r="A51641" s="258"/>
      <c r="Z51641" s="258"/>
    </row>
    <row r="51642" spans="1:26" ht="12.75" customHeight="1" x14ac:dyDescent="0.2">
      <c r="A51642" s="258"/>
      <c r="Z51642" s="258"/>
    </row>
    <row r="51643" spans="1:26" ht="12.75" customHeight="1" x14ac:dyDescent="0.2">
      <c r="A51643" s="258"/>
      <c r="Z51643" s="258"/>
    </row>
    <row r="51644" spans="1:26" ht="12.75" customHeight="1" x14ac:dyDescent="0.2">
      <c r="A51644" s="258"/>
      <c r="Z51644" s="258"/>
    </row>
    <row r="51645" spans="1:26" ht="12.75" customHeight="1" x14ac:dyDescent="0.2">
      <c r="A51645" s="258"/>
      <c r="Z51645" s="258"/>
    </row>
    <row r="51646" spans="1:26" ht="12.75" customHeight="1" x14ac:dyDescent="0.2">
      <c r="A51646" s="258"/>
      <c r="Z51646" s="258"/>
    </row>
    <row r="51647" spans="1:26" ht="12.75" customHeight="1" x14ac:dyDescent="0.2">
      <c r="A51647" s="258"/>
      <c r="Z51647" s="258"/>
    </row>
    <row r="51648" spans="1:26" ht="12.75" customHeight="1" x14ac:dyDescent="0.2">
      <c r="A51648" s="258"/>
      <c r="Z51648" s="258"/>
    </row>
    <row r="51649" spans="1:26" ht="12.75" customHeight="1" x14ac:dyDescent="0.2">
      <c r="A51649" s="258"/>
      <c r="Z51649" s="258"/>
    </row>
    <row r="51650" spans="1:26" ht="12.75" customHeight="1" x14ac:dyDescent="0.2">
      <c r="A51650" s="258"/>
      <c r="Z51650" s="258"/>
    </row>
    <row r="51651" spans="1:26" ht="12.75" customHeight="1" x14ac:dyDescent="0.2">
      <c r="A51651" s="258"/>
      <c r="Z51651" s="258"/>
    </row>
    <row r="51652" spans="1:26" ht="12.75" customHeight="1" x14ac:dyDescent="0.2">
      <c r="A51652" s="258"/>
      <c r="Z51652" s="258"/>
    </row>
    <row r="51653" spans="1:26" ht="12.75" customHeight="1" x14ac:dyDescent="0.2">
      <c r="A51653" s="258"/>
      <c r="Z51653" s="258"/>
    </row>
    <row r="51654" spans="1:26" ht="12.75" customHeight="1" x14ac:dyDescent="0.2">
      <c r="A51654" s="258"/>
      <c r="Z51654" s="258"/>
    </row>
    <row r="51655" spans="1:26" ht="12.75" customHeight="1" x14ac:dyDescent="0.2">
      <c r="A51655" s="258"/>
      <c r="Z51655" s="258"/>
    </row>
    <row r="51656" spans="1:26" ht="12.75" customHeight="1" x14ac:dyDescent="0.2">
      <c r="A51656" s="258"/>
      <c r="Z51656" s="258"/>
    </row>
    <row r="51657" spans="1:26" ht="12.75" customHeight="1" x14ac:dyDescent="0.2">
      <c r="A51657" s="258"/>
      <c r="Z51657" s="258"/>
    </row>
    <row r="51658" spans="1:26" ht="12.75" customHeight="1" x14ac:dyDescent="0.2">
      <c r="A51658" s="258"/>
      <c r="Z51658" s="258"/>
    </row>
    <row r="51659" spans="1:26" ht="12.75" customHeight="1" x14ac:dyDescent="0.2">
      <c r="A51659" s="258"/>
      <c r="Z51659" s="258"/>
    </row>
    <row r="51660" spans="1:26" ht="12.75" customHeight="1" x14ac:dyDescent="0.2">
      <c r="A51660" s="258"/>
      <c r="Z51660" s="258"/>
    </row>
    <row r="51661" spans="1:26" ht="12.75" customHeight="1" x14ac:dyDescent="0.2">
      <c r="A51661" s="258"/>
      <c r="Z51661" s="258"/>
    </row>
    <row r="51662" spans="1:26" ht="12.75" customHeight="1" x14ac:dyDescent="0.2">
      <c r="A51662" s="258"/>
      <c r="Z51662" s="258"/>
    </row>
    <row r="51663" spans="1:26" ht="12.75" customHeight="1" x14ac:dyDescent="0.2">
      <c r="A51663" s="258"/>
      <c r="Z51663" s="258"/>
    </row>
    <row r="51664" spans="1:26" ht="12.75" customHeight="1" x14ac:dyDescent="0.2">
      <c r="A51664" s="258"/>
      <c r="Z51664" s="258"/>
    </row>
    <row r="51665" spans="1:26" ht="12.75" customHeight="1" x14ac:dyDescent="0.2">
      <c r="A51665" s="258"/>
      <c r="Z51665" s="258"/>
    </row>
    <row r="51666" spans="1:26" ht="12.75" customHeight="1" x14ac:dyDescent="0.2">
      <c r="A51666" s="258"/>
      <c r="Z51666" s="258"/>
    </row>
    <row r="51667" spans="1:26" ht="12.75" customHeight="1" x14ac:dyDescent="0.2">
      <c r="A51667" s="258"/>
      <c r="Z51667" s="258"/>
    </row>
    <row r="51668" spans="1:26" ht="12.75" customHeight="1" x14ac:dyDescent="0.2">
      <c r="A51668" s="258"/>
      <c r="Z51668" s="258"/>
    </row>
    <row r="51669" spans="1:26" ht="12.75" customHeight="1" x14ac:dyDescent="0.2">
      <c r="A51669" s="258"/>
      <c r="Z51669" s="258"/>
    </row>
    <row r="51670" spans="1:26" ht="12.75" customHeight="1" x14ac:dyDescent="0.2">
      <c r="A51670" s="258"/>
      <c r="Z51670" s="258"/>
    </row>
    <row r="51671" spans="1:26" ht="12.75" customHeight="1" x14ac:dyDescent="0.2">
      <c r="A51671" s="258"/>
      <c r="Z51671" s="258"/>
    </row>
    <row r="51672" spans="1:26" ht="12.75" customHeight="1" x14ac:dyDescent="0.2">
      <c r="A51672" s="258"/>
      <c r="Z51672" s="258"/>
    </row>
    <row r="51673" spans="1:26" ht="12.75" customHeight="1" x14ac:dyDescent="0.2">
      <c r="A51673" s="258"/>
      <c r="Z51673" s="258"/>
    </row>
    <row r="51674" spans="1:26" ht="12.75" customHeight="1" x14ac:dyDescent="0.2">
      <c r="A51674" s="258"/>
      <c r="Z51674" s="258"/>
    </row>
    <row r="51675" spans="1:26" ht="12.75" customHeight="1" x14ac:dyDescent="0.2">
      <c r="A51675" s="258"/>
      <c r="Z51675" s="258"/>
    </row>
    <row r="51676" spans="1:26" ht="12.75" customHeight="1" x14ac:dyDescent="0.2">
      <c r="A51676" s="258"/>
      <c r="Z51676" s="258"/>
    </row>
    <row r="51677" spans="1:26" ht="12.75" customHeight="1" x14ac:dyDescent="0.2">
      <c r="A51677" s="258"/>
      <c r="Z51677" s="258"/>
    </row>
    <row r="51678" spans="1:26" ht="12.75" customHeight="1" x14ac:dyDescent="0.2">
      <c r="A51678" s="258"/>
      <c r="Z51678" s="258"/>
    </row>
    <row r="51679" spans="1:26" ht="12.75" customHeight="1" x14ac:dyDescent="0.2">
      <c r="A51679" s="258"/>
      <c r="Z51679" s="258"/>
    </row>
    <row r="51680" spans="1:26" ht="12.75" customHeight="1" x14ac:dyDescent="0.2">
      <c r="A51680" s="258"/>
      <c r="Z51680" s="258"/>
    </row>
    <row r="51681" spans="1:26" ht="12.75" customHeight="1" x14ac:dyDescent="0.2">
      <c r="A51681" s="258"/>
      <c r="Z51681" s="258"/>
    </row>
    <row r="51682" spans="1:26" ht="12.75" customHeight="1" x14ac:dyDescent="0.2">
      <c r="A51682" s="258"/>
      <c r="Z51682" s="258"/>
    </row>
    <row r="51683" spans="1:26" ht="12.75" customHeight="1" x14ac:dyDescent="0.2">
      <c r="A51683" s="258"/>
      <c r="Z51683" s="258"/>
    </row>
    <row r="51684" spans="1:26" ht="12.75" customHeight="1" x14ac:dyDescent="0.2">
      <c r="A51684" s="258"/>
      <c r="Z51684" s="258"/>
    </row>
    <row r="51685" spans="1:26" ht="12.75" customHeight="1" x14ac:dyDescent="0.2">
      <c r="A51685" s="258"/>
      <c r="Z51685" s="258"/>
    </row>
    <row r="51686" spans="1:26" ht="12.75" customHeight="1" x14ac:dyDescent="0.2">
      <c r="A51686" s="258"/>
      <c r="Z51686" s="258"/>
    </row>
    <row r="51687" spans="1:26" ht="12.75" customHeight="1" x14ac:dyDescent="0.2">
      <c r="A51687" s="258"/>
      <c r="Z51687" s="258"/>
    </row>
    <row r="51688" spans="1:26" ht="12.75" customHeight="1" x14ac:dyDescent="0.2">
      <c r="A51688" s="258"/>
      <c r="Z51688" s="258"/>
    </row>
    <row r="51689" spans="1:26" ht="12.75" customHeight="1" x14ac:dyDescent="0.2">
      <c r="A51689" s="258"/>
      <c r="Z51689" s="258"/>
    </row>
    <row r="51690" spans="1:26" ht="12.75" customHeight="1" x14ac:dyDescent="0.2">
      <c r="A51690" s="258"/>
      <c r="Z51690" s="258"/>
    </row>
    <row r="51691" spans="1:26" ht="12.75" customHeight="1" x14ac:dyDescent="0.2">
      <c r="A51691" s="258"/>
      <c r="Z51691" s="258"/>
    </row>
    <row r="51692" spans="1:26" ht="12.75" customHeight="1" x14ac:dyDescent="0.2">
      <c r="A51692" s="258"/>
      <c r="Z51692" s="258"/>
    </row>
    <row r="51693" spans="1:26" ht="12.75" customHeight="1" x14ac:dyDescent="0.2">
      <c r="A51693" s="258"/>
      <c r="Z51693" s="258"/>
    </row>
    <row r="51694" spans="1:26" ht="12.75" customHeight="1" x14ac:dyDescent="0.2">
      <c r="A51694" s="258"/>
      <c r="Z51694" s="258"/>
    </row>
    <row r="51695" spans="1:26" ht="12.75" customHeight="1" x14ac:dyDescent="0.2">
      <c r="A51695" s="258"/>
      <c r="Z51695" s="258"/>
    </row>
    <row r="51696" spans="1:26" ht="12.75" customHeight="1" x14ac:dyDescent="0.2">
      <c r="A51696" s="258"/>
      <c r="Z51696" s="258"/>
    </row>
    <row r="51697" spans="1:26" ht="12.75" customHeight="1" x14ac:dyDescent="0.2">
      <c r="A51697" s="258"/>
      <c r="Z51697" s="258"/>
    </row>
    <row r="51698" spans="1:26" ht="12.75" customHeight="1" x14ac:dyDescent="0.2">
      <c r="A51698" s="258"/>
      <c r="Z51698" s="258"/>
    </row>
    <row r="51699" spans="1:26" ht="12.75" customHeight="1" x14ac:dyDescent="0.2">
      <c r="A51699" s="258"/>
      <c r="Z51699" s="258"/>
    </row>
    <row r="51700" spans="1:26" ht="12.75" customHeight="1" x14ac:dyDescent="0.2">
      <c r="A51700" s="258"/>
      <c r="Z51700" s="258"/>
    </row>
    <row r="51701" spans="1:26" ht="12.75" customHeight="1" x14ac:dyDescent="0.2">
      <c r="A51701" s="258"/>
      <c r="Z51701" s="258"/>
    </row>
    <row r="51702" spans="1:26" ht="12.75" customHeight="1" x14ac:dyDescent="0.2">
      <c r="A51702" s="258"/>
      <c r="Z51702" s="258"/>
    </row>
    <row r="51703" spans="1:26" ht="12.75" customHeight="1" x14ac:dyDescent="0.2">
      <c r="A51703" s="258"/>
      <c r="Z51703" s="258"/>
    </row>
    <row r="51704" spans="1:26" ht="12.75" customHeight="1" x14ac:dyDescent="0.2">
      <c r="A51704" s="258"/>
      <c r="Z51704" s="258"/>
    </row>
    <row r="51705" spans="1:26" ht="12.75" customHeight="1" x14ac:dyDescent="0.2">
      <c r="A51705" s="258"/>
      <c r="Z51705" s="258"/>
    </row>
    <row r="51706" spans="1:26" ht="12.75" customHeight="1" x14ac:dyDescent="0.2">
      <c r="A51706" s="258"/>
      <c r="Z51706" s="258"/>
    </row>
    <row r="51707" spans="1:26" ht="12.75" customHeight="1" x14ac:dyDescent="0.2">
      <c r="A51707" s="258"/>
      <c r="Z51707" s="258"/>
    </row>
    <row r="51708" spans="1:26" ht="12.75" customHeight="1" x14ac:dyDescent="0.2">
      <c r="A51708" s="258"/>
      <c r="Z51708" s="258"/>
    </row>
    <row r="51709" spans="1:26" ht="12.75" customHeight="1" x14ac:dyDescent="0.2">
      <c r="A51709" s="258"/>
      <c r="Z51709" s="258"/>
    </row>
    <row r="51710" spans="1:26" ht="12.75" customHeight="1" x14ac:dyDescent="0.2">
      <c r="A51710" s="258"/>
      <c r="Z51710" s="258"/>
    </row>
    <row r="51711" spans="1:26" ht="12.75" customHeight="1" x14ac:dyDescent="0.2">
      <c r="A51711" s="258"/>
      <c r="Z51711" s="258"/>
    </row>
    <row r="51712" spans="1:26" ht="12.75" customHeight="1" x14ac:dyDescent="0.2">
      <c r="A51712" s="258"/>
      <c r="Z51712" s="258"/>
    </row>
    <row r="51713" spans="1:26" ht="12.75" customHeight="1" x14ac:dyDescent="0.2">
      <c r="A51713" s="258"/>
      <c r="Z51713" s="258"/>
    </row>
    <row r="51714" spans="1:26" ht="12.75" customHeight="1" x14ac:dyDescent="0.2">
      <c r="A51714" s="258"/>
      <c r="Z51714" s="258"/>
    </row>
    <row r="51715" spans="1:26" ht="12.75" customHeight="1" x14ac:dyDescent="0.2">
      <c r="A51715" s="258"/>
      <c r="Z51715" s="258"/>
    </row>
    <row r="51716" spans="1:26" ht="12.75" customHeight="1" x14ac:dyDescent="0.2">
      <c r="A51716" s="258"/>
      <c r="Z51716" s="258"/>
    </row>
    <row r="51717" spans="1:26" ht="12.75" customHeight="1" x14ac:dyDescent="0.2">
      <c r="A51717" s="258"/>
      <c r="Z51717" s="258"/>
    </row>
    <row r="51718" spans="1:26" ht="12.75" customHeight="1" x14ac:dyDescent="0.2">
      <c r="A51718" s="258"/>
      <c r="Z51718" s="258"/>
    </row>
    <row r="51719" spans="1:26" ht="12.75" customHeight="1" x14ac:dyDescent="0.2">
      <c r="A51719" s="258"/>
      <c r="Z51719" s="258"/>
    </row>
    <row r="51720" spans="1:26" ht="12.75" customHeight="1" x14ac:dyDescent="0.2">
      <c r="A51720" s="258"/>
      <c r="Z51720" s="258"/>
    </row>
    <row r="51721" spans="1:26" ht="12.75" customHeight="1" x14ac:dyDescent="0.2">
      <c r="A51721" s="258"/>
      <c r="Z51721" s="258"/>
    </row>
    <row r="51722" spans="1:26" ht="12.75" customHeight="1" x14ac:dyDescent="0.2">
      <c r="A51722" s="258"/>
      <c r="Z51722" s="258"/>
    </row>
    <row r="51723" spans="1:26" ht="12.75" customHeight="1" x14ac:dyDescent="0.2">
      <c r="A51723" s="258"/>
      <c r="Z51723" s="258"/>
    </row>
    <row r="51724" spans="1:26" ht="12.75" customHeight="1" x14ac:dyDescent="0.2">
      <c r="A51724" s="258"/>
      <c r="Z51724" s="258"/>
    </row>
    <row r="51725" spans="1:26" ht="12.75" customHeight="1" x14ac:dyDescent="0.2">
      <c r="A51725" s="258"/>
      <c r="Z51725" s="258"/>
    </row>
    <row r="51726" spans="1:26" ht="12.75" customHeight="1" x14ac:dyDescent="0.2">
      <c r="A51726" s="258"/>
      <c r="Z51726" s="258"/>
    </row>
    <row r="51727" spans="1:26" ht="12.75" customHeight="1" x14ac:dyDescent="0.2">
      <c r="A51727" s="258"/>
      <c r="Z51727" s="258"/>
    </row>
    <row r="51728" spans="1:26" ht="12.75" customHeight="1" x14ac:dyDescent="0.2">
      <c r="A51728" s="258"/>
      <c r="Z51728" s="258"/>
    </row>
    <row r="51729" spans="1:26" ht="12.75" customHeight="1" x14ac:dyDescent="0.2">
      <c r="A51729" s="258"/>
      <c r="Z51729" s="258"/>
    </row>
    <row r="51730" spans="1:26" ht="12.75" customHeight="1" x14ac:dyDescent="0.2">
      <c r="A51730" s="258"/>
      <c r="Z51730" s="258"/>
    </row>
    <row r="51731" spans="1:26" ht="12.75" customHeight="1" x14ac:dyDescent="0.2">
      <c r="A51731" s="258"/>
      <c r="Z51731" s="258"/>
    </row>
    <row r="51732" spans="1:26" ht="12.75" customHeight="1" x14ac:dyDescent="0.2">
      <c r="A51732" s="258"/>
      <c r="Z51732" s="258"/>
    </row>
    <row r="51733" spans="1:26" ht="12.75" customHeight="1" x14ac:dyDescent="0.2">
      <c r="A51733" s="258"/>
      <c r="Z51733" s="258"/>
    </row>
    <row r="51734" spans="1:26" ht="12.75" customHeight="1" x14ac:dyDescent="0.2">
      <c r="A51734" s="258"/>
      <c r="Z51734" s="258"/>
    </row>
    <row r="51735" spans="1:26" ht="12.75" customHeight="1" x14ac:dyDescent="0.2">
      <c r="A51735" s="258"/>
      <c r="Z51735" s="258"/>
    </row>
    <row r="51736" spans="1:26" ht="12.75" customHeight="1" x14ac:dyDescent="0.2">
      <c r="A51736" s="258"/>
      <c r="Z51736" s="258"/>
    </row>
    <row r="51737" spans="1:26" ht="12.75" customHeight="1" x14ac:dyDescent="0.2">
      <c r="A51737" s="258"/>
      <c r="Z51737" s="258"/>
    </row>
    <row r="51738" spans="1:26" ht="12.75" customHeight="1" x14ac:dyDescent="0.2">
      <c r="A51738" s="258"/>
      <c r="Z51738" s="258"/>
    </row>
    <row r="51739" spans="1:26" ht="12.75" customHeight="1" x14ac:dyDescent="0.2">
      <c r="A51739" s="258"/>
      <c r="Z51739" s="258"/>
    </row>
    <row r="51740" spans="1:26" ht="12.75" customHeight="1" x14ac:dyDescent="0.2">
      <c r="A51740" s="258"/>
      <c r="Z51740" s="258"/>
    </row>
    <row r="51741" spans="1:26" ht="12.75" customHeight="1" x14ac:dyDescent="0.2">
      <c r="A51741" s="258"/>
      <c r="Z51741" s="258"/>
    </row>
    <row r="51742" spans="1:26" ht="12.75" customHeight="1" x14ac:dyDescent="0.2">
      <c r="A51742" s="258"/>
      <c r="Z51742" s="258"/>
    </row>
    <row r="51743" spans="1:26" ht="12.75" customHeight="1" x14ac:dyDescent="0.2">
      <c r="A51743" s="258"/>
      <c r="Z51743" s="258"/>
    </row>
    <row r="51744" spans="1:26" ht="12.75" customHeight="1" x14ac:dyDescent="0.2">
      <c r="A51744" s="258"/>
      <c r="Z51744" s="258"/>
    </row>
    <row r="51745" spans="1:26" ht="12.75" customHeight="1" x14ac:dyDescent="0.2">
      <c r="A51745" s="258"/>
      <c r="Z51745" s="258"/>
    </row>
    <row r="51746" spans="1:26" ht="12.75" customHeight="1" x14ac:dyDescent="0.2">
      <c r="A51746" s="258"/>
      <c r="Z51746" s="258"/>
    </row>
    <row r="51747" spans="1:26" ht="12.75" customHeight="1" x14ac:dyDescent="0.2">
      <c r="A51747" s="258"/>
      <c r="Z51747" s="258"/>
    </row>
    <row r="51748" spans="1:26" ht="12.75" customHeight="1" x14ac:dyDescent="0.2">
      <c r="A51748" s="258"/>
      <c r="Z51748" s="258"/>
    </row>
    <row r="51749" spans="1:26" ht="12.75" customHeight="1" x14ac:dyDescent="0.2">
      <c r="A51749" s="258"/>
      <c r="Z51749" s="258"/>
    </row>
    <row r="51750" spans="1:26" ht="12.75" customHeight="1" x14ac:dyDescent="0.2">
      <c r="A51750" s="258"/>
      <c r="Z51750" s="258"/>
    </row>
    <row r="51751" spans="1:26" ht="12.75" customHeight="1" x14ac:dyDescent="0.2">
      <c r="A51751" s="258"/>
      <c r="Z51751" s="258"/>
    </row>
    <row r="51752" spans="1:26" ht="12.75" customHeight="1" x14ac:dyDescent="0.2">
      <c r="A51752" s="258"/>
      <c r="Z51752" s="258"/>
    </row>
    <row r="51753" spans="1:26" ht="12.75" customHeight="1" x14ac:dyDescent="0.2">
      <c r="A51753" s="258"/>
      <c r="Z51753" s="258"/>
    </row>
    <row r="51754" spans="1:26" ht="12.75" customHeight="1" x14ac:dyDescent="0.2">
      <c r="A51754" s="258"/>
      <c r="Z51754" s="258"/>
    </row>
    <row r="51755" spans="1:26" ht="12.75" customHeight="1" x14ac:dyDescent="0.2">
      <c r="A51755" s="258"/>
      <c r="Z51755" s="258"/>
    </row>
    <row r="51756" spans="1:26" ht="12.75" customHeight="1" x14ac:dyDescent="0.2">
      <c r="A51756" s="258"/>
      <c r="Z51756" s="258"/>
    </row>
    <row r="51757" spans="1:26" ht="12.75" customHeight="1" x14ac:dyDescent="0.2">
      <c r="A51757" s="258"/>
      <c r="Z51757" s="258"/>
    </row>
    <row r="51758" spans="1:26" ht="12.75" customHeight="1" x14ac:dyDescent="0.2">
      <c r="A51758" s="258"/>
      <c r="Z51758" s="258"/>
    </row>
    <row r="51759" spans="1:26" ht="12.75" customHeight="1" x14ac:dyDescent="0.2">
      <c r="A51759" s="258"/>
      <c r="Z51759" s="258"/>
    </row>
    <row r="51760" spans="1:26" ht="12.75" customHeight="1" x14ac:dyDescent="0.2">
      <c r="A51760" s="258"/>
      <c r="Z51760" s="258"/>
    </row>
    <row r="51761" spans="1:26" ht="12.75" customHeight="1" x14ac:dyDescent="0.2">
      <c r="A51761" s="258"/>
      <c r="Z51761" s="258"/>
    </row>
    <row r="51762" spans="1:26" ht="12.75" customHeight="1" x14ac:dyDescent="0.2">
      <c r="A51762" s="258"/>
      <c r="Z51762" s="258"/>
    </row>
    <row r="51763" spans="1:26" ht="12.75" customHeight="1" x14ac:dyDescent="0.2">
      <c r="A51763" s="258"/>
      <c r="Z51763" s="258"/>
    </row>
    <row r="51764" spans="1:26" ht="12.75" customHeight="1" x14ac:dyDescent="0.2">
      <c r="A51764" s="258"/>
      <c r="Z51764" s="258"/>
    </row>
    <row r="51765" spans="1:26" ht="12.75" customHeight="1" x14ac:dyDescent="0.2">
      <c r="A51765" s="258"/>
      <c r="Z51765" s="258"/>
    </row>
    <row r="51766" spans="1:26" ht="12.75" customHeight="1" x14ac:dyDescent="0.2">
      <c r="A51766" s="258"/>
      <c r="Z51766" s="258"/>
    </row>
    <row r="51767" spans="1:26" ht="12.75" customHeight="1" x14ac:dyDescent="0.2">
      <c r="A51767" s="258"/>
      <c r="Z51767" s="258"/>
    </row>
    <row r="51768" spans="1:26" ht="12.75" customHeight="1" x14ac:dyDescent="0.2">
      <c r="A51768" s="258"/>
      <c r="Z51768" s="258"/>
    </row>
    <row r="51769" spans="1:26" ht="12.75" customHeight="1" x14ac:dyDescent="0.2">
      <c r="A51769" s="258"/>
      <c r="Z51769" s="258"/>
    </row>
    <row r="51770" spans="1:26" ht="12.75" customHeight="1" x14ac:dyDescent="0.2">
      <c r="A51770" s="258"/>
      <c r="Z51770" s="258"/>
    </row>
    <row r="51771" spans="1:26" ht="12.75" customHeight="1" x14ac:dyDescent="0.2">
      <c r="A51771" s="258"/>
      <c r="Z51771" s="258"/>
    </row>
    <row r="51772" spans="1:26" ht="12.75" customHeight="1" x14ac:dyDescent="0.2">
      <c r="A51772" s="258"/>
      <c r="Z51772" s="258"/>
    </row>
    <row r="51773" spans="1:26" ht="12.75" customHeight="1" x14ac:dyDescent="0.2">
      <c r="A51773" s="258"/>
      <c r="Z51773" s="258"/>
    </row>
    <row r="51774" spans="1:26" ht="12.75" customHeight="1" x14ac:dyDescent="0.2">
      <c r="A51774" s="258"/>
      <c r="Z51774" s="258"/>
    </row>
    <row r="51775" spans="1:26" ht="12.75" customHeight="1" x14ac:dyDescent="0.2">
      <c r="A51775" s="258"/>
      <c r="Z51775" s="258"/>
    </row>
    <row r="51776" spans="1:26" ht="12.75" customHeight="1" x14ac:dyDescent="0.2">
      <c r="A51776" s="258"/>
      <c r="Z51776" s="258"/>
    </row>
    <row r="51777" spans="1:26" ht="12.75" customHeight="1" x14ac:dyDescent="0.2">
      <c r="A51777" s="258"/>
      <c r="Z51777" s="258"/>
    </row>
    <row r="51778" spans="1:26" ht="12.75" customHeight="1" x14ac:dyDescent="0.2">
      <c r="A51778" s="258"/>
      <c r="Z51778" s="258"/>
    </row>
    <row r="51779" spans="1:26" ht="12.75" customHeight="1" x14ac:dyDescent="0.2">
      <c r="A51779" s="258"/>
      <c r="Z51779" s="258"/>
    </row>
    <row r="51780" spans="1:26" ht="12.75" customHeight="1" x14ac:dyDescent="0.2">
      <c r="A51780" s="258"/>
      <c r="Z51780" s="258"/>
    </row>
    <row r="51781" spans="1:26" ht="12.75" customHeight="1" x14ac:dyDescent="0.2">
      <c r="A51781" s="258"/>
      <c r="Z51781" s="258"/>
    </row>
    <row r="51782" spans="1:26" ht="12.75" customHeight="1" x14ac:dyDescent="0.2">
      <c r="A51782" s="258"/>
      <c r="Z51782" s="258"/>
    </row>
    <row r="51783" spans="1:26" ht="12.75" customHeight="1" x14ac:dyDescent="0.2">
      <c r="A51783" s="258"/>
      <c r="Z51783" s="258"/>
    </row>
    <row r="51784" spans="1:26" ht="12.75" customHeight="1" x14ac:dyDescent="0.2">
      <c r="A51784" s="258"/>
      <c r="Z51784" s="258"/>
    </row>
    <row r="51785" spans="1:26" ht="12.75" customHeight="1" x14ac:dyDescent="0.2">
      <c r="A51785" s="258"/>
      <c r="Z51785" s="258"/>
    </row>
    <row r="51786" spans="1:26" ht="12.75" customHeight="1" x14ac:dyDescent="0.2">
      <c r="A51786" s="258"/>
      <c r="Z51786" s="258"/>
    </row>
    <row r="51787" spans="1:26" ht="12.75" customHeight="1" x14ac:dyDescent="0.2">
      <c r="A51787" s="258"/>
      <c r="Z51787" s="258"/>
    </row>
    <row r="51788" spans="1:26" ht="12.75" customHeight="1" x14ac:dyDescent="0.2">
      <c r="A51788" s="258"/>
      <c r="Z51788" s="258"/>
    </row>
    <row r="51789" spans="1:26" ht="12.75" customHeight="1" x14ac:dyDescent="0.2">
      <c r="A51789" s="258"/>
      <c r="Z51789" s="258"/>
    </row>
    <row r="51790" spans="1:26" ht="12.75" customHeight="1" x14ac:dyDescent="0.2">
      <c r="A51790" s="258"/>
      <c r="Z51790" s="258"/>
    </row>
    <row r="51791" spans="1:26" ht="12.75" customHeight="1" x14ac:dyDescent="0.2">
      <c r="A51791" s="258"/>
      <c r="Z51791" s="258"/>
    </row>
    <row r="51792" spans="1:26" ht="12.75" customHeight="1" x14ac:dyDescent="0.2">
      <c r="A51792" s="258"/>
      <c r="Z51792" s="258"/>
    </row>
    <row r="51793" spans="1:26" ht="12.75" customHeight="1" x14ac:dyDescent="0.2">
      <c r="A51793" s="258"/>
      <c r="Z51793" s="258"/>
    </row>
    <row r="51794" spans="1:26" ht="12.75" customHeight="1" x14ac:dyDescent="0.2">
      <c r="A51794" s="258"/>
      <c r="Z51794" s="258"/>
    </row>
    <row r="51795" spans="1:26" ht="12.75" customHeight="1" x14ac:dyDescent="0.2">
      <c r="A51795" s="258"/>
      <c r="Z51795" s="258"/>
    </row>
    <row r="51796" spans="1:26" ht="12.75" customHeight="1" x14ac:dyDescent="0.2">
      <c r="A51796" s="258"/>
      <c r="Z51796" s="258"/>
    </row>
    <row r="51797" spans="1:26" ht="12.75" customHeight="1" x14ac:dyDescent="0.2">
      <c r="A51797" s="258"/>
      <c r="Z51797" s="258"/>
    </row>
    <row r="51798" spans="1:26" ht="12.75" customHeight="1" x14ac:dyDescent="0.2">
      <c r="A51798" s="258"/>
      <c r="Z51798" s="258"/>
    </row>
    <row r="51799" spans="1:26" ht="12.75" customHeight="1" x14ac:dyDescent="0.2">
      <c r="A51799" s="258"/>
      <c r="Z51799" s="258"/>
    </row>
    <row r="51800" spans="1:26" ht="12.75" customHeight="1" x14ac:dyDescent="0.2">
      <c r="A51800" s="258"/>
      <c r="Z51800" s="258"/>
    </row>
    <row r="51801" spans="1:26" ht="12.75" customHeight="1" x14ac:dyDescent="0.2">
      <c r="A51801" s="258"/>
      <c r="Z51801" s="258"/>
    </row>
    <row r="51802" spans="1:26" ht="12.75" customHeight="1" x14ac:dyDescent="0.2">
      <c r="A51802" s="258"/>
      <c r="Z51802" s="258"/>
    </row>
    <row r="51803" spans="1:26" ht="12.75" customHeight="1" x14ac:dyDescent="0.2">
      <c r="A51803" s="258"/>
      <c r="Z51803" s="258"/>
    </row>
    <row r="51804" spans="1:26" ht="12.75" customHeight="1" x14ac:dyDescent="0.2">
      <c r="A51804" s="258"/>
      <c r="Z51804" s="258"/>
    </row>
    <row r="51805" spans="1:26" ht="12.75" customHeight="1" x14ac:dyDescent="0.2">
      <c r="A51805" s="258"/>
      <c r="Z51805" s="258"/>
    </row>
    <row r="51806" spans="1:26" ht="12.75" customHeight="1" x14ac:dyDescent="0.2">
      <c r="A51806" s="258"/>
      <c r="Z51806" s="258"/>
    </row>
    <row r="51807" spans="1:26" ht="12.75" customHeight="1" x14ac:dyDescent="0.2">
      <c r="A51807" s="258"/>
      <c r="Z51807" s="258"/>
    </row>
    <row r="51808" spans="1:26" ht="12.75" customHeight="1" x14ac:dyDescent="0.2">
      <c r="A51808" s="258"/>
      <c r="Z51808" s="258"/>
    </row>
    <row r="51809" spans="1:26" ht="12.75" customHeight="1" x14ac:dyDescent="0.2">
      <c r="A51809" s="258"/>
      <c r="Z51809" s="258"/>
    </row>
    <row r="51810" spans="1:26" ht="12.75" customHeight="1" x14ac:dyDescent="0.2">
      <c r="A51810" s="258"/>
      <c r="Z51810" s="258"/>
    </row>
    <row r="51811" spans="1:26" ht="12.75" customHeight="1" x14ac:dyDescent="0.2">
      <c r="A51811" s="258"/>
      <c r="Z51811" s="258"/>
    </row>
    <row r="51812" spans="1:26" ht="12.75" customHeight="1" x14ac:dyDescent="0.2">
      <c r="A51812" s="258"/>
      <c r="Z51812" s="258"/>
    </row>
    <row r="51813" spans="1:26" ht="12.75" customHeight="1" x14ac:dyDescent="0.2">
      <c r="A51813" s="258"/>
      <c r="Z51813" s="258"/>
    </row>
    <row r="51814" spans="1:26" ht="12.75" customHeight="1" x14ac:dyDescent="0.2">
      <c r="A51814" s="258"/>
      <c r="Z51814" s="258"/>
    </row>
    <row r="51815" spans="1:26" ht="12.75" customHeight="1" x14ac:dyDescent="0.2">
      <c r="A51815" s="258"/>
      <c r="Z51815" s="258"/>
    </row>
    <row r="51816" spans="1:26" ht="12.75" customHeight="1" x14ac:dyDescent="0.2">
      <c r="A51816" s="258"/>
      <c r="Z51816" s="258"/>
    </row>
    <row r="51817" spans="1:26" ht="12.75" customHeight="1" x14ac:dyDescent="0.2">
      <c r="A51817" s="258"/>
      <c r="Z51817" s="258"/>
    </row>
    <row r="51818" spans="1:26" ht="12.75" customHeight="1" x14ac:dyDescent="0.2">
      <c r="A51818" s="258"/>
      <c r="Z51818" s="258"/>
    </row>
    <row r="51819" spans="1:26" ht="12.75" customHeight="1" x14ac:dyDescent="0.2">
      <c r="A51819" s="258"/>
      <c r="Z51819" s="258"/>
    </row>
    <row r="51820" spans="1:26" ht="12.75" customHeight="1" x14ac:dyDescent="0.2">
      <c r="A51820" s="258"/>
      <c r="Z51820" s="258"/>
    </row>
    <row r="51821" spans="1:26" ht="12.75" customHeight="1" x14ac:dyDescent="0.2">
      <c r="A51821" s="258"/>
      <c r="Z51821" s="258"/>
    </row>
    <row r="51822" spans="1:26" ht="12.75" customHeight="1" x14ac:dyDescent="0.2">
      <c r="A51822" s="258"/>
      <c r="Z51822" s="258"/>
    </row>
    <row r="51823" spans="1:26" ht="12.75" customHeight="1" x14ac:dyDescent="0.2">
      <c r="A51823" s="258"/>
      <c r="Z51823" s="258"/>
    </row>
    <row r="51824" spans="1:26" ht="12.75" customHeight="1" x14ac:dyDescent="0.2">
      <c r="A51824" s="258"/>
      <c r="Z51824" s="258"/>
    </row>
    <row r="51825" spans="1:26" ht="12.75" customHeight="1" x14ac:dyDescent="0.2">
      <c r="A51825" s="258"/>
      <c r="Z51825" s="258"/>
    </row>
    <row r="51826" spans="1:26" ht="12.75" customHeight="1" x14ac:dyDescent="0.2">
      <c r="A51826" s="258"/>
      <c r="Z51826" s="258"/>
    </row>
    <row r="51827" spans="1:26" ht="12.75" customHeight="1" x14ac:dyDescent="0.2">
      <c r="A51827" s="258"/>
      <c r="Z51827" s="258"/>
    </row>
    <row r="51828" spans="1:26" ht="12.75" customHeight="1" x14ac:dyDescent="0.2">
      <c r="A51828" s="258"/>
      <c r="Z51828" s="258"/>
    </row>
    <row r="51829" spans="1:26" ht="12.75" customHeight="1" x14ac:dyDescent="0.2">
      <c r="A51829" s="258"/>
      <c r="Z51829" s="258"/>
    </row>
    <row r="51830" spans="1:26" ht="12.75" customHeight="1" x14ac:dyDescent="0.2">
      <c r="A51830" s="258"/>
      <c r="Z51830" s="258"/>
    </row>
    <row r="51831" spans="1:26" ht="12.75" customHeight="1" x14ac:dyDescent="0.2">
      <c r="A51831" s="258"/>
      <c r="Z51831" s="258"/>
    </row>
    <row r="51832" spans="1:26" ht="12.75" customHeight="1" x14ac:dyDescent="0.2">
      <c r="A51832" s="258"/>
      <c r="Z51832" s="258"/>
    </row>
    <row r="51833" spans="1:26" ht="12.75" customHeight="1" x14ac:dyDescent="0.2">
      <c r="A51833" s="258"/>
      <c r="Z51833" s="258"/>
    </row>
    <row r="51834" spans="1:26" ht="12.75" customHeight="1" x14ac:dyDescent="0.2">
      <c r="A51834" s="258"/>
      <c r="Z51834" s="258"/>
    </row>
    <row r="51835" spans="1:26" ht="12.75" customHeight="1" x14ac:dyDescent="0.2">
      <c r="A51835" s="258"/>
      <c r="Z51835" s="258"/>
    </row>
    <row r="51836" spans="1:26" ht="12.75" customHeight="1" x14ac:dyDescent="0.2">
      <c r="A51836" s="258"/>
      <c r="Z51836" s="258"/>
    </row>
    <row r="51837" spans="1:26" ht="12.75" customHeight="1" x14ac:dyDescent="0.2">
      <c r="A51837" s="258"/>
      <c r="Z51837" s="258"/>
    </row>
    <row r="51838" spans="1:26" ht="12.75" customHeight="1" x14ac:dyDescent="0.2">
      <c r="A51838" s="258"/>
      <c r="Z51838" s="258"/>
    </row>
    <row r="51839" spans="1:26" ht="12.75" customHeight="1" x14ac:dyDescent="0.2">
      <c r="A51839" s="258"/>
      <c r="Z51839" s="258"/>
    </row>
    <row r="51840" spans="1:26" ht="12.75" customHeight="1" x14ac:dyDescent="0.2">
      <c r="A51840" s="258"/>
      <c r="Z51840" s="258"/>
    </row>
    <row r="51841" spans="1:26" ht="12.75" customHeight="1" x14ac:dyDescent="0.2">
      <c r="A51841" s="258"/>
      <c r="Z51841" s="258"/>
    </row>
    <row r="51842" spans="1:26" ht="12.75" customHeight="1" x14ac:dyDescent="0.2">
      <c r="A51842" s="258"/>
      <c r="Z51842" s="258"/>
    </row>
    <row r="51843" spans="1:26" ht="12.75" customHeight="1" x14ac:dyDescent="0.2">
      <c r="A51843" s="258"/>
      <c r="Z51843" s="258"/>
    </row>
    <row r="51844" spans="1:26" ht="12.75" customHeight="1" x14ac:dyDescent="0.2">
      <c r="A51844" s="258"/>
      <c r="Z51844" s="258"/>
    </row>
    <row r="51845" spans="1:26" ht="12.75" customHeight="1" x14ac:dyDescent="0.2">
      <c r="A51845" s="258"/>
      <c r="Z51845" s="258"/>
    </row>
    <row r="51846" spans="1:26" ht="12.75" customHeight="1" x14ac:dyDescent="0.2">
      <c r="A51846" s="258"/>
      <c r="Z51846" s="258"/>
    </row>
    <row r="51847" spans="1:26" ht="12.75" customHeight="1" x14ac:dyDescent="0.2">
      <c r="A51847" s="258"/>
      <c r="Z51847" s="258"/>
    </row>
    <row r="51848" spans="1:26" ht="12.75" customHeight="1" x14ac:dyDescent="0.2">
      <c r="A51848" s="258"/>
      <c r="Z51848" s="258"/>
    </row>
    <row r="51849" spans="1:26" ht="12.75" customHeight="1" x14ac:dyDescent="0.2">
      <c r="A51849" s="258"/>
      <c r="Z51849" s="258"/>
    </row>
    <row r="51850" spans="1:26" ht="12.75" customHeight="1" x14ac:dyDescent="0.2">
      <c r="A51850" s="258"/>
      <c r="Z51850" s="258"/>
    </row>
    <row r="51851" spans="1:26" ht="12.75" customHeight="1" x14ac:dyDescent="0.2">
      <c r="A51851" s="258"/>
      <c r="Z51851" s="258"/>
    </row>
    <row r="51852" spans="1:26" ht="12.75" customHeight="1" x14ac:dyDescent="0.2">
      <c r="A51852" s="258"/>
      <c r="Z51852" s="258"/>
    </row>
    <row r="51853" spans="1:26" ht="12.75" customHeight="1" x14ac:dyDescent="0.2">
      <c r="A51853" s="258"/>
      <c r="Z51853" s="258"/>
    </row>
    <row r="51854" spans="1:26" ht="12.75" customHeight="1" x14ac:dyDescent="0.2">
      <c r="A51854" s="258"/>
      <c r="Z51854" s="258"/>
    </row>
    <row r="51855" spans="1:26" ht="12.75" customHeight="1" x14ac:dyDescent="0.2">
      <c r="A51855" s="258"/>
      <c r="Z51855" s="258"/>
    </row>
    <row r="51856" spans="1:26" ht="12.75" customHeight="1" x14ac:dyDescent="0.2">
      <c r="A51856" s="258"/>
      <c r="Z51856" s="258"/>
    </row>
    <row r="51857" spans="1:26" ht="12.75" customHeight="1" x14ac:dyDescent="0.2">
      <c r="A51857" s="258"/>
      <c r="Z51857" s="258"/>
    </row>
    <row r="51858" spans="1:26" ht="12.75" customHeight="1" x14ac:dyDescent="0.2">
      <c r="A51858" s="258"/>
      <c r="Z51858" s="258"/>
    </row>
    <row r="51859" spans="1:26" ht="12.75" customHeight="1" x14ac:dyDescent="0.2">
      <c r="A51859" s="258"/>
      <c r="Z51859" s="258"/>
    </row>
    <row r="51860" spans="1:26" ht="12.75" customHeight="1" x14ac:dyDescent="0.2">
      <c r="A51860" s="258"/>
      <c r="Z51860" s="258"/>
    </row>
    <row r="51861" spans="1:26" ht="12.75" customHeight="1" x14ac:dyDescent="0.2">
      <c r="A51861" s="258"/>
      <c r="Z51861" s="258"/>
    </row>
    <row r="51862" spans="1:26" ht="12.75" customHeight="1" x14ac:dyDescent="0.2">
      <c r="A51862" s="258"/>
      <c r="Z51862" s="258"/>
    </row>
    <row r="51863" spans="1:26" ht="12.75" customHeight="1" x14ac:dyDescent="0.2">
      <c r="A51863" s="258"/>
      <c r="Z51863" s="258"/>
    </row>
    <row r="51864" spans="1:26" ht="12.75" customHeight="1" x14ac:dyDescent="0.2">
      <c r="A51864" s="258"/>
      <c r="Z51864" s="258"/>
    </row>
    <row r="51865" spans="1:26" ht="12.75" customHeight="1" x14ac:dyDescent="0.2">
      <c r="A51865" s="258"/>
      <c r="Z51865" s="258"/>
    </row>
    <row r="51866" spans="1:26" ht="12.75" customHeight="1" x14ac:dyDescent="0.2">
      <c r="A51866" s="258"/>
      <c r="Z51866" s="258"/>
    </row>
    <row r="51867" spans="1:26" ht="12.75" customHeight="1" x14ac:dyDescent="0.2">
      <c r="A51867" s="258"/>
      <c r="Z51867" s="258"/>
    </row>
    <row r="51868" spans="1:26" ht="12.75" customHeight="1" x14ac:dyDescent="0.2">
      <c r="A51868" s="258"/>
      <c r="Z51868" s="258"/>
    </row>
    <row r="51869" spans="1:26" ht="12.75" customHeight="1" x14ac:dyDescent="0.2">
      <c r="A51869" s="258"/>
      <c r="Z51869" s="258"/>
    </row>
    <row r="51870" spans="1:26" ht="12.75" customHeight="1" x14ac:dyDescent="0.2">
      <c r="A51870" s="258"/>
      <c r="Z51870" s="258"/>
    </row>
    <row r="51871" spans="1:26" ht="12.75" customHeight="1" x14ac:dyDescent="0.2">
      <c r="A51871" s="258"/>
      <c r="Z51871" s="258"/>
    </row>
    <row r="51872" spans="1:26" ht="12.75" customHeight="1" x14ac:dyDescent="0.2">
      <c r="A51872" s="258"/>
      <c r="Z51872" s="258"/>
    </row>
    <row r="51873" spans="1:26" ht="12.75" customHeight="1" x14ac:dyDescent="0.2">
      <c r="A51873" s="258"/>
      <c r="Z51873" s="258"/>
    </row>
    <row r="51874" spans="1:26" ht="12.75" customHeight="1" x14ac:dyDescent="0.2">
      <c r="A51874" s="258"/>
      <c r="Z51874" s="258"/>
    </row>
    <row r="51875" spans="1:26" ht="12.75" customHeight="1" x14ac:dyDescent="0.2">
      <c r="A51875" s="258"/>
      <c r="Z51875" s="258"/>
    </row>
    <row r="51876" spans="1:26" ht="12.75" customHeight="1" x14ac:dyDescent="0.2">
      <c r="A51876" s="258"/>
      <c r="Z51876" s="258"/>
    </row>
    <row r="51877" spans="1:26" ht="12.75" customHeight="1" x14ac:dyDescent="0.2">
      <c r="A51877" s="258"/>
      <c r="Z51877" s="258"/>
    </row>
    <row r="51878" spans="1:26" ht="12.75" customHeight="1" x14ac:dyDescent="0.2">
      <c r="A51878" s="258"/>
      <c r="Z51878" s="258"/>
    </row>
    <row r="51879" spans="1:26" ht="12.75" customHeight="1" x14ac:dyDescent="0.2">
      <c r="A51879" s="258"/>
      <c r="Z51879" s="258"/>
    </row>
    <row r="51880" spans="1:26" ht="12.75" customHeight="1" x14ac:dyDescent="0.2">
      <c r="A51880" s="258"/>
      <c r="Z51880" s="258"/>
    </row>
    <row r="51881" spans="1:26" ht="12.75" customHeight="1" x14ac:dyDescent="0.2">
      <c r="A51881" s="258"/>
      <c r="Z51881" s="258"/>
    </row>
    <row r="51882" spans="1:26" ht="12.75" customHeight="1" x14ac:dyDescent="0.2">
      <c r="A51882" s="258"/>
      <c r="Z51882" s="258"/>
    </row>
    <row r="51883" spans="1:26" ht="12.75" customHeight="1" x14ac:dyDescent="0.2">
      <c r="A51883" s="258"/>
      <c r="Z51883" s="258"/>
    </row>
    <row r="51884" spans="1:26" ht="12.75" customHeight="1" x14ac:dyDescent="0.2">
      <c r="A51884" s="258"/>
      <c r="Z51884" s="258"/>
    </row>
    <row r="51885" spans="1:26" ht="12.75" customHeight="1" x14ac:dyDescent="0.2">
      <c r="A51885" s="258"/>
      <c r="Z51885" s="258"/>
    </row>
    <row r="51886" spans="1:26" ht="12.75" customHeight="1" x14ac:dyDescent="0.2">
      <c r="A51886" s="258"/>
      <c r="Z51886" s="258"/>
    </row>
    <row r="51887" spans="1:26" ht="12.75" customHeight="1" x14ac:dyDescent="0.2">
      <c r="A51887" s="258"/>
      <c r="Z51887" s="258"/>
    </row>
    <row r="51888" spans="1:26" ht="12.75" customHeight="1" x14ac:dyDescent="0.2">
      <c r="A51888" s="258"/>
      <c r="Z51888" s="258"/>
    </row>
    <row r="51889" spans="1:26" ht="12.75" customHeight="1" x14ac:dyDescent="0.2">
      <c r="A51889" s="258"/>
      <c r="Z51889" s="258"/>
    </row>
    <row r="51890" spans="1:26" ht="12.75" customHeight="1" x14ac:dyDescent="0.2">
      <c r="A51890" s="258"/>
      <c r="Z51890" s="258"/>
    </row>
    <row r="51891" spans="1:26" ht="12.75" customHeight="1" x14ac:dyDescent="0.2">
      <c r="A51891" s="258"/>
      <c r="Z51891" s="258"/>
    </row>
    <row r="51892" spans="1:26" ht="12.75" customHeight="1" x14ac:dyDescent="0.2">
      <c r="A51892" s="258"/>
      <c r="Z51892" s="258"/>
    </row>
    <row r="51893" spans="1:26" ht="12.75" customHeight="1" x14ac:dyDescent="0.2">
      <c r="A51893" s="258"/>
      <c r="Z51893" s="258"/>
    </row>
    <row r="51894" spans="1:26" ht="12.75" customHeight="1" x14ac:dyDescent="0.2">
      <c r="A51894" s="258"/>
      <c r="Z51894" s="258"/>
    </row>
    <row r="51895" spans="1:26" ht="12.75" customHeight="1" x14ac:dyDescent="0.2">
      <c r="A51895" s="258"/>
      <c r="Z51895" s="258"/>
    </row>
    <row r="51896" spans="1:26" ht="12.75" customHeight="1" x14ac:dyDescent="0.2">
      <c r="A51896" s="258"/>
      <c r="Z51896" s="258"/>
    </row>
    <row r="51897" spans="1:26" ht="12.75" customHeight="1" x14ac:dyDescent="0.2">
      <c r="A51897" s="258"/>
      <c r="Z51897" s="258"/>
    </row>
    <row r="51898" spans="1:26" ht="12.75" customHeight="1" x14ac:dyDescent="0.2">
      <c r="A51898" s="258"/>
      <c r="Z51898" s="258"/>
    </row>
    <row r="51899" spans="1:26" ht="12.75" customHeight="1" x14ac:dyDescent="0.2">
      <c r="A51899" s="258"/>
      <c r="Z51899" s="258"/>
    </row>
    <row r="51900" spans="1:26" ht="12.75" customHeight="1" x14ac:dyDescent="0.2">
      <c r="A51900" s="258"/>
      <c r="Z51900" s="258"/>
    </row>
    <row r="51901" spans="1:26" ht="12.75" customHeight="1" x14ac:dyDescent="0.2">
      <c r="A51901" s="258"/>
      <c r="Z51901" s="258"/>
    </row>
    <row r="51902" spans="1:26" ht="12.75" customHeight="1" x14ac:dyDescent="0.2">
      <c r="A51902" s="258"/>
      <c r="Z51902" s="258"/>
    </row>
    <row r="51903" spans="1:26" ht="12.75" customHeight="1" x14ac:dyDescent="0.2">
      <c r="A51903" s="258"/>
      <c r="Z51903" s="258"/>
    </row>
    <row r="51904" spans="1:26" ht="12.75" customHeight="1" x14ac:dyDescent="0.2">
      <c r="A51904" s="258"/>
      <c r="Z51904" s="258"/>
    </row>
    <row r="51905" spans="1:26" ht="12.75" customHeight="1" x14ac:dyDescent="0.2">
      <c r="A51905" s="258"/>
      <c r="Z51905" s="258"/>
    </row>
    <row r="51906" spans="1:26" ht="12.75" customHeight="1" x14ac:dyDescent="0.2">
      <c r="A51906" s="258"/>
      <c r="Z51906" s="258"/>
    </row>
    <row r="51907" spans="1:26" ht="12.75" customHeight="1" x14ac:dyDescent="0.2">
      <c r="A51907" s="258"/>
      <c r="Z51907" s="258"/>
    </row>
    <row r="51908" spans="1:26" ht="12.75" customHeight="1" x14ac:dyDescent="0.2">
      <c r="A51908" s="258"/>
      <c r="Z51908" s="258"/>
    </row>
    <row r="51909" spans="1:26" ht="12.75" customHeight="1" x14ac:dyDescent="0.2">
      <c r="A51909" s="258"/>
      <c r="Z51909" s="258"/>
    </row>
    <row r="51910" spans="1:26" ht="12.75" customHeight="1" x14ac:dyDescent="0.2">
      <c r="A51910" s="258"/>
      <c r="Z51910" s="258"/>
    </row>
    <row r="51911" spans="1:26" ht="12.75" customHeight="1" x14ac:dyDescent="0.2">
      <c r="A51911" s="258"/>
      <c r="Z51911" s="258"/>
    </row>
    <row r="51912" spans="1:26" ht="12.75" customHeight="1" x14ac:dyDescent="0.2">
      <c r="A51912" s="258"/>
      <c r="Z51912" s="258"/>
    </row>
    <row r="51913" spans="1:26" ht="12.75" customHeight="1" x14ac:dyDescent="0.2">
      <c r="A51913" s="258"/>
      <c r="Z51913" s="258"/>
    </row>
    <row r="51914" spans="1:26" ht="12.75" customHeight="1" x14ac:dyDescent="0.2">
      <c r="A51914" s="258"/>
      <c r="Z51914" s="258"/>
    </row>
    <row r="51915" spans="1:26" ht="12.75" customHeight="1" x14ac:dyDescent="0.2">
      <c r="A51915" s="258"/>
      <c r="Z51915" s="258"/>
    </row>
    <row r="51916" spans="1:26" ht="12.75" customHeight="1" x14ac:dyDescent="0.2">
      <c r="A51916" s="258"/>
      <c r="Z51916" s="258"/>
    </row>
    <row r="51917" spans="1:26" ht="12.75" customHeight="1" x14ac:dyDescent="0.2">
      <c r="A51917" s="258"/>
      <c r="Z51917" s="258"/>
    </row>
    <row r="51918" spans="1:26" ht="12.75" customHeight="1" x14ac:dyDescent="0.2">
      <c r="A51918" s="258"/>
      <c r="Z51918" s="258"/>
    </row>
    <row r="51919" spans="1:26" ht="12.75" customHeight="1" x14ac:dyDescent="0.2">
      <c r="A51919" s="258"/>
      <c r="Z51919" s="258"/>
    </row>
    <row r="51920" spans="1:26" ht="12.75" customHeight="1" x14ac:dyDescent="0.2">
      <c r="A51920" s="258"/>
      <c r="Z51920" s="258"/>
    </row>
    <row r="51921" spans="1:26" ht="12.75" customHeight="1" x14ac:dyDescent="0.2">
      <c r="A51921" s="258"/>
      <c r="Z51921" s="258"/>
    </row>
    <row r="51922" spans="1:26" ht="12.75" customHeight="1" x14ac:dyDescent="0.2">
      <c r="A51922" s="258"/>
      <c r="Z51922" s="258"/>
    </row>
    <row r="51923" spans="1:26" ht="12.75" customHeight="1" x14ac:dyDescent="0.2">
      <c r="A51923" s="258"/>
      <c r="Z51923" s="258"/>
    </row>
    <row r="51924" spans="1:26" ht="12.75" customHeight="1" x14ac:dyDescent="0.2">
      <c r="A51924" s="258"/>
      <c r="Z51924" s="258"/>
    </row>
    <row r="51925" spans="1:26" ht="12.75" customHeight="1" x14ac:dyDescent="0.2">
      <c r="A51925" s="258"/>
      <c r="Z51925" s="258"/>
    </row>
    <row r="51926" spans="1:26" ht="12.75" customHeight="1" x14ac:dyDescent="0.2">
      <c r="A51926" s="258"/>
      <c r="Z51926" s="258"/>
    </row>
    <row r="51927" spans="1:26" ht="12.75" customHeight="1" x14ac:dyDescent="0.2">
      <c r="A51927" s="258"/>
      <c r="Z51927" s="258"/>
    </row>
    <row r="51928" spans="1:26" ht="12.75" customHeight="1" x14ac:dyDescent="0.2">
      <c r="A51928" s="258"/>
      <c r="Z51928" s="258"/>
    </row>
    <row r="51929" spans="1:26" ht="12.75" customHeight="1" x14ac:dyDescent="0.2">
      <c r="A51929" s="258"/>
      <c r="Z51929" s="258"/>
    </row>
    <row r="51930" spans="1:26" ht="12.75" customHeight="1" x14ac:dyDescent="0.2">
      <c r="A51930" s="258"/>
      <c r="Z51930" s="258"/>
    </row>
    <row r="51931" spans="1:26" ht="12.75" customHeight="1" x14ac:dyDescent="0.2">
      <c r="A51931" s="258"/>
      <c r="Z51931" s="258"/>
    </row>
    <row r="51932" spans="1:26" ht="12.75" customHeight="1" x14ac:dyDescent="0.2">
      <c r="A51932" s="258"/>
      <c r="Z51932" s="258"/>
    </row>
    <row r="51933" spans="1:26" ht="12.75" customHeight="1" x14ac:dyDescent="0.2">
      <c r="A51933" s="258"/>
      <c r="Z51933" s="258"/>
    </row>
    <row r="51934" spans="1:26" ht="12.75" customHeight="1" x14ac:dyDescent="0.2">
      <c r="A51934" s="258"/>
      <c r="Z51934" s="258"/>
    </row>
    <row r="51935" spans="1:26" ht="12.75" customHeight="1" x14ac:dyDescent="0.2">
      <c r="A51935" s="258"/>
      <c r="Z51935" s="258"/>
    </row>
    <row r="51936" spans="1:26" ht="12.75" customHeight="1" x14ac:dyDescent="0.2">
      <c r="A51936" s="258"/>
      <c r="Z51936" s="258"/>
    </row>
    <row r="51937" spans="1:26" ht="12.75" customHeight="1" x14ac:dyDescent="0.2">
      <c r="A51937" s="258"/>
      <c r="Z51937" s="258"/>
    </row>
    <row r="51938" spans="1:26" ht="12.75" customHeight="1" x14ac:dyDescent="0.2">
      <c r="A51938" s="258"/>
      <c r="Z51938" s="258"/>
    </row>
    <row r="51939" spans="1:26" ht="12.75" customHeight="1" x14ac:dyDescent="0.2">
      <c r="A51939" s="258"/>
      <c r="Z51939" s="258"/>
    </row>
    <row r="51940" spans="1:26" ht="12.75" customHeight="1" x14ac:dyDescent="0.2">
      <c r="A51940" s="258"/>
      <c r="Z51940" s="258"/>
    </row>
    <row r="51941" spans="1:26" ht="12.75" customHeight="1" x14ac:dyDescent="0.2">
      <c r="A51941" s="258"/>
      <c r="Z51941" s="258"/>
    </row>
    <row r="51942" spans="1:26" ht="12.75" customHeight="1" x14ac:dyDescent="0.2">
      <c r="A51942" s="258"/>
      <c r="Z51942" s="258"/>
    </row>
    <row r="51943" spans="1:26" ht="12.75" customHeight="1" x14ac:dyDescent="0.2">
      <c r="A51943" s="258"/>
      <c r="Z51943" s="258"/>
    </row>
    <row r="51944" spans="1:26" ht="12.75" customHeight="1" x14ac:dyDescent="0.2">
      <c r="A51944" s="258"/>
      <c r="Z51944" s="258"/>
    </row>
    <row r="51945" spans="1:26" ht="12.75" customHeight="1" x14ac:dyDescent="0.2">
      <c r="A51945" s="258"/>
      <c r="Z51945" s="258"/>
    </row>
    <row r="51946" spans="1:26" ht="12.75" customHeight="1" x14ac:dyDescent="0.2">
      <c r="A51946" s="258"/>
      <c r="Z51946" s="258"/>
    </row>
    <row r="51947" spans="1:26" ht="12.75" customHeight="1" x14ac:dyDescent="0.2">
      <c r="A51947" s="258"/>
      <c r="Z51947" s="258"/>
    </row>
    <row r="51948" spans="1:26" ht="12.75" customHeight="1" x14ac:dyDescent="0.2">
      <c r="A51948" s="258"/>
      <c r="Z51948" s="258"/>
    </row>
    <row r="51949" spans="1:26" ht="12.75" customHeight="1" x14ac:dyDescent="0.2">
      <c r="A51949" s="258"/>
      <c r="Z51949" s="258"/>
    </row>
    <row r="51950" spans="1:26" ht="12.75" customHeight="1" x14ac:dyDescent="0.2">
      <c r="A51950" s="258"/>
      <c r="Z51950" s="258"/>
    </row>
    <row r="51951" spans="1:26" ht="12.75" customHeight="1" x14ac:dyDescent="0.2">
      <c r="A51951" s="258"/>
      <c r="Z51951" s="258"/>
    </row>
    <row r="51952" spans="1:26" ht="12.75" customHeight="1" x14ac:dyDescent="0.2">
      <c r="A51952" s="258"/>
      <c r="Z51952" s="258"/>
    </row>
    <row r="51953" spans="1:26" ht="12.75" customHeight="1" x14ac:dyDescent="0.2">
      <c r="A51953" s="258"/>
      <c r="Z51953" s="258"/>
    </row>
    <row r="51954" spans="1:26" ht="12.75" customHeight="1" x14ac:dyDescent="0.2">
      <c r="A51954" s="258"/>
      <c r="Z51954" s="258"/>
    </row>
    <row r="51955" spans="1:26" ht="12.75" customHeight="1" x14ac:dyDescent="0.2">
      <c r="A51955" s="258"/>
      <c r="Z51955" s="258"/>
    </row>
    <row r="51956" spans="1:26" ht="12.75" customHeight="1" x14ac:dyDescent="0.2">
      <c r="A51956" s="258"/>
      <c r="Z51956" s="258"/>
    </row>
    <row r="51957" spans="1:26" ht="12.75" customHeight="1" x14ac:dyDescent="0.2">
      <c r="A51957" s="258"/>
      <c r="Z51957" s="258"/>
    </row>
    <row r="51958" spans="1:26" ht="12.75" customHeight="1" x14ac:dyDescent="0.2">
      <c r="A51958" s="258"/>
      <c r="Z51958" s="258"/>
    </row>
    <row r="51959" spans="1:26" ht="12.75" customHeight="1" x14ac:dyDescent="0.2">
      <c r="A51959" s="258"/>
      <c r="Z51959" s="258"/>
    </row>
    <row r="51960" spans="1:26" ht="12.75" customHeight="1" x14ac:dyDescent="0.2">
      <c r="A51960" s="258"/>
      <c r="Z51960" s="258"/>
    </row>
    <row r="51961" spans="1:26" ht="12.75" customHeight="1" x14ac:dyDescent="0.2">
      <c r="A51961" s="258"/>
      <c r="Z51961" s="258"/>
    </row>
    <row r="51962" spans="1:26" ht="12.75" customHeight="1" x14ac:dyDescent="0.2">
      <c r="A51962" s="258"/>
      <c r="Z51962" s="258"/>
    </row>
    <row r="51963" spans="1:26" ht="12.75" customHeight="1" x14ac:dyDescent="0.2">
      <c r="A51963" s="258"/>
      <c r="Z51963" s="258"/>
    </row>
    <row r="51964" spans="1:26" ht="12.75" customHeight="1" x14ac:dyDescent="0.2">
      <c r="A51964" s="258"/>
      <c r="Z51964" s="258"/>
    </row>
    <row r="51965" spans="1:26" ht="12.75" customHeight="1" x14ac:dyDescent="0.2">
      <c r="A51965" s="258"/>
      <c r="Z51965" s="258"/>
    </row>
    <row r="51966" spans="1:26" ht="12.75" customHeight="1" x14ac:dyDescent="0.2">
      <c r="A51966" s="258"/>
      <c r="Z51966" s="258"/>
    </row>
    <row r="51967" spans="1:26" ht="12.75" customHeight="1" x14ac:dyDescent="0.2">
      <c r="A51967" s="258"/>
      <c r="Z51967" s="258"/>
    </row>
    <row r="51968" spans="1:26" ht="12.75" customHeight="1" x14ac:dyDescent="0.2">
      <c r="A51968" s="258"/>
      <c r="Z51968" s="258"/>
    </row>
    <row r="51969" spans="1:26" ht="12.75" customHeight="1" x14ac:dyDescent="0.2">
      <c r="A51969" s="258"/>
      <c r="Z51969" s="258"/>
    </row>
    <row r="51970" spans="1:26" ht="12.75" customHeight="1" x14ac:dyDescent="0.2">
      <c r="A51970" s="258"/>
      <c r="Z51970" s="258"/>
    </row>
    <row r="51971" spans="1:26" ht="12.75" customHeight="1" x14ac:dyDescent="0.2">
      <c r="A51971" s="258"/>
      <c r="Z51971" s="258"/>
    </row>
    <row r="51972" spans="1:26" ht="12.75" customHeight="1" x14ac:dyDescent="0.2">
      <c r="A51972" s="258"/>
      <c r="Z51972" s="258"/>
    </row>
    <row r="51973" spans="1:26" ht="12.75" customHeight="1" x14ac:dyDescent="0.2">
      <c r="A51973" s="258"/>
      <c r="Z51973" s="258"/>
    </row>
    <row r="51974" spans="1:26" ht="12.75" customHeight="1" x14ac:dyDescent="0.2">
      <c r="A51974" s="258"/>
      <c r="Z51974" s="258"/>
    </row>
    <row r="51975" spans="1:26" ht="12.75" customHeight="1" x14ac:dyDescent="0.2">
      <c r="A51975" s="258"/>
      <c r="Z51975" s="258"/>
    </row>
    <row r="51976" spans="1:26" ht="12.75" customHeight="1" x14ac:dyDescent="0.2">
      <c r="A51976" s="258"/>
      <c r="Z51976" s="258"/>
    </row>
    <row r="51977" spans="1:26" ht="12.75" customHeight="1" x14ac:dyDescent="0.2">
      <c r="A51977" s="258"/>
      <c r="Z51977" s="258"/>
    </row>
    <row r="51978" spans="1:26" ht="12.75" customHeight="1" x14ac:dyDescent="0.2">
      <c r="A51978" s="258"/>
      <c r="Z51978" s="258"/>
    </row>
    <row r="51979" spans="1:26" ht="12.75" customHeight="1" x14ac:dyDescent="0.2">
      <c r="A51979" s="258"/>
      <c r="Z51979" s="258"/>
    </row>
    <row r="51980" spans="1:26" ht="12.75" customHeight="1" x14ac:dyDescent="0.2">
      <c r="A51980" s="258"/>
      <c r="Z51980" s="258"/>
    </row>
    <row r="51981" spans="1:26" ht="12.75" customHeight="1" x14ac:dyDescent="0.2">
      <c r="A51981" s="258"/>
      <c r="Z51981" s="258"/>
    </row>
    <row r="51982" spans="1:26" ht="12.75" customHeight="1" x14ac:dyDescent="0.2">
      <c r="A51982" s="258"/>
      <c r="Z51982" s="258"/>
    </row>
    <row r="51983" spans="1:26" ht="12.75" customHeight="1" x14ac:dyDescent="0.2">
      <c r="A51983" s="258"/>
      <c r="Z51983" s="258"/>
    </row>
    <row r="51984" spans="1:26" ht="12.75" customHeight="1" x14ac:dyDescent="0.2">
      <c r="A51984" s="258"/>
      <c r="Z51984" s="258"/>
    </row>
    <row r="51985" spans="1:26" ht="12.75" customHeight="1" x14ac:dyDescent="0.2">
      <c r="A51985" s="258"/>
      <c r="Z51985" s="258"/>
    </row>
    <row r="51986" spans="1:26" ht="12.75" customHeight="1" x14ac:dyDescent="0.2">
      <c r="A51986" s="258"/>
      <c r="Z51986" s="258"/>
    </row>
    <row r="51987" spans="1:26" ht="12.75" customHeight="1" x14ac:dyDescent="0.2">
      <c r="A51987" s="258"/>
      <c r="Z51987" s="258"/>
    </row>
    <row r="51988" spans="1:26" ht="12.75" customHeight="1" x14ac:dyDescent="0.2">
      <c r="A51988" s="258"/>
      <c r="Z51988" s="258"/>
    </row>
    <row r="51989" spans="1:26" ht="12.75" customHeight="1" x14ac:dyDescent="0.2">
      <c r="A51989" s="258"/>
      <c r="Z51989" s="258"/>
    </row>
    <row r="51990" spans="1:26" ht="12.75" customHeight="1" x14ac:dyDescent="0.2">
      <c r="A51990" s="258"/>
      <c r="Z51990" s="258"/>
    </row>
    <row r="51991" spans="1:26" ht="12.75" customHeight="1" x14ac:dyDescent="0.2">
      <c r="A51991" s="258"/>
      <c r="Z51991" s="258"/>
    </row>
    <row r="51992" spans="1:26" ht="12.75" customHeight="1" x14ac:dyDescent="0.2">
      <c r="A51992" s="258"/>
      <c r="Z51992" s="258"/>
    </row>
    <row r="51993" spans="1:26" ht="12.75" customHeight="1" x14ac:dyDescent="0.2">
      <c r="A51993" s="258"/>
      <c r="Z51993" s="258"/>
    </row>
    <row r="51994" spans="1:26" ht="12.75" customHeight="1" x14ac:dyDescent="0.2">
      <c r="A51994" s="258"/>
      <c r="Z51994" s="258"/>
    </row>
    <row r="51995" spans="1:26" ht="12.75" customHeight="1" x14ac:dyDescent="0.2">
      <c r="A51995" s="258"/>
      <c r="Z51995" s="258"/>
    </row>
    <row r="51996" spans="1:26" ht="12.75" customHeight="1" x14ac:dyDescent="0.2">
      <c r="A51996" s="258"/>
      <c r="Z51996" s="258"/>
    </row>
    <row r="51997" spans="1:26" ht="12.75" customHeight="1" x14ac:dyDescent="0.2">
      <c r="A51997" s="258"/>
      <c r="Z51997" s="258"/>
    </row>
    <row r="51998" spans="1:26" ht="12.75" customHeight="1" x14ac:dyDescent="0.2">
      <c r="A51998" s="258"/>
      <c r="Z51998" s="258"/>
    </row>
    <row r="51999" spans="1:26" ht="12.75" customHeight="1" x14ac:dyDescent="0.2">
      <c r="A51999" s="258"/>
      <c r="Z51999" s="258"/>
    </row>
    <row r="52000" spans="1:26" ht="12.75" customHeight="1" x14ac:dyDescent="0.2">
      <c r="A52000" s="258"/>
      <c r="Z52000" s="258"/>
    </row>
    <row r="52001" spans="1:26" ht="12.75" customHeight="1" x14ac:dyDescent="0.2">
      <c r="A52001" s="258"/>
      <c r="Z52001" s="258"/>
    </row>
    <row r="52002" spans="1:26" ht="12.75" customHeight="1" x14ac:dyDescent="0.2">
      <c r="A52002" s="258"/>
      <c r="Z52002" s="258"/>
    </row>
    <row r="52003" spans="1:26" ht="12.75" customHeight="1" x14ac:dyDescent="0.2">
      <c r="A52003" s="258"/>
      <c r="Z52003" s="258"/>
    </row>
    <row r="52004" spans="1:26" ht="12.75" customHeight="1" x14ac:dyDescent="0.2">
      <c r="A52004" s="258"/>
      <c r="Z52004" s="258"/>
    </row>
    <row r="52005" spans="1:26" ht="12.75" customHeight="1" x14ac:dyDescent="0.2">
      <c r="A52005" s="258"/>
      <c r="Z52005" s="258"/>
    </row>
    <row r="52006" spans="1:26" ht="12.75" customHeight="1" x14ac:dyDescent="0.2">
      <c r="A52006" s="258"/>
      <c r="Z52006" s="258"/>
    </row>
    <row r="52007" spans="1:26" ht="12.75" customHeight="1" x14ac:dyDescent="0.2">
      <c r="A52007" s="258"/>
      <c r="Z52007" s="258"/>
    </row>
    <row r="52008" spans="1:26" ht="12.75" customHeight="1" x14ac:dyDescent="0.2">
      <c r="A52008" s="258"/>
      <c r="Z52008" s="258"/>
    </row>
    <row r="52009" spans="1:26" ht="12.75" customHeight="1" x14ac:dyDescent="0.2">
      <c r="A52009" s="258"/>
      <c r="Z52009" s="258"/>
    </row>
    <row r="52010" spans="1:26" ht="12.75" customHeight="1" x14ac:dyDescent="0.2">
      <c r="A52010" s="258"/>
      <c r="Z52010" s="258"/>
    </row>
    <row r="52011" spans="1:26" ht="12.75" customHeight="1" x14ac:dyDescent="0.2">
      <c r="A52011" s="258"/>
      <c r="Z52011" s="258"/>
    </row>
    <row r="52012" spans="1:26" ht="12.75" customHeight="1" x14ac:dyDescent="0.2">
      <c r="A52012" s="258"/>
      <c r="Z52012" s="258"/>
    </row>
    <row r="52013" spans="1:26" ht="12.75" customHeight="1" x14ac:dyDescent="0.2">
      <c r="A52013" s="258"/>
      <c r="Z52013" s="258"/>
    </row>
    <row r="52014" spans="1:26" ht="12.75" customHeight="1" x14ac:dyDescent="0.2">
      <c r="A52014" s="258"/>
      <c r="Z52014" s="258"/>
    </row>
    <row r="52015" spans="1:26" ht="12.75" customHeight="1" x14ac:dyDescent="0.2">
      <c r="A52015" s="258"/>
      <c r="Z52015" s="258"/>
    </row>
    <row r="52016" spans="1:26" ht="12.75" customHeight="1" x14ac:dyDescent="0.2">
      <c r="A52016" s="258"/>
      <c r="Z52016" s="258"/>
    </row>
    <row r="52017" spans="1:26" ht="12.75" customHeight="1" x14ac:dyDescent="0.2">
      <c r="A52017" s="258"/>
      <c r="Z52017" s="258"/>
    </row>
    <row r="52018" spans="1:26" ht="12.75" customHeight="1" x14ac:dyDescent="0.2">
      <c r="A52018" s="258"/>
      <c r="Z52018" s="258"/>
    </row>
    <row r="52019" spans="1:26" ht="12.75" customHeight="1" x14ac:dyDescent="0.2">
      <c r="A52019" s="258"/>
      <c r="Z52019" s="258"/>
    </row>
    <row r="52020" spans="1:26" ht="12.75" customHeight="1" x14ac:dyDescent="0.2">
      <c r="A52020" s="258"/>
      <c r="Z52020" s="258"/>
    </row>
    <row r="52021" spans="1:26" ht="12.75" customHeight="1" x14ac:dyDescent="0.2">
      <c r="A52021" s="258"/>
      <c r="Z52021" s="258"/>
    </row>
    <row r="52022" spans="1:26" ht="12.75" customHeight="1" x14ac:dyDescent="0.2">
      <c r="A52022" s="258"/>
      <c r="Z52022" s="258"/>
    </row>
    <row r="52023" spans="1:26" ht="12.75" customHeight="1" x14ac:dyDescent="0.2">
      <c r="A52023" s="258"/>
      <c r="Z52023" s="258"/>
    </row>
    <row r="52024" spans="1:26" ht="12.75" customHeight="1" x14ac:dyDescent="0.2">
      <c r="A52024" s="258"/>
      <c r="Z52024" s="258"/>
    </row>
    <row r="52025" spans="1:26" ht="12.75" customHeight="1" x14ac:dyDescent="0.2">
      <c r="A52025" s="258"/>
      <c r="Z52025" s="258"/>
    </row>
    <row r="52026" spans="1:26" ht="12.75" customHeight="1" x14ac:dyDescent="0.2">
      <c r="A52026" s="258"/>
      <c r="Z52026" s="258"/>
    </row>
    <row r="52027" spans="1:26" ht="12.75" customHeight="1" x14ac:dyDescent="0.2">
      <c r="A52027" s="258"/>
      <c r="Z52027" s="258"/>
    </row>
    <row r="52028" spans="1:26" ht="12.75" customHeight="1" x14ac:dyDescent="0.2">
      <c r="A52028" s="258"/>
      <c r="Z52028" s="258"/>
    </row>
    <row r="52029" spans="1:26" ht="12.75" customHeight="1" x14ac:dyDescent="0.2">
      <c r="A52029" s="258"/>
      <c r="Z52029" s="258"/>
    </row>
    <row r="52030" spans="1:26" ht="12.75" customHeight="1" x14ac:dyDescent="0.2">
      <c r="A52030" s="258"/>
      <c r="Z52030" s="258"/>
    </row>
    <row r="52031" spans="1:26" ht="12.75" customHeight="1" x14ac:dyDescent="0.2">
      <c r="A52031" s="258"/>
      <c r="Z52031" s="258"/>
    </row>
    <row r="52032" spans="1:26" ht="12.75" customHeight="1" x14ac:dyDescent="0.2">
      <c r="A52032" s="258"/>
      <c r="Z52032" s="258"/>
    </row>
    <row r="52033" spans="1:26" ht="12.75" customHeight="1" x14ac:dyDescent="0.2">
      <c r="A52033" s="258"/>
      <c r="Z52033" s="258"/>
    </row>
    <row r="52034" spans="1:26" ht="12.75" customHeight="1" x14ac:dyDescent="0.2">
      <c r="A52034" s="258"/>
      <c r="Z52034" s="258"/>
    </row>
    <row r="52035" spans="1:26" ht="12.75" customHeight="1" x14ac:dyDescent="0.2">
      <c r="A52035" s="258"/>
      <c r="Z52035" s="258"/>
    </row>
    <row r="52036" spans="1:26" ht="12.75" customHeight="1" x14ac:dyDescent="0.2">
      <c r="A52036" s="258"/>
      <c r="Z52036" s="258"/>
    </row>
    <row r="52037" spans="1:26" ht="12.75" customHeight="1" x14ac:dyDescent="0.2">
      <c r="A52037" s="258"/>
      <c r="Z52037" s="258"/>
    </row>
    <row r="52038" spans="1:26" ht="12.75" customHeight="1" x14ac:dyDescent="0.2">
      <c r="A52038" s="258"/>
      <c r="Z52038" s="258"/>
    </row>
    <row r="52039" spans="1:26" ht="12.75" customHeight="1" x14ac:dyDescent="0.2">
      <c r="A52039" s="258"/>
      <c r="Z52039" s="258"/>
    </row>
    <row r="52040" spans="1:26" ht="12.75" customHeight="1" x14ac:dyDescent="0.2">
      <c r="A52040" s="258"/>
      <c r="Z52040" s="258"/>
    </row>
    <row r="52041" spans="1:26" ht="12.75" customHeight="1" x14ac:dyDescent="0.2">
      <c r="A52041" s="258"/>
      <c r="Z52041" s="258"/>
    </row>
    <row r="52042" spans="1:26" ht="12.75" customHeight="1" x14ac:dyDescent="0.2">
      <c r="A52042" s="258"/>
      <c r="Z52042" s="258"/>
    </row>
    <row r="52043" spans="1:26" ht="12.75" customHeight="1" x14ac:dyDescent="0.2">
      <c r="A52043" s="258"/>
      <c r="Z52043" s="258"/>
    </row>
    <row r="52044" spans="1:26" ht="12.75" customHeight="1" x14ac:dyDescent="0.2">
      <c r="A52044" s="258"/>
      <c r="Z52044" s="258"/>
    </row>
    <row r="52045" spans="1:26" ht="12.75" customHeight="1" x14ac:dyDescent="0.2">
      <c r="A52045" s="258"/>
      <c r="Z52045" s="258"/>
    </row>
    <row r="52046" spans="1:26" ht="12.75" customHeight="1" x14ac:dyDescent="0.2">
      <c r="A52046" s="258"/>
      <c r="Z52046" s="258"/>
    </row>
    <row r="52047" spans="1:26" ht="12.75" customHeight="1" x14ac:dyDescent="0.2">
      <c r="A52047" s="258"/>
      <c r="Z52047" s="258"/>
    </row>
    <row r="52048" spans="1:26" ht="12.75" customHeight="1" x14ac:dyDescent="0.2">
      <c r="A52048" s="258"/>
      <c r="Z52048" s="258"/>
    </row>
    <row r="52049" spans="1:26" ht="12.75" customHeight="1" x14ac:dyDescent="0.2">
      <c r="A52049" s="258"/>
      <c r="Z52049" s="258"/>
    </row>
    <row r="52050" spans="1:26" ht="12.75" customHeight="1" x14ac:dyDescent="0.2">
      <c r="A52050" s="258"/>
      <c r="Z52050" s="258"/>
    </row>
    <row r="52051" spans="1:26" ht="12.75" customHeight="1" x14ac:dyDescent="0.2">
      <c r="A52051" s="258"/>
      <c r="Z52051" s="258"/>
    </row>
    <row r="52052" spans="1:26" ht="12.75" customHeight="1" x14ac:dyDescent="0.2">
      <c r="A52052" s="258"/>
      <c r="Z52052" s="258"/>
    </row>
    <row r="52053" spans="1:26" ht="12.75" customHeight="1" x14ac:dyDescent="0.2">
      <c r="A52053" s="258"/>
      <c r="Z52053" s="258"/>
    </row>
    <row r="52054" spans="1:26" ht="12.75" customHeight="1" x14ac:dyDescent="0.2">
      <c r="A52054" s="258"/>
      <c r="Z52054" s="258"/>
    </row>
    <row r="52055" spans="1:26" ht="12.75" customHeight="1" x14ac:dyDescent="0.2">
      <c r="A52055" s="258"/>
      <c r="Z52055" s="258"/>
    </row>
    <row r="52056" spans="1:26" ht="12.75" customHeight="1" x14ac:dyDescent="0.2">
      <c r="A52056" s="258"/>
      <c r="Z52056" s="258"/>
    </row>
    <row r="52057" spans="1:26" ht="12.75" customHeight="1" x14ac:dyDescent="0.2">
      <c r="A52057" s="258"/>
      <c r="Z52057" s="258"/>
    </row>
    <row r="52058" spans="1:26" ht="12.75" customHeight="1" x14ac:dyDescent="0.2">
      <c r="A52058" s="258"/>
      <c r="Z52058" s="258"/>
    </row>
    <row r="52059" spans="1:26" ht="12.75" customHeight="1" x14ac:dyDescent="0.2">
      <c r="A52059" s="258"/>
      <c r="Z52059" s="258"/>
    </row>
    <row r="52060" spans="1:26" ht="12.75" customHeight="1" x14ac:dyDescent="0.2">
      <c r="A52060" s="258"/>
      <c r="Z52060" s="258"/>
    </row>
    <row r="52061" spans="1:26" ht="12.75" customHeight="1" x14ac:dyDescent="0.2">
      <c r="A52061" s="258"/>
      <c r="Z52061" s="258"/>
    </row>
    <row r="52062" spans="1:26" ht="12.75" customHeight="1" x14ac:dyDescent="0.2">
      <c r="A52062" s="258"/>
      <c r="Z52062" s="258"/>
    </row>
    <row r="52063" spans="1:26" ht="12.75" customHeight="1" x14ac:dyDescent="0.2">
      <c r="A52063" s="258"/>
      <c r="Z52063" s="258"/>
    </row>
    <row r="52064" spans="1:26" ht="12.75" customHeight="1" x14ac:dyDescent="0.2">
      <c r="A52064" s="258"/>
      <c r="Z52064" s="258"/>
    </row>
    <row r="52065" spans="1:26" ht="12.75" customHeight="1" x14ac:dyDescent="0.2">
      <c r="A52065" s="258"/>
      <c r="Z52065" s="258"/>
    </row>
    <row r="52066" spans="1:26" ht="12.75" customHeight="1" x14ac:dyDescent="0.2">
      <c r="A52066" s="258"/>
      <c r="Z52066" s="258"/>
    </row>
    <row r="52067" spans="1:26" ht="12.75" customHeight="1" x14ac:dyDescent="0.2">
      <c r="A52067" s="258"/>
      <c r="Z52067" s="258"/>
    </row>
    <row r="52068" spans="1:26" ht="12.75" customHeight="1" x14ac:dyDescent="0.2">
      <c r="A52068" s="258"/>
      <c r="Z52068" s="258"/>
    </row>
    <row r="52069" spans="1:26" ht="12.75" customHeight="1" x14ac:dyDescent="0.2">
      <c r="A52069" s="258"/>
      <c r="Z52069" s="258"/>
    </row>
    <row r="52070" spans="1:26" ht="12.75" customHeight="1" x14ac:dyDescent="0.2">
      <c r="A52070" s="258"/>
      <c r="Z52070" s="258"/>
    </row>
    <row r="52071" spans="1:26" ht="12.75" customHeight="1" x14ac:dyDescent="0.2">
      <c r="A52071" s="258"/>
      <c r="Z52071" s="258"/>
    </row>
    <row r="52072" spans="1:26" ht="12.75" customHeight="1" x14ac:dyDescent="0.2">
      <c r="A52072" s="258"/>
      <c r="Z52072" s="258"/>
    </row>
    <row r="52073" spans="1:26" ht="12.75" customHeight="1" x14ac:dyDescent="0.2">
      <c r="A52073" s="258"/>
      <c r="Z52073" s="258"/>
    </row>
    <row r="52074" spans="1:26" ht="12.75" customHeight="1" x14ac:dyDescent="0.2">
      <c r="A52074" s="258"/>
      <c r="Z52074" s="258"/>
    </row>
    <row r="52075" spans="1:26" ht="12.75" customHeight="1" x14ac:dyDescent="0.2">
      <c r="A52075" s="258"/>
      <c r="Z52075" s="258"/>
    </row>
    <row r="52076" spans="1:26" ht="12.75" customHeight="1" x14ac:dyDescent="0.2">
      <c r="A52076" s="258"/>
      <c r="Z52076" s="258"/>
    </row>
    <row r="52077" spans="1:26" ht="12.75" customHeight="1" x14ac:dyDescent="0.2">
      <c r="A52077" s="258"/>
      <c r="Z52077" s="258"/>
    </row>
    <row r="52078" spans="1:26" ht="12.75" customHeight="1" x14ac:dyDescent="0.2">
      <c r="A52078" s="258"/>
      <c r="Z52078" s="258"/>
    </row>
    <row r="52079" spans="1:26" ht="12.75" customHeight="1" x14ac:dyDescent="0.2">
      <c r="A52079" s="258"/>
      <c r="Z52079" s="258"/>
    </row>
    <row r="52080" spans="1:26" ht="12.75" customHeight="1" x14ac:dyDescent="0.2">
      <c r="A52080" s="258"/>
      <c r="Z52080" s="258"/>
    </row>
    <row r="52081" spans="1:26" ht="12.75" customHeight="1" x14ac:dyDescent="0.2">
      <c r="A52081" s="258"/>
      <c r="Z52081" s="258"/>
    </row>
    <row r="52082" spans="1:26" ht="12.75" customHeight="1" x14ac:dyDescent="0.2">
      <c r="A52082" s="258"/>
      <c r="Z52082" s="258"/>
    </row>
    <row r="52083" spans="1:26" ht="12.75" customHeight="1" x14ac:dyDescent="0.2">
      <c r="A52083" s="258"/>
      <c r="Z52083" s="258"/>
    </row>
    <row r="52084" spans="1:26" ht="12.75" customHeight="1" x14ac:dyDescent="0.2">
      <c r="A52084" s="258"/>
      <c r="Z52084" s="258"/>
    </row>
    <row r="52085" spans="1:26" ht="12.75" customHeight="1" x14ac:dyDescent="0.2">
      <c r="A52085" s="258"/>
      <c r="Z52085" s="258"/>
    </row>
    <row r="52086" spans="1:26" ht="12.75" customHeight="1" x14ac:dyDescent="0.2">
      <c r="A52086" s="258"/>
      <c r="Z52086" s="258"/>
    </row>
    <row r="52087" spans="1:26" ht="12.75" customHeight="1" x14ac:dyDescent="0.2">
      <c r="A52087" s="258"/>
      <c r="Z52087" s="258"/>
    </row>
    <row r="52088" spans="1:26" ht="12.75" customHeight="1" x14ac:dyDescent="0.2">
      <c r="A52088" s="258"/>
      <c r="Z52088" s="258"/>
    </row>
    <row r="52089" spans="1:26" ht="12.75" customHeight="1" x14ac:dyDescent="0.2">
      <c r="A52089" s="258"/>
      <c r="Z52089" s="258"/>
    </row>
    <row r="52090" spans="1:26" ht="12.75" customHeight="1" x14ac:dyDescent="0.2">
      <c r="A52090" s="258"/>
      <c r="Z52090" s="258"/>
    </row>
    <row r="52091" spans="1:26" ht="12.75" customHeight="1" x14ac:dyDescent="0.2">
      <c r="A52091" s="258"/>
      <c r="Z52091" s="258"/>
    </row>
    <row r="52092" spans="1:26" ht="12.75" customHeight="1" x14ac:dyDescent="0.2">
      <c r="A52092" s="258"/>
      <c r="Z52092" s="258"/>
    </row>
    <row r="52093" spans="1:26" ht="12.75" customHeight="1" x14ac:dyDescent="0.2">
      <c r="A52093" s="258"/>
      <c r="Z52093" s="258"/>
    </row>
    <row r="52094" spans="1:26" ht="12.75" customHeight="1" x14ac:dyDescent="0.2">
      <c r="A52094" s="258"/>
      <c r="Z52094" s="258"/>
    </row>
    <row r="52095" spans="1:26" ht="12.75" customHeight="1" x14ac:dyDescent="0.2">
      <c r="A52095" s="258"/>
      <c r="Z52095" s="258"/>
    </row>
    <row r="52096" spans="1:26" ht="12.75" customHeight="1" x14ac:dyDescent="0.2">
      <c r="A52096" s="258"/>
      <c r="Z52096" s="258"/>
    </row>
    <row r="52097" spans="1:26" ht="12.75" customHeight="1" x14ac:dyDescent="0.2">
      <c r="A52097" s="258"/>
      <c r="Z52097" s="258"/>
    </row>
    <row r="52098" spans="1:26" ht="12.75" customHeight="1" x14ac:dyDescent="0.2">
      <c r="A52098" s="258"/>
      <c r="Z52098" s="258"/>
    </row>
    <row r="52099" spans="1:26" ht="12.75" customHeight="1" x14ac:dyDescent="0.2">
      <c r="A52099" s="258"/>
      <c r="Z52099" s="258"/>
    </row>
    <row r="52100" spans="1:26" ht="12.75" customHeight="1" x14ac:dyDescent="0.2">
      <c r="A52100" s="258"/>
      <c r="Z52100" s="258"/>
    </row>
    <row r="52101" spans="1:26" ht="12.75" customHeight="1" x14ac:dyDescent="0.2">
      <c r="A52101" s="258"/>
      <c r="Z52101" s="258"/>
    </row>
    <row r="52102" spans="1:26" ht="12.75" customHeight="1" x14ac:dyDescent="0.2">
      <c r="A52102" s="258"/>
      <c r="Z52102" s="258"/>
    </row>
    <row r="52103" spans="1:26" ht="12.75" customHeight="1" x14ac:dyDescent="0.2">
      <c r="A52103" s="258"/>
      <c r="Z52103" s="258"/>
    </row>
    <row r="52104" spans="1:26" ht="12.75" customHeight="1" x14ac:dyDescent="0.2">
      <c r="A52104" s="258"/>
      <c r="Z52104" s="258"/>
    </row>
    <row r="52105" spans="1:26" ht="12.75" customHeight="1" x14ac:dyDescent="0.2">
      <c r="A52105" s="258"/>
      <c r="Z52105" s="258"/>
    </row>
    <row r="52106" spans="1:26" ht="12.75" customHeight="1" x14ac:dyDescent="0.2">
      <c r="A52106" s="258"/>
      <c r="Z52106" s="258"/>
    </row>
    <row r="52107" spans="1:26" ht="12.75" customHeight="1" x14ac:dyDescent="0.2">
      <c r="A52107" s="258"/>
      <c r="Z52107" s="258"/>
    </row>
    <row r="52108" spans="1:26" ht="12.75" customHeight="1" x14ac:dyDescent="0.2">
      <c r="A52108" s="258"/>
      <c r="Z52108" s="258"/>
    </row>
    <row r="52109" spans="1:26" ht="12.75" customHeight="1" x14ac:dyDescent="0.2">
      <c r="A52109" s="258"/>
      <c r="Z52109" s="258"/>
    </row>
    <row r="52110" spans="1:26" ht="12.75" customHeight="1" x14ac:dyDescent="0.2">
      <c r="A52110" s="258"/>
      <c r="Z52110" s="258"/>
    </row>
    <row r="52111" spans="1:26" ht="12.75" customHeight="1" x14ac:dyDescent="0.2">
      <c r="A52111" s="258"/>
      <c r="Z52111" s="258"/>
    </row>
    <row r="52112" spans="1:26" ht="12.75" customHeight="1" x14ac:dyDescent="0.2">
      <c r="A52112" s="258"/>
      <c r="Z52112" s="258"/>
    </row>
    <row r="52113" spans="1:26" ht="12.75" customHeight="1" x14ac:dyDescent="0.2">
      <c r="A52113" s="258"/>
      <c r="Z52113" s="258"/>
    </row>
    <row r="52114" spans="1:26" ht="12.75" customHeight="1" x14ac:dyDescent="0.2">
      <c r="A52114" s="258"/>
      <c r="Z52114" s="258"/>
    </row>
    <row r="52115" spans="1:26" ht="12.75" customHeight="1" x14ac:dyDescent="0.2">
      <c r="A52115" s="258"/>
      <c r="Z52115" s="258"/>
    </row>
    <row r="52116" spans="1:26" ht="12.75" customHeight="1" x14ac:dyDescent="0.2">
      <c r="A52116" s="258"/>
      <c r="Z52116" s="258"/>
    </row>
    <row r="52117" spans="1:26" ht="12.75" customHeight="1" x14ac:dyDescent="0.2">
      <c r="A52117" s="258"/>
      <c r="Z52117" s="258"/>
    </row>
    <row r="52118" spans="1:26" ht="12.75" customHeight="1" x14ac:dyDescent="0.2">
      <c r="A52118" s="258"/>
      <c r="Z52118" s="258"/>
    </row>
    <row r="52119" spans="1:26" ht="12.75" customHeight="1" x14ac:dyDescent="0.2">
      <c r="A52119" s="258"/>
      <c r="Z52119" s="258"/>
    </row>
    <row r="52120" spans="1:26" ht="12.75" customHeight="1" x14ac:dyDescent="0.2">
      <c r="A52120" s="258"/>
      <c r="Z52120" s="258"/>
    </row>
    <row r="52121" spans="1:26" ht="12.75" customHeight="1" x14ac:dyDescent="0.2">
      <c r="A52121" s="258"/>
      <c r="Z52121" s="258"/>
    </row>
    <row r="52122" spans="1:26" ht="12.75" customHeight="1" x14ac:dyDescent="0.2">
      <c r="A52122" s="258"/>
      <c r="Z52122" s="258"/>
    </row>
    <row r="52123" spans="1:26" ht="12.75" customHeight="1" x14ac:dyDescent="0.2">
      <c r="A52123" s="258"/>
      <c r="Z52123" s="258"/>
    </row>
    <row r="52124" spans="1:26" ht="12.75" customHeight="1" x14ac:dyDescent="0.2">
      <c r="A52124" s="258"/>
      <c r="Z52124" s="258"/>
    </row>
    <row r="52125" spans="1:26" ht="12.75" customHeight="1" x14ac:dyDescent="0.2">
      <c r="A52125" s="258"/>
      <c r="Z52125" s="258"/>
    </row>
    <row r="52126" spans="1:26" ht="12.75" customHeight="1" x14ac:dyDescent="0.2">
      <c r="A52126" s="258"/>
      <c r="Z52126" s="258"/>
    </row>
    <row r="52127" spans="1:26" ht="12.75" customHeight="1" x14ac:dyDescent="0.2">
      <c r="A52127" s="258"/>
      <c r="Z52127" s="258"/>
    </row>
    <row r="52128" spans="1:26" ht="12.75" customHeight="1" x14ac:dyDescent="0.2">
      <c r="A52128" s="258"/>
      <c r="Z52128" s="258"/>
    </row>
    <row r="52129" spans="1:26" ht="12.75" customHeight="1" x14ac:dyDescent="0.2">
      <c r="A52129" s="258"/>
      <c r="Z52129" s="258"/>
    </row>
    <row r="52130" spans="1:26" ht="12.75" customHeight="1" x14ac:dyDescent="0.2">
      <c r="A52130" s="258"/>
      <c r="Z52130" s="258"/>
    </row>
    <row r="52131" spans="1:26" ht="12.75" customHeight="1" x14ac:dyDescent="0.2">
      <c r="A52131" s="258"/>
      <c r="Z52131" s="258"/>
    </row>
    <row r="52132" spans="1:26" ht="12.75" customHeight="1" x14ac:dyDescent="0.2">
      <c r="A52132" s="258"/>
      <c r="Z52132" s="258"/>
    </row>
    <row r="52133" spans="1:26" ht="12.75" customHeight="1" x14ac:dyDescent="0.2">
      <c r="A52133" s="258"/>
      <c r="Z52133" s="258"/>
    </row>
    <row r="52134" spans="1:26" ht="12.75" customHeight="1" x14ac:dyDescent="0.2">
      <c r="A52134" s="258"/>
      <c r="Z52134" s="258"/>
    </row>
    <row r="52135" spans="1:26" ht="12.75" customHeight="1" x14ac:dyDescent="0.2">
      <c r="A52135" s="258"/>
      <c r="Z52135" s="258"/>
    </row>
    <row r="52136" spans="1:26" ht="12.75" customHeight="1" x14ac:dyDescent="0.2">
      <c r="A52136" s="258"/>
      <c r="Z52136" s="258"/>
    </row>
    <row r="52137" spans="1:26" ht="12.75" customHeight="1" x14ac:dyDescent="0.2">
      <c r="A52137" s="258"/>
      <c r="Z52137" s="258"/>
    </row>
    <row r="52138" spans="1:26" ht="12.75" customHeight="1" x14ac:dyDescent="0.2">
      <c r="A52138" s="258"/>
      <c r="Z52138" s="258"/>
    </row>
    <row r="52139" spans="1:26" ht="12.75" customHeight="1" x14ac:dyDescent="0.2">
      <c r="A52139" s="258"/>
      <c r="Z52139" s="258"/>
    </row>
    <row r="52140" spans="1:26" ht="12.75" customHeight="1" x14ac:dyDescent="0.2">
      <c r="A52140" s="258"/>
      <c r="Z52140" s="258"/>
    </row>
    <row r="52141" spans="1:26" ht="12.75" customHeight="1" x14ac:dyDescent="0.2">
      <c r="A52141" s="258"/>
      <c r="Z52141" s="258"/>
    </row>
    <row r="52142" spans="1:26" ht="12.75" customHeight="1" x14ac:dyDescent="0.2">
      <c r="A52142" s="258"/>
      <c r="Z52142" s="258"/>
    </row>
    <row r="52143" spans="1:26" ht="12.75" customHeight="1" x14ac:dyDescent="0.2">
      <c r="A52143" s="258"/>
      <c r="Z52143" s="258"/>
    </row>
    <row r="52144" spans="1:26" ht="12.75" customHeight="1" x14ac:dyDescent="0.2">
      <c r="A52144" s="258"/>
      <c r="Z52144" s="258"/>
    </row>
    <row r="52145" spans="1:26" ht="12.75" customHeight="1" x14ac:dyDescent="0.2">
      <c r="A52145" s="258"/>
      <c r="Z52145" s="258"/>
    </row>
    <row r="52146" spans="1:26" ht="12.75" customHeight="1" x14ac:dyDescent="0.2">
      <c r="A52146" s="258"/>
      <c r="Z52146" s="258"/>
    </row>
    <row r="52147" spans="1:26" ht="12.75" customHeight="1" x14ac:dyDescent="0.2">
      <c r="A52147" s="258"/>
      <c r="Z52147" s="258"/>
    </row>
    <row r="52148" spans="1:26" ht="12.75" customHeight="1" x14ac:dyDescent="0.2">
      <c r="A52148" s="258"/>
      <c r="Z52148" s="258"/>
    </row>
    <row r="52149" spans="1:26" ht="12.75" customHeight="1" x14ac:dyDescent="0.2">
      <c r="A52149" s="258"/>
      <c r="Z52149" s="258"/>
    </row>
    <row r="52150" spans="1:26" ht="12.75" customHeight="1" x14ac:dyDescent="0.2">
      <c r="A52150" s="258"/>
      <c r="Z52150" s="258"/>
    </row>
    <row r="52151" spans="1:26" ht="12.75" customHeight="1" x14ac:dyDescent="0.2">
      <c r="A52151" s="258"/>
      <c r="Z52151" s="258"/>
    </row>
    <row r="52152" spans="1:26" ht="12.75" customHeight="1" x14ac:dyDescent="0.2">
      <c r="A52152" s="258"/>
      <c r="Z52152" s="258"/>
    </row>
    <row r="52153" spans="1:26" ht="12.75" customHeight="1" x14ac:dyDescent="0.2">
      <c r="A52153" s="258"/>
      <c r="Z52153" s="258"/>
    </row>
    <row r="52154" spans="1:26" ht="12.75" customHeight="1" x14ac:dyDescent="0.2">
      <c r="A52154" s="258"/>
      <c r="Z52154" s="258"/>
    </row>
    <row r="52155" spans="1:26" ht="12.75" customHeight="1" x14ac:dyDescent="0.2">
      <c r="A52155" s="258"/>
      <c r="Z52155" s="258"/>
    </row>
    <row r="52156" spans="1:26" ht="12.75" customHeight="1" x14ac:dyDescent="0.2">
      <c r="A52156" s="258"/>
      <c r="Z52156" s="258"/>
    </row>
    <row r="52157" spans="1:26" ht="12.75" customHeight="1" x14ac:dyDescent="0.2">
      <c r="A52157" s="258"/>
      <c r="Z52157" s="258"/>
    </row>
    <row r="52158" spans="1:26" ht="12.75" customHeight="1" x14ac:dyDescent="0.2">
      <c r="A52158" s="258"/>
      <c r="Z52158" s="258"/>
    </row>
    <row r="52159" spans="1:26" ht="12.75" customHeight="1" x14ac:dyDescent="0.2">
      <c r="A52159" s="258"/>
      <c r="Z52159" s="258"/>
    </row>
    <row r="52160" spans="1:26" ht="12.75" customHeight="1" x14ac:dyDescent="0.2">
      <c r="A52160" s="258"/>
      <c r="Z52160" s="258"/>
    </row>
    <row r="52161" spans="1:26" ht="12.75" customHeight="1" x14ac:dyDescent="0.2">
      <c r="A52161" s="258"/>
      <c r="Z52161" s="258"/>
    </row>
    <row r="52162" spans="1:26" ht="12.75" customHeight="1" x14ac:dyDescent="0.2">
      <c r="A52162" s="258"/>
      <c r="Z52162" s="258"/>
    </row>
    <row r="52163" spans="1:26" ht="12.75" customHeight="1" x14ac:dyDescent="0.2">
      <c r="A52163" s="258"/>
      <c r="Z52163" s="258"/>
    </row>
    <row r="52164" spans="1:26" ht="12.75" customHeight="1" x14ac:dyDescent="0.2">
      <c r="A52164" s="258"/>
      <c r="Z52164" s="258"/>
    </row>
    <row r="52165" spans="1:26" ht="12.75" customHeight="1" x14ac:dyDescent="0.2">
      <c r="A52165" s="258"/>
      <c r="Z52165" s="258"/>
    </row>
    <row r="52166" spans="1:26" ht="12.75" customHeight="1" x14ac:dyDescent="0.2">
      <c r="A52166" s="258"/>
      <c r="Z52166" s="258"/>
    </row>
    <row r="52167" spans="1:26" ht="12.75" customHeight="1" x14ac:dyDescent="0.2">
      <c r="A52167" s="258"/>
      <c r="Z52167" s="258"/>
    </row>
    <row r="52168" spans="1:26" ht="12.75" customHeight="1" x14ac:dyDescent="0.2">
      <c r="A52168" s="258"/>
      <c r="Z52168" s="258"/>
    </row>
    <row r="52169" spans="1:26" ht="12.75" customHeight="1" x14ac:dyDescent="0.2">
      <c r="A52169" s="258"/>
      <c r="Z52169" s="258"/>
    </row>
    <row r="52170" spans="1:26" ht="12.75" customHeight="1" x14ac:dyDescent="0.2">
      <c r="A52170" s="258"/>
      <c r="Z52170" s="258"/>
    </row>
    <row r="52171" spans="1:26" ht="12.75" customHeight="1" x14ac:dyDescent="0.2">
      <c r="A52171" s="258"/>
      <c r="Z52171" s="258"/>
    </row>
    <row r="52172" spans="1:26" ht="12.75" customHeight="1" x14ac:dyDescent="0.2">
      <c r="A52172" s="258"/>
      <c r="Z52172" s="258"/>
    </row>
    <row r="52173" spans="1:26" ht="12.75" customHeight="1" x14ac:dyDescent="0.2">
      <c r="A52173" s="258"/>
      <c r="Z52173" s="258"/>
    </row>
    <row r="52174" spans="1:26" ht="12.75" customHeight="1" x14ac:dyDescent="0.2">
      <c r="A52174" s="258"/>
      <c r="Z52174" s="258"/>
    </row>
    <row r="52175" spans="1:26" ht="12.75" customHeight="1" x14ac:dyDescent="0.2">
      <c r="A52175" s="258"/>
      <c r="Z52175" s="258"/>
    </row>
    <row r="52176" spans="1:26" ht="12.75" customHeight="1" x14ac:dyDescent="0.2">
      <c r="A52176" s="258"/>
      <c r="Z52176" s="258"/>
    </row>
    <row r="52177" spans="1:26" ht="12.75" customHeight="1" x14ac:dyDescent="0.2">
      <c r="A52177" s="258"/>
      <c r="Z52177" s="258"/>
    </row>
    <row r="52178" spans="1:26" ht="12.75" customHeight="1" x14ac:dyDescent="0.2">
      <c r="A52178" s="258"/>
      <c r="Z52178" s="258"/>
    </row>
    <row r="52179" spans="1:26" ht="12.75" customHeight="1" x14ac:dyDescent="0.2">
      <c r="A52179" s="258"/>
      <c r="Z52179" s="258"/>
    </row>
    <row r="52180" spans="1:26" ht="12.75" customHeight="1" x14ac:dyDescent="0.2">
      <c r="A52180" s="258"/>
      <c r="Z52180" s="258"/>
    </row>
    <row r="52181" spans="1:26" ht="12.75" customHeight="1" x14ac:dyDescent="0.2">
      <c r="A52181" s="258"/>
      <c r="Z52181" s="258"/>
    </row>
    <row r="52182" spans="1:26" ht="12.75" customHeight="1" x14ac:dyDescent="0.2">
      <c r="A52182" s="258"/>
      <c r="Z52182" s="258"/>
    </row>
    <row r="52183" spans="1:26" ht="12.75" customHeight="1" x14ac:dyDescent="0.2">
      <c r="A52183" s="258"/>
      <c r="Z52183" s="258"/>
    </row>
    <row r="52184" spans="1:26" ht="12.75" customHeight="1" x14ac:dyDescent="0.2">
      <c r="A52184" s="258"/>
      <c r="Z52184" s="258"/>
    </row>
    <row r="52185" spans="1:26" ht="12.75" customHeight="1" x14ac:dyDescent="0.2">
      <c r="A52185" s="258"/>
      <c r="Z52185" s="258"/>
    </row>
    <row r="52186" spans="1:26" ht="12.75" customHeight="1" x14ac:dyDescent="0.2">
      <c r="A52186" s="258"/>
      <c r="Z52186" s="258"/>
    </row>
    <row r="52187" spans="1:26" ht="12.75" customHeight="1" x14ac:dyDescent="0.2">
      <c r="A52187" s="258"/>
      <c r="Z52187" s="258"/>
    </row>
    <row r="52188" spans="1:26" ht="12.75" customHeight="1" x14ac:dyDescent="0.2">
      <c r="A52188" s="258"/>
      <c r="Z52188" s="258"/>
    </row>
    <row r="52189" spans="1:26" ht="12.75" customHeight="1" x14ac:dyDescent="0.2">
      <c r="A52189" s="258"/>
      <c r="Z52189" s="258"/>
    </row>
    <row r="52190" spans="1:26" ht="12.75" customHeight="1" x14ac:dyDescent="0.2">
      <c r="A52190" s="258"/>
      <c r="Z52190" s="258"/>
    </row>
    <row r="52191" spans="1:26" ht="12.75" customHeight="1" x14ac:dyDescent="0.2">
      <c r="A52191" s="258"/>
      <c r="Z52191" s="258"/>
    </row>
    <row r="52192" spans="1:26" ht="12.75" customHeight="1" x14ac:dyDescent="0.2">
      <c r="A52192" s="258"/>
      <c r="Z52192" s="258"/>
    </row>
    <row r="52193" spans="1:26" ht="12.75" customHeight="1" x14ac:dyDescent="0.2">
      <c r="A52193" s="258"/>
      <c r="Z52193" s="258"/>
    </row>
    <row r="52194" spans="1:26" ht="12.75" customHeight="1" x14ac:dyDescent="0.2">
      <c r="A52194" s="258"/>
      <c r="Z52194" s="258"/>
    </row>
    <row r="52195" spans="1:26" ht="12.75" customHeight="1" x14ac:dyDescent="0.2">
      <c r="A52195" s="258"/>
      <c r="Z52195" s="258"/>
    </row>
    <row r="52196" spans="1:26" ht="12.75" customHeight="1" x14ac:dyDescent="0.2">
      <c r="A52196" s="258"/>
      <c r="Z52196" s="258"/>
    </row>
    <row r="52197" spans="1:26" ht="12.75" customHeight="1" x14ac:dyDescent="0.2">
      <c r="A52197" s="258"/>
      <c r="Z52197" s="258"/>
    </row>
    <row r="52198" spans="1:26" ht="12.75" customHeight="1" x14ac:dyDescent="0.2">
      <c r="A52198" s="258"/>
      <c r="Z52198" s="258"/>
    </row>
    <row r="52199" spans="1:26" ht="12.75" customHeight="1" x14ac:dyDescent="0.2">
      <c r="A52199" s="258"/>
      <c r="Z52199" s="258"/>
    </row>
    <row r="52200" spans="1:26" ht="12.75" customHeight="1" x14ac:dyDescent="0.2">
      <c r="A52200" s="258"/>
      <c r="Z52200" s="258"/>
    </row>
    <row r="52201" spans="1:26" ht="12.75" customHeight="1" x14ac:dyDescent="0.2">
      <c r="A52201" s="258"/>
      <c r="Z52201" s="258"/>
    </row>
    <row r="52202" spans="1:26" ht="12.75" customHeight="1" x14ac:dyDescent="0.2">
      <c r="A52202" s="258"/>
      <c r="Z52202" s="258"/>
    </row>
    <row r="52203" spans="1:26" ht="12.75" customHeight="1" x14ac:dyDescent="0.2">
      <c r="A52203" s="258"/>
      <c r="Z52203" s="258"/>
    </row>
    <row r="52204" spans="1:26" ht="12.75" customHeight="1" x14ac:dyDescent="0.2">
      <c r="A52204" s="258"/>
      <c r="Z52204" s="258"/>
    </row>
    <row r="52205" spans="1:26" ht="12.75" customHeight="1" x14ac:dyDescent="0.2">
      <c r="A52205" s="258"/>
      <c r="Z52205" s="258"/>
    </row>
    <row r="52206" spans="1:26" ht="12.75" customHeight="1" x14ac:dyDescent="0.2">
      <c r="A52206" s="258"/>
      <c r="Z52206" s="258"/>
    </row>
    <row r="52207" spans="1:26" ht="12.75" customHeight="1" x14ac:dyDescent="0.2">
      <c r="A52207" s="258"/>
      <c r="Z52207" s="258"/>
    </row>
    <row r="52208" spans="1:26" ht="12.75" customHeight="1" x14ac:dyDescent="0.2">
      <c r="A52208" s="258"/>
      <c r="Z52208" s="258"/>
    </row>
    <row r="52209" spans="1:26" ht="12.75" customHeight="1" x14ac:dyDescent="0.2">
      <c r="A52209" s="258"/>
      <c r="Z52209" s="258"/>
    </row>
    <row r="52210" spans="1:26" ht="12.75" customHeight="1" x14ac:dyDescent="0.2">
      <c r="A52210" s="258"/>
      <c r="Z52210" s="258"/>
    </row>
    <row r="52211" spans="1:26" ht="12.75" customHeight="1" x14ac:dyDescent="0.2">
      <c r="A52211" s="258"/>
      <c r="Z52211" s="258"/>
    </row>
    <row r="52212" spans="1:26" ht="12.75" customHeight="1" x14ac:dyDescent="0.2">
      <c r="A52212" s="258"/>
      <c r="Z52212" s="258"/>
    </row>
    <row r="52213" spans="1:26" ht="12.75" customHeight="1" x14ac:dyDescent="0.2">
      <c r="A52213" s="258"/>
      <c r="Z52213" s="258"/>
    </row>
    <row r="52214" spans="1:26" ht="12.75" customHeight="1" x14ac:dyDescent="0.2">
      <c r="A52214" s="258"/>
      <c r="Z52214" s="258"/>
    </row>
    <row r="52215" spans="1:26" ht="12.75" customHeight="1" x14ac:dyDescent="0.2">
      <c r="A52215" s="258"/>
      <c r="Z52215" s="258"/>
    </row>
    <row r="52216" spans="1:26" ht="12.75" customHeight="1" x14ac:dyDescent="0.2">
      <c r="A52216" s="258"/>
      <c r="Z52216" s="258"/>
    </row>
    <row r="52217" spans="1:26" ht="12.75" customHeight="1" x14ac:dyDescent="0.2">
      <c r="A52217" s="258"/>
      <c r="Z52217" s="258"/>
    </row>
    <row r="52218" spans="1:26" ht="12.75" customHeight="1" x14ac:dyDescent="0.2">
      <c r="A52218" s="258"/>
      <c r="Z52218" s="258"/>
    </row>
    <row r="52219" spans="1:26" ht="12.75" customHeight="1" x14ac:dyDescent="0.2">
      <c r="A52219" s="258"/>
      <c r="Z52219" s="258"/>
    </row>
    <row r="52220" spans="1:26" ht="12.75" customHeight="1" x14ac:dyDescent="0.2">
      <c r="A52220" s="258"/>
      <c r="Z52220" s="258"/>
    </row>
    <row r="52221" spans="1:26" ht="12.75" customHeight="1" x14ac:dyDescent="0.2">
      <c r="A52221" s="258"/>
      <c r="Z52221" s="258"/>
    </row>
    <row r="52222" spans="1:26" ht="12.75" customHeight="1" x14ac:dyDescent="0.2">
      <c r="A52222" s="258"/>
      <c r="Z52222" s="258"/>
    </row>
    <row r="52223" spans="1:26" ht="12.75" customHeight="1" x14ac:dyDescent="0.2">
      <c r="A52223" s="258"/>
      <c r="Z52223" s="258"/>
    </row>
    <row r="52224" spans="1:26" ht="12.75" customHeight="1" x14ac:dyDescent="0.2">
      <c r="A52224" s="258"/>
      <c r="Z52224" s="258"/>
    </row>
    <row r="52225" spans="1:26" ht="12.75" customHeight="1" x14ac:dyDescent="0.2">
      <c r="A52225" s="258"/>
      <c r="Z52225" s="258"/>
    </row>
    <row r="52226" spans="1:26" ht="12.75" customHeight="1" x14ac:dyDescent="0.2">
      <c r="A52226" s="258"/>
      <c r="Z52226" s="258"/>
    </row>
    <row r="52227" spans="1:26" ht="12.75" customHeight="1" x14ac:dyDescent="0.2">
      <c r="A52227" s="258"/>
      <c r="Z52227" s="258"/>
    </row>
    <row r="52228" spans="1:26" ht="12.75" customHeight="1" x14ac:dyDescent="0.2">
      <c r="A52228" s="258"/>
      <c r="Z52228" s="258"/>
    </row>
    <row r="52229" spans="1:26" ht="12.75" customHeight="1" x14ac:dyDescent="0.2">
      <c r="A52229" s="258"/>
      <c r="Z52229" s="258"/>
    </row>
    <row r="52230" spans="1:26" ht="12.75" customHeight="1" x14ac:dyDescent="0.2">
      <c r="A52230" s="258"/>
      <c r="Z52230" s="258"/>
    </row>
    <row r="52231" spans="1:26" ht="12.75" customHeight="1" x14ac:dyDescent="0.2">
      <c r="A52231" s="258"/>
      <c r="Z52231" s="258"/>
    </row>
    <row r="52232" spans="1:26" ht="12.75" customHeight="1" x14ac:dyDescent="0.2">
      <c r="A52232" s="258"/>
      <c r="Z52232" s="258"/>
    </row>
    <row r="52233" spans="1:26" ht="12.75" customHeight="1" x14ac:dyDescent="0.2">
      <c r="A52233" s="258"/>
      <c r="Z52233" s="258"/>
    </row>
    <row r="52234" spans="1:26" ht="12.75" customHeight="1" x14ac:dyDescent="0.2">
      <c r="A52234" s="258"/>
      <c r="Z52234" s="258"/>
    </row>
    <row r="52235" spans="1:26" ht="12.75" customHeight="1" x14ac:dyDescent="0.2">
      <c r="A52235" s="258"/>
      <c r="Z52235" s="258"/>
    </row>
    <row r="52236" spans="1:26" ht="12.75" customHeight="1" x14ac:dyDescent="0.2">
      <c r="A52236" s="258"/>
      <c r="Z52236" s="258"/>
    </row>
    <row r="52237" spans="1:26" ht="12.75" customHeight="1" x14ac:dyDescent="0.2">
      <c r="A52237" s="258"/>
      <c r="Z52237" s="258"/>
    </row>
    <row r="52238" spans="1:26" ht="12.75" customHeight="1" x14ac:dyDescent="0.2">
      <c r="A52238" s="258"/>
      <c r="Z52238" s="258"/>
    </row>
    <row r="52239" spans="1:26" ht="12.75" customHeight="1" x14ac:dyDescent="0.2">
      <c r="A52239" s="258"/>
      <c r="Z52239" s="258"/>
    </row>
    <row r="52240" spans="1:26" ht="12.75" customHeight="1" x14ac:dyDescent="0.2">
      <c r="A52240" s="258"/>
      <c r="Z52240" s="258"/>
    </row>
    <row r="52241" spans="1:26" ht="12.75" customHeight="1" x14ac:dyDescent="0.2">
      <c r="A52241" s="258"/>
      <c r="Z52241" s="258"/>
    </row>
    <row r="52242" spans="1:26" ht="12.75" customHeight="1" x14ac:dyDescent="0.2">
      <c r="A52242" s="258"/>
      <c r="Z52242" s="258"/>
    </row>
    <row r="52243" spans="1:26" ht="12.75" customHeight="1" x14ac:dyDescent="0.2">
      <c r="A52243" s="258"/>
      <c r="Z52243" s="258"/>
    </row>
    <row r="52244" spans="1:26" ht="12.75" customHeight="1" x14ac:dyDescent="0.2">
      <c r="A52244" s="258"/>
      <c r="Z52244" s="258"/>
    </row>
    <row r="52245" spans="1:26" ht="12.75" customHeight="1" x14ac:dyDescent="0.2">
      <c r="A52245" s="258"/>
      <c r="Z52245" s="258"/>
    </row>
    <row r="52246" spans="1:26" ht="12.75" customHeight="1" x14ac:dyDescent="0.2">
      <c r="A52246" s="258"/>
      <c r="Z52246" s="258"/>
    </row>
    <row r="52247" spans="1:26" ht="12.75" customHeight="1" x14ac:dyDescent="0.2">
      <c r="A52247" s="258"/>
      <c r="Z52247" s="258"/>
    </row>
    <row r="52248" spans="1:26" ht="12.75" customHeight="1" x14ac:dyDescent="0.2">
      <c r="A52248" s="258"/>
      <c r="Z52248" s="258"/>
    </row>
    <row r="52249" spans="1:26" ht="12.75" customHeight="1" x14ac:dyDescent="0.2">
      <c r="A52249" s="258"/>
      <c r="Z52249" s="258"/>
    </row>
    <row r="52250" spans="1:26" ht="12.75" customHeight="1" x14ac:dyDescent="0.2">
      <c r="A52250" s="258"/>
      <c r="Z52250" s="258"/>
    </row>
    <row r="52251" spans="1:26" ht="12.75" customHeight="1" x14ac:dyDescent="0.2">
      <c r="A52251" s="258"/>
      <c r="Z52251" s="258"/>
    </row>
    <row r="52252" spans="1:26" ht="12.75" customHeight="1" x14ac:dyDescent="0.2">
      <c r="A52252" s="258"/>
      <c r="Z52252" s="258"/>
    </row>
    <row r="52253" spans="1:26" ht="12.75" customHeight="1" x14ac:dyDescent="0.2">
      <c r="A52253" s="258"/>
      <c r="Z52253" s="258"/>
    </row>
    <row r="52254" spans="1:26" ht="12.75" customHeight="1" x14ac:dyDescent="0.2">
      <c r="A52254" s="258"/>
      <c r="Z52254" s="258"/>
    </row>
    <row r="52255" spans="1:26" ht="12.75" customHeight="1" x14ac:dyDescent="0.2">
      <c r="A52255" s="258"/>
      <c r="Z52255" s="258"/>
    </row>
    <row r="52256" spans="1:26" ht="12.75" customHeight="1" x14ac:dyDescent="0.2">
      <c r="A52256" s="258"/>
      <c r="Z52256" s="258"/>
    </row>
    <row r="52257" spans="1:26" ht="12.75" customHeight="1" x14ac:dyDescent="0.2">
      <c r="A52257" s="258"/>
      <c r="Z52257" s="258"/>
    </row>
    <row r="52258" spans="1:26" ht="12.75" customHeight="1" x14ac:dyDescent="0.2">
      <c r="A52258" s="258"/>
      <c r="Z52258" s="258"/>
    </row>
    <row r="52259" spans="1:26" ht="12.75" customHeight="1" x14ac:dyDescent="0.2">
      <c r="A52259" s="258"/>
      <c r="Z52259" s="258"/>
    </row>
    <row r="52260" spans="1:26" ht="12.75" customHeight="1" x14ac:dyDescent="0.2">
      <c r="A52260" s="258"/>
      <c r="Z52260" s="258"/>
    </row>
    <row r="52261" spans="1:26" ht="12.75" customHeight="1" x14ac:dyDescent="0.2">
      <c r="A52261" s="258"/>
      <c r="Z52261" s="258"/>
    </row>
    <row r="52262" spans="1:26" ht="12.75" customHeight="1" x14ac:dyDescent="0.2">
      <c r="A52262" s="258"/>
      <c r="Z52262" s="258"/>
    </row>
    <row r="52263" spans="1:26" ht="12.75" customHeight="1" x14ac:dyDescent="0.2">
      <c r="A52263" s="258"/>
      <c r="Z52263" s="258"/>
    </row>
    <row r="52264" spans="1:26" ht="12.75" customHeight="1" x14ac:dyDescent="0.2">
      <c r="A52264" s="258"/>
      <c r="Z52264" s="258"/>
    </row>
    <row r="52265" spans="1:26" ht="12.75" customHeight="1" x14ac:dyDescent="0.2">
      <c r="A52265" s="258"/>
      <c r="Z52265" s="258"/>
    </row>
    <row r="52266" spans="1:26" ht="12.75" customHeight="1" x14ac:dyDescent="0.2">
      <c r="A52266" s="258"/>
      <c r="Z52266" s="258"/>
    </row>
    <row r="52267" spans="1:26" ht="12.75" customHeight="1" x14ac:dyDescent="0.2">
      <c r="A52267" s="258"/>
      <c r="Z52267" s="258"/>
    </row>
    <row r="52268" spans="1:26" ht="12.75" customHeight="1" x14ac:dyDescent="0.2">
      <c r="A52268" s="258"/>
      <c r="Z52268" s="258"/>
    </row>
    <row r="52269" spans="1:26" ht="12.75" customHeight="1" x14ac:dyDescent="0.2">
      <c r="A52269" s="258"/>
      <c r="Z52269" s="258"/>
    </row>
    <row r="52270" spans="1:26" ht="12.75" customHeight="1" x14ac:dyDescent="0.2">
      <c r="A52270" s="258"/>
      <c r="Z52270" s="258"/>
    </row>
    <row r="52271" spans="1:26" ht="12.75" customHeight="1" x14ac:dyDescent="0.2">
      <c r="A52271" s="258"/>
      <c r="Z52271" s="258"/>
    </row>
    <row r="52272" spans="1:26" ht="12.75" customHeight="1" x14ac:dyDescent="0.2">
      <c r="A52272" s="258"/>
      <c r="Z52272" s="258"/>
    </row>
    <row r="52273" spans="1:26" ht="12.75" customHeight="1" x14ac:dyDescent="0.2">
      <c r="A52273" s="258"/>
      <c r="Z52273" s="258"/>
    </row>
    <row r="52274" spans="1:26" ht="12.75" customHeight="1" x14ac:dyDescent="0.2">
      <c r="A52274" s="258"/>
      <c r="Z52274" s="258"/>
    </row>
    <row r="52275" spans="1:26" ht="12.75" customHeight="1" x14ac:dyDescent="0.2">
      <c r="A52275" s="258"/>
      <c r="Z52275" s="258"/>
    </row>
    <row r="52276" spans="1:26" ht="12.75" customHeight="1" x14ac:dyDescent="0.2">
      <c r="A52276" s="258"/>
      <c r="Z52276" s="258"/>
    </row>
    <row r="52277" spans="1:26" ht="12.75" customHeight="1" x14ac:dyDescent="0.2">
      <c r="A52277" s="258"/>
      <c r="Z52277" s="258"/>
    </row>
    <row r="52278" spans="1:26" ht="12.75" customHeight="1" x14ac:dyDescent="0.2">
      <c r="A52278" s="258"/>
      <c r="Z52278" s="258"/>
    </row>
    <row r="52279" spans="1:26" ht="12.75" customHeight="1" x14ac:dyDescent="0.2">
      <c r="A52279" s="258"/>
      <c r="Z52279" s="258"/>
    </row>
    <row r="52280" spans="1:26" ht="12.75" customHeight="1" x14ac:dyDescent="0.2">
      <c r="A52280" s="258"/>
      <c r="Z52280" s="258"/>
    </row>
    <row r="52281" spans="1:26" ht="12.75" customHeight="1" x14ac:dyDescent="0.2">
      <c r="A52281" s="258"/>
      <c r="Z52281" s="258"/>
    </row>
    <row r="52282" spans="1:26" ht="12.75" customHeight="1" x14ac:dyDescent="0.2">
      <c r="A52282" s="258"/>
      <c r="Z52282" s="258"/>
    </row>
    <row r="52283" spans="1:26" ht="12.75" customHeight="1" x14ac:dyDescent="0.2">
      <c r="A52283" s="258"/>
      <c r="Z52283" s="258"/>
    </row>
    <row r="52284" spans="1:26" ht="12.75" customHeight="1" x14ac:dyDescent="0.2">
      <c r="A52284" s="258"/>
      <c r="Z52284" s="258"/>
    </row>
    <row r="52285" spans="1:26" ht="12.75" customHeight="1" x14ac:dyDescent="0.2">
      <c r="A52285" s="258"/>
      <c r="Z52285" s="258"/>
    </row>
    <row r="52286" spans="1:26" ht="12.75" customHeight="1" x14ac:dyDescent="0.2">
      <c r="A52286" s="258"/>
      <c r="Z52286" s="258"/>
    </row>
    <row r="52287" spans="1:26" ht="12.75" customHeight="1" x14ac:dyDescent="0.2">
      <c r="A52287" s="258"/>
      <c r="Z52287" s="258"/>
    </row>
    <row r="52288" spans="1:26" ht="12.75" customHeight="1" x14ac:dyDescent="0.2">
      <c r="A52288" s="258"/>
      <c r="Z52288" s="258"/>
    </row>
    <row r="52289" spans="1:26" ht="12.75" customHeight="1" x14ac:dyDescent="0.2">
      <c r="A52289" s="258"/>
      <c r="Z52289" s="258"/>
    </row>
    <row r="52290" spans="1:26" ht="12.75" customHeight="1" x14ac:dyDescent="0.2">
      <c r="A52290" s="258"/>
      <c r="Z52290" s="258"/>
    </row>
    <row r="52291" spans="1:26" ht="12.75" customHeight="1" x14ac:dyDescent="0.2">
      <c r="A52291" s="258"/>
      <c r="Z52291" s="258"/>
    </row>
    <row r="52292" spans="1:26" ht="12.75" customHeight="1" x14ac:dyDescent="0.2">
      <c r="A52292" s="258"/>
      <c r="Z52292" s="258"/>
    </row>
    <row r="52293" spans="1:26" ht="12.75" customHeight="1" x14ac:dyDescent="0.2">
      <c r="A52293" s="258"/>
      <c r="Z52293" s="258"/>
    </row>
    <row r="52294" spans="1:26" ht="12.75" customHeight="1" x14ac:dyDescent="0.2">
      <c r="A52294" s="258"/>
      <c r="Z52294" s="258"/>
    </row>
    <row r="52295" spans="1:26" ht="12.75" customHeight="1" x14ac:dyDescent="0.2">
      <c r="A52295" s="258"/>
      <c r="Z52295" s="258"/>
    </row>
    <row r="52296" spans="1:26" ht="12.75" customHeight="1" x14ac:dyDescent="0.2">
      <c r="A52296" s="258"/>
      <c r="Z52296" s="258"/>
    </row>
    <row r="52297" spans="1:26" ht="12.75" customHeight="1" x14ac:dyDescent="0.2">
      <c r="A52297" s="258"/>
      <c r="Z52297" s="258"/>
    </row>
    <row r="52298" spans="1:26" ht="12.75" customHeight="1" x14ac:dyDescent="0.2">
      <c r="A52298" s="258"/>
      <c r="Z52298" s="258"/>
    </row>
    <row r="52299" spans="1:26" ht="12.75" customHeight="1" x14ac:dyDescent="0.2">
      <c r="A52299" s="258"/>
      <c r="Z52299" s="258"/>
    </row>
    <row r="52300" spans="1:26" ht="12.75" customHeight="1" x14ac:dyDescent="0.2">
      <c r="A52300" s="258"/>
      <c r="Z52300" s="258"/>
    </row>
    <row r="52301" spans="1:26" ht="12.75" customHeight="1" x14ac:dyDescent="0.2">
      <c r="A52301" s="258"/>
      <c r="Z52301" s="258"/>
    </row>
    <row r="52302" spans="1:26" ht="12.75" customHeight="1" x14ac:dyDescent="0.2">
      <c r="A52302" s="258"/>
      <c r="Z52302" s="258"/>
    </row>
    <row r="52303" spans="1:26" ht="12.75" customHeight="1" x14ac:dyDescent="0.2">
      <c r="A52303" s="258"/>
      <c r="Z52303" s="258"/>
    </row>
    <row r="52304" spans="1:26" ht="12.75" customHeight="1" x14ac:dyDescent="0.2">
      <c r="A52304" s="258"/>
      <c r="Z52304" s="258"/>
    </row>
    <row r="52305" spans="1:26" ht="12.75" customHeight="1" x14ac:dyDescent="0.2">
      <c r="A52305" s="258"/>
      <c r="Z52305" s="258"/>
    </row>
    <row r="52306" spans="1:26" ht="12.75" customHeight="1" x14ac:dyDescent="0.2">
      <c r="A52306" s="258"/>
      <c r="Z52306" s="258"/>
    </row>
    <row r="52307" spans="1:26" ht="12.75" customHeight="1" x14ac:dyDescent="0.2">
      <c r="A52307" s="258"/>
      <c r="Z52307" s="258"/>
    </row>
    <row r="52308" spans="1:26" ht="12.75" customHeight="1" x14ac:dyDescent="0.2">
      <c r="A52308" s="258"/>
      <c r="Z52308" s="258"/>
    </row>
    <row r="52309" spans="1:26" ht="12.75" customHeight="1" x14ac:dyDescent="0.2">
      <c r="A52309" s="258"/>
      <c r="Z52309" s="258"/>
    </row>
    <row r="52310" spans="1:26" ht="12.75" customHeight="1" x14ac:dyDescent="0.2">
      <c r="A52310" s="258"/>
      <c r="Z52310" s="258"/>
    </row>
    <row r="52311" spans="1:26" ht="12.75" customHeight="1" x14ac:dyDescent="0.2">
      <c r="A52311" s="258"/>
      <c r="Z52311" s="258"/>
    </row>
    <row r="52312" spans="1:26" ht="12.75" customHeight="1" x14ac:dyDescent="0.2">
      <c r="A52312" s="258"/>
      <c r="Z52312" s="258"/>
    </row>
    <row r="52313" spans="1:26" ht="12.75" customHeight="1" x14ac:dyDescent="0.2">
      <c r="A52313" s="258"/>
      <c r="Z52313" s="258"/>
    </row>
    <row r="52314" spans="1:26" ht="12.75" customHeight="1" x14ac:dyDescent="0.2">
      <c r="A52314" s="258"/>
      <c r="Z52314" s="258"/>
    </row>
    <row r="52315" spans="1:26" ht="12.75" customHeight="1" x14ac:dyDescent="0.2">
      <c r="A52315" s="258"/>
      <c r="Z52315" s="258"/>
    </row>
    <row r="52316" spans="1:26" ht="12.75" customHeight="1" x14ac:dyDescent="0.2">
      <c r="A52316" s="258"/>
      <c r="Z52316" s="258"/>
    </row>
    <row r="52317" spans="1:26" ht="12.75" customHeight="1" x14ac:dyDescent="0.2">
      <c r="A52317" s="258"/>
      <c r="Z52317" s="258"/>
    </row>
    <row r="52318" spans="1:26" ht="12.75" customHeight="1" x14ac:dyDescent="0.2">
      <c r="A52318" s="258"/>
      <c r="Z52318" s="258"/>
    </row>
    <row r="52319" spans="1:26" ht="12.75" customHeight="1" x14ac:dyDescent="0.2">
      <c r="A52319" s="258"/>
      <c r="Z52319" s="258"/>
    </row>
    <row r="52320" spans="1:26" ht="12.75" customHeight="1" x14ac:dyDescent="0.2">
      <c r="A52320" s="258"/>
      <c r="Z52320" s="258"/>
    </row>
    <row r="52321" spans="1:26" ht="12.75" customHeight="1" x14ac:dyDescent="0.2">
      <c r="A52321" s="258"/>
      <c r="Z52321" s="258"/>
    </row>
    <row r="52322" spans="1:26" ht="12.75" customHeight="1" x14ac:dyDescent="0.2">
      <c r="A52322" s="258"/>
      <c r="Z52322" s="258"/>
    </row>
    <row r="52323" spans="1:26" ht="12.75" customHeight="1" x14ac:dyDescent="0.2">
      <c r="A52323" s="258"/>
      <c r="Z52323" s="258"/>
    </row>
    <row r="52324" spans="1:26" ht="12.75" customHeight="1" x14ac:dyDescent="0.2">
      <c r="A52324" s="258"/>
      <c r="Z52324" s="258"/>
    </row>
    <row r="52325" spans="1:26" ht="12.75" customHeight="1" x14ac:dyDescent="0.2">
      <c r="A52325" s="258"/>
      <c r="Z52325" s="258"/>
    </row>
    <row r="52326" spans="1:26" ht="12.75" customHeight="1" x14ac:dyDescent="0.2">
      <c r="A52326" s="258"/>
      <c r="Z52326" s="258"/>
    </row>
    <row r="52327" spans="1:26" ht="12.75" customHeight="1" x14ac:dyDescent="0.2">
      <c r="A52327" s="258"/>
      <c r="Z52327" s="258"/>
    </row>
    <row r="52328" spans="1:26" ht="12.75" customHeight="1" x14ac:dyDescent="0.2">
      <c r="A52328" s="258"/>
      <c r="Z52328" s="258"/>
    </row>
    <row r="52329" spans="1:26" ht="12.75" customHeight="1" x14ac:dyDescent="0.2">
      <c r="A52329" s="258"/>
      <c r="Z52329" s="258"/>
    </row>
    <row r="52330" spans="1:26" ht="12.75" customHeight="1" x14ac:dyDescent="0.2">
      <c r="A52330" s="258"/>
      <c r="Z52330" s="258"/>
    </row>
    <row r="52331" spans="1:26" ht="12.75" customHeight="1" x14ac:dyDescent="0.2">
      <c r="A52331" s="258"/>
      <c r="Z52331" s="258"/>
    </row>
    <row r="52332" spans="1:26" ht="12.75" customHeight="1" x14ac:dyDescent="0.2">
      <c r="A52332" s="258"/>
      <c r="Z52332" s="258"/>
    </row>
    <row r="52333" spans="1:26" ht="12.75" customHeight="1" x14ac:dyDescent="0.2">
      <c r="A52333" s="258"/>
      <c r="Z52333" s="258"/>
    </row>
    <row r="52334" spans="1:26" ht="12.75" customHeight="1" x14ac:dyDescent="0.2">
      <c r="A52334" s="258"/>
      <c r="Z52334" s="258"/>
    </row>
    <row r="52335" spans="1:26" ht="12.75" customHeight="1" x14ac:dyDescent="0.2">
      <c r="A52335" s="258"/>
      <c r="Z52335" s="258"/>
    </row>
    <row r="52336" spans="1:26" ht="12.75" customHeight="1" x14ac:dyDescent="0.2">
      <c r="A52336" s="258"/>
      <c r="Z52336" s="258"/>
    </row>
    <row r="52337" spans="1:26" ht="12.75" customHeight="1" x14ac:dyDescent="0.2">
      <c r="A52337" s="258"/>
      <c r="Z52337" s="258"/>
    </row>
    <row r="52338" spans="1:26" ht="12.75" customHeight="1" x14ac:dyDescent="0.2">
      <c r="A52338" s="258"/>
      <c r="Z52338" s="258"/>
    </row>
    <row r="52339" spans="1:26" ht="12.75" customHeight="1" x14ac:dyDescent="0.2">
      <c r="A52339" s="258"/>
      <c r="Z52339" s="258"/>
    </row>
    <row r="52340" spans="1:26" ht="12.75" customHeight="1" x14ac:dyDescent="0.2">
      <c r="A52340" s="258"/>
      <c r="Z52340" s="258"/>
    </row>
    <row r="52341" spans="1:26" ht="12.75" customHeight="1" x14ac:dyDescent="0.2">
      <c r="A52341" s="258"/>
      <c r="Z52341" s="258"/>
    </row>
    <row r="52342" spans="1:26" ht="12.75" customHeight="1" x14ac:dyDescent="0.2">
      <c r="A52342" s="258"/>
      <c r="Z52342" s="258"/>
    </row>
    <row r="52343" spans="1:26" ht="12.75" customHeight="1" x14ac:dyDescent="0.2">
      <c r="A52343" s="258"/>
      <c r="Z52343" s="258"/>
    </row>
    <row r="52344" spans="1:26" ht="12.75" customHeight="1" x14ac:dyDescent="0.2">
      <c r="A52344" s="258"/>
      <c r="Z52344" s="258"/>
    </row>
    <row r="52345" spans="1:26" ht="12.75" customHeight="1" x14ac:dyDescent="0.2">
      <c r="A52345" s="258"/>
      <c r="Z52345" s="258"/>
    </row>
    <row r="52346" spans="1:26" ht="12.75" customHeight="1" x14ac:dyDescent="0.2">
      <c r="A52346" s="258"/>
      <c r="Z52346" s="258"/>
    </row>
    <row r="52347" spans="1:26" ht="12.75" customHeight="1" x14ac:dyDescent="0.2">
      <c r="A52347" s="258"/>
      <c r="Z52347" s="258"/>
    </row>
    <row r="52348" spans="1:26" ht="12.75" customHeight="1" x14ac:dyDescent="0.2">
      <c r="A52348" s="258"/>
      <c r="Z52348" s="258"/>
    </row>
    <row r="52349" spans="1:26" ht="12.75" customHeight="1" x14ac:dyDescent="0.2">
      <c r="A52349" s="258"/>
      <c r="Z52349" s="258"/>
    </row>
    <row r="52350" spans="1:26" ht="12.75" customHeight="1" x14ac:dyDescent="0.2">
      <c r="A52350" s="258"/>
      <c r="Z52350" s="258"/>
    </row>
    <row r="52351" spans="1:26" ht="12.75" customHeight="1" x14ac:dyDescent="0.2">
      <c r="A52351" s="258"/>
      <c r="Z52351" s="258"/>
    </row>
    <row r="52352" spans="1:26" ht="12.75" customHeight="1" x14ac:dyDescent="0.2">
      <c r="A52352" s="258"/>
      <c r="Z52352" s="258"/>
    </row>
    <row r="52353" spans="1:26" ht="12.75" customHeight="1" x14ac:dyDescent="0.2">
      <c r="A52353" s="258"/>
      <c r="Z52353" s="258"/>
    </row>
    <row r="52354" spans="1:26" ht="12.75" customHeight="1" x14ac:dyDescent="0.2">
      <c r="A52354" s="258"/>
      <c r="Z52354" s="258"/>
    </row>
    <row r="52355" spans="1:26" ht="12.75" customHeight="1" x14ac:dyDescent="0.2">
      <c r="A52355" s="258"/>
      <c r="Z52355" s="258"/>
    </row>
    <row r="52356" spans="1:26" ht="12.75" customHeight="1" x14ac:dyDescent="0.2">
      <c r="A52356" s="258"/>
      <c r="Z52356" s="258"/>
    </row>
    <row r="52357" spans="1:26" ht="12.75" customHeight="1" x14ac:dyDescent="0.2">
      <c r="A52357" s="258"/>
      <c r="Z52357" s="258"/>
    </row>
    <row r="52358" spans="1:26" ht="12.75" customHeight="1" x14ac:dyDescent="0.2">
      <c r="A52358" s="258"/>
      <c r="Z52358" s="258"/>
    </row>
    <row r="52359" spans="1:26" ht="12.75" customHeight="1" x14ac:dyDescent="0.2">
      <c r="A52359" s="258"/>
      <c r="Z52359" s="258"/>
    </row>
    <row r="52360" spans="1:26" ht="12.75" customHeight="1" x14ac:dyDescent="0.2">
      <c r="A52360" s="258"/>
      <c r="Z52360" s="258"/>
    </row>
    <row r="52361" spans="1:26" ht="12.75" customHeight="1" x14ac:dyDescent="0.2">
      <c r="A52361" s="258"/>
      <c r="Z52361" s="258"/>
    </row>
    <row r="52362" spans="1:26" ht="12.75" customHeight="1" x14ac:dyDescent="0.2">
      <c r="A52362" s="258"/>
      <c r="Z52362" s="258"/>
    </row>
    <row r="52363" spans="1:26" ht="12.75" customHeight="1" x14ac:dyDescent="0.2">
      <c r="A52363" s="258"/>
      <c r="Z52363" s="258"/>
    </row>
    <row r="52364" spans="1:26" ht="12.75" customHeight="1" x14ac:dyDescent="0.2">
      <c r="A52364" s="258"/>
      <c r="Z52364" s="258"/>
    </row>
    <row r="52365" spans="1:26" ht="12.75" customHeight="1" x14ac:dyDescent="0.2">
      <c r="A52365" s="258"/>
      <c r="Z52365" s="258"/>
    </row>
    <row r="52366" spans="1:26" ht="12.75" customHeight="1" x14ac:dyDescent="0.2">
      <c r="A52366" s="258"/>
      <c r="Z52366" s="258"/>
    </row>
    <row r="52367" spans="1:26" ht="12.75" customHeight="1" x14ac:dyDescent="0.2">
      <c r="A52367" s="258"/>
      <c r="Z52367" s="258"/>
    </row>
    <row r="52368" spans="1:26" ht="12.75" customHeight="1" x14ac:dyDescent="0.2">
      <c r="A52368" s="258"/>
      <c r="Z52368" s="258"/>
    </row>
    <row r="52369" spans="1:26" ht="12.75" customHeight="1" x14ac:dyDescent="0.2">
      <c r="A52369" s="258"/>
      <c r="Z52369" s="258"/>
    </row>
    <row r="52370" spans="1:26" ht="12.75" customHeight="1" x14ac:dyDescent="0.2">
      <c r="A52370" s="258"/>
      <c r="Z52370" s="258"/>
    </row>
    <row r="52371" spans="1:26" ht="12.75" customHeight="1" x14ac:dyDescent="0.2">
      <c r="A52371" s="258"/>
      <c r="Z52371" s="258"/>
    </row>
    <row r="52372" spans="1:26" ht="12.75" customHeight="1" x14ac:dyDescent="0.2">
      <c r="A52372" s="258"/>
      <c r="Z52372" s="258"/>
    </row>
    <row r="52373" spans="1:26" ht="12.75" customHeight="1" x14ac:dyDescent="0.2">
      <c r="A52373" s="258"/>
      <c r="Z52373" s="258"/>
    </row>
    <row r="52374" spans="1:26" ht="12.75" customHeight="1" x14ac:dyDescent="0.2">
      <c r="A52374" s="258"/>
      <c r="Z52374" s="258"/>
    </row>
    <row r="52375" spans="1:26" ht="12.75" customHeight="1" x14ac:dyDescent="0.2">
      <c r="A52375" s="258"/>
      <c r="Z52375" s="258"/>
    </row>
    <row r="52376" spans="1:26" ht="12.75" customHeight="1" x14ac:dyDescent="0.2">
      <c r="A52376" s="258"/>
      <c r="Z52376" s="258"/>
    </row>
    <row r="52377" spans="1:26" ht="12.75" customHeight="1" x14ac:dyDescent="0.2">
      <c r="A52377" s="258"/>
      <c r="Z52377" s="258"/>
    </row>
    <row r="52378" spans="1:26" ht="12.75" customHeight="1" x14ac:dyDescent="0.2">
      <c r="A52378" s="258"/>
      <c r="Z52378" s="258"/>
    </row>
    <row r="52379" spans="1:26" ht="12.75" customHeight="1" x14ac:dyDescent="0.2">
      <c r="A52379" s="258"/>
      <c r="Z52379" s="258"/>
    </row>
    <row r="52380" spans="1:26" ht="12.75" customHeight="1" x14ac:dyDescent="0.2">
      <c r="A52380" s="258"/>
      <c r="Z52380" s="258"/>
    </row>
    <row r="52381" spans="1:26" ht="12.75" customHeight="1" x14ac:dyDescent="0.2">
      <c r="A52381" s="258"/>
      <c r="Z52381" s="258"/>
    </row>
    <row r="52382" spans="1:26" ht="12.75" customHeight="1" x14ac:dyDescent="0.2">
      <c r="A52382" s="258"/>
      <c r="Z52382" s="258"/>
    </row>
    <row r="52383" spans="1:26" ht="12.75" customHeight="1" x14ac:dyDescent="0.2">
      <c r="A52383" s="258"/>
      <c r="Z52383" s="258"/>
    </row>
    <row r="52384" spans="1:26" ht="12.75" customHeight="1" x14ac:dyDescent="0.2">
      <c r="A52384" s="258"/>
      <c r="Z52384" s="258"/>
    </row>
    <row r="52385" spans="1:26" ht="12.75" customHeight="1" x14ac:dyDescent="0.2">
      <c r="A52385" s="258"/>
      <c r="Z52385" s="258"/>
    </row>
    <row r="52386" spans="1:26" ht="12.75" customHeight="1" x14ac:dyDescent="0.2">
      <c r="A52386" s="258"/>
      <c r="Z52386" s="258"/>
    </row>
    <row r="52387" spans="1:26" ht="12.75" customHeight="1" x14ac:dyDescent="0.2">
      <c r="A52387" s="258"/>
      <c r="Z52387" s="258"/>
    </row>
    <row r="52388" spans="1:26" ht="12.75" customHeight="1" x14ac:dyDescent="0.2">
      <c r="A52388" s="258"/>
      <c r="Z52388" s="258"/>
    </row>
    <row r="52389" spans="1:26" ht="12.75" customHeight="1" x14ac:dyDescent="0.2">
      <c r="A52389" s="258"/>
      <c r="Z52389" s="258"/>
    </row>
    <row r="52390" spans="1:26" ht="12.75" customHeight="1" x14ac:dyDescent="0.2">
      <c r="A52390" s="258"/>
      <c r="Z52390" s="258"/>
    </row>
    <row r="52391" spans="1:26" ht="12.75" customHeight="1" x14ac:dyDescent="0.2">
      <c r="A52391" s="258"/>
      <c r="Z52391" s="258"/>
    </row>
    <row r="52392" spans="1:26" ht="12.75" customHeight="1" x14ac:dyDescent="0.2">
      <c r="A52392" s="258"/>
      <c r="Z52392" s="258"/>
    </row>
    <row r="52393" spans="1:26" ht="12.75" customHeight="1" x14ac:dyDescent="0.2">
      <c r="A52393" s="258"/>
      <c r="Z52393" s="258"/>
    </row>
    <row r="52394" spans="1:26" ht="12.75" customHeight="1" x14ac:dyDescent="0.2">
      <c r="A52394" s="258"/>
      <c r="Z52394" s="258"/>
    </row>
    <row r="52395" spans="1:26" ht="12.75" customHeight="1" x14ac:dyDescent="0.2">
      <c r="A52395" s="258"/>
      <c r="Z52395" s="258"/>
    </row>
    <row r="52396" spans="1:26" ht="12.75" customHeight="1" x14ac:dyDescent="0.2">
      <c r="A52396" s="258"/>
      <c r="Z52396" s="258"/>
    </row>
    <row r="52397" spans="1:26" ht="12.75" customHeight="1" x14ac:dyDescent="0.2">
      <c r="A52397" s="258"/>
      <c r="Z52397" s="258"/>
    </row>
    <row r="52398" spans="1:26" ht="12.75" customHeight="1" x14ac:dyDescent="0.2">
      <c r="A52398" s="258"/>
      <c r="Z52398" s="258"/>
    </row>
    <row r="52399" spans="1:26" ht="12.75" customHeight="1" x14ac:dyDescent="0.2">
      <c r="A52399" s="258"/>
      <c r="Z52399" s="258"/>
    </row>
    <row r="52400" spans="1:26" ht="12.75" customHeight="1" x14ac:dyDescent="0.2">
      <c r="A52400" s="258"/>
      <c r="Z52400" s="258"/>
    </row>
    <row r="52401" spans="1:26" ht="12.75" customHeight="1" x14ac:dyDescent="0.2">
      <c r="A52401" s="258"/>
      <c r="Z52401" s="258"/>
    </row>
    <row r="52402" spans="1:26" ht="12.75" customHeight="1" x14ac:dyDescent="0.2">
      <c r="A52402" s="258"/>
      <c r="Z52402" s="258"/>
    </row>
    <row r="52403" spans="1:26" ht="12.75" customHeight="1" x14ac:dyDescent="0.2">
      <c r="A52403" s="258"/>
      <c r="Z52403" s="258"/>
    </row>
    <row r="52404" spans="1:26" ht="12.75" customHeight="1" x14ac:dyDescent="0.2">
      <c r="A52404" s="258"/>
      <c r="Z52404" s="258"/>
    </row>
    <row r="52405" spans="1:26" ht="12.75" customHeight="1" x14ac:dyDescent="0.2">
      <c r="A52405" s="258"/>
      <c r="Z52405" s="258"/>
    </row>
    <row r="52406" spans="1:26" ht="12.75" customHeight="1" x14ac:dyDescent="0.2">
      <c r="A52406" s="258"/>
      <c r="Z52406" s="258"/>
    </row>
    <row r="52407" spans="1:26" ht="12.75" customHeight="1" x14ac:dyDescent="0.2">
      <c r="A52407" s="258"/>
      <c r="Z52407" s="258"/>
    </row>
    <row r="52408" spans="1:26" ht="12.75" customHeight="1" x14ac:dyDescent="0.2">
      <c r="A52408" s="258"/>
      <c r="Z52408" s="258"/>
    </row>
    <row r="52409" spans="1:26" ht="12.75" customHeight="1" x14ac:dyDescent="0.2">
      <c r="A52409" s="258"/>
      <c r="Z52409" s="258"/>
    </row>
    <row r="52410" spans="1:26" ht="12.75" customHeight="1" x14ac:dyDescent="0.2">
      <c r="A52410" s="258"/>
      <c r="Z52410" s="258"/>
    </row>
    <row r="52411" spans="1:26" ht="12.75" customHeight="1" x14ac:dyDescent="0.2">
      <c r="A52411" s="258"/>
      <c r="Z52411" s="258"/>
    </row>
    <row r="52412" spans="1:26" ht="12.75" customHeight="1" x14ac:dyDescent="0.2">
      <c r="A52412" s="258"/>
      <c r="Z52412" s="258"/>
    </row>
    <row r="52413" spans="1:26" ht="12.75" customHeight="1" x14ac:dyDescent="0.2">
      <c r="A52413" s="258"/>
      <c r="Z52413" s="258"/>
    </row>
    <row r="52414" spans="1:26" ht="12.75" customHeight="1" x14ac:dyDescent="0.2">
      <c r="A52414" s="258"/>
      <c r="Z52414" s="258"/>
    </row>
    <row r="52415" spans="1:26" ht="12.75" customHeight="1" x14ac:dyDescent="0.2">
      <c r="A52415" s="258"/>
      <c r="Z52415" s="258"/>
    </row>
    <row r="52416" spans="1:26" ht="12.75" customHeight="1" x14ac:dyDescent="0.2">
      <c r="A52416" s="258"/>
      <c r="Z52416" s="258"/>
    </row>
    <row r="52417" spans="1:26" ht="12.75" customHeight="1" x14ac:dyDescent="0.2">
      <c r="A52417" s="258"/>
      <c r="Z52417" s="258"/>
    </row>
    <row r="52418" spans="1:26" ht="12.75" customHeight="1" x14ac:dyDescent="0.2">
      <c r="A52418" s="258"/>
      <c r="Z52418" s="258"/>
    </row>
    <row r="52419" spans="1:26" ht="12.75" customHeight="1" x14ac:dyDescent="0.2">
      <c r="A52419" s="258"/>
      <c r="Z52419" s="258"/>
    </row>
    <row r="52420" spans="1:26" ht="12.75" customHeight="1" x14ac:dyDescent="0.2">
      <c r="A52420" s="258"/>
      <c r="Z52420" s="258"/>
    </row>
    <row r="52421" spans="1:26" ht="12.75" customHeight="1" x14ac:dyDescent="0.2">
      <c r="A52421" s="258"/>
      <c r="Z52421" s="258"/>
    </row>
    <row r="52422" spans="1:26" ht="12.75" customHeight="1" x14ac:dyDescent="0.2">
      <c r="A52422" s="258"/>
      <c r="Z52422" s="258"/>
    </row>
    <row r="52423" spans="1:26" ht="12.75" customHeight="1" x14ac:dyDescent="0.2">
      <c r="A52423" s="258"/>
      <c r="Z52423" s="258"/>
    </row>
    <row r="52424" spans="1:26" ht="12.75" customHeight="1" x14ac:dyDescent="0.2">
      <c r="A52424" s="258"/>
      <c r="Z52424" s="258"/>
    </row>
    <row r="52425" spans="1:26" ht="12.75" customHeight="1" x14ac:dyDescent="0.2">
      <c r="A52425" s="258"/>
      <c r="Z52425" s="258"/>
    </row>
    <row r="52426" spans="1:26" ht="12.75" customHeight="1" x14ac:dyDescent="0.2">
      <c r="A52426" s="258"/>
      <c r="Z52426" s="258"/>
    </row>
    <row r="52427" spans="1:26" ht="12.75" customHeight="1" x14ac:dyDescent="0.2">
      <c r="A52427" s="258"/>
      <c r="Z52427" s="258"/>
    </row>
    <row r="52428" spans="1:26" ht="12.75" customHeight="1" x14ac:dyDescent="0.2">
      <c r="A52428" s="258"/>
      <c r="Z52428" s="258"/>
    </row>
    <row r="52429" spans="1:26" ht="12.75" customHeight="1" x14ac:dyDescent="0.2">
      <c r="A52429" s="258"/>
      <c r="Z52429" s="258"/>
    </row>
    <row r="52430" spans="1:26" ht="12.75" customHeight="1" x14ac:dyDescent="0.2">
      <c r="A52430" s="258"/>
      <c r="Z52430" s="258"/>
    </row>
    <row r="52431" spans="1:26" ht="12.75" customHeight="1" x14ac:dyDescent="0.2">
      <c r="A52431" s="258"/>
      <c r="Z52431" s="258"/>
    </row>
    <row r="52432" spans="1:26" ht="12.75" customHeight="1" x14ac:dyDescent="0.2">
      <c r="A52432" s="258"/>
      <c r="Z52432" s="258"/>
    </row>
    <row r="52433" spans="1:26" ht="12.75" customHeight="1" x14ac:dyDescent="0.2">
      <c r="A52433" s="258"/>
      <c r="Z52433" s="258"/>
    </row>
    <row r="52434" spans="1:26" ht="12.75" customHeight="1" x14ac:dyDescent="0.2">
      <c r="A52434" s="258"/>
      <c r="Z52434" s="258"/>
    </row>
    <row r="52435" spans="1:26" ht="12.75" customHeight="1" x14ac:dyDescent="0.2">
      <c r="A52435" s="258"/>
      <c r="Z52435" s="258"/>
    </row>
    <row r="52436" spans="1:26" ht="12.75" customHeight="1" x14ac:dyDescent="0.2">
      <c r="A52436" s="258"/>
      <c r="Z52436" s="258"/>
    </row>
    <row r="52437" spans="1:26" ht="12.75" customHeight="1" x14ac:dyDescent="0.2">
      <c r="A52437" s="258"/>
      <c r="Z52437" s="258"/>
    </row>
    <row r="52438" spans="1:26" ht="12.75" customHeight="1" x14ac:dyDescent="0.2">
      <c r="A52438" s="258"/>
      <c r="Z52438" s="258"/>
    </row>
    <row r="52439" spans="1:26" ht="12.75" customHeight="1" x14ac:dyDescent="0.2">
      <c r="A52439" s="258"/>
      <c r="Z52439" s="258"/>
    </row>
    <row r="52440" spans="1:26" ht="12.75" customHeight="1" x14ac:dyDescent="0.2">
      <c r="A52440" s="258"/>
      <c r="Z52440" s="258"/>
    </row>
    <row r="52441" spans="1:26" ht="12.75" customHeight="1" x14ac:dyDescent="0.2">
      <c r="A52441" s="258"/>
      <c r="Z52441" s="258"/>
    </row>
    <row r="52442" spans="1:26" ht="12.75" customHeight="1" x14ac:dyDescent="0.2">
      <c r="A52442" s="258"/>
      <c r="Z52442" s="258"/>
    </row>
    <row r="52443" spans="1:26" ht="12.75" customHeight="1" x14ac:dyDescent="0.2">
      <c r="A52443" s="258"/>
      <c r="Z52443" s="258"/>
    </row>
    <row r="52444" spans="1:26" ht="12.75" customHeight="1" x14ac:dyDescent="0.2">
      <c r="A52444" s="258"/>
      <c r="Z52444" s="258"/>
    </row>
    <row r="52445" spans="1:26" ht="12.75" customHeight="1" x14ac:dyDescent="0.2">
      <c r="A52445" s="258"/>
      <c r="Z52445" s="258"/>
    </row>
    <row r="52446" spans="1:26" ht="12.75" customHeight="1" x14ac:dyDescent="0.2">
      <c r="A52446" s="258"/>
      <c r="Z52446" s="258"/>
    </row>
    <row r="52447" spans="1:26" ht="12.75" customHeight="1" x14ac:dyDescent="0.2">
      <c r="A52447" s="258"/>
      <c r="Z52447" s="258"/>
    </row>
    <row r="52448" spans="1:26" ht="12.75" customHeight="1" x14ac:dyDescent="0.2">
      <c r="A52448" s="258"/>
      <c r="Z52448" s="258"/>
    </row>
    <row r="52449" spans="1:26" ht="12.75" customHeight="1" x14ac:dyDescent="0.2">
      <c r="A52449" s="258"/>
      <c r="Z52449" s="258"/>
    </row>
    <row r="52450" spans="1:26" ht="12.75" customHeight="1" x14ac:dyDescent="0.2">
      <c r="A52450" s="258"/>
      <c r="Z52450" s="258"/>
    </row>
    <row r="52451" spans="1:26" ht="12.75" customHeight="1" x14ac:dyDescent="0.2">
      <c r="A52451" s="258"/>
      <c r="Z52451" s="258"/>
    </row>
    <row r="52452" spans="1:26" ht="12.75" customHeight="1" x14ac:dyDescent="0.2">
      <c r="A52452" s="258"/>
      <c r="Z52452" s="258"/>
    </row>
    <row r="52453" spans="1:26" ht="12.75" customHeight="1" x14ac:dyDescent="0.2">
      <c r="A52453" s="258"/>
      <c r="Z52453" s="258"/>
    </row>
    <row r="52454" spans="1:26" ht="12.75" customHeight="1" x14ac:dyDescent="0.2">
      <c r="A52454" s="258"/>
      <c r="Z52454" s="258"/>
    </row>
    <row r="52455" spans="1:26" ht="12.75" customHeight="1" x14ac:dyDescent="0.2">
      <c r="A52455" s="258"/>
      <c r="Z52455" s="258"/>
    </row>
    <row r="52456" spans="1:26" ht="12.75" customHeight="1" x14ac:dyDescent="0.2">
      <c r="A52456" s="258"/>
      <c r="Z52456" s="258"/>
    </row>
    <row r="52457" spans="1:26" ht="12.75" customHeight="1" x14ac:dyDescent="0.2">
      <c r="A52457" s="258"/>
      <c r="Z52457" s="258"/>
    </row>
    <row r="52458" spans="1:26" ht="12.75" customHeight="1" x14ac:dyDescent="0.2">
      <c r="A52458" s="258"/>
      <c r="Z52458" s="258"/>
    </row>
    <row r="52459" spans="1:26" ht="12.75" customHeight="1" x14ac:dyDescent="0.2">
      <c r="A52459" s="258"/>
      <c r="Z52459" s="258"/>
    </row>
    <row r="52460" spans="1:26" ht="12.75" customHeight="1" x14ac:dyDescent="0.2">
      <c r="A52460" s="258"/>
      <c r="Z52460" s="258"/>
    </row>
    <row r="52461" spans="1:26" ht="12.75" customHeight="1" x14ac:dyDescent="0.2">
      <c r="A52461" s="258"/>
      <c r="Z52461" s="258"/>
    </row>
    <row r="52462" spans="1:26" ht="12.75" customHeight="1" x14ac:dyDescent="0.2">
      <c r="A52462" s="258"/>
      <c r="Z52462" s="258"/>
    </row>
    <row r="52463" spans="1:26" ht="12.75" customHeight="1" x14ac:dyDescent="0.2">
      <c r="A52463" s="258"/>
      <c r="Z52463" s="258"/>
    </row>
    <row r="52464" spans="1:26" ht="12.75" customHeight="1" x14ac:dyDescent="0.2">
      <c r="A52464" s="258"/>
      <c r="Z52464" s="258"/>
    </row>
    <row r="52465" spans="1:26" ht="12.75" customHeight="1" x14ac:dyDescent="0.2">
      <c r="A52465" s="258"/>
      <c r="Z52465" s="258"/>
    </row>
    <row r="52466" spans="1:26" ht="12.75" customHeight="1" x14ac:dyDescent="0.2">
      <c r="A52466" s="258"/>
      <c r="Z52466" s="258"/>
    </row>
    <row r="52467" spans="1:26" ht="12.75" customHeight="1" x14ac:dyDescent="0.2">
      <c r="A52467" s="258"/>
      <c r="Z52467" s="258"/>
    </row>
    <row r="52468" spans="1:26" ht="12.75" customHeight="1" x14ac:dyDescent="0.2">
      <c r="A52468" s="258"/>
      <c r="Z52468" s="258"/>
    </row>
    <row r="52469" spans="1:26" ht="12.75" customHeight="1" x14ac:dyDescent="0.2">
      <c r="A52469" s="258"/>
      <c r="Z52469" s="258"/>
    </row>
    <row r="52470" spans="1:26" ht="12.75" customHeight="1" x14ac:dyDescent="0.2">
      <c r="A52470" s="258"/>
      <c r="Z52470" s="258"/>
    </row>
    <row r="52471" spans="1:26" ht="12.75" customHeight="1" x14ac:dyDescent="0.2">
      <c r="A52471" s="258"/>
      <c r="Z52471" s="258"/>
    </row>
    <row r="52472" spans="1:26" ht="12.75" customHeight="1" x14ac:dyDescent="0.2">
      <c r="A52472" s="258"/>
      <c r="Z52472" s="258"/>
    </row>
    <row r="52473" spans="1:26" ht="12.75" customHeight="1" x14ac:dyDescent="0.2">
      <c r="A52473" s="258"/>
      <c r="Z52473" s="258"/>
    </row>
    <row r="52474" spans="1:26" ht="12.75" customHeight="1" x14ac:dyDescent="0.2">
      <c r="A52474" s="258"/>
      <c r="Z52474" s="258"/>
    </row>
    <row r="52475" spans="1:26" ht="12.75" customHeight="1" x14ac:dyDescent="0.2">
      <c r="A52475" s="258"/>
      <c r="Z52475" s="258"/>
    </row>
    <row r="52476" spans="1:26" ht="12.75" customHeight="1" x14ac:dyDescent="0.2">
      <c r="A52476" s="258"/>
      <c r="Z52476" s="258"/>
    </row>
    <row r="52477" spans="1:26" ht="12.75" customHeight="1" x14ac:dyDescent="0.2">
      <c r="A52477" s="258"/>
      <c r="Z52477" s="258"/>
    </row>
    <row r="52478" spans="1:26" ht="12.75" customHeight="1" x14ac:dyDescent="0.2">
      <c r="A52478" s="258"/>
      <c r="Z52478" s="258"/>
    </row>
    <row r="52479" spans="1:26" ht="12.75" customHeight="1" x14ac:dyDescent="0.2">
      <c r="A52479" s="258"/>
      <c r="Z52479" s="258"/>
    </row>
    <row r="52480" spans="1:26" ht="12.75" customHeight="1" x14ac:dyDescent="0.2">
      <c r="A52480" s="258"/>
      <c r="Z52480" s="258"/>
    </row>
    <row r="52481" spans="1:26" ht="12.75" customHeight="1" x14ac:dyDescent="0.2">
      <c r="A52481" s="258"/>
      <c r="Z52481" s="258"/>
    </row>
    <row r="52482" spans="1:26" ht="12.75" customHeight="1" x14ac:dyDescent="0.2">
      <c r="A52482" s="258"/>
      <c r="Z52482" s="258"/>
    </row>
    <row r="52483" spans="1:26" ht="12.75" customHeight="1" x14ac:dyDescent="0.2">
      <c r="A52483" s="258"/>
      <c r="Z52483" s="258"/>
    </row>
    <row r="52484" spans="1:26" ht="12.75" customHeight="1" x14ac:dyDescent="0.2">
      <c r="A52484" s="258"/>
      <c r="Z52484" s="258"/>
    </row>
    <row r="52485" spans="1:26" ht="12.75" customHeight="1" x14ac:dyDescent="0.2">
      <c r="A52485" s="258"/>
      <c r="Z52485" s="258"/>
    </row>
    <row r="52486" spans="1:26" ht="12.75" customHeight="1" x14ac:dyDescent="0.2">
      <c r="A52486" s="258"/>
      <c r="Z52486" s="258"/>
    </row>
    <row r="52487" spans="1:26" ht="12.75" customHeight="1" x14ac:dyDescent="0.2">
      <c r="A52487" s="258"/>
      <c r="Z52487" s="258"/>
    </row>
    <row r="52488" spans="1:26" ht="12.75" customHeight="1" x14ac:dyDescent="0.2">
      <c r="A52488" s="258"/>
      <c r="Z52488" s="258"/>
    </row>
    <row r="52489" spans="1:26" ht="12.75" customHeight="1" x14ac:dyDescent="0.2">
      <c r="A52489" s="258"/>
      <c r="Z52489" s="258"/>
    </row>
    <row r="52490" spans="1:26" ht="12.75" customHeight="1" x14ac:dyDescent="0.2">
      <c r="A52490" s="258"/>
      <c r="Z52490" s="258"/>
    </row>
    <row r="52491" spans="1:26" ht="12.75" customHeight="1" x14ac:dyDescent="0.2">
      <c r="A52491" s="258"/>
      <c r="Z52491" s="258"/>
    </row>
    <row r="52492" spans="1:26" ht="12.75" customHeight="1" x14ac:dyDescent="0.2">
      <c r="A52492" s="258"/>
      <c r="Z52492" s="258"/>
    </row>
    <row r="52493" spans="1:26" ht="12.75" customHeight="1" x14ac:dyDescent="0.2">
      <c r="A52493" s="258"/>
      <c r="Z52493" s="258"/>
    </row>
    <row r="52494" spans="1:26" ht="12.75" customHeight="1" x14ac:dyDescent="0.2">
      <c r="A52494" s="258"/>
      <c r="Z52494" s="258"/>
    </row>
    <row r="52495" spans="1:26" ht="12.75" customHeight="1" x14ac:dyDescent="0.2">
      <c r="A52495" s="258"/>
      <c r="Z52495" s="258"/>
    </row>
    <row r="52496" spans="1:26" ht="12.75" customHeight="1" x14ac:dyDescent="0.2">
      <c r="A52496" s="258"/>
      <c r="Z52496" s="258"/>
    </row>
    <row r="52497" spans="1:26" ht="12.75" customHeight="1" x14ac:dyDescent="0.2">
      <c r="A52497" s="258"/>
      <c r="Z52497" s="258"/>
    </row>
    <row r="52498" spans="1:26" ht="12.75" customHeight="1" x14ac:dyDescent="0.2">
      <c r="A52498" s="258"/>
      <c r="Z52498" s="258"/>
    </row>
    <row r="52499" spans="1:26" ht="12.75" customHeight="1" x14ac:dyDescent="0.2">
      <c r="A52499" s="258"/>
      <c r="Z52499" s="258"/>
    </row>
    <row r="52500" spans="1:26" ht="12.75" customHeight="1" x14ac:dyDescent="0.2">
      <c r="A52500" s="258"/>
      <c r="Z52500" s="258"/>
    </row>
    <row r="52501" spans="1:26" ht="12.75" customHeight="1" x14ac:dyDescent="0.2">
      <c r="A52501" s="258"/>
      <c r="Z52501" s="258"/>
    </row>
    <row r="52502" spans="1:26" ht="12.75" customHeight="1" x14ac:dyDescent="0.2">
      <c r="A52502" s="258"/>
      <c r="Z52502" s="258"/>
    </row>
    <row r="52503" spans="1:26" ht="12.75" customHeight="1" x14ac:dyDescent="0.2">
      <c r="A52503" s="258"/>
      <c r="Z52503" s="258"/>
    </row>
    <row r="52504" spans="1:26" ht="12.75" customHeight="1" x14ac:dyDescent="0.2">
      <c r="A52504" s="258"/>
      <c r="Z52504" s="258"/>
    </row>
    <row r="52505" spans="1:26" ht="12.75" customHeight="1" x14ac:dyDescent="0.2">
      <c r="A52505" s="258"/>
      <c r="Z52505" s="258"/>
    </row>
    <row r="52506" spans="1:26" ht="12.75" customHeight="1" x14ac:dyDescent="0.2">
      <c r="A52506" s="258"/>
      <c r="Z52506" s="258"/>
    </row>
    <row r="52507" spans="1:26" ht="12.75" customHeight="1" x14ac:dyDescent="0.2">
      <c r="A52507" s="258"/>
      <c r="Z52507" s="258"/>
    </row>
    <row r="52508" spans="1:26" ht="12.75" customHeight="1" x14ac:dyDescent="0.2">
      <c r="A52508" s="258"/>
      <c r="Z52508" s="258"/>
    </row>
    <row r="52509" spans="1:26" ht="12.75" customHeight="1" x14ac:dyDescent="0.2">
      <c r="A52509" s="258"/>
      <c r="Z52509" s="258"/>
    </row>
    <row r="52510" spans="1:26" ht="12.75" customHeight="1" x14ac:dyDescent="0.2">
      <c r="A52510" s="258"/>
      <c r="Z52510" s="258"/>
    </row>
    <row r="52511" spans="1:26" ht="12.75" customHeight="1" x14ac:dyDescent="0.2">
      <c r="A52511" s="258"/>
      <c r="Z52511" s="258"/>
    </row>
    <row r="52512" spans="1:26" ht="12.75" customHeight="1" x14ac:dyDescent="0.2">
      <c r="A52512" s="258"/>
      <c r="Z52512" s="258"/>
    </row>
    <row r="52513" spans="1:26" ht="12.75" customHeight="1" x14ac:dyDescent="0.2">
      <c r="A52513" s="258"/>
      <c r="Z52513" s="258"/>
    </row>
    <row r="52514" spans="1:26" ht="12.75" customHeight="1" x14ac:dyDescent="0.2">
      <c r="A52514" s="258"/>
      <c r="Z52514" s="258"/>
    </row>
    <row r="52515" spans="1:26" ht="12.75" customHeight="1" x14ac:dyDescent="0.2">
      <c r="A52515" s="258"/>
      <c r="Z52515" s="258"/>
    </row>
    <row r="52516" spans="1:26" ht="12.75" customHeight="1" x14ac:dyDescent="0.2">
      <c r="A52516" s="258"/>
      <c r="Z52516" s="258"/>
    </row>
    <row r="52517" spans="1:26" ht="12.75" customHeight="1" x14ac:dyDescent="0.2">
      <c r="A52517" s="258"/>
      <c r="Z52517" s="258"/>
    </row>
    <row r="52518" spans="1:26" ht="12.75" customHeight="1" x14ac:dyDescent="0.2">
      <c r="A52518" s="258"/>
      <c r="Z52518" s="258"/>
    </row>
    <row r="52519" spans="1:26" ht="12.75" customHeight="1" x14ac:dyDescent="0.2">
      <c r="A52519" s="258"/>
      <c r="Z52519" s="258"/>
    </row>
    <row r="52520" spans="1:26" ht="12.75" customHeight="1" x14ac:dyDescent="0.2">
      <c r="A52520" s="258"/>
      <c r="Z52520" s="258"/>
    </row>
    <row r="52521" spans="1:26" ht="12.75" customHeight="1" x14ac:dyDescent="0.2">
      <c r="A52521" s="258"/>
      <c r="Z52521" s="258"/>
    </row>
    <row r="52522" spans="1:26" ht="12.75" customHeight="1" x14ac:dyDescent="0.2">
      <c r="A52522" s="258"/>
      <c r="Z52522" s="258"/>
    </row>
    <row r="52523" spans="1:26" ht="12.75" customHeight="1" x14ac:dyDescent="0.2">
      <c r="A52523" s="258"/>
      <c r="Z52523" s="258"/>
    </row>
    <row r="52524" spans="1:26" ht="12.75" customHeight="1" x14ac:dyDescent="0.2">
      <c r="A52524" s="258"/>
      <c r="Z52524" s="258"/>
    </row>
    <row r="52525" spans="1:26" ht="12.75" customHeight="1" x14ac:dyDescent="0.2">
      <c r="A52525" s="258"/>
      <c r="Z52525" s="258"/>
    </row>
    <row r="52526" spans="1:26" ht="12.75" customHeight="1" x14ac:dyDescent="0.2">
      <c r="A52526" s="258"/>
      <c r="Z52526" s="258"/>
    </row>
    <row r="52527" spans="1:26" ht="12.75" customHeight="1" x14ac:dyDescent="0.2">
      <c r="A52527" s="258"/>
      <c r="Z52527" s="258"/>
    </row>
    <row r="52528" spans="1:26" ht="12.75" customHeight="1" x14ac:dyDescent="0.2">
      <c r="A52528" s="258"/>
      <c r="Z52528" s="258"/>
    </row>
    <row r="52529" spans="1:26" ht="12.75" customHeight="1" x14ac:dyDescent="0.2">
      <c r="A52529" s="258"/>
      <c r="Z52529" s="258"/>
    </row>
    <row r="52530" spans="1:26" ht="12.75" customHeight="1" x14ac:dyDescent="0.2">
      <c r="A52530" s="258"/>
      <c r="Z52530" s="258"/>
    </row>
    <row r="52531" spans="1:26" ht="12.75" customHeight="1" x14ac:dyDescent="0.2">
      <c r="A52531" s="258"/>
      <c r="Z52531" s="258"/>
    </row>
    <row r="52532" spans="1:26" ht="12.75" customHeight="1" x14ac:dyDescent="0.2">
      <c r="A52532" s="258"/>
      <c r="Z52532" s="258"/>
    </row>
    <row r="52533" spans="1:26" ht="12.75" customHeight="1" x14ac:dyDescent="0.2">
      <c r="A52533" s="258"/>
      <c r="Z52533" s="258"/>
    </row>
    <row r="52534" spans="1:26" ht="12.75" customHeight="1" x14ac:dyDescent="0.2">
      <c r="A52534" s="258"/>
      <c r="Z52534" s="258"/>
    </row>
    <row r="52535" spans="1:26" ht="12.75" customHeight="1" x14ac:dyDescent="0.2">
      <c r="A52535" s="258"/>
      <c r="Z52535" s="258"/>
    </row>
    <row r="52536" spans="1:26" ht="12.75" customHeight="1" x14ac:dyDescent="0.2">
      <c r="A52536" s="258"/>
      <c r="Z52536" s="258"/>
    </row>
    <row r="52537" spans="1:26" ht="12.75" customHeight="1" x14ac:dyDescent="0.2">
      <c r="A52537" s="258"/>
      <c r="Z52537" s="258"/>
    </row>
    <row r="52538" spans="1:26" ht="12.75" customHeight="1" x14ac:dyDescent="0.2">
      <c r="A52538" s="258"/>
      <c r="Z52538" s="258"/>
    </row>
    <row r="52539" spans="1:26" ht="12.75" customHeight="1" x14ac:dyDescent="0.2">
      <c r="A52539" s="258"/>
      <c r="Z52539" s="258"/>
    </row>
    <row r="52540" spans="1:26" ht="12.75" customHeight="1" x14ac:dyDescent="0.2">
      <c r="A52540" s="258"/>
      <c r="Z52540" s="258"/>
    </row>
    <row r="52541" spans="1:26" ht="12.75" customHeight="1" x14ac:dyDescent="0.2">
      <c r="A52541" s="258"/>
      <c r="Z52541" s="258"/>
    </row>
    <row r="52542" spans="1:26" ht="12.75" customHeight="1" x14ac:dyDescent="0.2">
      <c r="A52542" s="258"/>
      <c r="Z52542" s="258"/>
    </row>
    <row r="52543" spans="1:26" ht="12.75" customHeight="1" x14ac:dyDescent="0.2">
      <c r="A52543" s="258"/>
      <c r="Z52543" s="258"/>
    </row>
    <row r="52544" spans="1:26" ht="12.75" customHeight="1" x14ac:dyDescent="0.2">
      <c r="A52544" s="258"/>
      <c r="Z52544" s="258"/>
    </row>
    <row r="52545" spans="1:26" ht="12.75" customHeight="1" x14ac:dyDescent="0.2">
      <c r="A52545" s="258"/>
      <c r="Z52545" s="258"/>
    </row>
    <row r="52546" spans="1:26" ht="12.75" customHeight="1" x14ac:dyDescent="0.2">
      <c r="A52546" s="258"/>
      <c r="Z52546" s="258"/>
    </row>
    <row r="52547" spans="1:26" ht="12.75" customHeight="1" x14ac:dyDescent="0.2">
      <c r="A52547" s="258"/>
      <c r="Z52547" s="258"/>
    </row>
    <row r="52548" spans="1:26" ht="12.75" customHeight="1" x14ac:dyDescent="0.2">
      <c r="A52548" s="258"/>
      <c r="Z52548" s="258"/>
    </row>
    <row r="52549" spans="1:26" ht="12.75" customHeight="1" x14ac:dyDescent="0.2">
      <c r="A52549" s="258"/>
      <c r="Z52549" s="258"/>
    </row>
    <row r="52550" spans="1:26" ht="12.75" customHeight="1" x14ac:dyDescent="0.2">
      <c r="A52550" s="258"/>
      <c r="Z52550" s="258"/>
    </row>
    <row r="52551" spans="1:26" ht="12.75" customHeight="1" x14ac:dyDescent="0.2">
      <c r="A52551" s="258"/>
      <c r="Z52551" s="258"/>
    </row>
    <row r="52552" spans="1:26" ht="12.75" customHeight="1" x14ac:dyDescent="0.2">
      <c r="A52552" s="258"/>
      <c r="Z52552" s="258"/>
    </row>
    <row r="52553" spans="1:26" ht="12.75" customHeight="1" x14ac:dyDescent="0.2">
      <c r="A52553" s="258"/>
      <c r="Z52553" s="258"/>
    </row>
    <row r="52554" spans="1:26" ht="12.75" customHeight="1" x14ac:dyDescent="0.2">
      <c r="A52554" s="258"/>
      <c r="Z52554" s="258"/>
    </row>
    <row r="52555" spans="1:26" ht="12.75" customHeight="1" x14ac:dyDescent="0.2">
      <c r="A52555" s="258"/>
      <c r="Z52555" s="258"/>
    </row>
    <row r="52556" spans="1:26" ht="12.75" customHeight="1" x14ac:dyDescent="0.2">
      <c r="A52556" s="258"/>
      <c r="Z52556" s="258"/>
    </row>
    <row r="52557" spans="1:26" ht="12.75" customHeight="1" x14ac:dyDescent="0.2">
      <c r="A52557" s="258"/>
      <c r="Z52557" s="258"/>
    </row>
    <row r="52558" spans="1:26" ht="12.75" customHeight="1" x14ac:dyDescent="0.2">
      <c r="A52558" s="258"/>
      <c r="Z52558" s="258"/>
    </row>
    <row r="52559" spans="1:26" ht="12.75" customHeight="1" x14ac:dyDescent="0.2">
      <c r="A52559" s="258"/>
      <c r="Z52559" s="258"/>
    </row>
    <row r="52560" spans="1:26" ht="12.75" customHeight="1" x14ac:dyDescent="0.2">
      <c r="A52560" s="258"/>
      <c r="Z52560" s="258"/>
    </row>
    <row r="52561" spans="1:26" ht="12.75" customHeight="1" x14ac:dyDescent="0.2">
      <c r="A52561" s="258"/>
      <c r="Z52561" s="258"/>
    </row>
    <row r="52562" spans="1:26" ht="12.75" customHeight="1" x14ac:dyDescent="0.2">
      <c r="A52562" s="258"/>
      <c r="Z52562" s="258"/>
    </row>
    <row r="52563" spans="1:26" ht="12.75" customHeight="1" x14ac:dyDescent="0.2">
      <c r="A52563" s="258"/>
      <c r="Z52563" s="258"/>
    </row>
    <row r="52564" spans="1:26" ht="12.75" customHeight="1" x14ac:dyDescent="0.2">
      <c r="A52564" s="258"/>
      <c r="Z52564" s="258"/>
    </row>
    <row r="52565" spans="1:26" ht="12.75" customHeight="1" x14ac:dyDescent="0.2">
      <c r="A52565" s="258"/>
      <c r="Z52565" s="258"/>
    </row>
    <row r="52566" spans="1:26" ht="12.75" customHeight="1" x14ac:dyDescent="0.2">
      <c r="A52566" s="258"/>
      <c r="Z52566" s="258"/>
    </row>
    <row r="52567" spans="1:26" ht="12.75" customHeight="1" x14ac:dyDescent="0.2">
      <c r="A52567" s="258"/>
      <c r="Z52567" s="258"/>
    </row>
    <row r="52568" spans="1:26" ht="12.75" customHeight="1" x14ac:dyDescent="0.2">
      <c r="A52568" s="258"/>
      <c r="Z52568" s="258"/>
    </row>
    <row r="52569" spans="1:26" ht="12.75" customHeight="1" x14ac:dyDescent="0.2">
      <c r="A52569" s="258"/>
      <c r="Z52569" s="258"/>
    </row>
    <row r="52570" spans="1:26" ht="12.75" customHeight="1" x14ac:dyDescent="0.2">
      <c r="A52570" s="258"/>
      <c r="Z52570" s="258"/>
    </row>
    <row r="52571" spans="1:26" ht="12.75" customHeight="1" x14ac:dyDescent="0.2">
      <c r="A52571" s="258"/>
      <c r="Z52571" s="258"/>
    </row>
    <row r="52572" spans="1:26" ht="12.75" customHeight="1" x14ac:dyDescent="0.2">
      <c r="A52572" s="258"/>
      <c r="Z52572" s="258"/>
    </row>
    <row r="52573" spans="1:26" ht="12.75" customHeight="1" x14ac:dyDescent="0.2">
      <c r="A52573" s="258"/>
      <c r="Z52573" s="258"/>
    </row>
    <row r="52574" spans="1:26" ht="12.75" customHeight="1" x14ac:dyDescent="0.2">
      <c r="A52574" s="258"/>
      <c r="Z52574" s="258"/>
    </row>
    <row r="52575" spans="1:26" ht="12.75" customHeight="1" x14ac:dyDescent="0.2">
      <c r="A52575" s="258"/>
      <c r="Z52575" s="258"/>
    </row>
    <row r="52576" spans="1:26" ht="12.75" customHeight="1" x14ac:dyDescent="0.2">
      <c r="A52576" s="258"/>
      <c r="Z52576" s="258"/>
    </row>
    <row r="52577" spans="1:26" ht="12.75" customHeight="1" x14ac:dyDescent="0.2">
      <c r="A52577" s="258"/>
      <c r="Z52577" s="258"/>
    </row>
    <row r="52578" spans="1:26" ht="12.75" customHeight="1" x14ac:dyDescent="0.2">
      <c r="A52578" s="258"/>
      <c r="Z52578" s="258"/>
    </row>
    <row r="52579" spans="1:26" ht="12.75" customHeight="1" x14ac:dyDescent="0.2">
      <c r="A52579" s="258"/>
      <c r="Z52579" s="258"/>
    </row>
    <row r="52580" spans="1:26" ht="12.75" customHeight="1" x14ac:dyDescent="0.2">
      <c r="A52580" s="258"/>
      <c r="Z52580" s="258"/>
    </row>
    <row r="52581" spans="1:26" ht="12.75" customHeight="1" x14ac:dyDescent="0.2">
      <c r="A52581" s="258"/>
      <c r="Z52581" s="258"/>
    </row>
    <row r="52582" spans="1:26" ht="12.75" customHeight="1" x14ac:dyDescent="0.2">
      <c r="A52582" s="258"/>
      <c r="Z52582" s="258"/>
    </row>
    <row r="52583" spans="1:26" ht="12.75" customHeight="1" x14ac:dyDescent="0.2">
      <c r="A52583" s="258"/>
      <c r="Z52583" s="258"/>
    </row>
    <row r="52584" spans="1:26" ht="12.75" customHeight="1" x14ac:dyDescent="0.2">
      <c r="A52584" s="258"/>
      <c r="Z52584" s="258"/>
    </row>
    <row r="52585" spans="1:26" ht="12.75" customHeight="1" x14ac:dyDescent="0.2">
      <c r="A52585" s="258"/>
      <c r="Z52585" s="258"/>
    </row>
    <row r="52586" spans="1:26" ht="12.75" customHeight="1" x14ac:dyDescent="0.2">
      <c r="A52586" s="258"/>
      <c r="Z52586" s="258"/>
    </row>
    <row r="52587" spans="1:26" ht="12.75" customHeight="1" x14ac:dyDescent="0.2">
      <c r="A52587" s="258"/>
      <c r="Z52587" s="258"/>
    </row>
    <row r="52588" spans="1:26" ht="12.75" customHeight="1" x14ac:dyDescent="0.2">
      <c r="A52588" s="258"/>
      <c r="Z52588" s="258"/>
    </row>
    <row r="52589" spans="1:26" ht="12.75" customHeight="1" x14ac:dyDescent="0.2">
      <c r="A52589" s="258"/>
      <c r="Z52589" s="258"/>
    </row>
    <row r="52590" spans="1:26" ht="12.75" customHeight="1" x14ac:dyDescent="0.2">
      <c r="A52590" s="258"/>
      <c r="Z52590" s="258"/>
    </row>
    <row r="52591" spans="1:26" ht="12.75" customHeight="1" x14ac:dyDescent="0.2">
      <c r="A52591" s="258"/>
      <c r="Z52591" s="258"/>
    </row>
    <row r="52592" spans="1:26" ht="12.75" customHeight="1" x14ac:dyDescent="0.2">
      <c r="A52592" s="258"/>
      <c r="Z52592" s="258"/>
    </row>
    <row r="52593" spans="1:26" ht="12.75" customHeight="1" x14ac:dyDescent="0.2">
      <c r="A52593" s="258"/>
      <c r="Z52593" s="258"/>
    </row>
    <row r="52594" spans="1:26" ht="12.75" customHeight="1" x14ac:dyDescent="0.2">
      <c r="A52594" s="258"/>
      <c r="Z52594" s="258"/>
    </row>
    <row r="52595" spans="1:26" ht="12.75" customHeight="1" x14ac:dyDescent="0.2">
      <c r="A52595" s="258"/>
      <c r="Z52595" s="258"/>
    </row>
    <row r="52596" spans="1:26" ht="12.75" customHeight="1" x14ac:dyDescent="0.2">
      <c r="A52596" s="258"/>
      <c r="Z52596" s="258"/>
    </row>
    <row r="52597" spans="1:26" ht="12.75" customHeight="1" x14ac:dyDescent="0.2">
      <c r="A52597" s="258"/>
      <c r="Z52597" s="258"/>
    </row>
    <row r="52598" spans="1:26" ht="12.75" customHeight="1" x14ac:dyDescent="0.2">
      <c r="A52598" s="258"/>
      <c r="Z52598" s="258"/>
    </row>
    <row r="52599" spans="1:26" ht="12.75" customHeight="1" x14ac:dyDescent="0.2">
      <c r="A52599" s="258"/>
      <c r="Z52599" s="258"/>
    </row>
    <row r="52600" spans="1:26" ht="12.75" customHeight="1" x14ac:dyDescent="0.2">
      <c r="A52600" s="258"/>
      <c r="Z52600" s="258"/>
    </row>
    <row r="52601" spans="1:26" ht="12.75" customHeight="1" x14ac:dyDescent="0.2">
      <c r="A52601" s="258"/>
      <c r="Z52601" s="258"/>
    </row>
    <row r="52602" spans="1:26" ht="12.75" customHeight="1" x14ac:dyDescent="0.2">
      <c r="A52602" s="258"/>
      <c r="Z52602" s="258"/>
    </row>
    <row r="52603" spans="1:26" ht="12.75" customHeight="1" x14ac:dyDescent="0.2">
      <c r="A52603" s="258"/>
      <c r="Z52603" s="258"/>
    </row>
    <row r="52604" spans="1:26" ht="12.75" customHeight="1" x14ac:dyDescent="0.2">
      <c r="A52604" s="258"/>
      <c r="Z52604" s="258"/>
    </row>
    <row r="52605" spans="1:26" ht="12.75" customHeight="1" x14ac:dyDescent="0.2">
      <c r="A52605" s="258"/>
      <c r="Z52605" s="258"/>
    </row>
    <row r="52606" spans="1:26" ht="12.75" customHeight="1" x14ac:dyDescent="0.2">
      <c r="A52606" s="258"/>
      <c r="Z52606" s="258"/>
    </row>
    <row r="52607" spans="1:26" ht="12.75" customHeight="1" x14ac:dyDescent="0.2">
      <c r="A52607" s="258"/>
      <c r="Z52607" s="258"/>
    </row>
    <row r="52608" spans="1:26" ht="12.75" customHeight="1" x14ac:dyDescent="0.2">
      <c r="A52608" s="258"/>
      <c r="Z52608" s="258"/>
    </row>
    <row r="52609" spans="1:26" ht="12.75" customHeight="1" x14ac:dyDescent="0.2">
      <c r="A52609" s="258"/>
      <c r="Z52609" s="258"/>
    </row>
    <row r="52610" spans="1:26" ht="12.75" customHeight="1" x14ac:dyDescent="0.2">
      <c r="A52610" s="258"/>
      <c r="Z52610" s="258"/>
    </row>
    <row r="52611" spans="1:26" ht="12.75" customHeight="1" x14ac:dyDescent="0.2">
      <c r="A52611" s="258"/>
      <c r="Z52611" s="258"/>
    </row>
    <row r="52612" spans="1:26" ht="12.75" customHeight="1" x14ac:dyDescent="0.2">
      <c r="A52612" s="258"/>
      <c r="Z52612" s="258"/>
    </row>
    <row r="52613" spans="1:26" ht="12.75" customHeight="1" x14ac:dyDescent="0.2">
      <c r="A52613" s="258"/>
      <c r="Z52613" s="258"/>
    </row>
    <row r="52614" spans="1:26" ht="12.75" customHeight="1" x14ac:dyDescent="0.2">
      <c r="A52614" s="258"/>
      <c r="Z52614" s="258"/>
    </row>
    <row r="52615" spans="1:26" ht="12.75" customHeight="1" x14ac:dyDescent="0.2">
      <c r="A52615" s="258"/>
      <c r="Z52615" s="258"/>
    </row>
    <row r="52616" spans="1:26" ht="12.75" customHeight="1" x14ac:dyDescent="0.2">
      <c r="A52616" s="258"/>
      <c r="Z52616" s="258"/>
    </row>
    <row r="52617" spans="1:26" ht="12.75" customHeight="1" x14ac:dyDescent="0.2">
      <c r="A52617" s="258"/>
      <c r="Z52617" s="258"/>
    </row>
    <row r="52618" spans="1:26" ht="12.75" customHeight="1" x14ac:dyDescent="0.2">
      <c r="A52618" s="258"/>
      <c r="Z52618" s="258"/>
    </row>
    <row r="52619" spans="1:26" ht="12.75" customHeight="1" x14ac:dyDescent="0.2">
      <c r="A52619" s="258"/>
      <c r="Z52619" s="258"/>
    </row>
    <row r="52620" spans="1:26" ht="12.75" customHeight="1" x14ac:dyDescent="0.2">
      <c r="A52620" s="258"/>
      <c r="Z52620" s="258"/>
    </row>
    <row r="52621" spans="1:26" ht="12.75" customHeight="1" x14ac:dyDescent="0.2">
      <c r="A52621" s="258"/>
      <c r="Z52621" s="258"/>
    </row>
    <row r="52622" spans="1:26" ht="12.75" customHeight="1" x14ac:dyDescent="0.2">
      <c r="A52622" s="258"/>
      <c r="Z52622" s="258"/>
    </row>
    <row r="52623" spans="1:26" ht="12.75" customHeight="1" x14ac:dyDescent="0.2">
      <c r="A52623" s="258"/>
      <c r="Z52623" s="258"/>
    </row>
    <row r="52624" spans="1:26" ht="12.75" customHeight="1" x14ac:dyDescent="0.2">
      <c r="A52624" s="258"/>
      <c r="Z52624" s="258"/>
    </row>
    <row r="52625" spans="1:26" ht="12.75" customHeight="1" x14ac:dyDescent="0.2">
      <c r="A52625" s="258"/>
      <c r="Z52625" s="258"/>
    </row>
    <row r="52626" spans="1:26" ht="12.75" customHeight="1" x14ac:dyDescent="0.2">
      <c r="A52626" s="258"/>
      <c r="Z52626" s="258"/>
    </row>
    <row r="52627" spans="1:26" ht="12.75" customHeight="1" x14ac:dyDescent="0.2">
      <c r="A52627" s="258"/>
      <c r="Z52627" s="258"/>
    </row>
    <row r="52628" spans="1:26" ht="12.75" customHeight="1" x14ac:dyDescent="0.2">
      <c r="A52628" s="258"/>
      <c r="Z52628" s="258"/>
    </row>
    <row r="52629" spans="1:26" ht="12.75" customHeight="1" x14ac:dyDescent="0.2">
      <c r="A52629" s="258"/>
      <c r="Z52629" s="258"/>
    </row>
    <row r="52630" spans="1:26" ht="12.75" customHeight="1" x14ac:dyDescent="0.2">
      <c r="A52630" s="258"/>
      <c r="Z52630" s="258"/>
    </row>
    <row r="52631" spans="1:26" ht="12.75" customHeight="1" x14ac:dyDescent="0.2">
      <c r="A52631" s="258"/>
      <c r="Z52631" s="258"/>
    </row>
    <row r="52632" spans="1:26" ht="12.75" customHeight="1" x14ac:dyDescent="0.2">
      <c r="A52632" s="258"/>
      <c r="Z52632" s="258"/>
    </row>
    <row r="52633" spans="1:26" ht="12.75" customHeight="1" x14ac:dyDescent="0.2">
      <c r="A52633" s="258"/>
      <c r="Z52633" s="258"/>
    </row>
    <row r="52634" spans="1:26" ht="12.75" customHeight="1" x14ac:dyDescent="0.2">
      <c r="A52634" s="258"/>
      <c r="Z52634" s="258"/>
    </row>
    <row r="52635" spans="1:26" ht="12.75" customHeight="1" x14ac:dyDescent="0.2">
      <c r="A52635" s="258"/>
      <c r="Z52635" s="258"/>
    </row>
    <row r="52636" spans="1:26" ht="12.75" customHeight="1" x14ac:dyDescent="0.2">
      <c r="A52636" s="258"/>
      <c r="Z52636" s="258"/>
    </row>
    <row r="52637" spans="1:26" ht="12.75" customHeight="1" x14ac:dyDescent="0.2">
      <c r="A52637" s="258"/>
      <c r="Z52637" s="258"/>
    </row>
    <row r="52638" spans="1:26" ht="12.75" customHeight="1" x14ac:dyDescent="0.2">
      <c r="A52638" s="258"/>
      <c r="Z52638" s="258"/>
    </row>
    <row r="52639" spans="1:26" ht="12.75" customHeight="1" x14ac:dyDescent="0.2">
      <c r="A52639" s="258"/>
      <c r="Z52639" s="258"/>
    </row>
    <row r="52640" spans="1:26" ht="12.75" customHeight="1" x14ac:dyDescent="0.2">
      <c r="A52640" s="258"/>
      <c r="Z52640" s="258"/>
    </row>
    <row r="52641" spans="1:26" ht="12.75" customHeight="1" x14ac:dyDescent="0.2">
      <c r="A52641" s="258"/>
      <c r="Z52641" s="258"/>
    </row>
    <row r="52642" spans="1:26" ht="12.75" customHeight="1" x14ac:dyDescent="0.2">
      <c r="A52642" s="258"/>
      <c r="Z52642" s="258"/>
    </row>
    <row r="52643" spans="1:26" ht="12.75" customHeight="1" x14ac:dyDescent="0.2">
      <c r="A52643" s="258"/>
      <c r="Z52643" s="258"/>
    </row>
    <row r="52644" spans="1:26" ht="12.75" customHeight="1" x14ac:dyDescent="0.2">
      <c r="A52644" s="258"/>
      <c r="Z52644" s="258"/>
    </row>
    <row r="52645" spans="1:26" ht="12.75" customHeight="1" x14ac:dyDescent="0.2">
      <c r="A52645" s="258"/>
      <c r="Z52645" s="258"/>
    </row>
    <row r="52646" spans="1:26" ht="12.75" customHeight="1" x14ac:dyDescent="0.2">
      <c r="A52646" s="258"/>
      <c r="Z52646" s="258"/>
    </row>
    <row r="52647" spans="1:26" ht="12.75" customHeight="1" x14ac:dyDescent="0.2">
      <c r="A52647" s="258"/>
      <c r="Z52647" s="258"/>
    </row>
    <row r="52648" spans="1:26" ht="12.75" customHeight="1" x14ac:dyDescent="0.2">
      <c r="A52648" s="258"/>
      <c r="Z52648" s="258"/>
    </row>
    <row r="52649" spans="1:26" ht="12.75" customHeight="1" x14ac:dyDescent="0.2">
      <c r="A52649" s="258"/>
      <c r="Z52649" s="258"/>
    </row>
    <row r="52650" spans="1:26" ht="12.75" customHeight="1" x14ac:dyDescent="0.2">
      <c r="A52650" s="258"/>
      <c r="Z52650" s="258"/>
    </row>
    <row r="52651" spans="1:26" ht="12.75" customHeight="1" x14ac:dyDescent="0.2">
      <c r="A52651" s="258"/>
      <c r="Z52651" s="258"/>
    </row>
    <row r="52652" spans="1:26" ht="12.75" customHeight="1" x14ac:dyDescent="0.2">
      <c r="A52652" s="258"/>
      <c r="Z52652" s="258"/>
    </row>
    <row r="52653" spans="1:26" ht="12.75" customHeight="1" x14ac:dyDescent="0.2">
      <c r="A52653" s="258"/>
      <c r="Z52653" s="258"/>
    </row>
    <row r="52654" spans="1:26" ht="12.75" customHeight="1" x14ac:dyDescent="0.2">
      <c r="A52654" s="258"/>
      <c r="Z52654" s="258"/>
    </row>
    <row r="52655" spans="1:26" ht="12.75" customHeight="1" x14ac:dyDescent="0.2">
      <c r="A52655" s="258"/>
      <c r="Z52655" s="258"/>
    </row>
    <row r="52656" spans="1:26" ht="12.75" customHeight="1" x14ac:dyDescent="0.2">
      <c r="A52656" s="258"/>
      <c r="Z52656" s="258"/>
    </row>
    <row r="52657" spans="1:26" ht="12.75" customHeight="1" x14ac:dyDescent="0.2">
      <c r="A52657" s="258"/>
      <c r="Z52657" s="258"/>
    </row>
    <row r="52658" spans="1:26" ht="12.75" customHeight="1" x14ac:dyDescent="0.2">
      <c r="A52658" s="258"/>
      <c r="Z52658" s="258"/>
    </row>
    <row r="52659" spans="1:26" ht="12.75" customHeight="1" x14ac:dyDescent="0.2">
      <c r="A52659" s="258"/>
      <c r="Z52659" s="258"/>
    </row>
    <row r="52660" spans="1:26" ht="12.75" customHeight="1" x14ac:dyDescent="0.2">
      <c r="A52660" s="258"/>
      <c r="Z52660" s="258"/>
    </row>
    <row r="52661" spans="1:26" ht="12.75" customHeight="1" x14ac:dyDescent="0.2">
      <c r="A52661" s="258"/>
      <c r="Z52661" s="258"/>
    </row>
    <row r="52662" spans="1:26" ht="12.75" customHeight="1" x14ac:dyDescent="0.2">
      <c r="A52662" s="258"/>
      <c r="Z52662" s="258"/>
    </row>
    <row r="52663" spans="1:26" ht="12.75" customHeight="1" x14ac:dyDescent="0.2">
      <c r="A52663" s="258"/>
      <c r="Z52663" s="258"/>
    </row>
    <row r="52664" spans="1:26" ht="12.75" customHeight="1" x14ac:dyDescent="0.2">
      <c r="A52664" s="258"/>
      <c r="Z52664" s="258"/>
    </row>
    <row r="52665" spans="1:26" ht="12.75" customHeight="1" x14ac:dyDescent="0.2">
      <c r="A52665" s="258"/>
      <c r="Z52665" s="258"/>
    </row>
    <row r="52666" spans="1:26" ht="12.75" customHeight="1" x14ac:dyDescent="0.2">
      <c r="A52666" s="258"/>
      <c r="Z52666" s="258"/>
    </row>
    <row r="52667" spans="1:26" ht="12.75" customHeight="1" x14ac:dyDescent="0.2">
      <c r="A52667" s="258"/>
      <c r="Z52667" s="258"/>
    </row>
    <row r="52668" spans="1:26" ht="12.75" customHeight="1" x14ac:dyDescent="0.2">
      <c r="A52668" s="258"/>
      <c r="Z52668" s="258"/>
    </row>
    <row r="52669" spans="1:26" ht="12.75" customHeight="1" x14ac:dyDescent="0.2">
      <c r="A52669" s="258"/>
      <c r="Z52669" s="258"/>
    </row>
    <row r="52670" spans="1:26" ht="12.75" customHeight="1" x14ac:dyDescent="0.2">
      <c r="A52670" s="258"/>
      <c r="Z52670" s="258"/>
    </row>
    <row r="52671" spans="1:26" ht="12.75" customHeight="1" x14ac:dyDescent="0.2">
      <c r="A52671" s="258"/>
      <c r="Z52671" s="258"/>
    </row>
    <row r="52672" spans="1:26" ht="12.75" customHeight="1" x14ac:dyDescent="0.2">
      <c r="A52672" s="258"/>
      <c r="Z52672" s="258"/>
    </row>
    <row r="52673" spans="1:26" ht="12.75" customHeight="1" x14ac:dyDescent="0.2">
      <c r="A52673" s="258"/>
      <c r="Z52673" s="258"/>
    </row>
    <row r="52674" spans="1:26" ht="12.75" customHeight="1" x14ac:dyDescent="0.2">
      <c r="A52674" s="258"/>
      <c r="Z52674" s="258"/>
    </row>
    <row r="52675" spans="1:26" ht="12.75" customHeight="1" x14ac:dyDescent="0.2">
      <c r="A52675" s="258"/>
      <c r="Z52675" s="258"/>
    </row>
    <row r="52676" spans="1:26" ht="12.75" customHeight="1" x14ac:dyDescent="0.2">
      <c r="A52676" s="258"/>
      <c r="Z52676" s="258"/>
    </row>
    <row r="52677" spans="1:26" ht="12.75" customHeight="1" x14ac:dyDescent="0.2">
      <c r="A52677" s="258"/>
      <c r="Z52677" s="258"/>
    </row>
    <row r="52678" spans="1:26" ht="12.75" customHeight="1" x14ac:dyDescent="0.2">
      <c r="A52678" s="258"/>
      <c r="Z52678" s="258"/>
    </row>
    <row r="52679" spans="1:26" ht="12.75" customHeight="1" x14ac:dyDescent="0.2">
      <c r="A52679" s="258"/>
      <c r="Z52679" s="258"/>
    </row>
    <row r="52680" spans="1:26" ht="12.75" customHeight="1" x14ac:dyDescent="0.2">
      <c r="A52680" s="258"/>
      <c r="Z52680" s="258"/>
    </row>
    <row r="52681" spans="1:26" ht="12.75" customHeight="1" x14ac:dyDescent="0.2">
      <c r="A52681" s="258"/>
      <c r="Z52681" s="258"/>
    </row>
    <row r="52682" spans="1:26" ht="12.75" customHeight="1" x14ac:dyDescent="0.2">
      <c r="A52682" s="258"/>
      <c r="Z52682" s="258"/>
    </row>
    <row r="52683" spans="1:26" ht="12.75" customHeight="1" x14ac:dyDescent="0.2">
      <c r="A52683" s="258"/>
      <c r="Z52683" s="258"/>
    </row>
    <row r="52684" spans="1:26" ht="12.75" customHeight="1" x14ac:dyDescent="0.2">
      <c r="A52684" s="258"/>
      <c r="Z52684" s="258"/>
    </row>
    <row r="52685" spans="1:26" ht="12.75" customHeight="1" x14ac:dyDescent="0.2">
      <c r="A52685" s="258"/>
      <c r="Z52685" s="258"/>
    </row>
    <row r="52686" spans="1:26" ht="12.75" customHeight="1" x14ac:dyDescent="0.2">
      <c r="A52686" s="258"/>
      <c r="Z52686" s="258"/>
    </row>
    <row r="52687" spans="1:26" ht="12.75" customHeight="1" x14ac:dyDescent="0.2">
      <c r="A52687" s="258"/>
      <c r="Z52687" s="258"/>
    </row>
    <row r="52688" spans="1:26" ht="12.75" customHeight="1" x14ac:dyDescent="0.2">
      <c r="A52688" s="258"/>
      <c r="Z52688" s="258"/>
    </row>
    <row r="52689" spans="1:26" ht="12.75" customHeight="1" x14ac:dyDescent="0.2">
      <c r="A52689" s="258"/>
      <c r="Z52689" s="258"/>
    </row>
    <row r="52690" spans="1:26" ht="12.75" customHeight="1" x14ac:dyDescent="0.2">
      <c r="A52690" s="258"/>
      <c r="Z52690" s="258"/>
    </row>
    <row r="52691" spans="1:26" ht="12.75" customHeight="1" x14ac:dyDescent="0.2">
      <c r="A52691" s="258"/>
      <c r="Z52691" s="258"/>
    </row>
    <row r="52692" spans="1:26" ht="12.75" customHeight="1" x14ac:dyDescent="0.2">
      <c r="A52692" s="258"/>
      <c r="Z52692" s="258"/>
    </row>
    <row r="52693" spans="1:26" ht="12.75" customHeight="1" x14ac:dyDescent="0.2">
      <c r="A52693" s="258"/>
      <c r="Z52693" s="258"/>
    </row>
    <row r="52694" spans="1:26" ht="12.75" customHeight="1" x14ac:dyDescent="0.2">
      <c r="A52694" s="258"/>
      <c r="Z52694" s="258"/>
    </row>
    <row r="52695" spans="1:26" ht="12.75" customHeight="1" x14ac:dyDescent="0.2">
      <c r="A52695" s="258"/>
      <c r="Z52695" s="258"/>
    </row>
    <row r="52696" spans="1:26" ht="12.75" customHeight="1" x14ac:dyDescent="0.2">
      <c r="A52696" s="258"/>
      <c r="Z52696" s="258"/>
    </row>
    <row r="52697" spans="1:26" ht="12.75" customHeight="1" x14ac:dyDescent="0.2">
      <c r="A52697" s="258"/>
      <c r="Z52697" s="258"/>
    </row>
    <row r="52698" spans="1:26" ht="12.75" customHeight="1" x14ac:dyDescent="0.2">
      <c r="A52698" s="258"/>
      <c r="Z52698" s="258"/>
    </row>
    <row r="52699" spans="1:26" ht="12.75" customHeight="1" x14ac:dyDescent="0.2">
      <c r="A52699" s="258"/>
      <c r="Z52699" s="258"/>
    </row>
    <row r="52700" spans="1:26" ht="12.75" customHeight="1" x14ac:dyDescent="0.2">
      <c r="A52700" s="258"/>
      <c r="Z52700" s="258"/>
    </row>
    <row r="52701" spans="1:26" ht="12.75" customHeight="1" x14ac:dyDescent="0.2">
      <c r="A52701" s="258"/>
      <c r="Z52701" s="258"/>
    </row>
    <row r="52702" spans="1:26" ht="12.75" customHeight="1" x14ac:dyDescent="0.2">
      <c r="A52702" s="258"/>
      <c r="Z52702" s="258"/>
    </row>
    <row r="52703" spans="1:26" ht="12.75" customHeight="1" x14ac:dyDescent="0.2">
      <c r="A52703" s="258"/>
      <c r="Z52703" s="258"/>
    </row>
    <row r="52704" spans="1:26" ht="12.75" customHeight="1" x14ac:dyDescent="0.2">
      <c r="A52704" s="258"/>
      <c r="Z52704" s="258"/>
    </row>
    <row r="52705" spans="1:26" ht="12.75" customHeight="1" x14ac:dyDescent="0.2">
      <c r="A52705" s="258"/>
      <c r="Z52705" s="258"/>
    </row>
    <row r="52706" spans="1:26" ht="12.75" customHeight="1" x14ac:dyDescent="0.2">
      <c r="A52706" s="258"/>
      <c r="Z52706" s="258"/>
    </row>
    <row r="52707" spans="1:26" ht="12.75" customHeight="1" x14ac:dyDescent="0.2">
      <c r="A52707" s="258"/>
      <c r="Z52707" s="258"/>
    </row>
    <row r="52708" spans="1:26" ht="12.75" customHeight="1" x14ac:dyDescent="0.2">
      <c r="A52708" s="258"/>
      <c r="Z52708" s="258"/>
    </row>
    <row r="52709" spans="1:26" ht="12.75" customHeight="1" x14ac:dyDescent="0.2">
      <c r="A52709" s="258"/>
      <c r="Z52709" s="258"/>
    </row>
    <row r="52710" spans="1:26" ht="12.75" customHeight="1" x14ac:dyDescent="0.2">
      <c r="A52710" s="258"/>
      <c r="Z52710" s="258"/>
    </row>
    <row r="52711" spans="1:26" ht="12.75" customHeight="1" x14ac:dyDescent="0.2">
      <c r="A52711" s="258"/>
      <c r="Z52711" s="258"/>
    </row>
    <row r="52712" spans="1:26" ht="12.75" customHeight="1" x14ac:dyDescent="0.2">
      <c r="A52712" s="258"/>
      <c r="Z52712" s="258"/>
    </row>
    <row r="52713" spans="1:26" ht="12.75" customHeight="1" x14ac:dyDescent="0.2">
      <c r="A52713" s="258"/>
      <c r="Z52713" s="258"/>
    </row>
    <row r="52714" spans="1:26" ht="12.75" customHeight="1" x14ac:dyDescent="0.2">
      <c r="A52714" s="258"/>
      <c r="Z52714" s="258"/>
    </row>
    <row r="52715" spans="1:26" ht="12.75" customHeight="1" x14ac:dyDescent="0.2">
      <c r="A52715" s="258"/>
      <c r="Z52715" s="258"/>
    </row>
    <row r="52716" spans="1:26" ht="12.75" customHeight="1" x14ac:dyDescent="0.2">
      <c r="A52716" s="258"/>
      <c r="Z52716" s="258"/>
    </row>
    <row r="52717" spans="1:26" ht="12.75" customHeight="1" x14ac:dyDescent="0.2">
      <c r="A52717" s="258"/>
      <c r="Z52717" s="258"/>
    </row>
    <row r="52718" spans="1:26" ht="12.75" customHeight="1" x14ac:dyDescent="0.2">
      <c r="A52718" s="258"/>
      <c r="Z52718" s="258"/>
    </row>
    <row r="52719" spans="1:26" ht="12.75" customHeight="1" x14ac:dyDescent="0.2">
      <c r="A52719" s="258"/>
      <c r="Z52719" s="258"/>
    </row>
    <row r="52720" spans="1:26" ht="12.75" customHeight="1" x14ac:dyDescent="0.2">
      <c r="A52720" s="258"/>
      <c r="Z52720" s="258"/>
    </row>
    <row r="52721" spans="1:26" ht="12.75" customHeight="1" x14ac:dyDescent="0.2">
      <c r="A52721" s="258"/>
      <c r="Z52721" s="258"/>
    </row>
    <row r="52722" spans="1:26" ht="12.75" customHeight="1" x14ac:dyDescent="0.2">
      <c r="A52722" s="258"/>
      <c r="Z52722" s="258"/>
    </row>
    <row r="52723" spans="1:26" ht="12.75" customHeight="1" x14ac:dyDescent="0.2">
      <c r="A52723" s="258"/>
      <c r="Z52723" s="258"/>
    </row>
    <row r="52724" spans="1:26" ht="12.75" customHeight="1" x14ac:dyDescent="0.2">
      <c r="A52724" s="258"/>
      <c r="Z52724" s="258"/>
    </row>
    <row r="52725" spans="1:26" ht="12.75" customHeight="1" x14ac:dyDescent="0.2">
      <c r="A52725" s="258"/>
      <c r="Z52725" s="258"/>
    </row>
    <row r="52726" spans="1:26" ht="12.75" customHeight="1" x14ac:dyDescent="0.2">
      <c r="A52726" s="258"/>
      <c r="Z52726" s="258"/>
    </row>
    <row r="52727" spans="1:26" ht="12.75" customHeight="1" x14ac:dyDescent="0.2">
      <c r="A52727" s="258"/>
      <c r="Z52727" s="258"/>
    </row>
    <row r="52728" spans="1:26" ht="12.75" customHeight="1" x14ac:dyDescent="0.2">
      <c r="A52728" s="258"/>
      <c r="Z52728" s="258"/>
    </row>
    <row r="52729" spans="1:26" ht="12.75" customHeight="1" x14ac:dyDescent="0.2">
      <c r="A52729" s="258"/>
      <c r="Z52729" s="258"/>
    </row>
    <row r="52730" spans="1:26" ht="12.75" customHeight="1" x14ac:dyDescent="0.2">
      <c r="A52730" s="258"/>
      <c r="Z52730" s="258"/>
    </row>
    <row r="52731" spans="1:26" ht="12.75" customHeight="1" x14ac:dyDescent="0.2">
      <c r="A52731" s="258"/>
      <c r="Z52731" s="258"/>
    </row>
    <row r="52732" spans="1:26" ht="12.75" customHeight="1" x14ac:dyDescent="0.2">
      <c r="A52732" s="258"/>
      <c r="Z52732" s="258"/>
    </row>
    <row r="52733" spans="1:26" ht="12.75" customHeight="1" x14ac:dyDescent="0.2">
      <c r="A52733" s="258"/>
      <c r="Z52733" s="258"/>
    </row>
    <row r="52734" spans="1:26" ht="12.75" customHeight="1" x14ac:dyDescent="0.2">
      <c r="A52734" s="258"/>
      <c r="Z52734" s="258"/>
    </row>
    <row r="52735" spans="1:26" ht="12.75" customHeight="1" x14ac:dyDescent="0.2">
      <c r="A52735" s="258"/>
      <c r="Z52735" s="258"/>
    </row>
    <row r="52736" spans="1:26" ht="12.75" customHeight="1" x14ac:dyDescent="0.2">
      <c r="A52736" s="258"/>
      <c r="Z52736" s="258"/>
    </row>
    <row r="52737" spans="1:26" ht="12.75" customHeight="1" x14ac:dyDescent="0.2">
      <c r="A52737" s="258"/>
      <c r="Z52737" s="258"/>
    </row>
    <row r="52738" spans="1:26" ht="12.75" customHeight="1" x14ac:dyDescent="0.2">
      <c r="A52738" s="258"/>
      <c r="Z52738" s="258"/>
    </row>
    <row r="52739" spans="1:26" ht="12.75" customHeight="1" x14ac:dyDescent="0.2">
      <c r="A52739" s="258"/>
      <c r="Z52739" s="258"/>
    </row>
    <row r="52740" spans="1:26" ht="12.75" customHeight="1" x14ac:dyDescent="0.2">
      <c r="A52740" s="258"/>
      <c r="Z52740" s="258"/>
    </row>
    <row r="52741" spans="1:26" ht="12.75" customHeight="1" x14ac:dyDescent="0.2">
      <c r="A52741" s="258"/>
      <c r="Z52741" s="258"/>
    </row>
    <row r="52742" spans="1:26" ht="12.75" customHeight="1" x14ac:dyDescent="0.2">
      <c r="A52742" s="258"/>
      <c r="Z52742" s="258"/>
    </row>
    <row r="52743" spans="1:26" ht="12.75" customHeight="1" x14ac:dyDescent="0.2">
      <c r="A52743" s="258"/>
      <c r="Z52743" s="258"/>
    </row>
    <row r="52744" spans="1:26" ht="12.75" customHeight="1" x14ac:dyDescent="0.2">
      <c r="A52744" s="258"/>
      <c r="Z52744" s="258"/>
    </row>
    <row r="52745" spans="1:26" ht="12.75" customHeight="1" x14ac:dyDescent="0.2">
      <c r="A52745" s="258"/>
      <c r="Z52745" s="258"/>
    </row>
    <row r="52746" spans="1:26" ht="12.75" customHeight="1" x14ac:dyDescent="0.2">
      <c r="A52746" s="258"/>
      <c r="Z52746" s="258"/>
    </row>
    <row r="52747" spans="1:26" ht="12.75" customHeight="1" x14ac:dyDescent="0.2">
      <c r="A52747" s="258"/>
      <c r="Z52747" s="258"/>
    </row>
    <row r="52748" spans="1:26" ht="12.75" customHeight="1" x14ac:dyDescent="0.2">
      <c r="A52748" s="258"/>
      <c r="Z52748" s="258"/>
    </row>
    <row r="52749" spans="1:26" ht="12.75" customHeight="1" x14ac:dyDescent="0.2">
      <c r="A52749" s="258"/>
      <c r="Z52749" s="258"/>
    </row>
    <row r="52750" spans="1:26" ht="12.75" customHeight="1" x14ac:dyDescent="0.2">
      <c r="A52750" s="258"/>
      <c r="Z52750" s="258"/>
    </row>
    <row r="52751" spans="1:26" ht="12.75" customHeight="1" x14ac:dyDescent="0.2">
      <c r="A52751" s="258"/>
      <c r="Z52751" s="258"/>
    </row>
    <row r="52752" spans="1:26" ht="12.75" customHeight="1" x14ac:dyDescent="0.2">
      <c r="A52752" s="258"/>
      <c r="Z52752" s="258"/>
    </row>
    <row r="52753" spans="1:26" ht="12.75" customHeight="1" x14ac:dyDescent="0.2">
      <c r="A52753" s="258"/>
      <c r="Z52753" s="258"/>
    </row>
    <row r="52754" spans="1:26" ht="12.75" customHeight="1" x14ac:dyDescent="0.2">
      <c r="A52754" s="258"/>
      <c r="Z52754" s="258"/>
    </row>
    <row r="52755" spans="1:26" ht="12.75" customHeight="1" x14ac:dyDescent="0.2">
      <c r="A52755" s="258"/>
      <c r="Z52755" s="258"/>
    </row>
    <row r="52756" spans="1:26" ht="12.75" customHeight="1" x14ac:dyDescent="0.2">
      <c r="A52756" s="258"/>
      <c r="Z52756" s="258"/>
    </row>
    <row r="52757" spans="1:26" ht="12.75" customHeight="1" x14ac:dyDescent="0.2">
      <c r="A52757" s="258"/>
      <c r="Z52757" s="258"/>
    </row>
    <row r="52758" spans="1:26" ht="12.75" customHeight="1" x14ac:dyDescent="0.2">
      <c r="A52758" s="258"/>
      <c r="Z52758" s="258"/>
    </row>
    <row r="52759" spans="1:26" ht="12.75" customHeight="1" x14ac:dyDescent="0.2">
      <c r="A52759" s="258"/>
      <c r="Z52759" s="258"/>
    </row>
    <row r="52760" spans="1:26" ht="12.75" customHeight="1" x14ac:dyDescent="0.2">
      <c r="A52760" s="258"/>
      <c r="Z52760" s="258"/>
    </row>
    <row r="52761" spans="1:26" ht="12.75" customHeight="1" x14ac:dyDescent="0.2">
      <c r="A52761" s="258"/>
      <c r="Z52761" s="258"/>
    </row>
    <row r="52762" spans="1:26" ht="12.75" customHeight="1" x14ac:dyDescent="0.2">
      <c r="A52762" s="258"/>
      <c r="Z52762" s="258"/>
    </row>
    <row r="52763" spans="1:26" ht="12.75" customHeight="1" x14ac:dyDescent="0.2">
      <c r="A52763" s="258"/>
      <c r="Z52763" s="258"/>
    </row>
    <row r="52764" spans="1:26" ht="12.75" customHeight="1" x14ac:dyDescent="0.2">
      <c r="A52764" s="258"/>
      <c r="Z52764" s="258"/>
    </row>
    <row r="52765" spans="1:26" ht="12.75" customHeight="1" x14ac:dyDescent="0.2">
      <c r="A52765" s="258"/>
      <c r="Z52765" s="258"/>
    </row>
    <row r="52766" spans="1:26" ht="12.75" customHeight="1" x14ac:dyDescent="0.2">
      <c r="A52766" s="258"/>
      <c r="Z52766" s="258"/>
    </row>
    <row r="52767" spans="1:26" ht="12.75" customHeight="1" x14ac:dyDescent="0.2">
      <c r="A52767" s="258"/>
      <c r="Z52767" s="258"/>
    </row>
    <row r="52768" spans="1:26" ht="12.75" customHeight="1" x14ac:dyDescent="0.2">
      <c r="A52768" s="258"/>
      <c r="Z52768" s="258"/>
    </row>
    <row r="52769" spans="1:26" ht="12.75" customHeight="1" x14ac:dyDescent="0.2">
      <c r="A52769" s="258"/>
      <c r="Z52769" s="258"/>
    </row>
    <row r="52770" spans="1:26" ht="12.75" customHeight="1" x14ac:dyDescent="0.2">
      <c r="A52770" s="258"/>
      <c r="Z52770" s="258"/>
    </row>
    <row r="52771" spans="1:26" ht="12.75" customHeight="1" x14ac:dyDescent="0.2">
      <c r="A52771" s="258"/>
      <c r="Z52771" s="258"/>
    </row>
    <row r="52772" spans="1:26" ht="12.75" customHeight="1" x14ac:dyDescent="0.2">
      <c r="A52772" s="258"/>
      <c r="Z52772" s="258"/>
    </row>
    <row r="52773" spans="1:26" ht="12.75" customHeight="1" x14ac:dyDescent="0.2">
      <c r="A52773" s="258"/>
      <c r="Z52773" s="258"/>
    </row>
    <row r="52774" spans="1:26" ht="12.75" customHeight="1" x14ac:dyDescent="0.2">
      <c r="A52774" s="258"/>
      <c r="Z52774" s="258"/>
    </row>
    <row r="52775" spans="1:26" ht="12.75" customHeight="1" x14ac:dyDescent="0.2">
      <c r="A52775" s="258"/>
      <c r="Z52775" s="258"/>
    </row>
    <row r="52776" spans="1:26" ht="12.75" customHeight="1" x14ac:dyDescent="0.2">
      <c r="A52776" s="258"/>
      <c r="Z52776" s="258"/>
    </row>
    <row r="52777" spans="1:26" ht="12.75" customHeight="1" x14ac:dyDescent="0.2">
      <c r="A52777" s="258"/>
      <c r="Z52777" s="258"/>
    </row>
    <row r="52778" spans="1:26" ht="12.75" customHeight="1" x14ac:dyDescent="0.2">
      <c r="A52778" s="258"/>
      <c r="Z52778" s="258"/>
    </row>
    <row r="52779" spans="1:26" ht="12.75" customHeight="1" x14ac:dyDescent="0.2">
      <c r="A52779" s="258"/>
      <c r="Z52779" s="258"/>
    </row>
    <row r="52780" spans="1:26" ht="12.75" customHeight="1" x14ac:dyDescent="0.2">
      <c r="A52780" s="258"/>
      <c r="Z52780" s="258"/>
    </row>
    <row r="52781" spans="1:26" ht="12.75" customHeight="1" x14ac:dyDescent="0.2">
      <c r="A52781" s="258"/>
      <c r="Z52781" s="258"/>
    </row>
    <row r="52782" spans="1:26" ht="12.75" customHeight="1" x14ac:dyDescent="0.2">
      <c r="A52782" s="258"/>
      <c r="Z52782" s="258"/>
    </row>
    <row r="52783" spans="1:26" ht="12.75" customHeight="1" x14ac:dyDescent="0.2">
      <c r="A52783" s="258"/>
      <c r="Z52783" s="258"/>
    </row>
    <row r="52784" spans="1:26" ht="12.75" customHeight="1" x14ac:dyDescent="0.2">
      <c r="A52784" s="258"/>
      <c r="Z52784" s="258"/>
    </row>
    <row r="52785" spans="1:26" ht="12.75" customHeight="1" x14ac:dyDescent="0.2">
      <c r="A52785" s="258"/>
      <c r="Z52785" s="258"/>
    </row>
    <row r="52786" spans="1:26" ht="12.75" customHeight="1" x14ac:dyDescent="0.2">
      <c r="A52786" s="258"/>
      <c r="Z52786" s="258"/>
    </row>
    <row r="52787" spans="1:26" ht="12.75" customHeight="1" x14ac:dyDescent="0.2">
      <c r="A52787" s="258"/>
      <c r="Z52787" s="258"/>
    </row>
    <row r="52788" spans="1:26" ht="12.75" customHeight="1" x14ac:dyDescent="0.2">
      <c r="A52788" s="258"/>
      <c r="Z52788" s="258"/>
    </row>
    <row r="52789" spans="1:26" ht="12.75" customHeight="1" x14ac:dyDescent="0.2">
      <c r="A52789" s="258"/>
      <c r="Z52789" s="258"/>
    </row>
    <row r="52790" spans="1:26" ht="12.75" customHeight="1" x14ac:dyDescent="0.2">
      <c r="A52790" s="258"/>
      <c r="Z52790" s="258"/>
    </row>
    <row r="52791" spans="1:26" ht="12.75" customHeight="1" x14ac:dyDescent="0.2">
      <c r="A52791" s="258"/>
      <c r="Z52791" s="258"/>
    </row>
    <row r="52792" spans="1:26" ht="12.75" customHeight="1" x14ac:dyDescent="0.2">
      <c r="A52792" s="258"/>
      <c r="Z52792" s="258"/>
    </row>
    <row r="52793" spans="1:26" ht="12.75" customHeight="1" x14ac:dyDescent="0.2">
      <c r="A52793" s="258"/>
      <c r="Z52793" s="258"/>
    </row>
    <row r="52794" spans="1:26" ht="12.75" customHeight="1" x14ac:dyDescent="0.2">
      <c r="A52794" s="258"/>
      <c r="Z52794" s="258"/>
    </row>
    <row r="52795" spans="1:26" ht="12.75" customHeight="1" x14ac:dyDescent="0.2">
      <c r="A52795" s="258"/>
      <c r="Z52795" s="258"/>
    </row>
    <row r="52796" spans="1:26" ht="12.75" customHeight="1" x14ac:dyDescent="0.2">
      <c r="A52796" s="258"/>
      <c r="Z52796" s="258"/>
    </row>
    <row r="52797" spans="1:26" ht="12.75" customHeight="1" x14ac:dyDescent="0.2">
      <c r="A52797" s="258"/>
      <c r="Z52797" s="258"/>
    </row>
    <row r="52798" spans="1:26" ht="12.75" customHeight="1" x14ac:dyDescent="0.2">
      <c r="A52798" s="258"/>
      <c r="Z52798" s="258"/>
    </row>
    <row r="52799" spans="1:26" ht="12.75" customHeight="1" x14ac:dyDescent="0.2">
      <c r="A52799" s="258"/>
      <c r="Z52799" s="258"/>
    </row>
    <row r="52800" spans="1:26" ht="12.75" customHeight="1" x14ac:dyDescent="0.2">
      <c r="A52800" s="258"/>
      <c r="Z52800" s="258"/>
    </row>
    <row r="52801" spans="1:26" ht="12.75" customHeight="1" x14ac:dyDescent="0.2">
      <c r="A52801" s="258"/>
      <c r="Z52801" s="258"/>
    </row>
    <row r="52802" spans="1:26" ht="12.75" customHeight="1" x14ac:dyDescent="0.2">
      <c r="A52802" s="258"/>
      <c r="Z52802" s="258"/>
    </row>
    <row r="52803" spans="1:26" ht="12.75" customHeight="1" x14ac:dyDescent="0.2">
      <c r="A52803" s="258"/>
      <c r="Z52803" s="258"/>
    </row>
    <row r="52804" spans="1:26" ht="12.75" customHeight="1" x14ac:dyDescent="0.2">
      <c r="A52804" s="258"/>
      <c r="Z52804" s="258"/>
    </row>
    <row r="52805" spans="1:26" ht="12.75" customHeight="1" x14ac:dyDescent="0.2">
      <c r="A52805" s="258"/>
      <c r="Z52805" s="258"/>
    </row>
    <row r="52806" spans="1:26" ht="12.75" customHeight="1" x14ac:dyDescent="0.2">
      <c r="A52806" s="258"/>
      <c r="Z52806" s="258"/>
    </row>
    <row r="52807" spans="1:26" ht="12.75" customHeight="1" x14ac:dyDescent="0.2">
      <c r="A52807" s="258"/>
      <c r="Z52807" s="258"/>
    </row>
    <row r="52808" spans="1:26" ht="12.75" customHeight="1" x14ac:dyDescent="0.2">
      <c r="A52808" s="258"/>
      <c r="Z52808" s="258"/>
    </row>
    <row r="52809" spans="1:26" ht="12.75" customHeight="1" x14ac:dyDescent="0.2">
      <c r="A52809" s="258"/>
      <c r="Z52809" s="258"/>
    </row>
    <row r="52810" spans="1:26" ht="12.75" customHeight="1" x14ac:dyDescent="0.2">
      <c r="A52810" s="258"/>
      <c r="Z52810" s="258"/>
    </row>
    <row r="52811" spans="1:26" ht="12.75" customHeight="1" x14ac:dyDescent="0.2">
      <c r="A52811" s="258"/>
      <c r="Z52811" s="258"/>
    </row>
    <row r="52812" spans="1:26" ht="12.75" customHeight="1" x14ac:dyDescent="0.2">
      <c r="A52812" s="258"/>
      <c r="Z52812" s="258"/>
    </row>
    <row r="52813" spans="1:26" ht="12.75" customHeight="1" x14ac:dyDescent="0.2">
      <c r="A52813" s="258"/>
      <c r="Z52813" s="258"/>
    </row>
    <row r="52814" spans="1:26" ht="12.75" customHeight="1" x14ac:dyDescent="0.2">
      <c r="A52814" s="258"/>
      <c r="Z52814" s="258"/>
    </row>
    <row r="52815" spans="1:26" ht="12.75" customHeight="1" x14ac:dyDescent="0.2">
      <c r="A52815" s="258"/>
      <c r="Z52815" s="258"/>
    </row>
    <row r="52816" spans="1:26" ht="12.75" customHeight="1" x14ac:dyDescent="0.2">
      <c r="A52816" s="258"/>
      <c r="Z52816" s="258"/>
    </row>
    <row r="52817" spans="1:26" ht="12.75" customHeight="1" x14ac:dyDescent="0.2">
      <c r="A52817" s="258"/>
      <c r="Z52817" s="258"/>
    </row>
    <row r="52818" spans="1:26" ht="12.75" customHeight="1" x14ac:dyDescent="0.2">
      <c r="A52818" s="258"/>
      <c r="Z52818" s="258"/>
    </row>
    <row r="52819" spans="1:26" ht="12.75" customHeight="1" x14ac:dyDescent="0.2">
      <c r="A52819" s="258"/>
      <c r="Z52819" s="258"/>
    </row>
    <row r="52820" spans="1:26" ht="12.75" customHeight="1" x14ac:dyDescent="0.2">
      <c r="A52820" s="258"/>
      <c r="Z52820" s="258"/>
    </row>
    <row r="52821" spans="1:26" ht="12.75" customHeight="1" x14ac:dyDescent="0.2">
      <c r="A52821" s="258"/>
      <c r="Z52821" s="258"/>
    </row>
    <row r="52822" spans="1:26" ht="12.75" customHeight="1" x14ac:dyDescent="0.2">
      <c r="A52822" s="258"/>
      <c r="Z52822" s="258"/>
    </row>
    <row r="52823" spans="1:26" ht="12.75" customHeight="1" x14ac:dyDescent="0.2">
      <c r="A52823" s="258"/>
      <c r="Z52823" s="258"/>
    </row>
    <row r="52824" spans="1:26" ht="12.75" customHeight="1" x14ac:dyDescent="0.2">
      <c r="A52824" s="258"/>
      <c r="Z52824" s="258"/>
    </row>
    <row r="52825" spans="1:26" ht="12.75" customHeight="1" x14ac:dyDescent="0.2">
      <c r="A52825" s="258"/>
      <c r="Z52825" s="258"/>
    </row>
    <row r="52826" spans="1:26" ht="12.75" customHeight="1" x14ac:dyDescent="0.2">
      <c r="A52826" s="258"/>
      <c r="Z52826" s="258"/>
    </row>
    <row r="52827" spans="1:26" ht="12.75" customHeight="1" x14ac:dyDescent="0.2">
      <c r="A52827" s="258"/>
      <c r="Z52827" s="258"/>
    </row>
    <row r="52828" spans="1:26" ht="12.75" customHeight="1" x14ac:dyDescent="0.2">
      <c r="A52828" s="258"/>
      <c r="Z52828" s="258"/>
    </row>
    <row r="52829" spans="1:26" ht="12.75" customHeight="1" x14ac:dyDescent="0.2">
      <c r="A52829" s="258"/>
      <c r="Z52829" s="258"/>
    </row>
    <row r="52830" spans="1:26" ht="12.75" customHeight="1" x14ac:dyDescent="0.2">
      <c r="A52830" s="258"/>
      <c r="Z52830" s="258"/>
    </row>
    <row r="52831" spans="1:26" ht="12.75" customHeight="1" x14ac:dyDescent="0.2">
      <c r="A52831" s="258"/>
      <c r="Z52831" s="258"/>
    </row>
    <row r="52832" spans="1:26" ht="12.75" customHeight="1" x14ac:dyDescent="0.2">
      <c r="A52832" s="258"/>
      <c r="Z52832" s="258"/>
    </row>
    <row r="52833" spans="1:26" ht="12.75" customHeight="1" x14ac:dyDescent="0.2">
      <c r="A52833" s="258"/>
      <c r="Z52833" s="258"/>
    </row>
    <row r="52834" spans="1:26" ht="12.75" customHeight="1" x14ac:dyDescent="0.2">
      <c r="A52834" s="258"/>
      <c r="Z52834" s="258"/>
    </row>
    <row r="52835" spans="1:26" ht="12.75" customHeight="1" x14ac:dyDescent="0.2">
      <c r="A52835" s="258"/>
      <c r="Z52835" s="258"/>
    </row>
    <row r="52836" spans="1:26" ht="12.75" customHeight="1" x14ac:dyDescent="0.2">
      <c r="A52836" s="258"/>
      <c r="Z52836" s="258"/>
    </row>
    <row r="52837" spans="1:26" ht="12.75" customHeight="1" x14ac:dyDescent="0.2">
      <c r="A52837" s="258"/>
      <c r="Z52837" s="258"/>
    </row>
    <row r="52838" spans="1:26" ht="12.75" customHeight="1" x14ac:dyDescent="0.2">
      <c r="A52838" s="258"/>
      <c r="Z52838" s="258"/>
    </row>
    <row r="52839" spans="1:26" ht="12.75" customHeight="1" x14ac:dyDescent="0.2">
      <c r="A52839" s="258"/>
      <c r="Z52839" s="258"/>
    </row>
    <row r="52840" spans="1:26" ht="12.75" customHeight="1" x14ac:dyDescent="0.2">
      <c r="A52840" s="258"/>
      <c r="Z52840" s="258"/>
    </row>
    <row r="52841" spans="1:26" ht="12.75" customHeight="1" x14ac:dyDescent="0.2">
      <c r="A52841" s="258"/>
      <c r="Z52841" s="258"/>
    </row>
    <row r="52842" spans="1:26" ht="12.75" customHeight="1" x14ac:dyDescent="0.2">
      <c r="A52842" s="258"/>
      <c r="Z52842" s="258"/>
    </row>
    <row r="52843" spans="1:26" ht="12.75" customHeight="1" x14ac:dyDescent="0.2">
      <c r="A52843" s="258"/>
      <c r="Z52843" s="258"/>
    </row>
    <row r="52844" spans="1:26" ht="12.75" customHeight="1" x14ac:dyDescent="0.2">
      <c r="A52844" s="258"/>
      <c r="Z52844" s="258"/>
    </row>
    <row r="52845" spans="1:26" ht="12.75" customHeight="1" x14ac:dyDescent="0.2">
      <c r="A52845" s="258"/>
      <c r="Z52845" s="258"/>
    </row>
    <row r="52846" spans="1:26" ht="12.75" customHeight="1" x14ac:dyDescent="0.2">
      <c r="A52846" s="258"/>
      <c r="Z52846" s="258"/>
    </row>
    <row r="52847" spans="1:26" ht="12.75" customHeight="1" x14ac:dyDescent="0.2">
      <c r="A52847" s="258"/>
      <c r="Z52847" s="258"/>
    </row>
    <row r="52848" spans="1:26" ht="12.75" customHeight="1" x14ac:dyDescent="0.2">
      <c r="A52848" s="258"/>
      <c r="Z52848" s="258"/>
    </row>
    <row r="52849" spans="1:26" ht="12.75" customHeight="1" x14ac:dyDescent="0.2">
      <c r="A52849" s="258"/>
      <c r="Z52849" s="258"/>
    </row>
    <row r="52850" spans="1:26" ht="12.75" customHeight="1" x14ac:dyDescent="0.2">
      <c r="A52850" s="258"/>
      <c r="Z52850" s="258"/>
    </row>
    <row r="52851" spans="1:26" ht="12.75" customHeight="1" x14ac:dyDescent="0.2">
      <c r="A52851" s="258"/>
      <c r="Z52851" s="258"/>
    </row>
    <row r="52852" spans="1:26" ht="12.75" customHeight="1" x14ac:dyDescent="0.2">
      <c r="A52852" s="258"/>
      <c r="Z52852" s="258"/>
    </row>
    <row r="52853" spans="1:26" ht="12.75" customHeight="1" x14ac:dyDescent="0.2">
      <c r="A52853" s="258"/>
      <c r="Z52853" s="258"/>
    </row>
    <row r="52854" spans="1:26" ht="12.75" customHeight="1" x14ac:dyDescent="0.2">
      <c r="A52854" s="258"/>
      <c r="Z52854" s="258"/>
    </row>
    <row r="52855" spans="1:26" ht="12.75" customHeight="1" x14ac:dyDescent="0.2">
      <c r="A52855" s="258"/>
      <c r="Z52855" s="258"/>
    </row>
    <row r="52856" spans="1:26" ht="12.75" customHeight="1" x14ac:dyDescent="0.2">
      <c r="A52856" s="258"/>
      <c r="Z52856" s="258"/>
    </row>
    <row r="52857" spans="1:26" ht="12.75" customHeight="1" x14ac:dyDescent="0.2">
      <c r="A52857" s="258"/>
      <c r="Z52857" s="258"/>
    </row>
    <row r="52858" spans="1:26" ht="12.75" customHeight="1" x14ac:dyDescent="0.2">
      <c r="A52858" s="258"/>
      <c r="Z52858" s="258"/>
    </row>
    <row r="52859" spans="1:26" ht="12.75" customHeight="1" x14ac:dyDescent="0.2">
      <c r="A52859" s="258"/>
      <c r="Z52859" s="258"/>
    </row>
    <row r="52860" spans="1:26" ht="12.75" customHeight="1" x14ac:dyDescent="0.2">
      <c r="A52860" s="258"/>
      <c r="Z52860" s="258"/>
    </row>
    <row r="52861" spans="1:26" ht="12.75" customHeight="1" x14ac:dyDescent="0.2">
      <c r="A52861" s="258"/>
      <c r="Z52861" s="258"/>
    </row>
    <row r="52862" spans="1:26" ht="12.75" customHeight="1" x14ac:dyDescent="0.2">
      <c r="A52862" s="258"/>
      <c r="Z52862" s="258"/>
    </row>
    <row r="52863" spans="1:26" ht="12.75" customHeight="1" x14ac:dyDescent="0.2">
      <c r="A52863" s="258"/>
      <c r="Z52863" s="258"/>
    </row>
    <row r="52864" spans="1:26" ht="12.75" customHeight="1" x14ac:dyDescent="0.2">
      <c r="A52864" s="258"/>
      <c r="Z52864" s="258"/>
    </row>
    <row r="52865" spans="1:26" ht="12.75" customHeight="1" x14ac:dyDescent="0.2">
      <c r="A52865" s="258"/>
      <c r="Z52865" s="258"/>
    </row>
    <row r="52866" spans="1:26" ht="12.75" customHeight="1" x14ac:dyDescent="0.2">
      <c r="A52866" s="258"/>
      <c r="Z52866" s="258"/>
    </row>
    <row r="52867" spans="1:26" ht="12.75" customHeight="1" x14ac:dyDescent="0.2">
      <c r="A52867" s="258"/>
      <c r="Z52867" s="258"/>
    </row>
    <row r="52868" spans="1:26" ht="12.75" customHeight="1" x14ac:dyDescent="0.2">
      <c r="A52868" s="258"/>
      <c r="Z52868" s="258"/>
    </row>
    <row r="52869" spans="1:26" ht="12.75" customHeight="1" x14ac:dyDescent="0.2">
      <c r="A52869" s="258"/>
      <c r="Z52869" s="258"/>
    </row>
    <row r="52870" spans="1:26" ht="12.75" customHeight="1" x14ac:dyDescent="0.2">
      <c r="A52870" s="258"/>
      <c r="Z52870" s="258"/>
    </row>
    <row r="52871" spans="1:26" ht="12.75" customHeight="1" x14ac:dyDescent="0.2">
      <c r="A52871" s="258"/>
      <c r="Z52871" s="258"/>
    </row>
    <row r="52872" spans="1:26" ht="12.75" customHeight="1" x14ac:dyDescent="0.2">
      <c r="A52872" s="258"/>
      <c r="Z52872" s="258"/>
    </row>
    <row r="52873" spans="1:26" ht="12.75" customHeight="1" x14ac:dyDescent="0.2">
      <c r="A52873" s="258"/>
      <c r="Z52873" s="258"/>
    </row>
    <row r="52874" spans="1:26" ht="12.75" customHeight="1" x14ac:dyDescent="0.2">
      <c r="A52874" s="258"/>
      <c r="Z52874" s="258"/>
    </row>
    <row r="52875" spans="1:26" ht="12.75" customHeight="1" x14ac:dyDescent="0.2">
      <c r="A52875" s="258"/>
      <c r="Z52875" s="258"/>
    </row>
    <row r="52876" spans="1:26" ht="12.75" customHeight="1" x14ac:dyDescent="0.2">
      <c r="A52876" s="258"/>
      <c r="Z52876" s="258"/>
    </row>
    <row r="52877" spans="1:26" ht="12.75" customHeight="1" x14ac:dyDescent="0.2">
      <c r="A52877" s="258"/>
      <c r="Z52877" s="258"/>
    </row>
    <row r="52878" spans="1:26" ht="12.75" customHeight="1" x14ac:dyDescent="0.2">
      <c r="A52878" s="258"/>
      <c r="Z52878" s="258"/>
    </row>
    <row r="52879" spans="1:26" ht="12.75" customHeight="1" x14ac:dyDescent="0.2">
      <c r="A52879" s="258"/>
      <c r="Z52879" s="258"/>
    </row>
    <row r="52880" spans="1:26" ht="12.75" customHeight="1" x14ac:dyDescent="0.2">
      <c r="A52880" s="258"/>
      <c r="Z52880" s="258"/>
    </row>
    <row r="52881" spans="1:26" ht="12.75" customHeight="1" x14ac:dyDescent="0.2">
      <c r="A52881" s="258"/>
      <c r="Z52881" s="258"/>
    </row>
    <row r="52882" spans="1:26" ht="12.75" customHeight="1" x14ac:dyDescent="0.2">
      <c r="A52882" s="258"/>
      <c r="Z52882" s="258"/>
    </row>
    <row r="52883" spans="1:26" ht="12.75" customHeight="1" x14ac:dyDescent="0.2">
      <c r="A52883" s="258"/>
      <c r="Z52883" s="258"/>
    </row>
    <row r="52884" spans="1:26" ht="12.75" customHeight="1" x14ac:dyDescent="0.2">
      <c r="A52884" s="258"/>
      <c r="Z52884" s="258"/>
    </row>
    <row r="52885" spans="1:26" ht="12.75" customHeight="1" x14ac:dyDescent="0.2">
      <c r="A52885" s="258"/>
      <c r="Z52885" s="258"/>
    </row>
    <row r="52886" spans="1:26" ht="12.75" customHeight="1" x14ac:dyDescent="0.2">
      <c r="A52886" s="258"/>
      <c r="Z52886" s="258"/>
    </row>
    <row r="52887" spans="1:26" ht="12.75" customHeight="1" x14ac:dyDescent="0.2">
      <c r="A52887" s="258"/>
      <c r="Z52887" s="258"/>
    </row>
    <row r="52888" spans="1:26" ht="12.75" customHeight="1" x14ac:dyDescent="0.2">
      <c r="A52888" s="258"/>
      <c r="Z52888" s="258"/>
    </row>
    <row r="52889" spans="1:26" ht="12.75" customHeight="1" x14ac:dyDescent="0.2">
      <c r="A52889" s="258"/>
      <c r="Z52889" s="258"/>
    </row>
    <row r="52890" spans="1:26" ht="12.75" customHeight="1" x14ac:dyDescent="0.2">
      <c r="A52890" s="258"/>
      <c r="Z52890" s="258"/>
    </row>
    <row r="52891" spans="1:26" ht="12.75" customHeight="1" x14ac:dyDescent="0.2">
      <c r="A52891" s="258"/>
      <c r="Z52891" s="258"/>
    </row>
    <row r="52892" spans="1:26" ht="12.75" customHeight="1" x14ac:dyDescent="0.2">
      <c r="A52892" s="258"/>
      <c r="Z52892" s="258"/>
    </row>
    <row r="52893" spans="1:26" ht="12.75" customHeight="1" x14ac:dyDescent="0.2">
      <c r="A52893" s="258"/>
      <c r="Z52893" s="258"/>
    </row>
    <row r="52894" spans="1:26" ht="12.75" customHeight="1" x14ac:dyDescent="0.2">
      <c r="A52894" s="258"/>
      <c r="Z52894" s="258"/>
    </row>
    <row r="52895" spans="1:26" ht="12.75" customHeight="1" x14ac:dyDescent="0.2">
      <c r="A52895" s="258"/>
      <c r="Z52895" s="258"/>
    </row>
    <row r="52896" spans="1:26" ht="12.75" customHeight="1" x14ac:dyDescent="0.2">
      <c r="A52896" s="258"/>
      <c r="Z52896" s="258"/>
    </row>
    <row r="52897" spans="1:26" ht="12.75" customHeight="1" x14ac:dyDescent="0.2">
      <c r="A52897" s="258"/>
      <c r="Z52897" s="258"/>
    </row>
    <row r="52898" spans="1:26" ht="12.75" customHeight="1" x14ac:dyDescent="0.2">
      <c r="A52898" s="258"/>
      <c r="Z52898" s="258"/>
    </row>
    <row r="52899" spans="1:26" ht="12.75" customHeight="1" x14ac:dyDescent="0.2">
      <c r="A52899" s="258"/>
      <c r="Z52899" s="258"/>
    </row>
    <row r="52900" spans="1:26" ht="12.75" customHeight="1" x14ac:dyDescent="0.2">
      <c r="A52900" s="258"/>
      <c r="Z52900" s="258"/>
    </row>
    <row r="52901" spans="1:26" ht="12.75" customHeight="1" x14ac:dyDescent="0.2">
      <c r="A52901" s="258"/>
      <c r="Z52901" s="258"/>
    </row>
    <row r="52902" spans="1:26" ht="12.75" customHeight="1" x14ac:dyDescent="0.2">
      <c r="A52902" s="258"/>
      <c r="Z52902" s="258"/>
    </row>
    <row r="52903" spans="1:26" ht="12.75" customHeight="1" x14ac:dyDescent="0.2">
      <c r="A52903" s="258"/>
      <c r="Z52903" s="258"/>
    </row>
    <row r="52904" spans="1:26" ht="12.75" customHeight="1" x14ac:dyDescent="0.2">
      <c r="A52904" s="258"/>
      <c r="Z52904" s="258"/>
    </row>
    <row r="52905" spans="1:26" ht="12.75" customHeight="1" x14ac:dyDescent="0.2">
      <c r="A52905" s="258"/>
      <c r="Z52905" s="258"/>
    </row>
    <row r="52906" spans="1:26" ht="12.75" customHeight="1" x14ac:dyDescent="0.2">
      <c r="A52906" s="258"/>
      <c r="Z52906" s="258"/>
    </row>
    <row r="52907" spans="1:26" ht="12.75" customHeight="1" x14ac:dyDescent="0.2">
      <c r="A52907" s="258"/>
      <c r="Z52907" s="258"/>
    </row>
    <row r="52908" spans="1:26" ht="12.75" customHeight="1" x14ac:dyDescent="0.2">
      <c r="A52908" s="258"/>
      <c r="Z52908" s="258"/>
    </row>
    <row r="52909" spans="1:26" ht="12.75" customHeight="1" x14ac:dyDescent="0.2">
      <c r="A52909" s="258"/>
      <c r="Z52909" s="258"/>
    </row>
    <row r="52910" spans="1:26" ht="12.75" customHeight="1" x14ac:dyDescent="0.2">
      <c r="A52910" s="258"/>
      <c r="Z52910" s="258"/>
    </row>
    <row r="52911" spans="1:26" ht="12.75" customHeight="1" x14ac:dyDescent="0.2">
      <c r="A52911" s="258"/>
      <c r="Z52911" s="258"/>
    </row>
    <row r="52912" spans="1:26" ht="12.75" customHeight="1" x14ac:dyDescent="0.2">
      <c r="A52912" s="258"/>
      <c r="Z52912" s="258"/>
    </row>
    <row r="52913" spans="1:26" ht="12.75" customHeight="1" x14ac:dyDescent="0.2">
      <c r="A52913" s="258"/>
      <c r="Z52913" s="258"/>
    </row>
    <row r="52914" spans="1:26" ht="12.75" customHeight="1" x14ac:dyDescent="0.2">
      <c r="A52914" s="258"/>
      <c r="Z52914" s="258"/>
    </row>
    <row r="52915" spans="1:26" ht="12.75" customHeight="1" x14ac:dyDescent="0.2">
      <c r="A52915" s="258"/>
      <c r="Z52915" s="258"/>
    </row>
    <row r="52916" spans="1:26" ht="12.75" customHeight="1" x14ac:dyDescent="0.2">
      <c r="A52916" s="258"/>
      <c r="Z52916" s="258"/>
    </row>
    <row r="52917" spans="1:26" ht="12.75" customHeight="1" x14ac:dyDescent="0.2">
      <c r="A52917" s="258"/>
      <c r="Z52917" s="258"/>
    </row>
    <row r="52918" spans="1:26" ht="12.75" customHeight="1" x14ac:dyDescent="0.2">
      <c r="A52918" s="258"/>
      <c r="Z52918" s="258"/>
    </row>
    <row r="52919" spans="1:26" ht="12.75" customHeight="1" x14ac:dyDescent="0.2">
      <c r="A52919" s="258"/>
      <c r="Z52919" s="258"/>
    </row>
    <row r="52920" spans="1:26" ht="12.75" customHeight="1" x14ac:dyDescent="0.2">
      <c r="A52920" s="258"/>
      <c r="Z52920" s="258"/>
    </row>
    <row r="52921" spans="1:26" ht="12.75" customHeight="1" x14ac:dyDescent="0.2">
      <c r="A52921" s="258"/>
      <c r="Z52921" s="258"/>
    </row>
    <row r="52922" spans="1:26" ht="12.75" customHeight="1" x14ac:dyDescent="0.2">
      <c r="A52922" s="258"/>
      <c r="Z52922" s="258"/>
    </row>
    <row r="52923" spans="1:26" ht="12.75" customHeight="1" x14ac:dyDescent="0.2">
      <c r="A52923" s="258"/>
      <c r="Z52923" s="258"/>
    </row>
    <row r="52924" spans="1:26" ht="12.75" customHeight="1" x14ac:dyDescent="0.2">
      <c r="A52924" s="258"/>
      <c r="Z52924" s="258"/>
    </row>
    <row r="52925" spans="1:26" ht="12.75" customHeight="1" x14ac:dyDescent="0.2">
      <c r="A52925" s="258"/>
      <c r="Z52925" s="258"/>
    </row>
    <row r="52926" spans="1:26" ht="12.75" customHeight="1" x14ac:dyDescent="0.2">
      <c r="A52926" s="258"/>
      <c r="Z52926" s="258"/>
    </row>
    <row r="52927" spans="1:26" ht="12.75" customHeight="1" x14ac:dyDescent="0.2">
      <c r="A52927" s="258"/>
      <c r="Z52927" s="258"/>
    </row>
    <row r="52928" spans="1:26" ht="12.75" customHeight="1" x14ac:dyDescent="0.2">
      <c r="A52928" s="258"/>
      <c r="Z52928" s="258"/>
    </row>
    <row r="52929" spans="1:26" ht="12.75" customHeight="1" x14ac:dyDescent="0.2">
      <c r="A52929" s="258"/>
      <c r="Z52929" s="258"/>
    </row>
    <row r="52930" spans="1:26" ht="12.75" customHeight="1" x14ac:dyDescent="0.2">
      <c r="A52930" s="258"/>
      <c r="Z52930" s="258"/>
    </row>
    <row r="52931" spans="1:26" ht="12.75" customHeight="1" x14ac:dyDescent="0.2">
      <c r="A52931" s="258"/>
      <c r="Z52931" s="258"/>
    </row>
    <row r="52932" spans="1:26" ht="12.75" customHeight="1" x14ac:dyDescent="0.2">
      <c r="A52932" s="258"/>
      <c r="Z52932" s="258"/>
    </row>
    <row r="52933" spans="1:26" ht="12.75" customHeight="1" x14ac:dyDescent="0.2">
      <c r="A52933" s="258"/>
      <c r="Z52933" s="258"/>
    </row>
    <row r="52934" spans="1:26" ht="12.75" customHeight="1" x14ac:dyDescent="0.2">
      <c r="A52934" s="258"/>
      <c r="Z52934" s="258"/>
    </row>
    <row r="52935" spans="1:26" ht="12.75" customHeight="1" x14ac:dyDescent="0.2">
      <c r="A52935" s="258"/>
      <c r="Z52935" s="258"/>
    </row>
    <row r="52936" spans="1:26" ht="12.75" customHeight="1" x14ac:dyDescent="0.2">
      <c r="A52936" s="258"/>
      <c r="Z52936" s="258"/>
    </row>
    <row r="52937" spans="1:26" ht="12.75" customHeight="1" x14ac:dyDescent="0.2">
      <c r="A52937" s="258"/>
      <c r="Z52937" s="258"/>
    </row>
    <row r="52938" spans="1:26" ht="12.75" customHeight="1" x14ac:dyDescent="0.2">
      <c r="A52938" s="258"/>
      <c r="Z52938" s="258"/>
    </row>
    <row r="52939" spans="1:26" ht="12.75" customHeight="1" x14ac:dyDescent="0.2">
      <c r="A52939" s="258"/>
      <c r="Z52939" s="258"/>
    </row>
    <row r="52940" spans="1:26" ht="12.75" customHeight="1" x14ac:dyDescent="0.2">
      <c r="A52940" s="258"/>
      <c r="Z52940" s="258"/>
    </row>
    <row r="52941" spans="1:26" ht="12.75" customHeight="1" x14ac:dyDescent="0.2">
      <c r="A52941" s="258"/>
      <c r="Z52941" s="258"/>
    </row>
    <row r="52942" spans="1:26" ht="12.75" customHeight="1" x14ac:dyDescent="0.2">
      <c r="A52942" s="258"/>
      <c r="Z52942" s="258"/>
    </row>
    <row r="52943" spans="1:26" ht="12.75" customHeight="1" x14ac:dyDescent="0.2">
      <c r="A52943" s="258"/>
      <c r="Z52943" s="258"/>
    </row>
    <row r="52944" spans="1:26" ht="12.75" customHeight="1" x14ac:dyDescent="0.2">
      <c r="A52944" s="258"/>
      <c r="Z52944" s="258"/>
    </row>
    <row r="52945" spans="1:26" ht="12.75" customHeight="1" x14ac:dyDescent="0.2">
      <c r="A52945" s="258"/>
      <c r="Z52945" s="258"/>
    </row>
    <row r="52946" spans="1:26" ht="12.75" customHeight="1" x14ac:dyDescent="0.2">
      <c r="A52946" s="258"/>
      <c r="Z52946" s="258"/>
    </row>
    <row r="52947" spans="1:26" ht="12.75" customHeight="1" x14ac:dyDescent="0.2">
      <c r="A52947" s="258"/>
      <c r="Z52947" s="258"/>
    </row>
    <row r="52948" spans="1:26" ht="12.75" customHeight="1" x14ac:dyDescent="0.2">
      <c r="A52948" s="258"/>
      <c r="Z52948" s="258"/>
    </row>
    <row r="52949" spans="1:26" ht="12.75" customHeight="1" x14ac:dyDescent="0.2">
      <c r="A52949" s="258"/>
      <c r="Z52949" s="258"/>
    </row>
    <row r="52950" spans="1:26" ht="12.75" customHeight="1" x14ac:dyDescent="0.2">
      <c r="A52950" s="258"/>
      <c r="Z52950" s="258"/>
    </row>
    <row r="52951" spans="1:26" ht="12.75" customHeight="1" x14ac:dyDescent="0.2">
      <c r="A52951" s="258"/>
      <c r="Z52951" s="258"/>
    </row>
    <row r="52952" spans="1:26" ht="12.75" customHeight="1" x14ac:dyDescent="0.2">
      <c r="A52952" s="258"/>
      <c r="Z52952" s="258"/>
    </row>
    <row r="52953" spans="1:26" ht="12.75" customHeight="1" x14ac:dyDescent="0.2">
      <c r="A52953" s="258"/>
      <c r="Z52953" s="258"/>
    </row>
    <row r="52954" spans="1:26" ht="12.75" customHeight="1" x14ac:dyDescent="0.2">
      <c r="A52954" s="258"/>
      <c r="Z52954" s="258"/>
    </row>
    <row r="52955" spans="1:26" ht="12.75" customHeight="1" x14ac:dyDescent="0.2">
      <c r="A52955" s="258"/>
      <c r="Z52955" s="258"/>
    </row>
    <row r="52956" spans="1:26" ht="12.75" customHeight="1" x14ac:dyDescent="0.2">
      <c r="A52956" s="258"/>
      <c r="Z52956" s="258"/>
    </row>
    <row r="52957" spans="1:26" ht="12.75" customHeight="1" x14ac:dyDescent="0.2">
      <c r="A52957" s="258"/>
      <c r="Z52957" s="258"/>
    </row>
    <row r="52958" spans="1:26" ht="12.75" customHeight="1" x14ac:dyDescent="0.2">
      <c r="A52958" s="258"/>
      <c r="Z52958" s="258"/>
    </row>
    <row r="52959" spans="1:26" ht="12.75" customHeight="1" x14ac:dyDescent="0.2">
      <c r="A52959" s="258"/>
      <c r="Z52959" s="258"/>
    </row>
    <row r="52960" spans="1:26" ht="12.75" customHeight="1" x14ac:dyDescent="0.2">
      <c r="A52960" s="258"/>
      <c r="Z52960" s="258"/>
    </row>
    <row r="52961" spans="1:26" ht="12.75" customHeight="1" x14ac:dyDescent="0.2">
      <c r="A52961" s="258"/>
      <c r="Z52961" s="258"/>
    </row>
    <row r="52962" spans="1:26" ht="12.75" customHeight="1" x14ac:dyDescent="0.2">
      <c r="A52962" s="258"/>
      <c r="Z52962" s="258"/>
    </row>
    <row r="52963" spans="1:26" ht="12.75" customHeight="1" x14ac:dyDescent="0.2">
      <c r="A52963" s="258"/>
      <c r="Z52963" s="258"/>
    </row>
    <row r="52964" spans="1:26" ht="12.75" customHeight="1" x14ac:dyDescent="0.2">
      <c r="A52964" s="258"/>
      <c r="Z52964" s="258"/>
    </row>
    <row r="52965" spans="1:26" ht="12.75" customHeight="1" x14ac:dyDescent="0.2">
      <c r="A52965" s="258"/>
      <c r="Z52965" s="258"/>
    </row>
    <row r="52966" spans="1:26" ht="12.75" customHeight="1" x14ac:dyDescent="0.2">
      <c r="A52966" s="258"/>
      <c r="Z52966" s="258"/>
    </row>
    <row r="52967" spans="1:26" ht="12.75" customHeight="1" x14ac:dyDescent="0.2">
      <c r="A52967" s="258"/>
      <c r="Z52967" s="258"/>
    </row>
    <row r="52968" spans="1:26" ht="12.75" customHeight="1" x14ac:dyDescent="0.2">
      <c r="A52968" s="258"/>
      <c r="Z52968" s="258"/>
    </row>
    <row r="52969" spans="1:26" ht="12.75" customHeight="1" x14ac:dyDescent="0.2">
      <c r="A52969" s="258"/>
      <c r="Z52969" s="258"/>
    </row>
    <row r="52970" spans="1:26" ht="12.75" customHeight="1" x14ac:dyDescent="0.2">
      <c r="A52970" s="258"/>
      <c r="Z52970" s="258"/>
    </row>
    <row r="52971" spans="1:26" ht="12.75" customHeight="1" x14ac:dyDescent="0.2">
      <c r="A52971" s="258"/>
      <c r="Z52971" s="258"/>
    </row>
    <row r="52972" spans="1:26" ht="12.75" customHeight="1" x14ac:dyDescent="0.2">
      <c r="A52972" s="258"/>
      <c r="Z52972" s="258"/>
    </row>
    <row r="52973" spans="1:26" ht="12.75" customHeight="1" x14ac:dyDescent="0.2">
      <c r="A52973" s="258"/>
      <c r="Z52973" s="258"/>
    </row>
    <row r="52974" spans="1:26" ht="12.75" customHeight="1" x14ac:dyDescent="0.2">
      <c r="A52974" s="258"/>
      <c r="Z52974" s="258"/>
    </row>
    <row r="52975" spans="1:26" ht="12.75" customHeight="1" x14ac:dyDescent="0.2">
      <c r="A52975" s="258"/>
      <c r="Z52975" s="258"/>
    </row>
    <row r="52976" spans="1:26" ht="12.75" customHeight="1" x14ac:dyDescent="0.2">
      <c r="A52976" s="258"/>
      <c r="Z52976" s="258"/>
    </row>
    <row r="52977" spans="1:26" ht="12.75" customHeight="1" x14ac:dyDescent="0.2">
      <c r="A52977" s="258"/>
      <c r="Z52977" s="258"/>
    </row>
    <row r="52978" spans="1:26" ht="12.75" customHeight="1" x14ac:dyDescent="0.2">
      <c r="A52978" s="258"/>
      <c r="Z52978" s="258"/>
    </row>
    <row r="52979" spans="1:26" ht="12.75" customHeight="1" x14ac:dyDescent="0.2">
      <c r="A52979" s="258"/>
      <c r="Z52979" s="258"/>
    </row>
    <row r="52980" spans="1:26" ht="12.75" customHeight="1" x14ac:dyDescent="0.2">
      <c r="A52980" s="258"/>
      <c r="Z52980" s="258"/>
    </row>
    <row r="52981" spans="1:26" ht="12.75" customHeight="1" x14ac:dyDescent="0.2">
      <c r="A52981" s="258"/>
      <c r="Z52981" s="258"/>
    </row>
    <row r="52982" spans="1:26" ht="12.75" customHeight="1" x14ac:dyDescent="0.2">
      <c r="A52982" s="258"/>
      <c r="Z52982" s="258"/>
    </row>
    <row r="52983" spans="1:26" ht="12.75" customHeight="1" x14ac:dyDescent="0.2">
      <c r="A52983" s="258"/>
      <c r="Z52983" s="258"/>
    </row>
    <row r="52984" spans="1:26" ht="12.75" customHeight="1" x14ac:dyDescent="0.2">
      <c r="A52984" s="258"/>
      <c r="Z52984" s="258"/>
    </row>
    <row r="52985" spans="1:26" ht="12.75" customHeight="1" x14ac:dyDescent="0.2">
      <c r="A52985" s="258"/>
      <c r="Z52985" s="258"/>
    </row>
    <row r="52986" spans="1:26" ht="12.75" customHeight="1" x14ac:dyDescent="0.2">
      <c r="A52986" s="258"/>
      <c r="Z52986" s="258"/>
    </row>
    <row r="52987" spans="1:26" ht="12.75" customHeight="1" x14ac:dyDescent="0.2">
      <c r="A52987" s="258"/>
      <c r="Z52987" s="258"/>
    </row>
    <row r="52988" spans="1:26" ht="12.75" customHeight="1" x14ac:dyDescent="0.2">
      <c r="A52988" s="258"/>
      <c r="Z52988" s="258"/>
    </row>
    <row r="52989" spans="1:26" ht="12.75" customHeight="1" x14ac:dyDescent="0.2">
      <c r="A52989" s="258"/>
      <c r="Z52989" s="258"/>
    </row>
    <row r="52990" spans="1:26" ht="12.75" customHeight="1" x14ac:dyDescent="0.2">
      <c r="A52990" s="258"/>
      <c r="Z52990" s="258"/>
    </row>
    <row r="52991" spans="1:26" ht="12.75" customHeight="1" x14ac:dyDescent="0.2">
      <c r="A52991" s="258"/>
      <c r="Z52991" s="258"/>
    </row>
    <row r="52992" spans="1:26" ht="12.75" customHeight="1" x14ac:dyDescent="0.2">
      <c r="A52992" s="258"/>
      <c r="Z52992" s="258"/>
    </row>
    <row r="52993" spans="1:26" ht="12.75" customHeight="1" x14ac:dyDescent="0.2">
      <c r="A52993" s="258"/>
      <c r="Z52993" s="258"/>
    </row>
    <row r="52994" spans="1:26" ht="12.75" customHeight="1" x14ac:dyDescent="0.2">
      <c r="A52994" s="258"/>
      <c r="Z52994" s="258"/>
    </row>
    <row r="52995" spans="1:26" ht="12.75" customHeight="1" x14ac:dyDescent="0.2">
      <c r="A52995" s="258"/>
      <c r="Z52995" s="258"/>
    </row>
    <row r="52996" spans="1:26" ht="12.75" customHeight="1" x14ac:dyDescent="0.2">
      <c r="A52996" s="258"/>
      <c r="Z52996" s="258"/>
    </row>
    <row r="52997" spans="1:26" ht="12.75" customHeight="1" x14ac:dyDescent="0.2">
      <c r="A52997" s="258"/>
      <c r="Z52997" s="258"/>
    </row>
    <row r="52998" spans="1:26" ht="12.75" customHeight="1" x14ac:dyDescent="0.2">
      <c r="A52998" s="258"/>
      <c r="Z52998" s="258"/>
    </row>
    <row r="52999" spans="1:26" ht="12.75" customHeight="1" x14ac:dyDescent="0.2">
      <c r="A52999" s="258"/>
      <c r="Z52999" s="258"/>
    </row>
    <row r="53000" spans="1:26" ht="12.75" customHeight="1" x14ac:dyDescent="0.2">
      <c r="A53000" s="258"/>
      <c r="Z53000" s="258"/>
    </row>
    <row r="53001" spans="1:26" ht="12.75" customHeight="1" x14ac:dyDescent="0.2">
      <c r="A53001" s="258"/>
      <c r="Z53001" s="258"/>
    </row>
    <row r="53002" spans="1:26" ht="12.75" customHeight="1" x14ac:dyDescent="0.2">
      <c r="A53002" s="258"/>
      <c r="Z53002" s="258"/>
    </row>
    <row r="53003" spans="1:26" ht="12.75" customHeight="1" x14ac:dyDescent="0.2">
      <c r="A53003" s="258"/>
      <c r="Z53003" s="258"/>
    </row>
    <row r="53004" spans="1:26" ht="12.75" customHeight="1" x14ac:dyDescent="0.2">
      <c r="A53004" s="258"/>
      <c r="Z53004" s="258"/>
    </row>
    <row r="53005" spans="1:26" ht="12.75" customHeight="1" x14ac:dyDescent="0.2">
      <c r="A53005" s="258"/>
      <c r="Z53005" s="258"/>
    </row>
    <row r="53006" spans="1:26" ht="12.75" customHeight="1" x14ac:dyDescent="0.2">
      <c r="A53006" s="258"/>
      <c r="Z53006" s="258"/>
    </row>
    <row r="53007" spans="1:26" ht="12.75" customHeight="1" x14ac:dyDescent="0.2">
      <c r="A53007" s="258"/>
      <c r="Z53007" s="258"/>
    </row>
    <row r="53008" spans="1:26" ht="12.75" customHeight="1" x14ac:dyDescent="0.2">
      <c r="A53008" s="258"/>
      <c r="Z53008" s="258"/>
    </row>
    <row r="53009" spans="1:26" ht="12.75" customHeight="1" x14ac:dyDescent="0.2">
      <c r="A53009" s="258"/>
      <c r="Z53009" s="258"/>
    </row>
    <row r="53010" spans="1:26" ht="12.75" customHeight="1" x14ac:dyDescent="0.2">
      <c r="A53010" s="258"/>
      <c r="Z53010" s="258"/>
    </row>
    <row r="53011" spans="1:26" ht="12.75" customHeight="1" x14ac:dyDescent="0.2">
      <c r="A53011" s="258"/>
      <c r="Z53011" s="258"/>
    </row>
    <row r="53012" spans="1:26" ht="12.75" customHeight="1" x14ac:dyDescent="0.2">
      <c r="A53012" s="258"/>
      <c r="Z53012" s="258"/>
    </row>
    <row r="53013" spans="1:26" ht="12.75" customHeight="1" x14ac:dyDescent="0.2">
      <c r="A53013" s="258"/>
      <c r="Z53013" s="258"/>
    </row>
    <row r="53014" spans="1:26" ht="12.75" customHeight="1" x14ac:dyDescent="0.2">
      <c r="A53014" s="258"/>
      <c r="Z53014" s="258"/>
    </row>
    <row r="53015" spans="1:26" ht="12.75" customHeight="1" x14ac:dyDescent="0.2">
      <c r="A53015" s="258"/>
      <c r="Z53015" s="258"/>
    </row>
    <row r="53016" spans="1:26" ht="12.75" customHeight="1" x14ac:dyDescent="0.2">
      <c r="A53016" s="258"/>
      <c r="Z53016" s="258"/>
    </row>
    <row r="53017" spans="1:26" ht="12.75" customHeight="1" x14ac:dyDescent="0.2">
      <c r="A53017" s="258"/>
      <c r="Z53017" s="258"/>
    </row>
    <row r="53018" spans="1:26" ht="12.75" customHeight="1" x14ac:dyDescent="0.2">
      <c r="A53018" s="258"/>
      <c r="Z53018" s="258"/>
    </row>
    <row r="53019" spans="1:26" ht="12.75" customHeight="1" x14ac:dyDescent="0.2">
      <c r="A53019" s="258"/>
      <c r="Z53019" s="258"/>
    </row>
    <row r="53020" spans="1:26" ht="12.75" customHeight="1" x14ac:dyDescent="0.2">
      <c r="A53020" s="258"/>
      <c r="Z53020" s="258"/>
    </row>
    <row r="53021" spans="1:26" ht="12.75" customHeight="1" x14ac:dyDescent="0.2">
      <c r="A53021" s="258"/>
      <c r="Z53021" s="258"/>
    </row>
    <row r="53022" spans="1:26" ht="12.75" customHeight="1" x14ac:dyDescent="0.2">
      <c r="A53022" s="258"/>
      <c r="Z53022" s="258"/>
    </row>
    <row r="53023" spans="1:26" ht="12.75" customHeight="1" x14ac:dyDescent="0.2">
      <c r="A53023" s="258"/>
      <c r="Z53023" s="258"/>
    </row>
    <row r="53024" spans="1:26" ht="12.75" customHeight="1" x14ac:dyDescent="0.2">
      <c r="A53024" s="258"/>
      <c r="Z53024" s="258"/>
    </row>
    <row r="53025" spans="1:26" ht="12.75" customHeight="1" x14ac:dyDescent="0.2">
      <c r="A53025" s="258"/>
      <c r="Z53025" s="258"/>
    </row>
    <row r="53026" spans="1:26" ht="12.75" customHeight="1" x14ac:dyDescent="0.2">
      <c r="A53026" s="258"/>
      <c r="Z53026" s="258"/>
    </row>
    <row r="53027" spans="1:26" ht="12.75" customHeight="1" x14ac:dyDescent="0.2">
      <c r="A53027" s="258"/>
      <c r="Z53027" s="258"/>
    </row>
    <row r="53028" spans="1:26" ht="12.75" customHeight="1" x14ac:dyDescent="0.2">
      <c r="A53028" s="258"/>
      <c r="Z53028" s="258"/>
    </row>
    <row r="53029" spans="1:26" ht="12.75" customHeight="1" x14ac:dyDescent="0.2">
      <c r="A53029" s="258"/>
      <c r="Z53029" s="258"/>
    </row>
    <row r="53030" spans="1:26" ht="12.75" customHeight="1" x14ac:dyDescent="0.2">
      <c r="A53030" s="258"/>
      <c r="Z53030" s="258"/>
    </row>
    <row r="53031" spans="1:26" ht="12.75" customHeight="1" x14ac:dyDescent="0.2">
      <c r="A53031" s="258"/>
      <c r="Z53031" s="258"/>
    </row>
    <row r="53032" spans="1:26" ht="12.75" customHeight="1" x14ac:dyDescent="0.2">
      <c r="A53032" s="258"/>
      <c r="Z53032" s="258"/>
    </row>
    <row r="53033" spans="1:26" ht="12.75" customHeight="1" x14ac:dyDescent="0.2">
      <c r="A53033" s="258"/>
      <c r="Z53033" s="258"/>
    </row>
    <row r="53034" spans="1:26" ht="12.75" customHeight="1" x14ac:dyDescent="0.2">
      <c r="A53034" s="258"/>
      <c r="Z53034" s="258"/>
    </row>
    <row r="53035" spans="1:26" ht="12.75" customHeight="1" x14ac:dyDescent="0.2">
      <c r="A53035" s="258"/>
      <c r="Z53035" s="258"/>
    </row>
    <row r="53036" spans="1:26" ht="12.75" customHeight="1" x14ac:dyDescent="0.2">
      <c r="A53036" s="258"/>
      <c r="Z53036" s="258"/>
    </row>
    <row r="53037" spans="1:26" ht="12.75" customHeight="1" x14ac:dyDescent="0.2">
      <c r="A53037" s="258"/>
      <c r="Z53037" s="258"/>
    </row>
    <row r="53038" spans="1:26" ht="12.75" customHeight="1" x14ac:dyDescent="0.2">
      <c r="A53038" s="258"/>
      <c r="Z53038" s="258"/>
    </row>
    <row r="53039" spans="1:26" ht="12.75" customHeight="1" x14ac:dyDescent="0.2">
      <c r="A53039" s="258"/>
      <c r="Z53039" s="258"/>
    </row>
    <row r="53040" spans="1:26" ht="12.75" customHeight="1" x14ac:dyDescent="0.2">
      <c r="A53040" s="258"/>
      <c r="Z53040" s="258"/>
    </row>
    <row r="53041" spans="1:26" ht="12.75" customHeight="1" x14ac:dyDescent="0.2">
      <c r="A53041" s="258"/>
      <c r="Z53041" s="258"/>
    </row>
    <row r="53042" spans="1:26" ht="12.75" customHeight="1" x14ac:dyDescent="0.2">
      <c r="A53042" s="258"/>
      <c r="Z53042" s="258"/>
    </row>
    <row r="53043" spans="1:26" ht="12.75" customHeight="1" x14ac:dyDescent="0.2">
      <c r="A53043" s="258"/>
      <c r="Z53043" s="258"/>
    </row>
    <row r="53044" spans="1:26" ht="12.75" customHeight="1" x14ac:dyDescent="0.2">
      <c r="A53044" s="258"/>
      <c r="Z53044" s="258"/>
    </row>
    <row r="53045" spans="1:26" ht="12.75" customHeight="1" x14ac:dyDescent="0.2">
      <c r="A53045" s="258"/>
      <c r="Z53045" s="258"/>
    </row>
    <row r="53046" spans="1:26" ht="12.75" customHeight="1" x14ac:dyDescent="0.2">
      <c r="A53046" s="258"/>
      <c r="Z53046" s="258"/>
    </row>
    <row r="53047" spans="1:26" ht="12.75" customHeight="1" x14ac:dyDescent="0.2">
      <c r="A53047" s="258"/>
      <c r="Z53047" s="258"/>
    </row>
    <row r="53048" spans="1:26" ht="12.75" customHeight="1" x14ac:dyDescent="0.2">
      <c r="A53048" s="258"/>
      <c r="Z53048" s="258"/>
    </row>
    <row r="53049" spans="1:26" ht="12.75" customHeight="1" x14ac:dyDescent="0.2">
      <c r="A53049" s="258"/>
      <c r="Z53049" s="258"/>
    </row>
    <row r="53050" spans="1:26" ht="12.75" customHeight="1" x14ac:dyDescent="0.2">
      <c r="A53050" s="258"/>
      <c r="Z53050" s="258"/>
    </row>
    <row r="53051" spans="1:26" ht="12.75" customHeight="1" x14ac:dyDescent="0.2">
      <c r="A53051" s="258"/>
      <c r="Z53051" s="258"/>
    </row>
    <row r="53052" spans="1:26" ht="12.75" customHeight="1" x14ac:dyDescent="0.2">
      <c r="A53052" s="258"/>
      <c r="Z53052" s="258"/>
    </row>
    <row r="53053" spans="1:26" ht="12.75" customHeight="1" x14ac:dyDescent="0.2">
      <c r="A53053" s="258"/>
      <c r="Z53053" s="258"/>
    </row>
    <row r="53054" spans="1:26" ht="12.75" customHeight="1" x14ac:dyDescent="0.2">
      <c r="A53054" s="258"/>
      <c r="Z53054" s="258"/>
    </row>
    <row r="53055" spans="1:26" ht="12.75" customHeight="1" x14ac:dyDescent="0.2">
      <c r="A53055" s="258"/>
      <c r="Z53055" s="258"/>
    </row>
    <row r="53056" spans="1:26" ht="12.75" customHeight="1" x14ac:dyDescent="0.2">
      <c r="A53056" s="258"/>
      <c r="Z53056" s="258"/>
    </row>
    <row r="53057" spans="1:26" ht="12.75" customHeight="1" x14ac:dyDescent="0.2">
      <c r="A53057" s="258"/>
      <c r="Z53057" s="258"/>
    </row>
    <row r="53058" spans="1:26" ht="12.75" customHeight="1" x14ac:dyDescent="0.2">
      <c r="A53058" s="258"/>
      <c r="Z53058" s="258"/>
    </row>
    <row r="53059" spans="1:26" ht="12.75" customHeight="1" x14ac:dyDescent="0.2">
      <c r="A53059" s="258"/>
      <c r="Z53059" s="258"/>
    </row>
    <row r="53060" spans="1:26" ht="12.75" customHeight="1" x14ac:dyDescent="0.2">
      <c r="A53060" s="258"/>
      <c r="Z53060" s="258"/>
    </row>
    <row r="53061" spans="1:26" ht="12.75" customHeight="1" x14ac:dyDescent="0.2">
      <c r="A53061" s="258"/>
      <c r="Z53061" s="258"/>
    </row>
    <row r="53062" spans="1:26" ht="12.75" customHeight="1" x14ac:dyDescent="0.2">
      <c r="A53062" s="258"/>
      <c r="Z53062" s="258"/>
    </row>
    <row r="53063" spans="1:26" ht="12.75" customHeight="1" x14ac:dyDescent="0.2">
      <c r="A53063" s="258"/>
      <c r="Z53063" s="258"/>
    </row>
    <row r="53064" spans="1:26" ht="12.75" customHeight="1" x14ac:dyDescent="0.2">
      <c r="A53064" s="258"/>
      <c r="Z53064" s="258"/>
    </row>
    <row r="53065" spans="1:26" ht="12.75" customHeight="1" x14ac:dyDescent="0.2">
      <c r="A53065" s="258"/>
      <c r="Z53065" s="258"/>
    </row>
    <row r="53066" spans="1:26" ht="12.75" customHeight="1" x14ac:dyDescent="0.2">
      <c r="A53066" s="258"/>
      <c r="Z53066" s="258"/>
    </row>
    <row r="53067" spans="1:26" ht="12.75" customHeight="1" x14ac:dyDescent="0.2">
      <c r="A53067" s="258"/>
      <c r="Z53067" s="258"/>
    </row>
    <row r="53068" spans="1:26" ht="12.75" customHeight="1" x14ac:dyDescent="0.2">
      <c r="A53068" s="258"/>
      <c r="Z53068" s="258"/>
    </row>
    <row r="53069" spans="1:26" ht="12.75" customHeight="1" x14ac:dyDescent="0.2">
      <c r="A53069" s="258"/>
      <c r="Z53069" s="258"/>
    </row>
    <row r="53070" spans="1:26" ht="12.75" customHeight="1" x14ac:dyDescent="0.2">
      <c r="A53070" s="258"/>
      <c r="Z53070" s="258"/>
    </row>
    <row r="53071" spans="1:26" ht="12.75" customHeight="1" x14ac:dyDescent="0.2">
      <c r="A53071" s="258"/>
      <c r="Z53071" s="258"/>
    </row>
    <row r="53072" spans="1:26" ht="12.75" customHeight="1" x14ac:dyDescent="0.2">
      <c r="A53072" s="258"/>
      <c r="Z53072" s="258"/>
    </row>
    <row r="53073" spans="1:26" ht="12.75" customHeight="1" x14ac:dyDescent="0.2">
      <c r="A53073" s="258"/>
      <c r="Z53073" s="258"/>
    </row>
    <row r="53074" spans="1:26" ht="12.75" customHeight="1" x14ac:dyDescent="0.2">
      <c r="A53074" s="258"/>
      <c r="Z53074" s="258"/>
    </row>
    <row r="53075" spans="1:26" ht="12.75" customHeight="1" x14ac:dyDescent="0.2">
      <c r="A53075" s="258"/>
      <c r="Z53075" s="258"/>
    </row>
    <row r="53076" spans="1:26" ht="12.75" customHeight="1" x14ac:dyDescent="0.2">
      <c r="A53076" s="258"/>
      <c r="Z53076" s="258"/>
    </row>
    <row r="53077" spans="1:26" ht="12.75" customHeight="1" x14ac:dyDescent="0.2">
      <c r="A53077" s="258"/>
      <c r="Z53077" s="258"/>
    </row>
    <row r="53078" spans="1:26" ht="12.75" customHeight="1" x14ac:dyDescent="0.2">
      <c r="A53078" s="258"/>
      <c r="Z53078" s="258"/>
    </row>
    <row r="53079" spans="1:26" ht="12.75" customHeight="1" x14ac:dyDescent="0.2">
      <c r="A53079" s="258"/>
      <c r="Z53079" s="258"/>
    </row>
    <row r="53080" spans="1:26" ht="12.75" customHeight="1" x14ac:dyDescent="0.2">
      <c r="A53080" s="258"/>
      <c r="Z53080" s="258"/>
    </row>
    <row r="53081" spans="1:26" ht="12.75" customHeight="1" x14ac:dyDescent="0.2">
      <c r="A53081" s="258"/>
      <c r="Z53081" s="258"/>
    </row>
    <row r="53082" spans="1:26" ht="12.75" customHeight="1" x14ac:dyDescent="0.2">
      <c r="A53082" s="258"/>
      <c r="Z53082" s="258"/>
    </row>
    <row r="53083" spans="1:26" ht="12.75" customHeight="1" x14ac:dyDescent="0.2">
      <c r="A53083" s="258"/>
      <c r="Z53083" s="258"/>
    </row>
    <row r="53084" spans="1:26" ht="12.75" customHeight="1" x14ac:dyDescent="0.2">
      <c r="A53084" s="258"/>
      <c r="Z53084" s="258"/>
    </row>
    <row r="53085" spans="1:26" ht="12.75" customHeight="1" x14ac:dyDescent="0.2">
      <c r="A53085" s="258"/>
      <c r="Z53085" s="258"/>
    </row>
    <row r="53086" spans="1:26" ht="12.75" customHeight="1" x14ac:dyDescent="0.2">
      <c r="A53086" s="258"/>
      <c r="Z53086" s="258"/>
    </row>
    <row r="53087" spans="1:26" ht="12.75" customHeight="1" x14ac:dyDescent="0.2">
      <c r="A53087" s="258"/>
      <c r="Z53087" s="258"/>
    </row>
    <row r="53088" spans="1:26" ht="12.75" customHeight="1" x14ac:dyDescent="0.2">
      <c r="A53088" s="258"/>
      <c r="Z53088" s="258"/>
    </row>
    <row r="53089" spans="1:26" ht="12.75" customHeight="1" x14ac:dyDescent="0.2">
      <c r="A53089" s="258"/>
      <c r="Z53089" s="258"/>
    </row>
    <row r="53090" spans="1:26" ht="12.75" customHeight="1" x14ac:dyDescent="0.2">
      <c r="A53090" s="258"/>
      <c r="Z53090" s="258"/>
    </row>
    <row r="53091" spans="1:26" ht="12.75" customHeight="1" x14ac:dyDescent="0.2">
      <c r="A53091" s="258"/>
      <c r="Z53091" s="258"/>
    </row>
    <row r="53092" spans="1:26" ht="12.75" customHeight="1" x14ac:dyDescent="0.2">
      <c r="A53092" s="258"/>
      <c r="Z53092" s="258"/>
    </row>
    <row r="53093" spans="1:26" ht="12.75" customHeight="1" x14ac:dyDescent="0.2">
      <c r="A53093" s="258"/>
      <c r="Z53093" s="258"/>
    </row>
    <row r="53094" spans="1:26" ht="12.75" customHeight="1" x14ac:dyDescent="0.2">
      <c r="A53094" s="258"/>
      <c r="Z53094" s="258"/>
    </row>
    <row r="53095" spans="1:26" ht="12.75" customHeight="1" x14ac:dyDescent="0.2">
      <c r="A53095" s="258"/>
      <c r="Z53095" s="258"/>
    </row>
    <row r="53096" spans="1:26" ht="12.75" customHeight="1" x14ac:dyDescent="0.2">
      <c r="A53096" s="258"/>
      <c r="Z53096" s="258"/>
    </row>
    <row r="53097" spans="1:26" ht="12.75" customHeight="1" x14ac:dyDescent="0.2">
      <c r="A53097" s="258"/>
      <c r="Z53097" s="258"/>
    </row>
    <row r="53098" spans="1:26" ht="12.75" customHeight="1" x14ac:dyDescent="0.2">
      <c r="A53098" s="258"/>
      <c r="Z53098" s="258"/>
    </row>
    <row r="53099" spans="1:26" ht="12.75" customHeight="1" x14ac:dyDescent="0.2">
      <c r="A53099" s="258"/>
      <c r="Z53099" s="258"/>
    </row>
    <row r="53100" spans="1:26" ht="12.75" customHeight="1" x14ac:dyDescent="0.2">
      <c r="A53100" s="258"/>
      <c r="Z53100" s="258"/>
    </row>
    <row r="53101" spans="1:26" ht="12.75" customHeight="1" x14ac:dyDescent="0.2">
      <c r="A53101" s="258"/>
      <c r="Z53101" s="258"/>
    </row>
    <row r="53102" spans="1:26" ht="12.75" customHeight="1" x14ac:dyDescent="0.2">
      <c r="A53102" s="258"/>
      <c r="Z53102" s="258"/>
    </row>
    <row r="53103" spans="1:26" ht="12.75" customHeight="1" x14ac:dyDescent="0.2">
      <c r="A53103" s="258"/>
      <c r="Z53103" s="258"/>
    </row>
    <row r="53104" spans="1:26" ht="12.75" customHeight="1" x14ac:dyDescent="0.2">
      <c r="A53104" s="258"/>
      <c r="Z53104" s="258"/>
    </row>
    <row r="53105" spans="1:26" ht="12.75" customHeight="1" x14ac:dyDescent="0.2">
      <c r="A53105" s="258"/>
      <c r="Z53105" s="258"/>
    </row>
    <row r="53106" spans="1:26" ht="12.75" customHeight="1" x14ac:dyDescent="0.2">
      <c r="A53106" s="258"/>
      <c r="Z53106" s="258"/>
    </row>
    <row r="53107" spans="1:26" ht="12.75" customHeight="1" x14ac:dyDescent="0.2">
      <c r="A53107" s="258"/>
      <c r="Z53107" s="258"/>
    </row>
    <row r="53108" spans="1:26" ht="12.75" customHeight="1" x14ac:dyDescent="0.2">
      <c r="A53108" s="258"/>
      <c r="Z53108" s="258"/>
    </row>
    <row r="53109" spans="1:26" ht="12.75" customHeight="1" x14ac:dyDescent="0.2">
      <c r="A53109" s="258"/>
      <c r="Z53109" s="258"/>
    </row>
    <row r="53110" spans="1:26" ht="12.75" customHeight="1" x14ac:dyDescent="0.2">
      <c r="A53110" s="258"/>
      <c r="Z53110" s="258"/>
    </row>
    <row r="53111" spans="1:26" ht="12.75" customHeight="1" x14ac:dyDescent="0.2">
      <c r="A53111" s="258"/>
      <c r="Z53111" s="258"/>
    </row>
    <row r="53112" spans="1:26" ht="12.75" customHeight="1" x14ac:dyDescent="0.2">
      <c r="A53112" s="258"/>
      <c r="Z53112" s="258"/>
    </row>
    <row r="53113" spans="1:26" ht="12.75" customHeight="1" x14ac:dyDescent="0.2">
      <c r="A53113" s="258"/>
      <c r="Z53113" s="258"/>
    </row>
    <row r="53114" spans="1:26" ht="12.75" customHeight="1" x14ac:dyDescent="0.2">
      <c r="A53114" s="258"/>
      <c r="Z53114" s="258"/>
    </row>
    <row r="53115" spans="1:26" ht="12.75" customHeight="1" x14ac:dyDescent="0.2">
      <c r="A53115" s="258"/>
      <c r="Z53115" s="258"/>
    </row>
    <row r="53116" spans="1:26" ht="12.75" customHeight="1" x14ac:dyDescent="0.2">
      <c r="A53116" s="258"/>
      <c r="Z53116" s="258"/>
    </row>
    <row r="53117" spans="1:26" ht="12.75" customHeight="1" x14ac:dyDescent="0.2">
      <c r="A53117" s="258"/>
      <c r="Z53117" s="258"/>
    </row>
    <row r="53118" spans="1:26" ht="12.75" customHeight="1" x14ac:dyDescent="0.2">
      <c r="A53118" s="258"/>
      <c r="Z53118" s="258"/>
    </row>
    <row r="53119" spans="1:26" ht="12.75" customHeight="1" x14ac:dyDescent="0.2">
      <c r="A53119" s="258"/>
      <c r="Z53119" s="258"/>
    </row>
    <row r="53120" spans="1:26" ht="12.75" customHeight="1" x14ac:dyDescent="0.2">
      <c r="A53120" s="258"/>
      <c r="Z53120" s="258"/>
    </row>
    <row r="53121" spans="1:26" ht="12.75" customHeight="1" x14ac:dyDescent="0.2">
      <c r="A53121" s="258"/>
      <c r="Z53121" s="258"/>
    </row>
    <row r="53122" spans="1:26" ht="12.75" customHeight="1" x14ac:dyDescent="0.2">
      <c r="A53122" s="258"/>
      <c r="Z53122" s="258"/>
    </row>
    <row r="53123" spans="1:26" ht="12.75" customHeight="1" x14ac:dyDescent="0.2">
      <c r="A53123" s="258"/>
      <c r="Z53123" s="258"/>
    </row>
    <row r="53124" spans="1:26" ht="12.75" customHeight="1" x14ac:dyDescent="0.2">
      <c r="A53124" s="258"/>
      <c r="Z53124" s="258"/>
    </row>
    <row r="53125" spans="1:26" ht="12.75" customHeight="1" x14ac:dyDescent="0.2">
      <c r="A53125" s="258"/>
      <c r="Z53125" s="258"/>
    </row>
    <row r="53126" spans="1:26" ht="12.75" customHeight="1" x14ac:dyDescent="0.2">
      <c r="A53126" s="258"/>
      <c r="Z53126" s="258"/>
    </row>
    <row r="53127" spans="1:26" ht="12.75" customHeight="1" x14ac:dyDescent="0.2">
      <c r="A53127" s="258"/>
      <c r="Z53127" s="258"/>
    </row>
    <row r="53128" spans="1:26" ht="12.75" customHeight="1" x14ac:dyDescent="0.2">
      <c r="A53128" s="258"/>
      <c r="Z53128" s="258"/>
    </row>
    <row r="53129" spans="1:26" ht="12.75" customHeight="1" x14ac:dyDescent="0.2">
      <c r="A53129" s="258"/>
      <c r="Z53129" s="258"/>
    </row>
    <row r="53130" spans="1:26" ht="12.75" customHeight="1" x14ac:dyDescent="0.2">
      <c r="A53130" s="258"/>
      <c r="Z53130" s="258"/>
    </row>
    <row r="53131" spans="1:26" ht="12.75" customHeight="1" x14ac:dyDescent="0.2">
      <c r="A53131" s="258"/>
      <c r="Z53131" s="258"/>
    </row>
    <row r="53132" spans="1:26" ht="12.75" customHeight="1" x14ac:dyDescent="0.2">
      <c r="A53132" s="258"/>
      <c r="Z53132" s="258"/>
    </row>
    <row r="53133" spans="1:26" ht="12.75" customHeight="1" x14ac:dyDescent="0.2">
      <c r="A53133" s="258"/>
      <c r="Z53133" s="258"/>
    </row>
    <row r="53134" spans="1:26" ht="12.75" customHeight="1" x14ac:dyDescent="0.2">
      <c r="A53134" s="258"/>
      <c r="Z53134" s="258"/>
    </row>
    <row r="53135" spans="1:26" ht="12.75" customHeight="1" x14ac:dyDescent="0.2">
      <c r="A53135" s="258"/>
      <c r="Z53135" s="258"/>
    </row>
    <row r="53136" spans="1:26" ht="12.75" customHeight="1" x14ac:dyDescent="0.2">
      <c r="A53136" s="258"/>
      <c r="Z53136" s="258"/>
    </row>
    <row r="53137" spans="1:26" ht="12.75" customHeight="1" x14ac:dyDescent="0.2">
      <c r="A53137" s="258"/>
      <c r="Z53137" s="258"/>
    </row>
    <row r="53138" spans="1:26" ht="12.75" customHeight="1" x14ac:dyDescent="0.2">
      <c r="A53138" s="258"/>
      <c r="Z53138" s="258"/>
    </row>
    <row r="53139" spans="1:26" ht="12.75" customHeight="1" x14ac:dyDescent="0.2">
      <c r="A53139" s="258"/>
      <c r="Z53139" s="258"/>
    </row>
    <row r="53140" spans="1:26" ht="12.75" customHeight="1" x14ac:dyDescent="0.2">
      <c r="A53140" s="258"/>
      <c r="Z53140" s="258"/>
    </row>
    <row r="53141" spans="1:26" ht="12.75" customHeight="1" x14ac:dyDescent="0.2">
      <c r="A53141" s="258"/>
      <c r="Z53141" s="258"/>
    </row>
    <row r="53142" spans="1:26" ht="12.75" customHeight="1" x14ac:dyDescent="0.2">
      <c r="A53142" s="258"/>
      <c r="Z53142" s="258"/>
    </row>
    <row r="53143" spans="1:26" ht="12.75" customHeight="1" x14ac:dyDescent="0.2">
      <c r="A53143" s="258"/>
      <c r="Z53143" s="258"/>
    </row>
    <row r="53144" spans="1:26" ht="12.75" customHeight="1" x14ac:dyDescent="0.2">
      <c r="A53144" s="258"/>
      <c r="Z53144" s="258"/>
    </row>
    <row r="53145" spans="1:26" ht="12.75" customHeight="1" x14ac:dyDescent="0.2">
      <c r="A53145" s="258"/>
      <c r="Z53145" s="258"/>
    </row>
    <row r="53146" spans="1:26" ht="12.75" customHeight="1" x14ac:dyDescent="0.2">
      <c r="A53146" s="258"/>
      <c r="Z53146" s="258"/>
    </row>
    <row r="53147" spans="1:26" ht="12.75" customHeight="1" x14ac:dyDescent="0.2">
      <c r="A53147" s="258"/>
      <c r="Z53147" s="258"/>
    </row>
    <row r="53148" spans="1:26" ht="12.75" customHeight="1" x14ac:dyDescent="0.2">
      <c r="A53148" s="258"/>
      <c r="Z53148" s="258"/>
    </row>
    <row r="53149" spans="1:26" ht="12.75" customHeight="1" x14ac:dyDescent="0.2">
      <c r="A53149" s="258"/>
      <c r="Z53149" s="258"/>
    </row>
    <row r="53150" spans="1:26" ht="12.75" customHeight="1" x14ac:dyDescent="0.2">
      <c r="A53150" s="258"/>
      <c r="Z53150" s="258"/>
    </row>
    <row r="53151" spans="1:26" ht="12.75" customHeight="1" x14ac:dyDescent="0.2">
      <c r="A53151" s="258"/>
      <c r="Z53151" s="258"/>
    </row>
    <row r="53152" spans="1:26" ht="12.75" customHeight="1" x14ac:dyDescent="0.2">
      <c r="A53152" s="258"/>
      <c r="Z53152" s="258"/>
    </row>
    <row r="53153" spans="1:26" ht="12.75" customHeight="1" x14ac:dyDescent="0.2">
      <c r="A53153" s="258"/>
      <c r="Z53153" s="258"/>
    </row>
    <row r="53154" spans="1:26" ht="12.75" customHeight="1" x14ac:dyDescent="0.2">
      <c r="A53154" s="258"/>
      <c r="Z53154" s="258"/>
    </row>
    <row r="53155" spans="1:26" ht="12.75" customHeight="1" x14ac:dyDescent="0.2">
      <c r="A53155" s="258"/>
      <c r="Z53155" s="258"/>
    </row>
    <row r="53156" spans="1:26" ht="12.75" customHeight="1" x14ac:dyDescent="0.2">
      <c r="A53156" s="258"/>
      <c r="Z53156" s="258"/>
    </row>
    <row r="53157" spans="1:26" ht="12.75" customHeight="1" x14ac:dyDescent="0.2">
      <c r="A53157" s="258"/>
      <c r="Z53157" s="258"/>
    </row>
    <row r="53158" spans="1:26" ht="12.75" customHeight="1" x14ac:dyDescent="0.2">
      <c r="A53158" s="258"/>
      <c r="Z53158" s="258"/>
    </row>
    <row r="53159" spans="1:26" ht="12.75" customHeight="1" x14ac:dyDescent="0.2">
      <c r="A53159" s="258"/>
      <c r="Z53159" s="258"/>
    </row>
    <row r="53160" spans="1:26" ht="12.75" customHeight="1" x14ac:dyDescent="0.2">
      <c r="A53160" s="258"/>
      <c r="Z53160" s="258"/>
    </row>
    <row r="53161" spans="1:26" ht="12.75" customHeight="1" x14ac:dyDescent="0.2">
      <c r="A53161" s="258"/>
      <c r="Z53161" s="258"/>
    </row>
    <row r="53162" spans="1:26" ht="12.75" customHeight="1" x14ac:dyDescent="0.2">
      <c r="A53162" s="258"/>
      <c r="Z53162" s="258"/>
    </row>
    <row r="53163" spans="1:26" ht="12.75" customHeight="1" x14ac:dyDescent="0.2">
      <c r="A53163" s="258"/>
      <c r="Z53163" s="258"/>
    </row>
    <row r="53164" spans="1:26" ht="12.75" customHeight="1" x14ac:dyDescent="0.2">
      <c r="A53164" s="258"/>
      <c r="Z53164" s="258"/>
    </row>
    <row r="53165" spans="1:26" ht="12.75" customHeight="1" x14ac:dyDescent="0.2">
      <c r="A53165" s="258"/>
      <c r="Z53165" s="258"/>
    </row>
    <row r="53166" spans="1:26" ht="12.75" customHeight="1" x14ac:dyDescent="0.2">
      <c r="A53166" s="258"/>
      <c r="Z53166" s="258"/>
    </row>
    <row r="53167" spans="1:26" ht="12.75" customHeight="1" x14ac:dyDescent="0.2">
      <c r="A53167" s="258"/>
      <c r="Z53167" s="258"/>
    </row>
    <row r="53168" spans="1:26" ht="12.75" customHeight="1" x14ac:dyDescent="0.2">
      <c r="A53168" s="258"/>
      <c r="Z53168" s="258"/>
    </row>
    <row r="53169" spans="1:26" ht="12.75" customHeight="1" x14ac:dyDescent="0.2">
      <c r="A53169" s="258"/>
      <c r="Z53169" s="258"/>
    </row>
    <row r="53170" spans="1:26" ht="12.75" customHeight="1" x14ac:dyDescent="0.2">
      <c r="A53170" s="258"/>
      <c r="Z53170" s="258"/>
    </row>
    <row r="53171" spans="1:26" ht="12.75" customHeight="1" x14ac:dyDescent="0.2">
      <c r="A53171" s="258"/>
      <c r="Z53171" s="258"/>
    </row>
    <row r="53172" spans="1:26" ht="12.75" customHeight="1" x14ac:dyDescent="0.2">
      <c r="A53172" s="258"/>
      <c r="Z53172" s="258"/>
    </row>
    <row r="53173" spans="1:26" ht="12.75" customHeight="1" x14ac:dyDescent="0.2">
      <c r="A53173" s="258"/>
      <c r="Z53173" s="258"/>
    </row>
    <row r="53174" spans="1:26" ht="12.75" customHeight="1" x14ac:dyDescent="0.2">
      <c r="A53174" s="258"/>
      <c r="Z53174" s="258"/>
    </row>
    <row r="53175" spans="1:26" ht="12.75" customHeight="1" x14ac:dyDescent="0.2">
      <c r="A53175" s="258"/>
      <c r="Z53175" s="258"/>
    </row>
    <row r="53176" spans="1:26" ht="12.75" customHeight="1" x14ac:dyDescent="0.2">
      <c r="A53176" s="258"/>
      <c r="Z53176" s="258"/>
    </row>
    <row r="53177" spans="1:26" ht="12.75" customHeight="1" x14ac:dyDescent="0.2">
      <c r="A53177" s="258"/>
      <c r="Z53177" s="258"/>
    </row>
    <row r="53178" spans="1:26" ht="12.75" customHeight="1" x14ac:dyDescent="0.2">
      <c r="A53178" s="258"/>
      <c r="Z53178" s="258"/>
    </row>
    <row r="53179" spans="1:26" ht="12.75" customHeight="1" x14ac:dyDescent="0.2">
      <c r="A53179" s="258"/>
      <c r="Z53179" s="258"/>
    </row>
    <row r="53180" spans="1:26" ht="12.75" customHeight="1" x14ac:dyDescent="0.2">
      <c r="A53180" s="258"/>
      <c r="Z53180" s="258"/>
    </row>
    <row r="53181" spans="1:26" ht="12.75" customHeight="1" x14ac:dyDescent="0.2">
      <c r="A53181" s="258"/>
      <c r="Z53181" s="258"/>
    </row>
    <row r="53182" spans="1:26" ht="12.75" customHeight="1" x14ac:dyDescent="0.2">
      <c r="A53182" s="258"/>
      <c r="Z53182" s="258"/>
    </row>
    <row r="53183" spans="1:26" ht="12.75" customHeight="1" x14ac:dyDescent="0.2">
      <c r="A53183" s="258"/>
      <c r="Z53183" s="258"/>
    </row>
    <row r="53184" spans="1:26" ht="12.75" customHeight="1" x14ac:dyDescent="0.2">
      <c r="A53184" s="258"/>
      <c r="Z53184" s="258"/>
    </row>
    <row r="53185" spans="1:26" ht="12.75" customHeight="1" x14ac:dyDescent="0.2">
      <c r="A53185" s="258"/>
      <c r="Z53185" s="258"/>
    </row>
    <row r="53186" spans="1:26" ht="12.75" customHeight="1" x14ac:dyDescent="0.2">
      <c r="A53186" s="258"/>
      <c r="Z53186" s="258"/>
    </row>
    <row r="53187" spans="1:26" ht="12.75" customHeight="1" x14ac:dyDescent="0.2">
      <c r="A53187" s="258"/>
      <c r="Z53187" s="258"/>
    </row>
    <row r="53188" spans="1:26" ht="12.75" customHeight="1" x14ac:dyDescent="0.2">
      <c r="A53188" s="258"/>
      <c r="Z53188" s="258"/>
    </row>
    <row r="53189" spans="1:26" ht="12.75" customHeight="1" x14ac:dyDescent="0.2">
      <c r="A53189" s="258"/>
      <c r="Z53189" s="258"/>
    </row>
    <row r="53190" spans="1:26" ht="12.75" customHeight="1" x14ac:dyDescent="0.2">
      <c r="A53190" s="258"/>
      <c r="Z53190" s="258"/>
    </row>
    <row r="53191" spans="1:26" ht="12.75" customHeight="1" x14ac:dyDescent="0.2">
      <c r="A53191" s="258"/>
      <c r="Z53191" s="258"/>
    </row>
    <row r="53192" spans="1:26" ht="12.75" customHeight="1" x14ac:dyDescent="0.2">
      <c r="A53192" s="258"/>
      <c r="Z53192" s="258"/>
    </row>
    <row r="53193" spans="1:26" ht="12.75" customHeight="1" x14ac:dyDescent="0.2">
      <c r="A53193" s="258"/>
      <c r="Z53193" s="258"/>
    </row>
    <row r="53194" spans="1:26" ht="12.75" customHeight="1" x14ac:dyDescent="0.2">
      <c r="A53194" s="258"/>
      <c r="Z53194" s="258"/>
    </row>
    <row r="53195" spans="1:26" ht="12.75" customHeight="1" x14ac:dyDescent="0.2">
      <c r="A53195" s="258"/>
      <c r="Z53195" s="258"/>
    </row>
    <row r="53196" spans="1:26" ht="12.75" customHeight="1" x14ac:dyDescent="0.2">
      <c r="A53196" s="258"/>
      <c r="Z53196" s="258"/>
    </row>
    <row r="53197" spans="1:26" ht="12.75" customHeight="1" x14ac:dyDescent="0.2">
      <c r="A53197" s="258"/>
      <c r="Z53197" s="258"/>
    </row>
    <row r="53198" spans="1:26" ht="12.75" customHeight="1" x14ac:dyDescent="0.2">
      <c r="A53198" s="258"/>
      <c r="Z53198" s="258"/>
    </row>
    <row r="53199" spans="1:26" ht="12.75" customHeight="1" x14ac:dyDescent="0.2">
      <c r="A53199" s="258"/>
      <c r="Z53199" s="258"/>
    </row>
    <row r="53200" spans="1:26" ht="12.75" customHeight="1" x14ac:dyDescent="0.2">
      <c r="A53200" s="258"/>
      <c r="Z53200" s="258"/>
    </row>
    <row r="53201" spans="1:26" ht="12.75" customHeight="1" x14ac:dyDescent="0.2">
      <c r="A53201" s="258"/>
      <c r="Z53201" s="258"/>
    </row>
    <row r="53202" spans="1:26" ht="12.75" customHeight="1" x14ac:dyDescent="0.2">
      <c r="A53202" s="258"/>
      <c r="Z53202" s="258"/>
    </row>
    <row r="53203" spans="1:26" ht="12.75" customHeight="1" x14ac:dyDescent="0.2">
      <c r="A53203" s="258"/>
      <c r="Z53203" s="258"/>
    </row>
    <row r="53204" spans="1:26" ht="12.75" customHeight="1" x14ac:dyDescent="0.2">
      <c r="A53204" s="258"/>
      <c r="Z53204" s="258"/>
    </row>
    <row r="53205" spans="1:26" ht="12.75" customHeight="1" x14ac:dyDescent="0.2">
      <c r="A53205" s="258"/>
      <c r="Z53205" s="258"/>
    </row>
    <row r="53206" spans="1:26" ht="12.75" customHeight="1" x14ac:dyDescent="0.2">
      <c r="A53206" s="258"/>
      <c r="Z53206" s="258"/>
    </row>
    <row r="53207" spans="1:26" ht="12.75" customHeight="1" x14ac:dyDescent="0.2">
      <c r="A53207" s="258"/>
      <c r="Z53207" s="258"/>
    </row>
    <row r="53208" spans="1:26" ht="12.75" customHeight="1" x14ac:dyDescent="0.2">
      <c r="A53208" s="258"/>
      <c r="Z53208" s="258"/>
    </row>
    <row r="53209" spans="1:26" ht="12.75" customHeight="1" x14ac:dyDescent="0.2">
      <c r="A53209" s="258"/>
      <c r="Z53209" s="258"/>
    </row>
    <row r="53210" spans="1:26" ht="12.75" customHeight="1" x14ac:dyDescent="0.2">
      <c r="A53210" s="258"/>
      <c r="Z53210" s="258"/>
    </row>
    <row r="53211" spans="1:26" ht="12.75" customHeight="1" x14ac:dyDescent="0.2">
      <c r="A53211" s="258"/>
      <c r="Z53211" s="258"/>
    </row>
    <row r="53212" spans="1:26" ht="12.75" customHeight="1" x14ac:dyDescent="0.2">
      <c r="A53212" s="258"/>
      <c r="Z53212" s="258"/>
    </row>
    <row r="53213" spans="1:26" ht="12.75" customHeight="1" x14ac:dyDescent="0.2">
      <c r="A53213" s="258"/>
      <c r="Z53213" s="258"/>
    </row>
    <row r="53214" spans="1:26" ht="12.75" customHeight="1" x14ac:dyDescent="0.2">
      <c r="A53214" s="258"/>
      <c r="Z53214" s="258"/>
    </row>
    <row r="53215" spans="1:26" ht="12.75" customHeight="1" x14ac:dyDescent="0.2">
      <c r="A53215" s="258"/>
      <c r="Z53215" s="258"/>
    </row>
    <row r="53216" spans="1:26" ht="12.75" customHeight="1" x14ac:dyDescent="0.2">
      <c r="A53216" s="258"/>
      <c r="Z53216" s="258"/>
    </row>
    <row r="53217" spans="1:26" ht="12.75" customHeight="1" x14ac:dyDescent="0.2">
      <c r="A53217" s="258"/>
      <c r="Z53217" s="258"/>
    </row>
    <row r="53218" spans="1:26" ht="12.75" customHeight="1" x14ac:dyDescent="0.2">
      <c r="A53218" s="258"/>
      <c r="Z53218" s="258"/>
    </row>
    <row r="53219" spans="1:26" ht="12.75" customHeight="1" x14ac:dyDescent="0.2">
      <c r="A53219" s="258"/>
      <c r="Z53219" s="258"/>
    </row>
    <row r="53220" spans="1:26" ht="12.75" customHeight="1" x14ac:dyDescent="0.2">
      <c r="A53220" s="258"/>
      <c r="Z53220" s="258"/>
    </row>
    <row r="53221" spans="1:26" ht="12.75" customHeight="1" x14ac:dyDescent="0.2">
      <c r="A53221" s="258"/>
      <c r="Z53221" s="258"/>
    </row>
    <row r="53222" spans="1:26" ht="12.75" customHeight="1" x14ac:dyDescent="0.2">
      <c r="A53222" s="258"/>
      <c r="Z53222" s="258"/>
    </row>
    <row r="53223" spans="1:26" ht="12.75" customHeight="1" x14ac:dyDescent="0.2">
      <c r="A53223" s="258"/>
      <c r="Z53223" s="258"/>
    </row>
    <row r="53224" spans="1:26" ht="12.75" customHeight="1" x14ac:dyDescent="0.2">
      <c r="A53224" s="258"/>
      <c r="Z53224" s="258"/>
    </row>
    <row r="53225" spans="1:26" ht="12.75" customHeight="1" x14ac:dyDescent="0.2">
      <c r="A53225" s="258"/>
      <c r="Z53225" s="258"/>
    </row>
    <row r="53226" spans="1:26" ht="12.75" customHeight="1" x14ac:dyDescent="0.2">
      <c r="A53226" s="258"/>
      <c r="Z53226" s="258"/>
    </row>
    <row r="53227" spans="1:26" ht="12.75" customHeight="1" x14ac:dyDescent="0.2">
      <c r="A53227" s="258"/>
      <c r="Z53227" s="258"/>
    </row>
    <row r="53228" spans="1:26" ht="12.75" customHeight="1" x14ac:dyDescent="0.2">
      <c r="A53228" s="258"/>
      <c r="Z53228" s="258"/>
    </row>
    <row r="53229" spans="1:26" ht="12.75" customHeight="1" x14ac:dyDescent="0.2">
      <c r="A53229" s="258"/>
      <c r="Z53229" s="258"/>
    </row>
    <row r="53230" spans="1:26" ht="12.75" customHeight="1" x14ac:dyDescent="0.2">
      <c r="A53230" s="258"/>
      <c r="Z53230" s="258"/>
    </row>
    <row r="53231" spans="1:26" ht="12.75" customHeight="1" x14ac:dyDescent="0.2">
      <c r="A53231" s="258"/>
      <c r="Z53231" s="258"/>
    </row>
    <row r="53232" spans="1:26" ht="12.75" customHeight="1" x14ac:dyDescent="0.2">
      <c r="A53232" s="258"/>
      <c r="Z53232" s="258"/>
    </row>
    <row r="53233" spans="1:26" ht="12.75" customHeight="1" x14ac:dyDescent="0.2">
      <c r="A53233" s="258"/>
      <c r="Z53233" s="258"/>
    </row>
    <row r="53234" spans="1:26" ht="12.75" customHeight="1" x14ac:dyDescent="0.2">
      <c r="A53234" s="258"/>
      <c r="Z53234" s="258"/>
    </row>
    <row r="53235" spans="1:26" ht="12.75" customHeight="1" x14ac:dyDescent="0.2">
      <c r="A53235" s="258"/>
      <c r="Z53235" s="258"/>
    </row>
    <row r="53236" spans="1:26" ht="12.75" customHeight="1" x14ac:dyDescent="0.2">
      <c r="A53236" s="258"/>
      <c r="Z53236" s="258"/>
    </row>
    <row r="53237" spans="1:26" ht="12.75" customHeight="1" x14ac:dyDescent="0.2">
      <c r="A53237" s="258"/>
      <c r="Z53237" s="258"/>
    </row>
    <row r="53238" spans="1:26" ht="12.75" customHeight="1" x14ac:dyDescent="0.2">
      <c r="A53238" s="258"/>
      <c r="Z53238" s="258"/>
    </row>
    <row r="53239" spans="1:26" ht="12.75" customHeight="1" x14ac:dyDescent="0.2">
      <c r="A53239" s="258"/>
      <c r="Z53239" s="258"/>
    </row>
    <row r="53240" spans="1:26" ht="12.75" customHeight="1" x14ac:dyDescent="0.2">
      <c r="A53240" s="258"/>
      <c r="Z53240" s="258"/>
    </row>
    <row r="53241" spans="1:26" ht="12.75" customHeight="1" x14ac:dyDescent="0.2">
      <c r="A53241" s="258"/>
      <c r="Z53241" s="258"/>
    </row>
    <row r="53242" spans="1:26" ht="12.75" customHeight="1" x14ac:dyDescent="0.2">
      <c r="A53242" s="258"/>
      <c r="Z53242" s="258"/>
    </row>
    <row r="53243" spans="1:26" ht="12.75" customHeight="1" x14ac:dyDescent="0.2">
      <c r="A53243" s="258"/>
      <c r="Z53243" s="258"/>
    </row>
    <row r="53244" spans="1:26" ht="12.75" customHeight="1" x14ac:dyDescent="0.2">
      <c r="A53244" s="258"/>
      <c r="Z53244" s="258"/>
    </row>
    <row r="53245" spans="1:26" ht="12.75" customHeight="1" x14ac:dyDescent="0.2">
      <c r="A53245" s="258"/>
      <c r="Z53245" s="258"/>
    </row>
    <row r="53246" spans="1:26" ht="12.75" customHeight="1" x14ac:dyDescent="0.2">
      <c r="A53246" s="258"/>
      <c r="Z53246" s="258"/>
    </row>
    <row r="53247" spans="1:26" ht="12.75" customHeight="1" x14ac:dyDescent="0.2">
      <c r="A53247" s="258"/>
      <c r="Z53247" s="258"/>
    </row>
    <row r="53248" spans="1:26" ht="12.75" customHeight="1" x14ac:dyDescent="0.2">
      <c r="A53248" s="258"/>
      <c r="Z53248" s="258"/>
    </row>
    <row r="53249" spans="1:26" ht="12.75" customHeight="1" x14ac:dyDescent="0.2">
      <c r="A53249" s="258"/>
      <c r="Z53249" s="258"/>
    </row>
    <row r="53250" spans="1:26" ht="12.75" customHeight="1" x14ac:dyDescent="0.2">
      <c r="A53250" s="258"/>
      <c r="Z53250" s="258"/>
    </row>
    <row r="53251" spans="1:26" ht="12.75" customHeight="1" x14ac:dyDescent="0.2">
      <c r="A53251" s="258"/>
      <c r="Z53251" s="258"/>
    </row>
    <row r="53252" spans="1:26" ht="12.75" customHeight="1" x14ac:dyDescent="0.2">
      <c r="A53252" s="258"/>
      <c r="Z53252" s="258"/>
    </row>
    <row r="53253" spans="1:26" ht="12.75" customHeight="1" x14ac:dyDescent="0.2">
      <c r="A53253" s="258"/>
      <c r="Z53253" s="258"/>
    </row>
    <row r="53254" spans="1:26" ht="12.75" customHeight="1" x14ac:dyDescent="0.2">
      <c r="A53254" s="258"/>
      <c r="Z53254" s="258"/>
    </row>
    <row r="53255" spans="1:26" ht="12.75" customHeight="1" x14ac:dyDescent="0.2">
      <c r="A53255" s="258"/>
      <c r="Z53255" s="258"/>
    </row>
    <row r="53256" spans="1:26" ht="12.75" customHeight="1" x14ac:dyDescent="0.2">
      <c r="A53256" s="258"/>
      <c r="Z53256" s="258"/>
    </row>
    <row r="53257" spans="1:26" ht="12.75" customHeight="1" x14ac:dyDescent="0.2">
      <c r="A53257" s="258"/>
      <c r="Z53257" s="258"/>
    </row>
    <row r="53258" spans="1:26" ht="12.75" customHeight="1" x14ac:dyDescent="0.2">
      <c r="A53258" s="258"/>
      <c r="Z53258" s="258"/>
    </row>
    <row r="53259" spans="1:26" ht="12.75" customHeight="1" x14ac:dyDescent="0.2">
      <c r="A53259" s="258"/>
      <c r="Z53259" s="258"/>
    </row>
    <row r="53260" spans="1:26" ht="12.75" customHeight="1" x14ac:dyDescent="0.2">
      <c r="A53260" s="258"/>
      <c r="Z53260" s="258"/>
    </row>
    <row r="53261" spans="1:26" ht="12.75" customHeight="1" x14ac:dyDescent="0.2">
      <c r="A53261" s="258"/>
      <c r="Z53261" s="258"/>
    </row>
    <row r="53262" spans="1:26" ht="12.75" customHeight="1" x14ac:dyDescent="0.2">
      <c r="A53262" s="258"/>
      <c r="Z53262" s="258"/>
    </row>
    <row r="53263" spans="1:26" ht="12.75" customHeight="1" x14ac:dyDescent="0.2">
      <c r="A53263" s="258"/>
      <c r="Z53263" s="258"/>
    </row>
    <row r="53264" spans="1:26" ht="12.75" customHeight="1" x14ac:dyDescent="0.2">
      <c r="A53264" s="258"/>
      <c r="Z53264" s="258"/>
    </row>
    <row r="53265" spans="1:26" ht="12.75" customHeight="1" x14ac:dyDescent="0.2">
      <c r="A53265" s="258"/>
      <c r="Z53265" s="258"/>
    </row>
    <row r="53266" spans="1:26" ht="12.75" customHeight="1" x14ac:dyDescent="0.2">
      <c r="A53266" s="258"/>
      <c r="Z53266" s="258"/>
    </row>
    <row r="53267" spans="1:26" ht="12.75" customHeight="1" x14ac:dyDescent="0.2">
      <c r="A53267" s="258"/>
      <c r="Z53267" s="258"/>
    </row>
    <row r="53268" spans="1:26" ht="12.75" customHeight="1" x14ac:dyDescent="0.2">
      <c r="A53268" s="258"/>
      <c r="Z53268" s="258"/>
    </row>
    <row r="53269" spans="1:26" ht="12.75" customHeight="1" x14ac:dyDescent="0.2">
      <c r="A53269" s="258"/>
      <c r="Z53269" s="258"/>
    </row>
    <row r="53270" spans="1:26" ht="12.75" customHeight="1" x14ac:dyDescent="0.2">
      <c r="A53270" s="258"/>
      <c r="Z53270" s="258"/>
    </row>
    <row r="53271" spans="1:26" ht="12.75" customHeight="1" x14ac:dyDescent="0.2">
      <c r="A53271" s="258"/>
      <c r="Z53271" s="258"/>
    </row>
    <row r="53272" spans="1:26" ht="12.75" customHeight="1" x14ac:dyDescent="0.2">
      <c r="A53272" s="258"/>
      <c r="Z53272" s="258"/>
    </row>
    <row r="53273" spans="1:26" ht="12.75" customHeight="1" x14ac:dyDescent="0.2">
      <c r="A53273" s="258"/>
      <c r="Z53273" s="258"/>
    </row>
    <row r="53274" spans="1:26" ht="12.75" customHeight="1" x14ac:dyDescent="0.2">
      <c r="A53274" s="258"/>
      <c r="Z53274" s="258"/>
    </row>
    <row r="53275" spans="1:26" ht="12.75" customHeight="1" x14ac:dyDescent="0.2">
      <c r="A53275" s="258"/>
      <c r="Z53275" s="258"/>
    </row>
    <row r="53276" spans="1:26" ht="12.75" customHeight="1" x14ac:dyDescent="0.2">
      <c r="A53276" s="258"/>
      <c r="Z53276" s="258"/>
    </row>
    <row r="53277" spans="1:26" ht="12.75" customHeight="1" x14ac:dyDescent="0.2">
      <c r="A53277" s="258"/>
      <c r="Z53277" s="258"/>
    </row>
    <row r="53278" spans="1:26" ht="12.75" customHeight="1" x14ac:dyDescent="0.2">
      <c r="A53278" s="258"/>
      <c r="Z53278" s="258"/>
    </row>
    <row r="53279" spans="1:26" ht="12.75" customHeight="1" x14ac:dyDescent="0.2">
      <c r="A53279" s="258"/>
      <c r="Z53279" s="258"/>
    </row>
    <row r="53280" spans="1:26" ht="12.75" customHeight="1" x14ac:dyDescent="0.2">
      <c r="A53280" s="258"/>
      <c r="Z53280" s="258"/>
    </row>
    <row r="53281" spans="1:26" ht="12.75" customHeight="1" x14ac:dyDescent="0.2">
      <c r="A53281" s="258"/>
      <c r="Z53281" s="258"/>
    </row>
    <row r="53282" spans="1:26" ht="12.75" customHeight="1" x14ac:dyDescent="0.2">
      <c r="A53282" s="258"/>
      <c r="Z53282" s="258"/>
    </row>
    <row r="53283" spans="1:26" ht="12.75" customHeight="1" x14ac:dyDescent="0.2">
      <c r="A53283" s="258"/>
      <c r="Z53283" s="258"/>
    </row>
    <row r="53284" spans="1:26" ht="12.75" customHeight="1" x14ac:dyDescent="0.2">
      <c r="A53284" s="258"/>
      <c r="Z53284" s="258"/>
    </row>
    <row r="53285" spans="1:26" ht="12.75" customHeight="1" x14ac:dyDescent="0.2">
      <c r="A53285" s="258"/>
      <c r="Z53285" s="258"/>
    </row>
    <row r="53286" spans="1:26" ht="12.75" customHeight="1" x14ac:dyDescent="0.2">
      <c r="A53286" s="258"/>
      <c r="Z53286" s="258"/>
    </row>
    <row r="53287" spans="1:26" ht="12.75" customHeight="1" x14ac:dyDescent="0.2">
      <c r="A53287" s="258"/>
      <c r="Z53287" s="258"/>
    </row>
    <row r="53288" spans="1:26" ht="12.75" customHeight="1" x14ac:dyDescent="0.2">
      <c r="A53288" s="258"/>
      <c r="Z53288" s="258"/>
    </row>
    <row r="53289" spans="1:26" ht="12.75" customHeight="1" x14ac:dyDescent="0.2">
      <c r="A53289" s="258"/>
      <c r="Z53289" s="258"/>
    </row>
    <row r="53290" spans="1:26" ht="12.75" customHeight="1" x14ac:dyDescent="0.2">
      <c r="A53290" s="258"/>
      <c r="Z53290" s="258"/>
    </row>
    <row r="53291" spans="1:26" ht="12.75" customHeight="1" x14ac:dyDescent="0.2">
      <c r="A53291" s="258"/>
      <c r="Z53291" s="258"/>
    </row>
    <row r="53292" spans="1:26" ht="12.75" customHeight="1" x14ac:dyDescent="0.2">
      <c r="A53292" s="258"/>
      <c r="Z53292" s="258"/>
    </row>
    <row r="53293" spans="1:26" ht="12.75" customHeight="1" x14ac:dyDescent="0.2">
      <c r="A53293" s="258"/>
      <c r="Z53293" s="258"/>
    </row>
    <row r="53294" spans="1:26" ht="12.75" customHeight="1" x14ac:dyDescent="0.2">
      <c r="A53294" s="258"/>
      <c r="Z53294" s="258"/>
    </row>
    <row r="53295" spans="1:26" ht="12.75" customHeight="1" x14ac:dyDescent="0.2">
      <c r="A53295" s="258"/>
      <c r="Z53295" s="258"/>
    </row>
    <row r="53296" spans="1:26" ht="12.75" customHeight="1" x14ac:dyDescent="0.2">
      <c r="A53296" s="258"/>
      <c r="Z53296" s="258"/>
    </row>
    <row r="53297" spans="1:26" ht="12.75" customHeight="1" x14ac:dyDescent="0.2">
      <c r="A53297" s="258"/>
      <c r="Z53297" s="258"/>
    </row>
    <row r="53298" spans="1:26" ht="12.75" customHeight="1" x14ac:dyDescent="0.2">
      <c r="A53298" s="258"/>
      <c r="Z53298" s="258"/>
    </row>
    <row r="53299" spans="1:26" ht="12.75" customHeight="1" x14ac:dyDescent="0.2">
      <c r="A53299" s="258"/>
      <c r="Z53299" s="258"/>
    </row>
    <row r="53300" spans="1:26" ht="12.75" customHeight="1" x14ac:dyDescent="0.2">
      <c r="A53300" s="258"/>
      <c r="Z53300" s="258"/>
    </row>
    <row r="53301" spans="1:26" ht="12.75" customHeight="1" x14ac:dyDescent="0.2">
      <c r="A53301" s="258"/>
      <c r="Z53301" s="258"/>
    </row>
    <row r="53302" spans="1:26" ht="12.75" customHeight="1" x14ac:dyDescent="0.2">
      <c r="A53302" s="258"/>
      <c r="Z53302" s="258"/>
    </row>
    <row r="53303" spans="1:26" ht="12.75" customHeight="1" x14ac:dyDescent="0.2">
      <c r="A53303" s="258"/>
      <c r="Z53303" s="258"/>
    </row>
    <row r="53304" spans="1:26" ht="12.75" customHeight="1" x14ac:dyDescent="0.2">
      <c r="A53304" s="258"/>
      <c r="Z53304" s="258"/>
    </row>
    <row r="53305" spans="1:26" ht="12.75" customHeight="1" x14ac:dyDescent="0.2">
      <c r="A53305" s="258"/>
      <c r="Z53305" s="258"/>
    </row>
    <row r="53306" spans="1:26" ht="12.75" customHeight="1" x14ac:dyDescent="0.2">
      <c r="A53306" s="258"/>
      <c r="Z53306" s="258"/>
    </row>
    <row r="53307" spans="1:26" ht="12.75" customHeight="1" x14ac:dyDescent="0.2">
      <c r="A53307" s="258"/>
      <c r="Z53307" s="258"/>
    </row>
    <row r="53308" spans="1:26" ht="12.75" customHeight="1" x14ac:dyDescent="0.2">
      <c r="A53308" s="258"/>
      <c r="Z53308" s="258"/>
    </row>
    <row r="53309" spans="1:26" ht="12.75" customHeight="1" x14ac:dyDescent="0.2">
      <c r="A53309" s="258"/>
      <c r="Z53309" s="258"/>
    </row>
    <row r="53310" spans="1:26" ht="12.75" customHeight="1" x14ac:dyDescent="0.2">
      <c r="A53310" s="258"/>
      <c r="Z53310" s="258"/>
    </row>
    <row r="53311" spans="1:26" ht="12.75" customHeight="1" x14ac:dyDescent="0.2">
      <c r="A53311" s="258"/>
      <c r="Z53311" s="258"/>
    </row>
    <row r="53312" spans="1:26" ht="12.75" customHeight="1" x14ac:dyDescent="0.2">
      <c r="A53312" s="258"/>
      <c r="Z53312" s="258"/>
    </row>
    <row r="53313" spans="1:26" ht="12.75" customHeight="1" x14ac:dyDescent="0.2">
      <c r="A53313" s="258"/>
      <c r="Z53313" s="258"/>
    </row>
    <row r="53314" spans="1:26" ht="12.75" customHeight="1" x14ac:dyDescent="0.2">
      <c r="A53314" s="258"/>
      <c r="Z53314" s="258"/>
    </row>
    <row r="53315" spans="1:26" ht="12.75" customHeight="1" x14ac:dyDescent="0.2">
      <c r="A53315" s="258"/>
      <c r="Z53315" s="258"/>
    </row>
    <row r="53316" spans="1:26" ht="12.75" customHeight="1" x14ac:dyDescent="0.2">
      <c r="A53316" s="258"/>
      <c r="Z53316" s="258"/>
    </row>
    <row r="53317" spans="1:26" ht="12.75" customHeight="1" x14ac:dyDescent="0.2">
      <c r="A53317" s="258"/>
      <c r="Z53317" s="258"/>
    </row>
    <row r="53318" spans="1:26" ht="12.75" customHeight="1" x14ac:dyDescent="0.2">
      <c r="A53318" s="258"/>
      <c r="Z53318" s="258"/>
    </row>
    <row r="53319" spans="1:26" ht="12.75" customHeight="1" x14ac:dyDescent="0.2">
      <c r="A53319" s="258"/>
      <c r="Z53319" s="258"/>
    </row>
    <row r="53320" spans="1:26" ht="12.75" customHeight="1" x14ac:dyDescent="0.2">
      <c r="A53320" s="258"/>
      <c r="Z53320" s="258"/>
    </row>
    <row r="53321" spans="1:26" ht="12.75" customHeight="1" x14ac:dyDescent="0.2">
      <c r="A53321" s="258"/>
      <c r="Z53321" s="258"/>
    </row>
    <row r="53322" spans="1:26" ht="12.75" customHeight="1" x14ac:dyDescent="0.2">
      <c r="A53322" s="258"/>
      <c r="Z53322" s="258"/>
    </row>
    <row r="53323" spans="1:26" ht="12.75" customHeight="1" x14ac:dyDescent="0.2">
      <c r="A53323" s="258"/>
      <c r="Z53323" s="258"/>
    </row>
    <row r="53324" spans="1:26" ht="12.75" customHeight="1" x14ac:dyDescent="0.2">
      <c r="A53324" s="258"/>
      <c r="Z53324" s="258"/>
    </row>
    <row r="53325" spans="1:26" ht="12.75" customHeight="1" x14ac:dyDescent="0.2">
      <c r="A53325" s="258"/>
      <c r="Z53325" s="258"/>
    </row>
    <row r="53326" spans="1:26" ht="12.75" customHeight="1" x14ac:dyDescent="0.2">
      <c r="A53326" s="258"/>
      <c r="Z53326" s="258"/>
    </row>
    <row r="53327" spans="1:26" ht="12.75" customHeight="1" x14ac:dyDescent="0.2">
      <c r="A53327" s="258"/>
      <c r="Z53327" s="258"/>
    </row>
    <row r="53328" spans="1:26" ht="12.75" customHeight="1" x14ac:dyDescent="0.2">
      <c r="A53328" s="258"/>
      <c r="Z53328" s="258"/>
    </row>
    <row r="53329" spans="1:26" ht="12.75" customHeight="1" x14ac:dyDescent="0.2">
      <c r="A53329" s="258"/>
      <c r="Z53329" s="258"/>
    </row>
    <row r="53330" spans="1:26" ht="12.75" customHeight="1" x14ac:dyDescent="0.2">
      <c r="A53330" s="258"/>
      <c r="Z53330" s="258"/>
    </row>
    <row r="53331" spans="1:26" ht="12.75" customHeight="1" x14ac:dyDescent="0.2">
      <c r="A53331" s="258"/>
      <c r="Z53331" s="258"/>
    </row>
    <row r="53332" spans="1:26" ht="12.75" customHeight="1" x14ac:dyDescent="0.2">
      <c r="A53332" s="258"/>
      <c r="Z53332" s="258"/>
    </row>
    <row r="53333" spans="1:26" ht="12.75" customHeight="1" x14ac:dyDescent="0.2">
      <c r="A53333" s="258"/>
      <c r="Z53333" s="258"/>
    </row>
    <row r="53334" spans="1:26" ht="12.75" customHeight="1" x14ac:dyDescent="0.2">
      <c r="A53334" s="258"/>
      <c r="Z53334" s="258"/>
    </row>
    <row r="53335" spans="1:26" ht="12.75" customHeight="1" x14ac:dyDescent="0.2">
      <c r="A53335" s="258"/>
      <c r="Z53335" s="258"/>
    </row>
    <row r="53336" spans="1:26" ht="12.75" customHeight="1" x14ac:dyDescent="0.2">
      <c r="A53336" s="258"/>
      <c r="Z53336" s="258"/>
    </row>
    <row r="53337" spans="1:26" ht="12.75" customHeight="1" x14ac:dyDescent="0.2">
      <c r="A53337" s="258"/>
      <c r="Z53337" s="258"/>
    </row>
    <row r="53338" spans="1:26" ht="12.75" customHeight="1" x14ac:dyDescent="0.2">
      <c r="A53338" s="258"/>
      <c r="Z53338" s="258"/>
    </row>
    <row r="53339" spans="1:26" ht="12.75" customHeight="1" x14ac:dyDescent="0.2">
      <c r="A53339" s="258"/>
      <c r="Z53339" s="258"/>
    </row>
    <row r="53340" spans="1:26" ht="12.75" customHeight="1" x14ac:dyDescent="0.2">
      <c r="A53340" s="258"/>
      <c r="Z53340" s="258"/>
    </row>
    <row r="53341" spans="1:26" ht="12.75" customHeight="1" x14ac:dyDescent="0.2">
      <c r="A53341" s="258"/>
      <c r="Z53341" s="258"/>
    </row>
    <row r="53342" spans="1:26" ht="12.75" customHeight="1" x14ac:dyDescent="0.2">
      <c r="A53342" s="258"/>
      <c r="Z53342" s="258"/>
    </row>
    <row r="53343" spans="1:26" ht="12.75" customHeight="1" x14ac:dyDescent="0.2">
      <c r="A53343" s="258"/>
      <c r="Z53343" s="258"/>
    </row>
    <row r="53344" spans="1:26" ht="12.75" customHeight="1" x14ac:dyDescent="0.2">
      <c r="A53344" s="258"/>
      <c r="Z53344" s="258"/>
    </row>
    <row r="53345" spans="1:26" ht="12.75" customHeight="1" x14ac:dyDescent="0.2">
      <c r="A53345" s="258"/>
      <c r="Z53345" s="258"/>
    </row>
    <row r="53346" spans="1:26" ht="12.75" customHeight="1" x14ac:dyDescent="0.2">
      <c r="A53346" s="258"/>
      <c r="Z53346" s="258"/>
    </row>
    <row r="53347" spans="1:26" ht="12.75" customHeight="1" x14ac:dyDescent="0.2">
      <c r="A53347" s="258"/>
      <c r="Z53347" s="258"/>
    </row>
    <row r="53348" spans="1:26" ht="12.75" customHeight="1" x14ac:dyDescent="0.2">
      <c r="A53348" s="258"/>
      <c r="Z53348" s="258"/>
    </row>
    <row r="53349" spans="1:26" ht="12.75" customHeight="1" x14ac:dyDescent="0.2">
      <c r="A53349" s="258"/>
      <c r="Z53349" s="258"/>
    </row>
    <row r="53350" spans="1:26" ht="12.75" customHeight="1" x14ac:dyDescent="0.2">
      <c r="A53350" s="258"/>
      <c r="Z53350" s="258"/>
    </row>
    <row r="53351" spans="1:26" ht="12.75" customHeight="1" x14ac:dyDescent="0.2">
      <c r="A53351" s="258"/>
      <c r="Z53351" s="258"/>
    </row>
    <row r="53352" spans="1:26" ht="12.75" customHeight="1" x14ac:dyDescent="0.2">
      <c r="A53352" s="258"/>
      <c r="Z53352" s="258"/>
    </row>
    <row r="53353" spans="1:26" ht="12.75" customHeight="1" x14ac:dyDescent="0.2">
      <c r="A53353" s="258"/>
      <c r="Z53353" s="258"/>
    </row>
    <row r="53354" spans="1:26" ht="12.75" customHeight="1" x14ac:dyDescent="0.2">
      <c r="A53354" s="258"/>
      <c r="Z53354" s="258"/>
    </row>
    <row r="53355" spans="1:26" ht="12.75" customHeight="1" x14ac:dyDescent="0.2">
      <c r="A53355" s="258"/>
      <c r="Z53355" s="258"/>
    </row>
    <row r="53356" spans="1:26" ht="12.75" customHeight="1" x14ac:dyDescent="0.2">
      <c r="A53356" s="258"/>
      <c r="Z53356" s="258"/>
    </row>
    <row r="53357" spans="1:26" ht="12.75" customHeight="1" x14ac:dyDescent="0.2">
      <c r="A53357" s="258"/>
      <c r="Z53357" s="258"/>
    </row>
    <row r="53358" spans="1:26" ht="12.75" customHeight="1" x14ac:dyDescent="0.2">
      <c r="A53358" s="258"/>
      <c r="Z53358" s="258"/>
    </row>
    <row r="53359" spans="1:26" ht="12.75" customHeight="1" x14ac:dyDescent="0.2">
      <c r="A53359" s="258"/>
      <c r="Z53359" s="258"/>
    </row>
    <row r="53360" spans="1:26" ht="12.75" customHeight="1" x14ac:dyDescent="0.2">
      <c r="A53360" s="258"/>
      <c r="Z53360" s="258"/>
    </row>
    <row r="53361" spans="1:26" ht="12.75" customHeight="1" x14ac:dyDescent="0.2">
      <c r="A53361" s="258"/>
      <c r="Z53361" s="258"/>
    </row>
    <row r="53362" spans="1:26" ht="12.75" customHeight="1" x14ac:dyDescent="0.2">
      <c r="A53362" s="258"/>
      <c r="Z53362" s="258"/>
    </row>
    <row r="53363" spans="1:26" ht="12.75" customHeight="1" x14ac:dyDescent="0.2">
      <c r="A53363" s="258"/>
      <c r="Z53363" s="258"/>
    </row>
    <row r="53364" spans="1:26" ht="12.75" customHeight="1" x14ac:dyDescent="0.2">
      <c r="A53364" s="258"/>
      <c r="Z53364" s="258"/>
    </row>
    <row r="53365" spans="1:26" ht="12.75" customHeight="1" x14ac:dyDescent="0.2">
      <c r="A53365" s="258"/>
      <c r="Z53365" s="258"/>
    </row>
    <row r="53366" spans="1:26" ht="12.75" customHeight="1" x14ac:dyDescent="0.2">
      <c r="A53366" s="258"/>
      <c r="Z53366" s="258"/>
    </row>
    <row r="53367" spans="1:26" ht="12.75" customHeight="1" x14ac:dyDescent="0.2">
      <c r="A53367" s="258"/>
      <c r="Z53367" s="258"/>
    </row>
    <row r="53368" spans="1:26" ht="12.75" customHeight="1" x14ac:dyDescent="0.2">
      <c r="A53368" s="258"/>
      <c r="Z53368" s="258"/>
    </row>
    <row r="53369" spans="1:26" ht="12.75" customHeight="1" x14ac:dyDescent="0.2">
      <c r="A53369" s="258"/>
      <c r="Z53369" s="258"/>
    </row>
    <row r="53370" spans="1:26" ht="12.75" customHeight="1" x14ac:dyDescent="0.2">
      <c r="A53370" s="258"/>
      <c r="Z53370" s="258"/>
    </row>
    <row r="53371" spans="1:26" ht="12.75" customHeight="1" x14ac:dyDescent="0.2">
      <c r="A53371" s="258"/>
      <c r="Z53371" s="258"/>
    </row>
    <row r="53372" spans="1:26" ht="12.75" customHeight="1" x14ac:dyDescent="0.2">
      <c r="A53372" s="258"/>
      <c r="Z53372" s="258"/>
    </row>
    <row r="53373" spans="1:26" ht="12.75" customHeight="1" x14ac:dyDescent="0.2">
      <c r="A53373" s="258"/>
      <c r="Z53373" s="258"/>
    </row>
    <row r="53374" spans="1:26" ht="12.75" customHeight="1" x14ac:dyDescent="0.2">
      <c r="A53374" s="258"/>
      <c r="Z53374" s="258"/>
    </row>
    <row r="53375" spans="1:26" ht="12.75" customHeight="1" x14ac:dyDescent="0.2">
      <c r="A53375" s="258"/>
      <c r="Z53375" s="258"/>
    </row>
    <row r="53376" spans="1:26" ht="12.75" customHeight="1" x14ac:dyDescent="0.2">
      <c r="A53376" s="258"/>
      <c r="Z53376" s="258"/>
    </row>
    <row r="53377" spans="1:26" ht="12.75" customHeight="1" x14ac:dyDescent="0.2">
      <c r="A53377" s="258"/>
      <c r="Z53377" s="258"/>
    </row>
    <row r="53378" spans="1:26" ht="12.75" customHeight="1" x14ac:dyDescent="0.2">
      <c r="A53378" s="258"/>
      <c r="Z53378" s="258"/>
    </row>
    <row r="53379" spans="1:26" ht="12.75" customHeight="1" x14ac:dyDescent="0.2">
      <c r="A53379" s="258"/>
      <c r="Z53379" s="258"/>
    </row>
    <row r="53380" spans="1:26" ht="12.75" customHeight="1" x14ac:dyDescent="0.2">
      <c r="A53380" s="258"/>
      <c r="Z53380" s="258"/>
    </row>
    <row r="53381" spans="1:26" ht="12.75" customHeight="1" x14ac:dyDescent="0.2">
      <c r="A53381" s="258"/>
      <c r="Z53381" s="258"/>
    </row>
    <row r="53382" spans="1:26" ht="12.75" customHeight="1" x14ac:dyDescent="0.2">
      <c r="A53382" s="258"/>
      <c r="Z53382" s="258"/>
    </row>
    <row r="53383" spans="1:26" ht="12.75" customHeight="1" x14ac:dyDescent="0.2">
      <c r="A53383" s="258"/>
      <c r="Z53383" s="258"/>
    </row>
    <row r="53384" spans="1:26" ht="12.75" customHeight="1" x14ac:dyDescent="0.2">
      <c r="A53384" s="258"/>
      <c r="Z53384" s="258"/>
    </row>
    <row r="53385" spans="1:26" ht="12.75" customHeight="1" x14ac:dyDescent="0.2">
      <c r="A53385" s="258"/>
      <c r="Z53385" s="258"/>
    </row>
    <row r="53386" spans="1:26" ht="12.75" customHeight="1" x14ac:dyDescent="0.2">
      <c r="A53386" s="258"/>
      <c r="Z53386" s="258"/>
    </row>
    <row r="53387" spans="1:26" ht="12.75" customHeight="1" x14ac:dyDescent="0.2">
      <c r="A53387" s="258"/>
      <c r="Z53387" s="258"/>
    </row>
    <row r="53388" spans="1:26" ht="12.75" customHeight="1" x14ac:dyDescent="0.2">
      <c r="A53388" s="258"/>
      <c r="Z53388" s="258"/>
    </row>
    <row r="53389" spans="1:26" ht="12.75" customHeight="1" x14ac:dyDescent="0.2">
      <c r="A53389" s="258"/>
      <c r="Z53389" s="258"/>
    </row>
    <row r="53390" spans="1:26" ht="12.75" customHeight="1" x14ac:dyDescent="0.2">
      <c r="A53390" s="258"/>
      <c r="Z53390" s="258"/>
    </row>
    <row r="53391" spans="1:26" ht="12.75" customHeight="1" x14ac:dyDescent="0.2">
      <c r="A53391" s="258"/>
      <c r="Z53391" s="258"/>
    </row>
    <row r="53392" spans="1:26" ht="12.75" customHeight="1" x14ac:dyDescent="0.2">
      <c r="A53392" s="258"/>
      <c r="Z53392" s="258"/>
    </row>
    <row r="53393" spans="1:26" ht="12.75" customHeight="1" x14ac:dyDescent="0.2">
      <c r="A53393" s="258"/>
      <c r="Z53393" s="258"/>
    </row>
    <row r="53394" spans="1:26" ht="12.75" customHeight="1" x14ac:dyDescent="0.2">
      <c r="A53394" s="258"/>
      <c r="Z53394" s="258"/>
    </row>
    <row r="53395" spans="1:26" ht="12.75" customHeight="1" x14ac:dyDescent="0.2">
      <c r="A53395" s="258"/>
      <c r="Z53395" s="258"/>
    </row>
    <row r="53396" spans="1:26" ht="12.75" customHeight="1" x14ac:dyDescent="0.2">
      <c r="A53396" s="258"/>
      <c r="Z53396" s="258"/>
    </row>
    <row r="53397" spans="1:26" ht="12.75" customHeight="1" x14ac:dyDescent="0.2">
      <c r="A53397" s="258"/>
      <c r="Z53397" s="258"/>
    </row>
    <row r="53398" spans="1:26" ht="12.75" customHeight="1" x14ac:dyDescent="0.2">
      <c r="A53398" s="258"/>
      <c r="Z53398" s="258"/>
    </row>
    <row r="53399" spans="1:26" ht="12.75" customHeight="1" x14ac:dyDescent="0.2">
      <c r="A53399" s="258"/>
      <c r="Z53399" s="258"/>
    </row>
    <row r="53400" spans="1:26" ht="12.75" customHeight="1" x14ac:dyDescent="0.2">
      <c r="A53400" s="258"/>
      <c r="Z53400" s="258"/>
    </row>
    <row r="53401" spans="1:26" ht="12.75" customHeight="1" x14ac:dyDescent="0.2">
      <c r="A53401" s="258"/>
      <c r="Z53401" s="258"/>
    </row>
    <row r="53402" spans="1:26" ht="12.75" customHeight="1" x14ac:dyDescent="0.2">
      <c r="A53402" s="258"/>
      <c r="Z53402" s="258"/>
    </row>
    <row r="53403" spans="1:26" ht="12.75" customHeight="1" x14ac:dyDescent="0.2">
      <c r="A53403" s="258"/>
      <c r="Z53403" s="258"/>
    </row>
    <row r="53404" spans="1:26" ht="12.75" customHeight="1" x14ac:dyDescent="0.2">
      <c r="A53404" s="258"/>
      <c r="Z53404" s="258"/>
    </row>
    <row r="53405" spans="1:26" ht="12.75" customHeight="1" x14ac:dyDescent="0.2">
      <c r="A53405" s="258"/>
      <c r="Z53405" s="258"/>
    </row>
    <row r="53406" spans="1:26" ht="12.75" customHeight="1" x14ac:dyDescent="0.2">
      <c r="A53406" s="258"/>
      <c r="Z53406" s="258"/>
    </row>
    <row r="53407" spans="1:26" ht="12.75" customHeight="1" x14ac:dyDescent="0.2">
      <c r="A53407" s="258"/>
      <c r="Z53407" s="258"/>
    </row>
    <row r="53408" spans="1:26" ht="12.75" customHeight="1" x14ac:dyDescent="0.2">
      <c r="A53408" s="258"/>
      <c r="Z53408" s="258"/>
    </row>
    <row r="53409" spans="1:26" ht="12.75" customHeight="1" x14ac:dyDescent="0.2">
      <c r="A53409" s="258"/>
      <c r="Z53409" s="258"/>
    </row>
    <row r="53410" spans="1:26" ht="12.75" customHeight="1" x14ac:dyDescent="0.2">
      <c r="A53410" s="258"/>
      <c r="Z53410" s="258"/>
    </row>
    <row r="53411" spans="1:26" ht="12.75" customHeight="1" x14ac:dyDescent="0.2">
      <c r="A53411" s="258"/>
      <c r="Z53411" s="258"/>
    </row>
    <row r="53412" spans="1:26" ht="12.75" customHeight="1" x14ac:dyDescent="0.2">
      <c r="A53412" s="258"/>
      <c r="Z53412" s="258"/>
    </row>
    <row r="53413" spans="1:26" ht="12.75" customHeight="1" x14ac:dyDescent="0.2">
      <c r="A53413" s="258"/>
      <c r="Z53413" s="258"/>
    </row>
    <row r="53414" spans="1:26" ht="12.75" customHeight="1" x14ac:dyDescent="0.2">
      <c r="A53414" s="258"/>
      <c r="Z53414" s="258"/>
    </row>
    <row r="53415" spans="1:26" ht="12.75" customHeight="1" x14ac:dyDescent="0.2">
      <c r="A53415" s="258"/>
      <c r="Z53415" s="258"/>
    </row>
    <row r="53416" spans="1:26" ht="12.75" customHeight="1" x14ac:dyDescent="0.2">
      <c r="A53416" s="258"/>
      <c r="Z53416" s="258"/>
    </row>
    <row r="53417" spans="1:26" ht="12.75" customHeight="1" x14ac:dyDescent="0.2">
      <c r="A53417" s="258"/>
      <c r="Z53417" s="258"/>
    </row>
    <row r="53418" spans="1:26" ht="12.75" customHeight="1" x14ac:dyDescent="0.2">
      <c r="A53418" s="258"/>
      <c r="Z53418" s="258"/>
    </row>
    <row r="53419" spans="1:26" ht="12.75" customHeight="1" x14ac:dyDescent="0.2">
      <c r="A53419" s="258"/>
      <c r="Z53419" s="258"/>
    </row>
    <row r="53420" spans="1:26" ht="12.75" customHeight="1" x14ac:dyDescent="0.2">
      <c r="A53420" s="258"/>
      <c r="Z53420" s="258"/>
    </row>
    <row r="53421" spans="1:26" ht="12.75" customHeight="1" x14ac:dyDescent="0.2">
      <c r="A53421" s="258"/>
      <c r="Z53421" s="258"/>
    </row>
    <row r="53422" spans="1:26" ht="12.75" customHeight="1" x14ac:dyDescent="0.2">
      <c r="A53422" s="258"/>
      <c r="Z53422" s="258"/>
    </row>
    <row r="53423" spans="1:26" ht="12.75" customHeight="1" x14ac:dyDescent="0.2">
      <c r="A53423" s="258"/>
      <c r="Z53423" s="258"/>
    </row>
    <row r="53424" spans="1:26" ht="12.75" customHeight="1" x14ac:dyDescent="0.2">
      <c r="A53424" s="258"/>
      <c r="Z53424" s="258"/>
    </row>
    <row r="53425" spans="1:26" ht="12.75" customHeight="1" x14ac:dyDescent="0.2">
      <c r="A53425" s="258"/>
      <c r="Z53425" s="258"/>
    </row>
    <row r="53426" spans="1:26" ht="12.75" customHeight="1" x14ac:dyDescent="0.2">
      <c r="A53426" s="258"/>
      <c r="Z53426" s="258"/>
    </row>
    <row r="53427" spans="1:26" ht="12.75" customHeight="1" x14ac:dyDescent="0.2">
      <c r="A53427" s="258"/>
      <c r="Z53427" s="258"/>
    </row>
    <row r="53428" spans="1:26" ht="12.75" customHeight="1" x14ac:dyDescent="0.2">
      <c r="A53428" s="258"/>
      <c r="Z53428" s="258"/>
    </row>
    <row r="53429" spans="1:26" ht="12.75" customHeight="1" x14ac:dyDescent="0.2">
      <c r="A53429" s="258"/>
      <c r="Z53429" s="258"/>
    </row>
    <row r="53430" spans="1:26" ht="12.75" customHeight="1" x14ac:dyDescent="0.2">
      <c r="A53430" s="258"/>
      <c r="Z53430" s="258"/>
    </row>
    <row r="53431" spans="1:26" ht="12.75" customHeight="1" x14ac:dyDescent="0.2">
      <c r="A53431" s="258"/>
      <c r="Z53431" s="258"/>
    </row>
    <row r="53432" spans="1:26" ht="12.75" customHeight="1" x14ac:dyDescent="0.2">
      <c r="A53432" s="258"/>
      <c r="Z53432" s="258"/>
    </row>
    <row r="53433" spans="1:26" ht="12.75" customHeight="1" x14ac:dyDescent="0.2">
      <c r="A53433" s="258"/>
      <c r="Z53433" s="258"/>
    </row>
    <row r="53434" spans="1:26" ht="12.75" customHeight="1" x14ac:dyDescent="0.2">
      <c r="A53434" s="258"/>
      <c r="Z53434" s="258"/>
    </row>
    <row r="53435" spans="1:26" ht="12.75" customHeight="1" x14ac:dyDescent="0.2">
      <c r="A53435" s="258"/>
      <c r="Z53435" s="258"/>
    </row>
    <row r="53436" spans="1:26" ht="12.75" customHeight="1" x14ac:dyDescent="0.2">
      <c r="A53436" s="258"/>
      <c r="Z53436" s="258"/>
    </row>
    <row r="53437" spans="1:26" ht="12.75" customHeight="1" x14ac:dyDescent="0.2">
      <c r="A53437" s="258"/>
      <c r="Z53437" s="258"/>
    </row>
    <row r="53438" spans="1:26" ht="12.75" customHeight="1" x14ac:dyDescent="0.2">
      <c r="A53438" s="258"/>
      <c r="Z53438" s="258"/>
    </row>
    <row r="53439" spans="1:26" ht="12.75" customHeight="1" x14ac:dyDescent="0.2">
      <c r="A53439" s="258"/>
      <c r="Z53439" s="258"/>
    </row>
    <row r="53440" spans="1:26" ht="12.75" customHeight="1" x14ac:dyDescent="0.2">
      <c r="A53440" s="258"/>
      <c r="Z53440" s="258"/>
    </row>
    <row r="53441" spans="1:26" ht="12.75" customHeight="1" x14ac:dyDescent="0.2">
      <c r="A53441" s="258"/>
      <c r="Z53441" s="258"/>
    </row>
    <row r="53442" spans="1:26" ht="12.75" customHeight="1" x14ac:dyDescent="0.2">
      <c r="A53442" s="258"/>
      <c r="Z53442" s="258"/>
    </row>
    <row r="53443" spans="1:26" ht="12.75" customHeight="1" x14ac:dyDescent="0.2">
      <c r="A53443" s="258"/>
      <c r="Z53443" s="258"/>
    </row>
    <row r="53444" spans="1:26" ht="12.75" customHeight="1" x14ac:dyDescent="0.2">
      <c r="A53444" s="258"/>
      <c r="Z53444" s="258"/>
    </row>
    <row r="53445" spans="1:26" ht="12.75" customHeight="1" x14ac:dyDescent="0.2">
      <c r="A53445" s="258"/>
      <c r="Z53445" s="258"/>
    </row>
    <row r="53446" spans="1:26" ht="12.75" customHeight="1" x14ac:dyDescent="0.2">
      <c r="A53446" s="258"/>
      <c r="Z53446" s="258"/>
    </row>
    <row r="53447" spans="1:26" ht="12.75" customHeight="1" x14ac:dyDescent="0.2">
      <c r="A53447" s="258"/>
      <c r="Z53447" s="258"/>
    </row>
    <row r="53448" spans="1:26" ht="12.75" customHeight="1" x14ac:dyDescent="0.2">
      <c r="A53448" s="258"/>
      <c r="Z53448" s="258"/>
    </row>
    <row r="53449" spans="1:26" ht="12.75" customHeight="1" x14ac:dyDescent="0.2">
      <c r="A53449" s="258"/>
      <c r="Z53449" s="258"/>
    </row>
    <row r="53450" spans="1:26" ht="12.75" customHeight="1" x14ac:dyDescent="0.2">
      <c r="A53450" s="258"/>
      <c r="Z53450" s="258"/>
    </row>
    <row r="53451" spans="1:26" ht="12.75" customHeight="1" x14ac:dyDescent="0.2">
      <c r="A53451" s="258"/>
      <c r="Z53451" s="258"/>
    </row>
    <row r="53452" spans="1:26" ht="12.75" customHeight="1" x14ac:dyDescent="0.2">
      <c r="A53452" s="258"/>
      <c r="Z53452" s="258"/>
    </row>
    <row r="53453" spans="1:26" ht="12.75" customHeight="1" x14ac:dyDescent="0.2">
      <c r="A53453" s="258"/>
      <c r="Z53453" s="258"/>
    </row>
    <row r="53454" spans="1:26" ht="12.75" customHeight="1" x14ac:dyDescent="0.2">
      <c r="A53454" s="258"/>
      <c r="Z53454" s="258"/>
    </row>
    <row r="53455" spans="1:26" ht="12.75" customHeight="1" x14ac:dyDescent="0.2">
      <c r="A53455" s="258"/>
      <c r="Z53455" s="258"/>
    </row>
    <row r="53456" spans="1:26" ht="12.75" customHeight="1" x14ac:dyDescent="0.2">
      <c r="A53456" s="258"/>
      <c r="Z53456" s="258"/>
    </row>
    <row r="53457" spans="1:26" ht="12.75" customHeight="1" x14ac:dyDescent="0.2">
      <c r="A53457" s="258"/>
      <c r="Z53457" s="258"/>
    </row>
    <row r="53458" spans="1:26" ht="12.75" customHeight="1" x14ac:dyDescent="0.2">
      <c r="A53458" s="258"/>
      <c r="Z53458" s="258"/>
    </row>
    <row r="53459" spans="1:26" ht="12.75" customHeight="1" x14ac:dyDescent="0.2">
      <c r="A53459" s="258"/>
      <c r="Z53459" s="258"/>
    </row>
    <row r="53460" spans="1:26" ht="12.75" customHeight="1" x14ac:dyDescent="0.2">
      <c r="A53460" s="258"/>
      <c r="Z53460" s="258"/>
    </row>
    <row r="53461" spans="1:26" ht="12.75" customHeight="1" x14ac:dyDescent="0.2">
      <c r="A53461" s="258"/>
      <c r="Z53461" s="258"/>
    </row>
    <row r="53462" spans="1:26" ht="12.75" customHeight="1" x14ac:dyDescent="0.2">
      <c r="A53462" s="258"/>
      <c r="Z53462" s="258"/>
    </row>
    <row r="53463" spans="1:26" ht="12.75" customHeight="1" x14ac:dyDescent="0.2">
      <c r="A53463" s="258"/>
      <c r="Z53463" s="258"/>
    </row>
    <row r="53464" spans="1:26" ht="12.75" customHeight="1" x14ac:dyDescent="0.2">
      <c r="A53464" s="258"/>
      <c r="Z53464" s="258"/>
    </row>
    <row r="53465" spans="1:26" ht="12.75" customHeight="1" x14ac:dyDescent="0.2">
      <c r="A53465" s="258"/>
      <c r="Z53465" s="258"/>
    </row>
    <row r="53466" spans="1:26" ht="12.75" customHeight="1" x14ac:dyDescent="0.2">
      <c r="A53466" s="258"/>
      <c r="Z53466" s="258"/>
    </row>
    <row r="53467" spans="1:26" ht="12.75" customHeight="1" x14ac:dyDescent="0.2">
      <c r="A53467" s="258"/>
      <c r="Z53467" s="258"/>
    </row>
    <row r="53468" spans="1:26" ht="12.75" customHeight="1" x14ac:dyDescent="0.2">
      <c r="A53468" s="258"/>
      <c r="Z53468" s="258"/>
    </row>
    <row r="53469" spans="1:26" ht="12.75" customHeight="1" x14ac:dyDescent="0.2">
      <c r="A53469" s="258"/>
      <c r="Z53469" s="258"/>
    </row>
    <row r="53470" spans="1:26" ht="12.75" customHeight="1" x14ac:dyDescent="0.2">
      <c r="A53470" s="258"/>
      <c r="Z53470" s="258"/>
    </row>
    <row r="53471" spans="1:26" ht="12.75" customHeight="1" x14ac:dyDescent="0.2">
      <c r="A53471" s="258"/>
      <c r="Z53471" s="258"/>
    </row>
    <row r="53472" spans="1:26" ht="12.75" customHeight="1" x14ac:dyDescent="0.2">
      <c r="A53472" s="258"/>
      <c r="Z53472" s="258"/>
    </row>
    <row r="53473" spans="1:26" ht="12.75" customHeight="1" x14ac:dyDescent="0.2">
      <c r="A53473" s="258"/>
      <c r="Z53473" s="258"/>
    </row>
    <row r="53474" spans="1:26" ht="12.75" customHeight="1" x14ac:dyDescent="0.2">
      <c r="A53474" s="258"/>
      <c r="Z53474" s="258"/>
    </row>
    <row r="53475" spans="1:26" ht="12.75" customHeight="1" x14ac:dyDescent="0.2">
      <c r="A53475" s="258"/>
      <c r="Z53475" s="258"/>
    </row>
    <row r="53476" spans="1:26" ht="12.75" customHeight="1" x14ac:dyDescent="0.2">
      <c r="A53476" s="258"/>
      <c r="Z53476" s="258"/>
    </row>
    <row r="53477" spans="1:26" ht="12.75" customHeight="1" x14ac:dyDescent="0.2">
      <c r="A53477" s="258"/>
      <c r="Z53477" s="258"/>
    </row>
    <row r="53478" spans="1:26" ht="12.75" customHeight="1" x14ac:dyDescent="0.2">
      <c r="A53478" s="258"/>
      <c r="Z53478" s="258"/>
    </row>
    <row r="53479" spans="1:26" ht="12.75" customHeight="1" x14ac:dyDescent="0.2">
      <c r="A53479" s="258"/>
      <c r="Z53479" s="258"/>
    </row>
    <row r="53480" spans="1:26" ht="12.75" customHeight="1" x14ac:dyDescent="0.2">
      <c r="A53480" s="258"/>
      <c r="Z53480" s="258"/>
    </row>
    <row r="53481" spans="1:26" ht="12.75" customHeight="1" x14ac:dyDescent="0.2">
      <c r="A53481" s="258"/>
      <c r="Z53481" s="258"/>
    </row>
    <row r="53482" spans="1:26" ht="12.75" customHeight="1" x14ac:dyDescent="0.2">
      <c r="A53482" s="258"/>
      <c r="Z53482" s="258"/>
    </row>
    <row r="53483" spans="1:26" ht="12.75" customHeight="1" x14ac:dyDescent="0.2">
      <c r="A53483" s="258"/>
      <c r="Z53483" s="258"/>
    </row>
    <row r="53484" spans="1:26" ht="12.75" customHeight="1" x14ac:dyDescent="0.2">
      <c r="A53484" s="258"/>
      <c r="Z53484" s="258"/>
    </row>
    <row r="53485" spans="1:26" ht="12.75" customHeight="1" x14ac:dyDescent="0.2">
      <c r="A53485" s="258"/>
      <c r="Z53485" s="258"/>
    </row>
    <row r="53486" spans="1:26" ht="12.75" customHeight="1" x14ac:dyDescent="0.2">
      <c r="A53486" s="258"/>
      <c r="Z53486" s="258"/>
    </row>
    <row r="53487" spans="1:26" ht="12.75" customHeight="1" x14ac:dyDescent="0.2">
      <c r="A53487" s="258"/>
      <c r="Z53487" s="258"/>
    </row>
    <row r="53488" spans="1:26" ht="12.75" customHeight="1" x14ac:dyDescent="0.2">
      <c r="A53488" s="258"/>
      <c r="Z53488" s="258"/>
    </row>
    <row r="53489" spans="1:26" ht="12.75" customHeight="1" x14ac:dyDescent="0.2">
      <c r="A53489" s="258"/>
      <c r="Z53489" s="258"/>
    </row>
    <row r="53490" spans="1:26" ht="12.75" customHeight="1" x14ac:dyDescent="0.2">
      <c r="A53490" s="258"/>
      <c r="Z53490" s="258"/>
    </row>
    <row r="53491" spans="1:26" ht="12.75" customHeight="1" x14ac:dyDescent="0.2">
      <c r="A53491" s="258"/>
      <c r="Z53491" s="258"/>
    </row>
    <row r="53492" spans="1:26" ht="12.75" customHeight="1" x14ac:dyDescent="0.2">
      <c r="A53492" s="258"/>
      <c r="Z53492" s="258"/>
    </row>
    <row r="53493" spans="1:26" ht="12.75" customHeight="1" x14ac:dyDescent="0.2">
      <c r="A53493" s="258"/>
      <c r="Z53493" s="258"/>
    </row>
    <row r="53494" spans="1:26" ht="12.75" customHeight="1" x14ac:dyDescent="0.2">
      <c r="A53494" s="258"/>
      <c r="Z53494" s="258"/>
    </row>
    <row r="53495" spans="1:26" ht="12.75" customHeight="1" x14ac:dyDescent="0.2">
      <c r="A53495" s="258"/>
      <c r="Z53495" s="258"/>
    </row>
    <row r="53496" spans="1:26" ht="12.75" customHeight="1" x14ac:dyDescent="0.2">
      <c r="A53496" s="258"/>
      <c r="Z53496" s="258"/>
    </row>
    <row r="53497" spans="1:26" ht="12.75" customHeight="1" x14ac:dyDescent="0.2">
      <c r="A53497" s="258"/>
      <c r="Z53497" s="258"/>
    </row>
    <row r="53498" spans="1:26" ht="12.75" customHeight="1" x14ac:dyDescent="0.2">
      <c r="A53498" s="258"/>
      <c r="Z53498" s="258"/>
    </row>
    <row r="53499" spans="1:26" ht="12.75" customHeight="1" x14ac:dyDescent="0.2">
      <c r="A53499" s="258"/>
      <c r="Z53499" s="258"/>
    </row>
    <row r="53500" spans="1:26" ht="12.75" customHeight="1" x14ac:dyDescent="0.2">
      <c r="A53500" s="258"/>
      <c r="Z53500" s="258"/>
    </row>
    <row r="53501" spans="1:26" ht="12.75" customHeight="1" x14ac:dyDescent="0.2">
      <c r="A53501" s="258"/>
      <c r="Z53501" s="258"/>
    </row>
    <row r="53502" spans="1:26" ht="12.75" customHeight="1" x14ac:dyDescent="0.2">
      <c r="A53502" s="258"/>
      <c r="Z53502" s="258"/>
    </row>
    <row r="53503" spans="1:26" ht="12.75" customHeight="1" x14ac:dyDescent="0.2">
      <c r="A53503" s="258"/>
      <c r="Z53503" s="258"/>
    </row>
    <row r="53504" spans="1:26" ht="12.75" customHeight="1" x14ac:dyDescent="0.2">
      <c r="A53504" s="258"/>
      <c r="Z53504" s="258"/>
    </row>
    <row r="53505" spans="1:26" ht="12.75" customHeight="1" x14ac:dyDescent="0.2">
      <c r="A53505" s="258"/>
      <c r="Z53505" s="258"/>
    </row>
    <row r="53506" spans="1:26" ht="12.75" customHeight="1" x14ac:dyDescent="0.2">
      <c r="A53506" s="258"/>
      <c r="Z53506" s="258"/>
    </row>
    <row r="53507" spans="1:26" ht="12.75" customHeight="1" x14ac:dyDescent="0.2">
      <c r="A53507" s="258"/>
      <c r="Z53507" s="258"/>
    </row>
    <row r="53508" spans="1:26" ht="12.75" customHeight="1" x14ac:dyDescent="0.2">
      <c r="A53508" s="258"/>
      <c r="Z53508" s="258"/>
    </row>
    <row r="53509" spans="1:26" ht="12.75" customHeight="1" x14ac:dyDescent="0.2">
      <c r="A53509" s="258"/>
      <c r="Z53509" s="258"/>
    </row>
    <row r="53510" spans="1:26" ht="12.75" customHeight="1" x14ac:dyDescent="0.2">
      <c r="A53510" s="258"/>
      <c r="Z53510" s="258"/>
    </row>
    <row r="53511" spans="1:26" ht="12.75" customHeight="1" x14ac:dyDescent="0.2">
      <c r="A53511" s="258"/>
      <c r="Z53511" s="258"/>
    </row>
    <row r="53512" spans="1:26" ht="12.75" customHeight="1" x14ac:dyDescent="0.2">
      <c r="A53512" s="258"/>
      <c r="Z53512" s="258"/>
    </row>
    <row r="53513" spans="1:26" ht="12.75" customHeight="1" x14ac:dyDescent="0.2">
      <c r="A53513" s="258"/>
      <c r="Z53513" s="258"/>
    </row>
    <row r="53514" spans="1:26" ht="12.75" customHeight="1" x14ac:dyDescent="0.2">
      <c r="A53514" s="258"/>
      <c r="Z53514" s="258"/>
    </row>
    <row r="53515" spans="1:26" ht="12.75" customHeight="1" x14ac:dyDescent="0.2">
      <c r="A53515" s="258"/>
      <c r="Z53515" s="258"/>
    </row>
    <row r="53516" spans="1:26" ht="12.75" customHeight="1" x14ac:dyDescent="0.2">
      <c r="A53516" s="258"/>
      <c r="Z53516" s="258"/>
    </row>
    <row r="53517" spans="1:26" ht="12.75" customHeight="1" x14ac:dyDescent="0.2">
      <c r="A53517" s="258"/>
      <c r="Z53517" s="258"/>
    </row>
    <row r="53518" spans="1:26" ht="12.75" customHeight="1" x14ac:dyDescent="0.2">
      <c r="A53518" s="258"/>
      <c r="Z53518" s="258"/>
    </row>
    <row r="53519" spans="1:26" ht="12.75" customHeight="1" x14ac:dyDescent="0.2">
      <c r="A53519" s="258"/>
      <c r="Z53519" s="258"/>
    </row>
    <row r="53520" spans="1:26" ht="12.75" customHeight="1" x14ac:dyDescent="0.2">
      <c r="A53520" s="258"/>
      <c r="Z53520" s="258"/>
    </row>
    <row r="53521" spans="1:26" ht="12.75" customHeight="1" x14ac:dyDescent="0.2">
      <c r="A53521" s="258"/>
      <c r="Z53521" s="258"/>
    </row>
    <row r="53522" spans="1:26" ht="12.75" customHeight="1" x14ac:dyDescent="0.2">
      <c r="A53522" s="258"/>
      <c r="Z53522" s="258"/>
    </row>
    <row r="53523" spans="1:26" ht="12.75" customHeight="1" x14ac:dyDescent="0.2">
      <c r="A53523" s="258"/>
      <c r="Z53523" s="258"/>
    </row>
    <row r="53524" spans="1:26" ht="12.75" customHeight="1" x14ac:dyDescent="0.2">
      <c r="A53524" s="258"/>
      <c r="Z53524" s="258"/>
    </row>
    <row r="53525" spans="1:26" ht="12.75" customHeight="1" x14ac:dyDescent="0.2">
      <c r="A53525" s="258"/>
      <c r="Z53525" s="258"/>
    </row>
    <row r="53526" spans="1:26" ht="12.75" customHeight="1" x14ac:dyDescent="0.2">
      <c r="A53526" s="258"/>
      <c r="Z53526" s="258"/>
    </row>
    <row r="53527" spans="1:26" ht="12.75" customHeight="1" x14ac:dyDescent="0.2">
      <c r="A53527" s="258"/>
      <c r="Z53527" s="258"/>
    </row>
    <row r="53528" spans="1:26" ht="12.75" customHeight="1" x14ac:dyDescent="0.2">
      <c r="A53528" s="258"/>
      <c r="Z53528" s="258"/>
    </row>
    <row r="53529" spans="1:26" ht="12.75" customHeight="1" x14ac:dyDescent="0.2">
      <c r="A53529" s="258"/>
      <c r="Z53529" s="258"/>
    </row>
    <row r="53530" spans="1:26" ht="12.75" customHeight="1" x14ac:dyDescent="0.2">
      <c r="A53530" s="258"/>
      <c r="Z53530" s="258"/>
    </row>
    <row r="53531" spans="1:26" ht="12.75" customHeight="1" x14ac:dyDescent="0.2">
      <c r="A53531" s="258"/>
      <c r="Z53531" s="258"/>
    </row>
    <row r="53532" spans="1:26" ht="12.75" customHeight="1" x14ac:dyDescent="0.2">
      <c r="A53532" s="258"/>
      <c r="Z53532" s="258"/>
    </row>
    <row r="53533" spans="1:26" ht="12.75" customHeight="1" x14ac:dyDescent="0.2">
      <c r="A53533" s="258"/>
      <c r="Z53533" s="258"/>
    </row>
    <row r="53534" spans="1:26" ht="12.75" customHeight="1" x14ac:dyDescent="0.2">
      <c r="A53534" s="258"/>
      <c r="Z53534" s="258"/>
    </row>
    <row r="53535" spans="1:26" ht="12.75" customHeight="1" x14ac:dyDescent="0.2">
      <c r="A53535" s="258"/>
      <c r="Z53535" s="258"/>
    </row>
    <row r="53536" spans="1:26" ht="12.75" customHeight="1" x14ac:dyDescent="0.2">
      <c r="A53536" s="258"/>
      <c r="Z53536" s="258"/>
    </row>
    <row r="53537" spans="1:26" ht="12.75" customHeight="1" x14ac:dyDescent="0.2">
      <c r="A53537" s="258"/>
      <c r="Z53537" s="258"/>
    </row>
    <row r="53538" spans="1:26" ht="12.75" customHeight="1" x14ac:dyDescent="0.2">
      <c r="A53538" s="258"/>
      <c r="Z53538" s="258"/>
    </row>
    <row r="53539" spans="1:26" ht="12.75" customHeight="1" x14ac:dyDescent="0.2">
      <c r="A53539" s="258"/>
      <c r="Z53539" s="258"/>
    </row>
    <row r="53540" spans="1:26" ht="12.75" customHeight="1" x14ac:dyDescent="0.2">
      <c r="A53540" s="258"/>
      <c r="Z53540" s="258"/>
    </row>
    <row r="53541" spans="1:26" ht="12.75" customHeight="1" x14ac:dyDescent="0.2">
      <c r="A53541" s="258"/>
      <c r="Z53541" s="258"/>
    </row>
    <row r="53542" spans="1:26" ht="12.75" customHeight="1" x14ac:dyDescent="0.2">
      <c r="A53542" s="258"/>
      <c r="Z53542" s="258"/>
    </row>
    <row r="53543" spans="1:26" ht="12.75" customHeight="1" x14ac:dyDescent="0.2">
      <c r="A53543" s="258"/>
      <c r="Z53543" s="258"/>
    </row>
    <row r="53544" spans="1:26" ht="12.75" customHeight="1" x14ac:dyDescent="0.2">
      <c r="A53544" s="258"/>
      <c r="Z53544" s="258"/>
    </row>
    <row r="53545" spans="1:26" ht="12.75" customHeight="1" x14ac:dyDescent="0.2">
      <c r="A53545" s="258"/>
      <c r="Z53545" s="258"/>
    </row>
    <row r="53546" spans="1:26" ht="12.75" customHeight="1" x14ac:dyDescent="0.2">
      <c r="A53546" s="258"/>
      <c r="Z53546" s="258"/>
    </row>
    <row r="53547" spans="1:26" ht="12.75" customHeight="1" x14ac:dyDescent="0.2">
      <c r="A53547" s="258"/>
      <c r="Z53547" s="258"/>
    </row>
    <row r="53548" spans="1:26" ht="12.75" customHeight="1" x14ac:dyDescent="0.2">
      <c r="A53548" s="258"/>
      <c r="Z53548" s="258"/>
    </row>
    <row r="53549" spans="1:26" ht="12.75" customHeight="1" x14ac:dyDescent="0.2">
      <c r="A53549" s="258"/>
      <c r="Z53549" s="258"/>
    </row>
    <row r="53550" spans="1:26" ht="12.75" customHeight="1" x14ac:dyDescent="0.2">
      <c r="A53550" s="258"/>
      <c r="Z53550" s="258"/>
    </row>
    <row r="53551" spans="1:26" ht="12.75" customHeight="1" x14ac:dyDescent="0.2">
      <c r="A53551" s="258"/>
      <c r="Z53551" s="258"/>
    </row>
    <row r="53552" spans="1:26" ht="12.75" customHeight="1" x14ac:dyDescent="0.2">
      <c r="A53552" s="258"/>
      <c r="Z53552" s="258"/>
    </row>
    <row r="53553" spans="1:26" ht="12.75" customHeight="1" x14ac:dyDescent="0.2">
      <c r="A53553" s="258"/>
      <c r="Z53553" s="258"/>
    </row>
    <row r="53554" spans="1:26" ht="12.75" customHeight="1" x14ac:dyDescent="0.2">
      <c r="A53554" s="258"/>
      <c r="Z53554" s="258"/>
    </row>
    <row r="53555" spans="1:26" ht="12.75" customHeight="1" x14ac:dyDescent="0.2">
      <c r="A53555" s="258"/>
      <c r="Z53555" s="258"/>
    </row>
    <row r="53556" spans="1:26" ht="12.75" customHeight="1" x14ac:dyDescent="0.2">
      <c r="A53556" s="258"/>
      <c r="Z53556" s="258"/>
    </row>
    <row r="53557" spans="1:26" ht="12.75" customHeight="1" x14ac:dyDescent="0.2">
      <c r="A53557" s="258"/>
      <c r="Z53557" s="258"/>
    </row>
    <row r="53558" spans="1:26" ht="12.75" customHeight="1" x14ac:dyDescent="0.2">
      <c r="A53558" s="258"/>
      <c r="Z53558" s="258"/>
    </row>
    <row r="53559" spans="1:26" ht="12.75" customHeight="1" x14ac:dyDescent="0.2">
      <c r="A53559" s="258"/>
      <c r="Z53559" s="258"/>
    </row>
    <row r="53560" spans="1:26" ht="12.75" customHeight="1" x14ac:dyDescent="0.2">
      <c r="A53560" s="258"/>
      <c r="Z53560" s="258"/>
    </row>
    <row r="53561" spans="1:26" ht="12.75" customHeight="1" x14ac:dyDescent="0.2">
      <c r="A53561" s="258"/>
      <c r="Z53561" s="258"/>
    </row>
    <row r="53562" spans="1:26" ht="12.75" customHeight="1" x14ac:dyDescent="0.2">
      <c r="A53562" s="258"/>
      <c r="Z53562" s="258"/>
    </row>
    <row r="53563" spans="1:26" ht="12.75" customHeight="1" x14ac:dyDescent="0.2">
      <c r="A53563" s="258"/>
      <c r="Z53563" s="258"/>
    </row>
    <row r="53564" spans="1:26" ht="12.75" customHeight="1" x14ac:dyDescent="0.2">
      <c r="A53564" s="258"/>
      <c r="Z53564" s="258"/>
    </row>
    <row r="53565" spans="1:26" ht="12.75" customHeight="1" x14ac:dyDescent="0.2">
      <c r="A53565" s="258"/>
      <c r="Z53565" s="258"/>
    </row>
    <row r="53566" spans="1:26" ht="12.75" customHeight="1" x14ac:dyDescent="0.2">
      <c r="A53566" s="258"/>
      <c r="Z53566" s="258"/>
    </row>
    <row r="53567" spans="1:26" ht="12.75" customHeight="1" x14ac:dyDescent="0.2">
      <c r="A53567" s="258"/>
      <c r="Z53567" s="258"/>
    </row>
    <row r="53568" spans="1:26" ht="12.75" customHeight="1" x14ac:dyDescent="0.2">
      <c r="A53568" s="258"/>
      <c r="Z53568" s="258"/>
    </row>
    <row r="53569" spans="1:26" ht="12.75" customHeight="1" x14ac:dyDescent="0.2">
      <c r="A53569" s="258"/>
      <c r="Z53569" s="258"/>
    </row>
    <row r="53570" spans="1:26" ht="12.75" customHeight="1" x14ac:dyDescent="0.2">
      <c r="A53570" s="258"/>
      <c r="Z53570" s="258"/>
    </row>
    <row r="53571" spans="1:26" ht="12.75" customHeight="1" x14ac:dyDescent="0.2">
      <c r="A53571" s="258"/>
      <c r="Z53571" s="258"/>
    </row>
    <row r="53572" spans="1:26" ht="12.75" customHeight="1" x14ac:dyDescent="0.2">
      <c r="A53572" s="258"/>
      <c r="Z53572" s="258"/>
    </row>
    <row r="53573" spans="1:26" ht="12.75" customHeight="1" x14ac:dyDescent="0.2">
      <c r="A53573" s="258"/>
      <c r="Z53573" s="258"/>
    </row>
    <row r="53574" spans="1:26" ht="12.75" customHeight="1" x14ac:dyDescent="0.2">
      <c r="A53574" s="258"/>
      <c r="Z53574" s="258"/>
    </row>
    <row r="53575" spans="1:26" ht="12.75" customHeight="1" x14ac:dyDescent="0.2">
      <c r="A53575" s="258"/>
      <c r="Z53575" s="258"/>
    </row>
    <row r="53576" spans="1:26" ht="12.75" customHeight="1" x14ac:dyDescent="0.2">
      <c r="A53576" s="258"/>
      <c r="Z53576" s="258"/>
    </row>
    <row r="53577" spans="1:26" ht="12.75" customHeight="1" x14ac:dyDescent="0.2">
      <c r="A53577" s="258"/>
      <c r="Z53577" s="258"/>
    </row>
    <row r="53578" spans="1:26" ht="12.75" customHeight="1" x14ac:dyDescent="0.2">
      <c r="A53578" s="258"/>
      <c r="Z53578" s="258"/>
    </row>
    <row r="53579" spans="1:26" ht="12.75" customHeight="1" x14ac:dyDescent="0.2">
      <c r="A53579" s="258"/>
      <c r="Z53579" s="258"/>
    </row>
    <row r="53580" spans="1:26" ht="12.75" customHeight="1" x14ac:dyDescent="0.2">
      <c r="A53580" s="258"/>
      <c r="Z53580" s="258"/>
    </row>
    <row r="53581" spans="1:26" ht="12.75" customHeight="1" x14ac:dyDescent="0.2">
      <c r="A53581" s="258"/>
      <c r="Z53581" s="258"/>
    </row>
    <row r="53582" spans="1:26" ht="12.75" customHeight="1" x14ac:dyDescent="0.2">
      <c r="A53582" s="258"/>
      <c r="Z53582" s="258"/>
    </row>
    <row r="53583" spans="1:26" ht="12.75" customHeight="1" x14ac:dyDescent="0.2">
      <c r="A53583" s="258"/>
      <c r="Z53583" s="258"/>
    </row>
    <row r="53584" spans="1:26" ht="12.75" customHeight="1" x14ac:dyDescent="0.2">
      <c r="A53584" s="258"/>
      <c r="Z53584" s="258"/>
    </row>
    <row r="53585" spans="1:26" ht="12.75" customHeight="1" x14ac:dyDescent="0.2">
      <c r="A53585" s="258"/>
      <c r="Z53585" s="258"/>
    </row>
    <row r="53586" spans="1:26" ht="12.75" customHeight="1" x14ac:dyDescent="0.2">
      <c r="A53586" s="258"/>
      <c r="Z53586" s="258"/>
    </row>
    <row r="53587" spans="1:26" ht="12.75" customHeight="1" x14ac:dyDescent="0.2">
      <c r="A53587" s="258"/>
      <c r="Z53587" s="258"/>
    </row>
    <row r="53588" spans="1:26" ht="12.75" customHeight="1" x14ac:dyDescent="0.2">
      <c r="A53588" s="258"/>
      <c r="Z53588" s="258"/>
    </row>
    <row r="53589" spans="1:26" ht="12.75" customHeight="1" x14ac:dyDescent="0.2">
      <c r="A53589" s="258"/>
      <c r="Z53589" s="258"/>
    </row>
    <row r="53590" spans="1:26" ht="12.75" customHeight="1" x14ac:dyDescent="0.2">
      <c r="A53590" s="258"/>
      <c r="Z53590" s="258"/>
    </row>
    <row r="53591" spans="1:26" ht="12.75" customHeight="1" x14ac:dyDescent="0.2">
      <c r="A53591" s="258"/>
      <c r="Z53591" s="258"/>
    </row>
    <row r="53592" spans="1:26" ht="12.75" customHeight="1" x14ac:dyDescent="0.2">
      <c r="A53592" s="258"/>
      <c r="Z53592" s="258"/>
    </row>
    <row r="53593" spans="1:26" ht="12.75" customHeight="1" x14ac:dyDescent="0.2">
      <c r="A53593" s="258"/>
      <c r="Z53593" s="258"/>
    </row>
    <row r="53594" spans="1:26" ht="12.75" customHeight="1" x14ac:dyDescent="0.2">
      <c r="A53594" s="258"/>
      <c r="Z53594" s="258"/>
    </row>
    <row r="53595" spans="1:26" ht="12.75" customHeight="1" x14ac:dyDescent="0.2">
      <c r="A53595" s="258"/>
      <c r="Z53595" s="258"/>
    </row>
    <row r="53596" spans="1:26" ht="12.75" customHeight="1" x14ac:dyDescent="0.2">
      <c r="A53596" s="258"/>
      <c r="Z53596" s="258"/>
    </row>
    <row r="53597" spans="1:26" ht="12.75" customHeight="1" x14ac:dyDescent="0.2">
      <c r="A53597" s="258"/>
      <c r="Z53597" s="258"/>
    </row>
    <row r="53598" spans="1:26" ht="12.75" customHeight="1" x14ac:dyDescent="0.2">
      <c r="A53598" s="258"/>
      <c r="Z53598" s="258"/>
    </row>
    <row r="53599" spans="1:26" ht="12.75" customHeight="1" x14ac:dyDescent="0.2">
      <c r="A53599" s="258"/>
      <c r="Z53599" s="258"/>
    </row>
    <row r="53600" spans="1:26" ht="12.75" customHeight="1" x14ac:dyDescent="0.2">
      <c r="A53600" s="258"/>
      <c r="Z53600" s="258"/>
    </row>
    <row r="53601" spans="1:26" ht="12.75" customHeight="1" x14ac:dyDescent="0.2">
      <c r="A53601" s="258"/>
      <c r="Z53601" s="258"/>
    </row>
    <row r="53602" spans="1:26" ht="12.75" customHeight="1" x14ac:dyDescent="0.2">
      <c r="A53602" s="258"/>
      <c r="Z53602" s="258"/>
    </row>
    <row r="53603" spans="1:26" ht="12.75" customHeight="1" x14ac:dyDescent="0.2">
      <c r="A53603" s="258"/>
      <c r="Z53603" s="258"/>
    </row>
    <row r="53604" spans="1:26" ht="12.75" customHeight="1" x14ac:dyDescent="0.2">
      <c r="A53604" s="258"/>
      <c r="Z53604" s="258"/>
    </row>
    <row r="53605" spans="1:26" ht="12.75" customHeight="1" x14ac:dyDescent="0.2">
      <c r="A53605" s="258"/>
      <c r="Z53605" s="258"/>
    </row>
    <row r="53606" spans="1:26" ht="12.75" customHeight="1" x14ac:dyDescent="0.2">
      <c r="A53606" s="258"/>
      <c r="Z53606" s="258"/>
    </row>
    <row r="53607" spans="1:26" ht="12.75" customHeight="1" x14ac:dyDescent="0.2">
      <c r="A53607" s="258"/>
      <c r="Z53607" s="258"/>
    </row>
    <row r="53608" spans="1:26" ht="12.75" customHeight="1" x14ac:dyDescent="0.2">
      <c r="A53608" s="258"/>
      <c r="Z53608" s="258"/>
    </row>
    <row r="53609" spans="1:26" ht="12.75" customHeight="1" x14ac:dyDescent="0.2">
      <c r="A53609" s="258"/>
      <c r="Z53609" s="258"/>
    </row>
    <row r="53610" spans="1:26" ht="12.75" customHeight="1" x14ac:dyDescent="0.2">
      <c r="A53610" s="258"/>
      <c r="Z53610" s="258"/>
    </row>
    <row r="53611" spans="1:26" ht="12.75" customHeight="1" x14ac:dyDescent="0.2">
      <c r="A53611" s="258"/>
      <c r="Z53611" s="258"/>
    </row>
    <row r="53612" spans="1:26" ht="12.75" customHeight="1" x14ac:dyDescent="0.2">
      <c r="A53612" s="258"/>
      <c r="Z53612" s="258"/>
    </row>
    <row r="53613" spans="1:26" ht="12.75" customHeight="1" x14ac:dyDescent="0.2">
      <c r="A53613" s="258"/>
      <c r="Z53613" s="258"/>
    </row>
    <row r="53614" spans="1:26" ht="12.75" customHeight="1" x14ac:dyDescent="0.2">
      <c r="A53614" s="258"/>
      <c r="Z53614" s="258"/>
    </row>
    <row r="53615" spans="1:26" ht="12.75" customHeight="1" x14ac:dyDescent="0.2">
      <c r="A53615" s="258"/>
      <c r="Z53615" s="258"/>
    </row>
    <row r="53616" spans="1:26" ht="12.75" customHeight="1" x14ac:dyDescent="0.2">
      <c r="A53616" s="258"/>
      <c r="Z53616" s="258"/>
    </row>
    <row r="53617" spans="1:26" ht="12.75" customHeight="1" x14ac:dyDescent="0.2">
      <c r="A53617" s="258"/>
      <c r="Z53617" s="258"/>
    </row>
    <row r="53618" spans="1:26" ht="12.75" customHeight="1" x14ac:dyDescent="0.2">
      <c r="A53618" s="258"/>
      <c r="Z53618" s="258"/>
    </row>
    <row r="53619" spans="1:26" ht="12.75" customHeight="1" x14ac:dyDescent="0.2">
      <c r="A53619" s="258"/>
      <c r="Z53619" s="258"/>
    </row>
    <row r="53620" spans="1:26" ht="12.75" customHeight="1" x14ac:dyDescent="0.2">
      <c r="A53620" s="258"/>
      <c r="Z53620" s="258"/>
    </row>
    <row r="53621" spans="1:26" ht="12.75" customHeight="1" x14ac:dyDescent="0.2">
      <c r="A53621" s="258"/>
      <c r="Z53621" s="258"/>
    </row>
    <row r="53622" spans="1:26" ht="12.75" customHeight="1" x14ac:dyDescent="0.2">
      <c r="A53622" s="258"/>
      <c r="Z53622" s="258"/>
    </row>
    <row r="53623" spans="1:26" ht="12.75" customHeight="1" x14ac:dyDescent="0.2">
      <c r="A53623" s="258"/>
      <c r="Z53623" s="258"/>
    </row>
    <row r="53624" spans="1:26" ht="12.75" customHeight="1" x14ac:dyDescent="0.2">
      <c r="A53624" s="258"/>
      <c r="Z53624" s="258"/>
    </row>
    <row r="53625" spans="1:26" ht="12.75" customHeight="1" x14ac:dyDescent="0.2">
      <c r="A53625" s="258"/>
      <c r="Z53625" s="258"/>
    </row>
    <row r="53626" spans="1:26" ht="12.75" customHeight="1" x14ac:dyDescent="0.2">
      <c r="A53626" s="258"/>
      <c r="Z53626" s="258"/>
    </row>
    <row r="53627" spans="1:26" ht="12.75" customHeight="1" x14ac:dyDescent="0.2">
      <c r="A53627" s="258"/>
      <c r="Z53627" s="258"/>
    </row>
    <row r="53628" spans="1:26" ht="12.75" customHeight="1" x14ac:dyDescent="0.2">
      <c r="A53628" s="258"/>
      <c r="Z53628" s="258"/>
    </row>
    <row r="53629" spans="1:26" ht="12.75" customHeight="1" x14ac:dyDescent="0.2">
      <c r="A53629" s="258"/>
      <c r="Z53629" s="258"/>
    </row>
    <row r="53630" spans="1:26" ht="12.75" customHeight="1" x14ac:dyDescent="0.2">
      <c r="A53630" s="258"/>
      <c r="Z53630" s="258"/>
    </row>
    <row r="53631" spans="1:26" ht="12.75" customHeight="1" x14ac:dyDescent="0.2">
      <c r="A53631" s="258"/>
      <c r="Z53631" s="258"/>
    </row>
    <row r="53632" spans="1:26" ht="12.75" customHeight="1" x14ac:dyDescent="0.2">
      <c r="A53632" s="258"/>
      <c r="Z53632" s="258"/>
    </row>
    <row r="53633" spans="1:26" ht="12.75" customHeight="1" x14ac:dyDescent="0.2">
      <c r="A53633" s="258"/>
      <c r="Z53633" s="258"/>
    </row>
    <row r="53634" spans="1:26" ht="12.75" customHeight="1" x14ac:dyDescent="0.2">
      <c r="A53634" s="258"/>
      <c r="Z53634" s="258"/>
    </row>
    <row r="53635" spans="1:26" ht="12.75" customHeight="1" x14ac:dyDescent="0.2">
      <c r="A53635" s="258"/>
      <c r="Z53635" s="258"/>
    </row>
    <row r="53636" spans="1:26" ht="12.75" customHeight="1" x14ac:dyDescent="0.2">
      <c r="A53636" s="258"/>
      <c r="Z53636" s="258"/>
    </row>
    <row r="53637" spans="1:26" ht="12.75" customHeight="1" x14ac:dyDescent="0.2">
      <c r="A53637" s="258"/>
      <c r="Z53637" s="258"/>
    </row>
    <row r="53638" spans="1:26" ht="12.75" customHeight="1" x14ac:dyDescent="0.2">
      <c r="A53638" s="258"/>
      <c r="Z53638" s="258"/>
    </row>
    <row r="53639" spans="1:26" ht="12.75" customHeight="1" x14ac:dyDescent="0.2">
      <c r="A53639" s="258"/>
      <c r="Z53639" s="258"/>
    </row>
    <row r="53640" spans="1:26" ht="12.75" customHeight="1" x14ac:dyDescent="0.2">
      <c r="A53640" s="258"/>
      <c r="Z53640" s="258"/>
    </row>
    <row r="53641" spans="1:26" ht="12.75" customHeight="1" x14ac:dyDescent="0.2">
      <c r="A53641" s="258"/>
      <c r="Z53641" s="258"/>
    </row>
    <row r="53642" spans="1:26" ht="12.75" customHeight="1" x14ac:dyDescent="0.2">
      <c r="A53642" s="258"/>
      <c r="Z53642" s="258"/>
    </row>
    <row r="53643" spans="1:26" ht="12.75" customHeight="1" x14ac:dyDescent="0.2">
      <c r="A53643" s="258"/>
      <c r="Z53643" s="258"/>
    </row>
    <row r="53644" spans="1:26" ht="12.75" customHeight="1" x14ac:dyDescent="0.2">
      <c r="A53644" s="258"/>
      <c r="Z53644" s="258"/>
    </row>
    <row r="53645" spans="1:26" ht="12.75" customHeight="1" x14ac:dyDescent="0.2">
      <c r="A53645" s="258"/>
      <c r="Z53645" s="258"/>
    </row>
    <row r="53646" spans="1:26" ht="12.75" customHeight="1" x14ac:dyDescent="0.2">
      <c r="A53646" s="258"/>
      <c r="Z53646" s="258"/>
    </row>
    <row r="53647" spans="1:26" ht="12.75" customHeight="1" x14ac:dyDescent="0.2">
      <c r="A53647" s="258"/>
      <c r="Z53647" s="258"/>
    </row>
    <row r="53648" spans="1:26" ht="12.75" customHeight="1" x14ac:dyDescent="0.2">
      <c r="A53648" s="258"/>
      <c r="Z53648" s="258"/>
    </row>
    <row r="53649" spans="1:26" ht="12.75" customHeight="1" x14ac:dyDescent="0.2">
      <c r="A53649" s="258"/>
      <c r="Z53649" s="258"/>
    </row>
    <row r="53650" spans="1:26" ht="12.75" customHeight="1" x14ac:dyDescent="0.2">
      <c r="A53650" s="258"/>
      <c r="Z53650" s="258"/>
    </row>
    <row r="53651" spans="1:26" ht="12.75" customHeight="1" x14ac:dyDescent="0.2">
      <c r="A53651" s="258"/>
      <c r="Z53651" s="258"/>
    </row>
    <row r="53652" spans="1:26" ht="12.75" customHeight="1" x14ac:dyDescent="0.2">
      <c r="A53652" s="258"/>
      <c r="Z53652" s="258"/>
    </row>
    <row r="53653" spans="1:26" ht="12.75" customHeight="1" x14ac:dyDescent="0.2">
      <c r="A53653" s="258"/>
      <c r="Z53653" s="258"/>
    </row>
    <row r="53654" spans="1:26" ht="12.75" customHeight="1" x14ac:dyDescent="0.2">
      <c r="A53654" s="258"/>
      <c r="Z53654" s="258"/>
    </row>
    <row r="53655" spans="1:26" ht="12.75" customHeight="1" x14ac:dyDescent="0.2">
      <c r="A53655" s="258"/>
      <c r="Z53655" s="258"/>
    </row>
    <row r="53656" spans="1:26" ht="12.75" customHeight="1" x14ac:dyDescent="0.2">
      <c r="A53656" s="258"/>
      <c r="Z53656" s="258"/>
    </row>
    <row r="53657" spans="1:26" ht="12.75" customHeight="1" x14ac:dyDescent="0.2">
      <c r="A53657" s="258"/>
      <c r="Z53657" s="258"/>
    </row>
    <row r="53658" spans="1:26" ht="12.75" customHeight="1" x14ac:dyDescent="0.2">
      <c r="A53658" s="258"/>
      <c r="Z53658" s="258"/>
    </row>
    <row r="53659" spans="1:26" ht="12.75" customHeight="1" x14ac:dyDescent="0.2">
      <c r="A53659" s="258"/>
      <c r="Z53659" s="258"/>
    </row>
    <row r="53660" spans="1:26" ht="12.75" customHeight="1" x14ac:dyDescent="0.2">
      <c r="A53660" s="258"/>
      <c r="Z53660" s="258"/>
    </row>
    <row r="53661" spans="1:26" ht="12.75" customHeight="1" x14ac:dyDescent="0.2">
      <c r="A53661" s="258"/>
      <c r="Z53661" s="258"/>
    </row>
    <row r="53662" spans="1:26" ht="12.75" customHeight="1" x14ac:dyDescent="0.2">
      <c r="A53662" s="258"/>
      <c r="Z53662" s="258"/>
    </row>
    <row r="53663" spans="1:26" ht="12.75" customHeight="1" x14ac:dyDescent="0.2">
      <c r="A53663" s="258"/>
      <c r="Z53663" s="258"/>
    </row>
    <row r="53664" spans="1:26" ht="12.75" customHeight="1" x14ac:dyDescent="0.2">
      <c r="A53664" s="258"/>
      <c r="Z53664" s="258"/>
    </row>
    <row r="53665" spans="1:26" ht="12.75" customHeight="1" x14ac:dyDescent="0.2">
      <c r="A53665" s="258"/>
      <c r="Z53665" s="258"/>
    </row>
    <row r="53666" spans="1:26" ht="12.75" customHeight="1" x14ac:dyDescent="0.2">
      <c r="A53666" s="258"/>
      <c r="Z53666" s="258"/>
    </row>
    <row r="53667" spans="1:26" ht="12.75" customHeight="1" x14ac:dyDescent="0.2">
      <c r="A53667" s="258"/>
      <c r="Z53667" s="258"/>
    </row>
    <row r="53668" spans="1:26" ht="12.75" customHeight="1" x14ac:dyDescent="0.2">
      <c r="A53668" s="258"/>
      <c r="Z53668" s="258"/>
    </row>
    <row r="53669" spans="1:26" ht="12.75" customHeight="1" x14ac:dyDescent="0.2">
      <c r="A53669" s="258"/>
      <c r="Z53669" s="258"/>
    </row>
    <row r="53670" spans="1:26" ht="12.75" customHeight="1" x14ac:dyDescent="0.2">
      <c r="A53670" s="258"/>
      <c r="Z53670" s="258"/>
    </row>
    <row r="53671" spans="1:26" ht="12.75" customHeight="1" x14ac:dyDescent="0.2">
      <c r="A53671" s="258"/>
      <c r="Z53671" s="258"/>
    </row>
    <row r="53672" spans="1:26" ht="12.75" customHeight="1" x14ac:dyDescent="0.2">
      <c r="A53672" s="258"/>
      <c r="Z53672" s="258"/>
    </row>
    <row r="53673" spans="1:26" ht="12.75" customHeight="1" x14ac:dyDescent="0.2">
      <c r="A53673" s="258"/>
      <c r="Z53673" s="258"/>
    </row>
    <row r="53674" spans="1:26" ht="12.75" customHeight="1" x14ac:dyDescent="0.2">
      <c r="A53674" s="258"/>
      <c r="Z53674" s="258"/>
    </row>
    <row r="53675" spans="1:26" ht="12.75" customHeight="1" x14ac:dyDescent="0.2">
      <c r="A53675" s="258"/>
      <c r="Z53675" s="258"/>
    </row>
    <row r="53676" spans="1:26" ht="12.75" customHeight="1" x14ac:dyDescent="0.2">
      <c r="A53676" s="258"/>
      <c r="Z53676" s="258"/>
    </row>
    <row r="53677" spans="1:26" ht="12.75" customHeight="1" x14ac:dyDescent="0.2">
      <c r="A53677" s="258"/>
      <c r="Z53677" s="258"/>
    </row>
    <row r="53678" spans="1:26" ht="12.75" customHeight="1" x14ac:dyDescent="0.2">
      <c r="A53678" s="258"/>
      <c r="Z53678" s="258"/>
    </row>
    <row r="53679" spans="1:26" ht="12.75" customHeight="1" x14ac:dyDescent="0.2">
      <c r="A53679" s="258"/>
      <c r="Z53679" s="258"/>
    </row>
    <row r="53680" spans="1:26" ht="12.75" customHeight="1" x14ac:dyDescent="0.2">
      <c r="A53680" s="258"/>
      <c r="Z53680" s="258"/>
    </row>
    <row r="53681" spans="1:26" ht="12.75" customHeight="1" x14ac:dyDescent="0.2">
      <c r="A53681" s="258"/>
      <c r="Z53681" s="258"/>
    </row>
    <row r="53682" spans="1:26" ht="12.75" customHeight="1" x14ac:dyDescent="0.2">
      <c r="A53682" s="258"/>
      <c r="Z53682" s="258"/>
    </row>
    <row r="53683" spans="1:26" ht="12.75" customHeight="1" x14ac:dyDescent="0.2">
      <c r="A53683" s="258"/>
      <c r="Z53683" s="258"/>
    </row>
    <row r="53684" spans="1:26" ht="12.75" customHeight="1" x14ac:dyDescent="0.2">
      <c r="A53684" s="258"/>
      <c r="Z53684" s="258"/>
    </row>
    <row r="53685" spans="1:26" ht="12.75" customHeight="1" x14ac:dyDescent="0.2">
      <c r="A53685" s="258"/>
      <c r="Z53685" s="258"/>
    </row>
    <row r="53686" spans="1:26" ht="12.75" customHeight="1" x14ac:dyDescent="0.2">
      <c r="A53686" s="258"/>
      <c r="Z53686" s="258"/>
    </row>
    <row r="53687" spans="1:26" ht="12.75" customHeight="1" x14ac:dyDescent="0.2">
      <c r="A53687" s="258"/>
      <c r="Z53687" s="258"/>
    </row>
    <row r="53688" spans="1:26" ht="12.75" customHeight="1" x14ac:dyDescent="0.2">
      <c r="A53688" s="258"/>
      <c r="Z53688" s="258"/>
    </row>
    <row r="53689" spans="1:26" ht="12.75" customHeight="1" x14ac:dyDescent="0.2">
      <c r="A53689" s="258"/>
      <c r="Z53689" s="258"/>
    </row>
    <row r="53690" spans="1:26" ht="12.75" customHeight="1" x14ac:dyDescent="0.2">
      <c r="A53690" s="258"/>
      <c r="Z53690" s="258"/>
    </row>
    <row r="53691" spans="1:26" ht="12.75" customHeight="1" x14ac:dyDescent="0.2">
      <c r="A53691" s="258"/>
      <c r="Z53691" s="258"/>
    </row>
    <row r="53692" spans="1:26" ht="12.75" customHeight="1" x14ac:dyDescent="0.2">
      <c r="A53692" s="258"/>
      <c r="Z53692" s="258"/>
    </row>
    <row r="53693" spans="1:26" ht="12.75" customHeight="1" x14ac:dyDescent="0.2">
      <c r="A53693" s="258"/>
      <c r="Z53693" s="258"/>
    </row>
    <row r="53694" spans="1:26" ht="12.75" customHeight="1" x14ac:dyDescent="0.2">
      <c r="A53694" s="258"/>
      <c r="Z53694" s="258"/>
    </row>
    <row r="53695" spans="1:26" ht="12.75" customHeight="1" x14ac:dyDescent="0.2">
      <c r="A53695" s="258"/>
      <c r="Z53695" s="258"/>
    </row>
    <row r="53696" spans="1:26" ht="12.75" customHeight="1" x14ac:dyDescent="0.2">
      <c r="A53696" s="258"/>
      <c r="Z53696" s="258"/>
    </row>
    <row r="53697" spans="1:26" ht="12.75" customHeight="1" x14ac:dyDescent="0.2">
      <c r="A53697" s="258"/>
      <c r="Z53697" s="258"/>
    </row>
    <row r="53698" spans="1:26" ht="12.75" customHeight="1" x14ac:dyDescent="0.2">
      <c r="A53698" s="258"/>
      <c r="Z53698" s="258"/>
    </row>
    <row r="53699" spans="1:26" ht="12.75" customHeight="1" x14ac:dyDescent="0.2">
      <c r="A53699" s="258"/>
      <c r="Z53699" s="258"/>
    </row>
    <row r="53700" spans="1:26" ht="12.75" customHeight="1" x14ac:dyDescent="0.2">
      <c r="A53700" s="258"/>
      <c r="Z53700" s="258"/>
    </row>
    <row r="53701" spans="1:26" ht="12.75" customHeight="1" x14ac:dyDescent="0.2">
      <c r="A53701" s="258"/>
      <c r="Z53701" s="258"/>
    </row>
    <row r="53702" spans="1:26" ht="12.75" customHeight="1" x14ac:dyDescent="0.2">
      <c r="A53702" s="258"/>
      <c r="Z53702" s="258"/>
    </row>
    <row r="53703" spans="1:26" ht="12.75" customHeight="1" x14ac:dyDescent="0.2">
      <c r="A53703" s="258"/>
      <c r="Z53703" s="258"/>
    </row>
    <row r="53704" spans="1:26" ht="12.75" customHeight="1" x14ac:dyDescent="0.2">
      <c r="A53704" s="258"/>
      <c r="Z53704" s="258"/>
    </row>
    <row r="53705" spans="1:26" ht="12.75" customHeight="1" x14ac:dyDescent="0.2">
      <c r="A53705" s="258"/>
      <c r="Z53705" s="258"/>
    </row>
    <row r="53706" spans="1:26" ht="12.75" customHeight="1" x14ac:dyDescent="0.2">
      <c r="A53706" s="258"/>
      <c r="Z53706" s="258"/>
    </row>
    <row r="53707" spans="1:26" ht="12.75" customHeight="1" x14ac:dyDescent="0.2">
      <c r="A53707" s="258"/>
      <c r="Z53707" s="258"/>
    </row>
    <row r="53708" spans="1:26" ht="12.75" customHeight="1" x14ac:dyDescent="0.2">
      <c r="A53708" s="258"/>
      <c r="Z53708" s="258"/>
    </row>
    <row r="53709" spans="1:26" ht="12.75" customHeight="1" x14ac:dyDescent="0.2">
      <c r="A53709" s="258"/>
      <c r="Z53709" s="258"/>
    </row>
    <row r="53710" spans="1:26" ht="12.75" customHeight="1" x14ac:dyDescent="0.2">
      <c r="A53710" s="258"/>
      <c r="Z53710" s="258"/>
    </row>
    <row r="53711" spans="1:26" ht="12.75" customHeight="1" x14ac:dyDescent="0.2">
      <c r="A53711" s="258"/>
      <c r="Z53711" s="258"/>
    </row>
    <row r="53712" spans="1:26" ht="12.75" customHeight="1" x14ac:dyDescent="0.2">
      <c r="A53712" s="258"/>
      <c r="Z53712" s="258"/>
    </row>
    <row r="53713" spans="1:26" ht="12.75" customHeight="1" x14ac:dyDescent="0.2">
      <c r="A53713" s="258"/>
      <c r="Z53713" s="258"/>
    </row>
    <row r="53714" spans="1:26" ht="12.75" customHeight="1" x14ac:dyDescent="0.2">
      <c r="A53714" s="258"/>
      <c r="Z53714" s="258"/>
    </row>
    <row r="53715" spans="1:26" ht="12.75" customHeight="1" x14ac:dyDescent="0.2">
      <c r="A53715" s="258"/>
      <c r="Z53715" s="258"/>
    </row>
    <row r="53716" spans="1:26" ht="12.75" customHeight="1" x14ac:dyDescent="0.2">
      <c r="A53716" s="258"/>
      <c r="Z53716" s="258"/>
    </row>
    <row r="53717" spans="1:26" ht="12.75" customHeight="1" x14ac:dyDescent="0.2">
      <c r="A53717" s="258"/>
      <c r="Z53717" s="258"/>
    </row>
    <row r="53718" spans="1:26" ht="12.75" customHeight="1" x14ac:dyDescent="0.2">
      <c r="A53718" s="258"/>
      <c r="Z53718" s="258"/>
    </row>
    <row r="53719" spans="1:26" ht="12.75" customHeight="1" x14ac:dyDescent="0.2">
      <c r="A53719" s="258"/>
      <c r="Z53719" s="258"/>
    </row>
    <row r="53720" spans="1:26" ht="12.75" customHeight="1" x14ac:dyDescent="0.2">
      <c r="A53720" s="258"/>
      <c r="Z53720" s="258"/>
    </row>
    <row r="53721" spans="1:26" ht="12.75" customHeight="1" x14ac:dyDescent="0.2">
      <c r="A53721" s="258"/>
      <c r="Z53721" s="258"/>
    </row>
    <row r="53722" spans="1:26" ht="12.75" customHeight="1" x14ac:dyDescent="0.2">
      <c r="A53722" s="258"/>
      <c r="Z53722" s="258"/>
    </row>
    <row r="53723" spans="1:26" ht="12.75" customHeight="1" x14ac:dyDescent="0.2">
      <c r="A53723" s="258"/>
      <c r="Z53723" s="258"/>
    </row>
    <row r="53724" spans="1:26" ht="12.75" customHeight="1" x14ac:dyDescent="0.2">
      <c r="A53724" s="258"/>
      <c r="Z53724" s="258"/>
    </row>
    <row r="53725" spans="1:26" ht="12.75" customHeight="1" x14ac:dyDescent="0.2">
      <c r="A53725" s="258"/>
      <c r="Z53725" s="258"/>
    </row>
    <row r="53726" spans="1:26" ht="12.75" customHeight="1" x14ac:dyDescent="0.2">
      <c r="A53726" s="258"/>
      <c r="Z53726" s="258"/>
    </row>
    <row r="53727" spans="1:26" ht="12.75" customHeight="1" x14ac:dyDescent="0.2">
      <c r="A53727" s="258"/>
      <c r="Z53727" s="258"/>
    </row>
    <row r="53728" spans="1:26" ht="12.75" customHeight="1" x14ac:dyDescent="0.2">
      <c r="A53728" s="258"/>
      <c r="Z53728" s="258"/>
    </row>
    <row r="53729" spans="1:26" ht="12.75" customHeight="1" x14ac:dyDescent="0.2">
      <c r="A53729" s="258"/>
      <c r="Z53729" s="258"/>
    </row>
    <row r="53730" spans="1:26" ht="12.75" customHeight="1" x14ac:dyDescent="0.2">
      <c r="A53730" s="258"/>
      <c r="Z53730" s="258"/>
    </row>
    <row r="53731" spans="1:26" ht="12.75" customHeight="1" x14ac:dyDescent="0.2">
      <c r="A53731" s="258"/>
      <c r="Z53731" s="258"/>
    </row>
    <row r="53732" spans="1:26" ht="12.75" customHeight="1" x14ac:dyDescent="0.2">
      <c r="A53732" s="258"/>
      <c r="Z53732" s="258"/>
    </row>
    <row r="53733" spans="1:26" ht="12.75" customHeight="1" x14ac:dyDescent="0.2">
      <c r="A53733" s="258"/>
      <c r="Z53733" s="258"/>
    </row>
    <row r="53734" spans="1:26" ht="12.75" customHeight="1" x14ac:dyDescent="0.2">
      <c r="A53734" s="258"/>
      <c r="Z53734" s="258"/>
    </row>
    <row r="53735" spans="1:26" ht="12.75" customHeight="1" x14ac:dyDescent="0.2">
      <c r="A53735" s="258"/>
      <c r="Z53735" s="258"/>
    </row>
    <row r="53736" spans="1:26" ht="12.75" customHeight="1" x14ac:dyDescent="0.2">
      <c r="A53736" s="258"/>
      <c r="Z53736" s="258"/>
    </row>
    <row r="53737" spans="1:26" ht="12.75" customHeight="1" x14ac:dyDescent="0.2">
      <c r="A53737" s="258"/>
      <c r="Z53737" s="258"/>
    </row>
    <row r="53738" spans="1:26" ht="12.75" customHeight="1" x14ac:dyDescent="0.2">
      <c r="A53738" s="258"/>
      <c r="Z53738" s="258"/>
    </row>
    <row r="53739" spans="1:26" ht="12.75" customHeight="1" x14ac:dyDescent="0.2">
      <c r="A53739" s="258"/>
      <c r="Z53739" s="258"/>
    </row>
    <row r="53740" spans="1:26" ht="12.75" customHeight="1" x14ac:dyDescent="0.2">
      <c r="A53740" s="258"/>
      <c r="Z53740" s="258"/>
    </row>
    <row r="53741" spans="1:26" ht="12.75" customHeight="1" x14ac:dyDescent="0.2">
      <c r="A53741" s="258"/>
      <c r="Z53741" s="258"/>
    </row>
    <row r="53742" spans="1:26" ht="12.75" customHeight="1" x14ac:dyDescent="0.2">
      <c r="A53742" s="258"/>
      <c r="Z53742" s="258"/>
    </row>
    <row r="53743" spans="1:26" ht="12.75" customHeight="1" x14ac:dyDescent="0.2">
      <c r="A53743" s="258"/>
      <c r="Z53743" s="258"/>
    </row>
    <row r="53744" spans="1:26" ht="12.75" customHeight="1" x14ac:dyDescent="0.2">
      <c r="A53744" s="258"/>
      <c r="Z53744" s="258"/>
    </row>
    <row r="53745" spans="1:26" ht="12.75" customHeight="1" x14ac:dyDescent="0.2">
      <c r="A53745" s="258"/>
      <c r="Z53745" s="258"/>
    </row>
    <row r="53746" spans="1:26" ht="12.75" customHeight="1" x14ac:dyDescent="0.2">
      <c r="A53746" s="258"/>
      <c r="Z53746" s="258"/>
    </row>
    <row r="53747" spans="1:26" ht="12.75" customHeight="1" x14ac:dyDescent="0.2">
      <c r="A53747" s="258"/>
      <c r="Z53747" s="258"/>
    </row>
    <row r="53748" spans="1:26" ht="12.75" customHeight="1" x14ac:dyDescent="0.2">
      <c r="A53748" s="258"/>
      <c r="Z53748" s="258"/>
    </row>
    <row r="53749" spans="1:26" ht="12.75" customHeight="1" x14ac:dyDescent="0.2">
      <c r="A53749" s="258"/>
      <c r="Z53749" s="258"/>
    </row>
    <row r="53750" spans="1:26" ht="12.75" customHeight="1" x14ac:dyDescent="0.2">
      <c r="A53750" s="258"/>
      <c r="Z53750" s="258"/>
    </row>
    <row r="53751" spans="1:26" ht="12.75" customHeight="1" x14ac:dyDescent="0.2">
      <c r="A53751" s="258"/>
      <c r="Z53751" s="258"/>
    </row>
    <row r="53752" spans="1:26" ht="12.75" customHeight="1" x14ac:dyDescent="0.2">
      <c r="A53752" s="258"/>
      <c r="Z53752" s="258"/>
    </row>
    <row r="53753" spans="1:26" ht="12.75" customHeight="1" x14ac:dyDescent="0.2">
      <c r="A53753" s="258"/>
      <c r="Z53753" s="258"/>
    </row>
    <row r="53754" spans="1:26" ht="12.75" customHeight="1" x14ac:dyDescent="0.2">
      <c r="A53754" s="258"/>
      <c r="Z53754" s="258"/>
    </row>
    <row r="53755" spans="1:26" ht="12.75" customHeight="1" x14ac:dyDescent="0.2">
      <c r="A53755" s="258"/>
      <c r="Z53755" s="258"/>
    </row>
    <row r="53756" spans="1:26" ht="12.75" customHeight="1" x14ac:dyDescent="0.2">
      <c r="A53756" s="258"/>
      <c r="Z53756" s="258"/>
    </row>
    <row r="53757" spans="1:26" ht="12.75" customHeight="1" x14ac:dyDescent="0.2">
      <c r="A53757" s="258"/>
      <c r="Z53757" s="258"/>
    </row>
    <row r="53758" spans="1:26" ht="12.75" customHeight="1" x14ac:dyDescent="0.2">
      <c r="A53758" s="258"/>
      <c r="Z53758" s="258"/>
    </row>
    <row r="53759" spans="1:26" ht="12.75" customHeight="1" x14ac:dyDescent="0.2">
      <c r="A53759" s="258"/>
      <c r="Z53759" s="258"/>
    </row>
    <row r="53760" spans="1:26" ht="12.75" customHeight="1" x14ac:dyDescent="0.2">
      <c r="A53760" s="258"/>
      <c r="Z53760" s="258"/>
    </row>
    <row r="53761" spans="1:26" ht="12.75" customHeight="1" x14ac:dyDescent="0.2">
      <c r="A53761" s="258"/>
      <c r="Z53761" s="258"/>
    </row>
    <row r="53762" spans="1:26" ht="12.75" customHeight="1" x14ac:dyDescent="0.2">
      <c r="A53762" s="258"/>
      <c r="Z53762" s="258"/>
    </row>
    <row r="53763" spans="1:26" ht="12.75" customHeight="1" x14ac:dyDescent="0.2">
      <c r="A53763" s="258"/>
      <c r="Z53763" s="258"/>
    </row>
    <row r="53764" spans="1:26" ht="12.75" customHeight="1" x14ac:dyDescent="0.2">
      <c r="A53764" s="258"/>
      <c r="Z53764" s="258"/>
    </row>
    <row r="53765" spans="1:26" ht="12.75" customHeight="1" x14ac:dyDescent="0.2">
      <c r="A53765" s="258"/>
      <c r="Z53765" s="258"/>
    </row>
    <row r="53766" spans="1:26" ht="12.75" customHeight="1" x14ac:dyDescent="0.2">
      <c r="A53766" s="258"/>
      <c r="Z53766" s="258"/>
    </row>
    <row r="53767" spans="1:26" ht="12.75" customHeight="1" x14ac:dyDescent="0.2">
      <c r="A53767" s="258"/>
      <c r="Z53767" s="258"/>
    </row>
    <row r="53768" spans="1:26" ht="12.75" customHeight="1" x14ac:dyDescent="0.2">
      <c r="A53768" s="258"/>
      <c r="Z53768" s="258"/>
    </row>
    <row r="53769" spans="1:26" ht="12.75" customHeight="1" x14ac:dyDescent="0.2">
      <c r="A53769" s="258"/>
      <c r="Z53769" s="258"/>
    </row>
    <row r="53770" spans="1:26" ht="12.75" customHeight="1" x14ac:dyDescent="0.2">
      <c r="A53770" s="258"/>
      <c r="Z53770" s="258"/>
    </row>
    <row r="53771" spans="1:26" ht="12.75" customHeight="1" x14ac:dyDescent="0.2">
      <c r="A53771" s="258"/>
      <c r="Z53771" s="258"/>
    </row>
    <row r="53772" spans="1:26" ht="12.75" customHeight="1" x14ac:dyDescent="0.2">
      <c r="A53772" s="258"/>
      <c r="Z53772" s="258"/>
    </row>
    <row r="53773" spans="1:26" ht="12.75" customHeight="1" x14ac:dyDescent="0.2">
      <c r="A53773" s="258"/>
      <c r="Z53773" s="258"/>
    </row>
    <row r="53774" spans="1:26" ht="12.75" customHeight="1" x14ac:dyDescent="0.2">
      <c r="A53774" s="258"/>
      <c r="Z53774" s="258"/>
    </row>
    <row r="53775" spans="1:26" ht="12.75" customHeight="1" x14ac:dyDescent="0.2">
      <c r="A53775" s="258"/>
      <c r="Z53775" s="258"/>
    </row>
    <row r="53776" spans="1:26" ht="12.75" customHeight="1" x14ac:dyDescent="0.2">
      <c r="A53776" s="258"/>
      <c r="Z53776" s="258"/>
    </row>
    <row r="53777" spans="1:26" ht="12.75" customHeight="1" x14ac:dyDescent="0.2">
      <c r="A53777" s="258"/>
      <c r="Z53777" s="258"/>
    </row>
    <row r="53778" spans="1:26" ht="12.75" customHeight="1" x14ac:dyDescent="0.2">
      <c r="A53778" s="258"/>
      <c r="Z53778" s="258"/>
    </row>
    <row r="53779" spans="1:26" ht="12.75" customHeight="1" x14ac:dyDescent="0.2">
      <c r="A53779" s="258"/>
      <c r="Z53779" s="258"/>
    </row>
    <row r="53780" spans="1:26" ht="12.75" customHeight="1" x14ac:dyDescent="0.2">
      <c r="A53780" s="258"/>
      <c r="Z53780" s="258"/>
    </row>
    <row r="53781" spans="1:26" ht="12.75" customHeight="1" x14ac:dyDescent="0.2">
      <c r="A53781" s="258"/>
      <c r="Z53781" s="258"/>
    </row>
    <row r="53782" spans="1:26" ht="12.75" customHeight="1" x14ac:dyDescent="0.2">
      <c r="A53782" s="258"/>
      <c r="Z53782" s="258"/>
    </row>
    <row r="53783" spans="1:26" ht="12.75" customHeight="1" x14ac:dyDescent="0.2">
      <c r="A53783" s="258"/>
      <c r="Z53783" s="258"/>
    </row>
    <row r="53784" spans="1:26" ht="12.75" customHeight="1" x14ac:dyDescent="0.2">
      <c r="A53784" s="258"/>
      <c r="Z53784" s="258"/>
    </row>
    <row r="53785" spans="1:26" ht="12.75" customHeight="1" x14ac:dyDescent="0.2">
      <c r="A53785" s="258"/>
      <c r="Z53785" s="258"/>
    </row>
    <row r="53786" spans="1:26" ht="12.75" customHeight="1" x14ac:dyDescent="0.2">
      <c r="A53786" s="258"/>
      <c r="Z53786" s="258"/>
    </row>
    <row r="53787" spans="1:26" ht="12.75" customHeight="1" x14ac:dyDescent="0.2">
      <c r="A53787" s="258"/>
      <c r="Z53787" s="258"/>
    </row>
    <row r="53788" spans="1:26" ht="12.75" customHeight="1" x14ac:dyDescent="0.2">
      <c r="A53788" s="258"/>
      <c r="Z53788" s="258"/>
    </row>
    <row r="53789" spans="1:26" ht="12.75" customHeight="1" x14ac:dyDescent="0.2">
      <c r="A53789" s="258"/>
      <c r="Z53789" s="258"/>
    </row>
    <row r="53790" spans="1:26" ht="12.75" customHeight="1" x14ac:dyDescent="0.2">
      <c r="A53790" s="258"/>
      <c r="Z53790" s="258"/>
    </row>
    <row r="53791" spans="1:26" ht="12.75" customHeight="1" x14ac:dyDescent="0.2">
      <c r="A53791" s="258"/>
      <c r="Z53791" s="258"/>
    </row>
    <row r="53792" spans="1:26" ht="12.75" customHeight="1" x14ac:dyDescent="0.2">
      <c r="A53792" s="258"/>
      <c r="Z53792" s="258"/>
    </row>
    <row r="53793" spans="1:26" ht="12.75" customHeight="1" x14ac:dyDescent="0.2">
      <c r="A53793" s="258"/>
      <c r="Z53793" s="258"/>
    </row>
    <row r="53794" spans="1:26" ht="12.75" customHeight="1" x14ac:dyDescent="0.2">
      <c r="A53794" s="258"/>
      <c r="Z53794" s="258"/>
    </row>
    <row r="53795" spans="1:26" ht="12.75" customHeight="1" x14ac:dyDescent="0.2">
      <c r="A53795" s="258"/>
      <c r="Z53795" s="258"/>
    </row>
    <row r="53796" spans="1:26" ht="12.75" customHeight="1" x14ac:dyDescent="0.2">
      <c r="A53796" s="258"/>
      <c r="Z53796" s="258"/>
    </row>
    <row r="53797" spans="1:26" ht="12.75" customHeight="1" x14ac:dyDescent="0.2">
      <c r="A53797" s="258"/>
      <c r="Z53797" s="258"/>
    </row>
    <row r="53798" spans="1:26" ht="12.75" customHeight="1" x14ac:dyDescent="0.2">
      <c r="A53798" s="258"/>
      <c r="Z53798" s="258"/>
    </row>
    <row r="53799" spans="1:26" ht="12.75" customHeight="1" x14ac:dyDescent="0.2">
      <c r="A53799" s="258"/>
      <c r="Z53799" s="258"/>
    </row>
    <row r="53800" spans="1:26" ht="12.75" customHeight="1" x14ac:dyDescent="0.2">
      <c r="A53800" s="258"/>
      <c r="Z53800" s="258"/>
    </row>
    <row r="53801" spans="1:26" ht="12.75" customHeight="1" x14ac:dyDescent="0.2">
      <c r="A53801" s="258"/>
      <c r="Z53801" s="258"/>
    </row>
    <row r="53802" spans="1:26" ht="12.75" customHeight="1" x14ac:dyDescent="0.2">
      <c r="A53802" s="258"/>
      <c r="Z53802" s="258"/>
    </row>
    <row r="53803" spans="1:26" ht="12.75" customHeight="1" x14ac:dyDescent="0.2">
      <c r="A53803" s="258"/>
      <c r="Z53803" s="258"/>
    </row>
    <row r="53804" spans="1:26" ht="12.75" customHeight="1" x14ac:dyDescent="0.2">
      <c r="A53804" s="258"/>
      <c r="Z53804" s="258"/>
    </row>
    <row r="53805" spans="1:26" ht="12.75" customHeight="1" x14ac:dyDescent="0.2">
      <c r="A53805" s="258"/>
      <c r="Z53805" s="258"/>
    </row>
    <row r="53806" spans="1:26" ht="12.75" customHeight="1" x14ac:dyDescent="0.2">
      <c r="A53806" s="258"/>
      <c r="Z53806" s="258"/>
    </row>
    <row r="53807" spans="1:26" ht="12.75" customHeight="1" x14ac:dyDescent="0.2">
      <c r="A53807" s="258"/>
      <c r="Z53807" s="258"/>
    </row>
    <row r="53808" spans="1:26" ht="12.75" customHeight="1" x14ac:dyDescent="0.2">
      <c r="A53808" s="258"/>
      <c r="Z53808" s="258"/>
    </row>
    <row r="53809" spans="1:26" ht="12.75" customHeight="1" x14ac:dyDescent="0.2">
      <c r="A53809" s="258"/>
      <c r="Z53809" s="258"/>
    </row>
    <row r="53810" spans="1:26" ht="12.75" customHeight="1" x14ac:dyDescent="0.2">
      <c r="A53810" s="258"/>
      <c r="Z53810" s="258"/>
    </row>
    <row r="53811" spans="1:26" ht="12.75" customHeight="1" x14ac:dyDescent="0.2">
      <c r="A53811" s="258"/>
      <c r="Z53811" s="258"/>
    </row>
    <row r="53812" spans="1:26" ht="12.75" customHeight="1" x14ac:dyDescent="0.2">
      <c r="A53812" s="258"/>
      <c r="Z53812" s="258"/>
    </row>
    <row r="53813" spans="1:26" ht="12.75" customHeight="1" x14ac:dyDescent="0.2">
      <c r="A53813" s="258"/>
      <c r="Z53813" s="258"/>
    </row>
    <row r="53814" spans="1:26" ht="12.75" customHeight="1" x14ac:dyDescent="0.2">
      <c r="A53814" s="258"/>
      <c r="Z53814" s="258"/>
    </row>
    <row r="53815" spans="1:26" ht="12.75" customHeight="1" x14ac:dyDescent="0.2">
      <c r="A53815" s="258"/>
      <c r="Z53815" s="258"/>
    </row>
    <row r="53816" spans="1:26" ht="12.75" customHeight="1" x14ac:dyDescent="0.2">
      <c r="A53816" s="258"/>
      <c r="Z53816" s="258"/>
    </row>
    <row r="53817" spans="1:26" ht="12.75" customHeight="1" x14ac:dyDescent="0.2">
      <c r="A53817" s="258"/>
      <c r="Z53817" s="258"/>
    </row>
    <row r="53818" spans="1:26" ht="12.75" customHeight="1" x14ac:dyDescent="0.2">
      <c r="A53818" s="258"/>
      <c r="Z53818" s="258"/>
    </row>
    <row r="53819" spans="1:26" ht="12.75" customHeight="1" x14ac:dyDescent="0.2">
      <c r="A53819" s="258"/>
      <c r="Z53819" s="258"/>
    </row>
    <row r="53820" spans="1:26" ht="12.75" customHeight="1" x14ac:dyDescent="0.2">
      <c r="A53820" s="258"/>
      <c r="Z53820" s="258"/>
    </row>
    <row r="53821" spans="1:26" ht="12.75" customHeight="1" x14ac:dyDescent="0.2">
      <c r="A53821" s="258"/>
      <c r="Z53821" s="258"/>
    </row>
    <row r="53822" spans="1:26" ht="12.75" customHeight="1" x14ac:dyDescent="0.2">
      <c r="A53822" s="258"/>
      <c r="Z53822" s="258"/>
    </row>
    <row r="53823" spans="1:26" ht="12.75" customHeight="1" x14ac:dyDescent="0.2">
      <c r="A53823" s="258"/>
      <c r="Z53823" s="258"/>
    </row>
    <row r="53824" spans="1:26" ht="12.75" customHeight="1" x14ac:dyDescent="0.2">
      <c r="A53824" s="258"/>
      <c r="Z53824" s="258"/>
    </row>
    <row r="53825" spans="1:26" ht="12.75" customHeight="1" x14ac:dyDescent="0.2">
      <c r="A53825" s="258"/>
      <c r="Z53825" s="258"/>
    </row>
    <row r="53826" spans="1:26" ht="12.75" customHeight="1" x14ac:dyDescent="0.2">
      <c r="A53826" s="258"/>
      <c r="Z53826" s="258"/>
    </row>
    <row r="53827" spans="1:26" ht="12.75" customHeight="1" x14ac:dyDescent="0.2">
      <c r="A53827" s="258"/>
      <c r="Z53827" s="258"/>
    </row>
    <row r="53828" spans="1:26" ht="12.75" customHeight="1" x14ac:dyDescent="0.2">
      <c r="A53828" s="258"/>
      <c r="Z53828" s="258"/>
    </row>
    <row r="53829" spans="1:26" ht="12.75" customHeight="1" x14ac:dyDescent="0.2">
      <c r="A53829" s="258"/>
      <c r="Z53829" s="258"/>
    </row>
    <row r="53830" spans="1:26" ht="12.75" customHeight="1" x14ac:dyDescent="0.2">
      <c r="A53830" s="258"/>
      <c r="Z53830" s="258"/>
    </row>
    <row r="53831" spans="1:26" ht="12.75" customHeight="1" x14ac:dyDescent="0.2">
      <c r="A53831" s="258"/>
      <c r="Z53831" s="258"/>
    </row>
    <row r="53832" spans="1:26" ht="12.75" customHeight="1" x14ac:dyDescent="0.2">
      <c r="A53832" s="258"/>
      <c r="Z53832" s="258"/>
    </row>
    <row r="53833" spans="1:26" ht="12.75" customHeight="1" x14ac:dyDescent="0.2">
      <c r="A53833" s="258"/>
      <c r="Z53833" s="258"/>
    </row>
    <row r="53834" spans="1:26" ht="12.75" customHeight="1" x14ac:dyDescent="0.2">
      <c r="A53834" s="258"/>
      <c r="Z53834" s="258"/>
    </row>
    <row r="53835" spans="1:26" ht="12.75" customHeight="1" x14ac:dyDescent="0.2">
      <c r="A53835" s="258"/>
      <c r="Z53835" s="258"/>
    </row>
    <row r="53836" spans="1:26" ht="12.75" customHeight="1" x14ac:dyDescent="0.2">
      <c r="A53836" s="258"/>
      <c r="Z53836" s="258"/>
    </row>
    <row r="53837" spans="1:26" ht="12.75" customHeight="1" x14ac:dyDescent="0.2">
      <c r="A53837" s="258"/>
      <c r="Z53837" s="258"/>
    </row>
    <row r="53838" spans="1:26" ht="12.75" customHeight="1" x14ac:dyDescent="0.2">
      <c r="A53838" s="258"/>
      <c r="Z53838" s="258"/>
    </row>
    <row r="53839" spans="1:26" ht="12.75" customHeight="1" x14ac:dyDescent="0.2">
      <c r="A53839" s="258"/>
      <c r="Z53839" s="258"/>
    </row>
    <row r="53840" spans="1:26" ht="12.75" customHeight="1" x14ac:dyDescent="0.2">
      <c r="A53840" s="258"/>
      <c r="Z53840" s="258"/>
    </row>
    <row r="53841" spans="1:26" ht="12.75" customHeight="1" x14ac:dyDescent="0.2">
      <c r="A53841" s="258"/>
      <c r="Z53841" s="258"/>
    </row>
    <row r="53842" spans="1:26" ht="12.75" customHeight="1" x14ac:dyDescent="0.2">
      <c r="A53842" s="258"/>
      <c r="Z53842" s="258"/>
    </row>
    <row r="53843" spans="1:26" ht="12.75" customHeight="1" x14ac:dyDescent="0.2">
      <c r="A53843" s="258"/>
      <c r="Z53843" s="258"/>
    </row>
    <row r="53844" spans="1:26" ht="12.75" customHeight="1" x14ac:dyDescent="0.2">
      <c r="A53844" s="258"/>
      <c r="Z53844" s="258"/>
    </row>
    <row r="53845" spans="1:26" ht="12.75" customHeight="1" x14ac:dyDescent="0.2">
      <c r="A53845" s="258"/>
      <c r="Z53845" s="258"/>
    </row>
    <row r="53846" spans="1:26" ht="12.75" customHeight="1" x14ac:dyDescent="0.2">
      <c r="A53846" s="258"/>
      <c r="Z53846" s="258"/>
    </row>
    <row r="53847" spans="1:26" ht="12.75" customHeight="1" x14ac:dyDescent="0.2">
      <c r="A53847" s="258"/>
      <c r="Z53847" s="258"/>
    </row>
    <row r="53848" spans="1:26" ht="12.75" customHeight="1" x14ac:dyDescent="0.2">
      <c r="A53848" s="258"/>
      <c r="Z53848" s="258"/>
    </row>
    <row r="53849" spans="1:26" ht="12.75" customHeight="1" x14ac:dyDescent="0.2">
      <c r="A53849" s="258"/>
      <c r="Z53849" s="258"/>
    </row>
    <row r="53850" spans="1:26" ht="12.75" customHeight="1" x14ac:dyDescent="0.2">
      <c r="A53850" s="258"/>
      <c r="Z53850" s="258"/>
    </row>
    <row r="53851" spans="1:26" ht="12.75" customHeight="1" x14ac:dyDescent="0.2">
      <c r="A53851" s="258"/>
      <c r="Z53851" s="258"/>
    </row>
    <row r="53852" spans="1:26" ht="12.75" customHeight="1" x14ac:dyDescent="0.2">
      <c r="A53852" s="258"/>
      <c r="Z53852" s="258"/>
    </row>
    <row r="53853" spans="1:26" ht="12.75" customHeight="1" x14ac:dyDescent="0.2">
      <c r="A53853" s="258"/>
      <c r="Z53853" s="258"/>
    </row>
    <row r="53854" spans="1:26" ht="12.75" customHeight="1" x14ac:dyDescent="0.2">
      <c r="A53854" s="258"/>
      <c r="Z53854" s="258"/>
    </row>
    <row r="53855" spans="1:26" ht="12.75" customHeight="1" x14ac:dyDescent="0.2">
      <c r="A53855" s="258"/>
      <c r="Z53855" s="258"/>
    </row>
    <row r="53856" spans="1:26" ht="12.75" customHeight="1" x14ac:dyDescent="0.2">
      <c r="A53856" s="258"/>
      <c r="Z53856" s="258"/>
    </row>
    <row r="53857" spans="1:26" ht="12.75" customHeight="1" x14ac:dyDescent="0.2">
      <c r="A53857" s="258"/>
      <c r="Z53857" s="258"/>
    </row>
    <row r="53858" spans="1:26" ht="12.75" customHeight="1" x14ac:dyDescent="0.2">
      <c r="A53858" s="258"/>
      <c r="Z53858" s="258"/>
    </row>
    <row r="53859" spans="1:26" ht="12.75" customHeight="1" x14ac:dyDescent="0.2">
      <c r="A53859" s="258"/>
      <c r="Z53859" s="258"/>
    </row>
    <row r="53860" spans="1:26" ht="12.75" customHeight="1" x14ac:dyDescent="0.2">
      <c r="A53860" s="258"/>
      <c r="Z53860" s="258"/>
    </row>
    <row r="53861" spans="1:26" ht="12.75" customHeight="1" x14ac:dyDescent="0.2">
      <c r="A53861" s="258"/>
      <c r="Z53861" s="258"/>
    </row>
    <row r="53862" spans="1:26" ht="12.75" customHeight="1" x14ac:dyDescent="0.2">
      <c r="A53862" s="258"/>
      <c r="Z53862" s="258"/>
    </row>
    <row r="53863" spans="1:26" ht="12.75" customHeight="1" x14ac:dyDescent="0.2">
      <c r="A53863" s="258"/>
      <c r="Z53863" s="258"/>
    </row>
    <row r="53864" spans="1:26" ht="12.75" customHeight="1" x14ac:dyDescent="0.2">
      <c r="A53864" s="258"/>
      <c r="Z53864" s="258"/>
    </row>
    <row r="53865" spans="1:26" ht="12.75" customHeight="1" x14ac:dyDescent="0.2">
      <c r="A53865" s="258"/>
      <c r="Z53865" s="258"/>
    </row>
    <row r="53866" spans="1:26" ht="12.75" customHeight="1" x14ac:dyDescent="0.2">
      <c r="A53866" s="258"/>
      <c r="Z53866" s="258"/>
    </row>
    <row r="53867" spans="1:26" ht="12.75" customHeight="1" x14ac:dyDescent="0.2">
      <c r="A53867" s="258"/>
      <c r="Z53867" s="258"/>
    </row>
    <row r="53868" spans="1:26" ht="12.75" customHeight="1" x14ac:dyDescent="0.2">
      <c r="A53868" s="258"/>
      <c r="Z53868" s="258"/>
    </row>
    <row r="53869" spans="1:26" ht="12.75" customHeight="1" x14ac:dyDescent="0.2">
      <c r="A53869" s="258"/>
      <c r="Z53869" s="258"/>
    </row>
    <row r="53870" spans="1:26" ht="12.75" customHeight="1" x14ac:dyDescent="0.2">
      <c r="A53870" s="258"/>
      <c r="Z53870" s="258"/>
    </row>
    <row r="53871" spans="1:26" ht="12.75" customHeight="1" x14ac:dyDescent="0.2">
      <c r="A53871" s="258"/>
      <c r="Z53871" s="258"/>
    </row>
    <row r="53872" spans="1:26" ht="12.75" customHeight="1" x14ac:dyDescent="0.2">
      <c r="A53872" s="258"/>
      <c r="Z53872" s="258"/>
    </row>
    <row r="53873" spans="1:26" ht="12.75" customHeight="1" x14ac:dyDescent="0.2">
      <c r="A53873" s="258"/>
      <c r="Z53873" s="258"/>
    </row>
    <row r="53874" spans="1:26" ht="12.75" customHeight="1" x14ac:dyDescent="0.2">
      <c r="A53874" s="258"/>
      <c r="Z53874" s="258"/>
    </row>
    <row r="53875" spans="1:26" ht="12.75" customHeight="1" x14ac:dyDescent="0.2">
      <c r="A53875" s="258"/>
      <c r="Z53875" s="258"/>
    </row>
    <row r="53876" spans="1:26" ht="12.75" customHeight="1" x14ac:dyDescent="0.2">
      <c r="A53876" s="258"/>
      <c r="Z53876" s="258"/>
    </row>
    <row r="53877" spans="1:26" ht="12.75" customHeight="1" x14ac:dyDescent="0.2">
      <c r="A53877" s="258"/>
      <c r="Z53877" s="258"/>
    </row>
    <row r="53878" spans="1:26" ht="12.75" customHeight="1" x14ac:dyDescent="0.2">
      <c r="A53878" s="258"/>
      <c r="Z53878" s="258"/>
    </row>
    <row r="53879" spans="1:26" ht="12.75" customHeight="1" x14ac:dyDescent="0.2">
      <c r="A53879" s="258"/>
      <c r="Z53879" s="258"/>
    </row>
    <row r="53880" spans="1:26" ht="12.75" customHeight="1" x14ac:dyDescent="0.2">
      <c r="A53880" s="258"/>
      <c r="Z53880" s="258"/>
    </row>
    <row r="53881" spans="1:26" ht="12.75" customHeight="1" x14ac:dyDescent="0.2">
      <c r="A53881" s="258"/>
      <c r="Z53881" s="258"/>
    </row>
    <row r="53882" spans="1:26" ht="12.75" customHeight="1" x14ac:dyDescent="0.2">
      <c r="A53882" s="258"/>
      <c r="Z53882" s="258"/>
    </row>
    <row r="53883" spans="1:26" ht="12.75" customHeight="1" x14ac:dyDescent="0.2">
      <c r="A53883" s="258"/>
      <c r="Z53883" s="258"/>
    </row>
    <row r="53884" spans="1:26" ht="12.75" customHeight="1" x14ac:dyDescent="0.2">
      <c r="A53884" s="258"/>
      <c r="Z53884" s="258"/>
    </row>
    <row r="53885" spans="1:26" ht="12.75" customHeight="1" x14ac:dyDescent="0.2">
      <c r="A53885" s="258"/>
      <c r="Z53885" s="258"/>
    </row>
    <row r="53886" spans="1:26" ht="12.75" customHeight="1" x14ac:dyDescent="0.2">
      <c r="A53886" s="258"/>
      <c r="Z53886" s="258"/>
    </row>
    <row r="53887" spans="1:26" ht="12.75" customHeight="1" x14ac:dyDescent="0.2">
      <c r="A53887" s="258"/>
      <c r="Z53887" s="258"/>
    </row>
    <row r="53888" spans="1:26" ht="12.75" customHeight="1" x14ac:dyDescent="0.2">
      <c r="A53888" s="258"/>
      <c r="Z53888" s="258"/>
    </row>
    <row r="53889" spans="1:26" ht="12.75" customHeight="1" x14ac:dyDescent="0.2">
      <c r="A53889" s="258"/>
      <c r="Z53889" s="258"/>
    </row>
    <row r="53890" spans="1:26" ht="12.75" customHeight="1" x14ac:dyDescent="0.2">
      <c r="A53890" s="258"/>
      <c r="Z53890" s="258"/>
    </row>
    <row r="53891" spans="1:26" ht="12.75" customHeight="1" x14ac:dyDescent="0.2">
      <c r="A53891" s="258"/>
      <c r="Z53891" s="258"/>
    </row>
    <row r="53892" spans="1:26" ht="12.75" customHeight="1" x14ac:dyDescent="0.2">
      <c r="A53892" s="258"/>
      <c r="Z53892" s="258"/>
    </row>
    <row r="53893" spans="1:26" ht="12.75" customHeight="1" x14ac:dyDescent="0.2">
      <c r="A53893" s="258"/>
      <c r="Z53893" s="258"/>
    </row>
    <row r="53894" spans="1:26" ht="12.75" customHeight="1" x14ac:dyDescent="0.2">
      <c r="A53894" s="258"/>
      <c r="Z53894" s="258"/>
    </row>
    <row r="53895" spans="1:26" ht="12.75" customHeight="1" x14ac:dyDescent="0.2">
      <c r="A53895" s="258"/>
      <c r="Z53895" s="258"/>
    </row>
    <row r="53896" spans="1:26" ht="12.75" customHeight="1" x14ac:dyDescent="0.2">
      <c r="A53896" s="258"/>
      <c r="Z53896" s="258"/>
    </row>
    <row r="53897" spans="1:26" ht="12.75" customHeight="1" x14ac:dyDescent="0.2">
      <c r="A53897" s="258"/>
      <c r="Z53897" s="258"/>
    </row>
    <row r="53898" spans="1:26" ht="12.75" customHeight="1" x14ac:dyDescent="0.2">
      <c r="A53898" s="258"/>
      <c r="Z53898" s="258"/>
    </row>
    <row r="53899" spans="1:26" ht="12.75" customHeight="1" x14ac:dyDescent="0.2">
      <c r="A53899" s="258"/>
      <c r="Z53899" s="258"/>
    </row>
    <row r="53900" spans="1:26" ht="12.75" customHeight="1" x14ac:dyDescent="0.2">
      <c r="A53900" s="258"/>
      <c r="Z53900" s="258"/>
    </row>
    <row r="53901" spans="1:26" ht="12.75" customHeight="1" x14ac:dyDescent="0.2">
      <c r="A53901" s="258"/>
      <c r="Z53901" s="258"/>
    </row>
    <row r="53902" spans="1:26" ht="12.75" customHeight="1" x14ac:dyDescent="0.2">
      <c r="A53902" s="258"/>
      <c r="Z53902" s="258"/>
    </row>
    <row r="53903" spans="1:26" ht="12.75" customHeight="1" x14ac:dyDescent="0.2">
      <c r="A53903" s="258"/>
      <c r="Z53903" s="258"/>
    </row>
    <row r="53904" spans="1:26" ht="12.75" customHeight="1" x14ac:dyDescent="0.2">
      <c r="A53904" s="258"/>
      <c r="Z53904" s="258"/>
    </row>
    <row r="53905" spans="1:26" ht="12.75" customHeight="1" x14ac:dyDescent="0.2">
      <c r="A53905" s="258"/>
      <c r="Z53905" s="258"/>
    </row>
    <row r="53906" spans="1:26" ht="12.75" customHeight="1" x14ac:dyDescent="0.2">
      <c r="A53906" s="258"/>
      <c r="Z53906" s="258"/>
    </row>
    <row r="53907" spans="1:26" ht="12.75" customHeight="1" x14ac:dyDescent="0.2">
      <c r="A53907" s="258"/>
      <c r="Z53907" s="258"/>
    </row>
    <row r="53908" spans="1:26" ht="12.75" customHeight="1" x14ac:dyDescent="0.2">
      <c r="A53908" s="258"/>
      <c r="Z53908" s="258"/>
    </row>
    <row r="53909" spans="1:26" ht="12.75" customHeight="1" x14ac:dyDescent="0.2">
      <c r="A53909" s="258"/>
      <c r="Z53909" s="258"/>
    </row>
    <row r="53910" spans="1:26" ht="12.75" customHeight="1" x14ac:dyDescent="0.2">
      <c r="A53910" s="258"/>
      <c r="Z53910" s="258"/>
    </row>
    <row r="53911" spans="1:26" ht="12.75" customHeight="1" x14ac:dyDescent="0.2">
      <c r="A53911" s="258"/>
      <c r="Z53911" s="258"/>
    </row>
    <row r="53912" spans="1:26" ht="12.75" customHeight="1" x14ac:dyDescent="0.2">
      <c r="A53912" s="258"/>
      <c r="Z53912" s="258"/>
    </row>
    <row r="53913" spans="1:26" ht="12.75" customHeight="1" x14ac:dyDescent="0.2">
      <c r="A53913" s="258"/>
      <c r="Z53913" s="258"/>
    </row>
    <row r="53914" spans="1:26" ht="12.75" customHeight="1" x14ac:dyDescent="0.2">
      <c r="A53914" s="258"/>
      <c r="Z53914" s="258"/>
    </row>
    <row r="53915" spans="1:26" ht="12.75" customHeight="1" x14ac:dyDescent="0.2">
      <c r="A53915" s="258"/>
      <c r="Z53915" s="258"/>
    </row>
    <row r="53916" spans="1:26" ht="12.75" customHeight="1" x14ac:dyDescent="0.2">
      <c r="A53916" s="258"/>
      <c r="Z53916" s="258"/>
    </row>
    <row r="53917" spans="1:26" ht="12.75" customHeight="1" x14ac:dyDescent="0.2">
      <c r="A53917" s="258"/>
      <c r="Z53917" s="258"/>
    </row>
    <row r="53918" spans="1:26" ht="12.75" customHeight="1" x14ac:dyDescent="0.2">
      <c r="A53918" s="258"/>
      <c r="Z53918" s="258"/>
    </row>
    <row r="53919" spans="1:26" ht="12.75" customHeight="1" x14ac:dyDescent="0.2">
      <c r="A53919" s="258"/>
      <c r="Z53919" s="258"/>
    </row>
    <row r="53920" spans="1:26" ht="12.75" customHeight="1" x14ac:dyDescent="0.2">
      <c r="A53920" s="258"/>
      <c r="Z53920" s="258"/>
    </row>
    <row r="53921" spans="1:26" ht="12.75" customHeight="1" x14ac:dyDescent="0.2">
      <c r="A53921" s="258"/>
      <c r="Z53921" s="258"/>
    </row>
    <row r="53922" spans="1:26" ht="12.75" customHeight="1" x14ac:dyDescent="0.2">
      <c r="A53922" s="258"/>
      <c r="Z53922" s="258"/>
    </row>
    <row r="53923" spans="1:26" ht="12.75" customHeight="1" x14ac:dyDescent="0.2">
      <c r="A53923" s="258"/>
      <c r="Z53923" s="258"/>
    </row>
    <row r="53924" spans="1:26" ht="12.75" customHeight="1" x14ac:dyDescent="0.2">
      <c r="A53924" s="258"/>
      <c r="Z53924" s="258"/>
    </row>
    <row r="53925" spans="1:26" ht="12.75" customHeight="1" x14ac:dyDescent="0.2">
      <c r="A53925" s="258"/>
      <c r="Z53925" s="258"/>
    </row>
    <row r="53926" spans="1:26" ht="12.75" customHeight="1" x14ac:dyDescent="0.2">
      <c r="A53926" s="258"/>
      <c r="Z53926" s="258"/>
    </row>
    <row r="53927" spans="1:26" ht="12.75" customHeight="1" x14ac:dyDescent="0.2">
      <c r="A53927" s="258"/>
      <c r="Z53927" s="258"/>
    </row>
    <row r="53928" spans="1:26" ht="12.75" customHeight="1" x14ac:dyDescent="0.2">
      <c r="A53928" s="258"/>
      <c r="Z53928" s="258"/>
    </row>
    <row r="53929" spans="1:26" ht="12.75" customHeight="1" x14ac:dyDescent="0.2">
      <c r="A53929" s="258"/>
      <c r="Z53929" s="258"/>
    </row>
    <row r="53930" spans="1:26" ht="12.75" customHeight="1" x14ac:dyDescent="0.2">
      <c r="A53930" s="258"/>
      <c r="Z53930" s="258"/>
    </row>
    <row r="53931" spans="1:26" ht="12.75" customHeight="1" x14ac:dyDescent="0.2">
      <c r="A53931" s="258"/>
      <c r="Z53931" s="258"/>
    </row>
    <row r="53932" spans="1:26" ht="12.75" customHeight="1" x14ac:dyDescent="0.2">
      <c r="A53932" s="258"/>
      <c r="Z53932" s="258"/>
    </row>
    <row r="53933" spans="1:26" ht="12.75" customHeight="1" x14ac:dyDescent="0.2">
      <c r="A53933" s="258"/>
      <c r="Z53933" s="258"/>
    </row>
    <row r="53934" spans="1:26" ht="12.75" customHeight="1" x14ac:dyDescent="0.2">
      <c r="A53934" s="258"/>
      <c r="Z53934" s="258"/>
    </row>
    <row r="53935" spans="1:26" ht="12.75" customHeight="1" x14ac:dyDescent="0.2">
      <c r="A53935" s="258"/>
      <c r="Z53935" s="258"/>
    </row>
    <row r="53936" spans="1:26" ht="12.75" customHeight="1" x14ac:dyDescent="0.2">
      <c r="A53936" s="258"/>
      <c r="Z53936" s="258"/>
    </row>
    <row r="53937" spans="1:26" ht="12.75" customHeight="1" x14ac:dyDescent="0.2">
      <c r="A53937" s="258"/>
      <c r="Z53937" s="258"/>
    </row>
    <row r="53938" spans="1:26" ht="12.75" customHeight="1" x14ac:dyDescent="0.2">
      <c r="A53938" s="258"/>
      <c r="Z53938" s="258"/>
    </row>
    <row r="53939" spans="1:26" ht="12.75" customHeight="1" x14ac:dyDescent="0.2">
      <c r="A53939" s="258"/>
      <c r="Z53939" s="258"/>
    </row>
    <row r="53940" spans="1:26" ht="12.75" customHeight="1" x14ac:dyDescent="0.2">
      <c r="A53940" s="258"/>
      <c r="Z53940" s="258"/>
    </row>
    <row r="53941" spans="1:26" ht="12.75" customHeight="1" x14ac:dyDescent="0.2">
      <c r="A53941" s="258"/>
      <c r="Z53941" s="258"/>
    </row>
    <row r="53942" spans="1:26" ht="12.75" customHeight="1" x14ac:dyDescent="0.2">
      <c r="A53942" s="258"/>
      <c r="Z53942" s="258"/>
    </row>
    <row r="53943" spans="1:26" ht="12.75" customHeight="1" x14ac:dyDescent="0.2">
      <c r="A53943" s="258"/>
      <c r="Z53943" s="258"/>
    </row>
    <row r="53944" spans="1:26" ht="12.75" customHeight="1" x14ac:dyDescent="0.2">
      <c r="A53944" s="258"/>
      <c r="Z53944" s="258"/>
    </row>
    <row r="53945" spans="1:26" ht="12.75" customHeight="1" x14ac:dyDescent="0.2">
      <c r="A53945" s="258"/>
      <c r="Z53945" s="258"/>
    </row>
    <row r="53946" spans="1:26" ht="12.75" customHeight="1" x14ac:dyDescent="0.2">
      <c r="A53946" s="258"/>
      <c r="Z53946" s="258"/>
    </row>
    <row r="53947" spans="1:26" ht="12.75" customHeight="1" x14ac:dyDescent="0.2">
      <c r="A53947" s="258"/>
      <c r="Z53947" s="258"/>
    </row>
    <row r="53948" spans="1:26" ht="12.75" customHeight="1" x14ac:dyDescent="0.2">
      <c r="A53948" s="258"/>
      <c r="Z53948" s="258"/>
    </row>
    <row r="53949" spans="1:26" ht="12.75" customHeight="1" x14ac:dyDescent="0.2">
      <c r="A53949" s="258"/>
      <c r="Z53949" s="258"/>
    </row>
    <row r="53950" spans="1:26" ht="12.75" customHeight="1" x14ac:dyDescent="0.2">
      <c r="A53950" s="258"/>
      <c r="Z53950" s="258"/>
    </row>
    <row r="53951" spans="1:26" ht="12.75" customHeight="1" x14ac:dyDescent="0.2">
      <c r="A53951" s="258"/>
      <c r="Z53951" s="258"/>
    </row>
    <row r="53952" spans="1:26" ht="12.75" customHeight="1" x14ac:dyDescent="0.2">
      <c r="A53952" s="258"/>
      <c r="Z53952" s="258"/>
    </row>
    <row r="53953" spans="1:26" ht="12.75" customHeight="1" x14ac:dyDescent="0.2">
      <c r="A53953" s="258"/>
      <c r="Z53953" s="258"/>
    </row>
    <row r="53954" spans="1:26" ht="12.75" customHeight="1" x14ac:dyDescent="0.2">
      <c r="A53954" s="258"/>
      <c r="Z53954" s="258"/>
    </row>
    <row r="53955" spans="1:26" ht="12.75" customHeight="1" x14ac:dyDescent="0.2">
      <c r="A53955" s="258"/>
      <c r="Z53955" s="258"/>
    </row>
    <row r="53956" spans="1:26" ht="12.75" customHeight="1" x14ac:dyDescent="0.2">
      <c r="A53956" s="258"/>
      <c r="Z53956" s="258"/>
    </row>
    <row r="53957" spans="1:26" ht="12.75" customHeight="1" x14ac:dyDescent="0.2">
      <c r="A53957" s="258"/>
      <c r="Z53957" s="258"/>
    </row>
    <row r="53958" spans="1:26" ht="12.75" customHeight="1" x14ac:dyDescent="0.2">
      <c r="A53958" s="258"/>
      <c r="Z53958" s="258"/>
    </row>
    <row r="53959" spans="1:26" ht="12.75" customHeight="1" x14ac:dyDescent="0.2">
      <c r="A53959" s="258"/>
      <c r="Z53959" s="258"/>
    </row>
    <row r="53960" spans="1:26" ht="12.75" customHeight="1" x14ac:dyDescent="0.2">
      <c r="A53960" s="258"/>
      <c r="Z53960" s="258"/>
    </row>
    <row r="53961" spans="1:26" ht="12.75" customHeight="1" x14ac:dyDescent="0.2">
      <c r="A53961" s="258"/>
      <c r="Z53961" s="258"/>
    </row>
    <row r="53962" spans="1:26" ht="12.75" customHeight="1" x14ac:dyDescent="0.2">
      <c r="A53962" s="258"/>
      <c r="Z53962" s="258"/>
    </row>
    <row r="53963" spans="1:26" ht="12.75" customHeight="1" x14ac:dyDescent="0.2">
      <c r="A53963" s="258"/>
      <c r="Z53963" s="258"/>
    </row>
    <row r="53964" spans="1:26" ht="12.75" customHeight="1" x14ac:dyDescent="0.2">
      <c r="A53964" s="258"/>
      <c r="Z53964" s="258"/>
    </row>
    <row r="53965" spans="1:26" ht="12.75" customHeight="1" x14ac:dyDescent="0.2">
      <c r="A53965" s="258"/>
      <c r="Z53965" s="258"/>
    </row>
    <row r="53966" spans="1:26" ht="12.75" customHeight="1" x14ac:dyDescent="0.2">
      <c r="A53966" s="258"/>
      <c r="Z53966" s="258"/>
    </row>
    <row r="53967" spans="1:26" ht="12.75" customHeight="1" x14ac:dyDescent="0.2">
      <c r="A53967" s="258"/>
      <c r="Z53967" s="258"/>
    </row>
    <row r="53968" spans="1:26" ht="12.75" customHeight="1" x14ac:dyDescent="0.2">
      <c r="A53968" s="258"/>
      <c r="Z53968" s="258"/>
    </row>
    <row r="53969" spans="1:26" ht="12.75" customHeight="1" x14ac:dyDescent="0.2">
      <c r="A53969" s="258"/>
      <c r="Z53969" s="258"/>
    </row>
    <row r="53970" spans="1:26" ht="12.75" customHeight="1" x14ac:dyDescent="0.2">
      <c r="A53970" s="258"/>
      <c r="Z53970" s="258"/>
    </row>
    <row r="53971" spans="1:26" ht="12.75" customHeight="1" x14ac:dyDescent="0.2">
      <c r="A53971" s="258"/>
      <c r="Z53971" s="258"/>
    </row>
    <row r="53972" spans="1:26" ht="12.75" customHeight="1" x14ac:dyDescent="0.2">
      <c r="A53972" s="258"/>
      <c r="Z53972" s="258"/>
    </row>
    <row r="53973" spans="1:26" ht="12.75" customHeight="1" x14ac:dyDescent="0.2">
      <c r="A53973" s="258"/>
      <c r="Z53973" s="258"/>
    </row>
    <row r="53974" spans="1:26" ht="12.75" customHeight="1" x14ac:dyDescent="0.2">
      <c r="A53974" s="258"/>
      <c r="Z53974" s="258"/>
    </row>
    <row r="53975" spans="1:26" ht="12.75" customHeight="1" x14ac:dyDescent="0.2">
      <c r="A53975" s="258"/>
      <c r="Z53975" s="258"/>
    </row>
    <row r="53976" spans="1:26" ht="12.75" customHeight="1" x14ac:dyDescent="0.2">
      <c r="A53976" s="258"/>
      <c r="Z53976" s="258"/>
    </row>
    <row r="53977" spans="1:26" ht="12.75" customHeight="1" x14ac:dyDescent="0.2">
      <c r="A53977" s="258"/>
      <c r="Z53977" s="258"/>
    </row>
    <row r="53978" spans="1:26" ht="12.75" customHeight="1" x14ac:dyDescent="0.2">
      <c r="A53978" s="258"/>
      <c r="Z53978" s="258"/>
    </row>
    <row r="53979" spans="1:26" ht="12.75" customHeight="1" x14ac:dyDescent="0.2">
      <c r="A53979" s="258"/>
      <c r="Z53979" s="258"/>
    </row>
    <row r="53980" spans="1:26" ht="12.75" customHeight="1" x14ac:dyDescent="0.2">
      <c r="A53980" s="258"/>
      <c r="Z53980" s="258"/>
    </row>
    <row r="53981" spans="1:26" ht="12.75" customHeight="1" x14ac:dyDescent="0.2">
      <c r="A53981" s="258"/>
      <c r="Z53981" s="258"/>
    </row>
    <row r="53982" spans="1:26" ht="12.75" customHeight="1" x14ac:dyDescent="0.2">
      <c r="A53982" s="258"/>
      <c r="Z53982" s="258"/>
    </row>
    <row r="53983" spans="1:26" ht="12.75" customHeight="1" x14ac:dyDescent="0.2">
      <c r="A53983" s="258"/>
      <c r="Z53983" s="258"/>
    </row>
    <row r="53984" spans="1:26" ht="12.75" customHeight="1" x14ac:dyDescent="0.2">
      <c r="A53984" s="258"/>
      <c r="Z53984" s="258"/>
    </row>
    <row r="53985" spans="1:26" ht="12.75" customHeight="1" x14ac:dyDescent="0.2">
      <c r="A53985" s="258"/>
      <c r="Z53985" s="258"/>
    </row>
    <row r="53986" spans="1:26" ht="12.75" customHeight="1" x14ac:dyDescent="0.2">
      <c r="A53986" s="258"/>
      <c r="Z53986" s="258"/>
    </row>
    <row r="53987" spans="1:26" ht="12.75" customHeight="1" x14ac:dyDescent="0.2">
      <c r="A53987" s="258"/>
      <c r="Z53987" s="258"/>
    </row>
    <row r="53988" spans="1:26" ht="12.75" customHeight="1" x14ac:dyDescent="0.2">
      <c r="A53988" s="258"/>
      <c r="Z53988" s="258"/>
    </row>
    <row r="53989" spans="1:26" ht="12.75" customHeight="1" x14ac:dyDescent="0.2">
      <c r="A53989" s="258"/>
      <c r="Z53989" s="258"/>
    </row>
    <row r="53990" spans="1:26" ht="12.75" customHeight="1" x14ac:dyDescent="0.2">
      <c r="A53990" s="258"/>
      <c r="Z53990" s="258"/>
    </row>
    <row r="53991" spans="1:26" ht="12.75" customHeight="1" x14ac:dyDescent="0.2">
      <c r="A53991" s="258"/>
      <c r="Z53991" s="258"/>
    </row>
    <row r="53992" spans="1:26" ht="12.75" customHeight="1" x14ac:dyDescent="0.2">
      <c r="A53992" s="258"/>
      <c r="Z53992" s="258"/>
    </row>
    <row r="53993" spans="1:26" ht="12.75" customHeight="1" x14ac:dyDescent="0.2">
      <c r="A53993" s="258"/>
      <c r="Z53993" s="258"/>
    </row>
    <row r="53994" spans="1:26" ht="12.75" customHeight="1" x14ac:dyDescent="0.2">
      <c r="A53994" s="258"/>
      <c r="Z53994" s="258"/>
    </row>
    <row r="53995" spans="1:26" ht="12.75" customHeight="1" x14ac:dyDescent="0.2">
      <c r="A53995" s="258"/>
      <c r="Z53995" s="258"/>
    </row>
    <row r="53996" spans="1:26" ht="12.75" customHeight="1" x14ac:dyDescent="0.2">
      <c r="A53996" s="258"/>
      <c r="Z53996" s="258"/>
    </row>
    <row r="53997" spans="1:26" ht="12.75" customHeight="1" x14ac:dyDescent="0.2">
      <c r="A53997" s="258"/>
      <c r="Z53997" s="258"/>
    </row>
    <row r="53998" spans="1:26" ht="12.75" customHeight="1" x14ac:dyDescent="0.2">
      <c r="A53998" s="258"/>
      <c r="Z53998" s="258"/>
    </row>
    <row r="53999" spans="1:26" ht="12.75" customHeight="1" x14ac:dyDescent="0.2">
      <c r="A53999" s="258"/>
      <c r="Z53999" s="258"/>
    </row>
    <row r="54000" spans="1:26" ht="12.75" customHeight="1" x14ac:dyDescent="0.2">
      <c r="A54000" s="258"/>
      <c r="Z54000" s="258"/>
    </row>
    <row r="54001" spans="1:26" ht="12.75" customHeight="1" x14ac:dyDescent="0.2">
      <c r="A54001" s="258"/>
      <c r="Z54001" s="258"/>
    </row>
    <row r="54002" spans="1:26" ht="12.75" customHeight="1" x14ac:dyDescent="0.2">
      <c r="A54002" s="258"/>
      <c r="Z54002" s="258"/>
    </row>
    <row r="54003" spans="1:26" ht="12.75" customHeight="1" x14ac:dyDescent="0.2">
      <c r="A54003" s="258"/>
      <c r="Z54003" s="258"/>
    </row>
    <row r="54004" spans="1:26" ht="12.75" customHeight="1" x14ac:dyDescent="0.2">
      <c r="A54004" s="258"/>
      <c r="Z54004" s="258"/>
    </row>
    <row r="54005" spans="1:26" ht="12.75" customHeight="1" x14ac:dyDescent="0.2">
      <c r="A54005" s="258"/>
      <c r="Z54005" s="258"/>
    </row>
    <row r="54006" spans="1:26" ht="12.75" customHeight="1" x14ac:dyDescent="0.2">
      <c r="A54006" s="258"/>
      <c r="Z54006" s="258"/>
    </row>
    <row r="54007" spans="1:26" ht="12.75" customHeight="1" x14ac:dyDescent="0.2">
      <c r="A54007" s="258"/>
      <c r="Z54007" s="258"/>
    </row>
    <row r="54008" spans="1:26" ht="12.75" customHeight="1" x14ac:dyDescent="0.2">
      <c r="A54008" s="258"/>
      <c r="Z54008" s="258"/>
    </row>
    <row r="54009" spans="1:26" ht="12.75" customHeight="1" x14ac:dyDescent="0.2">
      <c r="A54009" s="258"/>
      <c r="Z54009" s="258"/>
    </row>
    <row r="54010" spans="1:26" ht="12.75" customHeight="1" x14ac:dyDescent="0.2">
      <c r="A54010" s="258"/>
      <c r="Z54010" s="258"/>
    </row>
    <row r="54011" spans="1:26" ht="12.75" customHeight="1" x14ac:dyDescent="0.2">
      <c r="A54011" s="258"/>
      <c r="Z54011" s="258"/>
    </row>
    <row r="54012" spans="1:26" ht="12.75" customHeight="1" x14ac:dyDescent="0.2">
      <c r="A54012" s="258"/>
      <c r="Z54012" s="258"/>
    </row>
    <row r="54013" spans="1:26" ht="12.75" customHeight="1" x14ac:dyDescent="0.2">
      <c r="A54013" s="258"/>
      <c r="Z54013" s="258"/>
    </row>
    <row r="54014" spans="1:26" ht="12.75" customHeight="1" x14ac:dyDescent="0.2">
      <c r="A54014" s="258"/>
      <c r="Z54014" s="258"/>
    </row>
    <row r="54015" spans="1:26" ht="12.75" customHeight="1" x14ac:dyDescent="0.2">
      <c r="A54015" s="258"/>
      <c r="Z54015" s="258"/>
    </row>
    <row r="54016" spans="1:26" ht="12.75" customHeight="1" x14ac:dyDescent="0.2">
      <c r="A54016" s="258"/>
      <c r="Z54016" s="258"/>
    </row>
    <row r="54017" spans="1:26" ht="12.75" customHeight="1" x14ac:dyDescent="0.2">
      <c r="A54017" s="258"/>
      <c r="Z54017" s="258"/>
    </row>
    <row r="54018" spans="1:26" ht="12.75" customHeight="1" x14ac:dyDescent="0.2">
      <c r="A54018" s="258"/>
      <c r="Z54018" s="258"/>
    </row>
    <row r="54019" spans="1:26" ht="12.75" customHeight="1" x14ac:dyDescent="0.2">
      <c r="A54019" s="258"/>
      <c r="Z54019" s="258"/>
    </row>
    <row r="54020" spans="1:26" ht="12.75" customHeight="1" x14ac:dyDescent="0.2">
      <c r="A54020" s="258"/>
      <c r="Z54020" s="258"/>
    </row>
    <row r="54021" spans="1:26" ht="12.75" customHeight="1" x14ac:dyDescent="0.2">
      <c r="A54021" s="258"/>
      <c r="Z54021" s="258"/>
    </row>
    <row r="54022" spans="1:26" ht="12.75" customHeight="1" x14ac:dyDescent="0.2">
      <c r="A54022" s="258"/>
      <c r="Z54022" s="258"/>
    </row>
    <row r="54023" spans="1:26" ht="12.75" customHeight="1" x14ac:dyDescent="0.2">
      <c r="A54023" s="258"/>
      <c r="Z54023" s="258"/>
    </row>
    <row r="54024" spans="1:26" ht="12.75" customHeight="1" x14ac:dyDescent="0.2">
      <c r="A54024" s="258"/>
      <c r="Z54024" s="258"/>
    </row>
    <row r="54025" spans="1:26" ht="12.75" customHeight="1" x14ac:dyDescent="0.2">
      <c r="A54025" s="258"/>
      <c r="Z54025" s="258"/>
    </row>
    <row r="54026" spans="1:26" ht="12.75" customHeight="1" x14ac:dyDescent="0.2">
      <c r="A54026" s="258"/>
      <c r="Z54026" s="258"/>
    </row>
    <row r="54027" spans="1:26" ht="12.75" customHeight="1" x14ac:dyDescent="0.2">
      <c r="A54027" s="258"/>
      <c r="Z54027" s="258"/>
    </row>
    <row r="54028" spans="1:26" ht="12.75" customHeight="1" x14ac:dyDescent="0.2">
      <c r="A54028" s="258"/>
      <c r="Z54028" s="258"/>
    </row>
    <row r="54029" spans="1:26" ht="12.75" customHeight="1" x14ac:dyDescent="0.2">
      <c r="A54029" s="258"/>
      <c r="Z54029" s="258"/>
    </row>
    <row r="54030" spans="1:26" ht="12.75" customHeight="1" x14ac:dyDescent="0.2">
      <c r="A54030" s="258"/>
      <c r="Z54030" s="258"/>
    </row>
    <row r="54031" spans="1:26" ht="12.75" customHeight="1" x14ac:dyDescent="0.2">
      <c r="A54031" s="258"/>
      <c r="Z54031" s="258"/>
    </row>
    <row r="54032" spans="1:26" ht="12.75" customHeight="1" x14ac:dyDescent="0.2">
      <c r="A54032" s="258"/>
      <c r="Z54032" s="258"/>
    </row>
    <row r="54033" spans="1:26" ht="12.75" customHeight="1" x14ac:dyDescent="0.2">
      <c r="A54033" s="258"/>
      <c r="Z54033" s="258"/>
    </row>
    <row r="54034" spans="1:26" ht="12.75" customHeight="1" x14ac:dyDescent="0.2">
      <c r="A54034" s="258"/>
      <c r="Z54034" s="258"/>
    </row>
    <row r="54035" spans="1:26" ht="12.75" customHeight="1" x14ac:dyDescent="0.2">
      <c r="A54035" s="258"/>
      <c r="Z54035" s="258"/>
    </row>
    <row r="54036" spans="1:26" ht="12.75" customHeight="1" x14ac:dyDescent="0.2">
      <c r="A54036" s="258"/>
      <c r="Z54036" s="258"/>
    </row>
    <row r="54037" spans="1:26" ht="12.75" customHeight="1" x14ac:dyDescent="0.2">
      <c r="A54037" s="258"/>
      <c r="Z54037" s="258"/>
    </row>
    <row r="54038" spans="1:26" ht="12.75" customHeight="1" x14ac:dyDescent="0.2">
      <c r="A54038" s="258"/>
      <c r="Z54038" s="258"/>
    </row>
    <row r="54039" spans="1:26" ht="12.75" customHeight="1" x14ac:dyDescent="0.2">
      <c r="A54039" s="258"/>
      <c r="Z54039" s="258"/>
    </row>
    <row r="54040" spans="1:26" ht="12.75" customHeight="1" x14ac:dyDescent="0.2">
      <c r="A54040" s="258"/>
      <c r="Z54040" s="258"/>
    </row>
    <row r="54041" spans="1:26" ht="12.75" customHeight="1" x14ac:dyDescent="0.2">
      <c r="A54041" s="258"/>
      <c r="Z54041" s="258"/>
    </row>
    <row r="54042" spans="1:26" ht="12.75" customHeight="1" x14ac:dyDescent="0.2">
      <c r="A54042" s="258"/>
      <c r="Z54042" s="258"/>
    </row>
    <row r="54043" spans="1:26" ht="12.75" customHeight="1" x14ac:dyDescent="0.2">
      <c r="A54043" s="258"/>
      <c r="Z54043" s="258"/>
    </row>
    <row r="54044" spans="1:26" ht="12.75" customHeight="1" x14ac:dyDescent="0.2">
      <c r="A54044" s="258"/>
      <c r="Z54044" s="258"/>
    </row>
    <row r="54045" spans="1:26" ht="12.75" customHeight="1" x14ac:dyDescent="0.2">
      <c r="A54045" s="258"/>
      <c r="Z54045" s="258"/>
    </row>
    <row r="54046" spans="1:26" ht="12.75" customHeight="1" x14ac:dyDescent="0.2">
      <c r="A54046" s="258"/>
      <c r="Z54046" s="258"/>
    </row>
    <row r="54047" spans="1:26" ht="12.75" customHeight="1" x14ac:dyDescent="0.2">
      <c r="A54047" s="258"/>
      <c r="Z54047" s="258"/>
    </row>
    <row r="54048" spans="1:26" ht="12.75" customHeight="1" x14ac:dyDescent="0.2">
      <c r="A54048" s="258"/>
      <c r="Z54048" s="258"/>
    </row>
    <row r="54049" spans="1:26" ht="12.75" customHeight="1" x14ac:dyDescent="0.2">
      <c r="A54049" s="258"/>
      <c r="Z54049" s="258"/>
    </row>
    <row r="54050" spans="1:26" ht="12.75" customHeight="1" x14ac:dyDescent="0.2">
      <c r="A54050" s="258"/>
      <c r="Z54050" s="258"/>
    </row>
    <row r="54051" spans="1:26" ht="12.75" customHeight="1" x14ac:dyDescent="0.2">
      <c r="A54051" s="258"/>
      <c r="Z54051" s="258"/>
    </row>
    <row r="54052" spans="1:26" ht="12.75" customHeight="1" x14ac:dyDescent="0.2">
      <c r="A54052" s="258"/>
      <c r="Z54052" s="258"/>
    </row>
    <row r="54053" spans="1:26" ht="12.75" customHeight="1" x14ac:dyDescent="0.2">
      <c r="A54053" s="258"/>
      <c r="Z54053" s="258"/>
    </row>
    <row r="54054" spans="1:26" ht="12.75" customHeight="1" x14ac:dyDescent="0.2">
      <c r="A54054" s="258"/>
      <c r="Z54054" s="258"/>
    </row>
    <row r="54055" spans="1:26" ht="12.75" customHeight="1" x14ac:dyDescent="0.2">
      <c r="A54055" s="258"/>
      <c r="Z54055" s="258"/>
    </row>
    <row r="54056" spans="1:26" ht="12.75" customHeight="1" x14ac:dyDescent="0.2">
      <c r="A54056" s="258"/>
      <c r="Z54056" s="258"/>
    </row>
    <row r="54057" spans="1:26" ht="12.75" customHeight="1" x14ac:dyDescent="0.2">
      <c r="A54057" s="258"/>
      <c r="Z54057" s="258"/>
    </row>
    <row r="54058" spans="1:26" ht="12.75" customHeight="1" x14ac:dyDescent="0.2">
      <c r="A54058" s="258"/>
      <c r="Z54058" s="258"/>
    </row>
    <row r="54059" spans="1:26" ht="12.75" customHeight="1" x14ac:dyDescent="0.2">
      <c r="A54059" s="258"/>
      <c r="Z54059" s="258"/>
    </row>
    <row r="54060" spans="1:26" ht="12.75" customHeight="1" x14ac:dyDescent="0.2">
      <c r="A54060" s="258"/>
      <c r="Z54060" s="258"/>
    </row>
    <row r="54061" spans="1:26" ht="12.75" customHeight="1" x14ac:dyDescent="0.2">
      <c r="A54061" s="258"/>
      <c r="Z54061" s="258"/>
    </row>
    <row r="54062" spans="1:26" ht="12.75" customHeight="1" x14ac:dyDescent="0.2">
      <c r="A54062" s="258"/>
      <c r="Z54062" s="258"/>
    </row>
    <row r="54063" spans="1:26" ht="12.75" customHeight="1" x14ac:dyDescent="0.2">
      <c r="A54063" s="258"/>
      <c r="Z54063" s="258"/>
    </row>
    <row r="54064" spans="1:26" ht="12.75" customHeight="1" x14ac:dyDescent="0.2">
      <c r="A54064" s="258"/>
      <c r="Z54064" s="258"/>
    </row>
    <row r="54065" spans="1:26" ht="12.75" customHeight="1" x14ac:dyDescent="0.2">
      <c r="A54065" s="258"/>
      <c r="Z54065" s="258"/>
    </row>
    <row r="54066" spans="1:26" ht="12.75" customHeight="1" x14ac:dyDescent="0.2">
      <c r="A54066" s="258"/>
      <c r="Z54066" s="258"/>
    </row>
    <row r="54067" spans="1:26" ht="12.75" customHeight="1" x14ac:dyDescent="0.2">
      <c r="A54067" s="258"/>
      <c r="Z54067" s="258"/>
    </row>
    <row r="54068" spans="1:26" ht="12.75" customHeight="1" x14ac:dyDescent="0.2">
      <c r="A54068" s="258"/>
      <c r="Z54068" s="258"/>
    </row>
    <row r="54069" spans="1:26" ht="12.75" customHeight="1" x14ac:dyDescent="0.2">
      <c r="A54069" s="258"/>
      <c r="Z54069" s="258"/>
    </row>
    <row r="54070" spans="1:26" ht="12.75" customHeight="1" x14ac:dyDescent="0.2">
      <c r="A54070" s="258"/>
      <c r="Z54070" s="258"/>
    </row>
    <row r="54071" spans="1:26" ht="12.75" customHeight="1" x14ac:dyDescent="0.2">
      <c r="A54071" s="258"/>
      <c r="Z54071" s="258"/>
    </row>
    <row r="54072" spans="1:26" ht="12.75" customHeight="1" x14ac:dyDescent="0.2">
      <c r="A54072" s="258"/>
      <c r="Z54072" s="258"/>
    </row>
    <row r="54073" spans="1:26" ht="12.75" customHeight="1" x14ac:dyDescent="0.2">
      <c r="A54073" s="258"/>
      <c r="Z54073" s="258"/>
    </row>
    <row r="54074" spans="1:26" ht="12.75" customHeight="1" x14ac:dyDescent="0.2">
      <c r="A54074" s="258"/>
      <c r="Z54074" s="258"/>
    </row>
    <row r="54075" spans="1:26" ht="12.75" customHeight="1" x14ac:dyDescent="0.2">
      <c r="A54075" s="258"/>
      <c r="Z54075" s="258"/>
    </row>
    <row r="54076" spans="1:26" ht="12.75" customHeight="1" x14ac:dyDescent="0.2">
      <c r="A54076" s="258"/>
      <c r="Z54076" s="258"/>
    </row>
    <row r="54077" spans="1:26" ht="12.75" customHeight="1" x14ac:dyDescent="0.2">
      <c r="A54077" s="258"/>
      <c r="Z54077" s="258"/>
    </row>
    <row r="54078" spans="1:26" ht="12.75" customHeight="1" x14ac:dyDescent="0.2">
      <c r="A54078" s="258"/>
      <c r="Z54078" s="258"/>
    </row>
    <row r="54079" spans="1:26" ht="12.75" customHeight="1" x14ac:dyDescent="0.2">
      <c r="A54079" s="258"/>
      <c r="Z54079" s="258"/>
    </row>
    <row r="54080" spans="1:26" ht="12.75" customHeight="1" x14ac:dyDescent="0.2">
      <c r="A54080" s="258"/>
      <c r="Z54080" s="258"/>
    </row>
    <row r="54081" spans="1:26" ht="12.75" customHeight="1" x14ac:dyDescent="0.2">
      <c r="A54081" s="258"/>
      <c r="Z54081" s="258"/>
    </row>
    <row r="54082" spans="1:26" ht="12.75" customHeight="1" x14ac:dyDescent="0.2">
      <c r="A54082" s="258"/>
      <c r="Z54082" s="258"/>
    </row>
    <row r="54083" spans="1:26" ht="12.75" customHeight="1" x14ac:dyDescent="0.2">
      <c r="A54083" s="258"/>
      <c r="Z54083" s="258"/>
    </row>
    <row r="54084" spans="1:26" ht="12.75" customHeight="1" x14ac:dyDescent="0.2">
      <c r="A54084" s="258"/>
      <c r="Z54084" s="258"/>
    </row>
    <row r="54085" spans="1:26" ht="12.75" customHeight="1" x14ac:dyDescent="0.2">
      <c r="A54085" s="258"/>
      <c r="Z54085" s="258"/>
    </row>
    <row r="54086" spans="1:26" ht="12.75" customHeight="1" x14ac:dyDescent="0.2">
      <c r="A54086" s="258"/>
      <c r="Z54086" s="258"/>
    </row>
    <row r="54087" spans="1:26" ht="12.75" customHeight="1" x14ac:dyDescent="0.2">
      <c r="A54087" s="258"/>
      <c r="Z54087" s="258"/>
    </row>
    <row r="54088" spans="1:26" ht="12.75" customHeight="1" x14ac:dyDescent="0.2">
      <c r="A54088" s="258"/>
      <c r="Z54088" s="258"/>
    </row>
    <row r="54089" spans="1:26" ht="12.75" customHeight="1" x14ac:dyDescent="0.2">
      <c r="A54089" s="258"/>
      <c r="Z54089" s="258"/>
    </row>
    <row r="54090" spans="1:26" ht="12.75" customHeight="1" x14ac:dyDescent="0.2">
      <c r="A54090" s="258"/>
      <c r="Z54090" s="258"/>
    </row>
    <row r="54091" spans="1:26" ht="12.75" customHeight="1" x14ac:dyDescent="0.2">
      <c r="A54091" s="258"/>
      <c r="Z54091" s="258"/>
    </row>
    <row r="54092" spans="1:26" ht="12.75" customHeight="1" x14ac:dyDescent="0.2">
      <c r="A54092" s="258"/>
      <c r="Z54092" s="258"/>
    </row>
    <row r="54093" spans="1:26" ht="12.75" customHeight="1" x14ac:dyDescent="0.2">
      <c r="A54093" s="258"/>
      <c r="Z54093" s="258"/>
    </row>
    <row r="54094" spans="1:26" ht="12.75" customHeight="1" x14ac:dyDescent="0.2">
      <c r="A54094" s="258"/>
      <c r="Z54094" s="258"/>
    </row>
    <row r="54095" spans="1:26" ht="12.75" customHeight="1" x14ac:dyDescent="0.2">
      <c r="A54095" s="258"/>
      <c r="Z54095" s="258"/>
    </row>
    <row r="54096" spans="1:26" ht="12.75" customHeight="1" x14ac:dyDescent="0.2">
      <c r="A54096" s="258"/>
      <c r="Z54096" s="258"/>
    </row>
    <row r="54097" spans="1:26" ht="12.75" customHeight="1" x14ac:dyDescent="0.2">
      <c r="A54097" s="258"/>
      <c r="Z54097" s="258"/>
    </row>
    <row r="54098" spans="1:26" ht="12.75" customHeight="1" x14ac:dyDescent="0.2">
      <c r="A54098" s="258"/>
      <c r="Z54098" s="258"/>
    </row>
    <row r="54099" spans="1:26" ht="12.75" customHeight="1" x14ac:dyDescent="0.2">
      <c r="A54099" s="258"/>
      <c r="Z54099" s="258"/>
    </row>
    <row r="54100" spans="1:26" ht="12.75" customHeight="1" x14ac:dyDescent="0.2">
      <c r="A54100" s="258"/>
      <c r="Z54100" s="258"/>
    </row>
    <row r="54101" spans="1:26" ht="12.75" customHeight="1" x14ac:dyDescent="0.2">
      <c r="A54101" s="258"/>
      <c r="Z54101" s="258"/>
    </row>
    <row r="54102" spans="1:26" ht="12.75" customHeight="1" x14ac:dyDescent="0.2">
      <c r="A54102" s="258"/>
      <c r="Z54102" s="258"/>
    </row>
    <row r="54103" spans="1:26" ht="12.75" customHeight="1" x14ac:dyDescent="0.2">
      <c r="A54103" s="258"/>
      <c r="Z54103" s="258"/>
    </row>
    <row r="54104" spans="1:26" ht="12.75" customHeight="1" x14ac:dyDescent="0.2">
      <c r="A54104" s="258"/>
      <c r="Z54104" s="258"/>
    </row>
    <row r="54105" spans="1:26" ht="12.75" customHeight="1" x14ac:dyDescent="0.2">
      <c r="A54105" s="258"/>
      <c r="Z54105" s="258"/>
    </row>
    <row r="54106" spans="1:26" ht="12.75" customHeight="1" x14ac:dyDescent="0.2">
      <c r="A54106" s="258"/>
      <c r="Z54106" s="258"/>
    </row>
    <row r="54107" spans="1:26" ht="12.75" customHeight="1" x14ac:dyDescent="0.2">
      <c r="A54107" s="258"/>
      <c r="Z54107" s="258"/>
    </row>
    <row r="54108" spans="1:26" ht="12.75" customHeight="1" x14ac:dyDescent="0.2">
      <c r="A54108" s="258"/>
      <c r="Z54108" s="258"/>
    </row>
    <row r="54109" spans="1:26" ht="12.75" customHeight="1" x14ac:dyDescent="0.2">
      <c r="A54109" s="258"/>
      <c r="Z54109" s="258"/>
    </row>
    <row r="54110" spans="1:26" ht="12.75" customHeight="1" x14ac:dyDescent="0.2">
      <c r="A54110" s="258"/>
      <c r="Z54110" s="258"/>
    </row>
    <row r="54111" spans="1:26" ht="12.75" customHeight="1" x14ac:dyDescent="0.2">
      <c r="A54111" s="258"/>
      <c r="Z54111" s="258"/>
    </row>
    <row r="54112" spans="1:26" ht="12.75" customHeight="1" x14ac:dyDescent="0.2">
      <c r="A54112" s="258"/>
      <c r="Z54112" s="258"/>
    </row>
    <row r="54113" spans="1:26" ht="12.75" customHeight="1" x14ac:dyDescent="0.2">
      <c r="A54113" s="258"/>
      <c r="Z54113" s="258"/>
    </row>
    <row r="54114" spans="1:26" ht="12.75" customHeight="1" x14ac:dyDescent="0.2">
      <c r="A54114" s="258"/>
      <c r="Z54114" s="258"/>
    </row>
    <row r="54115" spans="1:26" ht="12.75" customHeight="1" x14ac:dyDescent="0.2">
      <c r="A54115" s="258"/>
      <c r="Z54115" s="258"/>
    </row>
    <row r="54116" spans="1:26" ht="12.75" customHeight="1" x14ac:dyDescent="0.2">
      <c r="A54116" s="258"/>
      <c r="Z54116" s="258"/>
    </row>
    <row r="54117" spans="1:26" ht="12.75" customHeight="1" x14ac:dyDescent="0.2">
      <c r="A54117" s="258"/>
      <c r="Z54117" s="258"/>
    </row>
    <row r="54118" spans="1:26" ht="12.75" customHeight="1" x14ac:dyDescent="0.2">
      <c r="A54118" s="258"/>
      <c r="Z54118" s="258"/>
    </row>
    <row r="54119" spans="1:26" ht="12.75" customHeight="1" x14ac:dyDescent="0.2">
      <c r="A54119" s="258"/>
      <c r="Z54119" s="258"/>
    </row>
    <row r="54120" spans="1:26" ht="12.75" customHeight="1" x14ac:dyDescent="0.2">
      <c r="A54120" s="258"/>
      <c r="Z54120" s="258"/>
    </row>
    <row r="54121" spans="1:26" ht="12.75" customHeight="1" x14ac:dyDescent="0.2">
      <c r="A54121" s="258"/>
      <c r="Z54121" s="258"/>
    </row>
    <row r="54122" spans="1:26" ht="12.75" customHeight="1" x14ac:dyDescent="0.2">
      <c r="A54122" s="258"/>
      <c r="Z54122" s="258"/>
    </row>
    <row r="54123" spans="1:26" ht="12.75" customHeight="1" x14ac:dyDescent="0.2">
      <c r="A54123" s="258"/>
      <c r="Z54123" s="258"/>
    </row>
    <row r="54124" spans="1:26" ht="12.75" customHeight="1" x14ac:dyDescent="0.2">
      <c r="A54124" s="258"/>
      <c r="Z54124" s="258"/>
    </row>
    <row r="54125" spans="1:26" ht="12.75" customHeight="1" x14ac:dyDescent="0.2">
      <c r="A54125" s="258"/>
      <c r="Z54125" s="258"/>
    </row>
    <row r="54126" spans="1:26" ht="12.75" customHeight="1" x14ac:dyDescent="0.2">
      <c r="A54126" s="258"/>
      <c r="Z54126" s="258"/>
    </row>
    <row r="54127" spans="1:26" ht="12.75" customHeight="1" x14ac:dyDescent="0.2">
      <c r="A54127" s="258"/>
      <c r="Z54127" s="258"/>
    </row>
    <row r="54128" spans="1:26" ht="12.75" customHeight="1" x14ac:dyDescent="0.2">
      <c r="A54128" s="258"/>
      <c r="Z54128" s="258"/>
    </row>
    <row r="54129" spans="1:26" ht="12.75" customHeight="1" x14ac:dyDescent="0.2">
      <c r="A54129" s="258"/>
      <c r="Z54129" s="258"/>
    </row>
    <row r="54130" spans="1:26" ht="12.75" customHeight="1" x14ac:dyDescent="0.2">
      <c r="A54130" s="258"/>
      <c r="Z54130" s="258"/>
    </row>
    <row r="54131" spans="1:26" ht="12.75" customHeight="1" x14ac:dyDescent="0.2">
      <c r="A54131" s="258"/>
      <c r="Z54131" s="258"/>
    </row>
    <row r="54132" spans="1:26" ht="12.75" customHeight="1" x14ac:dyDescent="0.2">
      <c r="A54132" s="258"/>
      <c r="Z54132" s="258"/>
    </row>
    <row r="54133" spans="1:26" ht="12.75" customHeight="1" x14ac:dyDescent="0.2">
      <c r="A54133" s="258"/>
      <c r="Z54133" s="258"/>
    </row>
    <row r="54134" spans="1:26" ht="12.75" customHeight="1" x14ac:dyDescent="0.2">
      <c r="A54134" s="258"/>
      <c r="Z54134" s="258"/>
    </row>
    <row r="54135" spans="1:26" ht="12.75" customHeight="1" x14ac:dyDescent="0.2">
      <c r="A54135" s="258"/>
      <c r="Z54135" s="258"/>
    </row>
    <row r="54136" spans="1:26" ht="12.75" customHeight="1" x14ac:dyDescent="0.2">
      <c r="A54136" s="258"/>
      <c r="Z54136" s="258"/>
    </row>
    <row r="54137" spans="1:26" ht="12.75" customHeight="1" x14ac:dyDescent="0.2">
      <c r="A54137" s="258"/>
      <c r="Z54137" s="258"/>
    </row>
    <row r="54138" spans="1:26" ht="12.75" customHeight="1" x14ac:dyDescent="0.2">
      <c r="A54138" s="258"/>
      <c r="Z54138" s="258"/>
    </row>
    <row r="54139" spans="1:26" ht="12.75" customHeight="1" x14ac:dyDescent="0.2">
      <c r="A54139" s="258"/>
      <c r="Z54139" s="258"/>
    </row>
    <row r="54140" spans="1:26" ht="12.75" customHeight="1" x14ac:dyDescent="0.2">
      <c r="A54140" s="258"/>
      <c r="Z54140" s="258"/>
    </row>
    <row r="54141" spans="1:26" ht="12.75" customHeight="1" x14ac:dyDescent="0.2">
      <c r="A54141" s="258"/>
      <c r="Z54141" s="258"/>
    </row>
    <row r="54142" spans="1:26" ht="12.75" customHeight="1" x14ac:dyDescent="0.2">
      <c r="A54142" s="258"/>
      <c r="Z54142" s="258"/>
    </row>
    <row r="54143" spans="1:26" ht="12.75" customHeight="1" x14ac:dyDescent="0.2">
      <c r="A54143" s="258"/>
      <c r="Z54143" s="258"/>
    </row>
    <row r="54144" spans="1:26" ht="12.75" customHeight="1" x14ac:dyDescent="0.2">
      <c r="A54144" s="258"/>
      <c r="Z54144" s="258"/>
    </row>
    <row r="54145" spans="1:26" ht="12.75" customHeight="1" x14ac:dyDescent="0.2">
      <c r="A54145" s="258"/>
      <c r="Z54145" s="258"/>
    </row>
    <row r="54146" spans="1:26" ht="12.75" customHeight="1" x14ac:dyDescent="0.2">
      <c r="A54146" s="258"/>
      <c r="Z54146" s="258"/>
    </row>
    <row r="54147" spans="1:26" ht="12.75" customHeight="1" x14ac:dyDescent="0.2">
      <c r="A54147" s="258"/>
      <c r="Z54147" s="258"/>
    </row>
    <row r="54148" spans="1:26" ht="12.75" customHeight="1" x14ac:dyDescent="0.2">
      <c r="A54148" s="258"/>
      <c r="Z54148" s="258"/>
    </row>
    <row r="54149" spans="1:26" ht="12.75" customHeight="1" x14ac:dyDescent="0.2">
      <c r="A54149" s="258"/>
      <c r="Z54149" s="258"/>
    </row>
    <row r="54150" spans="1:26" ht="12.75" customHeight="1" x14ac:dyDescent="0.2">
      <c r="A54150" s="258"/>
      <c r="Z54150" s="258"/>
    </row>
    <row r="54151" spans="1:26" ht="12.75" customHeight="1" x14ac:dyDescent="0.2">
      <c r="A54151" s="258"/>
      <c r="Z54151" s="258"/>
    </row>
    <row r="54152" spans="1:26" ht="12.75" customHeight="1" x14ac:dyDescent="0.2">
      <c r="A54152" s="258"/>
      <c r="Z54152" s="258"/>
    </row>
    <row r="54153" spans="1:26" ht="12.75" customHeight="1" x14ac:dyDescent="0.2">
      <c r="A54153" s="258"/>
      <c r="Z54153" s="258"/>
    </row>
    <row r="54154" spans="1:26" ht="12.75" customHeight="1" x14ac:dyDescent="0.2">
      <c r="A54154" s="258"/>
      <c r="Z54154" s="258"/>
    </row>
    <row r="54155" spans="1:26" ht="12.75" customHeight="1" x14ac:dyDescent="0.2">
      <c r="A54155" s="258"/>
      <c r="Z54155" s="258"/>
    </row>
    <row r="54156" spans="1:26" ht="12.75" customHeight="1" x14ac:dyDescent="0.2">
      <c r="A54156" s="258"/>
      <c r="Z54156" s="258"/>
    </row>
    <row r="54157" spans="1:26" ht="12.75" customHeight="1" x14ac:dyDescent="0.2">
      <c r="A54157" s="258"/>
      <c r="Z54157" s="258"/>
    </row>
    <row r="54158" spans="1:26" ht="12.75" customHeight="1" x14ac:dyDescent="0.2">
      <c r="A54158" s="258"/>
      <c r="Z54158" s="258"/>
    </row>
    <row r="54159" spans="1:26" ht="12.75" customHeight="1" x14ac:dyDescent="0.2">
      <c r="A54159" s="258"/>
      <c r="Z54159" s="258"/>
    </row>
    <row r="54160" spans="1:26" ht="12.75" customHeight="1" x14ac:dyDescent="0.2">
      <c r="A54160" s="258"/>
      <c r="Z54160" s="258"/>
    </row>
    <row r="54161" spans="1:26" ht="12.75" customHeight="1" x14ac:dyDescent="0.2">
      <c r="A54161" s="258"/>
      <c r="Z54161" s="258"/>
    </row>
    <row r="54162" spans="1:26" ht="12.75" customHeight="1" x14ac:dyDescent="0.2">
      <c r="A54162" s="258"/>
      <c r="Z54162" s="258"/>
    </row>
    <row r="54163" spans="1:26" ht="12.75" customHeight="1" x14ac:dyDescent="0.2">
      <c r="A54163" s="258"/>
      <c r="Z54163" s="258"/>
    </row>
    <row r="54164" spans="1:26" ht="12.75" customHeight="1" x14ac:dyDescent="0.2">
      <c r="A54164" s="258"/>
      <c r="Z54164" s="258"/>
    </row>
    <row r="54165" spans="1:26" ht="12.75" customHeight="1" x14ac:dyDescent="0.2">
      <c r="A54165" s="258"/>
      <c r="Z54165" s="258"/>
    </row>
    <row r="54166" spans="1:26" ht="12.75" customHeight="1" x14ac:dyDescent="0.2">
      <c r="A54166" s="258"/>
      <c r="Z54166" s="258"/>
    </row>
    <row r="54167" spans="1:26" ht="12.75" customHeight="1" x14ac:dyDescent="0.2">
      <c r="A54167" s="258"/>
      <c r="Z54167" s="258"/>
    </row>
    <row r="54168" spans="1:26" ht="12.75" customHeight="1" x14ac:dyDescent="0.2">
      <c r="A54168" s="258"/>
      <c r="Z54168" s="258"/>
    </row>
    <row r="54169" spans="1:26" ht="12.75" customHeight="1" x14ac:dyDescent="0.2">
      <c r="A54169" s="258"/>
      <c r="Z54169" s="258"/>
    </row>
    <row r="54170" spans="1:26" ht="12.75" customHeight="1" x14ac:dyDescent="0.2">
      <c r="A54170" s="258"/>
      <c r="Z54170" s="258"/>
    </row>
    <row r="54171" spans="1:26" ht="12.75" customHeight="1" x14ac:dyDescent="0.2">
      <c r="A54171" s="258"/>
      <c r="Z54171" s="258"/>
    </row>
    <row r="54172" spans="1:26" ht="12.75" customHeight="1" x14ac:dyDescent="0.2">
      <c r="A54172" s="258"/>
      <c r="Z54172" s="258"/>
    </row>
    <row r="54173" spans="1:26" ht="12.75" customHeight="1" x14ac:dyDescent="0.2">
      <c r="A54173" s="258"/>
      <c r="Z54173" s="258"/>
    </row>
    <row r="54174" spans="1:26" ht="12.75" customHeight="1" x14ac:dyDescent="0.2">
      <c r="A54174" s="258"/>
      <c r="Z54174" s="258"/>
    </row>
    <row r="54175" spans="1:26" ht="12.75" customHeight="1" x14ac:dyDescent="0.2">
      <c r="A54175" s="258"/>
      <c r="Z54175" s="258"/>
    </row>
    <row r="54176" spans="1:26" ht="12.75" customHeight="1" x14ac:dyDescent="0.2">
      <c r="A54176" s="258"/>
      <c r="Z54176" s="258"/>
    </row>
    <row r="54177" spans="1:26" ht="12.75" customHeight="1" x14ac:dyDescent="0.2">
      <c r="A54177" s="258"/>
      <c r="Z54177" s="258"/>
    </row>
    <row r="54178" spans="1:26" ht="12.75" customHeight="1" x14ac:dyDescent="0.2">
      <c r="A54178" s="258"/>
      <c r="Z54178" s="258"/>
    </row>
    <row r="54179" spans="1:26" ht="12.75" customHeight="1" x14ac:dyDescent="0.2">
      <c r="A54179" s="258"/>
      <c r="Z54179" s="258"/>
    </row>
    <row r="54180" spans="1:26" ht="12.75" customHeight="1" x14ac:dyDescent="0.2">
      <c r="A54180" s="258"/>
      <c r="Z54180" s="258"/>
    </row>
    <row r="54181" spans="1:26" ht="12.75" customHeight="1" x14ac:dyDescent="0.2">
      <c r="A54181" s="258"/>
      <c r="Z54181" s="258"/>
    </row>
    <row r="54182" spans="1:26" ht="12.75" customHeight="1" x14ac:dyDescent="0.2">
      <c r="A54182" s="258"/>
      <c r="Z54182" s="258"/>
    </row>
    <row r="54183" spans="1:26" ht="12.75" customHeight="1" x14ac:dyDescent="0.2">
      <c r="A54183" s="258"/>
      <c r="Z54183" s="258"/>
    </row>
    <row r="54184" spans="1:26" ht="12.75" customHeight="1" x14ac:dyDescent="0.2">
      <c r="A54184" s="258"/>
      <c r="Z54184" s="258"/>
    </row>
    <row r="54185" spans="1:26" ht="12.75" customHeight="1" x14ac:dyDescent="0.2">
      <c r="A54185" s="258"/>
      <c r="Z54185" s="258"/>
    </row>
    <row r="54186" spans="1:26" ht="12.75" customHeight="1" x14ac:dyDescent="0.2">
      <c r="A54186" s="258"/>
      <c r="Z54186" s="258"/>
    </row>
    <row r="54187" spans="1:26" ht="12.75" customHeight="1" x14ac:dyDescent="0.2">
      <c r="A54187" s="258"/>
      <c r="Z54187" s="258"/>
    </row>
    <row r="54188" spans="1:26" ht="12.75" customHeight="1" x14ac:dyDescent="0.2">
      <c r="A54188" s="258"/>
      <c r="Z54188" s="258"/>
    </row>
    <row r="54189" spans="1:26" ht="12.75" customHeight="1" x14ac:dyDescent="0.2">
      <c r="A54189" s="258"/>
      <c r="Z54189" s="258"/>
    </row>
    <row r="54190" spans="1:26" ht="12.75" customHeight="1" x14ac:dyDescent="0.2">
      <c r="A54190" s="258"/>
      <c r="Z54190" s="258"/>
    </row>
    <row r="54191" spans="1:26" ht="12.75" customHeight="1" x14ac:dyDescent="0.2">
      <c r="A54191" s="258"/>
      <c r="Z54191" s="258"/>
    </row>
    <row r="54192" spans="1:26" ht="12.75" customHeight="1" x14ac:dyDescent="0.2">
      <c r="A54192" s="258"/>
      <c r="Z54192" s="258"/>
    </row>
    <row r="54193" spans="1:26" ht="12.75" customHeight="1" x14ac:dyDescent="0.2">
      <c r="A54193" s="258"/>
      <c r="Z54193" s="258"/>
    </row>
    <row r="54194" spans="1:26" ht="12.75" customHeight="1" x14ac:dyDescent="0.2">
      <c r="A54194" s="258"/>
      <c r="Z54194" s="258"/>
    </row>
    <row r="54195" spans="1:26" ht="12.75" customHeight="1" x14ac:dyDescent="0.2">
      <c r="A54195" s="258"/>
      <c r="Z54195" s="258"/>
    </row>
    <row r="54196" spans="1:26" ht="12.75" customHeight="1" x14ac:dyDescent="0.2">
      <c r="A54196" s="258"/>
      <c r="Z54196" s="258"/>
    </row>
    <row r="54197" spans="1:26" ht="12.75" customHeight="1" x14ac:dyDescent="0.2">
      <c r="A54197" s="258"/>
      <c r="Z54197" s="258"/>
    </row>
    <row r="54198" spans="1:26" ht="12.75" customHeight="1" x14ac:dyDescent="0.2">
      <c r="A54198" s="258"/>
      <c r="Z54198" s="258"/>
    </row>
    <row r="54199" spans="1:26" ht="12.75" customHeight="1" x14ac:dyDescent="0.2">
      <c r="A54199" s="258"/>
      <c r="Z54199" s="258"/>
    </row>
    <row r="54200" spans="1:26" ht="12.75" customHeight="1" x14ac:dyDescent="0.2">
      <c r="A54200" s="258"/>
      <c r="Z54200" s="258"/>
    </row>
    <row r="54201" spans="1:26" ht="12.75" customHeight="1" x14ac:dyDescent="0.2">
      <c r="A54201" s="258"/>
      <c r="Z54201" s="258"/>
    </row>
    <row r="54202" spans="1:26" ht="12.75" customHeight="1" x14ac:dyDescent="0.2">
      <c r="A54202" s="258"/>
      <c r="Z54202" s="258"/>
    </row>
    <row r="54203" spans="1:26" ht="12.75" customHeight="1" x14ac:dyDescent="0.2">
      <c r="A54203" s="258"/>
      <c r="Z54203" s="258"/>
    </row>
    <row r="54204" spans="1:26" ht="12.75" customHeight="1" x14ac:dyDescent="0.2">
      <c r="A54204" s="258"/>
      <c r="Z54204" s="258"/>
    </row>
    <row r="54205" spans="1:26" ht="12.75" customHeight="1" x14ac:dyDescent="0.2">
      <c r="A54205" s="258"/>
      <c r="Z54205" s="258"/>
    </row>
    <row r="54206" spans="1:26" ht="12.75" customHeight="1" x14ac:dyDescent="0.2">
      <c r="A54206" s="258"/>
      <c r="Z54206" s="258"/>
    </row>
    <row r="54207" spans="1:26" ht="12.75" customHeight="1" x14ac:dyDescent="0.2">
      <c r="A54207" s="258"/>
      <c r="Z54207" s="258"/>
    </row>
    <row r="54208" spans="1:26" ht="12.75" customHeight="1" x14ac:dyDescent="0.2">
      <c r="A54208" s="258"/>
      <c r="Z54208" s="258"/>
    </row>
    <row r="54209" spans="1:26" ht="12.75" customHeight="1" x14ac:dyDescent="0.2">
      <c r="A54209" s="258"/>
      <c r="Z54209" s="258"/>
    </row>
    <row r="54210" spans="1:26" ht="12.75" customHeight="1" x14ac:dyDescent="0.2">
      <c r="A54210" s="258"/>
      <c r="Z54210" s="258"/>
    </row>
    <row r="54211" spans="1:26" ht="12.75" customHeight="1" x14ac:dyDescent="0.2">
      <c r="A54211" s="258"/>
      <c r="Z54211" s="258"/>
    </row>
    <row r="54212" spans="1:26" ht="12.75" customHeight="1" x14ac:dyDescent="0.2">
      <c r="A54212" s="258"/>
      <c r="Z54212" s="258"/>
    </row>
    <row r="54213" spans="1:26" ht="12.75" customHeight="1" x14ac:dyDescent="0.2">
      <c r="A54213" s="258"/>
      <c r="Z54213" s="258"/>
    </row>
    <row r="54214" spans="1:26" ht="12.75" customHeight="1" x14ac:dyDescent="0.2">
      <c r="A54214" s="258"/>
      <c r="Z54214" s="258"/>
    </row>
    <row r="54215" spans="1:26" ht="12.75" customHeight="1" x14ac:dyDescent="0.2">
      <c r="A54215" s="258"/>
      <c r="Z54215" s="258"/>
    </row>
    <row r="54216" spans="1:26" ht="12.75" customHeight="1" x14ac:dyDescent="0.2">
      <c r="A54216" s="258"/>
      <c r="Z54216" s="258"/>
    </row>
    <row r="54217" spans="1:26" ht="12.75" customHeight="1" x14ac:dyDescent="0.2">
      <c r="A54217" s="258"/>
      <c r="Z54217" s="258"/>
    </row>
    <row r="54218" spans="1:26" ht="12.75" customHeight="1" x14ac:dyDescent="0.2">
      <c r="A54218" s="258"/>
      <c r="Z54218" s="258"/>
    </row>
    <row r="54219" spans="1:26" ht="12.75" customHeight="1" x14ac:dyDescent="0.2">
      <c r="A54219" s="258"/>
      <c r="Z54219" s="258"/>
    </row>
    <row r="54220" spans="1:26" ht="12.75" customHeight="1" x14ac:dyDescent="0.2">
      <c r="A54220" s="258"/>
      <c r="Z54220" s="258"/>
    </row>
    <row r="54221" spans="1:26" ht="12.75" customHeight="1" x14ac:dyDescent="0.2">
      <c r="A54221" s="258"/>
      <c r="Z54221" s="258"/>
    </row>
    <row r="54222" spans="1:26" ht="12.75" customHeight="1" x14ac:dyDescent="0.2">
      <c r="A54222" s="258"/>
      <c r="Z54222" s="258"/>
    </row>
    <row r="54223" spans="1:26" ht="12.75" customHeight="1" x14ac:dyDescent="0.2">
      <c r="A54223" s="258"/>
      <c r="Z54223" s="258"/>
    </row>
    <row r="54224" spans="1:26" ht="12.75" customHeight="1" x14ac:dyDescent="0.2">
      <c r="A54224" s="258"/>
      <c r="Z54224" s="258"/>
    </row>
    <row r="54225" spans="1:26" ht="12.75" customHeight="1" x14ac:dyDescent="0.2">
      <c r="A54225" s="258"/>
      <c r="Z54225" s="258"/>
    </row>
    <row r="54226" spans="1:26" ht="12.75" customHeight="1" x14ac:dyDescent="0.2">
      <c r="A54226" s="258"/>
      <c r="Z54226" s="258"/>
    </row>
    <row r="54227" spans="1:26" ht="12.75" customHeight="1" x14ac:dyDescent="0.2">
      <c r="A54227" s="258"/>
      <c r="Z54227" s="258"/>
    </row>
    <row r="54228" spans="1:26" ht="12.75" customHeight="1" x14ac:dyDescent="0.2">
      <c r="A54228" s="258"/>
      <c r="Z54228" s="258"/>
    </row>
    <row r="54229" spans="1:26" ht="12.75" customHeight="1" x14ac:dyDescent="0.2">
      <c r="A54229" s="258"/>
      <c r="Z54229" s="258"/>
    </row>
    <row r="54230" spans="1:26" ht="12.75" customHeight="1" x14ac:dyDescent="0.2">
      <c r="A54230" s="258"/>
      <c r="Z54230" s="258"/>
    </row>
    <row r="54231" spans="1:26" ht="12.75" customHeight="1" x14ac:dyDescent="0.2">
      <c r="A54231" s="258"/>
      <c r="Z54231" s="258"/>
    </row>
    <row r="54232" spans="1:26" ht="12.75" customHeight="1" x14ac:dyDescent="0.2">
      <c r="A54232" s="258"/>
      <c r="Z54232" s="258"/>
    </row>
    <row r="54233" spans="1:26" ht="12.75" customHeight="1" x14ac:dyDescent="0.2">
      <c r="A54233" s="258"/>
      <c r="Z54233" s="258"/>
    </row>
    <row r="54234" spans="1:26" ht="12.75" customHeight="1" x14ac:dyDescent="0.2">
      <c r="A54234" s="258"/>
      <c r="Z54234" s="258"/>
    </row>
    <row r="54235" spans="1:26" ht="12.75" customHeight="1" x14ac:dyDescent="0.2">
      <c r="A54235" s="258"/>
      <c r="Z54235" s="258"/>
    </row>
    <row r="54236" spans="1:26" ht="12.75" customHeight="1" x14ac:dyDescent="0.2">
      <c r="A54236" s="258"/>
      <c r="Z54236" s="258"/>
    </row>
    <row r="54237" spans="1:26" ht="12.75" customHeight="1" x14ac:dyDescent="0.2">
      <c r="A54237" s="258"/>
      <c r="Z54237" s="258"/>
    </row>
    <row r="54238" spans="1:26" ht="12.75" customHeight="1" x14ac:dyDescent="0.2">
      <c r="A54238" s="258"/>
      <c r="Z54238" s="258"/>
    </row>
    <row r="54239" spans="1:26" ht="12.75" customHeight="1" x14ac:dyDescent="0.2">
      <c r="A54239" s="258"/>
      <c r="Z54239" s="258"/>
    </row>
    <row r="54240" spans="1:26" ht="12.75" customHeight="1" x14ac:dyDescent="0.2">
      <c r="A54240" s="258"/>
      <c r="Z54240" s="258"/>
    </row>
    <row r="54241" spans="1:26" ht="12.75" customHeight="1" x14ac:dyDescent="0.2">
      <c r="A54241" s="258"/>
      <c r="Z54241" s="258"/>
    </row>
    <row r="54242" spans="1:26" ht="12.75" customHeight="1" x14ac:dyDescent="0.2">
      <c r="A54242" s="258"/>
      <c r="Z54242" s="258"/>
    </row>
    <row r="54243" spans="1:26" ht="12.75" customHeight="1" x14ac:dyDescent="0.2">
      <c r="A54243" s="258"/>
      <c r="Z54243" s="258"/>
    </row>
    <row r="54244" spans="1:26" ht="12.75" customHeight="1" x14ac:dyDescent="0.2">
      <c r="A54244" s="258"/>
      <c r="Z54244" s="258"/>
    </row>
    <row r="54245" spans="1:26" ht="12.75" customHeight="1" x14ac:dyDescent="0.2">
      <c r="A54245" s="258"/>
      <c r="Z54245" s="258"/>
    </row>
    <row r="54246" spans="1:26" ht="12.75" customHeight="1" x14ac:dyDescent="0.2">
      <c r="A54246" s="258"/>
      <c r="Z54246" s="258"/>
    </row>
    <row r="54247" spans="1:26" ht="12.75" customHeight="1" x14ac:dyDescent="0.2">
      <c r="A54247" s="258"/>
      <c r="Z54247" s="258"/>
    </row>
    <row r="54248" spans="1:26" ht="12.75" customHeight="1" x14ac:dyDescent="0.2">
      <c r="A54248" s="258"/>
      <c r="Z54248" s="258"/>
    </row>
    <row r="54249" spans="1:26" ht="12.75" customHeight="1" x14ac:dyDescent="0.2">
      <c r="A54249" s="258"/>
      <c r="Z54249" s="258"/>
    </row>
    <row r="54250" spans="1:26" ht="12.75" customHeight="1" x14ac:dyDescent="0.2">
      <c r="A54250" s="258"/>
      <c r="Z54250" s="258"/>
    </row>
    <row r="54251" spans="1:26" ht="12.75" customHeight="1" x14ac:dyDescent="0.2">
      <c r="A54251" s="258"/>
      <c r="Z54251" s="258"/>
    </row>
    <row r="54252" spans="1:26" ht="12.75" customHeight="1" x14ac:dyDescent="0.2">
      <c r="A54252" s="258"/>
      <c r="Z54252" s="258"/>
    </row>
    <row r="54253" spans="1:26" ht="12.75" customHeight="1" x14ac:dyDescent="0.2">
      <c r="A54253" s="258"/>
      <c r="Z54253" s="258"/>
    </row>
    <row r="54254" spans="1:26" ht="12.75" customHeight="1" x14ac:dyDescent="0.2">
      <c r="A54254" s="258"/>
      <c r="Z54254" s="258"/>
    </row>
    <row r="54255" spans="1:26" ht="12.75" customHeight="1" x14ac:dyDescent="0.2">
      <c r="A54255" s="258"/>
      <c r="Z54255" s="258"/>
    </row>
    <row r="54256" spans="1:26" ht="12.75" customHeight="1" x14ac:dyDescent="0.2">
      <c r="A54256" s="258"/>
      <c r="Z54256" s="258"/>
    </row>
    <row r="54257" spans="1:26" ht="12.75" customHeight="1" x14ac:dyDescent="0.2">
      <c r="A54257" s="258"/>
      <c r="Z54257" s="258"/>
    </row>
    <row r="54258" spans="1:26" ht="12.75" customHeight="1" x14ac:dyDescent="0.2">
      <c r="A54258" s="258"/>
      <c r="Z54258" s="258"/>
    </row>
    <row r="54259" spans="1:26" ht="12.75" customHeight="1" x14ac:dyDescent="0.2">
      <c r="A54259" s="258"/>
      <c r="Z54259" s="258"/>
    </row>
    <row r="54260" spans="1:26" ht="12.75" customHeight="1" x14ac:dyDescent="0.2">
      <c r="A54260" s="258"/>
      <c r="Z54260" s="258"/>
    </row>
    <row r="54261" spans="1:26" ht="12.75" customHeight="1" x14ac:dyDescent="0.2">
      <c r="A54261" s="258"/>
      <c r="Z54261" s="258"/>
    </row>
    <row r="54262" spans="1:26" ht="12.75" customHeight="1" x14ac:dyDescent="0.2">
      <c r="A54262" s="258"/>
      <c r="Z54262" s="258"/>
    </row>
    <row r="54263" spans="1:26" ht="12.75" customHeight="1" x14ac:dyDescent="0.2">
      <c r="A54263" s="258"/>
      <c r="Z54263" s="258"/>
    </row>
    <row r="54264" spans="1:26" ht="12.75" customHeight="1" x14ac:dyDescent="0.2">
      <c r="A54264" s="258"/>
      <c r="Z54264" s="258"/>
    </row>
    <row r="54265" spans="1:26" ht="12.75" customHeight="1" x14ac:dyDescent="0.2">
      <c r="A54265" s="258"/>
      <c r="Z54265" s="258"/>
    </row>
    <row r="54266" spans="1:26" ht="12.75" customHeight="1" x14ac:dyDescent="0.2">
      <c r="A54266" s="258"/>
      <c r="Z54266" s="258"/>
    </row>
    <row r="54267" spans="1:26" ht="12.75" customHeight="1" x14ac:dyDescent="0.2">
      <c r="A54267" s="258"/>
      <c r="Z54267" s="258"/>
    </row>
    <row r="54268" spans="1:26" ht="12.75" customHeight="1" x14ac:dyDescent="0.2">
      <c r="A54268" s="258"/>
      <c r="Z54268" s="258"/>
    </row>
    <row r="54269" spans="1:26" ht="12.75" customHeight="1" x14ac:dyDescent="0.2">
      <c r="A54269" s="258"/>
      <c r="Z54269" s="258"/>
    </row>
    <row r="54270" spans="1:26" ht="12.75" customHeight="1" x14ac:dyDescent="0.2">
      <c r="A54270" s="258"/>
      <c r="Z54270" s="258"/>
    </row>
    <row r="54271" spans="1:26" ht="12.75" customHeight="1" x14ac:dyDescent="0.2">
      <c r="A54271" s="258"/>
      <c r="Z54271" s="258"/>
    </row>
    <row r="54272" spans="1:26" ht="12.75" customHeight="1" x14ac:dyDescent="0.2">
      <c r="A54272" s="258"/>
      <c r="Z54272" s="258"/>
    </row>
    <row r="54273" spans="1:26" ht="12.75" customHeight="1" x14ac:dyDescent="0.2">
      <c r="A54273" s="258"/>
      <c r="Z54273" s="258"/>
    </row>
    <row r="54274" spans="1:26" ht="12.75" customHeight="1" x14ac:dyDescent="0.2">
      <c r="A54274" s="258"/>
      <c r="Z54274" s="258"/>
    </row>
    <row r="54275" spans="1:26" ht="12.75" customHeight="1" x14ac:dyDescent="0.2">
      <c r="A54275" s="258"/>
      <c r="Z54275" s="258"/>
    </row>
    <row r="54276" spans="1:26" ht="12.75" customHeight="1" x14ac:dyDescent="0.2">
      <c r="A54276" s="258"/>
      <c r="Z54276" s="258"/>
    </row>
    <row r="54277" spans="1:26" ht="12.75" customHeight="1" x14ac:dyDescent="0.2">
      <c r="A54277" s="258"/>
      <c r="Z54277" s="258"/>
    </row>
    <row r="54278" spans="1:26" ht="12.75" customHeight="1" x14ac:dyDescent="0.2">
      <c r="A54278" s="258"/>
      <c r="Z54278" s="258"/>
    </row>
    <row r="54279" spans="1:26" ht="12.75" customHeight="1" x14ac:dyDescent="0.2">
      <c r="A54279" s="258"/>
      <c r="Z54279" s="258"/>
    </row>
    <row r="54280" spans="1:26" ht="12.75" customHeight="1" x14ac:dyDescent="0.2">
      <c r="A54280" s="258"/>
      <c r="Z54280" s="258"/>
    </row>
    <row r="54281" spans="1:26" ht="12.75" customHeight="1" x14ac:dyDescent="0.2">
      <c r="A54281" s="258"/>
      <c r="Z54281" s="258"/>
    </row>
    <row r="54282" spans="1:26" ht="12.75" customHeight="1" x14ac:dyDescent="0.2">
      <c r="A54282" s="258"/>
      <c r="Z54282" s="258"/>
    </row>
    <row r="54283" spans="1:26" ht="12.75" customHeight="1" x14ac:dyDescent="0.2">
      <c r="A54283" s="258"/>
      <c r="Z54283" s="258"/>
    </row>
    <row r="54284" spans="1:26" ht="12.75" customHeight="1" x14ac:dyDescent="0.2">
      <c r="A54284" s="258"/>
      <c r="Z54284" s="258"/>
    </row>
    <row r="54285" spans="1:26" ht="12.75" customHeight="1" x14ac:dyDescent="0.2">
      <c r="A54285" s="258"/>
      <c r="Z54285" s="258"/>
    </row>
    <row r="54286" spans="1:26" ht="12.75" customHeight="1" x14ac:dyDescent="0.2">
      <c r="A54286" s="258"/>
      <c r="Z54286" s="258"/>
    </row>
    <row r="54287" spans="1:26" ht="12.75" customHeight="1" x14ac:dyDescent="0.2">
      <c r="A54287" s="258"/>
      <c r="Z54287" s="258"/>
    </row>
    <row r="54288" spans="1:26" ht="12.75" customHeight="1" x14ac:dyDescent="0.2">
      <c r="A54288" s="258"/>
      <c r="Z54288" s="258"/>
    </row>
    <row r="54289" spans="1:26" ht="12.75" customHeight="1" x14ac:dyDescent="0.2">
      <c r="A54289" s="258"/>
      <c r="Z54289" s="258"/>
    </row>
    <row r="54290" spans="1:26" ht="12.75" customHeight="1" x14ac:dyDescent="0.2">
      <c r="A54290" s="258"/>
      <c r="Z54290" s="258"/>
    </row>
    <row r="54291" spans="1:26" ht="12.75" customHeight="1" x14ac:dyDescent="0.2">
      <c r="A54291" s="258"/>
      <c r="Z54291" s="258"/>
    </row>
    <row r="54292" spans="1:26" ht="12.75" customHeight="1" x14ac:dyDescent="0.2">
      <c r="A54292" s="258"/>
      <c r="Z54292" s="258"/>
    </row>
    <row r="54293" spans="1:26" ht="12.75" customHeight="1" x14ac:dyDescent="0.2">
      <c r="A54293" s="258"/>
      <c r="Z54293" s="258"/>
    </row>
    <row r="54294" spans="1:26" ht="12.75" customHeight="1" x14ac:dyDescent="0.2">
      <c r="A54294" s="258"/>
      <c r="Z54294" s="258"/>
    </row>
    <row r="54295" spans="1:26" ht="12.75" customHeight="1" x14ac:dyDescent="0.2">
      <c r="A54295" s="258"/>
      <c r="Z54295" s="258"/>
    </row>
    <row r="54296" spans="1:26" ht="12.75" customHeight="1" x14ac:dyDescent="0.2">
      <c r="A54296" s="258"/>
      <c r="Z54296" s="258"/>
    </row>
    <row r="54297" spans="1:26" ht="12.75" customHeight="1" x14ac:dyDescent="0.2">
      <c r="A54297" s="258"/>
      <c r="Z54297" s="258"/>
    </row>
    <row r="54298" spans="1:26" ht="12.75" customHeight="1" x14ac:dyDescent="0.2">
      <c r="A54298" s="258"/>
      <c r="Z54298" s="258"/>
    </row>
    <row r="54299" spans="1:26" ht="12.75" customHeight="1" x14ac:dyDescent="0.2">
      <c r="A54299" s="258"/>
      <c r="Z54299" s="258"/>
    </row>
    <row r="54300" spans="1:26" ht="12.75" customHeight="1" x14ac:dyDescent="0.2">
      <c r="A54300" s="258"/>
      <c r="Z54300" s="258"/>
    </row>
    <row r="54301" spans="1:26" ht="12.75" customHeight="1" x14ac:dyDescent="0.2">
      <c r="A54301" s="258"/>
      <c r="Z54301" s="258"/>
    </row>
    <row r="54302" spans="1:26" ht="12.75" customHeight="1" x14ac:dyDescent="0.2">
      <c r="A54302" s="258"/>
      <c r="Z54302" s="258"/>
    </row>
    <row r="54303" spans="1:26" ht="12.75" customHeight="1" x14ac:dyDescent="0.2">
      <c r="A54303" s="258"/>
      <c r="Z54303" s="258"/>
    </row>
    <row r="54304" spans="1:26" ht="12.75" customHeight="1" x14ac:dyDescent="0.2">
      <c r="A54304" s="258"/>
      <c r="Z54304" s="258"/>
    </row>
    <row r="54305" spans="1:26" ht="12.75" customHeight="1" x14ac:dyDescent="0.2">
      <c r="A54305" s="258"/>
      <c r="Z54305" s="258"/>
    </row>
    <row r="54306" spans="1:26" ht="12.75" customHeight="1" x14ac:dyDescent="0.2">
      <c r="A54306" s="258"/>
      <c r="Z54306" s="258"/>
    </row>
    <row r="54307" spans="1:26" ht="12.75" customHeight="1" x14ac:dyDescent="0.2">
      <c r="A54307" s="258"/>
      <c r="Z54307" s="258"/>
    </row>
    <row r="54308" spans="1:26" ht="12.75" customHeight="1" x14ac:dyDescent="0.2">
      <c r="A54308" s="258"/>
      <c r="Z54308" s="258"/>
    </row>
    <row r="54309" spans="1:26" ht="12.75" customHeight="1" x14ac:dyDescent="0.2">
      <c r="A54309" s="258"/>
      <c r="Z54309" s="258"/>
    </row>
    <row r="54310" spans="1:26" ht="12.75" customHeight="1" x14ac:dyDescent="0.2">
      <c r="A54310" s="258"/>
      <c r="Z54310" s="258"/>
    </row>
    <row r="54311" spans="1:26" ht="12.75" customHeight="1" x14ac:dyDescent="0.2">
      <c r="A54311" s="258"/>
      <c r="Z54311" s="258"/>
    </row>
    <row r="54312" spans="1:26" ht="12.75" customHeight="1" x14ac:dyDescent="0.2">
      <c r="A54312" s="258"/>
      <c r="Z54312" s="258"/>
    </row>
    <row r="54313" spans="1:26" ht="12.75" customHeight="1" x14ac:dyDescent="0.2">
      <c r="A54313" s="258"/>
      <c r="Z54313" s="258"/>
    </row>
    <row r="54314" spans="1:26" ht="12.75" customHeight="1" x14ac:dyDescent="0.2">
      <c r="A54314" s="258"/>
      <c r="Z54314" s="258"/>
    </row>
    <row r="54315" spans="1:26" ht="12.75" customHeight="1" x14ac:dyDescent="0.2">
      <c r="A54315" s="258"/>
      <c r="Z54315" s="258"/>
    </row>
    <row r="54316" spans="1:26" ht="12.75" customHeight="1" x14ac:dyDescent="0.2">
      <c r="A54316" s="258"/>
      <c r="Z54316" s="258"/>
    </row>
    <row r="54317" spans="1:26" ht="12.75" customHeight="1" x14ac:dyDescent="0.2">
      <c r="A54317" s="258"/>
      <c r="Z54317" s="258"/>
    </row>
    <row r="54318" spans="1:26" ht="12.75" customHeight="1" x14ac:dyDescent="0.2">
      <c r="A54318" s="258"/>
      <c r="Z54318" s="258"/>
    </row>
    <row r="54319" spans="1:26" ht="12.75" customHeight="1" x14ac:dyDescent="0.2">
      <c r="A54319" s="258"/>
      <c r="Z54319" s="258"/>
    </row>
    <row r="54320" spans="1:26" ht="12.75" customHeight="1" x14ac:dyDescent="0.2">
      <c r="A54320" s="258"/>
      <c r="Z54320" s="258"/>
    </row>
    <row r="54321" spans="1:26" ht="12.75" customHeight="1" x14ac:dyDescent="0.2">
      <c r="A54321" s="258"/>
      <c r="Z54321" s="258"/>
    </row>
    <row r="54322" spans="1:26" ht="12.75" customHeight="1" x14ac:dyDescent="0.2">
      <c r="A54322" s="258"/>
      <c r="Z54322" s="258"/>
    </row>
    <row r="54323" spans="1:26" ht="12.75" customHeight="1" x14ac:dyDescent="0.2">
      <c r="A54323" s="258"/>
      <c r="Z54323" s="258"/>
    </row>
    <row r="54324" spans="1:26" ht="12.75" customHeight="1" x14ac:dyDescent="0.2">
      <c r="A54324" s="258"/>
      <c r="Z54324" s="258"/>
    </row>
    <row r="54325" spans="1:26" ht="12.75" customHeight="1" x14ac:dyDescent="0.2">
      <c r="A54325" s="258"/>
      <c r="Z54325" s="258"/>
    </row>
    <row r="54326" spans="1:26" ht="12.75" customHeight="1" x14ac:dyDescent="0.2">
      <c r="A54326" s="258"/>
      <c r="Z54326" s="258"/>
    </row>
    <row r="54327" spans="1:26" ht="12.75" customHeight="1" x14ac:dyDescent="0.2">
      <c r="A54327" s="258"/>
      <c r="Z54327" s="258"/>
    </row>
    <row r="54328" spans="1:26" ht="12.75" customHeight="1" x14ac:dyDescent="0.2">
      <c r="A54328" s="258"/>
      <c r="Z54328" s="258"/>
    </row>
    <row r="54329" spans="1:26" ht="12.75" customHeight="1" x14ac:dyDescent="0.2">
      <c r="A54329" s="258"/>
      <c r="Z54329" s="258"/>
    </row>
    <row r="54330" spans="1:26" ht="12.75" customHeight="1" x14ac:dyDescent="0.2">
      <c r="A54330" s="258"/>
      <c r="Z54330" s="258"/>
    </row>
    <row r="54331" spans="1:26" ht="12.75" customHeight="1" x14ac:dyDescent="0.2">
      <c r="A54331" s="258"/>
      <c r="Z54331" s="258"/>
    </row>
    <row r="54332" spans="1:26" ht="12.75" customHeight="1" x14ac:dyDescent="0.2">
      <c r="A54332" s="258"/>
      <c r="Z54332" s="258"/>
    </row>
    <row r="54333" spans="1:26" ht="12.75" customHeight="1" x14ac:dyDescent="0.2">
      <c r="A54333" s="258"/>
      <c r="Z54333" s="258"/>
    </row>
    <row r="54334" spans="1:26" ht="12.75" customHeight="1" x14ac:dyDescent="0.2">
      <c r="A54334" s="258"/>
      <c r="Z54334" s="258"/>
    </row>
    <row r="54335" spans="1:26" ht="12.75" customHeight="1" x14ac:dyDescent="0.2">
      <c r="A54335" s="258"/>
      <c r="Z54335" s="258"/>
    </row>
    <row r="54336" spans="1:26" ht="12.75" customHeight="1" x14ac:dyDescent="0.2">
      <c r="A54336" s="258"/>
      <c r="Z54336" s="258"/>
    </row>
    <row r="54337" spans="1:26" ht="12.75" customHeight="1" x14ac:dyDescent="0.2">
      <c r="A54337" s="258"/>
      <c r="Z54337" s="258"/>
    </row>
    <row r="54338" spans="1:26" ht="12.75" customHeight="1" x14ac:dyDescent="0.2">
      <c r="A54338" s="258"/>
      <c r="Z54338" s="258"/>
    </row>
    <row r="54339" spans="1:26" ht="12.75" customHeight="1" x14ac:dyDescent="0.2">
      <c r="A54339" s="258"/>
      <c r="Z54339" s="258"/>
    </row>
    <row r="54340" spans="1:26" ht="12.75" customHeight="1" x14ac:dyDescent="0.2">
      <c r="A54340" s="258"/>
      <c r="Z54340" s="258"/>
    </row>
    <row r="54341" spans="1:26" ht="12.75" customHeight="1" x14ac:dyDescent="0.2">
      <c r="A54341" s="258"/>
      <c r="Z54341" s="258"/>
    </row>
    <row r="54342" spans="1:26" ht="12.75" customHeight="1" x14ac:dyDescent="0.2">
      <c r="A54342" s="258"/>
      <c r="Z54342" s="258"/>
    </row>
    <row r="54343" spans="1:26" ht="12.75" customHeight="1" x14ac:dyDescent="0.2">
      <c r="A54343" s="258"/>
      <c r="Z54343" s="258"/>
    </row>
    <row r="54344" spans="1:26" ht="12.75" customHeight="1" x14ac:dyDescent="0.2">
      <c r="A54344" s="258"/>
      <c r="Z54344" s="258"/>
    </row>
    <row r="54345" spans="1:26" ht="12.75" customHeight="1" x14ac:dyDescent="0.2">
      <c r="A54345" s="258"/>
      <c r="Z54345" s="258"/>
    </row>
    <row r="54346" spans="1:26" ht="12.75" customHeight="1" x14ac:dyDescent="0.2">
      <c r="A54346" s="258"/>
      <c r="Z54346" s="258"/>
    </row>
    <row r="54347" spans="1:26" ht="12.75" customHeight="1" x14ac:dyDescent="0.2">
      <c r="A54347" s="258"/>
      <c r="Z54347" s="258"/>
    </row>
    <row r="54348" spans="1:26" ht="12.75" customHeight="1" x14ac:dyDescent="0.2">
      <c r="A54348" s="258"/>
      <c r="Z54348" s="258"/>
    </row>
    <row r="54349" spans="1:26" ht="12.75" customHeight="1" x14ac:dyDescent="0.2">
      <c r="A54349" s="258"/>
      <c r="Z54349" s="258"/>
    </row>
    <row r="54350" spans="1:26" ht="12.75" customHeight="1" x14ac:dyDescent="0.2">
      <c r="A54350" s="258"/>
      <c r="Z54350" s="258"/>
    </row>
    <row r="54351" spans="1:26" ht="12.75" customHeight="1" x14ac:dyDescent="0.2">
      <c r="A54351" s="258"/>
      <c r="Z54351" s="258"/>
    </row>
    <row r="54352" spans="1:26" ht="12.75" customHeight="1" x14ac:dyDescent="0.2">
      <c r="A54352" s="258"/>
      <c r="Z54352" s="258"/>
    </row>
    <row r="54353" spans="1:26" ht="12.75" customHeight="1" x14ac:dyDescent="0.2">
      <c r="A54353" s="258"/>
      <c r="Z54353" s="258"/>
    </row>
    <row r="54354" spans="1:26" ht="12.75" customHeight="1" x14ac:dyDescent="0.2">
      <c r="A54354" s="258"/>
      <c r="Z54354" s="258"/>
    </row>
    <row r="54355" spans="1:26" ht="12.75" customHeight="1" x14ac:dyDescent="0.2">
      <c r="A54355" s="258"/>
      <c r="Z54355" s="258"/>
    </row>
    <row r="54356" spans="1:26" ht="12.75" customHeight="1" x14ac:dyDescent="0.2">
      <c r="A54356" s="258"/>
      <c r="Z54356" s="258"/>
    </row>
    <row r="54357" spans="1:26" ht="12.75" customHeight="1" x14ac:dyDescent="0.2">
      <c r="A54357" s="258"/>
      <c r="Z54357" s="258"/>
    </row>
    <row r="54358" spans="1:26" ht="12.75" customHeight="1" x14ac:dyDescent="0.2">
      <c r="A54358" s="258"/>
      <c r="Z54358" s="258"/>
    </row>
    <row r="54359" spans="1:26" ht="12.75" customHeight="1" x14ac:dyDescent="0.2">
      <c r="A54359" s="258"/>
      <c r="Z54359" s="258"/>
    </row>
    <row r="54360" spans="1:26" ht="12.75" customHeight="1" x14ac:dyDescent="0.2">
      <c r="A54360" s="258"/>
      <c r="Z54360" s="258"/>
    </row>
    <row r="54361" spans="1:26" ht="12.75" customHeight="1" x14ac:dyDescent="0.2">
      <c r="A54361" s="258"/>
      <c r="Z54361" s="258"/>
    </row>
    <row r="54362" spans="1:26" ht="12.75" customHeight="1" x14ac:dyDescent="0.2">
      <c r="A54362" s="258"/>
      <c r="Z54362" s="258"/>
    </row>
    <row r="54363" spans="1:26" ht="12.75" customHeight="1" x14ac:dyDescent="0.2">
      <c r="A54363" s="258"/>
      <c r="Z54363" s="258"/>
    </row>
    <row r="54364" spans="1:26" ht="12.75" customHeight="1" x14ac:dyDescent="0.2">
      <c r="A54364" s="258"/>
      <c r="Z54364" s="258"/>
    </row>
    <row r="54365" spans="1:26" ht="12.75" customHeight="1" x14ac:dyDescent="0.2">
      <c r="A54365" s="258"/>
      <c r="Z54365" s="258"/>
    </row>
    <row r="54366" spans="1:26" ht="12.75" customHeight="1" x14ac:dyDescent="0.2">
      <c r="A54366" s="258"/>
      <c r="Z54366" s="258"/>
    </row>
    <row r="54367" spans="1:26" ht="12.75" customHeight="1" x14ac:dyDescent="0.2">
      <c r="A54367" s="258"/>
      <c r="Z54367" s="258"/>
    </row>
    <row r="54368" spans="1:26" ht="12.75" customHeight="1" x14ac:dyDescent="0.2">
      <c r="A54368" s="258"/>
      <c r="Z54368" s="258"/>
    </row>
    <row r="54369" spans="1:26" ht="12.75" customHeight="1" x14ac:dyDescent="0.2">
      <c r="A54369" s="258"/>
      <c r="Z54369" s="258"/>
    </row>
    <row r="54370" spans="1:26" ht="12.75" customHeight="1" x14ac:dyDescent="0.2">
      <c r="A54370" s="258"/>
      <c r="Z54370" s="258"/>
    </row>
    <row r="54371" spans="1:26" ht="12.75" customHeight="1" x14ac:dyDescent="0.2">
      <c r="A54371" s="258"/>
      <c r="Z54371" s="258"/>
    </row>
    <row r="54372" spans="1:26" ht="12.75" customHeight="1" x14ac:dyDescent="0.2">
      <c r="A54372" s="258"/>
      <c r="Z54372" s="258"/>
    </row>
    <row r="54373" spans="1:26" ht="12.75" customHeight="1" x14ac:dyDescent="0.2">
      <c r="A54373" s="258"/>
      <c r="Z54373" s="258"/>
    </row>
    <row r="54374" spans="1:26" ht="12.75" customHeight="1" x14ac:dyDescent="0.2">
      <c r="A54374" s="258"/>
      <c r="Z54374" s="258"/>
    </row>
    <row r="54375" spans="1:26" ht="12.75" customHeight="1" x14ac:dyDescent="0.2">
      <c r="A54375" s="258"/>
      <c r="Z54375" s="258"/>
    </row>
    <row r="54376" spans="1:26" ht="12.75" customHeight="1" x14ac:dyDescent="0.2">
      <c r="A54376" s="258"/>
      <c r="Z54376" s="258"/>
    </row>
    <row r="54377" spans="1:26" ht="12.75" customHeight="1" x14ac:dyDescent="0.2">
      <c r="A54377" s="258"/>
      <c r="Z54377" s="258"/>
    </row>
    <row r="54378" spans="1:26" ht="12.75" customHeight="1" x14ac:dyDescent="0.2">
      <c r="A54378" s="258"/>
      <c r="Z54378" s="258"/>
    </row>
    <row r="54379" spans="1:26" ht="12.75" customHeight="1" x14ac:dyDescent="0.2">
      <c r="A54379" s="258"/>
      <c r="Z54379" s="258"/>
    </row>
    <row r="54380" spans="1:26" ht="12.75" customHeight="1" x14ac:dyDescent="0.2">
      <c r="A54380" s="258"/>
      <c r="Z54380" s="258"/>
    </row>
    <row r="54381" spans="1:26" ht="12.75" customHeight="1" x14ac:dyDescent="0.2">
      <c r="A54381" s="258"/>
      <c r="Z54381" s="258"/>
    </row>
    <row r="54382" spans="1:26" ht="12.75" customHeight="1" x14ac:dyDescent="0.2">
      <c r="A54382" s="258"/>
      <c r="Z54382" s="258"/>
    </row>
    <row r="54383" spans="1:26" ht="12.75" customHeight="1" x14ac:dyDescent="0.2">
      <c r="A54383" s="258"/>
      <c r="Z54383" s="258"/>
    </row>
    <row r="54384" spans="1:26" ht="12.75" customHeight="1" x14ac:dyDescent="0.2">
      <c r="A54384" s="258"/>
      <c r="Z54384" s="258"/>
    </row>
    <row r="54385" spans="1:26" ht="12.75" customHeight="1" x14ac:dyDescent="0.2">
      <c r="A54385" s="258"/>
      <c r="Z54385" s="258"/>
    </row>
    <row r="54386" spans="1:26" ht="12.75" customHeight="1" x14ac:dyDescent="0.2">
      <c r="A54386" s="258"/>
      <c r="Z54386" s="258"/>
    </row>
    <row r="54387" spans="1:26" ht="12.75" customHeight="1" x14ac:dyDescent="0.2">
      <c r="A54387" s="258"/>
      <c r="Z54387" s="258"/>
    </row>
    <row r="54388" spans="1:26" ht="12.75" customHeight="1" x14ac:dyDescent="0.2">
      <c r="A54388" s="258"/>
      <c r="Z54388" s="258"/>
    </row>
    <row r="54389" spans="1:26" ht="12.75" customHeight="1" x14ac:dyDescent="0.2">
      <c r="A54389" s="258"/>
      <c r="Z54389" s="258"/>
    </row>
    <row r="54390" spans="1:26" ht="12.75" customHeight="1" x14ac:dyDescent="0.2">
      <c r="A54390" s="258"/>
      <c r="Z54390" s="258"/>
    </row>
    <row r="54391" spans="1:26" ht="12.75" customHeight="1" x14ac:dyDescent="0.2">
      <c r="A54391" s="258"/>
      <c r="Z54391" s="258"/>
    </row>
    <row r="54392" spans="1:26" ht="12.75" customHeight="1" x14ac:dyDescent="0.2">
      <c r="A54392" s="258"/>
      <c r="Z54392" s="258"/>
    </row>
    <row r="54393" spans="1:26" ht="12.75" customHeight="1" x14ac:dyDescent="0.2">
      <c r="A54393" s="258"/>
      <c r="Z54393" s="258"/>
    </row>
    <row r="54394" spans="1:26" ht="12.75" customHeight="1" x14ac:dyDescent="0.2">
      <c r="A54394" s="258"/>
      <c r="Z54394" s="258"/>
    </row>
    <row r="54395" spans="1:26" ht="12.75" customHeight="1" x14ac:dyDescent="0.2">
      <c r="A54395" s="258"/>
      <c r="Z54395" s="258"/>
    </row>
    <row r="54396" spans="1:26" ht="12.75" customHeight="1" x14ac:dyDescent="0.2">
      <c r="A54396" s="258"/>
      <c r="Z54396" s="258"/>
    </row>
    <row r="54397" spans="1:26" ht="12.75" customHeight="1" x14ac:dyDescent="0.2">
      <c r="A54397" s="258"/>
      <c r="Z54397" s="258"/>
    </row>
    <row r="54398" spans="1:26" ht="12.75" customHeight="1" x14ac:dyDescent="0.2">
      <c r="A54398" s="258"/>
      <c r="Z54398" s="258"/>
    </row>
    <row r="54399" spans="1:26" ht="12.75" customHeight="1" x14ac:dyDescent="0.2">
      <c r="A54399" s="258"/>
      <c r="Z54399" s="258"/>
    </row>
    <row r="54400" spans="1:26" ht="12.75" customHeight="1" x14ac:dyDescent="0.2">
      <c r="A54400" s="258"/>
      <c r="Z54400" s="258"/>
    </row>
    <row r="54401" spans="1:26" ht="12.75" customHeight="1" x14ac:dyDescent="0.2">
      <c r="A54401" s="258"/>
      <c r="Z54401" s="258"/>
    </row>
    <row r="54402" spans="1:26" ht="12.75" customHeight="1" x14ac:dyDescent="0.2">
      <c r="A54402" s="258"/>
      <c r="Z54402" s="258"/>
    </row>
    <row r="54403" spans="1:26" ht="12.75" customHeight="1" x14ac:dyDescent="0.2">
      <c r="A54403" s="258"/>
      <c r="Z54403" s="258"/>
    </row>
    <row r="54404" spans="1:26" ht="12.75" customHeight="1" x14ac:dyDescent="0.2">
      <c r="A54404" s="258"/>
      <c r="Z54404" s="258"/>
    </row>
    <row r="54405" spans="1:26" ht="12.75" customHeight="1" x14ac:dyDescent="0.2">
      <c r="A54405" s="258"/>
      <c r="Z54405" s="258"/>
    </row>
    <row r="54406" spans="1:26" ht="12.75" customHeight="1" x14ac:dyDescent="0.2">
      <c r="A54406" s="258"/>
      <c r="Z54406" s="258"/>
    </row>
    <row r="54407" spans="1:26" ht="12.75" customHeight="1" x14ac:dyDescent="0.2">
      <c r="A54407" s="258"/>
      <c r="Z54407" s="258"/>
    </row>
    <row r="54408" spans="1:26" ht="12.75" customHeight="1" x14ac:dyDescent="0.2">
      <c r="A54408" s="258"/>
      <c r="Z54408" s="258"/>
    </row>
    <row r="54409" spans="1:26" ht="12.75" customHeight="1" x14ac:dyDescent="0.2">
      <c r="A54409" s="258"/>
      <c r="Z54409" s="258"/>
    </row>
    <row r="54410" spans="1:26" ht="12.75" customHeight="1" x14ac:dyDescent="0.2">
      <c r="A54410" s="258"/>
      <c r="Z54410" s="258"/>
    </row>
    <row r="54411" spans="1:26" ht="12.75" customHeight="1" x14ac:dyDescent="0.2">
      <c r="A54411" s="258"/>
      <c r="Z54411" s="258"/>
    </row>
    <row r="54412" spans="1:26" ht="12.75" customHeight="1" x14ac:dyDescent="0.2">
      <c r="A54412" s="258"/>
      <c r="Z54412" s="258"/>
    </row>
    <row r="54413" spans="1:26" ht="12.75" customHeight="1" x14ac:dyDescent="0.2">
      <c r="A54413" s="258"/>
      <c r="Z54413" s="258"/>
    </row>
    <row r="54414" spans="1:26" ht="12.75" customHeight="1" x14ac:dyDescent="0.2">
      <c r="A54414" s="258"/>
      <c r="Z54414" s="258"/>
    </row>
    <row r="54415" spans="1:26" ht="12.75" customHeight="1" x14ac:dyDescent="0.2">
      <c r="A54415" s="258"/>
      <c r="Z54415" s="258"/>
    </row>
    <row r="54416" spans="1:26" ht="12.75" customHeight="1" x14ac:dyDescent="0.2">
      <c r="A54416" s="258"/>
      <c r="Z54416" s="258"/>
    </row>
    <row r="54417" spans="1:26" ht="12.75" customHeight="1" x14ac:dyDescent="0.2">
      <c r="A54417" s="258"/>
      <c r="Z54417" s="258"/>
    </row>
    <row r="54418" spans="1:26" ht="12.75" customHeight="1" x14ac:dyDescent="0.2">
      <c r="A54418" s="258"/>
      <c r="Z54418" s="258"/>
    </row>
    <row r="54419" spans="1:26" ht="12.75" customHeight="1" x14ac:dyDescent="0.2">
      <c r="A54419" s="258"/>
      <c r="Z54419" s="258"/>
    </row>
    <row r="54420" spans="1:26" ht="12.75" customHeight="1" x14ac:dyDescent="0.2">
      <c r="A54420" s="258"/>
      <c r="Z54420" s="258"/>
    </row>
    <row r="54421" spans="1:26" ht="12.75" customHeight="1" x14ac:dyDescent="0.2">
      <c r="A54421" s="258"/>
      <c r="Z54421" s="258"/>
    </row>
    <row r="54422" spans="1:26" ht="12.75" customHeight="1" x14ac:dyDescent="0.2">
      <c r="A54422" s="258"/>
      <c r="Z54422" s="258"/>
    </row>
    <row r="54423" spans="1:26" ht="12.75" customHeight="1" x14ac:dyDescent="0.2">
      <c r="A54423" s="258"/>
      <c r="Z54423" s="258"/>
    </row>
    <row r="54424" spans="1:26" ht="12.75" customHeight="1" x14ac:dyDescent="0.2">
      <c r="A54424" s="258"/>
      <c r="Z54424" s="258"/>
    </row>
    <row r="54425" spans="1:26" ht="12.75" customHeight="1" x14ac:dyDescent="0.2">
      <c r="A54425" s="258"/>
      <c r="Z54425" s="258"/>
    </row>
    <row r="54426" spans="1:26" ht="12.75" customHeight="1" x14ac:dyDescent="0.2">
      <c r="A54426" s="258"/>
      <c r="Z54426" s="258"/>
    </row>
    <row r="54427" spans="1:26" ht="12.75" customHeight="1" x14ac:dyDescent="0.2">
      <c r="A54427" s="258"/>
      <c r="Z54427" s="258"/>
    </row>
    <row r="54428" spans="1:26" ht="12.75" customHeight="1" x14ac:dyDescent="0.2">
      <c r="A54428" s="258"/>
      <c r="Z54428" s="258"/>
    </row>
    <row r="54429" spans="1:26" ht="12.75" customHeight="1" x14ac:dyDescent="0.2">
      <c r="A54429" s="258"/>
      <c r="Z54429" s="258"/>
    </row>
    <row r="54430" spans="1:26" ht="12.75" customHeight="1" x14ac:dyDescent="0.2">
      <c r="A54430" s="258"/>
      <c r="Z54430" s="258"/>
    </row>
    <row r="54431" spans="1:26" ht="12.75" customHeight="1" x14ac:dyDescent="0.2">
      <c r="A54431" s="258"/>
      <c r="Z54431" s="258"/>
    </row>
    <row r="54432" spans="1:26" ht="12.75" customHeight="1" x14ac:dyDescent="0.2">
      <c r="A54432" s="258"/>
      <c r="Z54432" s="258"/>
    </row>
    <row r="54433" spans="1:26" ht="12.75" customHeight="1" x14ac:dyDescent="0.2">
      <c r="A54433" s="258"/>
      <c r="Z54433" s="258"/>
    </row>
    <row r="54434" spans="1:26" ht="12.75" customHeight="1" x14ac:dyDescent="0.2">
      <c r="A54434" s="258"/>
      <c r="Z54434" s="258"/>
    </row>
    <row r="54435" spans="1:26" ht="12.75" customHeight="1" x14ac:dyDescent="0.2">
      <c r="A54435" s="258"/>
      <c r="Z54435" s="258"/>
    </row>
    <row r="54436" spans="1:26" ht="12.75" customHeight="1" x14ac:dyDescent="0.2">
      <c r="A54436" s="258"/>
      <c r="Z54436" s="258"/>
    </row>
    <row r="54437" spans="1:26" ht="12.75" customHeight="1" x14ac:dyDescent="0.2">
      <c r="A54437" s="258"/>
      <c r="Z54437" s="258"/>
    </row>
    <row r="54438" spans="1:26" ht="12.75" customHeight="1" x14ac:dyDescent="0.2">
      <c r="A54438" s="258"/>
      <c r="Z54438" s="258"/>
    </row>
    <row r="54439" spans="1:26" ht="12.75" customHeight="1" x14ac:dyDescent="0.2">
      <c r="A54439" s="258"/>
      <c r="Z54439" s="258"/>
    </row>
    <row r="54440" spans="1:26" ht="12.75" customHeight="1" x14ac:dyDescent="0.2">
      <c r="A54440" s="258"/>
      <c r="Z54440" s="258"/>
    </row>
    <row r="54441" spans="1:26" ht="12.75" customHeight="1" x14ac:dyDescent="0.2">
      <c r="A54441" s="258"/>
      <c r="Z54441" s="258"/>
    </row>
    <row r="54442" spans="1:26" ht="12.75" customHeight="1" x14ac:dyDescent="0.2">
      <c r="A54442" s="258"/>
      <c r="Z54442" s="258"/>
    </row>
    <row r="54443" spans="1:26" ht="12.75" customHeight="1" x14ac:dyDescent="0.2">
      <c r="A54443" s="258"/>
      <c r="Z54443" s="258"/>
    </row>
    <row r="54444" spans="1:26" ht="12.75" customHeight="1" x14ac:dyDescent="0.2">
      <c r="A54444" s="258"/>
      <c r="Z54444" s="258"/>
    </row>
    <row r="54445" spans="1:26" ht="12.75" customHeight="1" x14ac:dyDescent="0.2">
      <c r="A54445" s="258"/>
      <c r="Z54445" s="258"/>
    </row>
    <row r="54446" spans="1:26" ht="12.75" customHeight="1" x14ac:dyDescent="0.2">
      <c r="A54446" s="258"/>
      <c r="Z54446" s="258"/>
    </row>
    <row r="54447" spans="1:26" ht="12.75" customHeight="1" x14ac:dyDescent="0.2">
      <c r="A54447" s="258"/>
      <c r="Z54447" s="258"/>
    </row>
    <row r="54448" spans="1:26" ht="12.75" customHeight="1" x14ac:dyDescent="0.2">
      <c r="A54448" s="258"/>
      <c r="Z54448" s="258"/>
    </row>
    <row r="54449" spans="1:26" ht="12.75" customHeight="1" x14ac:dyDescent="0.2">
      <c r="A54449" s="258"/>
      <c r="Z54449" s="258"/>
    </row>
    <row r="54450" spans="1:26" ht="12.75" customHeight="1" x14ac:dyDescent="0.2">
      <c r="A54450" s="258"/>
      <c r="Z54450" s="258"/>
    </row>
    <row r="54451" spans="1:26" ht="12.75" customHeight="1" x14ac:dyDescent="0.2">
      <c r="A54451" s="258"/>
      <c r="Z54451" s="258"/>
    </row>
    <row r="54452" spans="1:26" ht="12.75" customHeight="1" x14ac:dyDescent="0.2">
      <c r="A54452" s="258"/>
      <c r="Z54452" s="258"/>
    </row>
    <row r="54453" spans="1:26" ht="12.75" customHeight="1" x14ac:dyDescent="0.2">
      <c r="A54453" s="258"/>
      <c r="Z54453" s="258"/>
    </row>
    <row r="54454" spans="1:26" ht="12.75" customHeight="1" x14ac:dyDescent="0.2">
      <c r="A54454" s="258"/>
      <c r="Z54454" s="258"/>
    </row>
    <row r="54455" spans="1:26" ht="12.75" customHeight="1" x14ac:dyDescent="0.2">
      <c r="A54455" s="258"/>
      <c r="Z54455" s="258"/>
    </row>
    <row r="54456" spans="1:26" ht="12.75" customHeight="1" x14ac:dyDescent="0.2">
      <c r="A54456" s="258"/>
      <c r="Z54456" s="258"/>
    </row>
    <row r="54457" spans="1:26" ht="12.75" customHeight="1" x14ac:dyDescent="0.2">
      <c r="A54457" s="258"/>
      <c r="Z54457" s="258"/>
    </row>
    <row r="54458" spans="1:26" ht="12.75" customHeight="1" x14ac:dyDescent="0.2">
      <c r="A54458" s="258"/>
      <c r="Z54458" s="258"/>
    </row>
    <row r="54459" spans="1:26" ht="12.75" customHeight="1" x14ac:dyDescent="0.2">
      <c r="A54459" s="258"/>
      <c r="Z54459" s="258"/>
    </row>
    <row r="54460" spans="1:26" ht="12.75" customHeight="1" x14ac:dyDescent="0.2">
      <c r="A54460" s="258"/>
      <c r="Z54460" s="258"/>
    </row>
    <row r="54461" spans="1:26" ht="12.75" customHeight="1" x14ac:dyDescent="0.2">
      <c r="A54461" s="258"/>
      <c r="Z54461" s="258"/>
    </row>
    <row r="54462" spans="1:26" ht="12.75" customHeight="1" x14ac:dyDescent="0.2">
      <c r="A54462" s="258"/>
      <c r="Z54462" s="258"/>
    </row>
    <row r="54463" spans="1:26" ht="12.75" customHeight="1" x14ac:dyDescent="0.2">
      <c r="A54463" s="258"/>
      <c r="Z54463" s="258"/>
    </row>
    <row r="54464" spans="1:26" ht="12.75" customHeight="1" x14ac:dyDescent="0.2">
      <c r="A54464" s="258"/>
      <c r="Z54464" s="258"/>
    </row>
    <row r="54465" spans="1:26" ht="12.75" customHeight="1" x14ac:dyDescent="0.2">
      <c r="A54465" s="258"/>
      <c r="Z54465" s="258"/>
    </row>
    <row r="54466" spans="1:26" ht="12.75" customHeight="1" x14ac:dyDescent="0.2">
      <c r="A54466" s="258"/>
      <c r="Z54466" s="258"/>
    </row>
    <row r="54467" spans="1:26" ht="12.75" customHeight="1" x14ac:dyDescent="0.2">
      <c r="A54467" s="258"/>
      <c r="Z54467" s="258"/>
    </row>
    <row r="54468" spans="1:26" ht="12.75" customHeight="1" x14ac:dyDescent="0.2">
      <c r="A54468" s="258"/>
      <c r="Z54468" s="258"/>
    </row>
    <row r="54469" spans="1:26" ht="12.75" customHeight="1" x14ac:dyDescent="0.2">
      <c r="A54469" s="258"/>
      <c r="Z54469" s="258"/>
    </row>
    <row r="54470" spans="1:26" ht="12.75" customHeight="1" x14ac:dyDescent="0.2">
      <c r="A54470" s="258"/>
      <c r="Z54470" s="258"/>
    </row>
    <row r="54471" spans="1:26" ht="12.75" customHeight="1" x14ac:dyDescent="0.2">
      <c r="A54471" s="258"/>
      <c r="Z54471" s="258"/>
    </row>
    <row r="54472" spans="1:26" ht="12.75" customHeight="1" x14ac:dyDescent="0.2">
      <c r="A54472" s="258"/>
      <c r="Z54472" s="258"/>
    </row>
    <row r="54473" spans="1:26" ht="12.75" customHeight="1" x14ac:dyDescent="0.2">
      <c r="A54473" s="258"/>
      <c r="Z54473" s="258"/>
    </row>
    <row r="54474" spans="1:26" ht="12.75" customHeight="1" x14ac:dyDescent="0.2">
      <c r="A54474" s="258"/>
      <c r="Z54474" s="258"/>
    </row>
    <row r="54475" spans="1:26" ht="12.75" customHeight="1" x14ac:dyDescent="0.2">
      <c r="A54475" s="258"/>
      <c r="Z54475" s="258"/>
    </row>
    <row r="54476" spans="1:26" ht="12.75" customHeight="1" x14ac:dyDescent="0.2">
      <c r="A54476" s="258"/>
      <c r="Z54476" s="258"/>
    </row>
    <row r="54477" spans="1:26" ht="12.75" customHeight="1" x14ac:dyDescent="0.2">
      <c r="A54477" s="258"/>
      <c r="Z54477" s="258"/>
    </row>
    <row r="54478" spans="1:26" ht="12.75" customHeight="1" x14ac:dyDescent="0.2">
      <c r="A54478" s="258"/>
      <c r="Z54478" s="258"/>
    </row>
    <row r="54479" spans="1:26" ht="12.75" customHeight="1" x14ac:dyDescent="0.2">
      <c r="A54479" s="258"/>
      <c r="Z54479" s="258"/>
    </row>
    <row r="54480" spans="1:26" ht="12.75" customHeight="1" x14ac:dyDescent="0.2">
      <c r="A54480" s="258"/>
      <c r="Z54480" s="258"/>
    </row>
    <row r="54481" spans="1:26" ht="12.75" customHeight="1" x14ac:dyDescent="0.2">
      <c r="A54481" s="258"/>
      <c r="Z54481" s="258"/>
    </row>
    <row r="54482" spans="1:26" ht="12.75" customHeight="1" x14ac:dyDescent="0.2">
      <c r="A54482" s="258"/>
      <c r="Z54482" s="258"/>
    </row>
    <row r="54483" spans="1:26" ht="12.75" customHeight="1" x14ac:dyDescent="0.2">
      <c r="A54483" s="258"/>
      <c r="Z54483" s="258"/>
    </row>
    <row r="54484" spans="1:26" ht="12.75" customHeight="1" x14ac:dyDescent="0.2">
      <c r="A54484" s="258"/>
      <c r="Z54484" s="258"/>
    </row>
    <row r="54485" spans="1:26" ht="12.75" customHeight="1" x14ac:dyDescent="0.2">
      <c r="A54485" s="258"/>
      <c r="Z54485" s="258"/>
    </row>
    <row r="54486" spans="1:26" ht="12.75" customHeight="1" x14ac:dyDescent="0.2">
      <c r="A54486" s="258"/>
      <c r="Z54486" s="258"/>
    </row>
    <row r="54487" spans="1:26" ht="12.75" customHeight="1" x14ac:dyDescent="0.2">
      <c r="A54487" s="258"/>
      <c r="Z54487" s="258"/>
    </row>
    <row r="54488" spans="1:26" ht="12.75" customHeight="1" x14ac:dyDescent="0.2">
      <c r="A54488" s="258"/>
      <c r="Z54488" s="258"/>
    </row>
    <row r="54489" spans="1:26" ht="12.75" customHeight="1" x14ac:dyDescent="0.2">
      <c r="A54489" s="258"/>
      <c r="Z54489" s="258"/>
    </row>
    <row r="54490" spans="1:26" ht="12.75" customHeight="1" x14ac:dyDescent="0.2">
      <c r="A54490" s="258"/>
      <c r="Z54490" s="258"/>
    </row>
    <row r="54491" spans="1:26" ht="12.75" customHeight="1" x14ac:dyDescent="0.2">
      <c r="A54491" s="258"/>
      <c r="Z54491" s="258"/>
    </row>
    <row r="54492" spans="1:26" ht="12.75" customHeight="1" x14ac:dyDescent="0.2">
      <c r="A54492" s="258"/>
      <c r="Z54492" s="258"/>
    </row>
    <row r="54493" spans="1:26" ht="12.75" customHeight="1" x14ac:dyDescent="0.2">
      <c r="A54493" s="258"/>
      <c r="Z54493" s="258"/>
    </row>
    <row r="54494" spans="1:26" ht="12.75" customHeight="1" x14ac:dyDescent="0.2">
      <c r="A54494" s="258"/>
      <c r="Z54494" s="258"/>
    </row>
    <row r="54495" spans="1:26" ht="12.75" customHeight="1" x14ac:dyDescent="0.2">
      <c r="A54495" s="258"/>
      <c r="Z54495" s="258"/>
    </row>
    <row r="54496" spans="1:26" ht="12.75" customHeight="1" x14ac:dyDescent="0.2">
      <c r="A54496" s="258"/>
      <c r="Z54496" s="258"/>
    </row>
    <row r="54497" spans="1:26" ht="12.75" customHeight="1" x14ac:dyDescent="0.2">
      <c r="A54497" s="258"/>
      <c r="Z54497" s="258"/>
    </row>
    <row r="54498" spans="1:26" ht="12.75" customHeight="1" x14ac:dyDescent="0.2">
      <c r="A54498" s="258"/>
      <c r="Z54498" s="258"/>
    </row>
    <row r="54499" spans="1:26" ht="12.75" customHeight="1" x14ac:dyDescent="0.2">
      <c r="A54499" s="258"/>
      <c r="Z54499" s="258"/>
    </row>
    <row r="54500" spans="1:26" ht="12.75" customHeight="1" x14ac:dyDescent="0.2">
      <c r="A54500" s="258"/>
      <c r="Z54500" s="258"/>
    </row>
    <row r="54501" spans="1:26" ht="12.75" customHeight="1" x14ac:dyDescent="0.2">
      <c r="A54501" s="258"/>
      <c r="Z54501" s="258"/>
    </row>
    <row r="54502" spans="1:26" ht="12.75" customHeight="1" x14ac:dyDescent="0.2">
      <c r="A54502" s="258"/>
      <c r="Z54502" s="258"/>
    </row>
    <row r="54503" spans="1:26" ht="12.75" customHeight="1" x14ac:dyDescent="0.2">
      <c r="A54503" s="258"/>
      <c r="Z54503" s="258"/>
    </row>
    <row r="54504" spans="1:26" ht="12.75" customHeight="1" x14ac:dyDescent="0.2">
      <c r="A54504" s="258"/>
      <c r="Z54504" s="258"/>
    </row>
    <row r="54505" spans="1:26" ht="12.75" customHeight="1" x14ac:dyDescent="0.2">
      <c r="A54505" s="258"/>
      <c r="Z54505" s="258"/>
    </row>
    <row r="54506" spans="1:26" ht="12.75" customHeight="1" x14ac:dyDescent="0.2">
      <c r="A54506" s="258"/>
      <c r="Z54506" s="258"/>
    </row>
    <row r="54507" spans="1:26" ht="12.75" customHeight="1" x14ac:dyDescent="0.2">
      <c r="A54507" s="258"/>
      <c r="Z54507" s="258"/>
    </row>
    <row r="54508" spans="1:26" ht="12.75" customHeight="1" x14ac:dyDescent="0.2">
      <c r="A54508" s="258"/>
      <c r="Z54508" s="258"/>
    </row>
    <row r="54509" spans="1:26" ht="12.75" customHeight="1" x14ac:dyDescent="0.2">
      <c r="A54509" s="258"/>
      <c r="Z54509" s="258"/>
    </row>
    <row r="54510" spans="1:26" ht="12.75" customHeight="1" x14ac:dyDescent="0.2">
      <c r="A54510" s="258"/>
      <c r="Z54510" s="258"/>
    </row>
    <row r="54511" spans="1:26" ht="12.75" customHeight="1" x14ac:dyDescent="0.2">
      <c r="A54511" s="258"/>
      <c r="Z54511" s="258"/>
    </row>
    <row r="54512" spans="1:26" ht="12.75" customHeight="1" x14ac:dyDescent="0.2">
      <c r="A54512" s="258"/>
      <c r="Z54512" s="258"/>
    </row>
    <row r="54513" spans="1:26" ht="12.75" customHeight="1" x14ac:dyDescent="0.2">
      <c r="A54513" s="258"/>
      <c r="Z54513" s="258"/>
    </row>
    <row r="54514" spans="1:26" ht="12.75" customHeight="1" x14ac:dyDescent="0.2">
      <c r="A54514" s="258"/>
      <c r="Z54514" s="258"/>
    </row>
    <row r="54515" spans="1:26" ht="12.75" customHeight="1" x14ac:dyDescent="0.2">
      <c r="A54515" s="258"/>
      <c r="Z54515" s="258"/>
    </row>
    <row r="54516" spans="1:26" ht="12.75" customHeight="1" x14ac:dyDescent="0.2">
      <c r="A54516" s="258"/>
      <c r="Z54516" s="258"/>
    </row>
    <row r="54517" spans="1:26" ht="12.75" customHeight="1" x14ac:dyDescent="0.2">
      <c r="A54517" s="258"/>
      <c r="Z54517" s="258"/>
    </row>
    <row r="54518" spans="1:26" ht="12.75" customHeight="1" x14ac:dyDescent="0.2">
      <c r="A54518" s="258"/>
      <c r="Z54518" s="258"/>
    </row>
    <row r="54519" spans="1:26" ht="12.75" customHeight="1" x14ac:dyDescent="0.2">
      <c r="A54519" s="258"/>
      <c r="Z54519" s="258"/>
    </row>
    <row r="54520" spans="1:26" ht="12.75" customHeight="1" x14ac:dyDescent="0.2">
      <c r="A54520" s="258"/>
      <c r="Z54520" s="258"/>
    </row>
    <row r="54521" spans="1:26" ht="12.75" customHeight="1" x14ac:dyDescent="0.2">
      <c r="A54521" s="258"/>
      <c r="Z54521" s="258"/>
    </row>
    <row r="54522" spans="1:26" ht="12.75" customHeight="1" x14ac:dyDescent="0.2">
      <c r="A54522" s="258"/>
      <c r="Z54522" s="258"/>
    </row>
    <row r="54523" spans="1:26" ht="12.75" customHeight="1" x14ac:dyDescent="0.2">
      <c r="A54523" s="258"/>
      <c r="Z54523" s="258"/>
    </row>
    <row r="54524" spans="1:26" ht="12.75" customHeight="1" x14ac:dyDescent="0.2">
      <c r="A54524" s="258"/>
      <c r="Z54524" s="258"/>
    </row>
    <row r="54525" spans="1:26" ht="12.75" customHeight="1" x14ac:dyDescent="0.2">
      <c r="A54525" s="258"/>
      <c r="Z54525" s="258"/>
    </row>
    <row r="54526" spans="1:26" ht="12.75" customHeight="1" x14ac:dyDescent="0.2">
      <c r="A54526" s="258"/>
      <c r="Z54526" s="258"/>
    </row>
    <row r="54527" spans="1:26" ht="12.75" customHeight="1" x14ac:dyDescent="0.2">
      <c r="A54527" s="258"/>
      <c r="Z54527" s="258"/>
    </row>
    <row r="54528" spans="1:26" ht="12.75" customHeight="1" x14ac:dyDescent="0.2">
      <c r="A54528" s="258"/>
      <c r="Z54528" s="258"/>
    </row>
    <row r="54529" spans="1:26" ht="12.75" customHeight="1" x14ac:dyDescent="0.2">
      <c r="A54529" s="258"/>
      <c r="Z54529" s="258"/>
    </row>
    <row r="54530" spans="1:26" ht="12.75" customHeight="1" x14ac:dyDescent="0.2">
      <c r="A54530" s="258"/>
      <c r="Z54530" s="258"/>
    </row>
    <row r="54531" spans="1:26" ht="12.75" customHeight="1" x14ac:dyDescent="0.2">
      <c r="A54531" s="258"/>
      <c r="Z54531" s="258"/>
    </row>
    <row r="54532" spans="1:26" ht="12.75" customHeight="1" x14ac:dyDescent="0.2">
      <c r="A54532" s="258"/>
      <c r="Z54532" s="258"/>
    </row>
    <row r="54533" spans="1:26" ht="12.75" customHeight="1" x14ac:dyDescent="0.2">
      <c r="A54533" s="258"/>
      <c r="Z54533" s="258"/>
    </row>
    <row r="54534" spans="1:26" ht="12.75" customHeight="1" x14ac:dyDescent="0.2">
      <c r="A54534" s="258"/>
      <c r="Z54534" s="258"/>
    </row>
    <row r="54535" spans="1:26" ht="12.75" customHeight="1" x14ac:dyDescent="0.2">
      <c r="A54535" s="258"/>
      <c r="Z54535" s="258"/>
    </row>
    <row r="54536" spans="1:26" ht="12.75" customHeight="1" x14ac:dyDescent="0.2">
      <c r="A54536" s="258"/>
      <c r="Z54536" s="258"/>
    </row>
    <row r="54537" spans="1:26" ht="12.75" customHeight="1" x14ac:dyDescent="0.2">
      <c r="A54537" s="258"/>
      <c r="Z54537" s="258"/>
    </row>
    <row r="54538" spans="1:26" ht="12.75" customHeight="1" x14ac:dyDescent="0.2">
      <c r="A54538" s="258"/>
      <c r="Z54538" s="258"/>
    </row>
    <row r="54539" spans="1:26" ht="12.75" customHeight="1" x14ac:dyDescent="0.2">
      <c r="A54539" s="258"/>
      <c r="Z54539" s="258"/>
    </row>
    <row r="54540" spans="1:26" ht="12.75" customHeight="1" x14ac:dyDescent="0.2">
      <c r="A54540" s="258"/>
      <c r="Z54540" s="258"/>
    </row>
    <row r="54541" spans="1:26" ht="12.75" customHeight="1" x14ac:dyDescent="0.2">
      <c r="A54541" s="258"/>
      <c r="Z54541" s="258"/>
    </row>
    <row r="54542" spans="1:26" ht="12.75" customHeight="1" x14ac:dyDescent="0.2">
      <c r="A54542" s="258"/>
      <c r="Z54542" s="258"/>
    </row>
    <row r="54543" spans="1:26" ht="12.75" customHeight="1" x14ac:dyDescent="0.2">
      <c r="A54543" s="258"/>
      <c r="Z54543" s="258"/>
    </row>
    <row r="54544" spans="1:26" ht="12.75" customHeight="1" x14ac:dyDescent="0.2">
      <c r="A54544" s="258"/>
      <c r="Z54544" s="258"/>
    </row>
    <row r="54545" spans="1:26" ht="12.75" customHeight="1" x14ac:dyDescent="0.2">
      <c r="A54545" s="258"/>
      <c r="Z54545" s="258"/>
    </row>
    <row r="54546" spans="1:26" ht="12.75" customHeight="1" x14ac:dyDescent="0.2">
      <c r="A54546" s="258"/>
      <c r="Z54546" s="258"/>
    </row>
    <row r="54547" spans="1:26" ht="12.75" customHeight="1" x14ac:dyDescent="0.2">
      <c r="A54547" s="258"/>
      <c r="Z54547" s="258"/>
    </row>
    <row r="54548" spans="1:26" ht="12.75" customHeight="1" x14ac:dyDescent="0.2">
      <c r="A54548" s="258"/>
      <c r="Z54548" s="258"/>
    </row>
    <row r="54549" spans="1:26" ht="12.75" customHeight="1" x14ac:dyDescent="0.2">
      <c r="A54549" s="258"/>
      <c r="Z54549" s="258"/>
    </row>
    <row r="54550" spans="1:26" ht="12.75" customHeight="1" x14ac:dyDescent="0.2">
      <c r="A54550" s="258"/>
      <c r="Z54550" s="258"/>
    </row>
    <row r="54551" spans="1:26" ht="12.75" customHeight="1" x14ac:dyDescent="0.2">
      <c r="A54551" s="258"/>
      <c r="Z54551" s="258"/>
    </row>
    <row r="54552" spans="1:26" ht="12.75" customHeight="1" x14ac:dyDescent="0.2">
      <c r="A54552" s="258"/>
      <c r="Z54552" s="258"/>
    </row>
    <row r="54553" spans="1:26" ht="12.75" customHeight="1" x14ac:dyDescent="0.2">
      <c r="A54553" s="258"/>
      <c r="Z54553" s="258"/>
    </row>
    <row r="54554" spans="1:26" ht="12.75" customHeight="1" x14ac:dyDescent="0.2">
      <c r="A54554" s="258"/>
      <c r="Z54554" s="258"/>
    </row>
    <row r="54555" spans="1:26" ht="12.75" customHeight="1" x14ac:dyDescent="0.2">
      <c r="A54555" s="258"/>
      <c r="Z54555" s="258"/>
    </row>
    <row r="54556" spans="1:26" ht="12.75" customHeight="1" x14ac:dyDescent="0.2">
      <c r="A54556" s="258"/>
      <c r="Z54556" s="258"/>
    </row>
    <row r="54557" spans="1:26" ht="12.75" customHeight="1" x14ac:dyDescent="0.2">
      <c r="A54557" s="258"/>
      <c r="Z54557" s="258"/>
    </row>
    <row r="54558" spans="1:26" ht="12.75" customHeight="1" x14ac:dyDescent="0.2">
      <c r="A54558" s="258"/>
      <c r="Z54558" s="258"/>
    </row>
    <row r="54559" spans="1:26" ht="12.75" customHeight="1" x14ac:dyDescent="0.2">
      <c r="A54559" s="258"/>
      <c r="Z54559" s="258"/>
    </row>
    <row r="54560" spans="1:26" ht="12.75" customHeight="1" x14ac:dyDescent="0.2">
      <c r="A54560" s="258"/>
      <c r="Z54560" s="258"/>
    </row>
    <row r="54561" spans="1:26" ht="12.75" customHeight="1" x14ac:dyDescent="0.2">
      <c r="A54561" s="258"/>
      <c r="Z54561" s="258"/>
    </row>
    <row r="54562" spans="1:26" ht="12.75" customHeight="1" x14ac:dyDescent="0.2">
      <c r="A54562" s="258"/>
      <c r="Z54562" s="258"/>
    </row>
    <row r="54563" spans="1:26" ht="12.75" customHeight="1" x14ac:dyDescent="0.2">
      <c r="A54563" s="258"/>
      <c r="Z54563" s="258"/>
    </row>
    <row r="54564" spans="1:26" ht="12.75" customHeight="1" x14ac:dyDescent="0.2">
      <c r="A54564" s="258"/>
      <c r="Z54564" s="258"/>
    </row>
    <row r="54565" spans="1:26" ht="12.75" customHeight="1" x14ac:dyDescent="0.2">
      <c r="A54565" s="258"/>
      <c r="Z54565" s="258"/>
    </row>
    <row r="54566" spans="1:26" ht="12.75" customHeight="1" x14ac:dyDescent="0.2">
      <c r="A54566" s="258"/>
      <c r="Z54566" s="258"/>
    </row>
    <row r="54567" spans="1:26" ht="12.75" customHeight="1" x14ac:dyDescent="0.2">
      <c r="A54567" s="258"/>
      <c r="Z54567" s="258"/>
    </row>
    <row r="54568" spans="1:26" ht="12.75" customHeight="1" x14ac:dyDescent="0.2">
      <c r="A54568" s="258"/>
      <c r="Z54568" s="258"/>
    </row>
    <row r="54569" spans="1:26" ht="12.75" customHeight="1" x14ac:dyDescent="0.2">
      <c r="A54569" s="258"/>
      <c r="Z54569" s="258"/>
    </row>
    <row r="54570" spans="1:26" ht="12.75" customHeight="1" x14ac:dyDescent="0.2">
      <c r="A54570" s="258"/>
      <c r="Z54570" s="258"/>
    </row>
    <row r="54571" spans="1:26" ht="12.75" customHeight="1" x14ac:dyDescent="0.2">
      <c r="A54571" s="258"/>
      <c r="Z54571" s="258"/>
    </row>
    <row r="54572" spans="1:26" ht="12.75" customHeight="1" x14ac:dyDescent="0.2">
      <c r="A54572" s="258"/>
      <c r="Z54572" s="258"/>
    </row>
    <row r="54573" spans="1:26" ht="12.75" customHeight="1" x14ac:dyDescent="0.2">
      <c r="A54573" s="258"/>
      <c r="Z54573" s="258"/>
    </row>
    <row r="54574" spans="1:26" ht="12.75" customHeight="1" x14ac:dyDescent="0.2">
      <c r="A54574" s="258"/>
      <c r="Z54574" s="258"/>
    </row>
    <row r="54575" spans="1:26" ht="12.75" customHeight="1" x14ac:dyDescent="0.2">
      <c r="A54575" s="258"/>
      <c r="Z54575" s="258"/>
    </row>
    <row r="54576" spans="1:26" ht="12.75" customHeight="1" x14ac:dyDescent="0.2">
      <c r="A54576" s="258"/>
      <c r="Z54576" s="258"/>
    </row>
    <row r="54577" spans="1:26" ht="12.75" customHeight="1" x14ac:dyDescent="0.2">
      <c r="A54577" s="258"/>
      <c r="Z54577" s="258"/>
    </row>
    <row r="54578" spans="1:26" ht="12.75" customHeight="1" x14ac:dyDescent="0.2">
      <c r="A54578" s="258"/>
      <c r="Z54578" s="258"/>
    </row>
    <row r="54579" spans="1:26" ht="12.75" customHeight="1" x14ac:dyDescent="0.2">
      <c r="A54579" s="258"/>
      <c r="Z54579" s="258"/>
    </row>
    <row r="54580" spans="1:26" ht="12.75" customHeight="1" x14ac:dyDescent="0.2">
      <c r="A54580" s="258"/>
      <c r="Z54580" s="258"/>
    </row>
    <row r="54581" spans="1:26" ht="12.75" customHeight="1" x14ac:dyDescent="0.2">
      <c r="A54581" s="258"/>
      <c r="Z54581" s="258"/>
    </row>
    <row r="54582" spans="1:26" ht="12.75" customHeight="1" x14ac:dyDescent="0.2">
      <c r="A54582" s="258"/>
      <c r="Z54582" s="258"/>
    </row>
    <row r="54583" spans="1:26" ht="12.75" customHeight="1" x14ac:dyDescent="0.2">
      <c r="A54583" s="258"/>
      <c r="Z54583" s="258"/>
    </row>
    <row r="54584" spans="1:26" ht="12.75" customHeight="1" x14ac:dyDescent="0.2">
      <c r="A54584" s="258"/>
      <c r="Z54584" s="258"/>
    </row>
    <row r="54585" spans="1:26" ht="12.75" customHeight="1" x14ac:dyDescent="0.2">
      <c r="A54585" s="258"/>
      <c r="Z54585" s="258"/>
    </row>
    <row r="54586" spans="1:26" ht="12.75" customHeight="1" x14ac:dyDescent="0.2">
      <c r="A54586" s="258"/>
      <c r="Z54586" s="258"/>
    </row>
    <row r="54587" spans="1:26" ht="12.75" customHeight="1" x14ac:dyDescent="0.2">
      <c r="A54587" s="258"/>
      <c r="Z54587" s="258"/>
    </row>
    <row r="54588" spans="1:26" ht="12.75" customHeight="1" x14ac:dyDescent="0.2">
      <c r="A54588" s="258"/>
      <c r="Z54588" s="258"/>
    </row>
    <row r="54589" spans="1:26" ht="12.75" customHeight="1" x14ac:dyDescent="0.2">
      <c r="A54589" s="258"/>
      <c r="Z54589" s="258"/>
    </row>
    <row r="54590" spans="1:26" ht="12.75" customHeight="1" x14ac:dyDescent="0.2">
      <c r="A54590" s="258"/>
      <c r="Z54590" s="258"/>
    </row>
    <row r="54591" spans="1:26" ht="12.75" customHeight="1" x14ac:dyDescent="0.2">
      <c r="A54591" s="258"/>
      <c r="Z54591" s="258"/>
    </row>
    <row r="54592" spans="1:26" ht="12.75" customHeight="1" x14ac:dyDescent="0.2">
      <c r="A54592" s="258"/>
      <c r="Z54592" s="258"/>
    </row>
    <row r="54593" spans="1:26" ht="12.75" customHeight="1" x14ac:dyDescent="0.2">
      <c r="A54593" s="258"/>
      <c r="Z54593" s="258"/>
    </row>
    <row r="54594" spans="1:26" ht="12.75" customHeight="1" x14ac:dyDescent="0.2">
      <c r="A54594" s="258"/>
      <c r="Z54594" s="258"/>
    </row>
    <row r="54595" spans="1:26" ht="12.75" customHeight="1" x14ac:dyDescent="0.2">
      <c r="A54595" s="258"/>
      <c r="Z54595" s="258"/>
    </row>
    <row r="54596" spans="1:26" ht="12.75" customHeight="1" x14ac:dyDescent="0.2">
      <c r="A54596" s="258"/>
      <c r="Z54596" s="258"/>
    </row>
    <row r="54597" spans="1:26" ht="12.75" customHeight="1" x14ac:dyDescent="0.2">
      <c r="A54597" s="258"/>
      <c r="Z54597" s="258"/>
    </row>
    <row r="54598" spans="1:26" ht="12.75" customHeight="1" x14ac:dyDescent="0.2">
      <c r="A54598" s="258"/>
      <c r="Z54598" s="258"/>
    </row>
    <row r="54599" spans="1:26" ht="12.75" customHeight="1" x14ac:dyDescent="0.2">
      <c r="A54599" s="258"/>
      <c r="Z54599" s="258"/>
    </row>
    <row r="54600" spans="1:26" ht="12.75" customHeight="1" x14ac:dyDescent="0.2">
      <c r="A54600" s="258"/>
      <c r="Z54600" s="258"/>
    </row>
    <row r="54601" spans="1:26" ht="12.75" customHeight="1" x14ac:dyDescent="0.2">
      <c r="A54601" s="258"/>
      <c r="Z54601" s="258"/>
    </row>
    <row r="54602" spans="1:26" ht="12.75" customHeight="1" x14ac:dyDescent="0.2">
      <c r="A54602" s="258"/>
      <c r="Z54602" s="258"/>
    </row>
    <row r="54603" spans="1:26" ht="12.75" customHeight="1" x14ac:dyDescent="0.2">
      <c r="A54603" s="258"/>
      <c r="Z54603" s="258"/>
    </row>
    <row r="54604" spans="1:26" ht="12.75" customHeight="1" x14ac:dyDescent="0.2">
      <c r="A54604" s="258"/>
      <c r="Z54604" s="258"/>
    </row>
    <row r="54605" spans="1:26" ht="12.75" customHeight="1" x14ac:dyDescent="0.2">
      <c r="A54605" s="258"/>
      <c r="Z54605" s="258"/>
    </row>
    <row r="54606" spans="1:26" ht="12.75" customHeight="1" x14ac:dyDescent="0.2">
      <c r="A54606" s="258"/>
      <c r="Z54606" s="258"/>
    </row>
    <row r="54607" spans="1:26" ht="12.75" customHeight="1" x14ac:dyDescent="0.2">
      <c r="A54607" s="258"/>
      <c r="Z54607" s="258"/>
    </row>
    <row r="54608" spans="1:26" ht="12.75" customHeight="1" x14ac:dyDescent="0.2">
      <c r="A54608" s="258"/>
      <c r="Z54608" s="258"/>
    </row>
    <row r="54609" spans="1:26" ht="12.75" customHeight="1" x14ac:dyDescent="0.2">
      <c r="A54609" s="258"/>
      <c r="Z54609" s="258"/>
    </row>
    <row r="54610" spans="1:26" ht="12.75" customHeight="1" x14ac:dyDescent="0.2">
      <c r="A54610" s="258"/>
      <c r="Z54610" s="258"/>
    </row>
    <row r="54611" spans="1:26" ht="12.75" customHeight="1" x14ac:dyDescent="0.2">
      <c r="A54611" s="258"/>
      <c r="Z54611" s="258"/>
    </row>
    <row r="54612" spans="1:26" ht="12.75" customHeight="1" x14ac:dyDescent="0.2">
      <c r="A54612" s="258"/>
      <c r="Z54612" s="258"/>
    </row>
    <row r="54613" spans="1:26" ht="12.75" customHeight="1" x14ac:dyDescent="0.2">
      <c r="A54613" s="258"/>
      <c r="Z54613" s="258"/>
    </row>
    <row r="54614" spans="1:26" ht="12.75" customHeight="1" x14ac:dyDescent="0.2">
      <c r="A54614" s="258"/>
      <c r="Z54614" s="258"/>
    </row>
    <row r="54615" spans="1:26" ht="12.75" customHeight="1" x14ac:dyDescent="0.2">
      <c r="A54615" s="258"/>
      <c r="Z54615" s="258"/>
    </row>
    <row r="54616" spans="1:26" ht="12.75" customHeight="1" x14ac:dyDescent="0.2">
      <c r="A54616" s="258"/>
      <c r="Z54616" s="258"/>
    </row>
    <row r="54617" spans="1:26" ht="12.75" customHeight="1" x14ac:dyDescent="0.2">
      <c r="A54617" s="258"/>
      <c r="Z54617" s="258"/>
    </row>
    <row r="54618" spans="1:26" ht="12.75" customHeight="1" x14ac:dyDescent="0.2">
      <c r="A54618" s="258"/>
      <c r="Z54618" s="258"/>
    </row>
    <row r="54619" spans="1:26" ht="12.75" customHeight="1" x14ac:dyDescent="0.2">
      <c r="A54619" s="258"/>
      <c r="Z54619" s="258"/>
    </row>
    <row r="54620" spans="1:26" ht="12.75" customHeight="1" x14ac:dyDescent="0.2">
      <c r="A54620" s="258"/>
      <c r="Z54620" s="258"/>
    </row>
    <row r="54621" spans="1:26" ht="12.75" customHeight="1" x14ac:dyDescent="0.2">
      <c r="A54621" s="258"/>
      <c r="Z54621" s="258"/>
    </row>
    <row r="54622" spans="1:26" ht="12.75" customHeight="1" x14ac:dyDescent="0.2">
      <c r="A54622" s="258"/>
      <c r="Z54622" s="258"/>
    </row>
    <row r="54623" spans="1:26" ht="12.75" customHeight="1" x14ac:dyDescent="0.2">
      <c r="A54623" s="258"/>
      <c r="Z54623" s="258"/>
    </row>
    <row r="54624" spans="1:26" ht="12.75" customHeight="1" x14ac:dyDescent="0.2">
      <c r="A54624" s="258"/>
      <c r="Z54624" s="258"/>
    </row>
    <row r="54625" spans="1:26" ht="12.75" customHeight="1" x14ac:dyDescent="0.2">
      <c r="A54625" s="258"/>
      <c r="Z54625" s="258"/>
    </row>
    <row r="54626" spans="1:26" ht="12.75" customHeight="1" x14ac:dyDescent="0.2">
      <c r="A54626" s="258"/>
      <c r="Z54626" s="258"/>
    </row>
    <row r="54627" spans="1:26" ht="12.75" customHeight="1" x14ac:dyDescent="0.2">
      <c r="A54627" s="258"/>
      <c r="Z54627" s="258"/>
    </row>
    <row r="54628" spans="1:26" ht="12.75" customHeight="1" x14ac:dyDescent="0.2">
      <c r="A54628" s="258"/>
      <c r="Z54628" s="258"/>
    </row>
    <row r="54629" spans="1:26" ht="12.75" customHeight="1" x14ac:dyDescent="0.2">
      <c r="A54629" s="258"/>
      <c r="Z54629" s="258"/>
    </row>
    <row r="54630" spans="1:26" ht="12.75" customHeight="1" x14ac:dyDescent="0.2">
      <c r="A54630" s="258"/>
      <c r="Z54630" s="258"/>
    </row>
    <row r="54631" spans="1:26" ht="12.75" customHeight="1" x14ac:dyDescent="0.2">
      <c r="A54631" s="258"/>
      <c r="Z54631" s="258"/>
    </row>
    <row r="54632" spans="1:26" ht="12.75" customHeight="1" x14ac:dyDescent="0.2">
      <c r="A54632" s="258"/>
      <c r="Z54632" s="258"/>
    </row>
    <row r="54633" spans="1:26" ht="12.75" customHeight="1" x14ac:dyDescent="0.2">
      <c r="A54633" s="258"/>
      <c r="Z54633" s="258"/>
    </row>
    <row r="54634" spans="1:26" ht="12.75" customHeight="1" x14ac:dyDescent="0.2">
      <c r="A54634" s="258"/>
      <c r="Z54634" s="258"/>
    </row>
    <row r="54635" spans="1:26" ht="12.75" customHeight="1" x14ac:dyDescent="0.2">
      <c r="A54635" s="258"/>
      <c r="Z54635" s="258"/>
    </row>
    <row r="54636" spans="1:26" ht="12.75" customHeight="1" x14ac:dyDescent="0.2">
      <c r="A54636" s="258"/>
      <c r="Z54636" s="258"/>
    </row>
    <row r="54637" spans="1:26" ht="12.75" customHeight="1" x14ac:dyDescent="0.2">
      <c r="A54637" s="258"/>
      <c r="Z54637" s="258"/>
    </row>
    <row r="54638" spans="1:26" ht="12.75" customHeight="1" x14ac:dyDescent="0.2">
      <c r="A54638" s="258"/>
      <c r="Z54638" s="258"/>
    </row>
    <row r="54639" spans="1:26" ht="12.75" customHeight="1" x14ac:dyDescent="0.2">
      <c r="A54639" s="258"/>
      <c r="Z54639" s="258"/>
    </row>
    <row r="54640" spans="1:26" ht="12.75" customHeight="1" x14ac:dyDescent="0.2">
      <c r="A54640" s="258"/>
      <c r="Z54640" s="258"/>
    </row>
    <row r="54641" spans="1:26" ht="12.75" customHeight="1" x14ac:dyDescent="0.2">
      <c r="A54641" s="258"/>
      <c r="Z54641" s="258"/>
    </row>
    <row r="54642" spans="1:26" ht="12.75" customHeight="1" x14ac:dyDescent="0.2">
      <c r="A54642" s="258"/>
      <c r="Z54642" s="258"/>
    </row>
    <row r="54643" spans="1:26" ht="12.75" customHeight="1" x14ac:dyDescent="0.2">
      <c r="A54643" s="258"/>
      <c r="Z54643" s="258"/>
    </row>
    <row r="54644" spans="1:26" ht="12.75" customHeight="1" x14ac:dyDescent="0.2">
      <c r="A54644" s="258"/>
      <c r="Z54644" s="258"/>
    </row>
    <row r="54645" spans="1:26" ht="12.75" customHeight="1" x14ac:dyDescent="0.2">
      <c r="A54645" s="258"/>
      <c r="Z54645" s="258"/>
    </row>
    <row r="54646" spans="1:26" ht="12.75" customHeight="1" x14ac:dyDescent="0.2">
      <c r="A54646" s="258"/>
      <c r="Z54646" s="258"/>
    </row>
    <row r="54647" spans="1:26" ht="12.75" customHeight="1" x14ac:dyDescent="0.2">
      <c r="A54647" s="258"/>
      <c r="Z54647" s="258"/>
    </row>
    <row r="54648" spans="1:26" ht="12.75" customHeight="1" x14ac:dyDescent="0.2">
      <c r="A54648" s="258"/>
      <c r="Z54648" s="258"/>
    </row>
    <row r="54649" spans="1:26" ht="12.75" customHeight="1" x14ac:dyDescent="0.2">
      <c r="A54649" s="258"/>
      <c r="Z54649" s="258"/>
    </row>
    <row r="54650" spans="1:26" ht="12.75" customHeight="1" x14ac:dyDescent="0.2">
      <c r="A54650" s="258"/>
      <c r="Z54650" s="258"/>
    </row>
    <row r="54651" spans="1:26" ht="12.75" customHeight="1" x14ac:dyDescent="0.2">
      <c r="A54651" s="258"/>
      <c r="Z54651" s="258"/>
    </row>
    <row r="54652" spans="1:26" ht="12.75" customHeight="1" x14ac:dyDescent="0.2">
      <c r="A54652" s="258"/>
      <c r="Z54652" s="258"/>
    </row>
    <row r="54653" spans="1:26" ht="12.75" customHeight="1" x14ac:dyDescent="0.2">
      <c r="A54653" s="258"/>
      <c r="Z54653" s="258"/>
    </row>
    <row r="54654" spans="1:26" ht="12.75" customHeight="1" x14ac:dyDescent="0.2">
      <c r="A54654" s="258"/>
      <c r="Z54654" s="258"/>
    </row>
    <row r="54655" spans="1:26" ht="12.75" customHeight="1" x14ac:dyDescent="0.2">
      <c r="A54655" s="258"/>
      <c r="Z54655" s="258"/>
    </row>
    <row r="54656" spans="1:26" ht="12.75" customHeight="1" x14ac:dyDescent="0.2">
      <c r="A54656" s="258"/>
      <c r="Z54656" s="258"/>
    </row>
    <row r="54657" spans="1:26" ht="12.75" customHeight="1" x14ac:dyDescent="0.2">
      <c r="A54657" s="258"/>
      <c r="Z54657" s="258"/>
    </row>
    <row r="54658" spans="1:26" ht="12.75" customHeight="1" x14ac:dyDescent="0.2">
      <c r="A54658" s="258"/>
      <c r="Z54658" s="258"/>
    </row>
    <row r="54659" spans="1:26" ht="12.75" customHeight="1" x14ac:dyDescent="0.2">
      <c r="A54659" s="258"/>
      <c r="Z54659" s="258"/>
    </row>
    <row r="54660" spans="1:26" ht="12.75" customHeight="1" x14ac:dyDescent="0.2">
      <c r="A54660" s="258"/>
      <c r="Z54660" s="258"/>
    </row>
    <row r="54661" spans="1:26" ht="12.75" customHeight="1" x14ac:dyDescent="0.2">
      <c r="A54661" s="258"/>
      <c r="Z54661" s="258"/>
    </row>
    <row r="54662" spans="1:26" ht="12.75" customHeight="1" x14ac:dyDescent="0.2">
      <c r="A54662" s="258"/>
      <c r="Z54662" s="258"/>
    </row>
    <row r="54663" spans="1:26" ht="12.75" customHeight="1" x14ac:dyDescent="0.2">
      <c r="A54663" s="258"/>
      <c r="Z54663" s="258"/>
    </row>
    <row r="54664" spans="1:26" ht="12.75" customHeight="1" x14ac:dyDescent="0.2">
      <c r="A54664" s="258"/>
      <c r="Z54664" s="258"/>
    </row>
    <row r="54665" spans="1:26" ht="12.75" customHeight="1" x14ac:dyDescent="0.2">
      <c r="A54665" s="258"/>
      <c r="Z54665" s="258"/>
    </row>
    <row r="54666" spans="1:26" ht="12.75" customHeight="1" x14ac:dyDescent="0.2">
      <c r="A54666" s="258"/>
      <c r="Z54666" s="258"/>
    </row>
    <row r="54667" spans="1:26" ht="12.75" customHeight="1" x14ac:dyDescent="0.2">
      <c r="A54667" s="258"/>
      <c r="Z54667" s="258"/>
    </row>
    <row r="54668" spans="1:26" ht="12.75" customHeight="1" x14ac:dyDescent="0.2">
      <c r="A54668" s="258"/>
      <c r="Z54668" s="258"/>
    </row>
    <row r="54669" spans="1:26" ht="12.75" customHeight="1" x14ac:dyDescent="0.2">
      <c r="A54669" s="258"/>
      <c r="Z54669" s="258"/>
    </row>
    <row r="54670" spans="1:26" ht="12.75" customHeight="1" x14ac:dyDescent="0.2">
      <c r="A54670" s="258"/>
      <c r="Z54670" s="258"/>
    </row>
    <row r="54671" spans="1:26" ht="12.75" customHeight="1" x14ac:dyDescent="0.2">
      <c r="A54671" s="258"/>
      <c r="Z54671" s="258"/>
    </row>
    <row r="54672" spans="1:26" ht="12.75" customHeight="1" x14ac:dyDescent="0.2">
      <c r="A54672" s="258"/>
      <c r="Z54672" s="258"/>
    </row>
    <row r="54673" spans="1:26" ht="12.75" customHeight="1" x14ac:dyDescent="0.2">
      <c r="A54673" s="258"/>
      <c r="Z54673" s="258"/>
    </row>
    <row r="54674" spans="1:26" ht="12.75" customHeight="1" x14ac:dyDescent="0.2">
      <c r="A54674" s="258"/>
      <c r="Z54674" s="258"/>
    </row>
    <row r="54675" spans="1:26" ht="12.75" customHeight="1" x14ac:dyDescent="0.2">
      <c r="A54675" s="258"/>
      <c r="Z54675" s="258"/>
    </row>
    <row r="54676" spans="1:26" ht="12.75" customHeight="1" x14ac:dyDescent="0.2">
      <c r="A54676" s="258"/>
      <c r="Z54676" s="258"/>
    </row>
    <row r="54677" spans="1:26" ht="12.75" customHeight="1" x14ac:dyDescent="0.2">
      <c r="A54677" s="258"/>
      <c r="Z54677" s="258"/>
    </row>
    <row r="54678" spans="1:26" ht="12.75" customHeight="1" x14ac:dyDescent="0.2">
      <c r="A54678" s="258"/>
      <c r="Z54678" s="258"/>
    </row>
    <row r="54679" spans="1:26" ht="12.75" customHeight="1" x14ac:dyDescent="0.2">
      <c r="A54679" s="258"/>
      <c r="Z54679" s="258"/>
    </row>
    <row r="54680" spans="1:26" ht="12.75" customHeight="1" x14ac:dyDescent="0.2">
      <c r="A54680" s="258"/>
      <c r="Z54680" s="258"/>
    </row>
    <row r="54681" spans="1:26" ht="12.75" customHeight="1" x14ac:dyDescent="0.2">
      <c r="A54681" s="258"/>
      <c r="Z54681" s="258"/>
    </row>
    <row r="54682" spans="1:26" ht="12.75" customHeight="1" x14ac:dyDescent="0.2">
      <c r="A54682" s="258"/>
      <c r="Z54682" s="258"/>
    </row>
    <row r="54683" spans="1:26" ht="12.75" customHeight="1" x14ac:dyDescent="0.2">
      <c r="A54683" s="258"/>
      <c r="Z54683" s="258"/>
    </row>
    <row r="54684" spans="1:26" ht="12.75" customHeight="1" x14ac:dyDescent="0.2">
      <c r="A54684" s="258"/>
      <c r="Z54684" s="258"/>
    </row>
    <row r="54685" spans="1:26" ht="12.75" customHeight="1" x14ac:dyDescent="0.2">
      <c r="A54685" s="258"/>
      <c r="Z54685" s="258"/>
    </row>
    <row r="54686" spans="1:26" ht="12.75" customHeight="1" x14ac:dyDescent="0.2">
      <c r="A54686" s="258"/>
      <c r="Z54686" s="258"/>
    </row>
    <row r="54687" spans="1:26" ht="12.75" customHeight="1" x14ac:dyDescent="0.2">
      <c r="A54687" s="258"/>
      <c r="Z54687" s="258"/>
    </row>
    <row r="54688" spans="1:26" ht="12.75" customHeight="1" x14ac:dyDescent="0.2">
      <c r="A54688" s="258"/>
      <c r="Z54688" s="258"/>
    </row>
    <row r="54689" spans="1:26" ht="12.75" customHeight="1" x14ac:dyDescent="0.2">
      <c r="A54689" s="258"/>
      <c r="Z54689" s="258"/>
    </row>
    <row r="54690" spans="1:26" ht="12.75" customHeight="1" x14ac:dyDescent="0.2">
      <c r="A54690" s="258"/>
      <c r="Z54690" s="258"/>
    </row>
    <row r="54691" spans="1:26" ht="12.75" customHeight="1" x14ac:dyDescent="0.2">
      <c r="A54691" s="258"/>
      <c r="Z54691" s="258"/>
    </row>
    <row r="54692" spans="1:26" ht="12.75" customHeight="1" x14ac:dyDescent="0.2">
      <c r="A54692" s="258"/>
      <c r="Z54692" s="258"/>
    </row>
    <row r="54693" spans="1:26" ht="12.75" customHeight="1" x14ac:dyDescent="0.2">
      <c r="A54693" s="258"/>
      <c r="Z54693" s="258"/>
    </row>
    <row r="54694" spans="1:26" ht="12.75" customHeight="1" x14ac:dyDescent="0.2">
      <c r="A54694" s="258"/>
      <c r="Z54694" s="258"/>
    </row>
    <row r="54695" spans="1:26" ht="12.75" customHeight="1" x14ac:dyDescent="0.2">
      <c r="A54695" s="258"/>
      <c r="Z54695" s="258"/>
    </row>
    <row r="54696" spans="1:26" ht="12.75" customHeight="1" x14ac:dyDescent="0.2">
      <c r="A54696" s="258"/>
      <c r="Z54696" s="258"/>
    </row>
    <row r="54697" spans="1:26" ht="12.75" customHeight="1" x14ac:dyDescent="0.2">
      <c r="A54697" s="258"/>
      <c r="Z54697" s="258"/>
    </row>
    <row r="54698" spans="1:26" ht="12.75" customHeight="1" x14ac:dyDescent="0.2">
      <c r="A54698" s="258"/>
      <c r="Z54698" s="258"/>
    </row>
    <row r="54699" spans="1:26" ht="12.75" customHeight="1" x14ac:dyDescent="0.2">
      <c r="A54699" s="258"/>
      <c r="Z54699" s="258"/>
    </row>
    <row r="54700" spans="1:26" ht="12.75" customHeight="1" x14ac:dyDescent="0.2">
      <c r="A54700" s="258"/>
      <c r="Z54700" s="258"/>
    </row>
    <row r="54701" spans="1:26" ht="12.75" customHeight="1" x14ac:dyDescent="0.2">
      <c r="A54701" s="258"/>
      <c r="Z54701" s="258"/>
    </row>
    <row r="54702" spans="1:26" ht="12.75" customHeight="1" x14ac:dyDescent="0.2">
      <c r="A54702" s="258"/>
      <c r="Z54702" s="258"/>
    </row>
    <row r="54703" spans="1:26" ht="12.75" customHeight="1" x14ac:dyDescent="0.2">
      <c r="A54703" s="258"/>
      <c r="Z54703" s="258"/>
    </row>
    <row r="54704" spans="1:26" ht="12.75" customHeight="1" x14ac:dyDescent="0.2">
      <c r="A54704" s="258"/>
      <c r="Z54704" s="258"/>
    </row>
    <row r="54705" spans="1:26" ht="12.75" customHeight="1" x14ac:dyDescent="0.2">
      <c r="A54705" s="258"/>
      <c r="Z54705" s="258"/>
    </row>
    <row r="54706" spans="1:26" ht="12.75" customHeight="1" x14ac:dyDescent="0.2">
      <c r="A54706" s="258"/>
      <c r="Z54706" s="258"/>
    </row>
    <row r="54707" spans="1:26" ht="12.75" customHeight="1" x14ac:dyDescent="0.2">
      <c r="A54707" s="258"/>
      <c r="Z54707" s="258"/>
    </row>
    <row r="54708" spans="1:26" ht="12.75" customHeight="1" x14ac:dyDescent="0.2">
      <c r="A54708" s="258"/>
      <c r="Z54708" s="258"/>
    </row>
    <row r="54709" spans="1:26" ht="12.75" customHeight="1" x14ac:dyDescent="0.2">
      <c r="A54709" s="258"/>
      <c r="Z54709" s="258"/>
    </row>
    <row r="54710" spans="1:26" ht="12.75" customHeight="1" x14ac:dyDescent="0.2">
      <c r="A54710" s="258"/>
      <c r="Z54710" s="258"/>
    </row>
    <row r="54711" spans="1:26" ht="12.75" customHeight="1" x14ac:dyDescent="0.2">
      <c r="A54711" s="258"/>
      <c r="Z54711" s="258"/>
    </row>
    <row r="54712" spans="1:26" ht="12.75" customHeight="1" x14ac:dyDescent="0.2">
      <c r="A54712" s="258"/>
      <c r="Z54712" s="258"/>
    </row>
    <row r="54713" spans="1:26" ht="12.75" customHeight="1" x14ac:dyDescent="0.2">
      <c r="A54713" s="258"/>
      <c r="Z54713" s="258"/>
    </row>
    <row r="54714" spans="1:26" ht="12.75" customHeight="1" x14ac:dyDescent="0.2">
      <c r="A54714" s="258"/>
      <c r="Z54714" s="258"/>
    </row>
    <row r="54715" spans="1:26" ht="12.75" customHeight="1" x14ac:dyDescent="0.2">
      <c r="A54715" s="258"/>
      <c r="Z54715" s="258"/>
    </row>
    <row r="54716" spans="1:26" ht="12.75" customHeight="1" x14ac:dyDescent="0.2">
      <c r="A54716" s="258"/>
      <c r="Z54716" s="258"/>
    </row>
    <row r="54717" spans="1:26" ht="12.75" customHeight="1" x14ac:dyDescent="0.2">
      <c r="A54717" s="258"/>
      <c r="Z54717" s="258"/>
    </row>
    <row r="54718" spans="1:26" ht="12.75" customHeight="1" x14ac:dyDescent="0.2">
      <c r="A54718" s="258"/>
      <c r="Z54718" s="258"/>
    </row>
    <row r="54719" spans="1:26" ht="12.75" customHeight="1" x14ac:dyDescent="0.2">
      <c r="A54719" s="258"/>
      <c r="Z54719" s="258"/>
    </row>
    <row r="54720" spans="1:26" ht="12.75" customHeight="1" x14ac:dyDescent="0.2">
      <c r="A54720" s="258"/>
      <c r="Z54720" s="258"/>
    </row>
    <row r="54721" spans="1:26" ht="12.75" customHeight="1" x14ac:dyDescent="0.2">
      <c r="A54721" s="258"/>
      <c r="Z54721" s="258"/>
    </row>
    <row r="54722" spans="1:26" ht="12.75" customHeight="1" x14ac:dyDescent="0.2">
      <c r="A54722" s="258"/>
      <c r="Z54722" s="258"/>
    </row>
    <row r="54723" spans="1:26" ht="12.75" customHeight="1" x14ac:dyDescent="0.2">
      <c r="A54723" s="258"/>
      <c r="Z54723" s="258"/>
    </row>
    <row r="54724" spans="1:26" ht="12.75" customHeight="1" x14ac:dyDescent="0.2">
      <c r="A54724" s="258"/>
      <c r="Z54724" s="258"/>
    </row>
    <row r="54725" spans="1:26" ht="12.75" customHeight="1" x14ac:dyDescent="0.2">
      <c r="A54725" s="258"/>
      <c r="Z54725" s="258"/>
    </row>
    <row r="54726" spans="1:26" ht="12.75" customHeight="1" x14ac:dyDescent="0.2">
      <c r="A54726" s="258"/>
      <c r="Z54726" s="258"/>
    </row>
    <row r="54727" spans="1:26" ht="12.75" customHeight="1" x14ac:dyDescent="0.2">
      <c r="A54727" s="258"/>
      <c r="Z54727" s="258"/>
    </row>
    <row r="54728" spans="1:26" ht="12.75" customHeight="1" x14ac:dyDescent="0.2">
      <c r="A54728" s="258"/>
      <c r="Z54728" s="258"/>
    </row>
    <row r="54729" spans="1:26" ht="12.75" customHeight="1" x14ac:dyDescent="0.2">
      <c r="A54729" s="258"/>
      <c r="Z54729" s="258"/>
    </row>
    <row r="54730" spans="1:26" ht="12.75" customHeight="1" x14ac:dyDescent="0.2">
      <c r="A54730" s="258"/>
      <c r="Z54730" s="258"/>
    </row>
    <row r="54731" spans="1:26" ht="12.75" customHeight="1" x14ac:dyDescent="0.2">
      <c r="A54731" s="258"/>
      <c r="Z54731" s="258"/>
    </row>
    <row r="54732" spans="1:26" ht="12.75" customHeight="1" x14ac:dyDescent="0.2">
      <c r="A54732" s="258"/>
      <c r="Z54732" s="258"/>
    </row>
    <row r="54733" spans="1:26" ht="12.75" customHeight="1" x14ac:dyDescent="0.2">
      <c r="A54733" s="258"/>
      <c r="Z54733" s="258"/>
    </row>
    <row r="54734" spans="1:26" ht="12.75" customHeight="1" x14ac:dyDescent="0.2">
      <c r="A54734" s="258"/>
      <c r="Z54734" s="258"/>
    </row>
    <row r="54735" spans="1:26" ht="12.75" customHeight="1" x14ac:dyDescent="0.2">
      <c r="A54735" s="258"/>
      <c r="Z54735" s="258"/>
    </row>
    <row r="54736" spans="1:26" ht="12.75" customHeight="1" x14ac:dyDescent="0.2">
      <c r="A54736" s="258"/>
      <c r="Z54736" s="258"/>
    </row>
    <row r="54737" spans="1:26" ht="12.75" customHeight="1" x14ac:dyDescent="0.2">
      <c r="A54737" s="258"/>
      <c r="Z54737" s="258"/>
    </row>
    <row r="54738" spans="1:26" ht="12.75" customHeight="1" x14ac:dyDescent="0.2">
      <c r="A54738" s="258"/>
      <c r="Z54738" s="258"/>
    </row>
    <row r="54739" spans="1:26" ht="12.75" customHeight="1" x14ac:dyDescent="0.2">
      <c r="A54739" s="258"/>
      <c r="Z54739" s="258"/>
    </row>
    <row r="54740" spans="1:26" ht="12.75" customHeight="1" x14ac:dyDescent="0.2">
      <c r="A54740" s="258"/>
      <c r="Z54740" s="258"/>
    </row>
    <row r="54741" spans="1:26" ht="12.75" customHeight="1" x14ac:dyDescent="0.2">
      <c r="A54741" s="258"/>
      <c r="Z54741" s="258"/>
    </row>
    <row r="54742" spans="1:26" ht="12.75" customHeight="1" x14ac:dyDescent="0.2">
      <c r="A54742" s="258"/>
      <c r="Z54742" s="258"/>
    </row>
    <row r="54743" spans="1:26" ht="12.75" customHeight="1" x14ac:dyDescent="0.2">
      <c r="A54743" s="258"/>
      <c r="Z54743" s="258"/>
    </row>
    <row r="54744" spans="1:26" ht="12.75" customHeight="1" x14ac:dyDescent="0.2">
      <c r="A54744" s="258"/>
      <c r="Z54744" s="258"/>
    </row>
    <row r="54745" spans="1:26" ht="12.75" customHeight="1" x14ac:dyDescent="0.2">
      <c r="A54745" s="258"/>
      <c r="Z54745" s="258"/>
    </row>
    <row r="54746" spans="1:26" ht="12.75" customHeight="1" x14ac:dyDescent="0.2">
      <c r="A54746" s="258"/>
      <c r="Z54746" s="258"/>
    </row>
    <row r="54747" spans="1:26" ht="12.75" customHeight="1" x14ac:dyDescent="0.2">
      <c r="A54747" s="258"/>
      <c r="Z54747" s="258"/>
    </row>
    <row r="54748" spans="1:26" ht="12.75" customHeight="1" x14ac:dyDescent="0.2">
      <c r="A54748" s="258"/>
      <c r="Z54748" s="258"/>
    </row>
    <row r="54749" spans="1:26" ht="12.75" customHeight="1" x14ac:dyDescent="0.2">
      <c r="A54749" s="258"/>
      <c r="Z54749" s="258"/>
    </row>
    <row r="54750" spans="1:26" ht="12.75" customHeight="1" x14ac:dyDescent="0.2">
      <c r="A54750" s="258"/>
      <c r="Z54750" s="258"/>
    </row>
    <row r="54751" spans="1:26" ht="12.75" customHeight="1" x14ac:dyDescent="0.2">
      <c r="A54751" s="258"/>
      <c r="Z54751" s="258"/>
    </row>
    <row r="54752" spans="1:26" ht="12.75" customHeight="1" x14ac:dyDescent="0.2">
      <c r="A54752" s="258"/>
      <c r="Z54752" s="258"/>
    </row>
    <row r="54753" spans="1:26" ht="12.75" customHeight="1" x14ac:dyDescent="0.2">
      <c r="A54753" s="258"/>
      <c r="Z54753" s="258"/>
    </row>
    <row r="54754" spans="1:26" ht="12.75" customHeight="1" x14ac:dyDescent="0.2">
      <c r="A54754" s="258"/>
      <c r="Z54754" s="258"/>
    </row>
    <row r="54755" spans="1:26" ht="12.75" customHeight="1" x14ac:dyDescent="0.2">
      <c r="A54755" s="258"/>
      <c r="Z54755" s="258"/>
    </row>
    <row r="54756" spans="1:26" ht="12.75" customHeight="1" x14ac:dyDescent="0.2">
      <c r="A54756" s="258"/>
      <c r="Z54756" s="258"/>
    </row>
    <row r="54757" spans="1:26" ht="12.75" customHeight="1" x14ac:dyDescent="0.2">
      <c r="A54757" s="258"/>
      <c r="Z54757" s="258"/>
    </row>
    <row r="54758" spans="1:26" ht="12.75" customHeight="1" x14ac:dyDescent="0.2">
      <c r="A54758" s="258"/>
      <c r="Z54758" s="258"/>
    </row>
    <row r="54759" spans="1:26" ht="12.75" customHeight="1" x14ac:dyDescent="0.2">
      <c r="A54759" s="258"/>
      <c r="Z54759" s="258"/>
    </row>
    <row r="54760" spans="1:26" ht="12.75" customHeight="1" x14ac:dyDescent="0.2">
      <c r="A54760" s="258"/>
      <c r="Z54760" s="258"/>
    </row>
    <row r="54761" spans="1:26" ht="12.75" customHeight="1" x14ac:dyDescent="0.2">
      <c r="A54761" s="258"/>
      <c r="Z54761" s="258"/>
    </row>
    <row r="54762" spans="1:26" ht="12.75" customHeight="1" x14ac:dyDescent="0.2">
      <c r="A54762" s="258"/>
      <c r="Z54762" s="258"/>
    </row>
    <row r="54763" spans="1:26" ht="12.75" customHeight="1" x14ac:dyDescent="0.2">
      <c r="A54763" s="258"/>
      <c r="Z54763" s="258"/>
    </row>
    <row r="54764" spans="1:26" ht="12.75" customHeight="1" x14ac:dyDescent="0.2">
      <c r="A54764" s="258"/>
      <c r="Z54764" s="258"/>
    </row>
    <row r="54765" spans="1:26" ht="12.75" customHeight="1" x14ac:dyDescent="0.2">
      <c r="A54765" s="258"/>
      <c r="Z54765" s="258"/>
    </row>
    <row r="54766" spans="1:26" ht="12.75" customHeight="1" x14ac:dyDescent="0.2">
      <c r="A54766" s="258"/>
      <c r="Z54766" s="258"/>
    </row>
    <row r="54767" spans="1:26" ht="12.75" customHeight="1" x14ac:dyDescent="0.2">
      <c r="A54767" s="258"/>
      <c r="Z54767" s="258"/>
    </row>
    <row r="54768" spans="1:26" ht="12.75" customHeight="1" x14ac:dyDescent="0.2">
      <c r="A54768" s="258"/>
      <c r="Z54768" s="258"/>
    </row>
    <row r="54769" spans="1:26" ht="12.75" customHeight="1" x14ac:dyDescent="0.2">
      <c r="A54769" s="258"/>
      <c r="Z54769" s="258"/>
    </row>
    <row r="54770" spans="1:26" ht="12.75" customHeight="1" x14ac:dyDescent="0.2">
      <c r="A54770" s="258"/>
      <c r="Z54770" s="258"/>
    </row>
    <row r="54771" spans="1:26" ht="12.75" customHeight="1" x14ac:dyDescent="0.2">
      <c r="A54771" s="258"/>
      <c r="Z54771" s="258"/>
    </row>
    <row r="54772" spans="1:26" ht="12.75" customHeight="1" x14ac:dyDescent="0.2">
      <c r="A54772" s="258"/>
      <c r="Z54772" s="258"/>
    </row>
    <row r="54773" spans="1:26" ht="12.75" customHeight="1" x14ac:dyDescent="0.2">
      <c r="A54773" s="258"/>
      <c r="Z54773" s="258"/>
    </row>
    <row r="54774" spans="1:26" ht="12.75" customHeight="1" x14ac:dyDescent="0.2">
      <c r="A54774" s="258"/>
      <c r="Z54774" s="258"/>
    </row>
    <row r="54775" spans="1:26" ht="12.75" customHeight="1" x14ac:dyDescent="0.2">
      <c r="A54775" s="258"/>
      <c r="Z54775" s="258"/>
    </row>
    <row r="54776" spans="1:26" ht="12.75" customHeight="1" x14ac:dyDescent="0.2">
      <c r="A54776" s="258"/>
      <c r="Z54776" s="258"/>
    </row>
    <row r="54777" spans="1:26" ht="12.75" customHeight="1" x14ac:dyDescent="0.2">
      <c r="A54777" s="258"/>
      <c r="Z54777" s="258"/>
    </row>
    <row r="54778" spans="1:26" ht="12.75" customHeight="1" x14ac:dyDescent="0.2">
      <c r="A54778" s="258"/>
      <c r="Z54778" s="258"/>
    </row>
    <row r="54779" spans="1:26" ht="12.75" customHeight="1" x14ac:dyDescent="0.2">
      <c r="A54779" s="258"/>
      <c r="Z54779" s="258"/>
    </row>
    <row r="54780" spans="1:26" ht="12.75" customHeight="1" x14ac:dyDescent="0.2">
      <c r="A54780" s="258"/>
      <c r="Z54780" s="258"/>
    </row>
    <row r="54781" spans="1:26" ht="12.75" customHeight="1" x14ac:dyDescent="0.2">
      <c r="A54781" s="258"/>
      <c r="Z54781" s="258"/>
    </row>
    <row r="54782" spans="1:26" ht="12.75" customHeight="1" x14ac:dyDescent="0.2">
      <c r="A54782" s="258"/>
      <c r="Z54782" s="258"/>
    </row>
    <row r="54783" spans="1:26" ht="12.75" customHeight="1" x14ac:dyDescent="0.2">
      <c r="A54783" s="258"/>
      <c r="Z54783" s="258"/>
    </row>
    <row r="54784" spans="1:26" ht="12.75" customHeight="1" x14ac:dyDescent="0.2">
      <c r="A54784" s="258"/>
      <c r="Z54784" s="258"/>
    </row>
    <row r="54785" spans="1:26" ht="12.75" customHeight="1" x14ac:dyDescent="0.2">
      <c r="A54785" s="258"/>
      <c r="Z54785" s="258"/>
    </row>
    <row r="54786" spans="1:26" ht="12.75" customHeight="1" x14ac:dyDescent="0.2">
      <c r="A54786" s="258"/>
      <c r="Z54786" s="258"/>
    </row>
    <row r="54787" spans="1:26" ht="12.75" customHeight="1" x14ac:dyDescent="0.2">
      <c r="A54787" s="258"/>
      <c r="Z54787" s="258"/>
    </row>
    <row r="54788" spans="1:26" ht="12.75" customHeight="1" x14ac:dyDescent="0.2">
      <c r="A54788" s="258"/>
      <c r="Z54788" s="258"/>
    </row>
    <row r="54789" spans="1:26" ht="12.75" customHeight="1" x14ac:dyDescent="0.2">
      <c r="A54789" s="258"/>
      <c r="Z54789" s="258"/>
    </row>
    <row r="54790" spans="1:26" ht="12.75" customHeight="1" x14ac:dyDescent="0.2">
      <c r="A54790" s="258"/>
      <c r="Z54790" s="258"/>
    </row>
    <row r="54791" spans="1:26" ht="12.75" customHeight="1" x14ac:dyDescent="0.2">
      <c r="A54791" s="258"/>
      <c r="Z54791" s="258"/>
    </row>
    <row r="54792" spans="1:26" ht="12.75" customHeight="1" x14ac:dyDescent="0.2">
      <c r="A54792" s="258"/>
      <c r="Z54792" s="258"/>
    </row>
    <row r="54793" spans="1:26" ht="12.75" customHeight="1" x14ac:dyDescent="0.2">
      <c r="A54793" s="258"/>
      <c r="Z54793" s="258"/>
    </row>
    <row r="54794" spans="1:26" ht="12.75" customHeight="1" x14ac:dyDescent="0.2">
      <c r="A54794" s="258"/>
      <c r="Z54794" s="258"/>
    </row>
    <row r="54795" spans="1:26" ht="12.75" customHeight="1" x14ac:dyDescent="0.2">
      <c r="A54795" s="258"/>
      <c r="Z54795" s="258"/>
    </row>
    <row r="54796" spans="1:26" ht="12.75" customHeight="1" x14ac:dyDescent="0.2">
      <c r="A54796" s="258"/>
      <c r="Z54796" s="258"/>
    </row>
    <row r="54797" spans="1:26" ht="12.75" customHeight="1" x14ac:dyDescent="0.2">
      <c r="A54797" s="258"/>
      <c r="Z54797" s="258"/>
    </row>
    <row r="54798" spans="1:26" ht="12.75" customHeight="1" x14ac:dyDescent="0.2">
      <c r="A54798" s="258"/>
      <c r="Z54798" s="258"/>
    </row>
    <row r="54799" spans="1:26" ht="12.75" customHeight="1" x14ac:dyDescent="0.2">
      <c r="A54799" s="258"/>
      <c r="Z54799" s="258"/>
    </row>
    <row r="54800" spans="1:26" ht="12.75" customHeight="1" x14ac:dyDescent="0.2">
      <c r="A54800" s="258"/>
      <c r="Z54800" s="258"/>
    </row>
    <row r="54801" spans="1:26" ht="12.75" customHeight="1" x14ac:dyDescent="0.2">
      <c r="A54801" s="258"/>
      <c r="Z54801" s="258"/>
    </row>
    <row r="54802" spans="1:26" ht="12.75" customHeight="1" x14ac:dyDescent="0.2">
      <c r="A54802" s="258"/>
      <c r="Z54802" s="258"/>
    </row>
    <row r="54803" spans="1:26" ht="12.75" customHeight="1" x14ac:dyDescent="0.2">
      <c r="A54803" s="258"/>
      <c r="Z54803" s="258"/>
    </row>
    <row r="54804" spans="1:26" ht="12.75" customHeight="1" x14ac:dyDescent="0.2">
      <c r="A54804" s="258"/>
      <c r="Z54804" s="258"/>
    </row>
    <row r="54805" spans="1:26" ht="12.75" customHeight="1" x14ac:dyDescent="0.2">
      <c r="A54805" s="258"/>
      <c r="Z54805" s="258"/>
    </row>
    <row r="54806" spans="1:26" ht="12.75" customHeight="1" x14ac:dyDescent="0.2">
      <c r="A54806" s="258"/>
      <c r="Z54806" s="258"/>
    </row>
    <row r="54807" spans="1:26" ht="12.75" customHeight="1" x14ac:dyDescent="0.2">
      <c r="A54807" s="258"/>
      <c r="Z54807" s="258"/>
    </row>
    <row r="54808" spans="1:26" ht="12.75" customHeight="1" x14ac:dyDescent="0.2">
      <c r="A54808" s="258"/>
      <c r="Z54808" s="258"/>
    </row>
    <row r="54809" spans="1:26" ht="12.75" customHeight="1" x14ac:dyDescent="0.2">
      <c r="A54809" s="258"/>
      <c r="Z54809" s="258"/>
    </row>
    <row r="54810" spans="1:26" ht="12.75" customHeight="1" x14ac:dyDescent="0.2">
      <c r="A54810" s="258"/>
      <c r="Z54810" s="258"/>
    </row>
    <row r="54811" spans="1:26" ht="12.75" customHeight="1" x14ac:dyDescent="0.2">
      <c r="A54811" s="258"/>
      <c r="Z54811" s="258"/>
    </row>
    <row r="54812" spans="1:26" ht="12.75" customHeight="1" x14ac:dyDescent="0.2">
      <c r="A54812" s="258"/>
      <c r="Z54812" s="258"/>
    </row>
    <row r="54813" spans="1:26" ht="12.75" customHeight="1" x14ac:dyDescent="0.2">
      <c r="A54813" s="258"/>
      <c r="Z54813" s="258"/>
    </row>
    <row r="54814" spans="1:26" ht="12.75" customHeight="1" x14ac:dyDescent="0.2">
      <c r="A54814" s="258"/>
      <c r="Z54814" s="258"/>
    </row>
    <row r="54815" spans="1:26" ht="12.75" customHeight="1" x14ac:dyDescent="0.2">
      <c r="A54815" s="258"/>
      <c r="Z54815" s="258"/>
    </row>
    <row r="54816" spans="1:26" ht="12.75" customHeight="1" x14ac:dyDescent="0.2">
      <c r="A54816" s="258"/>
      <c r="Z54816" s="258"/>
    </row>
    <row r="54817" spans="1:26" ht="12.75" customHeight="1" x14ac:dyDescent="0.2">
      <c r="A54817" s="258"/>
      <c r="Z54817" s="258"/>
    </row>
    <row r="54818" spans="1:26" ht="12.75" customHeight="1" x14ac:dyDescent="0.2">
      <c r="A54818" s="258"/>
      <c r="Z54818" s="258"/>
    </row>
    <row r="54819" spans="1:26" ht="12.75" customHeight="1" x14ac:dyDescent="0.2">
      <c r="A54819" s="258"/>
      <c r="Z54819" s="258"/>
    </row>
    <row r="54820" spans="1:26" ht="12.75" customHeight="1" x14ac:dyDescent="0.2">
      <c r="A54820" s="258"/>
      <c r="Z54820" s="258"/>
    </row>
    <row r="54821" spans="1:26" ht="12.75" customHeight="1" x14ac:dyDescent="0.2">
      <c r="A54821" s="258"/>
      <c r="Z54821" s="258"/>
    </row>
    <row r="54822" spans="1:26" ht="12.75" customHeight="1" x14ac:dyDescent="0.2">
      <c r="A54822" s="258"/>
      <c r="Z54822" s="258"/>
    </row>
    <row r="54823" spans="1:26" ht="12.75" customHeight="1" x14ac:dyDescent="0.2">
      <c r="A54823" s="258"/>
      <c r="Z54823" s="258"/>
    </row>
    <row r="54824" spans="1:26" ht="12.75" customHeight="1" x14ac:dyDescent="0.2">
      <c r="A54824" s="258"/>
      <c r="Z54824" s="258"/>
    </row>
    <row r="54825" spans="1:26" ht="12.75" customHeight="1" x14ac:dyDescent="0.2">
      <c r="A54825" s="258"/>
      <c r="Z54825" s="258"/>
    </row>
    <row r="54826" spans="1:26" ht="12.75" customHeight="1" x14ac:dyDescent="0.2">
      <c r="A54826" s="258"/>
      <c r="Z54826" s="258"/>
    </row>
    <row r="54827" spans="1:26" ht="12.75" customHeight="1" x14ac:dyDescent="0.2">
      <c r="A54827" s="258"/>
      <c r="Z54827" s="258"/>
    </row>
    <row r="54828" spans="1:26" ht="12.75" customHeight="1" x14ac:dyDescent="0.2">
      <c r="A54828" s="258"/>
      <c r="Z54828" s="258"/>
    </row>
    <row r="54829" spans="1:26" ht="12.75" customHeight="1" x14ac:dyDescent="0.2">
      <c r="A54829" s="258"/>
      <c r="Z54829" s="258"/>
    </row>
    <row r="54830" spans="1:26" ht="12.75" customHeight="1" x14ac:dyDescent="0.2">
      <c r="A54830" s="258"/>
      <c r="Z54830" s="258"/>
    </row>
    <row r="54831" spans="1:26" ht="12.75" customHeight="1" x14ac:dyDescent="0.2">
      <c r="A54831" s="258"/>
      <c r="Z54831" s="258"/>
    </row>
    <row r="54832" spans="1:26" ht="12.75" customHeight="1" x14ac:dyDescent="0.2">
      <c r="A54832" s="258"/>
      <c r="Z54832" s="258"/>
    </row>
    <row r="54833" spans="1:26" ht="12.75" customHeight="1" x14ac:dyDescent="0.2">
      <c r="A54833" s="258"/>
      <c r="Z54833" s="258"/>
    </row>
    <row r="54834" spans="1:26" ht="12.75" customHeight="1" x14ac:dyDescent="0.2">
      <c r="A54834" s="258"/>
      <c r="Z54834" s="258"/>
    </row>
    <row r="54835" spans="1:26" ht="12.75" customHeight="1" x14ac:dyDescent="0.2">
      <c r="A54835" s="258"/>
      <c r="Z54835" s="258"/>
    </row>
    <row r="54836" spans="1:26" ht="12.75" customHeight="1" x14ac:dyDescent="0.2">
      <c r="A54836" s="258"/>
      <c r="Z54836" s="258"/>
    </row>
    <row r="54837" spans="1:26" ht="12.75" customHeight="1" x14ac:dyDescent="0.2">
      <c r="A54837" s="258"/>
      <c r="Z54837" s="258"/>
    </row>
    <row r="54838" spans="1:26" ht="12.75" customHeight="1" x14ac:dyDescent="0.2">
      <c r="A54838" s="258"/>
      <c r="Z54838" s="258"/>
    </row>
    <row r="54839" spans="1:26" ht="12.75" customHeight="1" x14ac:dyDescent="0.2">
      <c r="A54839" s="258"/>
      <c r="Z54839" s="258"/>
    </row>
    <row r="54840" spans="1:26" ht="12.75" customHeight="1" x14ac:dyDescent="0.2">
      <c r="A54840" s="258"/>
      <c r="Z54840" s="258"/>
    </row>
    <row r="54841" spans="1:26" ht="12.75" customHeight="1" x14ac:dyDescent="0.2">
      <c r="A54841" s="258"/>
      <c r="Z54841" s="258"/>
    </row>
    <row r="54842" spans="1:26" ht="12.75" customHeight="1" x14ac:dyDescent="0.2">
      <c r="A54842" s="258"/>
      <c r="Z54842" s="258"/>
    </row>
    <row r="54843" spans="1:26" ht="12.75" customHeight="1" x14ac:dyDescent="0.2">
      <c r="A54843" s="258"/>
      <c r="Z54843" s="258"/>
    </row>
    <row r="54844" spans="1:26" ht="12.75" customHeight="1" x14ac:dyDescent="0.2">
      <c r="A54844" s="258"/>
      <c r="Z54844" s="258"/>
    </row>
    <row r="54845" spans="1:26" ht="12.75" customHeight="1" x14ac:dyDescent="0.2">
      <c r="A54845" s="258"/>
      <c r="Z54845" s="258"/>
    </row>
    <row r="54846" spans="1:26" ht="12.75" customHeight="1" x14ac:dyDescent="0.2">
      <c r="A54846" s="258"/>
      <c r="Z54846" s="258"/>
    </row>
    <row r="54847" spans="1:26" ht="12.75" customHeight="1" x14ac:dyDescent="0.2">
      <c r="A54847" s="258"/>
      <c r="Z54847" s="258"/>
    </row>
    <row r="54848" spans="1:26" ht="12.75" customHeight="1" x14ac:dyDescent="0.2">
      <c r="A54848" s="258"/>
      <c r="Z54848" s="258"/>
    </row>
    <row r="54849" spans="1:26" ht="12.75" customHeight="1" x14ac:dyDescent="0.2">
      <c r="A54849" s="258"/>
      <c r="Z54849" s="258"/>
    </row>
    <row r="54850" spans="1:26" ht="12.75" customHeight="1" x14ac:dyDescent="0.2">
      <c r="A54850" s="258"/>
      <c r="Z54850" s="258"/>
    </row>
    <row r="54851" spans="1:26" ht="12.75" customHeight="1" x14ac:dyDescent="0.2">
      <c r="A54851" s="258"/>
      <c r="Z54851" s="258"/>
    </row>
    <row r="54852" spans="1:26" ht="12.75" customHeight="1" x14ac:dyDescent="0.2">
      <c r="A54852" s="258"/>
      <c r="Z54852" s="258"/>
    </row>
    <row r="54853" spans="1:26" ht="12.75" customHeight="1" x14ac:dyDescent="0.2">
      <c r="A54853" s="258"/>
      <c r="Z54853" s="258"/>
    </row>
    <row r="54854" spans="1:26" ht="12.75" customHeight="1" x14ac:dyDescent="0.2">
      <c r="A54854" s="258"/>
      <c r="Z54854" s="258"/>
    </row>
    <row r="54855" spans="1:26" ht="12.75" customHeight="1" x14ac:dyDescent="0.2">
      <c r="A54855" s="258"/>
      <c r="Z54855" s="258"/>
    </row>
    <row r="54856" spans="1:26" ht="12.75" customHeight="1" x14ac:dyDescent="0.2">
      <c r="A54856" s="258"/>
      <c r="Z54856" s="258"/>
    </row>
    <row r="54857" spans="1:26" ht="12.75" customHeight="1" x14ac:dyDescent="0.2">
      <c r="A54857" s="258"/>
      <c r="Z54857" s="258"/>
    </row>
    <row r="54858" spans="1:26" ht="12.75" customHeight="1" x14ac:dyDescent="0.2">
      <c r="A54858" s="258"/>
      <c r="Z54858" s="258"/>
    </row>
    <row r="54859" spans="1:26" ht="12.75" customHeight="1" x14ac:dyDescent="0.2">
      <c r="A54859" s="258"/>
      <c r="Z54859" s="258"/>
    </row>
    <row r="54860" spans="1:26" ht="12.75" customHeight="1" x14ac:dyDescent="0.2">
      <c r="A54860" s="258"/>
      <c r="Z54860" s="258"/>
    </row>
    <row r="54861" spans="1:26" ht="12.75" customHeight="1" x14ac:dyDescent="0.2">
      <c r="A54861" s="258"/>
      <c r="Z54861" s="258"/>
    </row>
    <row r="54862" spans="1:26" ht="12.75" customHeight="1" x14ac:dyDescent="0.2">
      <c r="A54862" s="258"/>
      <c r="Z54862" s="258"/>
    </row>
    <row r="54863" spans="1:26" ht="12.75" customHeight="1" x14ac:dyDescent="0.2">
      <c r="A54863" s="258"/>
      <c r="Z54863" s="258"/>
    </row>
    <row r="54864" spans="1:26" ht="12.75" customHeight="1" x14ac:dyDescent="0.2">
      <c r="A54864" s="258"/>
      <c r="Z54864" s="258"/>
    </row>
    <row r="54865" spans="1:26" ht="12.75" customHeight="1" x14ac:dyDescent="0.2">
      <c r="A54865" s="258"/>
      <c r="Z54865" s="258"/>
    </row>
    <row r="54866" spans="1:26" ht="12.75" customHeight="1" x14ac:dyDescent="0.2">
      <c r="A54866" s="258"/>
      <c r="Z54866" s="258"/>
    </row>
    <row r="54867" spans="1:26" ht="12.75" customHeight="1" x14ac:dyDescent="0.2">
      <c r="A54867" s="258"/>
      <c r="Z54867" s="258"/>
    </row>
    <row r="54868" spans="1:26" ht="12.75" customHeight="1" x14ac:dyDescent="0.2">
      <c r="A54868" s="258"/>
      <c r="Z54868" s="258"/>
    </row>
    <row r="54869" spans="1:26" ht="12.75" customHeight="1" x14ac:dyDescent="0.2">
      <c r="A54869" s="258"/>
      <c r="Z54869" s="258"/>
    </row>
    <row r="54870" spans="1:26" ht="12.75" customHeight="1" x14ac:dyDescent="0.2">
      <c r="A54870" s="258"/>
      <c r="Z54870" s="258"/>
    </row>
    <row r="54871" spans="1:26" ht="12.75" customHeight="1" x14ac:dyDescent="0.2">
      <c r="A54871" s="258"/>
      <c r="Z54871" s="258"/>
    </row>
    <row r="54872" spans="1:26" ht="12.75" customHeight="1" x14ac:dyDescent="0.2">
      <c r="A54872" s="258"/>
      <c r="Z54872" s="258"/>
    </row>
    <row r="54873" spans="1:26" ht="12.75" customHeight="1" x14ac:dyDescent="0.2">
      <c r="A54873" s="258"/>
      <c r="Z54873" s="258"/>
    </row>
    <row r="54874" spans="1:26" ht="12.75" customHeight="1" x14ac:dyDescent="0.2">
      <c r="A54874" s="258"/>
      <c r="Z54874" s="258"/>
    </row>
    <row r="54875" spans="1:26" ht="12.75" customHeight="1" x14ac:dyDescent="0.2">
      <c r="A54875" s="258"/>
      <c r="Z54875" s="258"/>
    </row>
    <row r="54876" spans="1:26" ht="12.75" customHeight="1" x14ac:dyDescent="0.2">
      <c r="A54876" s="258"/>
      <c r="Z54876" s="258"/>
    </row>
    <row r="54877" spans="1:26" ht="12.75" customHeight="1" x14ac:dyDescent="0.2">
      <c r="A54877" s="258"/>
      <c r="Z54877" s="258"/>
    </row>
    <row r="54878" spans="1:26" ht="12.75" customHeight="1" x14ac:dyDescent="0.2">
      <c r="A54878" s="258"/>
      <c r="Z54878" s="258"/>
    </row>
    <row r="54879" spans="1:26" ht="12.75" customHeight="1" x14ac:dyDescent="0.2">
      <c r="A54879" s="258"/>
      <c r="Z54879" s="258"/>
    </row>
    <row r="54880" spans="1:26" ht="12.75" customHeight="1" x14ac:dyDescent="0.2">
      <c r="A54880" s="258"/>
      <c r="Z54880" s="258"/>
    </row>
    <row r="54881" spans="1:26" ht="12.75" customHeight="1" x14ac:dyDescent="0.2">
      <c r="A54881" s="258"/>
      <c r="Z54881" s="258"/>
    </row>
    <row r="54882" spans="1:26" ht="12.75" customHeight="1" x14ac:dyDescent="0.2">
      <c r="A54882" s="258"/>
      <c r="Z54882" s="258"/>
    </row>
    <row r="54883" spans="1:26" ht="12.75" customHeight="1" x14ac:dyDescent="0.2">
      <c r="A54883" s="258"/>
      <c r="Z54883" s="258"/>
    </row>
    <row r="54884" spans="1:26" ht="12.75" customHeight="1" x14ac:dyDescent="0.2">
      <c r="A54884" s="258"/>
      <c r="Z54884" s="258"/>
    </row>
    <row r="54885" spans="1:26" ht="12.75" customHeight="1" x14ac:dyDescent="0.2">
      <c r="A54885" s="258"/>
      <c r="Z54885" s="258"/>
    </row>
    <row r="54886" spans="1:26" ht="12.75" customHeight="1" x14ac:dyDescent="0.2">
      <c r="A54886" s="258"/>
      <c r="Z54886" s="258"/>
    </row>
    <row r="54887" spans="1:26" ht="12.75" customHeight="1" x14ac:dyDescent="0.2">
      <c r="A54887" s="258"/>
      <c r="Z54887" s="258"/>
    </row>
    <row r="54888" spans="1:26" ht="12.75" customHeight="1" x14ac:dyDescent="0.2">
      <c r="A54888" s="258"/>
      <c r="Z54888" s="258"/>
    </row>
    <row r="54889" spans="1:26" ht="12.75" customHeight="1" x14ac:dyDescent="0.2">
      <c r="A54889" s="258"/>
      <c r="Z54889" s="258"/>
    </row>
    <row r="54890" spans="1:26" ht="12.75" customHeight="1" x14ac:dyDescent="0.2">
      <c r="A54890" s="258"/>
      <c r="Z54890" s="258"/>
    </row>
    <row r="54891" spans="1:26" ht="12.75" customHeight="1" x14ac:dyDescent="0.2">
      <c r="A54891" s="258"/>
      <c r="Z54891" s="258"/>
    </row>
    <row r="54892" spans="1:26" ht="12.75" customHeight="1" x14ac:dyDescent="0.2">
      <c r="A54892" s="258"/>
      <c r="Z54892" s="258"/>
    </row>
    <row r="54893" spans="1:26" ht="12.75" customHeight="1" x14ac:dyDescent="0.2">
      <c r="A54893" s="258"/>
      <c r="Z54893" s="258"/>
    </row>
    <row r="54894" spans="1:26" ht="12.75" customHeight="1" x14ac:dyDescent="0.2">
      <c r="A54894" s="258"/>
      <c r="Z54894" s="258"/>
    </row>
    <row r="54895" spans="1:26" ht="12.75" customHeight="1" x14ac:dyDescent="0.2">
      <c r="A54895" s="258"/>
      <c r="Z54895" s="258"/>
    </row>
    <row r="54896" spans="1:26" ht="12.75" customHeight="1" x14ac:dyDescent="0.2">
      <c r="A54896" s="258"/>
      <c r="Z54896" s="258"/>
    </row>
    <row r="54897" spans="1:26" ht="12.75" customHeight="1" x14ac:dyDescent="0.2">
      <c r="A54897" s="258"/>
      <c r="Z54897" s="258"/>
    </row>
    <row r="54898" spans="1:26" ht="12.75" customHeight="1" x14ac:dyDescent="0.2">
      <c r="A54898" s="258"/>
      <c r="Z54898" s="258"/>
    </row>
    <row r="54899" spans="1:26" ht="12.75" customHeight="1" x14ac:dyDescent="0.2">
      <c r="A54899" s="258"/>
      <c r="Z54899" s="258"/>
    </row>
    <row r="54900" spans="1:26" ht="12.75" customHeight="1" x14ac:dyDescent="0.2">
      <c r="A54900" s="258"/>
      <c r="Z54900" s="258"/>
    </row>
    <row r="54901" spans="1:26" ht="12.75" customHeight="1" x14ac:dyDescent="0.2">
      <c r="A54901" s="258"/>
      <c r="Z54901" s="258"/>
    </row>
    <row r="54902" spans="1:26" ht="12.75" customHeight="1" x14ac:dyDescent="0.2">
      <c r="A54902" s="258"/>
      <c r="Z54902" s="258"/>
    </row>
    <row r="54903" spans="1:26" ht="12.75" customHeight="1" x14ac:dyDescent="0.2">
      <c r="A54903" s="258"/>
      <c r="Z54903" s="258"/>
    </row>
    <row r="54904" spans="1:26" ht="12.75" customHeight="1" x14ac:dyDescent="0.2">
      <c r="A54904" s="258"/>
      <c r="Z54904" s="258"/>
    </row>
    <row r="54905" spans="1:26" ht="12.75" customHeight="1" x14ac:dyDescent="0.2">
      <c r="A54905" s="258"/>
      <c r="Z54905" s="258"/>
    </row>
    <row r="54906" spans="1:26" ht="12.75" customHeight="1" x14ac:dyDescent="0.2">
      <c r="A54906" s="258"/>
      <c r="Z54906" s="258"/>
    </row>
    <row r="54907" spans="1:26" ht="12.75" customHeight="1" x14ac:dyDescent="0.2">
      <c r="A54907" s="258"/>
      <c r="Z54907" s="258"/>
    </row>
    <row r="54908" spans="1:26" ht="12.75" customHeight="1" x14ac:dyDescent="0.2">
      <c r="A54908" s="258"/>
      <c r="Z54908" s="258"/>
    </row>
    <row r="54909" spans="1:26" ht="12.75" customHeight="1" x14ac:dyDescent="0.2">
      <c r="A54909" s="258"/>
      <c r="Z54909" s="258"/>
    </row>
    <row r="54910" spans="1:26" ht="12.75" customHeight="1" x14ac:dyDescent="0.2">
      <c r="A54910" s="258"/>
      <c r="Z54910" s="258"/>
    </row>
    <row r="54911" spans="1:26" ht="12.75" customHeight="1" x14ac:dyDescent="0.2">
      <c r="A54911" s="258"/>
      <c r="Z54911" s="258"/>
    </row>
    <row r="54912" spans="1:26" ht="12.75" customHeight="1" x14ac:dyDescent="0.2">
      <c r="A54912" s="258"/>
      <c r="Z54912" s="258"/>
    </row>
    <row r="54913" spans="1:26" ht="12.75" customHeight="1" x14ac:dyDescent="0.2">
      <c r="A54913" s="258"/>
      <c r="Z54913" s="258"/>
    </row>
    <row r="54914" spans="1:26" ht="12.75" customHeight="1" x14ac:dyDescent="0.2">
      <c r="A54914" s="258"/>
      <c r="Z54914" s="258"/>
    </row>
    <row r="54915" spans="1:26" ht="12.75" customHeight="1" x14ac:dyDescent="0.2">
      <c r="A54915" s="258"/>
      <c r="Z54915" s="258"/>
    </row>
    <row r="54916" spans="1:26" ht="12.75" customHeight="1" x14ac:dyDescent="0.2">
      <c r="A54916" s="258"/>
      <c r="Z54916" s="258"/>
    </row>
    <row r="54917" spans="1:26" ht="12.75" customHeight="1" x14ac:dyDescent="0.2">
      <c r="A54917" s="258"/>
      <c r="Z54917" s="258"/>
    </row>
    <row r="54918" spans="1:26" ht="12.75" customHeight="1" x14ac:dyDescent="0.2">
      <c r="A54918" s="258"/>
      <c r="Z54918" s="258"/>
    </row>
    <row r="54919" spans="1:26" ht="12.75" customHeight="1" x14ac:dyDescent="0.2">
      <c r="A54919" s="258"/>
      <c r="Z54919" s="258"/>
    </row>
    <row r="54920" spans="1:26" ht="12.75" customHeight="1" x14ac:dyDescent="0.2">
      <c r="A54920" s="258"/>
      <c r="Z54920" s="258"/>
    </row>
    <row r="54921" spans="1:26" ht="12.75" customHeight="1" x14ac:dyDescent="0.2">
      <c r="A54921" s="258"/>
      <c r="Z54921" s="258"/>
    </row>
    <row r="54922" spans="1:26" ht="12.75" customHeight="1" x14ac:dyDescent="0.2">
      <c r="A54922" s="258"/>
      <c r="Z54922" s="258"/>
    </row>
    <row r="54923" spans="1:26" ht="12.75" customHeight="1" x14ac:dyDescent="0.2">
      <c r="A54923" s="258"/>
      <c r="Z54923" s="258"/>
    </row>
    <row r="54924" spans="1:26" ht="12.75" customHeight="1" x14ac:dyDescent="0.2">
      <c r="A54924" s="258"/>
      <c r="Z54924" s="258"/>
    </row>
    <row r="54925" spans="1:26" ht="12.75" customHeight="1" x14ac:dyDescent="0.2">
      <c r="A54925" s="258"/>
      <c r="Z54925" s="258"/>
    </row>
    <row r="54926" spans="1:26" ht="12.75" customHeight="1" x14ac:dyDescent="0.2">
      <c r="A54926" s="258"/>
      <c r="Z54926" s="258"/>
    </row>
    <row r="54927" spans="1:26" ht="12.75" customHeight="1" x14ac:dyDescent="0.2">
      <c r="A54927" s="258"/>
      <c r="Z54927" s="258"/>
    </row>
    <row r="54928" spans="1:26" ht="12.75" customHeight="1" x14ac:dyDescent="0.2">
      <c r="A54928" s="258"/>
      <c r="Z54928" s="258"/>
    </row>
    <row r="54929" spans="1:26" ht="12.75" customHeight="1" x14ac:dyDescent="0.2">
      <c r="A54929" s="258"/>
      <c r="Z54929" s="258"/>
    </row>
    <row r="54930" spans="1:26" ht="12.75" customHeight="1" x14ac:dyDescent="0.2">
      <c r="A54930" s="258"/>
      <c r="Z54930" s="258"/>
    </row>
    <row r="54931" spans="1:26" ht="12.75" customHeight="1" x14ac:dyDescent="0.2">
      <c r="A54931" s="258"/>
      <c r="Z54931" s="258"/>
    </row>
    <row r="54932" spans="1:26" ht="12.75" customHeight="1" x14ac:dyDescent="0.2">
      <c r="A54932" s="258"/>
      <c r="Z54932" s="258"/>
    </row>
    <row r="54933" spans="1:26" ht="12.75" customHeight="1" x14ac:dyDescent="0.2">
      <c r="A54933" s="258"/>
      <c r="Z54933" s="258"/>
    </row>
    <row r="54934" spans="1:26" ht="12.75" customHeight="1" x14ac:dyDescent="0.2">
      <c r="A54934" s="258"/>
      <c r="Z54934" s="258"/>
    </row>
    <row r="54935" spans="1:26" ht="12.75" customHeight="1" x14ac:dyDescent="0.2">
      <c r="A54935" s="258"/>
      <c r="Z54935" s="258"/>
    </row>
    <row r="54936" spans="1:26" ht="12.75" customHeight="1" x14ac:dyDescent="0.2">
      <c r="A54936" s="258"/>
      <c r="Z54936" s="258"/>
    </row>
    <row r="54937" spans="1:26" ht="12.75" customHeight="1" x14ac:dyDescent="0.2">
      <c r="A54937" s="258"/>
      <c r="Z54937" s="258"/>
    </row>
    <row r="54938" spans="1:26" ht="12.75" customHeight="1" x14ac:dyDescent="0.2">
      <c r="A54938" s="258"/>
      <c r="Z54938" s="258"/>
    </row>
    <row r="54939" spans="1:26" ht="12.75" customHeight="1" x14ac:dyDescent="0.2">
      <c r="A54939" s="258"/>
      <c r="Z54939" s="258"/>
    </row>
    <row r="54940" spans="1:26" ht="12.75" customHeight="1" x14ac:dyDescent="0.2">
      <c r="A54940" s="258"/>
      <c r="Z54940" s="258"/>
    </row>
    <row r="54941" spans="1:26" ht="12.75" customHeight="1" x14ac:dyDescent="0.2">
      <c r="A54941" s="258"/>
      <c r="Z54941" s="258"/>
    </row>
    <row r="54942" spans="1:26" ht="12.75" customHeight="1" x14ac:dyDescent="0.2">
      <c r="A54942" s="258"/>
      <c r="Z54942" s="258"/>
    </row>
    <row r="54943" spans="1:26" ht="12.75" customHeight="1" x14ac:dyDescent="0.2">
      <c r="A54943" s="258"/>
      <c r="Z54943" s="258"/>
    </row>
    <row r="54944" spans="1:26" ht="12.75" customHeight="1" x14ac:dyDescent="0.2">
      <c r="A54944" s="258"/>
      <c r="Z54944" s="258"/>
    </row>
    <row r="54945" spans="1:26" ht="12.75" customHeight="1" x14ac:dyDescent="0.2">
      <c r="A54945" s="258"/>
      <c r="Z54945" s="258"/>
    </row>
    <row r="54946" spans="1:26" ht="12.75" customHeight="1" x14ac:dyDescent="0.2">
      <c r="A54946" s="258"/>
      <c r="Z54946" s="258"/>
    </row>
    <row r="54947" spans="1:26" ht="12.75" customHeight="1" x14ac:dyDescent="0.2">
      <c r="A54947" s="258"/>
      <c r="Z54947" s="258"/>
    </row>
    <row r="54948" spans="1:26" ht="12.75" customHeight="1" x14ac:dyDescent="0.2">
      <c r="A54948" s="258"/>
      <c r="Z54948" s="258"/>
    </row>
    <row r="54949" spans="1:26" ht="12.75" customHeight="1" x14ac:dyDescent="0.2">
      <c r="A54949" s="258"/>
      <c r="Z54949" s="258"/>
    </row>
    <row r="54950" spans="1:26" ht="12.75" customHeight="1" x14ac:dyDescent="0.2">
      <c r="A54950" s="258"/>
      <c r="Z54950" s="258"/>
    </row>
    <row r="54951" spans="1:26" ht="12.75" customHeight="1" x14ac:dyDescent="0.2">
      <c r="A54951" s="258"/>
      <c r="Z54951" s="258"/>
    </row>
    <row r="54952" spans="1:26" ht="12.75" customHeight="1" x14ac:dyDescent="0.2">
      <c r="A54952" s="258"/>
      <c r="Z54952" s="258"/>
    </row>
    <row r="54953" spans="1:26" ht="12.75" customHeight="1" x14ac:dyDescent="0.2">
      <c r="A54953" s="258"/>
      <c r="Z54953" s="258"/>
    </row>
    <row r="54954" spans="1:26" ht="12.75" customHeight="1" x14ac:dyDescent="0.2">
      <c r="A54954" s="258"/>
      <c r="Z54954" s="258"/>
    </row>
    <row r="54955" spans="1:26" ht="12.75" customHeight="1" x14ac:dyDescent="0.2">
      <c r="A54955" s="258"/>
      <c r="Z54955" s="258"/>
    </row>
    <row r="54956" spans="1:26" ht="12.75" customHeight="1" x14ac:dyDescent="0.2">
      <c r="A54956" s="258"/>
      <c r="Z54956" s="258"/>
    </row>
    <row r="54957" spans="1:26" ht="12.75" customHeight="1" x14ac:dyDescent="0.2">
      <c r="A54957" s="258"/>
      <c r="Z54957" s="258"/>
    </row>
    <row r="54958" spans="1:26" ht="12.75" customHeight="1" x14ac:dyDescent="0.2">
      <c r="A54958" s="258"/>
      <c r="Z54958" s="258"/>
    </row>
    <row r="54959" spans="1:26" ht="12.75" customHeight="1" x14ac:dyDescent="0.2">
      <c r="A54959" s="258"/>
      <c r="Z54959" s="258"/>
    </row>
    <row r="54960" spans="1:26" ht="12.75" customHeight="1" x14ac:dyDescent="0.2">
      <c r="A54960" s="258"/>
      <c r="Z54960" s="258"/>
    </row>
    <row r="54961" spans="1:26" ht="12.75" customHeight="1" x14ac:dyDescent="0.2">
      <c r="A54961" s="258"/>
      <c r="Z54961" s="258"/>
    </row>
    <row r="54962" spans="1:26" ht="12.75" customHeight="1" x14ac:dyDescent="0.2">
      <c r="A54962" s="258"/>
      <c r="Z54962" s="258"/>
    </row>
    <row r="54963" spans="1:26" ht="12.75" customHeight="1" x14ac:dyDescent="0.2">
      <c r="A54963" s="258"/>
      <c r="Z54963" s="258"/>
    </row>
    <row r="54964" spans="1:26" ht="12.75" customHeight="1" x14ac:dyDescent="0.2">
      <c r="A54964" s="258"/>
      <c r="Z54964" s="258"/>
    </row>
    <row r="54965" spans="1:26" ht="12.75" customHeight="1" x14ac:dyDescent="0.2">
      <c r="A54965" s="258"/>
      <c r="Z54965" s="258"/>
    </row>
    <row r="54966" spans="1:26" ht="12.75" customHeight="1" x14ac:dyDescent="0.2">
      <c r="A54966" s="258"/>
      <c r="Z54966" s="258"/>
    </row>
    <row r="54967" spans="1:26" ht="12.75" customHeight="1" x14ac:dyDescent="0.2">
      <c r="A54967" s="258"/>
      <c r="Z54967" s="258"/>
    </row>
    <row r="54968" spans="1:26" ht="12.75" customHeight="1" x14ac:dyDescent="0.2">
      <c r="A54968" s="258"/>
      <c r="Z54968" s="258"/>
    </row>
    <row r="54969" spans="1:26" ht="12.75" customHeight="1" x14ac:dyDescent="0.2">
      <c r="A54969" s="258"/>
      <c r="Z54969" s="258"/>
    </row>
    <row r="54970" spans="1:26" ht="12.75" customHeight="1" x14ac:dyDescent="0.2">
      <c r="A54970" s="258"/>
      <c r="Z54970" s="258"/>
    </row>
    <row r="54971" spans="1:26" ht="12.75" customHeight="1" x14ac:dyDescent="0.2">
      <c r="A54971" s="258"/>
      <c r="Z54971" s="258"/>
    </row>
    <row r="54972" spans="1:26" ht="12.75" customHeight="1" x14ac:dyDescent="0.2">
      <c r="A54972" s="258"/>
      <c r="Z54972" s="258"/>
    </row>
    <row r="54973" spans="1:26" ht="12.75" customHeight="1" x14ac:dyDescent="0.2">
      <c r="A54973" s="258"/>
      <c r="Z54973" s="258"/>
    </row>
    <row r="54974" spans="1:26" ht="12.75" customHeight="1" x14ac:dyDescent="0.2">
      <c r="A54974" s="258"/>
      <c r="Z54974" s="258"/>
    </row>
    <row r="54975" spans="1:26" ht="12.75" customHeight="1" x14ac:dyDescent="0.2">
      <c r="A54975" s="258"/>
      <c r="Z54975" s="258"/>
    </row>
    <row r="54976" spans="1:26" ht="12.75" customHeight="1" x14ac:dyDescent="0.2">
      <c r="A54976" s="258"/>
      <c r="Z54976" s="258"/>
    </row>
    <row r="54977" spans="1:26" ht="12.75" customHeight="1" x14ac:dyDescent="0.2">
      <c r="A54977" s="258"/>
      <c r="Z54977" s="258"/>
    </row>
    <row r="54978" spans="1:26" ht="12.75" customHeight="1" x14ac:dyDescent="0.2">
      <c r="A54978" s="258"/>
      <c r="Z54978" s="258"/>
    </row>
    <row r="54979" spans="1:26" ht="12.75" customHeight="1" x14ac:dyDescent="0.2">
      <c r="A54979" s="258"/>
      <c r="Z54979" s="258"/>
    </row>
    <row r="54980" spans="1:26" ht="12.75" customHeight="1" x14ac:dyDescent="0.2">
      <c r="A54980" s="258"/>
      <c r="Z54980" s="258"/>
    </row>
    <row r="54981" spans="1:26" ht="12.75" customHeight="1" x14ac:dyDescent="0.2">
      <c r="A54981" s="258"/>
      <c r="Z54981" s="258"/>
    </row>
    <row r="54982" spans="1:26" ht="12.75" customHeight="1" x14ac:dyDescent="0.2">
      <c r="A54982" s="258"/>
      <c r="Z54982" s="258"/>
    </row>
    <row r="54983" spans="1:26" ht="12.75" customHeight="1" x14ac:dyDescent="0.2">
      <c r="A54983" s="258"/>
      <c r="Z54983" s="258"/>
    </row>
    <row r="54984" spans="1:26" ht="12.75" customHeight="1" x14ac:dyDescent="0.2">
      <c r="A54984" s="258"/>
      <c r="Z54984" s="258"/>
    </row>
    <row r="54985" spans="1:26" ht="12.75" customHeight="1" x14ac:dyDescent="0.2">
      <c r="A54985" s="258"/>
      <c r="Z54985" s="258"/>
    </row>
    <row r="54986" spans="1:26" ht="12.75" customHeight="1" x14ac:dyDescent="0.2">
      <c r="A54986" s="258"/>
      <c r="Z54986" s="258"/>
    </row>
    <row r="54987" spans="1:26" ht="12.75" customHeight="1" x14ac:dyDescent="0.2">
      <c r="A54987" s="258"/>
      <c r="Z54987" s="258"/>
    </row>
    <row r="54988" spans="1:26" ht="12.75" customHeight="1" x14ac:dyDescent="0.2">
      <c r="A54988" s="258"/>
      <c r="Z54988" s="258"/>
    </row>
    <row r="54989" spans="1:26" ht="12.75" customHeight="1" x14ac:dyDescent="0.2">
      <c r="A54989" s="258"/>
      <c r="Z54989" s="258"/>
    </row>
    <row r="54990" spans="1:26" ht="12.75" customHeight="1" x14ac:dyDescent="0.2">
      <c r="A54990" s="258"/>
      <c r="Z54990" s="258"/>
    </row>
    <row r="54991" spans="1:26" ht="12.75" customHeight="1" x14ac:dyDescent="0.2">
      <c r="A54991" s="258"/>
      <c r="Z54991" s="258"/>
    </row>
    <row r="54992" spans="1:26" ht="12.75" customHeight="1" x14ac:dyDescent="0.2">
      <c r="A54992" s="258"/>
      <c r="Z54992" s="258"/>
    </row>
    <row r="54993" spans="1:26" ht="12.75" customHeight="1" x14ac:dyDescent="0.2">
      <c r="A54993" s="258"/>
      <c r="Z54993" s="258"/>
    </row>
    <row r="54994" spans="1:26" ht="12.75" customHeight="1" x14ac:dyDescent="0.2">
      <c r="A54994" s="258"/>
      <c r="Z54994" s="258"/>
    </row>
    <row r="54995" spans="1:26" ht="12.75" customHeight="1" x14ac:dyDescent="0.2">
      <c r="A54995" s="258"/>
      <c r="Z54995" s="258"/>
    </row>
    <row r="54996" spans="1:26" ht="12.75" customHeight="1" x14ac:dyDescent="0.2">
      <c r="A54996" s="258"/>
      <c r="Z54996" s="258"/>
    </row>
    <row r="54997" spans="1:26" ht="12.75" customHeight="1" x14ac:dyDescent="0.2">
      <c r="A54997" s="258"/>
      <c r="Z54997" s="258"/>
    </row>
    <row r="54998" spans="1:26" ht="12.75" customHeight="1" x14ac:dyDescent="0.2">
      <c r="A54998" s="258"/>
      <c r="Z54998" s="258"/>
    </row>
    <row r="54999" spans="1:26" ht="12.75" customHeight="1" x14ac:dyDescent="0.2">
      <c r="A54999" s="258"/>
      <c r="Z54999" s="258"/>
    </row>
    <row r="55000" spans="1:26" ht="12.75" customHeight="1" x14ac:dyDescent="0.2">
      <c r="A55000" s="258"/>
      <c r="Z55000" s="258"/>
    </row>
    <row r="55001" spans="1:26" ht="12.75" customHeight="1" x14ac:dyDescent="0.2">
      <c r="A55001" s="258"/>
      <c r="Z55001" s="258"/>
    </row>
    <row r="55002" spans="1:26" ht="12.75" customHeight="1" x14ac:dyDescent="0.2">
      <c r="A55002" s="258"/>
      <c r="Z55002" s="258"/>
    </row>
    <row r="55003" spans="1:26" ht="12.75" customHeight="1" x14ac:dyDescent="0.2">
      <c r="A55003" s="258"/>
      <c r="Z55003" s="258"/>
    </row>
    <row r="55004" spans="1:26" ht="12.75" customHeight="1" x14ac:dyDescent="0.2">
      <c r="A55004" s="258"/>
      <c r="Z55004" s="258"/>
    </row>
    <row r="55005" spans="1:26" ht="12.75" customHeight="1" x14ac:dyDescent="0.2">
      <c r="A55005" s="258"/>
      <c r="Z55005" s="258"/>
    </row>
    <row r="55006" spans="1:26" ht="12.75" customHeight="1" x14ac:dyDescent="0.2">
      <c r="A55006" s="258"/>
      <c r="Z55006" s="258"/>
    </row>
    <row r="55007" spans="1:26" ht="12.75" customHeight="1" x14ac:dyDescent="0.2">
      <c r="A55007" s="258"/>
      <c r="Z55007" s="258"/>
    </row>
    <row r="55008" spans="1:26" ht="12.75" customHeight="1" x14ac:dyDescent="0.2">
      <c r="A55008" s="258"/>
      <c r="Z55008" s="258"/>
    </row>
    <row r="55009" spans="1:26" ht="12.75" customHeight="1" x14ac:dyDescent="0.2">
      <c r="A55009" s="258"/>
      <c r="Z55009" s="258"/>
    </row>
    <row r="55010" spans="1:26" ht="12.75" customHeight="1" x14ac:dyDescent="0.2">
      <c r="A55010" s="258"/>
      <c r="Z55010" s="258"/>
    </row>
    <row r="55011" spans="1:26" ht="12.75" customHeight="1" x14ac:dyDescent="0.2">
      <c r="A55011" s="258"/>
      <c r="Z55011" s="258"/>
    </row>
    <row r="55012" spans="1:26" ht="12.75" customHeight="1" x14ac:dyDescent="0.2">
      <c r="A55012" s="258"/>
      <c r="Z55012" s="258"/>
    </row>
    <row r="55013" spans="1:26" ht="12.75" customHeight="1" x14ac:dyDescent="0.2">
      <c r="A55013" s="258"/>
      <c r="Z55013" s="258"/>
    </row>
    <row r="55014" spans="1:26" ht="12.75" customHeight="1" x14ac:dyDescent="0.2">
      <c r="A55014" s="258"/>
      <c r="Z55014" s="258"/>
    </row>
    <row r="55015" spans="1:26" ht="12.75" customHeight="1" x14ac:dyDescent="0.2">
      <c r="A55015" s="258"/>
      <c r="Z55015" s="258"/>
    </row>
    <row r="55016" spans="1:26" ht="12.75" customHeight="1" x14ac:dyDescent="0.2">
      <c r="A55016" s="258"/>
      <c r="Z55016" s="258"/>
    </row>
    <row r="55017" spans="1:26" ht="12.75" customHeight="1" x14ac:dyDescent="0.2">
      <c r="A55017" s="258"/>
      <c r="Z55017" s="258"/>
    </row>
    <row r="55018" spans="1:26" ht="12.75" customHeight="1" x14ac:dyDescent="0.2">
      <c r="A55018" s="258"/>
      <c r="Z55018" s="258"/>
    </row>
    <row r="55019" spans="1:26" ht="12.75" customHeight="1" x14ac:dyDescent="0.2">
      <c r="A55019" s="258"/>
      <c r="Z55019" s="258"/>
    </row>
    <row r="55020" spans="1:26" ht="12.75" customHeight="1" x14ac:dyDescent="0.2">
      <c r="A55020" s="258"/>
      <c r="Z55020" s="258"/>
    </row>
    <row r="55021" spans="1:26" ht="12.75" customHeight="1" x14ac:dyDescent="0.2">
      <c r="A55021" s="258"/>
      <c r="Z55021" s="258"/>
    </row>
    <row r="55022" spans="1:26" ht="12.75" customHeight="1" x14ac:dyDescent="0.2">
      <c r="A55022" s="258"/>
      <c r="Z55022" s="258"/>
    </row>
    <row r="55023" spans="1:26" ht="12.75" customHeight="1" x14ac:dyDescent="0.2">
      <c r="A55023" s="258"/>
      <c r="Z55023" s="258"/>
    </row>
    <row r="55024" spans="1:26" ht="12.75" customHeight="1" x14ac:dyDescent="0.2">
      <c r="A55024" s="258"/>
      <c r="Z55024" s="258"/>
    </row>
    <row r="55025" spans="1:26" ht="12.75" customHeight="1" x14ac:dyDescent="0.2">
      <c r="A55025" s="258"/>
      <c r="Z55025" s="258"/>
    </row>
    <row r="55026" spans="1:26" ht="12.75" customHeight="1" x14ac:dyDescent="0.2">
      <c r="A55026" s="258"/>
      <c r="Z55026" s="258"/>
    </row>
    <row r="55027" spans="1:26" ht="12.75" customHeight="1" x14ac:dyDescent="0.2">
      <c r="A55027" s="258"/>
      <c r="Z55027" s="258"/>
    </row>
    <row r="55028" spans="1:26" ht="12.75" customHeight="1" x14ac:dyDescent="0.2">
      <c r="A55028" s="258"/>
      <c r="Z55028" s="258"/>
    </row>
    <row r="55029" spans="1:26" ht="12.75" customHeight="1" x14ac:dyDescent="0.2">
      <c r="A55029" s="258"/>
      <c r="Z55029" s="258"/>
    </row>
    <row r="55030" spans="1:26" ht="12.75" customHeight="1" x14ac:dyDescent="0.2">
      <c r="A55030" s="258"/>
      <c r="Z55030" s="258"/>
    </row>
    <row r="55031" spans="1:26" ht="12.75" customHeight="1" x14ac:dyDescent="0.2">
      <c r="A55031" s="258"/>
      <c r="Z55031" s="258"/>
    </row>
    <row r="55032" spans="1:26" ht="12.75" customHeight="1" x14ac:dyDescent="0.2">
      <c r="A55032" s="258"/>
      <c r="Z55032" s="258"/>
    </row>
    <row r="55033" spans="1:26" ht="12.75" customHeight="1" x14ac:dyDescent="0.2">
      <c r="A55033" s="258"/>
      <c r="Z55033" s="258"/>
    </row>
    <row r="55034" spans="1:26" ht="12.75" customHeight="1" x14ac:dyDescent="0.2">
      <c r="A55034" s="258"/>
      <c r="Z55034" s="258"/>
    </row>
    <row r="55035" spans="1:26" ht="12.75" customHeight="1" x14ac:dyDescent="0.2">
      <c r="A55035" s="258"/>
      <c r="Z55035" s="258"/>
    </row>
    <row r="55036" spans="1:26" ht="12.75" customHeight="1" x14ac:dyDescent="0.2">
      <c r="A55036" s="258"/>
      <c r="Z55036" s="258"/>
    </row>
    <row r="55037" spans="1:26" ht="12.75" customHeight="1" x14ac:dyDescent="0.2">
      <c r="A55037" s="258"/>
      <c r="Z55037" s="258"/>
    </row>
    <row r="55038" spans="1:26" ht="12.75" customHeight="1" x14ac:dyDescent="0.2">
      <c r="A55038" s="258"/>
      <c r="Z55038" s="258"/>
    </row>
    <row r="55039" spans="1:26" ht="12.75" customHeight="1" x14ac:dyDescent="0.2">
      <c r="A55039" s="258"/>
      <c r="Z55039" s="258"/>
    </row>
    <row r="55040" spans="1:26" ht="12.75" customHeight="1" x14ac:dyDescent="0.2">
      <c r="A55040" s="258"/>
      <c r="Z55040" s="258"/>
    </row>
    <row r="55041" spans="1:26" ht="12.75" customHeight="1" x14ac:dyDescent="0.2">
      <c r="A55041" s="258"/>
      <c r="Z55041" s="258"/>
    </row>
    <row r="55042" spans="1:26" ht="12.75" customHeight="1" x14ac:dyDescent="0.2">
      <c r="A55042" s="258"/>
      <c r="Z55042" s="258"/>
    </row>
    <row r="55043" spans="1:26" ht="12.75" customHeight="1" x14ac:dyDescent="0.2">
      <c r="A55043" s="258"/>
      <c r="Z55043" s="258"/>
    </row>
    <row r="55044" spans="1:26" ht="12.75" customHeight="1" x14ac:dyDescent="0.2">
      <c r="A55044" s="258"/>
      <c r="Z55044" s="258"/>
    </row>
    <row r="55045" spans="1:26" ht="12.75" customHeight="1" x14ac:dyDescent="0.2">
      <c r="A55045" s="258"/>
      <c r="Z55045" s="258"/>
    </row>
    <row r="55046" spans="1:26" ht="12.75" customHeight="1" x14ac:dyDescent="0.2">
      <c r="A55046" s="258"/>
      <c r="Z55046" s="258"/>
    </row>
    <row r="55047" spans="1:26" ht="12.75" customHeight="1" x14ac:dyDescent="0.2">
      <c r="A55047" s="258"/>
      <c r="Z55047" s="258"/>
    </row>
    <row r="55048" spans="1:26" ht="12.75" customHeight="1" x14ac:dyDescent="0.2">
      <c r="A55048" s="258"/>
      <c r="Z55048" s="258"/>
    </row>
    <row r="55049" spans="1:26" ht="12.75" customHeight="1" x14ac:dyDescent="0.2">
      <c r="A55049" s="258"/>
      <c r="Z55049" s="258"/>
    </row>
    <row r="55050" spans="1:26" ht="12.75" customHeight="1" x14ac:dyDescent="0.2">
      <c r="A55050" s="258"/>
      <c r="Z55050" s="258"/>
    </row>
    <row r="55051" spans="1:26" ht="12.75" customHeight="1" x14ac:dyDescent="0.2">
      <c r="A55051" s="258"/>
      <c r="Z55051" s="258"/>
    </row>
    <row r="55052" spans="1:26" ht="12.75" customHeight="1" x14ac:dyDescent="0.2">
      <c r="A55052" s="258"/>
      <c r="Z55052" s="258"/>
    </row>
    <row r="55053" spans="1:26" ht="12.75" customHeight="1" x14ac:dyDescent="0.2">
      <c r="A55053" s="258"/>
      <c r="Z55053" s="258"/>
    </row>
    <row r="55054" spans="1:26" ht="12.75" customHeight="1" x14ac:dyDescent="0.2">
      <c r="A55054" s="258"/>
      <c r="Z55054" s="258"/>
    </row>
    <row r="55055" spans="1:26" ht="12.75" customHeight="1" x14ac:dyDescent="0.2">
      <c r="A55055" s="258"/>
      <c r="Z55055" s="258"/>
    </row>
    <row r="55056" spans="1:26" ht="12.75" customHeight="1" x14ac:dyDescent="0.2">
      <c r="A55056" s="258"/>
      <c r="Z55056" s="258"/>
    </row>
    <row r="55057" spans="1:26" ht="12.75" customHeight="1" x14ac:dyDescent="0.2">
      <c r="A55057" s="258"/>
      <c r="Z55057" s="258"/>
    </row>
    <row r="55058" spans="1:26" ht="12.75" customHeight="1" x14ac:dyDescent="0.2">
      <c r="A55058" s="258"/>
      <c r="Z55058" s="258"/>
    </row>
    <row r="55059" spans="1:26" ht="12.75" customHeight="1" x14ac:dyDescent="0.2">
      <c r="A55059" s="258"/>
      <c r="Z55059" s="258"/>
    </row>
    <row r="55060" spans="1:26" ht="12.75" customHeight="1" x14ac:dyDescent="0.2">
      <c r="A55060" s="258"/>
      <c r="Z55060" s="258"/>
    </row>
    <row r="55061" spans="1:26" ht="12.75" customHeight="1" x14ac:dyDescent="0.2">
      <c r="A55061" s="258"/>
      <c r="Z55061" s="258"/>
    </row>
    <row r="55062" spans="1:26" ht="12.75" customHeight="1" x14ac:dyDescent="0.2">
      <c r="A55062" s="258"/>
      <c r="Z55062" s="258"/>
    </row>
    <row r="55063" spans="1:26" ht="12.75" customHeight="1" x14ac:dyDescent="0.2">
      <c r="A55063" s="258"/>
      <c r="Z55063" s="258"/>
    </row>
    <row r="55064" spans="1:26" ht="12.75" customHeight="1" x14ac:dyDescent="0.2">
      <c r="A55064" s="258"/>
      <c r="Z55064" s="258"/>
    </row>
    <row r="55065" spans="1:26" ht="12.75" customHeight="1" x14ac:dyDescent="0.2">
      <c r="A55065" s="258"/>
      <c r="Z55065" s="258"/>
    </row>
    <row r="55066" spans="1:26" ht="12.75" customHeight="1" x14ac:dyDescent="0.2">
      <c r="A55066" s="258"/>
      <c r="Z55066" s="258"/>
    </row>
    <row r="55067" spans="1:26" ht="12.75" customHeight="1" x14ac:dyDescent="0.2">
      <c r="A55067" s="258"/>
      <c r="Z55067" s="258"/>
    </row>
    <row r="55068" spans="1:26" ht="12.75" customHeight="1" x14ac:dyDescent="0.2">
      <c r="A55068" s="258"/>
      <c r="Z55068" s="258"/>
    </row>
    <row r="55069" spans="1:26" ht="12.75" customHeight="1" x14ac:dyDescent="0.2">
      <c r="A55069" s="258"/>
      <c r="Z55069" s="258"/>
    </row>
    <row r="55070" spans="1:26" ht="12.75" customHeight="1" x14ac:dyDescent="0.2">
      <c r="A55070" s="258"/>
      <c r="Z55070" s="258"/>
    </row>
    <row r="55071" spans="1:26" ht="12.75" customHeight="1" x14ac:dyDescent="0.2">
      <c r="A55071" s="258"/>
      <c r="Z55071" s="258"/>
    </row>
    <row r="55072" spans="1:26" ht="12.75" customHeight="1" x14ac:dyDescent="0.2">
      <c r="A55072" s="258"/>
      <c r="Z55072" s="258"/>
    </row>
    <row r="55073" spans="1:26" ht="12.75" customHeight="1" x14ac:dyDescent="0.2">
      <c r="A55073" s="258"/>
      <c r="Z55073" s="258"/>
    </row>
    <row r="55074" spans="1:26" ht="12.75" customHeight="1" x14ac:dyDescent="0.2">
      <c r="A55074" s="258"/>
      <c r="Z55074" s="258"/>
    </row>
    <row r="55075" spans="1:26" ht="12.75" customHeight="1" x14ac:dyDescent="0.2">
      <c r="A55075" s="258"/>
      <c r="Z55075" s="258"/>
    </row>
    <row r="55076" spans="1:26" ht="12.75" customHeight="1" x14ac:dyDescent="0.2">
      <c r="A55076" s="258"/>
      <c r="Z55076" s="258"/>
    </row>
    <row r="55077" spans="1:26" ht="12.75" customHeight="1" x14ac:dyDescent="0.2">
      <c r="A55077" s="258"/>
      <c r="Z55077" s="258"/>
    </row>
    <row r="55078" spans="1:26" ht="12.75" customHeight="1" x14ac:dyDescent="0.2">
      <c r="A55078" s="258"/>
      <c r="Z55078" s="258"/>
    </row>
    <row r="55079" spans="1:26" ht="12.75" customHeight="1" x14ac:dyDescent="0.2">
      <c r="A55079" s="258"/>
      <c r="Z55079" s="258"/>
    </row>
    <row r="55080" spans="1:26" ht="12.75" customHeight="1" x14ac:dyDescent="0.2">
      <c r="A55080" s="258"/>
      <c r="Z55080" s="258"/>
    </row>
    <row r="55081" spans="1:26" ht="12.75" customHeight="1" x14ac:dyDescent="0.2">
      <c r="A55081" s="258"/>
      <c r="Z55081" s="258"/>
    </row>
    <row r="55082" spans="1:26" ht="12.75" customHeight="1" x14ac:dyDescent="0.2">
      <c r="A55082" s="258"/>
      <c r="Z55082" s="258"/>
    </row>
    <row r="55083" spans="1:26" ht="12.75" customHeight="1" x14ac:dyDescent="0.2">
      <c r="A55083" s="258"/>
      <c r="Z55083" s="258"/>
    </row>
    <row r="55084" spans="1:26" ht="12.75" customHeight="1" x14ac:dyDescent="0.2">
      <c r="A55084" s="258"/>
      <c r="Z55084" s="258"/>
    </row>
    <row r="55085" spans="1:26" ht="12.75" customHeight="1" x14ac:dyDescent="0.2">
      <c r="A55085" s="258"/>
      <c r="Z55085" s="258"/>
    </row>
    <row r="55086" spans="1:26" ht="12.75" customHeight="1" x14ac:dyDescent="0.2">
      <c r="A55086" s="258"/>
      <c r="Z55086" s="258"/>
    </row>
    <row r="55087" spans="1:26" ht="12.75" customHeight="1" x14ac:dyDescent="0.2">
      <c r="A55087" s="258"/>
      <c r="Z55087" s="258"/>
    </row>
    <row r="55088" spans="1:26" ht="12.75" customHeight="1" x14ac:dyDescent="0.2">
      <c r="A55088" s="258"/>
      <c r="Z55088" s="258"/>
    </row>
    <row r="55089" spans="1:26" ht="12.75" customHeight="1" x14ac:dyDescent="0.2">
      <c r="A55089" s="258"/>
      <c r="Z55089" s="258"/>
    </row>
    <row r="55090" spans="1:26" ht="12.75" customHeight="1" x14ac:dyDescent="0.2">
      <c r="A55090" s="258"/>
      <c r="Z55090" s="258"/>
    </row>
    <row r="55091" spans="1:26" ht="12.75" customHeight="1" x14ac:dyDescent="0.2">
      <c r="A55091" s="258"/>
      <c r="Z55091" s="258"/>
    </row>
    <row r="55092" spans="1:26" ht="12.75" customHeight="1" x14ac:dyDescent="0.2">
      <c r="A55092" s="258"/>
      <c r="Z55092" s="258"/>
    </row>
    <row r="55093" spans="1:26" ht="12.75" customHeight="1" x14ac:dyDescent="0.2">
      <c r="A55093" s="258"/>
      <c r="Z55093" s="258"/>
    </row>
    <row r="55094" spans="1:26" ht="12.75" customHeight="1" x14ac:dyDescent="0.2">
      <c r="A55094" s="258"/>
      <c r="Z55094" s="258"/>
    </row>
    <row r="55095" spans="1:26" ht="12.75" customHeight="1" x14ac:dyDescent="0.2">
      <c r="A55095" s="258"/>
      <c r="Z55095" s="258"/>
    </row>
    <row r="55096" spans="1:26" ht="12.75" customHeight="1" x14ac:dyDescent="0.2">
      <c r="A55096" s="258"/>
      <c r="Z55096" s="258"/>
    </row>
    <row r="55097" spans="1:26" ht="12.75" customHeight="1" x14ac:dyDescent="0.2">
      <c r="A55097" s="258"/>
      <c r="Z55097" s="258"/>
    </row>
    <row r="55098" spans="1:26" ht="12.75" customHeight="1" x14ac:dyDescent="0.2">
      <c r="A55098" s="258"/>
      <c r="Z55098" s="258"/>
    </row>
    <row r="55099" spans="1:26" ht="12.75" customHeight="1" x14ac:dyDescent="0.2">
      <c r="A55099" s="258"/>
      <c r="Z55099" s="258"/>
    </row>
    <row r="55100" spans="1:26" ht="12.75" customHeight="1" x14ac:dyDescent="0.2">
      <c r="A55100" s="258"/>
      <c r="Z55100" s="258"/>
    </row>
    <row r="55101" spans="1:26" ht="12.75" customHeight="1" x14ac:dyDescent="0.2">
      <c r="A55101" s="258"/>
      <c r="Z55101" s="258"/>
    </row>
    <row r="55102" spans="1:26" ht="12.75" customHeight="1" x14ac:dyDescent="0.2">
      <c r="A55102" s="258"/>
      <c r="Z55102" s="258"/>
    </row>
    <row r="55103" spans="1:26" ht="12.75" customHeight="1" x14ac:dyDescent="0.2">
      <c r="A55103" s="258"/>
      <c r="Z55103" s="258"/>
    </row>
    <row r="55104" spans="1:26" ht="12.75" customHeight="1" x14ac:dyDescent="0.2">
      <c r="A55104" s="258"/>
      <c r="Z55104" s="258"/>
    </row>
    <row r="55105" spans="1:26" ht="12.75" customHeight="1" x14ac:dyDescent="0.2">
      <c r="A55105" s="258"/>
      <c r="Z55105" s="258"/>
    </row>
    <row r="55106" spans="1:26" ht="12.75" customHeight="1" x14ac:dyDescent="0.2">
      <c r="A55106" s="258"/>
      <c r="Z55106" s="258"/>
    </row>
    <row r="55107" spans="1:26" ht="12.75" customHeight="1" x14ac:dyDescent="0.2">
      <c r="A55107" s="258"/>
      <c r="Z55107" s="258"/>
    </row>
    <row r="55108" spans="1:26" ht="12.75" customHeight="1" x14ac:dyDescent="0.2">
      <c r="A55108" s="258"/>
      <c r="Z55108" s="258"/>
    </row>
    <row r="55109" spans="1:26" ht="12.75" customHeight="1" x14ac:dyDescent="0.2">
      <c r="A55109" s="258"/>
      <c r="Z55109" s="258"/>
    </row>
    <row r="55110" spans="1:26" ht="12.75" customHeight="1" x14ac:dyDescent="0.2">
      <c r="A55110" s="258"/>
      <c r="Z55110" s="258"/>
    </row>
    <row r="55111" spans="1:26" ht="12.75" customHeight="1" x14ac:dyDescent="0.2">
      <c r="A55111" s="258"/>
      <c r="Z55111" s="258"/>
    </row>
    <row r="55112" spans="1:26" ht="12.75" customHeight="1" x14ac:dyDescent="0.2">
      <c r="A55112" s="258"/>
      <c r="Z55112" s="258"/>
    </row>
    <row r="55113" spans="1:26" ht="12.75" customHeight="1" x14ac:dyDescent="0.2">
      <c r="A55113" s="258"/>
      <c r="Z55113" s="258"/>
    </row>
    <row r="55114" spans="1:26" ht="12.75" customHeight="1" x14ac:dyDescent="0.2">
      <c r="A55114" s="258"/>
      <c r="Z55114" s="258"/>
    </row>
    <row r="55115" spans="1:26" ht="12.75" customHeight="1" x14ac:dyDescent="0.2">
      <c r="A55115" s="258"/>
      <c r="Z55115" s="258"/>
    </row>
    <row r="55116" spans="1:26" ht="12.75" customHeight="1" x14ac:dyDescent="0.2">
      <c r="A55116" s="258"/>
      <c r="Z55116" s="258"/>
    </row>
    <row r="55117" spans="1:26" ht="12.75" customHeight="1" x14ac:dyDescent="0.2">
      <c r="A55117" s="258"/>
      <c r="Z55117" s="258"/>
    </row>
    <row r="55118" spans="1:26" ht="12.75" customHeight="1" x14ac:dyDescent="0.2">
      <c r="A55118" s="258"/>
      <c r="Z55118" s="258"/>
    </row>
    <row r="55119" spans="1:26" ht="12.75" customHeight="1" x14ac:dyDescent="0.2">
      <c r="A55119" s="258"/>
      <c r="Z55119" s="258"/>
    </row>
    <row r="55120" spans="1:26" ht="12.75" customHeight="1" x14ac:dyDescent="0.2">
      <c r="A55120" s="258"/>
      <c r="Z55120" s="258"/>
    </row>
    <row r="55121" spans="1:26" ht="12.75" customHeight="1" x14ac:dyDescent="0.2">
      <c r="A55121" s="258"/>
      <c r="Z55121" s="258"/>
    </row>
    <row r="55122" spans="1:26" ht="12.75" customHeight="1" x14ac:dyDescent="0.2">
      <c r="A55122" s="258"/>
      <c r="Z55122" s="258"/>
    </row>
    <row r="55123" spans="1:26" ht="12.75" customHeight="1" x14ac:dyDescent="0.2">
      <c r="A55123" s="258"/>
      <c r="Z55123" s="258"/>
    </row>
    <row r="55124" spans="1:26" ht="12.75" customHeight="1" x14ac:dyDescent="0.2">
      <c r="A55124" s="258"/>
      <c r="Z55124" s="258"/>
    </row>
    <row r="55125" spans="1:26" ht="12.75" customHeight="1" x14ac:dyDescent="0.2">
      <c r="A55125" s="258"/>
      <c r="Z55125" s="258"/>
    </row>
    <row r="55126" spans="1:26" ht="12.75" customHeight="1" x14ac:dyDescent="0.2">
      <c r="A55126" s="258"/>
      <c r="Z55126" s="258"/>
    </row>
    <row r="55127" spans="1:26" ht="12.75" customHeight="1" x14ac:dyDescent="0.2">
      <c r="A55127" s="258"/>
      <c r="Z55127" s="258"/>
    </row>
    <row r="55128" spans="1:26" ht="12.75" customHeight="1" x14ac:dyDescent="0.2">
      <c r="A55128" s="258"/>
      <c r="Z55128" s="258"/>
    </row>
    <row r="55129" spans="1:26" ht="12.75" customHeight="1" x14ac:dyDescent="0.2">
      <c r="A55129" s="258"/>
      <c r="Z55129" s="258"/>
    </row>
    <row r="55130" spans="1:26" ht="12.75" customHeight="1" x14ac:dyDescent="0.2">
      <c r="A55130" s="258"/>
      <c r="Z55130" s="258"/>
    </row>
    <row r="55131" spans="1:26" ht="12.75" customHeight="1" x14ac:dyDescent="0.2">
      <c r="A55131" s="258"/>
      <c r="Z55131" s="258"/>
    </row>
    <row r="55132" spans="1:26" ht="12.75" customHeight="1" x14ac:dyDescent="0.2">
      <c r="A55132" s="258"/>
      <c r="Z55132" s="258"/>
    </row>
    <row r="55133" spans="1:26" ht="12.75" customHeight="1" x14ac:dyDescent="0.2">
      <c r="A55133" s="258"/>
      <c r="Z55133" s="258"/>
    </row>
    <row r="55134" spans="1:26" ht="12.75" customHeight="1" x14ac:dyDescent="0.2">
      <c r="A55134" s="258"/>
      <c r="Z55134" s="258"/>
    </row>
    <row r="55135" spans="1:26" ht="12.75" customHeight="1" x14ac:dyDescent="0.2">
      <c r="A55135" s="258"/>
      <c r="Z55135" s="258"/>
    </row>
    <row r="55136" spans="1:26" ht="12.75" customHeight="1" x14ac:dyDescent="0.2">
      <c r="A55136" s="258"/>
      <c r="Z55136" s="258"/>
    </row>
    <row r="55137" spans="1:26" ht="12.75" customHeight="1" x14ac:dyDescent="0.2">
      <c r="A55137" s="258"/>
      <c r="Z55137" s="258"/>
    </row>
    <row r="55138" spans="1:26" ht="12.75" customHeight="1" x14ac:dyDescent="0.2">
      <c r="A55138" s="258"/>
      <c r="Z55138" s="258"/>
    </row>
    <row r="55139" spans="1:26" ht="12.75" customHeight="1" x14ac:dyDescent="0.2">
      <c r="A55139" s="258"/>
      <c r="Z55139" s="258"/>
    </row>
    <row r="55140" spans="1:26" ht="12.75" customHeight="1" x14ac:dyDescent="0.2">
      <c r="A55140" s="258"/>
      <c r="Z55140" s="258"/>
    </row>
    <row r="55141" spans="1:26" ht="12.75" customHeight="1" x14ac:dyDescent="0.2">
      <c r="A55141" s="258"/>
      <c r="Z55141" s="258"/>
    </row>
    <row r="55142" spans="1:26" ht="12.75" customHeight="1" x14ac:dyDescent="0.2">
      <c r="A55142" s="258"/>
      <c r="Z55142" s="258"/>
    </row>
    <row r="55143" spans="1:26" ht="12.75" customHeight="1" x14ac:dyDescent="0.2">
      <c r="A55143" s="258"/>
      <c r="Z55143" s="258"/>
    </row>
    <row r="55144" spans="1:26" ht="12.75" customHeight="1" x14ac:dyDescent="0.2">
      <c r="A55144" s="258"/>
      <c r="Z55144" s="258"/>
    </row>
    <row r="55145" spans="1:26" ht="12.75" customHeight="1" x14ac:dyDescent="0.2">
      <c r="A55145" s="258"/>
      <c r="Z55145" s="258"/>
    </row>
    <row r="55146" spans="1:26" ht="12.75" customHeight="1" x14ac:dyDescent="0.2">
      <c r="A55146" s="258"/>
      <c r="Z55146" s="258"/>
    </row>
    <row r="55147" spans="1:26" ht="12.75" customHeight="1" x14ac:dyDescent="0.2">
      <c r="A55147" s="258"/>
      <c r="Z55147" s="258"/>
    </row>
    <row r="55148" spans="1:26" ht="12.75" customHeight="1" x14ac:dyDescent="0.2">
      <c r="A55148" s="258"/>
      <c r="Z55148" s="258"/>
    </row>
    <row r="55149" spans="1:26" ht="12.75" customHeight="1" x14ac:dyDescent="0.2">
      <c r="A55149" s="258"/>
      <c r="Z55149" s="258"/>
    </row>
    <row r="55150" spans="1:26" ht="12.75" customHeight="1" x14ac:dyDescent="0.2">
      <c r="A55150" s="258"/>
      <c r="Z55150" s="258"/>
    </row>
    <row r="55151" spans="1:26" ht="12.75" customHeight="1" x14ac:dyDescent="0.2">
      <c r="A55151" s="258"/>
      <c r="Z55151" s="258"/>
    </row>
    <row r="55152" spans="1:26" ht="12.75" customHeight="1" x14ac:dyDescent="0.2">
      <c r="A55152" s="258"/>
      <c r="Z55152" s="258"/>
    </row>
    <row r="55153" spans="1:26" ht="12.75" customHeight="1" x14ac:dyDescent="0.2">
      <c r="A55153" s="258"/>
      <c r="Z55153" s="258"/>
    </row>
    <row r="55154" spans="1:26" ht="12.75" customHeight="1" x14ac:dyDescent="0.2">
      <c r="A55154" s="258"/>
      <c r="Z55154" s="258"/>
    </row>
    <row r="55155" spans="1:26" ht="12.75" customHeight="1" x14ac:dyDescent="0.2">
      <c r="A55155" s="258"/>
      <c r="Z55155" s="258"/>
    </row>
    <row r="55156" spans="1:26" ht="12.75" customHeight="1" x14ac:dyDescent="0.2">
      <c r="A55156" s="258"/>
      <c r="Z55156" s="258"/>
    </row>
    <row r="55157" spans="1:26" ht="12.75" customHeight="1" x14ac:dyDescent="0.2">
      <c r="A55157" s="258"/>
      <c r="Z55157" s="258"/>
    </row>
    <row r="55158" spans="1:26" ht="12.75" customHeight="1" x14ac:dyDescent="0.2">
      <c r="A55158" s="258"/>
      <c r="Z55158" s="258"/>
    </row>
    <row r="55159" spans="1:26" ht="12.75" customHeight="1" x14ac:dyDescent="0.2">
      <c r="A55159" s="258"/>
      <c r="Z55159" s="258"/>
    </row>
    <row r="55160" spans="1:26" ht="12.75" customHeight="1" x14ac:dyDescent="0.2">
      <c r="A55160" s="258"/>
      <c r="Z55160" s="258"/>
    </row>
    <row r="55161" spans="1:26" ht="12.75" customHeight="1" x14ac:dyDescent="0.2">
      <c r="A55161" s="258"/>
      <c r="Z55161" s="258"/>
    </row>
    <row r="55162" spans="1:26" ht="12.75" customHeight="1" x14ac:dyDescent="0.2">
      <c r="A55162" s="258"/>
      <c r="Z55162" s="258"/>
    </row>
    <row r="55163" spans="1:26" ht="12.75" customHeight="1" x14ac:dyDescent="0.2">
      <c r="A55163" s="258"/>
      <c r="Z55163" s="258"/>
    </row>
    <row r="55164" spans="1:26" ht="12.75" customHeight="1" x14ac:dyDescent="0.2">
      <c r="A55164" s="258"/>
      <c r="Z55164" s="258"/>
    </row>
    <row r="55165" spans="1:26" ht="12.75" customHeight="1" x14ac:dyDescent="0.2">
      <c r="A55165" s="258"/>
      <c r="Z55165" s="258"/>
    </row>
    <row r="55166" spans="1:26" ht="12.75" customHeight="1" x14ac:dyDescent="0.2">
      <c r="A55166" s="258"/>
      <c r="Z55166" s="258"/>
    </row>
    <row r="55167" spans="1:26" ht="12.75" customHeight="1" x14ac:dyDescent="0.2">
      <c r="A55167" s="258"/>
      <c r="Z55167" s="258"/>
    </row>
    <row r="55168" spans="1:26" ht="12.75" customHeight="1" x14ac:dyDescent="0.2">
      <c r="A55168" s="258"/>
      <c r="Z55168" s="258"/>
    </row>
    <row r="55169" spans="1:26" ht="12.75" customHeight="1" x14ac:dyDescent="0.2">
      <c r="A55169" s="258"/>
      <c r="Z55169" s="258"/>
    </row>
    <row r="55170" spans="1:26" ht="12.75" customHeight="1" x14ac:dyDescent="0.2">
      <c r="A55170" s="258"/>
      <c r="Z55170" s="258"/>
    </row>
    <row r="55171" spans="1:26" ht="12.75" customHeight="1" x14ac:dyDescent="0.2">
      <c r="A55171" s="258"/>
      <c r="Z55171" s="258"/>
    </row>
    <row r="55172" spans="1:26" ht="12.75" customHeight="1" x14ac:dyDescent="0.2">
      <c r="A55172" s="258"/>
      <c r="Z55172" s="258"/>
    </row>
    <row r="55173" spans="1:26" ht="12.75" customHeight="1" x14ac:dyDescent="0.2">
      <c r="A55173" s="258"/>
      <c r="Z55173" s="258"/>
    </row>
    <row r="55174" spans="1:26" ht="12.75" customHeight="1" x14ac:dyDescent="0.2">
      <c r="A55174" s="258"/>
      <c r="Z55174" s="258"/>
    </row>
    <row r="55175" spans="1:26" ht="12.75" customHeight="1" x14ac:dyDescent="0.2">
      <c r="A55175" s="258"/>
      <c r="Z55175" s="258"/>
    </row>
    <row r="55176" spans="1:26" ht="12.75" customHeight="1" x14ac:dyDescent="0.2">
      <c r="A55176" s="258"/>
      <c r="Z55176" s="258"/>
    </row>
    <row r="55177" spans="1:26" ht="12.75" customHeight="1" x14ac:dyDescent="0.2">
      <c r="A55177" s="258"/>
      <c r="Z55177" s="258"/>
    </row>
    <row r="55178" spans="1:26" ht="12.75" customHeight="1" x14ac:dyDescent="0.2">
      <c r="A55178" s="258"/>
      <c r="Z55178" s="258"/>
    </row>
    <row r="55179" spans="1:26" ht="12.75" customHeight="1" x14ac:dyDescent="0.2">
      <c r="A55179" s="258"/>
      <c r="Z55179" s="258"/>
    </row>
    <row r="55180" spans="1:26" ht="12.75" customHeight="1" x14ac:dyDescent="0.2">
      <c r="A55180" s="258"/>
      <c r="Z55180" s="258"/>
    </row>
    <row r="55181" spans="1:26" ht="12.75" customHeight="1" x14ac:dyDescent="0.2">
      <c r="A55181" s="258"/>
      <c r="Z55181" s="258"/>
    </row>
    <row r="55182" spans="1:26" ht="12.75" customHeight="1" x14ac:dyDescent="0.2">
      <c r="A55182" s="258"/>
      <c r="Z55182" s="258"/>
    </row>
    <row r="55183" spans="1:26" ht="12.75" customHeight="1" x14ac:dyDescent="0.2">
      <c r="A55183" s="258"/>
      <c r="Z55183" s="258"/>
    </row>
    <row r="55184" spans="1:26" ht="12.75" customHeight="1" x14ac:dyDescent="0.2">
      <c r="A55184" s="258"/>
      <c r="Z55184" s="258"/>
    </row>
    <row r="55185" spans="1:26" ht="12.75" customHeight="1" x14ac:dyDescent="0.2">
      <c r="A55185" s="258"/>
      <c r="Z55185" s="258"/>
    </row>
    <row r="55186" spans="1:26" ht="12.75" customHeight="1" x14ac:dyDescent="0.2">
      <c r="A55186" s="258"/>
      <c r="Z55186" s="258"/>
    </row>
    <row r="55187" spans="1:26" ht="12.75" customHeight="1" x14ac:dyDescent="0.2">
      <c r="A55187" s="258"/>
      <c r="Z55187" s="258"/>
    </row>
    <row r="55188" spans="1:26" ht="12.75" customHeight="1" x14ac:dyDescent="0.2">
      <c r="A55188" s="258"/>
      <c r="Z55188" s="258"/>
    </row>
    <row r="55189" spans="1:26" ht="12.75" customHeight="1" x14ac:dyDescent="0.2">
      <c r="A55189" s="258"/>
      <c r="Z55189" s="258"/>
    </row>
    <row r="55190" spans="1:26" ht="12.75" customHeight="1" x14ac:dyDescent="0.2">
      <c r="A55190" s="258"/>
      <c r="Z55190" s="258"/>
    </row>
    <row r="55191" spans="1:26" ht="12.75" customHeight="1" x14ac:dyDescent="0.2">
      <c r="A55191" s="258"/>
      <c r="Z55191" s="258"/>
    </row>
    <row r="55192" spans="1:26" ht="12.75" customHeight="1" x14ac:dyDescent="0.2">
      <c r="A55192" s="258"/>
      <c r="Z55192" s="258"/>
    </row>
    <row r="55193" spans="1:26" ht="12.75" customHeight="1" x14ac:dyDescent="0.2">
      <c r="A55193" s="258"/>
      <c r="Z55193" s="258"/>
    </row>
    <row r="55194" spans="1:26" ht="12.75" customHeight="1" x14ac:dyDescent="0.2">
      <c r="A55194" s="258"/>
      <c r="Z55194" s="258"/>
    </row>
    <row r="55195" spans="1:26" ht="12.75" customHeight="1" x14ac:dyDescent="0.2">
      <c r="A55195" s="258"/>
      <c r="Z55195" s="258"/>
    </row>
    <row r="55196" spans="1:26" ht="12.75" customHeight="1" x14ac:dyDescent="0.2">
      <c r="A55196" s="258"/>
      <c r="Z55196" s="258"/>
    </row>
    <row r="55197" spans="1:26" ht="12.75" customHeight="1" x14ac:dyDescent="0.2">
      <c r="A55197" s="258"/>
      <c r="Z55197" s="258"/>
    </row>
    <row r="55198" spans="1:26" ht="12.75" customHeight="1" x14ac:dyDescent="0.2">
      <c r="A55198" s="258"/>
      <c r="Z55198" s="258"/>
    </row>
    <row r="55199" spans="1:26" ht="12.75" customHeight="1" x14ac:dyDescent="0.2">
      <c r="A55199" s="258"/>
      <c r="Z55199" s="258"/>
    </row>
    <row r="55200" spans="1:26" ht="12.75" customHeight="1" x14ac:dyDescent="0.2">
      <c r="A55200" s="258"/>
      <c r="Z55200" s="258"/>
    </row>
    <row r="55201" spans="1:26" ht="12.75" customHeight="1" x14ac:dyDescent="0.2">
      <c r="A55201" s="258"/>
      <c r="Z55201" s="258"/>
    </row>
    <row r="55202" spans="1:26" ht="12.75" customHeight="1" x14ac:dyDescent="0.2">
      <c r="A55202" s="258"/>
      <c r="Z55202" s="258"/>
    </row>
    <row r="55203" spans="1:26" ht="12.75" customHeight="1" x14ac:dyDescent="0.2">
      <c r="A55203" s="258"/>
      <c r="Z55203" s="258"/>
    </row>
    <row r="55204" spans="1:26" ht="12.75" customHeight="1" x14ac:dyDescent="0.2">
      <c r="A55204" s="258"/>
      <c r="Z55204" s="258"/>
    </row>
    <row r="55205" spans="1:26" ht="12.75" customHeight="1" x14ac:dyDescent="0.2">
      <c r="A55205" s="258"/>
      <c r="Z55205" s="258"/>
    </row>
    <row r="55206" spans="1:26" ht="12.75" customHeight="1" x14ac:dyDescent="0.2">
      <c r="A55206" s="258"/>
      <c r="Z55206" s="258"/>
    </row>
    <row r="55207" spans="1:26" ht="12.75" customHeight="1" x14ac:dyDescent="0.2">
      <c r="A55207" s="258"/>
      <c r="Z55207" s="258"/>
    </row>
    <row r="55208" spans="1:26" ht="12.75" customHeight="1" x14ac:dyDescent="0.2">
      <c r="A55208" s="258"/>
      <c r="Z55208" s="258"/>
    </row>
    <row r="55209" spans="1:26" ht="12.75" customHeight="1" x14ac:dyDescent="0.2">
      <c r="A55209" s="258"/>
      <c r="Z55209" s="258"/>
    </row>
    <row r="55210" spans="1:26" ht="12.75" customHeight="1" x14ac:dyDescent="0.2">
      <c r="A55210" s="258"/>
      <c r="Z55210" s="258"/>
    </row>
    <row r="55211" spans="1:26" ht="12.75" customHeight="1" x14ac:dyDescent="0.2">
      <c r="A55211" s="258"/>
      <c r="Z55211" s="258"/>
    </row>
    <row r="55212" spans="1:26" ht="12.75" customHeight="1" x14ac:dyDescent="0.2">
      <c r="A55212" s="258"/>
      <c r="Z55212" s="258"/>
    </row>
    <row r="55213" spans="1:26" ht="12.75" customHeight="1" x14ac:dyDescent="0.2">
      <c r="A55213" s="258"/>
      <c r="Z55213" s="258"/>
    </row>
    <row r="55214" spans="1:26" ht="12.75" customHeight="1" x14ac:dyDescent="0.2">
      <c r="A55214" s="258"/>
      <c r="Z55214" s="258"/>
    </row>
    <row r="55215" spans="1:26" ht="12.75" customHeight="1" x14ac:dyDescent="0.2">
      <c r="A55215" s="258"/>
      <c r="Z55215" s="258"/>
    </row>
    <row r="55216" spans="1:26" ht="12.75" customHeight="1" x14ac:dyDescent="0.2">
      <c r="A55216" s="258"/>
      <c r="Z55216" s="258"/>
    </row>
    <row r="55217" spans="1:26" ht="12.75" customHeight="1" x14ac:dyDescent="0.2">
      <c r="A55217" s="258"/>
      <c r="Z55217" s="258"/>
    </row>
    <row r="55218" spans="1:26" ht="12.75" customHeight="1" x14ac:dyDescent="0.2">
      <c r="A55218" s="258"/>
      <c r="Z55218" s="258"/>
    </row>
    <row r="55219" spans="1:26" ht="12.75" customHeight="1" x14ac:dyDescent="0.2">
      <c r="A55219" s="258"/>
      <c r="Z55219" s="258"/>
    </row>
    <row r="55220" spans="1:26" ht="12.75" customHeight="1" x14ac:dyDescent="0.2">
      <c r="A55220" s="258"/>
      <c r="Z55220" s="258"/>
    </row>
    <row r="55221" spans="1:26" ht="12.75" customHeight="1" x14ac:dyDescent="0.2">
      <c r="A55221" s="258"/>
      <c r="Z55221" s="258"/>
    </row>
    <row r="55222" spans="1:26" ht="12.75" customHeight="1" x14ac:dyDescent="0.2">
      <c r="A55222" s="258"/>
      <c r="Z55222" s="258"/>
    </row>
    <row r="55223" spans="1:26" ht="12.75" customHeight="1" x14ac:dyDescent="0.2">
      <c r="A55223" s="258"/>
      <c r="Z55223" s="258"/>
    </row>
    <row r="55224" spans="1:26" ht="12.75" customHeight="1" x14ac:dyDescent="0.2">
      <c r="A55224" s="258"/>
      <c r="Z55224" s="258"/>
    </row>
    <row r="55225" spans="1:26" ht="12.75" customHeight="1" x14ac:dyDescent="0.2">
      <c r="A55225" s="258"/>
      <c r="Z55225" s="258"/>
    </row>
    <row r="55226" spans="1:26" ht="12.75" customHeight="1" x14ac:dyDescent="0.2">
      <c r="A55226" s="258"/>
      <c r="Z55226" s="258"/>
    </row>
    <row r="55227" spans="1:26" ht="12.75" customHeight="1" x14ac:dyDescent="0.2">
      <c r="A55227" s="258"/>
      <c r="Z55227" s="258"/>
    </row>
    <row r="55228" spans="1:26" ht="12.75" customHeight="1" x14ac:dyDescent="0.2">
      <c r="A55228" s="258"/>
      <c r="Z55228" s="258"/>
    </row>
    <row r="55229" spans="1:26" ht="12.75" customHeight="1" x14ac:dyDescent="0.2">
      <c r="A55229" s="258"/>
      <c r="Z55229" s="258"/>
    </row>
    <row r="55230" spans="1:26" ht="12.75" customHeight="1" x14ac:dyDescent="0.2">
      <c r="A55230" s="258"/>
      <c r="Z55230" s="258"/>
    </row>
    <row r="55231" spans="1:26" ht="12.75" customHeight="1" x14ac:dyDescent="0.2">
      <c r="A55231" s="258"/>
      <c r="Z55231" s="258"/>
    </row>
    <row r="55232" spans="1:26" ht="12.75" customHeight="1" x14ac:dyDescent="0.2">
      <c r="A55232" s="258"/>
      <c r="Z55232" s="258"/>
    </row>
    <row r="55233" spans="1:26" ht="12.75" customHeight="1" x14ac:dyDescent="0.2">
      <c r="A55233" s="258"/>
      <c r="Z55233" s="258"/>
    </row>
    <row r="55234" spans="1:26" ht="12.75" customHeight="1" x14ac:dyDescent="0.2">
      <c r="A55234" s="258"/>
      <c r="Z55234" s="258"/>
    </row>
    <row r="55235" spans="1:26" ht="12.75" customHeight="1" x14ac:dyDescent="0.2">
      <c r="A55235" s="258"/>
      <c r="Z55235" s="258"/>
    </row>
    <row r="55236" spans="1:26" ht="12.75" customHeight="1" x14ac:dyDescent="0.2">
      <c r="A55236" s="258"/>
      <c r="Z55236" s="258"/>
    </row>
    <row r="55237" spans="1:26" ht="12.75" customHeight="1" x14ac:dyDescent="0.2">
      <c r="A55237" s="258"/>
      <c r="Z55237" s="258"/>
    </row>
    <row r="55238" spans="1:26" ht="12.75" customHeight="1" x14ac:dyDescent="0.2">
      <c r="A55238" s="258"/>
      <c r="Z55238" s="258"/>
    </row>
    <row r="55239" spans="1:26" ht="12.75" customHeight="1" x14ac:dyDescent="0.2">
      <c r="A55239" s="258"/>
      <c r="Z55239" s="258"/>
    </row>
    <row r="55240" spans="1:26" ht="12.75" customHeight="1" x14ac:dyDescent="0.2">
      <c r="A55240" s="258"/>
      <c r="Z55240" s="258"/>
    </row>
    <row r="55241" spans="1:26" ht="12.75" customHeight="1" x14ac:dyDescent="0.2">
      <c r="A55241" s="258"/>
      <c r="Z55241" s="258"/>
    </row>
    <row r="55242" spans="1:26" ht="12.75" customHeight="1" x14ac:dyDescent="0.2">
      <c r="A55242" s="258"/>
      <c r="Z55242" s="258"/>
    </row>
    <row r="55243" spans="1:26" ht="12.75" customHeight="1" x14ac:dyDescent="0.2">
      <c r="A55243" s="258"/>
      <c r="Z55243" s="258"/>
    </row>
    <row r="55244" spans="1:26" ht="12.75" customHeight="1" x14ac:dyDescent="0.2">
      <c r="A55244" s="258"/>
      <c r="Z55244" s="258"/>
    </row>
    <row r="55245" spans="1:26" ht="12.75" customHeight="1" x14ac:dyDescent="0.2">
      <c r="A55245" s="258"/>
      <c r="Z55245" s="258"/>
    </row>
    <row r="55246" spans="1:26" ht="12.75" customHeight="1" x14ac:dyDescent="0.2">
      <c r="A55246" s="258"/>
      <c r="Z55246" s="258"/>
    </row>
    <row r="55247" spans="1:26" ht="12.75" customHeight="1" x14ac:dyDescent="0.2">
      <c r="A55247" s="258"/>
      <c r="Z55247" s="258"/>
    </row>
    <row r="55248" spans="1:26" ht="12.75" customHeight="1" x14ac:dyDescent="0.2">
      <c r="A55248" s="258"/>
      <c r="Z55248" s="258"/>
    </row>
    <row r="55249" spans="1:26" ht="12.75" customHeight="1" x14ac:dyDescent="0.2">
      <c r="A55249" s="258"/>
      <c r="Z55249" s="258"/>
    </row>
    <row r="55250" spans="1:26" ht="12.75" customHeight="1" x14ac:dyDescent="0.2">
      <c r="A55250" s="258"/>
      <c r="Z55250" s="258"/>
    </row>
    <row r="55251" spans="1:26" ht="12.75" customHeight="1" x14ac:dyDescent="0.2">
      <c r="A55251" s="258"/>
      <c r="Z55251" s="258"/>
    </row>
    <row r="55252" spans="1:26" ht="12.75" customHeight="1" x14ac:dyDescent="0.2">
      <c r="A55252" s="258"/>
      <c r="Z55252" s="258"/>
    </row>
    <row r="55253" spans="1:26" ht="12.75" customHeight="1" x14ac:dyDescent="0.2">
      <c r="A55253" s="258"/>
      <c r="Z55253" s="258"/>
    </row>
    <row r="55254" spans="1:26" ht="12.75" customHeight="1" x14ac:dyDescent="0.2">
      <c r="A55254" s="258"/>
      <c r="Z55254" s="258"/>
    </row>
    <row r="55255" spans="1:26" ht="12.75" customHeight="1" x14ac:dyDescent="0.2">
      <c r="A55255" s="258"/>
      <c r="Z55255" s="258"/>
    </row>
    <row r="55256" spans="1:26" ht="12.75" customHeight="1" x14ac:dyDescent="0.2">
      <c r="A55256" s="258"/>
      <c r="Z55256" s="258"/>
    </row>
    <row r="55257" spans="1:26" ht="12.75" customHeight="1" x14ac:dyDescent="0.2">
      <c r="A55257" s="258"/>
      <c r="Z55257" s="258"/>
    </row>
    <row r="55258" spans="1:26" ht="12.75" customHeight="1" x14ac:dyDescent="0.2">
      <c r="A55258" s="258"/>
      <c r="Z55258" s="258"/>
    </row>
    <row r="55259" spans="1:26" ht="12.75" customHeight="1" x14ac:dyDescent="0.2">
      <c r="A55259" s="258"/>
      <c r="Z55259" s="258"/>
    </row>
    <row r="55260" spans="1:26" ht="12.75" customHeight="1" x14ac:dyDescent="0.2">
      <c r="A55260" s="258"/>
      <c r="Z55260" s="258"/>
    </row>
    <row r="55261" spans="1:26" ht="12.75" customHeight="1" x14ac:dyDescent="0.2">
      <c r="A55261" s="258"/>
      <c r="Z55261" s="258"/>
    </row>
    <row r="55262" spans="1:26" ht="12.75" customHeight="1" x14ac:dyDescent="0.2">
      <c r="A55262" s="258"/>
      <c r="Z55262" s="258"/>
    </row>
    <row r="55263" spans="1:26" ht="12.75" customHeight="1" x14ac:dyDescent="0.2">
      <c r="A55263" s="258"/>
      <c r="Z55263" s="258"/>
    </row>
    <row r="55264" spans="1:26" ht="12.75" customHeight="1" x14ac:dyDescent="0.2">
      <c r="A55264" s="258"/>
      <c r="Z55264" s="258"/>
    </row>
    <row r="55265" spans="1:26" ht="12.75" customHeight="1" x14ac:dyDescent="0.2">
      <c r="A55265" s="258"/>
      <c r="Z55265" s="258"/>
    </row>
    <row r="55266" spans="1:26" ht="12.75" customHeight="1" x14ac:dyDescent="0.2">
      <c r="A55266" s="258"/>
      <c r="Z55266" s="258"/>
    </row>
    <row r="55267" spans="1:26" ht="12.75" customHeight="1" x14ac:dyDescent="0.2">
      <c r="A55267" s="258"/>
      <c r="Z55267" s="258"/>
    </row>
    <row r="55268" spans="1:26" ht="12.75" customHeight="1" x14ac:dyDescent="0.2">
      <c r="A55268" s="258"/>
      <c r="Z55268" s="258"/>
    </row>
    <row r="55269" spans="1:26" ht="12.75" customHeight="1" x14ac:dyDescent="0.2">
      <c r="A55269" s="258"/>
      <c r="Z55269" s="258"/>
    </row>
    <row r="55270" spans="1:26" ht="12.75" customHeight="1" x14ac:dyDescent="0.2">
      <c r="A55270" s="258"/>
      <c r="Z55270" s="258"/>
    </row>
    <row r="55271" spans="1:26" ht="12.75" customHeight="1" x14ac:dyDescent="0.2">
      <c r="A55271" s="258"/>
      <c r="Z55271" s="258"/>
    </row>
    <row r="55272" spans="1:26" ht="12.75" customHeight="1" x14ac:dyDescent="0.2">
      <c r="A55272" s="258"/>
      <c r="Z55272" s="258"/>
    </row>
    <row r="55273" spans="1:26" ht="12.75" customHeight="1" x14ac:dyDescent="0.2">
      <c r="A55273" s="258"/>
      <c r="Z55273" s="258"/>
    </row>
    <row r="55274" spans="1:26" ht="12.75" customHeight="1" x14ac:dyDescent="0.2">
      <c r="A55274" s="258"/>
      <c r="Z55274" s="258"/>
    </row>
    <row r="55275" spans="1:26" ht="12.75" customHeight="1" x14ac:dyDescent="0.2">
      <c r="A55275" s="258"/>
      <c r="Z55275" s="258"/>
    </row>
    <row r="55276" spans="1:26" ht="12.75" customHeight="1" x14ac:dyDescent="0.2">
      <c r="A55276" s="258"/>
      <c r="Z55276" s="258"/>
    </row>
    <row r="55277" spans="1:26" ht="12.75" customHeight="1" x14ac:dyDescent="0.2">
      <c r="A55277" s="258"/>
      <c r="Z55277" s="258"/>
    </row>
    <row r="55278" spans="1:26" ht="12.75" customHeight="1" x14ac:dyDescent="0.2">
      <c r="A55278" s="258"/>
      <c r="Z55278" s="258"/>
    </row>
    <row r="55279" spans="1:26" ht="12.75" customHeight="1" x14ac:dyDescent="0.2">
      <c r="A55279" s="258"/>
      <c r="Z55279" s="258"/>
    </row>
    <row r="55280" spans="1:26" ht="12.75" customHeight="1" x14ac:dyDescent="0.2">
      <c r="A55280" s="258"/>
      <c r="Z55280" s="258"/>
    </row>
    <row r="55281" spans="1:26" ht="12.75" customHeight="1" x14ac:dyDescent="0.2">
      <c r="A55281" s="258"/>
      <c r="Z55281" s="258"/>
    </row>
    <row r="55282" spans="1:26" ht="12.75" customHeight="1" x14ac:dyDescent="0.2">
      <c r="A55282" s="258"/>
      <c r="Z55282" s="258"/>
    </row>
    <row r="55283" spans="1:26" ht="12.75" customHeight="1" x14ac:dyDescent="0.2">
      <c r="A55283" s="258"/>
      <c r="Z55283" s="258"/>
    </row>
    <row r="55284" spans="1:26" ht="12.75" customHeight="1" x14ac:dyDescent="0.2">
      <c r="A55284" s="258"/>
      <c r="Z55284" s="258"/>
    </row>
    <row r="55285" spans="1:26" ht="12.75" customHeight="1" x14ac:dyDescent="0.2">
      <c r="A55285" s="258"/>
      <c r="Z55285" s="258"/>
    </row>
    <row r="55286" spans="1:26" ht="12.75" customHeight="1" x14ac:dyDescent="0.2">
      <c r="A55286" s="258"/>
      <c r="Z55286" s="258"/>
    </row>
    <row r="55287" spans="1:26" ht="12.75" customHeight="1" x14ac:dyDescent="0.2">
      <c r="A55287" s="258"/>
      <c r="Z55287" s="258"/>
    </row>
    <row r="55288" spans="1:26" ht="12.75" customHeight="1" x14ac:dyDescent="0.2">
      <c r="A55288" s="258"/>
      <c r="Z55288" s="258"/>
    </row>
    <row r="55289" spans="1:26" ht="12.75" customHeight="1" x14ac:dyDescent="0.2">
      <c r="A55289" s="258"/>
      <c r="Z55289" s="258"/>
    </row>
    <row r="55290" spans="1:26" ht="12.75" customHeight="1" x14ac:dyDescent="0.2">
      <c r="A55290" s="258"/>
      <c r="Z55290" s="258"/>
    </row>
    <row r="55291" spans="1:26" ht="12.75" customHeight="1" x14ac:dyDescent="0.2">
      <c r="A55291" s="258"/>
      <c r="Z55291" s="258"/>
    </row>
    <row r="55292" spans="1:26" ht="12.75" customHeight="1" x14ac:dyDescent="0.2">
      <c r="A55292" s="258"/>
      <c r="Z55292" s="258"/>
    </row>
    <row r="55293" spans="1:26" ht="12.75" customHeight="1" x14ac:dyDescent="0.2">
      <c r="A55293" s="258"/>
      <c r="Z55293" s="258"/>
    </row>
    <row r="55294" spans="1:26" ht="12.75" customHeight="1" x14ac:dyDescent="0.2">
      <c r="A55294" s="258"/>
      <c r="Z55294" s="258"/>
    </row>
    <row r="55295" spans="1:26" ht="12.75" customHeight="1" x14ac:dyDescent="0.2">
      <c r="A55295" s="258"/>
      <c r="Z55295" s="258"/>
    </row>
    <row r="55296" spans="1:26" ht="12.75" customHeight="1" x14ac:dyDescent="0.2">
      <c r="A55296" s="258"/>
      <c r="Z55296" s="258"/>
    </row>
    <row r="55297" spans="1:26" ht="12.75" customHeight="1" x14ac:dyDescent="0.2">
      <c r="A55297" s="258"/>
      <c r="Z55297" s="258"/>
    </row>
    <row r="55298" spans="1:26" ht="12.75" customHeight="1" x14ac:dyDescent="0.2">
      <c r="A55298" s="258"/>
      <c r="Z55298" s="258"/>
    </row>
    <row r="55299" spans="1:26" ht="12.75" customHeight="1" x14ac:dyDescent="0.2">
      <c r="A55299" s="258"/>
      <c r="Z55299" s="258"/>
    </row>
    <row r="55300" spans="1:26" ht="12.75" customHeight="1" x14ac:dyDescent="0.2">
      <c r="A55300" s="258"/>
      <c r="Z55300" s="258"/>
    </row>
    <row r="55301" spans="1:26" ht="12.75" customHeight="1" x14ac:dyDescent="0.2">
      <c r="A55301" s="258"/>
      <c r="Z55301" s="258"/>
    </row>
    <row r="55302" spans="1:26" ht="12.75" customHeight="1" x14ac:dyDescent="0.2">
      <c r="A55302" s="258"/>
      <c r="Z55302" s="258"/>
    </row>
    <row r="55303" spans="1:26" ht="12.75" customHeight="1" x14ac:dyDescent="0.2">
      <c r="A55303" s="258"/>
      <c r="Z55303" s="258"/>
    </row>
    <row r="55304" spans="1:26" ht="12.75" customHeight="1" x14ac:dyDescent="0.2">
      <c r="A55304" s="258"/>
      <c r="Z55304" s="258"/>
    </row>
    <row r="55305" spans="1:26" ht="12.75" customHeight="1" x14ac:dyDescent="0.2">
      <c r="A55305" s="258"/>
      <c r="Z55305" s="258"/>
    </row>
    <row r="55306" spans="1:26" ht="12.75" customHeight="1" x14ac:dyDescent="0.2">
      <c r="A55306" s="258"/>
      <c r="Z55306" s="258"/>
    </row>
    <row r="55307" spans="1:26" ht="12.75" customHeight="1" x14ac:dyDescent="0.2">
      <c r="A55307" s="258"/>
      <c r="Z55307" s="258"/>
    </row>
    <row r="55308" spans="1:26" ht="12.75" customHeight="1" x14ac:dyDescent="0.2">
      <c r="A55308" s="258"/>
      <c r="Z55308" s="258"/>
    </row>
    <row r="55309" spans="1:26" ht="12.75" customHeight="1" x14ac:dyDescent="0.2">
      <c r="A55309" s="258"/>
      <c r="Z55309" s="258"/>
    </row>
    <row r="55310" spans="1:26" ht="12.75" customHeight="1" x14ac:dyDescent="0.2">
      <c r="A55310" s="258"/>
      <c r="Z55310" s="258"/>
    </row>
    <row r="55311" spans="1:26" ht="12.75" customHeight="1" x14ac:dyDescent="0.2">
      <c r="A55311" s="258"/>
      <c r="Z55311" s="258"/>
    </row>
    <row r="55312" spans="1:26" ht="12.75" customHeight="1" x14ac:dyDescent="0.2">
      <c r="A55312" s="258"/>
      <c r="Z55312" s="258"/>
    </row>
    <row r="55313" spans="1:26" ht="12.75" customHeight="1" x14ac:dyDescent="0.2">
      <c r="A55313" s="258"/>
      <c r="Z55313" s="258"/>
    </row>
    <row r="55314" spans="1:26" ht="12.75" customHeight="1" x14ac:dyDescent="0.2">
      <c r="A55314" s="258"/>
      <c r="Z55314" s="258"/>
    </row>
    <row r="55315" spans="1:26" ht="12.75" customHeight="1" x14ac:dyDescent="0.2">
      <c r="A55315" s="258"/>
      <c r="Z55315" s="258"/>
    </row>
    <row r="55316" spans="1:26" ht="12.75" customHeight="1" x14ac:dyDescent="0.2">
      <c r="A55316" s="258"/>
      <c r="Z55316" s="258"/>
    </row>
    <row r="55317" spans="1:26" ht="12.75" customHeight="1" x14ac:dyDescent="0.2">
      <c r="A55317" s="258"/>
      <c r="Z55317" s="258"/>
    </row>
    <row r="55318" spans="1:26" ht="12.75" customHeight="1" x14ac:dyDescent="0.2">
      <c r="A55318" s="258"/>
      <c r="Z55318" s="258"/>
    </row>
    <row r="55319" spans="1:26" ht="12.75" customHeight="1" x14ac:dyDescent="0.2">
      <c r="A55319" s="258"/>
      <c r="Z55319" s="258"/>
    </row>
    <row r="55320" spans="1:26" ht="12.75" customHeight="1" x14ac:dyDescent="0.2">
      <c r="A55320" s="258"/>
      <c r="Z55320" s="258"/>
    </row>
    <row r="55321" spans="1:26" ht="12.75" customHeight="1" x14ac:dyDescent="0.2">
      <c r="A55321" s="258"/>
      <c r="Z55321" s="258"/>
    </row>
    <row r="55322" spans="1:26" ht="12.75" customHeight="1" x14ac:dyDescent="0.2">
      <c r="A55322" s="258"/>
      <c r="Z55322" s="258"/>
    </row>
    <row r="55323" spans="1:26" ht="12.75" customHeight="1" x14ac:dyDescent="0.2">
      <c r="A55323" s="258"/>
      <c r="Z55323" s="258"/>
    </row>
    <row r="55324" spans="1:26" ht="12.75" customHeight="1" x14ac:dyDescent="0.2">
      <c r="A55324" s="258"/>
      <c r="Z55324" s="258"/>
    </row>
    <row r="55325" spans="1:26" ht="12.75" customHeight="1" x14ac:dyDescent="0.2">
      <c r="A55325" s="258"/>
      <c r="Z55325" s="258"/>
    </row>
    <row r="55326" spans="1:26" ht="12.75" customHeight="1" x14ac:dyDescent="0.2">
      <c r="A55326" s="258"/>
      <c r="Z55326" s="258"/>
    </row>
    <row r="55327" spans="1:26" ht="12.75" customHeight="1" x14ac:dyDescent="0.2">
      <c r="A55327" s="258"/>
      <c r="Z55327" s="258"/>
    </row>
    <row r="55328" spans="1:26" ht="12.75" customHeight="1" x14ac:dyDescent="0.2">
      <c r="A55328" s="258"/>
      <c r="Z55328" s="258"/>
    </row>
    <row r="55329" spans="1:26" ht="12.75" customHeight="1" x14ac:dyDescent="0.2">
      <c r="A55329" s="258"/>
      <c r="Z55329" s="258"/>
    </row>
    <row r="55330" spans="1:26" ht="12.75" customHeight="1" x14ac:dyDescent="0.2">
      <c r="A55330" s="258"/>
      <c r="Z55330" s="258"/>
    </row>
    <row r="55331" spans="1:26" ht="12.75" customHeight="1" x14ac:dyDescent="0.2">
      <c r="A55331" s="258"/>
      <c r="Z55331" s="258"/>
    </row>
    <row r="55332" spans="1:26" ht="12.75" customHeight="1" x14ac:dyDescent="0.2">
      <c r="A55332" s="258"/>
      <c r="Z55332" s="258"/>
    </row>
    <row r="55333" spans="1:26" ht="12.75" customHeight="1" x14ac:dyDescent="0.2">
      <c r="A55333" s="258"/>
      <c r="Z55333" s="258"/>
    </row>
    <row r="55334" spans="1:26" ht="12.75" customHeight="1" x14ac:dyDescent="0.2">
      <c r="A55334" s="258"/>
      <c r="Z55334" s="258"/>
    </row>
    <row r="55335" spans="1:26" ht="12.75" customHeight="1" x14ac:dyDescent="0.2">
      <c r="A55335" s="258"/>
      <c r="Z55335" s="258"/>
    </row>
    <row r="55336" spans="1:26" ht="12.75" customHeight="1" x14ac:dyDescent="0.2">
      <c r="A55336" s="258"/>
      <c r="Z55336" s="258"/>
    </row>
    <row r="55337" spans="1:26" ht="12.75" customHeight="1" x14ac:dyDescent="0.2">
      <c r="A55337" s="258"/>
      <c r="Z55337" s="258"/>
    </row>
    <row r="55338" spans="1:26" ht="12.75" customHeight="1" x14ac:dyDescent="0.2">
      <c r="A55338" s="258"/>
      <c r="Z55338" s="258"/>
    </row>
    <row r="55339" spans="1:26" ht="12.75" customHeight="1" x14ac:dyDescent="0.2">
      <c r="A55339" s="258"/>
      <c r="Z55339" s="258"/>
    </row>
    <row r="55340" spans="1:26" ht="12.75" customHeight="1" x14ac:dyDescent="0.2">
      <c r="A55340" s="258"/>
      <c r="Z55340" s="258"/>
    </row>
    <row r="55341" spans="1:26" ht="12.75" customHeight="1" x14ac:dyDescent="0.2">
      <c r="A55341" s="258"/>
      <c r="Z55341" s="258"/>
    </row>
    <row r="55342" spans="1:26" ht="12.75" customHeight="1" x14ac:dyDescent="0.2">
      <c r="A55342" s="258"/>
      <c r="Z55342" s="258"/>
    </row>
    <row r="55343" spans="1:26" ht="12.75" customHeight="1" x14ac:dyDescent="0.2">
      <c r="A55343" s="258"/>
      <c r="Z55343" s="258"/>
    </row>
    <row r="55344" spans="1:26" ht="12.75" customHeight="1" x14ac:dyDescent="0.2">
      <c r="A55344" s="258"/>
      <c r="Z55344" s="258"/>
    </row>
    <row r="55345" spans="1:26" ht="12.75" customHeight="1" x14ac:dyDescent="0.2">
      <c r="A55345" s="258"/>
      <c r="Z55345" s="258"/>
    </row>
    <row r="55346" spans="1:26" ht="12.75" customHeight="1" x14ac:dyDescent="0.2">
      <c r="A55346" s="258"/>
      <c r="Z55346" s="258"/>
    </row>
    <row r="55347" spans="1:26" ht="12.75" customHeight="1" x14ac:dyDescent="0.2">
      <c r="A55347" s="258"/>
      <c r="Z55347" s="258"/>
    </row>
    <row r="55348" spans="1:26" ht="12.75" customHeight="1" x14ac:dyDescent="0.2">
      <c r="A55348" s="258"/>
      <c r="Z55348" s="258"/>
    </row>
    <row r="55349" spans="1:26" ht="12.75" customHeight="1" x14ac:dyDescent="0.2">
      <c r="A55349" s="258"/>
      <c r="Z55349" s="258"/>
    </row>
    <row r="55350" spans="1:26" ht="12.75" customHeight="1" x14ac:dyDescent="0.2">
      <c r="A55350" s="258"/>
      <c r="Z55350" s="258"/>
    </row>
    <row r="55351" spans="1:26" ht="12.75" customHeight="1" x14ac:dyDescent="0.2">
      <c r="A55351" s="258"/>
      <c r="Z55351" s="258"/>
    </row>
    <row r="55352" spans="1:26" ht="12.75" customHeight="1" x14ac:dyDescent="0.2">
      <c r="A55352" s="258"/>
      <c r="Z55352" s="258"/>
    </row>
    <row r="55353" spans="1:26" ht="12.75" customHeight="1" x14ac:dyDescent="0.2">
      <c r="A55353" s="258"/>
      <c r="Z55353" s="258"/>
    </row>
    <row r="55354" spans="1:26" ht="12.75" customHeight="1" x14ac:dyDescent="0.2">
      <c r="A55354" s="258"/>
      <c r="Z55354" s="258"/>
    </row>
    <row r="55355" spans="1:26" ht="12.75" customHeight="1" x14ac:dyDescent="0.2">
      <c r="A55355" s="258"/>
      <c r="Z55355" s="258"/>
    </row>
    <row r="55356" spans="1:26" ht="12.75" customHeight="1" x14ac:dyDescent="0.2">
      <c r="A55356" s="258"/>
      <c r="Z55356" s="258"/>
    </row>
    <row r="55357" spans="1:26" ht="12.75" customHeight="1" x14ac:dyDescent="0.2">
      <c r="A55357" s="258"/>
      <c r="Z55357" s="258"/>
    </row>
    <row r="55358" spans="1:26" ht="12.75" customHeight="1" x14ac:dyDescent="0.2">
      <c r="A55358" s="258"/>
      <c r="Z55358" s="258"/>
    </row>
    <row r="55359" spans="1:26" ht="12.75" customHeight="1" x14ac:dyDescent="0.2">
      <c r="A55359" s="258"/>
      <c r="Z55359" s="258"/>
    </row>
    <row r="55360" spans="1:26" ht="12.75" customHeight="1" x14ac:dyDescent="0.2">
      <c r="A55360" s="258"/>
      <c r="Z55360" s="258"/>
    </row>
    <row r="55361" spans="1:26" ht="12.75" customHeight="1" x14ac:dyDescent="0.2">
      <c r="A55361" s="258"/>
      <c r="Z55361" s="258"/>
    </row>
    <row r="55362" spans="1:26" ht="12.75" customHeight="1" x14ac:dyDescent="0.2">
      <c r="A55362" s="258"/>
      <c r="Z55362" s="258"/>
    </row>
    <row r="55363" spans="1:26" ht="12.75" customHeight="1" x14ac:dyDescent="0.2">
      <c r="A55363" s="258"/>
      <c r="Z55363" s="258"/>
    </row>
    <row r="55364" spans="1:26" ht="12.75" customHeight="1" x14ac:dyDescent="0.2">
      <c r="A55364" s="258"/>
      <c r="Z55364" s="258"/>
    </row>
    <row r="55365" spans="1:26" ht="12.75" customHeight="1" x14ac:dyDescent="0.2">
      <c r="A55365" s="258"/>
      <c r="Z55365" s="258"/>
    </row>
    <row r="55366" spans="1:26" ht="12.75" customHeight="1" x14ac:dyDescent="0.2">
      <c r="A55366" s="258"/>
      <c r="Z55366" s="258"/>
    </row>
    <row r="55367" spans="1:26" ht="12.75" customHeight="1" x14ac:dyDescent="0.2">
      <c r="A55367" s="258"/>
      <c r="Z55367" s="258"/>
    </row>
    <row r="55368" spans="1:26" ht="12.75" customHeight="1" x14ac:dyDescent="0.2">
      <c r="A55368" s="258"/>
      <c r="Z55368" s="258"/>
    </row>
    <row r="55369" spans="1:26" ht="12.75" customHeight="1" x14ac:dyDescent="0.2">
      <c r="A55369" s="258"/>
      <c r="Z55369" s="258"/>
    </row>
    <row r="55370" spans="1:26" ht="12.75" customHeight="1" x14ac:dyDescent="0.2">
      <c r="A55370" s="258"/>
      <c r="Z55370" s="258"/>
    </row>
    <row r="55371" spans="1:26" ht="12.75" customHeight="1" x14ac:dyDescent="0.2">
      <c r="A55371" s="258"/>
      <c r="Z55371" s="258"/>
    </row>
    <row r="55372" spans="1:26" ht="12.75" customHeight="1" x14ac:dyDescent="0.2">
      <c r="A55372" s="258"/>
      <c r="Z55372" s="258"/>
    </row>
    <row r="55373" spans="1:26" ht="12.75" customHeight="1" x14ac:dyDescent="0.2">
      <c r="A55373" s="258"/>
      <c r="Z55373" s="258"/>
    </row>
    <row r="55374" spans="1:26" ht="12.75" customHeight="1" x14ac:dyDescent="0.2">
      <c r="A55374" s="258"/>
      <c r="Z55374" s="258"/>
    </row>
    <row r="55375" spans="1:26" ht="12.75" customHeight="1" x14ac:dyDescent="0.2">
      <c r="A55375" s="258"/>
      <c r="Z55375" s="258"/>
    </row>
    <row r="55376" spans="1:26" ht="12.75" customHeight="1" x14ac:dyDescent="0.2">
      <c r="A55376" s="258"/>
      <c r="Z55376" s="258"/>
    </row>
    <row r="55377" spans="1:26" ht="12.75" customHeight="1" x14ac:dyDescent="0.2">
      <c r="A55377" s="258"/>
      <c r="Z55377" s="258"/>
    </row>
    <row r="55378" spans="1:26" ht="12.75" customHeight="1" x14ac:dyDescent="0.2">
      <c r="A55378" s="258"/>
      <c r="Z55378" s="258"/>
    </row>
    <row r="55379" spans="1:26" ht="12.75" customHeight="1" x14ac:dyDescent="0.2">
      <c r="A55379" s="258"/>
      <c r="Z55379" s="258"/>
    </row>
    <row r="55380" spans="1:26" ht="12.75" customHeight="1" x14ac:dyDescent="0.2">
      <c r="A55380" s="258"/>
      <c r="Z55380" s="258"/>
    </row>
    <row r="55381" spans="1:26" ht="12.75" customHeight="1" x14ac:dyDescent="0.2">
      <c r="A55381" s="258"/>
      <c r="Z55381" s="258"/>
    </row>
    <row r="55382" spans="1:26" ht="12.75" customHeight="1" x14ac:dyDescent="0.2">
      <c r="A55382" s="258"/>
      <c r="Z55382" s="258"/>
    </row>
    <row r="55383" spans="1:26" ht="12.75" customHeight="1" x14ac:dyDescent="0.2">
      <c r="A55383" s="258"/>
      <c r="Z55383" s="258"/>
    </row>
    <row r="55384" spans="1:26" ht="12.75" customHeight="1" x14ac:dyDescent="0.2">
      <c r="A55384" s="258"/>
      <c r="Z55384" s="258"/>
    </row>
    <row r="55385" spans="1:26" ht="12.75" customHeight="1" x14ac:dyDescent="0.2">
      <c r="A55385" s="258"/>
      <c r="Z55385" s="258"/>
    </row>
    <row r="55386" spans="1:26" ht="12.75" customHeight="1" x14ac:dyDescent="0.2">
      <c r="A55386" s="258"/>
      <c r="Z55386" s="258"/>
    </row>
    <row r="55387" spans="1:26" ht="12.75" customHeight="1" x14ac:dyDescent="0.2">
      <c r="A55387" s="258"/>
      <c r="Z55387" s="258"/>
    </row>
    <row r="55388" spans="1:26" ht="12.75" customHeight="1" x14ac:dyDescent="0.2">
      <c r="A55388" s="258"/>
      <c r="Z55388" s="258"/>
    </row>
    <row r="55389" spans="1:26" ht="12.75" customHeight="1" x14ac:dyDescent="0.2">
      <c r="A55389" s="258"/>
      <c r="Z55389" s="258"/>
    </row>
    <row r="55390" spans="1:26" ht="12.75" customHeight="1" x14ac:dyDescent="0.2">
      <c r="A55390" s="258"/>
      <c r="Z55390" s="258"/>
    </row>
    <row r="55391" spans="1:26" ht="12.75" customHeight="1" x14ac:dyDescent="0.2">
      <c r="A55391" s="258"/>
      <c r="Z55391" s="258"/>
    </row>
    <row r="55392" spans="1:26" ht="12.75" customHeight="1" x14ac:dyDescent="0.2">
      <c r="A55392" s="258"/>
      <c r="Z55392" s="258"/>
    </row>
    <row r="55393" spans="1:26" ht="12.75" customHeight="1" x14ac:dyDescent="0.2">
      <c r="A55393" s="258"/>
      <c r="Z55393" s="258"/>
    </row>
    <row r="55394" spans="1:26" ht="12.75" customHeight="1" x14ac:dyDescent="0.2">
      <c r="A55394" s="258"/>
      <c r="Z55394" s="258"/>
    </row>
    <row r="55395" spans="1:26" ht="12.75" customHeight="1" x14ac:dyDescent="0.2">
      <c r="A55395" s="258"/>
      <c r="Z55395" s="258"/>
    </row>
    <row r="55396" spans="1:26" ht="12.75" customHeight="1" x14ac:dyDescent="0.2">
      <c r="A55396" s="258"/>
      <c r="Z55396" s="258"/>
    </row>
    <row r="55397" spans="1:26" ht="12.75" customHeight="1" x14ac:dyDescent="0.2">
      <c r="A55397" s="258"/>
      <c r="Z55397" s="258"/>
    </row>
    <row r="55398" spans="1:26" ht="12.75" customHeight="1" x14ac:dyDescent="0.2">
      <c r="A55398" s="258"/>
      <c r="Z55398" s="258"/>
    </row>
    <row r="55399" spans="1:26" ht="12.75" customHeight="1" x14ac:dyDescent="0.2">
      <c r="A55399" s="258"/>
      <c r="Z55399" s="258"/>
    </row>
    <row r="55400" spans="1:26" ht="12.75" customHeight="1" x14ac:dyDescent="0.2">
      <c r="A55400" s="258"/>
      <c r="Z55400" s="258"/>
    </row>
    <row r="55401" spans="1:26" ht="12.75" customHeight="1" x14ac:dyDescent="0.2">
      <c r="A55401" s="258"/>
      <c r="Z55401" s="258"/>
    </row>
    <row r="55402" spans="1:26" ht="12.75" customHeight="1" x14ac:dyDescent="0.2">
      <c r="A55402" s="258"/>
      <c r="Z55402" s="258"/>
    </row>
    <row r="55403" spans="1:26" ht="12.75" customHeight="1" x14ac:dyDescent="0.2">
      <c r="A55403" s="258"/>
      <c r="Z55403" s="258"/>
    </row>
    <row r="55404" spans="1:26" ht="12.75" customHeight="1" x14ac:dyDescent="0.2">
      <c r="A55404" s="258"/>
      <c r="Z55404" s="258"/>
    </row>
    <row r="55405" spans="1:26" ht="12.75" customHeight="1" x14ac:dyDescent="0.2">
      <c r="A55405" s="258"/>
      <c r="Z55405" s="258"/>
    </row>
    <row r="55406" spans="1:26" ht="12.75" customHeight="1" x14ac:dyDescent="0.2">
      <c r="A55406" s="258"/>
      <c r="Z55406" s="258"/>
    </row>
    <row r="55407" spans="1:26" ht="12.75" customHeight="1" x14ac:dyDescent="0.2">
      <c r="A55407" s="258"/>
      <c r="Z55407" s="258"/>
    </row>
    <row r="55408" spans="1:26" ht="12.75" customHeight="1" x14ac:dyDescent="0.2">
      <c r="A55408" s="258"/>
      <c r="Z55408" s="258"/>
    </row>
    <row r="55409" spans="1:26" ht="12.75" customHeight="1" x14ac:dyDescent="0.2">
      <c r="A55409" s="258"/>
      <c r="Z55409" s="258"/>
    </row>
    <row r="55410" spans="1:26" ht="12.75" customHeight="1" x14ac:dyDescent="0.2">
      <c r="A55410" s="258"/>
      <c r="Z55410" s="258"/>
    </row>
    <row r="55411" spans="1:26" ht="12.75" customHeight="1" x14ac:dyDescent="0.2">
      <c r="A55411" s="258"/>
      <c r="Z55411" s="258"/>
    </row>
    <row r="55412" spans="1:26" ht="12.75" customHeight="1" x14ac:dyDescent="0.2">
      <c r="A55412" s="258"/>
      <c r="Z55412" s="258"/>
    </row>
    <row r="55413" spans="1:26" ht="12.75" customHeight="1" x14ac:dyDescent="0.2">
      <c r="A55413" s="258"/>
      <c r="Z55413" s="258"/>
    </row>
    <row r="55414" spans="1:26" ht="12.75" customHeight="1" x14ac:dyDescent="0.2">
      <c r="A55414" s="258"/>
      <c r="Z55414" s="258"/>
    </row>
    <row r="55415" spans="1:26" ht="12.75" customHeight="1" x14ac:dyDescent="0.2">
      <c r="A55415" s="258"/>
      <c r="Z55415" s="258"/>
    </row>
    <row r="55416" spans="1:26" ht="12.75" customHeight="1" x14ac:dyDescent="0.2">
      <c r="A55416" s="258"/>
      <c r="Z55416" s="258"/>
    </row>
    <row r="55417" spans="1:26" ht="12.75" customHeight="1" x14ac:dyDescent="0.2">
      <c r="A55417" s="258"/>
      <c r="Z55417" s="258"/>
    </row>
    <row r="55418" spans="1:26" ht="12.75" customHeight="1" x14ac:dyDescent="0.2">
      <c r="A55418" s="258"/>
      <c r="Z55418" s="258"/>
    </row>
    <row r="55419" spans="1:26" ht="12.75" customHeight="1" x14ac:dyDescent="0.2">
      <c r="A55419" s="258"/>
      <c r="Z55419" s="258"/>
    </row>
    <row r="55420" spans="1:26" ht="12.75" customHeight="1" x14ac:dyDescent="0.2">
      <c r="A55420" s="258"/>
      <c r="Z55420" s="258"/>
    </row>
    <row r="55421" spans="1:26" ht="12.75" customHeight="1" x14ac:dyDescent="0.2">
      <c r="A55421" s="258"/>
      <c r="Z55421" s="258"/>
    </row>
    <row r="55422" spans="1:26" ht="12.75" customHeight="1" x14ac:dyDescent="0.2">
      <c r="A55422" s="258"/>
      <c r="Z55422" s="258"/>
    </row>
    <row r="55423" spans="1:26" ht="12.75" customHeight="1" x14ac:dyDescent="0.2">
      <c r="A55423" s="258"/>
      <c r="Z55423" s="258"/>
    </row>
    <row r="55424" spans="1:26" ht="12.75" customHeight="1" x14ac:dyDescent="0.2">
      <c r="A55424" s="258"/>
      <c r="Z55424" s="258"/>
    </row>
    <row r="55425" spans="1:26" ht="12.75" customHeight="1" x14ac:dyDescent="0.2">
      <c r="A55425" s="258"/>
      <c r="Z55425" s="258"/>
    </row>
    <row r="55426" spans="1:26" ht="12.75" customHeight="1" x14ac:dyDescent="0.2">
      <c r="A55426" s="258"/>
      <c r="Z55426" s="258"/>
    </row>
    <row r="55427" spans="1:26" ht="12.75" customHeight="1" x14ac:dyDescent="0.2">
      <c r="A55427" s="258"/>
      <c r="Z55427" s="258"/>
    </row>
    <row r="55428" spans="1:26" ht="12.75" customHeight="1" x14ac:dyDescent="0.2">
      <c r="A55428" s="258"/>
      <c r="Z55428" s="258"/>
    </row>
    <row r="55429" spans="1:26" ht="12.75" customHeight="1" x14ac:dyDescent="0.2">
      <c r="A55429" s="258"/>
      <c r="Z55429" s="258"/>
    </row>
    <row r="55430" spans="1:26" ht="12.75" customHeight="1" x14ac:dyDescent="0.2">
      <c r="A55430" s="258"/>
      <c r="Z55430" s="258"/>
    </row>
    <row r="55431" spans="1:26" ht="12.75" customHeight="1" x14ac:dyDescent="0.2">
      <c r="A55431" s="258"/>
      <c r="Z55431" s="258"/>
    </row>
    <row r="55432" spans="1:26" ht="12.75" customHeight="1" x14ac:dyDescent="0.2">
      <c r="A55432" s="258"/>
      <c r="Z55432" s="258"/>
    </row>
    <row r="55433" spans="1:26" ht="12.75" customHeight="1" x14ac:dyDescent="0.2">
      <c r="A55433" s="258"/>
      <c r="Z55433" s="258"/>
    </row>
    <row r="55434" spans="1:26" ht="12.75" customHeight="1" x14ac:dyDescent="0.2">
      <c r="A55434" s="258"/>
      <c r="Z55434" s="258"/>
    </row>
    <row r="55435" spans="1:26" ht="12.75" customHeight="1" x14ac:dyDescent="0.2">
      <c r="A55435" s="258"/>
      <c r="Z55435" s="258"/>
    </row>
    <row r="55436" spans="1:26" ht="12.75" customHeight="1" x14ac:dyDescent="0.2">
      <c r="A55436" s="258"/>
      <c r="Z55436" s="258"/>
    </row>
    <row r="55437" spans="1:26" ht="12.75" customHeight="1" x14ac:dyDescent="0.2">
      <c r="A55437" s="258"/>
      <c r="Z55437" s="258"/>
    </row>
    <row r="55438" spans="1:26" ht="12.75" customHeight="1" x14ac:dyDescent="0.2">
      <c r="A55438" s="258"/>
      <c r="Z55438" s="258"/>
    </row>
    <row r="55439" spans="1:26" ht="12.75" customHeight="1" x14ac:dyDescent="0.2">
      <c r="A55439" s="258"/>
      <c r="Z55439" s="258"/>
    </row>
    <row r="55440" spans="1:26" ht="12.75" customHeight="1" x14ac:dyDescent="0.2">
      <c r="A55440" s="258"/>
      <c r="Z55440" s="258"/>
    </row>
    <row r="55441" spans="1:26" ht="12.75" customHeight="1" x14ac:dyDescent="0.2">
      <c r="A55441" s="258"/>
      <c r="Z55441" s="258"/>
    </row>
    <row r="55442" spans="1:26" ht="12.75" customHeight="1" x14ac:dyDescent="0.2">
      <c r="A55442" s="258"/>
      <c r="Z55442" s="258"/>
    </row>
    <row r="55443" spans="1:26" ht="12.75" customHeight="1" x14ac:dyDescent="0.2">
      <c r="A55443" s="258"/>
      <c r="Z55443" s="258"/>
    </row>
    <row r="55444" spans="1:26" ht="12.75" customHeight="1" x14ac:dyDescent="0.2">
      <c r="A55444" s="258"/>
      <c r="Z55444" s="258"/>
    </row>
    <row r="55445" spans="1:26" ht="12.75" customHeight="1" x14ac:dyDescent="0.2">
      <c r="A55445" s="258"/>
      <c r="Z55445" s="258"/>
    </row>
    <row r="55446" spans="1:26" ht="12.75" customHeight="1" x14ac:dyDescent="0.2">
      <c r="A55446" s="258"/>
      <c r="Z55446" s="258"/>
    </row>
    <row r="55447" spans="1:26" ht="12.75" customHeight="1" x14ac:dyDescent="0.2">
      <c r="A55447" s="258"/>
      <c r="Z55447" s="258"/>
    </row>
    <row r="55448" spans="1:26" ht="12.75" customHeight="1" x14ac:dyDescent="0.2">
      <c r="A55448" s="258"/>
      <c r="Z55448" s="258"/>
    </row>
    <row r="55449" spans="1:26" ht="12.75" customHeight="1" x14ac:dyDescent="0.2">
      <c r="A55449" s="258"/>
      <c r="Z55449" s="258"/>
    </row>
    <row r="55450" spans="1:26" ht="12.75" customHeight="1" x14ac:dyDescent="0.2">
      <c r="A55450" s="258"/>
      <c r="Z55450" s="258"/>
    </row>
    <row r="55451" spans="1:26" ht="12.75" customHeight="1" x14ac:dyDescent="0.2">
      <c r="A55451" s="258"/>
      <c r="Z55451" s="258"/>
    </row>
    <row r="55452" spans="1:26" ht="12.75" customHeight="1" x14ac:dyDescent="0.2">
      <c r="A55452" s="258"/>
      <c r="Z55452" s="258"/>
    </row>
    <row r="55453" spans="1:26" ht="12.75" customHeight="1" x14ac:dyDescent="0.2">
      <c r="A55453" s="258"/>
      <c r="Z55453" s="258"/>
    </row>
    <row r="55454" spans="1:26" ht="12.75" customHeight="1" x14ac:dyDescent="0.2">
      <c r="A55454" s="258"/>
      <c r="Z55454" s="258"/>
    </row>
    <row r="55455" spans="1:26" ht="12.75" customHeight="1" x14ac:dyDescent="0.2">
      <c r="A55455" s="258"/>
      <c r="Z55455" s="258"/>
    </row>
    <row r="55456" spans="1:26" ht="12.75" customHeight="1" x14ac:dyDescent="0.2">
      <c r="A55456" s="258"/>
      <c r="Z55456" s="258"/>
    </row>
    <row r="55457" spans="1:26" ht="12.75" customHeight="1" x14ac:dyDescent="0.2">
      <c r="A55457" s="258"/>
      <c r="Z55457" s="258"/>
    </row>
    <row r="55458" spans="1:26" ht="12.75" customHeight="1" x14ac:dyDescent="0.2">
      <c r="A55458" s="258"/>
      <c r="Z55458" s="258"/>
    </row>
    <row r="55459" spans="1:26" ht="12.75" customHeight="1" x14ac:dyDescent="0.2">
      <c r="A55459" s="258"/>
      <c r="Z55459" s="258"/>
    </row>
    <row r="55460" spans="1:26" ht="12.75" customHeight="1" x14ac:dyDescent="0.2">
      <c r="A55460" s="258"/>
      <c r="Z55460" s="258"/>
    </row>
    <row r="55461" spans="1:26" ht="12.75" customHeight="1" x14ac:dyDescent="0.2">
      <c r="A55461" s="258"/>
      <c r="Z55461" s="258"/>
    </row>
    <row r="55462" spans="1:26" ht="12.75" customHeight="1" x14ac:dyDescent="0.2">
      <c r="A55462" s="258"/>
      <c r="Z55462" s="258"/>
    </row>
    <row r="55463" spans="1:26" ht="12.75" customHeight="1" x14ac:dyDescent="0.2">
      <c r="A55463" s="258"/>
      <c r="Z55463" s="258"/>
    </row>
    <row r="55464" spans="1:26" ht="12.75" customHeight="1" x14ac:dyDescent="0.2">
      <c r="A55464" s="258"/>
      <c r="Z55464" s="258"/>
    </row>
    <row r="55465" spans="1:26" ht="12.75" customHeight="1" x14ac:dyDescent="0.2">
      <c r="A55465" s="258"/>
      <c r="Z55465" s="258"/>
    </row>
    <row r="55466" spans="1:26" ht="12.75" customHeight="1" x14ac:dyDescent="0.2">
      <c r="A55466" s="258"/>
      <c r="Z55466" s="258"/>
    </row>
    <row r="55467" spans="1:26" ht="12.75" customHeight="1" x14ac:dyDescent="0.2">
      <c r="A55467" s="258"/>
      <c r="Z55467" s="258"/>
    </row>
    <row r="55468" spans="1:26" ht="12.75" customHeight="1" x14ac:dyDescent="0.2">
      <c r="A55468" s="258"/>
      <c r="Z55468" s="258"/>
    </row>
    <row r="55469" spans="1:26" ht="12.75" customHeight="1" x14ac:dyDescent="0.2">
      <c r="A55469" s="258"/>
      <c r="Z55469" s="258"/>
    </row>
    <row r="55470" spans="1:26" ht="12.75" customHeight="1" x14ac:dyDescent="0.2">
      <c r="A55470" s="258"/>
      <c r="Z55470" s="258"/>
    </row>
    <row r="55471" spans="1:26" ht="12.75" customHeight="1" x14ac:dyDescent="0.2">
      <c r="A55471" s="258"/>
      <c r="Z55471" s="258"/>
    </row>
    <row r="55472" spans="1:26" ht="12.75" customHeight="1" x14ac:dyDescent="0.2">
      <c r="A55472" s="258"/>
      <c r="Z55472" s="258"/>
    </row>
    <row r="55473" spans="1:26" ht="12.75" customHeight="1" x14ac:dyDescent="0.2">
      <c r="A55473" s="258"/>
      <c r="Z55473" s="258"/>
    </row>
    <row r="55474" spans="1:26" ht="12.75" customHeight="1" x14ac:dyDescent="0.2">
      <c r="A55474" s="258"/>
      <c r="Z55474" s="258"/>
    </row>
    <row r="55475" spans="1:26" ht="12.75" customHeight="1" x14ac:dyDescent="0.2">
      <c r="A55475" s="258"/>
      <c r="Z55475" s="258"/>
    </row>
    <row r="55476" spans="1:26" ht="12.75" customHeight="1" x14ac:dyDescent="0.2">
      <c r="A55476" s="258"/>
      <c r="Z55476" s="258"/>
    </row>
    <row r="55477" spans="1:26" ht="12.75" customHeight="1" x14ac:dyDescent="0.2">
      <c r="A55477" s="258"/>
      <c r="Z55477" s="258"/>
    </row>
    <row r="55478" spans="1:26" ht="12.75" customHeight="1" x14ac:dyDescent="0.2">
      <c r="A55478" s="258"/>
      <c r="Z55478" s="258"/>
    </row>
    <row r="55479" spans="1:26" ht="12.75" customHeight="1" x14ac:dyDescent="0.2">
      <c r="A55479" s="258"/>
      <c r="Z55479" s="258"/>
    </row>
    <row r="55480" spans="1:26" ht="12.75" customHeight="1" x14ac:dyDescent="0.2">
      <c r="A55480" s="258"/>
      <c r="Z55480" s="258"/>
    </row>
    <row r="55481" spans="1:26" ht="12.75" customHeight="1" x14ac:dyDescent="0.2">
      <c r="A55481" s="258"/>
      <c r="Z55481" s="258"/>
    </row>
    <row r="55482" spans="1:26" ht="12.75" customHeight="1" x14ac:dyDescent="0.2">
      <c r="A55482" s="258"/>
      <c r="Z55482" s="258"/>
    </row>
    <row r="55483" spans="1:26" ht="12.75" customHeight="1" x14ac:dyDescent="0.2">
      <c r="A55483" s="258"/>
      <c r="Z55483" s="258"/>
    </row>
    <row r="55484" spans="1:26" ht="12.75" customHeight="1" x14ac:dyDescent="0.2">
      <c r="A55484" s="258"/>
      <c r="Z55484" s="258"/>
    </row>
    <row r="55485" spans="1:26" ht="12.75" customHeight="1" x14ac:dyDescent="0.2">
      <c r="A55485" s="258"/>
      <c r="Z55485" s="258"/>
    </row>
    <row r="55486" spans="1:26" ht="12.75" customHeight="1" x14ac:dyDescent="0.2">
      <c r="A55486" s="258"/>
      <c r="Z55486" s="258"/>
    </row>
    <row r="55487" spans="1:26" ht="12.75" customHeight="1" x14ac:dyDescent="0.2">
      <c r="A55487" s="258"/>
      <c r="Z55487" s="258"/>
    </row>
    <row r="55488" spans="1:26" ht="12.75" customHeight="1" x14ac:dyDescent="0.2">
      <c r="A55488" s="258"/>
      <c r="Z55488" s="258"/>
    </row>
    <row r="55489" spans="1:26" ht="12.75" customHeight="1" x14ac:dyDescent="0.2">
      <c r="A55489" s="258"/>
      <c r="Z55489" s="258"/>
    </row>
    <row r="55490" spans="1:26" ht="12.75" customHeight="1" x14ac:dyDescent="0.2">
      <c r="A55490" s="258"/>
      <c r="Z55490" s="258"/>
    </row>
    <row r="55491" spans="1:26" ht="12.75" customHeight="1" x14ac:dyDescent="0.2">
      <c r="A55491" s="258"/>
      <c r="Z55491" s="258"/>
    </row>
    <row r="55492" spans="1:26" ht="12.75" customHeight="1" x14ac:dyDescent="0.2">
      <c r="A55492" s="258"/>
      <c r="Z55492" s="258"/>
    </row>
    <row r="55493" spans="1:26" ht="12.75" customHeight="1" x14ac:dyDescent="0.2">
      <c r="A55493" s="258"/>
      <c r="Z55493" s="258"/>
    </row>
    <row r="55494" spans="1:26" ht="12.75" customHeight="1" x14ac:dyDescent="0.2">
      <c r="A55494" s="258"/>
      <c r="Z55494" s="258"/>
    </row>
    <row r="55495" spans="1:26" ht="12.75" customHeight="1" x14ac:dyDescent="0.2">
      <c r="A55495" s="258"/>
      <c r="Z55495" s="258"/>
    </row>
    <row r="55496" spans="1:26" ht="12.75" customHeight="1" x14ac:dyDescent="0.2">
      <c r="A55496" s="258"/>
      <c r="Z55496" s="258"/>
    </row>
    <row r="55497" spans="1:26" ht="12.75" customHeight="1" x14ac:dyDescent="0.2">
      <c r="A55497" s="258"/>
      <c r="Z55497" s="258"/>
    </row>
    <row r="55498" spans="1:26" ht="12.75" customHeight="1" x14ac:dyDescent="0.2">
      <c r="A55498" s="258"/>
      <c r="Z55498" s="258"/>
    </row>
    <row r="55499" spans="1:26" ht="12.75" customHeight="1" x14ac:dyDescent="0.2">
      <c r="A55499" s="258"/>
      <c r="Z55499" s="258"/>
    </row>
    <row r="55500" spans="1:26" ht="12.75" customHeight="1" x14ac:dyDescent="0.2">
      <c r="A55500" s="258"/>
      <c r="Z55500" s="258"/>
    </row>
    <row r="55501" spans="1:26" ht="12.75" customHeight="1" x14ac:dyDescent="0.2">
      <c r="A55501" s="258"/>
      <c r="Z55501" s="258"/>
    </row>
    <row r="55502" spans="1:26" ht="12.75" customHeight="1" x14ac:dyDescent="0.2">
      <c r="A55502" s="258"/>
      <c r="Z55502" s="258"/>
    </row>
    <row r="55503" spans="1:26" ht="12.75" customHeight="1" x14ac:dyDescent="0.2">
      <c r="A55503" s="258"/>
      <c r="Z55503" s="258"/>
    </row>
    <row r="55504" spans="1:26" ht="12.75" customHeight="1" x14ac:dyDescent="0.2">
      <c r="A55504" s="258"/>
      <c r="Z55504" s="258"/>
    </row>
    <row r="55505" spans="1:26" ht="12.75" customHeight="1" x14ac:dyDescent="0.2">
      <c r="A55505" s="258"/>
      <c r="Z55505" s="258"/>
    </row>
    <row r="55506" spans="1:26" ht="12.75" customHeight="1" x14ac:dyDescent="0.2">
      <c r="A55506" s="258"/>
      <c r="Z55506" s="258"/>
    </row>
    <row r="55507" spans="1:26" ht="12.75" customHeight="1" x14ac:dyDescent="0.2">
      <c r="A55507" s="258"/>
      <c r="Z55507" s="258"/>
    </row>
    <row r="55508" spans="1:26" ht="12.75" customHeight="1" x14ac:dyDescent="0.2">
      <c r="A55508" s="258"/>
      <c r="Z55508" s="258"/>
    </row>
    <row r="55509" spans="1:26" ht="12.75" customHeight="1" x14ac:dyDescent="0.2">
      <c r="A55509" s="258"/>
      <c r="Z55509" s="258"/>
    </row>
    <row r="55510" spans="1:26" ht="12.75" customHeight="1" x14ac:dyDescent="0.2">
      <c r="A55510" s="258"/>
      <c r="Z55510" s="258"/>
    </row>
    <row r="55511" spans="1:26" ht="12.75" customHeight="1" x14ac:dyDescent="0.2">
      <c r="A55511" s="258"/>
      <c r="Z55511" s="258"/>
    </row>
    <row r="55512" spans="1:26" ht="12.75" customHeight="1" x14ac:dyDescent="0.2">
      <c r="A55512" s="258"/>
      <c r="Z55512" s="258"/>
    </row>
    <row r="55513" spans="1:26" ht="12.75" customHeight="1" x14ac:dyDescent="0.2">
      <c r="A55513" s="258"/>
      <c r="Z55513" s="258"/>
    </row>
    <row r="55514" spans="1:26" ht="12.75" customHeight="1" x14ac:dyDescent="0.2">
      <c r="A55514" s="258"/>
      <c r="Z55514" s="258"/>
    </row>
    <row r="55515" spans="1:26" ht="12.75" customHeight="1" x14ac:dyDescent="0.2">
      <c r="A55515" s="258"/>
      <c r="Z55515" s="258"/>
    </row>
    <row r="55516" spans="1:26" ht="12.75" customHeight="1" x14ac:dyDescent="0.2">
      <c r="A55516" s="258"/>
      <c r="Z55516" s="258"/>
    </row>
    <row r="55517" spans="1:26" ht="12.75" customHeight="1" x14ac:dyDescent="0.2">
      <c r="A55517" s="258"/>
      <c r="Z55517" s="258"/>
    </row>
    <row r="55518" spans="1:26" ht="12.75" customHeight="1" x14ac:dyDescent="0.2">
      <c r="A55518" s="258"/>
      <c r="Z55518" s="258"/>
    </row>
    <row r="55519" spans="1:26" ht="12.75" customHeight="1" x14ac:dyDescent="0.2">
      <c r="A55519" s="258"/>
      <c r="Z55519" s="258"/>
    </row>
    <row r="55520" spans="1:26" ht="12.75" customHeight="1" x14ac:dyDescent="0.2">
      <c r="A55520" s="258"/>
      <c r="Z55520" s="258"/>
    </row>
    <row r="55521" spans="1:26" ht="12.75" customHeight="1" x14ac:dyDescent="0.2">
      <c r="A55521" s="258"/>
      <c r="Z55521" s="258"/>
    </row>
    <row r="55522" spans="1:26" ht="12.75" customHeight="1" x14ac:dyDescent="0.2">
      <c r="A55522" s="258"/>
      <c r="Z55522" s="258"/>
    </row>
    <row r="55523" spans="1:26" ht="12.75" customHeight="1" x14ac:dyDescent="0.2">
      <c r="A55523" s="258"/>
      <c r="Z55523" s="258"/>
    </row>
    <row r="55524" spans="1:26" ht="12.75" customHeight="1" x14ac:dyDescent="0.2">
      <c r="A55524" s="258"/>
      <c r="Z55524" s="258"/>
    </row>
    <row r="55525" spans="1:26" ht="12.75" customHeight="1" x14ac:dyDescent="0.2">
      <c r="A55525" s="258"/>
      <c r="Z55525" s="258"/>
    </row>
    <row r="55526" spans="1:26" ht="12.75" customHeight="1" x14ac:dyDescent="0.2">
      <c r="A55526" s="258"/>
      <c r="Z55526" s="258"/>
    </row>
    <row r="55527" spans="1:26" ht="12.75" customHeight="1" x14ac:dyDescent="0.2">
      <c r="A55527" s="258"/>
      <c r="Z55527" s="258"/>
    </row>
    <row r="55528" spans="1:26" ht="12.75" customHeight="1" x14ac:dyDescent="0.2">
      <c r="A55528" s="258"/>
      <c r="Z55528" s="258"/>
    </row>
    <row r="55529" spans="1:26" ht="12.75" customHeight="1" x14ac:dyDescent="0.2">
      <c r="A55529" s="258"/>
      <c r="Z55529" s="258"/>
    </row>
    <row r="55530" spans="1:26" ht="12.75" customHeight="1" x14ac:dyDescent="0.2">
      <c r="A55530" s="258"/>
      <c r="Z55530" s="258"/>
    </row>
    <row r="55531" spans="1:26" ht="12.75" customHeight="1" x14ac:dyDescent="0.2">
      <c r="A55531" s="258"/>
      <c r="Z55531" s="258"/>
    </row>
    <row r="55532" spans="1:26" ht="12.75" customHeight="1" x14ac:dyDescent="0.2">
      <c r="A55532" s="258"/>
      <c r="Z55532" s="258"/>
    </row>
    <row r="55533" spans="1:26" ht="12.75" customHeight="1" x14ac:dyDescent="0.2">
      <c r="A55533" s="258"/>
      <c r="Z55533" s="258"/>
    </row>
    <row r="55534" spans="1:26" ht="12.75" customHeight="1" x14ac:dyDescent="0.2">
      <c r="A55534" s="258"/>
      <c r="Z55534" s="258"/>
    </row>
    <row r="55535" spans="1:26" ht="12.75" customHeight="1" x14ac:dyDescent="0.2">
      <c r="A55535" s="258"/>
      <c r="Z55535" s="258"/>
    </row>
    <row r="55536" spans="1:26" ht="12.75" customHeight="1" x14ac:dyDescent="0.2">
      <c r="A55536" s="258"/>
      <c r="Z55536" s="258"/>
    </row>
    <row r="55537" spans="1:26" ht="12.75" customHeight="1" x14ac:dyDescent="0.2">
      <c r="A55537" s="258"/>
      <c r="Z55537" s="258"/>
    </row>
    <row r="55538" spans="1:26" ht="12.75" customHeight="1" x14ac:dyDescent="0.2">
      <c r="A55538" s="258"/>
      <c r="Z55538" s="258"/>
    </row>
    <row r="55539" spans="1:26" ht="12.75" customHeight="1" x14ac:dyDescent="0.2">
      <c r="A55539" s="258"/>
      <c r="Z55539" s="258"/>
    </row>
    <row r="55540" spans="1:26" ht="12.75" customHeight="1" x14ac:dyDescent="0.2">
      <c r="A55540" s="258"/>
      <c r="Z55540" s="258"/>
    </row>
    <row r="55541" spans="1:26" ht="12.75" customHeight="1" x14ac:dyDescent="0.2">
      <c r="A55541" s="258"/>
      <c r="Z55541" s="258"/>
    </row>
    <row r="55542" spans="1:26" ht="12.75" customHeight="1" x14ac:dyDescent="0.2">
      <c r="A55542" s="258"/>
      <c r="Z55542" s="258"/>
    </row>
    <row r="55543" spans="1:26" ht="12.75" customHeight="1" x14ac:dyDescent="0.2">
      <c r="A55543" s="258"/>
      <c r="Z55543" s="258"/>
    </row>
    <row r="55544" spans="1:26" ht="12.75" customHeight="1" x14ac:dyDescent="0.2">
      <c r="A55544" s="258"/>
      <c r="Z55544" s="258"/>
    </row>
    <row r="55545" spans="1:26" ht="12.75" customHeight="1" x14ac:dyDescent="0.2">
      <c r="A55545" s="258"/>
      <c r="Z55545" s="258"/>
    </row>
    <row r="55546" spans="1:26" ht="12.75" customHeight="1" x14ac:dyDescent="0.2">
      <c r="A55546" s="258"/>
      <c r="Z55546" s="258"/>
    </row>
    <row r="55547" spans="1:26" ht="12.75" customHeight="1" x14ac:dyDescent="0.2">
      <c r="A55547" s="258"/>
      <c r="Z55547" s="258"/>
    </row>
    <row r="55548" spans="1:26" ht="12.75" customHeight="1" x14ac:dyDescent="0.2">
      <c r="A55548" s="258"/>
      <c r="Z55548" s="258"/>
    </row>
    <row r="55549" spans="1:26" ht="12.75" customHeight="1" x14ac:dyDescent="0.2">
      <c r="A55549" s="258"/>
      <c r="Z55549" s="258"/>
    </row>
    <row r="55550" spans="1:26" ht="12.75" customHeight="1" x14ac:dyDescent="0.2">
      <c r="A55550" s="258"/>
      <c r="Z55550" s="258"/>
    </row>
    <row r="55551" spans="1:26" ht="12.75" customHeight="1" x14ac:dyDescent="0.2">
      <c r="A55551" s="258"/>
      <c r="Z55551" s="258"/>
    </row>
    <row r="55552" spans="1:26" ht="12.75" customHeight="1" x14ac:dyDescent="0.2">
      <c r="A55552" s="258"/>
      <c r="Z55552" s="258"/>
    </row>
    <row r="55553" spans="1:26" ht="12.75" customHeight="1" x14ac:dyDescent="0.2">
      <c r="A55553" s="258"/>
      <c r="Z55553" s="258"/>
    </row>
    <row r="55554" spans="1:26" ht="12.75" customHeight="1" x14ac:dyDescent="0.2">
      <c r="A55554" s="258"/>
      <c r="Z55554" s="258"/>
    </row>
    <row r="55555" spans="1:26" ht="12.75" customHeight="1" x14ac:dyDescent="0.2">
      <c r="A55555" s="258"/>
      <c r="Z55555" s="258"/>
    </row>
    <row r="55556" spans="1:26" ht="12.75" customHeight="1" x14ac:dyDescent="0.2">
      <c r="A55556" s="258"/>
      <c r="Z55556" s="258"/>
    </row>
    <row r="55557" spans="1:26" ht="12.75" customHeight="1" x14ac:dyDescent="0.2">
      <c r="A55557" s="258"/>
      <c r="Z55557" s="258"/>
    </row>
    <row r="55558" spans="1:26" ht="12.75" customHeight="1" x14ac:dyDescent="0.2">
      <c r="A55558" s="258"/>
      <c r="Z55558" s="258"/>
    </row>
    <row r="55559" spans="1:26" ht="12.75" customHeight="1" x14ac:dyDescent="0.2">
      <c r="A55559" s="258"/>
      <c r="Z55559" s="258"/>
    </row>
    <row r="55560" spans="1:26" ht="12.75" customHeight="1" x14ac:dyDescent="0.2">
      <c r="A55560" s="258"/>
      <c r="Z55560" s="258"/>
    </row>
    <row r="55561" spans="1:26" ht="12.75" customHeight="1" x14ac:dyDescent="0.2">
      <c r="A55561" s="258"/>
      <c r="Z55561" s="258"/>
    </row>
    <row r="55562" spans="1:26" ht="12.75" customHeight="1" x14ac:dyDescent="0.2">
      <c r="A55562" s="258"/>
      <c r="Z55562" s="258"/>
    </row>
    <row r="55563" spans="1:26" ht="12.75" customHeight="1" x14ac:dyDescent="0.2">
      <c r="A55563" s="258"/>
      <c r="Z55563" s="258"/>
    </row>
    <row r="55564" spans="1:26" ht="12.75" customHeight="1" x14ac:dyDescent="0.2">
      <c r="A55564" s="258"/>
      <c r="Z55564" s="258"/>
    </row>
    <row r="55565" spans="1:26" ht="12.75" customHeight="1" x14ac:dyDescent="0.2">
      <c r="A55565" s="258"/>
      <c r="Z55565" s="258"/>
    </row>
    <row r="55566" spans="1:26" ht="12.75" customHeight="1" x14ac:dyDescent="0.2">
      <c r="A55566" s="258"/>
      <c r="Z55566" s="258"/>
    </row>
    <row r="55567" spans="1:26" ht="12.75" customHeight="1" x14ac:dyDescent="0.2">
      <c r="A55567" s="258"/>
      <c r="Z55567" s="258"/>
    </row>
    <row r="55568" spans="1:26" ht="12.75" customHeight="1" x14ac:dyDescent="0.2">
      <c r="A55568" s="258"/>
      <c r="Z55568" s="258"/>
    </row>
    <row r="55569" spans="1:26" ht="12.75" customHeight="1" x14ac:dyDescent="0.2">
      <c r="A55569" s="258"/>
      <c r="Z55569" s="258"/>
    </row>
    <row r="55570" spans="1:26" ht="12.75" customHeight="1" x14ac:dyDescent="0.2">
      <c r="A55570" s="258"/>
      <c r="Z55570" s="258"/>
    </row>
    <row r="55571" spans="1:26" ht="12.75" customHeight="1" x14ac:dyDescent="0.2">
      <c r="A55571" s="258"/>
      <c r="Z55571" s="258"/>
    </row>
    <row r="55572" spans="1:26" ht="12.75" customHeight="1" x14ac:dyDescent="0.2">
      <c r="A55572" s="258"/>
      <c r="Z55572" s="258"/>
    </row>
    <row r="55573" spans="1:26" ht="12.75" customHeight="1" x14ac:dyDescent="0.2">
      <c r="A55573" s="258"/>
      <c r="Z55573" s="258"/>
    </row>
    <row r="55574" spans="1:26" ht="12.75" customHeight="1" x14ac:dyDescent="0.2">
      <c r="A55574" s="258"/>
      <c r="Z55574" s="258"/>
    </row>
    <row r="55575" spans="1:26" ht="12.75" customHeight="1" x14ac:dyDescent="0.2">
      <c r="A55575" s="258"/>
      <c r="Z55575" s="258"/>
    </row>
    <row r="55576" spans="1:26" ht="12.75" customHeight="1" x14ac:dyDescent="0.2">
      <c r="A55576" s="258"/>
      <c r="Z55576" s="258"/>
    </row>
    <row r="55577" spans="1:26" ht="12.75" customHeight="1" x14ac:dyDescent="0.2">
      <c r="A55577" s="258"/>
      <c r="Z55577" s="258"/>
    </row>
    <row r="55578" spans="1:26" ht="12.75" customHeight="1" x14ac:dyDescent="0.2">
      <c r="A55578" s="258"/>
      <c r="Z55578" s="258"/>
    </row>
    <row r="55579" spans="1:26" ht="12.75" customHeight="1" x14ac:dyDescent="0.2">
      <c r="A55579" s="258"/>
      <c r="Z55579" s="258"/>
    </row>
    <row r="55580" spans="1:26" ht="12.75" customHeight="1" x14ac:dyDescent="0.2">
      <c r="A55580" s="258"/>
      <c r="Z55580" s="258"/>
    </row>
    <row r="55581" spans="1:26" ht="12.75" customHeight="1" x14ac:dyDescent="0.2">
      <c r="A55581" s="258"/>
      <c r="Z55581" s="258"/>
    </row>
    <row r="55582" spans="1:26" ht="12.75" customHeight="1" x14ac:dyDescent="0.2">
      <c r="A55582" s="258"/>
      <c r="Z55582" s="258"/>
    </row>
    <row r="55583" spans="1:26" ht="12.75" customHeight="1" x14ac:dyDescent="0.2">
      <c r="A55583" s="258"/>
      <c r="Z55583" s="258"/>
    </row>
    <row r="55584" spans="1:26" ht="12.75" customHeight="1" x14ac:dyDescent="0.2">
      <c r="A55584" s="258"/>
      <c r="Z55584" s="258"/>
    </row>
    <row r="55585" spans="1:26" ht="12.75" customHeight="1" x14ac:dyDescent="0.2">
      <c r="A55585" s="258"/>
      <c r="Z55585" s="258"/>
    </row>
    <row r="55586" spans="1:26" ht="12.75" customHeight="1" x14ac:dyDescent="0.2">
      <c r="A55586" s="258"/>
      <c r="Z55586" s="258"/>
    </row>
    <row r="55587" spans="1:26" ht="12.75" customHeight="1" x14ac:dyDescent="0.2">
      <c r="A55587" s="258"/>
      <c r="Z55587" s="258"/>
    </row>
    <row r="55588" spans="1:26" ht="12.75" customHeight="1" x14ac:dyDescent="0.2">
      <c r="A55588" s="258"/>
      <c r="Z55588" s="258"/>
    </row>
    <row r="55589" spans="1:26" ht="12.75" customHeight="1" x14ac:dyDescent="0.2">
      <c r="A55589" s="258"/>
      <c r="Z55589" s="258"/>
    </row>
    <row r="55590" spans="1:26" ht="12.75" customHeight="1" x14ac:dyDescent="0.2">
      <c r="A55590" s="258"/>
      <c r="Z55590" s="258"/>
    </row>
    <row r="55591" spans="1:26" ht="12.75" customHeight="1" x14ac:dyDescent="0.2">
      <c r="A55591" s="258"/>
      <c r="Z55591" s="258"/>
    </row>
    <row r="55592" spans="1:26" ht="12.75" customHeight="1" x14ac:dyDescent="0.2">
      <c r="A55592" s="258"/>
      <c r="Z55592" s="258"/>
    </row>
    <row r="55593" spans="1:26" ht="12.75" customHeight="1" x14ac:dyDescent="0.2">
      <c r="A55593" s="258"/>
      <c r="Z55593" s="258"/>
    </row>
    <row r="55594" spans="1:26" ht="12.75" customHeight="1" x14ac:dyDescent="0.2">
      <c r="A55594" s="258"/>
      <c r="Z55594" s="258"/>
    </row>
    <row r="55595" spans="1:26" ht="12.75" customHeight="1" x14ac:dyDescent="0.2">
      <c r="A55595" s="258"/>
      <c r="Z55595" s="258"/>
    </row>
    <row r="55596" spans="1:26" ht="12.75" customHeight="1" x14ac:dyDescent="0.2">
      <c r="A55596" s="258"/>
      <c r="Z55596" s="258"/>
    </row>
    <row r="55597" spans="1:26" ht="12.75" customHeight="1" x14ac:dyDescent="0.2">
      <c r="A55597" s="258"/>
      <c r="Z55597" s="258"/>
    </row>
    <row r="55598" spans="1:26" ht="12.75" customHeight="1" x14ac:dyDescent="0.2">
      <c r="A55598" s="258"/>
      <c r="Z55598" s="258"/>
    </row>
    <row r="55599" spans="1:26" ht="12.75" customHeight="1" x14ac:dyDescent="0.2">
      <c r="A55599" s="258"/>
      <c r="Z55599" s="258"/>
    </row>
    <row r="55600" spans="1:26" ht="12.75" customHeight="1" x14ac:dyDescent="0.2">
      <c r="A55600" s="258"/>
      <c r="Z55600" s="258"/>
    </row>
    <row r="55601" spans="1:26" ht="12.75" customHeight="1" x14ac:dyDescent="0.2">
      <c r="A55601" s="258"/>
      <c r="Z55601" s="258"/>
    </row>
    <row r="55602" spans="1:26" ht="12.75" customHeight="1" x14ac:dyDescent="0.2">
      <c r="A55602" s="258"/>
      <c r="Z55602" s="258"/>
    </row>
    <row r="55603" spans="1:26" ht="12.75" customHeight="1" x14ac:dyDescent="0.2">
      <c r="A55603" s="258"/>
      <c r="Z55603" s="258"/>
    </row>
    <row r="55604" spans="1:26" ht="12.75" customHeight="1" x14ac:dyDescent="0.2">
      <c r="A55604" s="258"/>
      <c r="Z55604" s="258"/>
    </row>
    <row r="55605" spans="1:26" ht="12.75" customHeight="1" x14ac:dyDescent="0.2">
      <c r="A55605" s="258"/>
      <c r="Z55605" s="258"/>
    </row>
    <row r="55606" spans="1:26" ht="12.75" customHeight="1" x14ac:dyDescent="0.2">
      <c r="A55606" s="258"/>
      <c r="Z55606" s="258"/>
    </row>
    <row r="55607" spans="1:26" ht="12.75" customHeight="1" x14ac:dyDescent="0.2">
      <c r="A55607" s="258"/>
      <c r="Z55607" s="258"/>
    </row>
    <row r="55608" spans="1:26" ht="12.75" customHeight="1" x14ac:dyDescent="0.2">
      <c r="A55608" s="258"/>
      <c r="Z55608" s="258"/>
    </row>
    <row r="55609" spans="1:26" ht="12.75" customHeight="1" x14ac:dyDescent="0.2">
      <c r="A55609" s="258"/>
      <c r="Z55609" s="258"/>
    </row>
    <row r="55610" spans="1:26" ht="12.75" customHeight="1" x14ac:dyDescent="0.2">
      <c r="A55610" s="258"/>
      <c r="Z55610" s="258"/>
    </row>
    <row r="55611" spans="1:26" ht="12.75" customHeight="1" x14ac:dyDescent="0.2">
      <c r="A55611" s="258"/>
      <c r="Z55611" s="258"/>
    </row>
    <row r="55612" spans="1:26" ht="12.75" customHeight="1" x14ac:dyDescent="0.2">
      <c r="A55612" s="258"/>
      <c r="Z55612" s="258"/>
    </row>
    <row r="55613" spans="1:26" ht="12.75" customHeight="1" x14ac:dyDescent="0.2">
      <c r="A55613" s="258"/>
      <c r="Z55613" s="258"/>
    </row>
    <row r="55614" spans="1:26" ht="12.75" customHeight="1" x14ac:dyDescent="0.2">
      <c r="A55614" s="258"/>
      <c r="Z55614" s="258"/>
    </row>
    <row r="55615" spans="1:26" ht="12.75" customHeight="1" x14ac:dyDescent="0.2">
      <c r="A55615" s="258"/>
      <c r="Z55615" s="258"/>
    </row>
    <row r="55616" spans="1:26" ht="12.75" customHeight="1" x14ac:dyDescent="0.2">
      <c r="A55616" s="258"/>
      <c r="Z55616" s="258"/>
    </row>
    <row r="55617" spans="1:26" ht="12.75" customHeight="1" x14ac:dyDescent="0.2">
      <c r="A55617" s="258"/>
      <c r="Z55617" s="258"/>
    </row>
    <row r="55618" spans="1:26" ht="12.75" customHeight="1" x14ac:dyDescent="0.2">
      <c r="A55618" s="258"/>
      <c r="Z55618" s="258"/>
    </row>
    <row r="55619" spans="1:26" ht="12.75" customHeight="1" x14ac:dyDescent="0.2">
      <c r="A55619" s="258"/>
      <c r="Z55619" s="258"/>
    </row>
    <row r="55620" spans="1:26" ht="12.75" customHeight="1" x14ac:dyDescent="0.2">
      <c r="A55620" s="258"/>
      <c r="Z55620" s="258"/>
    </row>
    <row r="55621" spans="1:26" ht="12.75" customHeight="1" x14ac:dyDescent="0.2">
      <c r="A55621" s="258"/>
      <c r="Z55621" s="258"/>
    </row>
    <row r="55622" spans="1:26" ht="12.75" customHeight="1" x14ac:dyDescent="0.2">
      <c r="A55622" s="258"/>
      <c r="Z55622" s="258"/>
    </row>
    <row r="55623" spans="1:26" ht="12.75" customHeight="1" x14ac:dyDescent="0.2">
      <c r="A55623" s="258"/>
      <c r="Z55623" s="258"/>
    </row>
    <row r="55624" spans="1:26" ht="12.75" customHeight="1" x14ac:dyDescent="0.2">
      <c r="A55624" s="258"/>
      <c r="Z55624" s="258"/>
    </row>
    <row r="55625" spans="1:26" ht="12.75" customHeight="1" x14ac:dyDescent="0.2">
      <c r="A55625" s="258"/>
      <c r="Z55625" s="258"/>
    </row>
    <row r="55626" spans="1:26" ht="12.75" customHeight="1" x14ac:dyDescent="0.2">
      <c r="A55626" s="258"/>
      <c r="Z55626" s="258"/>
    </row>
    <row r="55627" spans="1:26" ht="12.75" customHeight="1" x14ac:dyDescent="0.2">
      <c r="A55627" s="258"/>
      <c r="Z55627" s="258"/>
    </row>
    <row r="55628" spans="1:26" ht="12.75" customHeight="1" x14ac:dyDescent="0.2">
      <c r="A55628" s="258"/>
      <c r="Z55628" s="258"/>
    </row>
    <row r="55629" spans="1:26" ht="12.75" customHeight="1" x14ac:dyDescent="0.2">
      <c r="A55629" s="258"/>
      <c r="Z55629" s="258"/>
    </row>
    <row r="55630" spans="1:26" ht="12.75" customHeight="1" x14ac:dyDescent="0.2">
      <c r="A55630" s="258"/>
      <c r="Z55630" s="258"/>
    </row>
    <row r="55631" spans="1:26" ht="12.75" customHeight="1" x14ac:dyDescent="0.2">
      <c r="A55631" s="258"/>
      <c r="Z55631" s="258"/>
    </row>
    <row r="55632" spans="1:26" ht="12.75" customHeight="1" x14ac:dyDescent="0.2">
      <c r="A55632" s="258"/>
      <c r="Z55632" s="258"/>
    </row>
    <row r="55633" spans="1:26" ht="12.75" customHeight="1" x14ac:dyDescent="0.2">
      <c r="A55633" s="258"/>
      <c r="Z55633" s="258"/>
    </row>
    <row r="55634" spans="1:26" ht="12.75" customHeight="1" x14ac:dyDescent="0.2">
      <c r="A55634" s="258"/>
      <c r="Z55634" s="258"/>
    </row>
    <row r="55635" spans="1:26" ht="12.75" customHeight="1" x14ac:dyDescent="0.2">
      <c r="A55635" s="258"/>
      <c r="Z55635" s="258"/>
    </row>
    <row r="55636" spans="1:26" ht="12.75" customHeight="1" x14ac:dyDescent="0.2">
      <c r="A55636" s="258"/>
      <c r="Z55636" s="258"/>
    </row>
    <row r="55637" spans="1:26" ht="12.75" customHeight="1" x14ac:dyDescent="0.2">
      <c r="A55637" s="258"/>
      <c r="Z55637" s="258"/>
    </row>
    <row r="55638" spans="1:26" ht="12.75" customHeight="1" x14ac:dyDescent="0.2">
      <c r="A55638" s="258"/>
      <c r="Z55638" s="258"/>
    </row>
    <row r="55639" spans="1:26" ht="12.75" customHeight="1" x14ac:dyDescent="0.2">
      <c r="A55639" s="258"/>
      <c r="Z55639" s="258"/>
    </row>
    <row r="55640" spans="1:26" ht="12.75" customHeight="1" x14ac:dyDescent="0.2">
      <c r="A55640" s="258"/>
      <c r="Z55640" s="258"/>
    </row>
    <row r="55641" spans="1:26" ht="12.75" customHeight="1" x14ac:dyDescent="0.2">
      <c r="A55641" s="258"/>
      <c r="Z55641" s="258"/>
    </row>
    <row r="55642" spans="1:26" ht="12.75" customHeight="1" x14ac:dyDescent="0.2">
      <c r="A55642" s="258"/>
      <c r="Z55642" s="258"/>
    </row>
    <row r="55643" spans="1:26" ht="12.75" customHeight="1" x14ac:dyDescent="0.2">
      <c r="A55643" s="258"/>
      <c r="Z55643" s="258"/>
    </row>
    <row r="55644" spans="1:26" ht="12.75" customHeight="1" x14ac:dyDescent="0.2">
      <c r="A55644" s="258"/>
      <c r="Z55644" s="258"/>
    </row>
    <row r="55645" spans="1:26" ht="12.75" customHeight="1" x14ac:dyDescent="0.2">
      <c r="A55645" s="258"/>
      <c r="Z55645" s="258"/>
    </row>
    <row r="55646" spans="1:26" ht="12.75" customHeight="1" x14ac:dyDescent="0.2">
      <c r="A55646" s="258"/>
      <c r="Z55646" s="258"/>
    </row>
    <row r="55647" spans="1:26" ht="12.75" customHeight="1" x14ac:dyDescent="0.2">
      <c r="A55647" s="258"/>
      <c r="Z55647" s="258"/>
    </row>
    <row r="55648" spans="1:26" ht="12.75" customHeight="1" x14ac:dyDescent="0.2">
      <c r="A55648" s="258"/>
      <c r="Z55648" s="258"/>
    </row>
    <row r="55649" spans="1:26" ht="12.75" customHeight="1" x14ac:dyDescent="0.2">
      <c r="A55649" s="258"/>
      <c r="Z55649" s="258"/>
    </row>
    <row r="55650" spans="1:26" ht="12.75" customHeight="1" x14ac:dyDescent="0.2">
      <c r="A55650" s="258"/>
      <c r="Z55650" s="258"/>
    </row>
    <row r="55651" spans="1:26" ht="12.75" customHeight="1" x14ac:dyDescent="0.2">
      <c r="A55651" s="258"/>
      <c r="Z55651" s="258"/>
    </row>
    <row r="55652" spans="1:26" ht="12.75" customHeight="1" x14ac:dyDescent="0.2">
      <c r="A55652" s="258"/>
      <c r="Z55652" s="258"/>
    </row>
    <row r="55653" spans="1:26" ht="12.75" customHeight="1" x14ac:dyDescent="0.2">
      <c r="A55653" s="258"/>
      <c r="Z55653" s="258"/>
    </row>
    <row r="55654" spans="1:26" ht="12.75" customHeight="1" x14ac:dyDescent="0.2">
      <c r="A55654" s="258"/>
      <c r="Z55654" s="258"/>
    </row>
    <row r="55655" spans="1:26" ht="12.75" customHeight="1" x14ac:dyDescent="0.2">
      <c r="A55655" s="258"/>
      <c r="Z55655" s="258"/>
    </row>
    <row r="55656" spans="1:26" ht="12.75" customHeight="1" x14ac:dyDescent="0.2">
      <c r="A55656" s="258"/>
      <c r="Z55656" s="258"/>
    </row>
    <row r="55657" spans="1:26" ht="12.75" customHeight="1" x14ac:dyDescent="0.2">
      <c r="A55657" s="258"/>
      <c r="Z55657" s="258"/>
    </row>
    <row r="55658" spans="1:26" ht="12.75" customHeight="1" x14ac:dyDescent="0.2">
      <c r="A55658" s="258"/>
      <c r="Z55658" s="258"/>
    </row>
    <row r="55659" spans="1:26" ht="12.75" customHeight="1" x14ac:dyDescent="0.2">
      <c r="A55659" s="258"/>
      <c r="Z55659" s="258"/>
    </row>
    <row r="55660" spans="1:26" ht="12.75" customHeight="1" x14ac:dyDescent="0.2">
      <c r="A55660" s="258"/>
      <c r="Z55660" s="258"/>
    </row>
    <row r="55661" spans="1:26" ht="12.75" customHeight="1" x14ac:dyDescent="0.2">
      <c r="A55661" s="258"/>
      <c r="Z55661" s="258"/>
    </row>
    <row r="55662" spans="1:26" ht="12.75" customHeight="1" x14ac:dyDescent="0.2">
      <c r="A55662" s="258"/>
      <c r="Z55662" s="258"/>
    </row>
    <row r="55663" spans="1:26" ht="12.75" customHeight="1" x14ac:dyDescent="0.2">
      <c r="A55663" s="258"/>
      <c r="Z55663" s="258"/>
    </row>
    <row r="55664" spans="1:26" ht="12.75" customHeight="1" x14ac:dyDescent="0.2">
      <c r="A55664" s="258"/>
      <c r="Z55664" s="258"/>
    </row>
    <row r="55665" spans="1:26" ht="12.75" customHeight="1" x14ac:dyDescent="0.2">
      <c r="A55665" s="258"/>
      <c r="Z55665" s="258"/>
    </row>
    <row r="55666" spans="1:26" ht="12.75" customHeight="1" x14ac:dyDescent="0.2">
      <c r="A55666" s="258"/>
      <c r="Z55666" s="258"/>
    </row>
    <row r="55667" spans="1:26" ht="12.75" customHeight="1" x14ac:dyDescent="0.2">
      <c r="A55667" s="258"/>
      <c r="Z55667" s="258"/>
    </row>
    <row r="55668" spans="1:26" ht="12.75" customHeight="1" x14ac:dyDescent="0.2">
      <c r="A55668" s="258"/>
      <c r="Z55668" s="258"/>
    </row>
    <row r="55669" spans="1:26" ht="12.75" customHeight="1" x14ac:dyDescent="0.2">
      <c r="A55669" s="258"/>
      <c r="Z55669" s="258"/>
    </row>
    <row r="55670" spans="1:26" ht="12.75" customHeight="1" x14ac:dyDescent="0.2">
      <c r="A55670" s="258"/>
      <c r="Z55670" s="258"/>
    </row>
    <row r="55671" spans="1:26" ht="12.75" customHeight="1" x14ac:dyDescent="0.2">
      <c r="A55671" s="258"/>
      <c r="Z55671" s="258"/>
    </row>
    <row r="55672" spans="1:26" ht="12.75" customHeight="1" x14ac:dyDescent="0.2">
      <c r="A55672" s="258"/>
      <c r="Z55672" s="258"/>
    </row>
    <row r="55673" spans="1:26" ht="12.75" customHeight="1" x14ac:dyDescent="0.2">
      <c r="A55673" s="258"/>
      <c r="Z55673" s="258"/>
    </row>
    <row r="55674" spans="1:26" ht="12.75" customHeight="1" x14ac:dyDescent="0.2">
      <c r="A55674" s="258"/>
      <c r="Z55674" s="258"/>
    </row>
    <row r="55675" spans="1:26" ht="12.75" customHeight="1" x14ac:dyDescent="0.2">
      <c r="A55675" s="258"/>
      <c r="Z55675" s="258"/>
    </row>
    <row r="55676" spans="1:26" ht="12.75" customHeight="1" x14ac:dyDescent="0.2">
      <c r="A55676" s="258"/>
      <c r="Z55676" s="258"/>
    </row>
    <row r="55677" spans="1:26" ht="12.75" customHeight="1" x14ac:dyDescent="0.2">
      <c r="A55677" s="258"/>
      <c r="Z55677" s="258"/>
    </row>
    <row r="55678" spans="1:26" ht="12.75" customHeight="1" x14ac:dyDescent="0.2">
      <c r="A55678" s="258"/>
      <c r="Z55678" s="258"/>
    </row>
    <row r="55679" spans="1:26" ht="12.75" customHeight="1" x14ac:dyDescent="0.2">
      <c r="A55679" s="258"/>
      <c r="Z55679" s="258"/>
    </row>
    <row r="55680" spans="1:26" ht="12.75" customHeight="1" x14ac:dyDescent="0.2">
      <c r="A55680" s="258"/>
      <c r="Z55680" s="258"/>
    </row>
    <row r="55681" spans="1:26" ht="12.75" customHeight="1" x14ac:dyDescent="0.2">
      <c r="A55681" s="258"/>
      <c r="Z55681" s="258"/>
    </row>
    <row r="55682" spans="1:26" ht="12.75" customHeight="1" x14ac:dyDescent="0.2">
      <c r="A55682" s="258"/>
      <c r="Z55682" s="258"/>
    </row>
    <row r="55683" spans="1:26" ht="12.75" customHeight="1" x14ac:dyDescent="0.2">
      <c r="A55683" s="258"/>
      <c r="Z55683" s="258"/>
    </row>
    <row r="55684" spans="1:26" ht="12.75" customHeight="1" x14ac:dyDescent="0.2">
      <c r="A55684" s="258"/>
      <c r="Z55684" s="258"/>
    </row>
    <row r="55685" spans="1:26" ht="12.75" customHeight="1" x14ac:dyDescent="0.2">
      <c r="A55685" s="258"/>
      <c r="Z55685" s="258"/>
    </row>
    <row r="55686" spans="1:26" ht="12.75" customHeight="1" x14ac:dyDescent="0.2">
      <c r="A55686" s="258"/>
      <c r="Z55686" s="258"/>
    </row>
    <row r="55687" spans="1:26" ht="12.75" customHeight="1" x14ac:dyDescent="0.2">
      <c r="A55687" s="258"/>
      <c r="Z55687" s="258"/>
    </row>
    <row r="55688" spans="1:26" ht="12.75" customHeight="1" x14ac:dyDescent="0.2">
      <c r="A55688" s="258"/>
      <c r="Z55688" s="258"/>
    </row>
    <row r="55689" spans="1:26" ht="12.75" customHeight="1" x14ac:dyDescent="0.2">
      <c r="A55689" s="258"/>
      <c r="Z55689" s="258"/>
    </row>
    <row r="55690" spans="1:26" ht="12.75" customHeight="1" x14ac:dyDescent="0.2">
      <c r="A55690" s="258"/>
      <c r="Z55690" s="258"/>
    </row>
    <row r="55691" spans="1:26" ht="12.75" customHeight="1" x14ac:dyDescent="0.2">
      <c r="A55691" s="258"/>
      <c r="Z55691" s="258"/>
    </row>
    <row r="55692" spans="1:26" ht="12.75" customHeight="1" x14ac:dyDescent="0.2">
      <c r="A55692" s="258"/>
      <c r="Z55692" s="258"/>
    </row>
    <row r="55693" spans="1:26" ht="12.75" customHeight="1" x14ac:dyDescent="0.2">
      <c r="A55693" s="258"/>
      <c r="Z55693" s="258"/>
    </row>
    <row r="55694" spans="1:26" ht="12.75" customHeight="1" x14ac:dyDescent="0.2">
      <c r="A55694" s="258"/>
      <c r="Z55694" s="258"/>
    </row>
    <row r="55695" spans="1:26" ht="12.75" customHeight="1" x14ac:dyDescent="0.2">
      <c r="A55695" s="258"/>
      <c r="Z55695" s="258"/>
    </row>
    <row r="55696" spans="1:26" ht="12.75" customHeight="1" x14ac:dyDescent="0.2">
      <c r="A55696" s="258"/>
      <c r="Z55696" s="258"/>
    </row>
    <row r="55697" spans="1:26" ht="12.75" customHeight="1" x14ac:dyDescent="0.2">
      <c r="A55697" s="258"/>
      <c r="Z55697" s="258"/>
    </row>
    <row r="55698" spans="1:26" ht="12.75" customHeight="1" x14ac:dyDescent="0.2">
      <c r="A55698" s="258"/>
      <c r="Z55698" s="258"/>
    </row>
    <row r="55699" spans="1:26" ht="12.75" customHeight="1" x14ac:dyDescent="0.2">
      <c r="A55699" s="258"/>
      <c r="Z55699" s="258"/>
    </row>
    <row r="55700" spans="1:26" ht="12.75" customHeight="1" x14ac:dyDescent="0.2">
      <c r="A55700" s="258"/>
      <c r="Z55700" s="258"/>
    </row>
    <row r="55701" spans="1:26" ht="12.75" customHeight="1" x14ac:dyDescent="0.2">
      <c r="A55701" s="258"/>
      <c r="Z55701" s="258"/>
    </row>
    <row r="55702" spans="1:26" ht="12.75" customHeight="1" x14ac:dyDescent="0.2">
      <c r="A55702" s="258"/>
      <c r="Z55702" s="258"/>
    </row>
    <row r="55703" spans="1:26" ht="12.75" customHeight="1" x14ac:dyDescent="0.2">
      <c r="A55703" s="258"/>
      <c r="Z55703" s="258"/>
    </row>
    <row r="55704" spans="1:26" ht="12.75" customHeight="1" x14ac:dyDescent="0.2">
      <c r="A55704" s="258"/>
      <c r="Z55704" s="258"/>
    </row>
    <row r="55705" spans="1:26" ht="12.75" customHeight="1" x14ac:dyDescent="0.2">
      <c r="A55705" s="258"/>
      <c r="Z55705" s="258"/>
    </row>
    <row r="55706" spans="1:26" ht="12.75" customHeight="1" x14ac:dyDescent="0.2">
      <c r="A55706" s="258"/>
      <c r="Z55706" s="258"/>
    </row>
    <row r="55707" spans="1:26" ht="12.75" customHeight="1" x14ac:dyDescent="0.2">
      <c r="A55707" s="258"/>
      <c r="Z55707" s="258"/>
    </row>
    <row r="55708" spans="1:26" ht="12.75" customHeight="1" x14ac:dyDescent="0.2">
      <c r="A55708" s="258"/>
      <c r="Z55708" s="258"/>
    </row>
    <row r="55709" spans="1:26" ht="12.75" customHeight="1" x14ac:dyDescent="0.2">
      <c r="A55709" s="258"/>
      <c r="Z55709" s="258"/>
    </row>
    <row r="55710" spans="1:26" ht="12.75" customHeight="1" x14ac:dyDescent="0.2">
      <c r="A55710" s="258"/>
      <c r="Z55710" s="258"/>
    </row>
    <row r="55711" spans="1:26" ht="12.75" customHeight="1" x14ac:dyDescent="0.2">
      <c r="A55711" s="258"/>
      <c r="Z55711" s="258"/>
    </row>
    <row r="55712" spans="1:26" ht="12.75" customHeight="1" x14ac:dyDescent="0.2">
      <c r="A55712" s="258"/>
      <c r="Z55712" s="258"/>
    </row>
    <row r="55713" spans="1:26" ht="12.75" customHeight="1" x14ac:dyDescent="0.2">
      <c r="A55713" s="258"/>
      <c r="Z55713" s="258"/>
    </row>
    <row r="55714" spans="1:26" ht="12.75" customHeight="1" x14ac:dyDescent="0.2">
      <c r="A55714" s="258"/>
      <c r="Z55714" s="258"/>
    </row>
    <row r="55715" spans="1:26" ht="12.75" customHeight="1" x14ac:dyDescent="0.2">
      <c r="A55715" s="258"/>
      <c r="Z55715" s="258"/>
    </row>
    <row r="55716" spans="1:26" ht="12.75" customHeight="1" x14ac:dyDescent="0.2">
      <c r="A55716" s="258"/>
      <c r="Z55716" s="258"/>
    </row>
    <row r="55717" spans="1:26" ht="12.75" customHeight="1" x14ac:dyDescent="0.2">
      <c r="A55717" s="258"/>
      <c r="Z55717" s="258"/>
    </row>
    <row r="55718" spans="1:26" ht="12.75" customHeight="1" x14ac:dyDescent="0.2">
      <c r="A55718" s="258"/>
      <c r="Z55718" s="258"/>
    </row>
    <row r="55719" spans="1:26" ht="12.75" customHeight="1" x14ac:dyDescent="0.2">
      <c r="A55719" s="258"/>
      <c r="Z55719" s="258"/>
    </row>
    <row r="55720" spans="1:26" ht="12.75" customHeight="1" x14ac:dyDescent="0.2">
      <c r="A55720" s="258"/>
      <c r="Z55720" s="258"/>
    </row>
    <row r="55721" spans="1:26" ht="12.75" customHeight="1" x14ac:dyDescent="0.2">
      <c r="A55721" s="258"/>
      <c r="Z55721" s="258"/>
    </row>
    <row r="55722" spans="1:26" ht="12.75" customHeight="1" x14ac:dyDescent="0.2">
      <c r="A55722" s="258"/>
      <c r="Z55722" s="258"/>
    </row>
    <row r="55723" spans="1:26" ht="12.75" customHeight="1" x14ac:dyDescent="0.2">
      <c r="A55723" s="258"/>
      <c r="Z55723" s="258"/>
    </row>
    <row r="55724" spans="1:26" ht="12.75" customHeight="1" x14ac:dyDescent="0.2">
      <c r="A55724" s="258"/>
      <c r="Z55724" s="258"/>
    </row>
    <row r="55725" spans="1:26" ht="12.75" customHeight="1" x14ac:dyDescent="0.2">
      <c r="A55725" s="258"/>
      <c r="Z55725" s="258"/>
    </row>
    <row r="55726" spans="1:26" ht="12.75" customHeight="1" x14ac:dyDescent="0.2">
      <c r="A55726" s="258"/>
      <c r="Z55726" s="258"/>
    </row>
    <row r="55727" spans="1:26" ht="12.75" customHeight="1" x14ac:dyDescent="0.2">
      <c r="A55727" s="258"/>
      <c r="Z55727" s="258"/>
    </row>
    <row r="55728" spans="1:26" ht="12.75" customHeight="1" x14ac:dyDescent="0.2">
      <c r="A55728" s="258"/>
      <c r="Z55728" s="258"/>
    </row>
    <row r="55729" spans="1:26" ht="12.75" customHeight="1" x14ac:dyDescent="0.2">
      <c r="A55729" s="258"/>
      <c r="Z55729" s="258"/>
    </row>
    <row r="55730" spans="1:26" ht="12.75" customHeight="1" x14ac:dyDescent="0.2">
      <c r="A55730" s="258"/>
      <c r="Z55730" s="258"/>
    </row>
    <row r="55731" spans="1:26" ht="12.75" customHeight="1" x14ac:dyDescent="0.2">
      <c r="A55731" s="258"/>
      <c r="Z55731" s="258"/>
    </row>
    <row r="55732" spans="1:26" ht="12.75" customHeight="1" x14ac:dyDescent="0.2">
      <c r="A55732" s="258"/>
      <c r="Z55732" s="258"/>
    </row>
    <row r="55733" spans="1:26" ht="12.75" customHeight="1" x14ac:dyDescent="0.2">
      <c r="A55733" s="258"/>
      <c r="Z55733" s="258"/>
    </row>
    <row r="55734" spans="1:26" ht="12.75" customHeight="1" x14ac:dyDescent="0.2">
      <c r="A55734" s="258"/>
      <c r="Z55734" s="258"/>
    </row>
    <row r="55735" spans="1:26" ht="12.75" customHeight="1" x14ac:dyDescent="0.2">
      <c r="A55735" s="258"/>
      <c r="Z55735" s="258"/>
    </row>
    <row r="55736" spans="1:26" ht="12.75" customHeight="1" x14ac:dyDescent="0.2">
      <c r="A55736" s="258"/>
      <c r="Z55736" s="258"/>
    </row>
    <row r="55737" spans="1:26" ht="12.75" customHeight="1" x14ac:dyDescent="0.2">
      <c r="A55737" s="258"/>
      <c r="Z55737" s="258"/>
    </row>
    <row r="55738" spans="1:26" ht="12.75" customHeight="1" x14ac:dyDescent="0.2">
      <c r="A55738" s="258"/>
      <c r="Z55738" s="258"/>
    </row>
    <row r="55739" spans="1:26" ht="12.75" customHeight="1" x14ac:dyDescent="0.2">
      <c r="A55739" s="258"/>
      <c r="Z55739" s="258"/>
    </row>
    <row r="55740" spans="1:26" ht="12.75" customHeight="1" x14ac:dyDescent="0.2">
      <c r="A55740" s="258"/>
      <c r="Z55740" s="258"/>
    </row>
    <row r="55741" spans="1:26" ht="12.75" customHeight="1" x14ac:dyDescent="0.2">
      <c r="A55741" s="258"/>
      <c r="Z55741" s="258"/>
    </row>
    <row r="55742" spans="1:26" ht="12.75" customHeight="1" x14ac:dyDescent="0.2">
      <c r="A55742" s="258"/>
      <c r="Z55742" s="258"/>
    </row>
    <row r="55743" spans="1:26" ht="12.75" customHeight="1" x14ac:dyDescent="0.2">
      <c r="A55743" s="258"/>
      <c r="Z55743" s="258"/>
    </row>
    <row r="55744" spans="1:26" ht="12.75" customHeight="1" x14ac:dyDescent="0.2">
      <c r="A55744" s="258"/>
      <c r="Z55744" s="258"/>
    </row>
    <row r="55745" spans="1:26" ht="12.75" customHeight="1" x14ac:dyDescent="0.2">
      <c r="A55745" s="258"/>
      <c r="Z55745" s="258"/>
    </row>
    <row r="55746" spans="1:26" ht="12.75" customHeight="1" x14ac:dyDescent="0.2">
      <c r="A55746" s="258"/>
      <c r="Z55746" s="258"/>
    </row>
    <row r="55747" spans="1:26" ht="12.75" customHeight="1" x14ac:dyDescent="0.2">
      <c r="A55747" s="258"/>
      <c r="Z55747" s="258"/>
    </row>
    <row r="55748" spans="1:26" ht="12.75" customHeight="1" x14ac:dyDescent="0.2">
      <c r="A55748" s="258"/>
      <c r="Z55748" s="258"/>
    </row>
    <row r="55749" spans="1:26" ht="12.75" customHeight="1" x14ac:dyDescent="0.2">
      <c r="A55749" s="258"/>
      <c r="Z55749" s="258"/>
    </row>
    <row r="55750" spans="1:26" ht="12.75" customHeight="1" x14ac:dyDescent="0.2">
      <c r="A55750" s="258"/>
      <c r="Z55750" s="258"/>
    </row>
    <row r="55751" spans="1:26" ht="12.75" customHeight="1" x14ac:dyDescent="0.2">
      <c r="A55751" s="258"/>
      <c r="Z55751" s="258"/>
    </row>
    <row r="55752" spans="1:26" ht="12.75" customHeight="1" x14ac:dyDescent="0.2">
      <c r="A55752" s="258"/>
      <c r="Z55752" s="258"/>
    </row>
    <row r="55753" spans="1:26" ht="12.75" customHeight="1" x14ac:dyDescent="0.2">
      <c r="A55753" s="258"/>
      <c r="Z55753" s="258"/>
    </row>
    <row r="55754" spans="1:26" ht="12.75" customHeight="1" x14ac:dyDescent="0.2">
      <c r="A55754" s="258"/>
      <c r="Z55754" s="258"/>
    </row>
    <row r="55755" spans="1:26" ht="12.75" customHeight="1" x14ac:dyDescent="0.2">
      <c r="A55755" s="258"/>
      <c r="Z55755" s="258"/>
    </row>
    <row r="55756" spans="1:26" ht="12.75" customHeight="1" x14ac:dyDescent="0.2">
      <c r="A55756" s="258"/>
      <c r="Z55756" s="258"/>
    </row>
    <row r="55757" spans="1:26" ht="12.75" customHeight="1" x14ac:dyDescent="0.2">
      <c r="A55757" s="258"/>
      <c r="Z55757" s="258"/>
    </row>
    <row r="55758" spans="1:26" ht="12.75" customHeight="1" x14ac:dyDescent="0.2">
      <c r="A55758" s="258"/>
      <c r="Z55758" s="258"/>
    </row>
    <row r="55759" spans="1:26" ht="12.75" customHeight="1" x14ac:dyDescent="0.2">
      <c r="A55759" s="258"/>
      <c r="Z55759" s="258"/>
    </row>
    <row r="55760" spans="1:26" ht="12.75" customHeight="1" x14ac:dyDescent="0.2">
      <c r="A55760" s="258"/>
      <c r="Z55760" s="258"/>
    </row>
    <row r="55761" spans="1:26" ht="12.75" customHeight="1" x14ac:dyDescent="0.2">
      <c r="A55761" s="258"/>
      <c r="Z55761" s="258"/>
    </row>
    <row r="55762" spans="1:26" ht="12.75" customHeight="1" x14ac:dyDescent="0.2">
      <c r="A55762" s="258"/>
      <c r="Z55762" s="258"/>
    </row>
    <row r="55763" spans="1:26" ht="12.75" customHeight="1" x14ac:dyDescent="0.2">
      <c r="A55763" s="258"/>
      <c r="Z55763" s="258"/>
    </row>
    <row r="55764" spans="1:26" ht="12.75" customHeight="1" x14ac:dyDescent="0.2">
      <c r="A55764" s="258"/>
      <c r="Z55764" s="258"/>
    </row>
    <row r="55765" spans="1:26" ht="12.75" customHeight="1" x14ac:dyDescent="0.2">
      <c r="A55765" s="258"/>
      <c r="Z55765" s="258"/>
    </row>
    <row r="55766" spans="1:26" ht="12.75" customHeight="1" x14ac:dyDescent="0.2">
      <c r="A55766" s="258"/>
      <c r="Z55766" s="258"/>
    </row>
    <row r="55767" spans="1:26" ht="12.75" customHeight="1" x14ac:dyDescent="0.2">
      <c r="A55767" s="258"/>
      <c r="Z55767" s="258"/>
    </row>
    <row r="55768" spans="1:26" ht="12.75" customHeight="1" x14ac:dyDescent="0.2">
      <c r="A55768" s="258"/>
      <c r="Z55768" s="258"/>
    </row>
    <row r="55769" spans="1:26" ht="12.75" customHeight="1" x14ac:dyDescent="0.2">
      <c r="A55769" s="258"/>
      <c r="Z55769" s="258"/>
    </row>
    <row r="55770" spans="1:26" ht="12.75" customHeight="1" x14ac:dyDescent="0.2">
      <c r="A55770" s="258"/>
      <c r="Z55770" s="258"/>
    </row>
    <row r="55771" spans="1:26" ht="12.75" customHeight="1" x14ac:dyDescent="0.2">
      <c r="A55771" s="258"/>
      <c r="Z55771" s="258"/>
    </row>
    <row r="55772" spans="1:26" ht="12.75" customHeight="1" x14ac:dyDescent="0.2">
      <c r="A55772" s="258"/>
      <c r="Z55772" s="258"/>
    </row>
    <row r="55773" spans="1:26" ht="12.75" customHeight="1" x14ac:dyDescent="0.2">
      <c r="A55773" s="258"/>
      <c r="Z55773" s="258"/>
    </row>
    <row r="55774" spans="1:26" ht="12.75" customHeight="1" x14ac:dyDescent="0.2">
      <c r="A55774" s="258"/>
      <c r="Z55774" s="258"/>
    </row>
    <row r="55775" spans="1:26" ht="12.75" customHeight="1" x14ac:dyDescent="0.2">
      <c r="A55775" s="258"/>
      <c r="Z55775" s="258"/>
    </row>
    <row r="55776" spans="1:26" ht="12.75" customHeight="1" x14ac:dyDescent="0.2">
      <c r="A55776" s="258"/>
      <c r="Z55776" s="258"/>
    </row>
    <row r="55777" spans="1:26" ht="12.75" customHeight="1" x14ac:dyDescent="0.2">
      <c r="A55777" s="258"/>
      <c r="Z55777" s="258"/>
    </row>
    <row r="55778" spans="1:26" ht="12.75" customHeight="1" x14ac:dyDescent="0.2">
      <c r="A55778" s="258"/>
      <c r="Z55778" s="258"/>
    </row>
    <row r="55779" spans="1:26" ht="12.75" customHeight="1" x14ac:dyDescent="0.2">
      <c r="A55779" s="258"/>
      <c r="Z55779" s="258"/>
    </row>
    <row r="55780" spans="1:26" ht="12.75" customHeight="1" x14ac:dyDescent="0.2">
      <c r="A55780" s="258"/>
      <c r="Z55780" s="258"/>
    </row>
    <row r="55781" spans="1:26" ht="12.75" customHeight="1" x14ac:dyDescent="0.2">
      <c r="A55781" s="258"/>
      <c r="Z55781" s="258"/>
    </row>
    <row r="55782" spans="1:26" ht="12.75" customHeight="1" x14ac:dyDescent="0.2">
      <c r="A55782" s="258"/>
      <c r="Z55782" s="258"/>
    </row>
    <row r="55783" spans="1:26" ht="12.75" customHeight="1" x14ac:dyDescent="0.2">
      <c r="A55783" s="258"/>
      <c r="Z55783" s="258"/>
    </row>
    <row r="55784" spans="1:26" ht="12.75" customHeight="1" x14ac:dyDescent="0.2">
      <c r="A55784" s="258"/>
      <c r="Z55784" s="258"/>
    </row>
    <row r="55785" spans="1:26" ht="12.75" customHeight="1" x14ac:dyDescent="0.2">
      <c r="A55785" s="258"/>
      <c r="Z55785" s="258"/>
    </row>
    <row r="55786" spans="1:26" ht="12.75" customHeight="1" x14ac:dyDescent="0.2">
      <c r="A55786" s="258"/>
      <c r="Z55786" s="258"/>
    </row>
    <row r="55787" spans="1:26" ht="12.75" customHeight="1" x14ac:dyDescent="0.2">
      <c r="A55787" s="258"/>
      <c r="Z55787" s="258"/>
    </row>
    <row r="55788" spans="1:26" ht="12.75" customHeight="1" x14ac:dyDescent="0.2">
      <c r="A55788" s="258"/>
      <c r="Z55788" s="258"/>
    </row>
    <row r="55789" spans="1:26" ht="12.75" customHeight="1" x14ac:dyDescent="0.2">
      <c r="A55789" s="258"/>
      <c r="Z55789" s="258"/>
    </row>
    <row r="55790" spans="1:26" ht="12.75" customHeight="1" x14ac:dyDescent="0.2">
      <c r="A55790" s="258"/>
      <c r="Z55790" s="258"/>
    </row>
    <row r="55791" spans="1:26" ht="12.75" customHeight="1" x14ac:dyDescent="0.2">
      <c r="A55791" s="258"/>
      <c r="Z55791" s="258"/>
    </row>
    <row r="55792" spans="1:26" ht="12.75" customHeight="1" x14ac:dyDescent="0.2">
      <c r="A55792" s="258"/>
      <c r="Z55792" s="258"/>
    </row>
    <row r="55793" spans="1:26" ht="12.75" customHeight="1" x14ac:dyDescent="0.2">
      <c r="A55793" s="258"/>
      <c r="Z55793" s="258"/>
    </row>
    <row r="55794" spans="1:26" ht="12.75" customHeight="1" x14ac:dyDescent="0.2">
      <c r="A55794" s="258"/>
      <c r="Z55794" s="258"/>
    </row>
    <row r="55795" spans="1:26" ht="12.75" customHeight="1" x14ac:dyDescent="0.2">
      <c r="A55795" s="258"/>
      <c r="Z55795" s="258"/>
    </row>
    <row r="55796" spans="1:26" ht="12.75" customHeight="1" x14ac:dyDescent="0.2">
      <c r="A55796" s="258"/>
      <c r="Z55796" s="258"/>
    </row>
    <row r="55797" spans="1:26" ht="12.75" customHeight="1" x14ac:dyDescent="0.2">
      <c r="A55797" s="258"/>
      <c r="Z55797" s="258"/>
    </row>
    <row r="55798" spans="1:26" ht="12.75" customHeight="1" x14ac:dyDescent="0.2">
      <c r="A55798" s="258"/>
      <c r="Z55798" s="258"/>
    </row>
    <row r="55799" spans="1:26" ht="12.75" customHeight="1" x14ac:dyDescent="0.2">
      <c r="A55799" s="258"/>
      <c r="Z55799" s="258"/>
    </row>
    <row r="55800" spans="1:26" ht="12.75" customHeight="1" x14ac:dyDescent="0.2">
      <c r="A55800" s="258"/>
      <c r="Z55800" s="258"/>
    </row>
    <row r="55801" spans="1:26" ht="12.75" customHeight="1" x14ac:dyDescent="0.2">
      <c r="A55801" s="258"/>
      <c r="Z55801" s="258"/>
    </row>
    <row r="55802" spans="1:26" ht="12.75" customHeight="1" x14ac:dyDescent="0.2">
      <c r="A55802" s="258"/>
      <c r="Z55802" s="258"/>
    </row>
    <row r="55803" spans="1:26" ht="12.75" customHeight="1" x14ac:dyDescent="0.2">
      <c r="A55803" s="258"/>
      <c r="Z55803" s="258"/>
    </row>
    <row r="55804" spans="1:26" ht="12.75" customHeight="1" x14ac:dyDescent="0.2">
      <c r="A55804" s="258"/>
      <c r="Z55804" s="258"/>
    </row>
    <row r="55805" spans="1:26" ht="12.75" customHeight="1" x14ac:dyDescent="0.2">
      <c r="A55805" s="258"/>
      <c r="Z55805" s="258"/>
    </row>
    <row r="55806" spans="1:26" ht="12.75" customHeight="1" x14ac:dyDescent="0.2">
      <c r="A55806" s="258"/>
      <c r="Z55806" s="258"/>
    </row>
    <row r="55807" spans="1:26" ht="12.75" customHeight="1" x14ac:dyDescent="0.2">
      <c r="A55807" s="258"/>
      <c r="Z55807" s="258"/>
    </row>
    <row r="55808" spans="1:26" ht="12.75" customHeight="1" x14ac:dyDescent="0.2">
      <c r="A55808" s="258"/>
      <c r="Z55808" s="258"/>
    </row>
    <row r="55809" spans="1:26" ht="12.75" customHeight="1" x14ac:dyDescent="0.2">
      <c r="A55809" s="258"/>
      <c r="Z55809" s="258"/>
    </row>
    <row r="55810" spans="1:26" ht="12.75" customHeight="1" x14ac:dyDescent="0.2">
      <c r="A55810" s="258"/>
      <c r="Z55810" s="258"/>
    </row>
    <row r="55811" spans="1:26" ht="12.75" customHeight="1" x14ac:dyDescent="0.2">
      <c r="A55811" s="258"/>
      <c r="Z55811" s="258"/>
    </row>
    <row r="55812" spans="1:26" ht="12.75" customHeight="1" x14ac:dyDescent="0.2">
      <c r="A55812" s="258"/>
      <c r="Z55812" s="258"/>
    </row>
    <row r="55813" spans="1:26" ht="12.75" customHeight="1" x14ac:dyDescent="0.2">
      <c r="A55813" s="258"/>
      <c r="Z55813" s="258"/>
    </row>
    <row r="55814" spans="1:26" ht="12.75" customHeight="1" x14ac:dyDescent="0.2">
      <c r="A55814" s="258"/>
      <c r="Z55814" s="258"/>
    </row>
    <row r="55815" spans="1:26" ht="12.75" customHeight="1" x14ac:dyDescent="0.2">
      <c r="A55815" s="258"/>
      <c r="Z55815" s="258"/>
    </row>
    <row r="55816" spans="1:26" ht="12.75" customHeight="1" x14ac:dyDescent="0.2">
      <c r="A55816" s="258"/>
      <c r="Z55816" s="258"/>
    </row>
    <row r="55817" spans="1:26" ht="12.75" customHeight="1" x14ac:dyDescent="0.2">
      <c r="A55817" s="258"/>
      <c r="Z55817" s="258"/>
    </row>
    <row r="55818" spans="1:26" ht="12.75" customHeight="1" x14ac:dyDescent="0.2">
      <c r="A55818" s="258"/>
      <c r="Z55818" s="258"/>
    </row>
    <row r="55819" spans="1:26" ht="12.75" customHeight="1" x14ac:dyDescent="0.2">
      <c r="A55819" s="258"/>
      <c r="Z55819" s="258"/>
    </row>
    <row r="55820" spans="1:26" ht="12.75" customHeight="1" x14ac:dyDescent="0.2">
      <c r="A55820" s="258"/>
      <c r="Z55820" s="258"/>
    </row>
    <row r="55821" spans="1:26" ht="12.75" customHeight="1" x14ac:dyDescent="0.2">
      <c r="A55821" s="258"/>
      <c r="Z55821" s="258"/>
    </row>
    <row r="55822" spans="1:26" ht="12.75" customHeight="1" x14ac:dyDescent="0.2">
      <c r="A55822" s="258"/>
      <c r="Z55822" s="258"/>
    </row>
    <row r="55823" spans="1:26" ht="12.75" customHeight="1" x14ac:dyDescent="0.2">
      <c r="A55823" s="258"/>
      <c r="Z55823" s="258"/>
    </row>
    <row r="55824" spans="1:26" ht="12.75" customHeight="1" x14ac:dyDescent="0.2">
      <c r="A55824" s="258"/>
      <c r="Z55824" s="258"/>
    </row>
    <row r="55825" spans="1:26" ht="12.75" customHeight="1" x14ac:dyDescent="0.2">
      <c r="A55825" s="258"/>
      <c r="Z55825" s="258"/>
    </row>
    <row r="55826" spans="1:26" ht="12.75" customHeight="1" x14ac:dyDescent="0.2">
      <c r="A55826" s="258"/>
      <c r="Z55826" s="258"/>
    </row>
    <row r="55827" spans="1:26" ht="12.75" customHeight="1" x14ac:dyDescent="0.2">
      <c r="A55827" s="258"/>
      <c r="Z55827" s="258"/>
    </row>
    <row r="55828" spans="1:26" ht="12.75" customHeight="1" x14ac:dyDescent="0.2">
      <c r="A55828" s="258"/>
      <c r="Z55828" s="258"/>
    </row>
    <row r="55829" spans="1:26" ht="12.75" customHeight="1" x14ac:dyDescent="0.2">
      <c r="A55829" s="258"/>
      <c r="Z55829" s="258"/>
    </row>
    <row r="55830" spans="1:26" ht="12.75" customHeight="1" x14ac:dyDescent="0.2">
      <c r="A55830" s="258"/>
      <c r="Z55830" s="258"/>
    </row>
    <row r="55831" spans="1:26" ht="12.75" customHeight="1" x14ac:dyDescent="0.2">
      <c r="A55831" s="258"/>
      <c r="Z55831" s="258"/>
    </row>
    <row r="55832" spans="1:26" ht="12.75" customHeight="1" x14ac:dyDescent="0.2">
      <c r="A55832" s="258"/>
      <c r="Z55832" s="258"/>
    </row>
    <row r="55833" spans="1:26" ht="12.75" customHeight="1" x14ac:dyDescent="0.2">
      <c r="A55833" s="258"/>
      <c r="Z55833" s="258"/>
    </row>
    <row r="55834" spans="1:26" ht="12.75" customHeight="1" x14ac:dyDescent="0.2">
      <c r="A55834" s="258"/>
      <c r="Z55834" s="258"/>
    </row>
    <row r="55835" spans="1:26" ht="12.75" customHeight="1" x14ac:dyDescent="0.2">
      <c r="A55835" s="258"/>
      <c r="Z55835" s="258"/>
    </row>
    <row r="55836" spans="1:26" ht="12.75" customHeight="1" x14ac:dyDescent="0.2">
      <c r="A55836" s="258"/>
      <c r="Z55836" s="258"/>
    </row>
    <row r="55837" spans="1:26" ht="12.75" customHeight="1" x14ac:dyDescent="0.2">
      <c r="A55837" s="258"/>
      <c r="Z55837" s="258"/>
    </row>
    <row r="55838" spans="1:26" ht="12.75" customHeight="1" x14ac:dyDescent="0.2">
      <c r="A55838" s="258"/>
      <c r="Z55838" s="258"/>
    </row>
    <row r="55839" spans="1:26" ht="12.75" customHeight="1" x14ac:dyDescent="0.2">
      <c r="A55839" s="258"/>
      <c r="Z55839" s="258"/>
    </row>
    <row r="55840" spans="1:26" ht="12.75" customHeight="1" x14ac:dyDescent="0.2">
      <c r="A55840" s="258"/>
      <c r="Z55840" s="258"/>
    </row>
    <row r="55841" spans="1:26" ht="12.75" customHeight="1" x14ac:dyDescent="0.2">
      <c r="A55841" s="258"/>
      <c r="Z55841" s="258"/>
    </row>
    <row r="55842" spans="1:26" ht="12.75" customHeight="1" x14ac:dyDescent="0.2">
      <c r="A55842" s="258"/>
      <c r="Z55842" s="258"/>
    </row>
    <row r="55843" spans="1:26" ht="12.75" customHeight="1" x14ac:dyDescent="0.2">
      <c r="A55843" s="258"/>
      <c r="Z55843" s="258"/>
    </row>
    <row r="55844" spans="1:26" ht="12.75" customHeight="1" x14ac:dyDescent="0.2">
      <c r="A55844" s="258"/>
      <c r="Z55844" s="258"/>
    </row>
    <row r="55845" spans="1:26" ht="12.75" customHeight="1" x14ac:dyDescent="0.2">
      <c r="A55845" s="258"/>
      <c r="Z55845" s="258"/>
    </row>
    <row r="55846" spans="1:26" ht="12.75" customHeight="1" x14ac:dyDescent="0.2">
      <c r="A55846" s="258"/>
      <c r="Z55846" s="258"/>
    </row>
    <row r="55847" spans="1:26" ht="12.75" customHeight="1" x14ac:dyDescent="0.2">
      <c r="A55847" s="258"/>
      <c r="Z55847" s="258"/>
    </row>
    <row r="55848" spans="1:26" ht="12.75" customHeight="1" x14ac:dyDescent="0.2">
      <c r="A55848" s="258"/>
      <c r="Z55848" s="258"/>
    </row>
    <row r="55849" spans="1:26" ht="12.75" customHeight="1" x14ac:dyDescent="0.2">
      <c r="A55849" s="258"/>
      <c r="Z55849" s="258"/>
    </row>
    <row r="55850" spans="1:26" ht="12.75" customHeight="1" x14ac:dyDescent="0.2">
      <c r="A55850" s="258"/>
      <c r="Z55850" s="258"/>
    </row>
    <row r="55851" spans="1:26" ht="12.75" customHeight="1" x14ac:dyDescent="0.2">
      <c r="A55851" s="258"/>
      <c r="Z55851" s="258"/>
    </row>
    <row r="55852" spans="1:26" ht="12.75" customHeight="1" x14ac:dyDescent="0.2">
      <c r="A55852" s="258"/>
      <c r="Z55852" s="258"/>
    </row>
    <row r="55853" spans="1:26" ht="12.75" customHeight="1" x14ac:dyDescent="0.2">
      <c r="A55853" s="258"/>
      <c r="Z55853" s="258"/>
    </row>
    <row r="55854" spans="1:26" ht="12.75" customHeight="1" x14ac:dyDescent="0.2">
      <c r="A55854" s="258"/>
      <c r="Z55854" s="258"/>
    </row>
    <row r="55855" spans="1:26" ht="12.75" customHeight="1" x14ac:dyDescent="0.2">
      <c r="A55855" s="258"/>
      <c r="Z55855" s="258"/>
    </row>
    <row r="55856" spans="1:26" ht="12.75" customHeight="1" x14ac:dyDescent="0.2">
      <c r="A55856" s="258"/>
      <c r="Z55856" s="258"/>
    </row>
    <row r="55857" spans="1:26" ht="12.75" customHeight="1" x14ac:dyDescent="0.2">
      <c r="A55857" s="258"/>
      <c r="Z55857" s="258"/>
    </row>
    <row r="55858" spans="1:26" ht="12.75" customHeight="1" x14ac:dyDescent="0.2">
      <c r="A55858" s="258"/>
      <c r="Z55858" s="258"/>
    </row>
    <row r="55859" spans="1:26" ht="12.75" customHeight="1" x14ac:dyDescent="0.2">
      <c r="A55859" s="258"/>
      <c r="Z55859" s="258"/>
    </row>
    <row r="55860" spans="1:26" ht="12.75" customHeight="1" x14ac:dyDescent="0.2">
      <c r="A55860" s="258"/>
      <c r="Z55860" s="258"/>
    </row>
    <row r="55861" spans="1:26" ht="12.75" customHeight="1" x14ac:dyDescent="0.2">
      <c r="A55861" s="258"/>
      <c r="Z55861" s="258"/>
    </row>
    <row r="55862" spans="1:26" ht="12.75" customHeight="1" x14ac:dyDescent="0.2">
      <c r="A55862" s="258"/>
      <c r="Z55862" s="258"/>
    </row>
    <row r="55863" spans="1:26" ht="12.75" customHeight="1" x14ac:dyDescent="0.2">
      <c r="A55863" s="258"/>
      <c r="Z55863" s="258"/>
    </row>
    <row r="55864" spans="1:26" ht="12.75" customHeight="1" x14ac:dyDescent="0.2">
      <c r="A55864" s="258"/>
      <c r="Z55864" s="258"/>
    </row>
    <row r="55865" spans="1:26" ht="12.75" customHeight="1" x14ac:dyDescent="0.2">
      <c r="A55865" s="258"/>
      <c r="Z55865" s="258"/>
    </row>
    <row r="55866" spans="1:26" ht="12.75" customHeight="1" x14ac:dyDescent="0.2">
      <c r="A55866" s="258"/>
      <c r="Z55866" s="258"/>
    </row>
    <row r="55867" spans="1:26" ht="12.75" customHeight="1" x14ac:dyDescent="0.2">
      <c r="A55867" s="258"/>
      <c r="Z55867" s="258"/>
    </row>
    <row r="55868" spans="1:26" ht="12.75" customHeight="1" x14ac:dyDescent="0.2">
      <c r="A55868" s="258"/>
      <c r="Z55868" s="258"/>
    </row>
    <row r="55869" spans="1:26" ht="12.75" customHeight="1" x14ac:dyDescent="0.2">
      <c r="A55869" s="258"/>
      <c r="Z55869" s="258"/>
    </row>
    <row r="55870" spans="1:26" ht="12.75" customHeight="1" x14ac:dyDescent="0.2">
      <c r="A55870" s="258"/>
      <c r="Z55870" s="258"/>
    </row>
    <row r="55871" spans="1:26" ht="12.75" customHeight="1" x14ac:dyDescent="0.2">
      <c r="A55871" s="258"/>
      <c r="Z55871" s="258"/>
    </row>
    <row r="55872" spans="1:26" ht="12.75" customHeight="1" x14ac:dyDescent="0.2">
      <c r="A55872" s="258"/>
      <c r="Z55872" s="258"/>
    </row>
    <row r="55873" spans="1:26" ht="12.75" customHeight="1" x14ac:dyDescent="0.2">
      <c r="A55873" s="258"/>
      <c r="Z55873" s="258"/>
    </row>
    <row r="55874" spans="1:26" ht="12.75" customHeight="1" x14ac:dyDescent="0.2">
      <c r="A55874" s="258"/>
      <c r="Z55874" s="258"/>
    </row>
    <row r="55875" spans="1:26" ht="12.75" customHeight="1" x14ac:dyDescent="0.2">
      <c r="A55875" s="258"/>
      <c r="Z55875" s="258"/>
    </row>
    <row r="55876" spans="1:26" ht="12.75" customHeight="1" x14ac:dyDescent="0.2">
      <c r="A55876" s="258"/>
      <c r="Z55876" s="258"/>
    </row>
    <row r="55877" spans="1:26" ht="12.75" customHeight="1" x14ac:dyDescent="0.2">
      <c r="A55877" s="258"/>
      <c r="Z55877" s="258"/>
    </row>
    <row r="55878" spans="1:26" ht="12.75" customHeight="1" x14ac:dyDescent="0.2">
      <c r="A55878" s="258"/>
      <c r="Z55878" s="258"/>
    </row>
    <row r="55879" spans="1:26" ht="12.75" customHeight="1" x14ac:dyDescent="0.2">
      <c r="A55879" s="258"/>
      <c r="Z55879" s="258"/>
    </row>
    <row r="55880" spans="1:26" ht="12.75" customHeight="1" x14ac:dyDescent="0.2">
      <c r="A55880" s="258"/>
      <c r="Z55880" s="258"/>
    </row>
    <row r="55881" spans="1:26" ht="12.75" customHeight="1" x14ac:dyDescent="0.2">
      <c r="A55881" s="258"/>
      <c r="Z55881" s="258"/>
    </row>
    <row r="55882" spans="1:26" ht="12.75" customHeight="1" x14ac:dyDescent="0.2">
      <c r="A55882" s="258"/>
      <c r="Z55882" s="258"/>
    </row>
    <row r="55883" spans="1:26" ht="12.75" customHeight="1" x14ac:dyDescent="0.2">
      <c r="A55883" s="258"/>
      <c r="Z55883" s="258"/>
    </row>
    <row r="55884" spans="1:26" ht="12.75" customHeight="1" x14ac:dyDescent="0.2">
      <c r="A55884" s="258"/>
      <c r="Z55884" s="258"/>
    </row>
    <row r="55885" spans="1:26" ht="12.75" customHeight="1" x14ac:dyDescent="0.2">
      <c r="A55885" s="258"/>
      <c r="Z55885" s="258"/>
    </row>
    <row r="55886" spans="1:26" ht="12.75" customHeight="1" x14ac:dyDescent="0.2">
      <c r="A55886" s="258"/>
      <c r="Z55886" s="258"/>
    </row>
    <row r="55887" spans="1:26" ht="12.75" customHeight="1" x14ac:dyDescent="0.2">
      <c r="A55887" s="258"/>
      <c r="Z55887" s="258"/>
    </row>
    <row r="55888" spans="1:26" ht="12.75" customHeight="1" x14ac:dyDescent="0.2">
      <c r="A55888" s="258"/>
      <c r="Z55888" s="258"/>
    </row>
    <row r="55889" spans="1:26" ht="12.75" customHeight="1" x14ac:dyDescent="0.2">
      <c r="A55889" s="258"/>
      <c r="Z55889" s="258"/>
    </row>
    <row r="55890" spans="1:26" ht="12.75" customHeight="1" x14ac:dyDescent="0.2">
      <c r="A55890" s="258"/>
      <c r="Z55890" s="258"/>
    </row>
    <row r="55891" spans="1:26" ht="12.75" customHeight="1" x14ac:dyDescent="0.2">
      <c r="A55891" s="258"/>
      <c r="Z55891" s="258"/>
    </row>
    <row r="55892" spans="1:26" ht="12.75" customHeight="1" x14ac:dyDescent="0.2">
      <c r="A55892" s="258"/>
      <c r="Z55892" s="258"/>
    </row>
    <row r="55893" spans="1:26" ht="12.75" customHeight="1" x14ac:dyDescent="0.2">
      <c r="A55893" s="258"/>
      <c r="Z55893" s="258"/>
    </row>
    <row r="55894" spans="1:26" ht="12.75" customHeight="1" x14ac:dyDescent="0.2">
      <c r="A55894" s="258"/>
      <c r="Z55894" s="258"/>
    </row>
    <row r="55895" spans="1:26" ht="12.75" customHeight="1" x14ac:dyDescent="0.2">
      <c r="A55895" s="258"/>
      <c r="Z55895" s="258"/>
    </row>
    <row r="55896" spans="1:26" ht="12.75" customHeight="1" x14ac:dyDescent="0.2">
      <c r="A55896" s="258"/>
      <c r="Z55896" s="258"/>
    </row>
    <row r="55897" spans="1:26" ht="12.75" customHeight="1" x14ac:dyDescent="0.2">
      <c r="A55897" s="258"/>
      <c r="Z55897" s="258"/>
    </row>
    <row r="55898" spans="1:26" ht="12.75" customHeight="1" x14ac:dyDescent="0.2">
      <c r="A55898" s="258"/>
      <c r="Z55898" s="258"/>
    </row>
    <row r="55899" spans="1:26" ht="12.75" customHeight="1" x14ac:dyDescent="0.2">
      <c r="A55899" s="258"/>
      <c r="Z55899" s="258"/>
    </row>
    <row r="55900" spans="1:26" ht="12.75" customHeight="1" x14ac:dyDescent="0.2">
      <c r="A55900" s="258"/>
      <c r="Z55900" s="258"/>
    </row>
    <row r="55901" spans="1:26" ht="12.75" customHeight="1" x14ac:dyDescent="0.2">
      <c r="A55901" s="258"/>
      <c r="Z55901" s="258"/>
    </row>
    <row r="55902" spans="1:26" ht="12.75" customHeight="1" x14ac:dyDescent="0.2">
      <c r="A55902" s="258"/>
      <c r="Z55902" s="258"/>
    </row>
    <row r="55903" spans="1:26" ht="12.75" customHeight="1" x14ac:dyDescent="0.2">
      <c r="A55903" s="258"/>
      <c r="Z55903" s="258"/>
    </row>
    <row r="55904" spans="1:26" ht="12.75" customHeight="1" x14ac:dyDescent="0.2">
      <c r="A55904" s="258"/>
      <c r="Z55904" s="258"/>
    </row>
    <row r="55905" spans="1:26" ht="12.75" customHeight="1" x14ac:dyDescent="0.2">
      <c r="A55905" s="258"/>
      <c r="Z55905" s="258"/>
    </row>
    <row r="55906" spans="1:26" ht="12.75" customHeight="1" x14ac:dyDescent="0.2">
      <c r="A55906" s="258"/>
      <c r="Z55906" s="258"/>
    </row>
    <row r="55907" spans="1:26" ht="12.75" customHeight="1" x14ac:dyDescent="0.2">
      <c r="A55907" s="258"/>
      <c r="Z55907" s="258"/>
    </row>
    <row r="55908" spans="1:26" ht="12.75" customHeight="1" x14ac:dyDescent="0.2">
      <c r="A55908" s="258"/>
      <c r="Z55908" s="258"/>
    </row>
    <row r="55909" spans="1:26" ht="12.75" customHeight="1" x14ac:dyDescent="0.2">
      <c r="A55909" s="258"/>
      <c r="Z55909" s="258"/>
    </row>
    <row r="55910" spans="1:26" ht="12.75" customHeight="1" x14ac:dyDescent="0.2">
      <c r="A55910" s="258"/>
      <c r="Z55910" s="258"/>
    </row>
    <row r="55911" spans="1:26" ht="12.75" customHeight="1" x14ac:dyDescent="0.2">
      <c r="A55911" s="258"/>
      <c r="Z55911" s="258"/>
    </row>
    <row r="55912" spans="1:26" ht="12.75" customHeight="1" x14ac:dyDescent="0.2">
      <c r="A55912" s="258"/>
      <c r="Z55912" s="258"/>
    </row>
    <row r="55913" spans="1:26" ht="12.75" customHeight="1" x14ac:dyDescent="0.2">
      <c r="A55913" s="258"/>
      <c r="Z55913" s="258"/>
    </row>
    <row r="55914" spans="1:26" ht="12.75" customHeight="1" x14ac:dyDescent="0.2">
      <c r="A55914" s="258"/>
      <c r="Z55914" s="258"/>
    </row>
    <row r="55915" spans="1:26" ht="12.75" customHeight="1" x14ac:dyDescent="0.2">
      <c r="A55915" s="258"/>
      <c r="Z55915" s="258"/>
    </row>
    <row r="55916" spans="1:26" ht="12.75" customHeight="1" x14ac:dyDescent="0.2">
      <c r="A55916" s="258"/>
      <c r="Z55916" s="258"/>
    </row>
    <row r="55917" spans="1:26" ht="12.75" customHeight="1" x14ac:dyDescent="0.2">
      <c r="A55917" s="258"/>
      <c r="Z55917" s="258"/>
    </row>
    <row r="55918" spans="1:26" ht="12.75" customHeight="1" x14ac:dyDescent="0.2">
      <c r="A55918" s="258"/>
      <c r="Z55918" s="258"/>
    </row>
    <row r="55919" spans="1:26" ht="12.75" customHeight="1" x14ac:dyDescent="0.2">
      <c r="A55919" s="258"/>
      <c r="Z55919" s="258"/>
    </row>
    <row r="55920" spans="1:26" ht="12.75" customHeight="1" x14ac:dyDescent="0.2">
      <c r="A55920" s="258"/>
      <c r="Z55920" s="258"/>
    </row>
    <row r="55921" spans="1:26" ht="12.75" customHeight="1" x14ac:dyDescent="0.2">
      <c r="A55921" s="258"/>
      <c r="Z55921" s="258"/>
    </row>
    <row r="55922" spans="1:26" ht="12.75" customHeight="1" x14ac:dyDescent="0.2">
      <c r="A55922" s="258"/>
      <c r="Z55922" s="258"/>
    </row>
    <row r="55923" spans="1:26" ht="12.75" customHeight="1" x14ac:dyDescent="0.2">
      <c r="A55923" s="258"/>
      <c r="Z55923" s="258"/>
    </row>
    <row r="55924" spans="1:26" ht="12.75" customHeight="1" x14ac:dyDescent="0.2">
      <c r="A55924" s="258"/>
      <c r="Z55924" s="258"/>
    </row>
    <row r="55925" spans="1:26" ht="12.75" customHeight="1" x14ac:dyDescent="0.2">
      <c r="A55925" s="258"/>
      <c r="Z55925" s="258"/>
    </row>
    <row r="55926" spans="1:26" ht="12.75" customHeight="1" x14ac:dyDescent="0.2">
      <c r="A55926" s="258"/>
      <c r="Z55926" s="258"/>
    </row>
    <row r="55927" spans="1:26" ht="12.75" customHeight="1" x14ac:dyDescent="0.2">
      <c r="A55927" s="258"/>
      <c r="Z55927" s="258"/>
    </row>
    <row r="55928" spans="1:26" ht="12.75" customHeight="1" x14ac:dyDescent="0.2">
      <c r="A55928" s="258"/>
      <c r="Z55928" s="258"/>
    </row>
    <row r="55929" spans="1:26" ht="12.75" customHeight="1" x14ac:dyDescent="0.2">
      <c r="A55929" s="258"/>
      <c r="Z55929" s="258"/>
    </row>
    <row r="55930" spans="1:26" ht="12.75" customHeight="1" x14ac:dyDescent="0.2">
      <c r="A55930" s="258"/>
      <c r="Z55930" s="258"/>
    </row>
    <row r="55931" spans="1:26" ht="12.75" customHeight="1" x14ac:dyDescent="0.2">
      <c r="A55931" s="258"/>
      <c r="Z55931" s="258"/>
    </row>
    <row r="55932" spans="1:26" ht="12.75" customHeight="1" x14ac:dyDescent="0.2">
      <c r="A55932" s="258"/>
      <c r="Z55932" s="258"/>
    </row>
    <row r="55933" spans="1:26" ht="12.75" customHeight="1" x14ac:dyDescent="0.2">
      <c r="A55933" s="258"/>
      <c r="Z55933" s="258"/>
    </row>
    <row r="55934" spans="1:26" ht="12.75" customHeight="1" x14ac:dyDescent="0.2">
      <c r="A55934" s="258"/>
      <c r="Z55934" s="258"/>
    </row>
    <row r="55935" spans="1:26" ht="12.75" customHeight="1" x14ac:dyDescent="0.2">
      <c r="A55935" s="258"/>
      <c r="Z55935" s="258"/>
    </row>
    <row r="55936" spans="1:26" ht="12.75" customHeight="1" x14ac:dyDescent="0.2">
      <c r="A55936" s="258"/>
      <c r="Z55936" s="258"/>
    </row>
    <row r="55937" spans="1:26" ht="12.75" customHeight="1" x14ac:dyDescent="0.2">
      <c r="A55937" s="258"/>
      <c r="Z55937" s="258"/>
    </row>
    <row r="55938" spans="1:26" ht="12.75" customHeight="1" x14ac:dyDescent="0.2">
      <c r="A55938" s="258"/>
      <c r="Z55938" s="258"/>
    </row>
    <row r="55939" spans="1:26" ht="12.75" customHeight="1" x14ac:dyDescent="0.2">
      <c r="A55939" s="258"/>
      <c r="Z55939" s="258"/>
    </row>
    <row r="55940" spans="1:26" ht="12.75" customHeight="1" x14ac:dyDescent="0.2">
      <c r="A55940" s="258"/>
      <c r="Z55940" s="258"/>
    </row>
    <row r="55941" spans="1:26" ht="12.75" customHeight="1" x14ac:dyDescent="0.2">
      <c r="A55941" s="258"/>
      <c r="Z55941" s="258"/>
    </row>
    <row r="55942" spans="1:26" ht="12.75" customHeight="1" x14ac:dyDescent="0.2">
      <c r="A55942" s="258"/>
      <c r="Z55942" s="258"/>
    </row>
    <row r="55943" spans="1:26" ht="12.75" customHeight="1" x14ac:dyDescent="0.2">
      <c r="A55943" s="258"/>
      <c r="Z55943" s="258"/>
    </row>
    <row r="55944" spans="1:26" ht="12.75" customHeight="1" x14ac:dyDescent="0.2">
      <c r="A55944" s="258"/>
      <c r="Z55944" s="258"/>
    </row>
    <row r="55945" spans="1:26" ht="12.75" customHeight="1" x14ac:dyDescent="0.2">
      <c r="A55945" s="258"/>
      <c r="Z55945" s="258"/>
    </row>
    <row r="55946" spans="1:26" ht="12.75" customHeight="1" x14ac:dyDescent="0.2">
      <c r="A55946" s="258"/>
      <c r="Z55946" s="258"/>
    </row>
    <row r="55947" spans="1:26" ht="12.75" customHeight="1" x14ac:dyDescent="0.2">
      <c r="A55947" s="258"/>
      <c r="Z55947" s="258"/>
    </row>
    <row r="55948" spans="1:26" ht="12.75" customHeight="1" x14ac:dyDescent="0.2">
      <c r="A55948" s="258"/>
      <c r="Z55948" s="258"/>
    </row>
    <row r="55949" spans="1:26" ht="12.75" customHeight="1" x14ac:dyDescent="0.2">
      <c r="A55949" s="258"/>
      <c r="Z55949" s="258"/>
    </row>
    <row r="55950" spans="1:26" ht="12.75" customHeight="1" x14ac:dyDescent="0.2">
      <c r="A55950" s="258"/>
      <c r="Z55950" s="258"/>
    </row>
    <row r="55951" spans="1:26" ht="12.75" customHeight="1" x14ac:dyDescent="0.2">
      <c r="A55951" s="258"/>
      <c r="Z55951" s="258"/>
    </row>
    <row r="55952" spans="1:26" ht="12.75" customHeight="1" x14ac:dyDescent="0.2">
      <c r="A55952" s="258"/>
      <c r="Z55952" s="258"/>
    </row>
    <row r="55953" spans="1:26" ht="12.75" customHeight="1" x14ac:dyDescent="0.2">
      <c r="A55953" s="258"/>
      <c r="Z55953" s="258"/>
    </row>
    <row r="55954" spans="1:26" ht="12.75" customHeight="1" x14ac:dyDescent="0.2">
      <c r="A55954" s="258"/>
      <c r="Z55954" s="258"/>
    </row>
    <row r="55955" spans="1:26" ht="12.75" customHeight="1" x14ac:dyDescent="0.2">
      <c r="A55955" s="258"/>
      <c r="Z55955" s="258"/>
    </row>
    <row r="55956" spans="1:26" ht="12.75" customHeight="1" x14ac:dyDescent="0.2">
      <c r="A55956" s="258"/>
      <c r="Z55956" s="258"/>
    </row>
    <row r="55957" spans="1:26" ht="12.75" customHeight="1" x14ac:dyDescent="0.2">
      <c r="A55957" s="258"/>
      <c r="Z55957" s="258"/>
    </row>
    <row r="55958" spans="1:26" ht="12.75" customHeight="1" x14ac:dyDescent="0.2">
      <c r="A55958" s="258"/>
      <c r="Z55958" s="258"/>
    </row>
    <row r="55959" spans="1:26" ht="12.75" customHeight="1" x14ac:dyDescent="0.2">
      <c r="A55959" s="258"/>
      <c r="Z55959" s="258"/>
    </row>
    <row r="55960" spans="1:26" ht="12.75" customHeight="1" x14ac:dyDescent="0.2">
      <c r="A55960" s="258"/>
      <c r="Z55960" s="258"/>
    </row>
    <row r="55961" spans="1:26" ht="12.75" customHeight="1" x14ac:dyDescent="0.2">
      <c r="A55961" s="258"/>
      <c r="Z55961" s="258"/>
    </row>
    <row r="55962" spans="1:26" ht="12.75" customHeight="1" x14ac:dyDescent="0.2">
      <c r="A55962" s="258"/>
      <c r="Z55962" s="258"/>
    </row>
    <row r="55963" spans="1:26" ht="12.75" customHeight="1" x14ac:dyDescent="0.2">
      <c r="A55963" s="258"/>
      <c r="Z55963" s="258"/>
    </row>
    <row r="55964" spans="1:26" ht="12.75" customHeight="1" x14ac:dyDescent="0.2">
      <c r="A55964" s="258"/>
      <c r="Z55964" s="258"/>
    </row>
    <row r="55965" spans="1:26" ht="12.75" customHeight="1" x14ac:dyDescent="0.2">
      <c r="A55965" s="258"/>
      <c r="Z55965" s="258"/>
    </row>
    <row r="55966" spans="1:26" ht="12.75" customHeight="1" x14ac:dyDescent="0.2">
      <c r="A55966" s="258"/>
      <c r="Z55966" s="258"/>
    </row>
    <row r="55967" spans="1:26" ht="12.75" customHeight="1" x14ac:dyDescent="0.2">
      <c r="A55967" s="258"/>
      <c r="Z55967" s="258"/>
    </row>
    <row r="55968" spans="1:26" ht="12.75" customHeight="1" x14ac:dyDescent="0.2">
      <c r="A55968" s="258"/>
      <c r="Z55968" s="258"/>
    </row>
    <row r="55969" spans="1:26" ht="12.75" customHeight="1" x14ac:dyDescent="0.2">
      <c r="A55969" s="258"/>
      <c r="Z55969" s="258"/>
    </row>
    <row r="55970" spans="1:26" ht="12.75" customHeight="1" x14ac:dyDescent="0.2">
      <c r="A55970" s="258"/>
      <c r="Z55970" s="258"/>
    </row>
    <row r="55971" spans="1:26" ht="12.75" customHeight="1" x14ac:dyDescent="0.2">
      <c r="A55971" s="258"/>
      <c r="Z55971" s="258"/>
    </row>
    <row r="55972" spans="1:26" ht="12.75" customHeight="1" x14ac:dyDescent="0.2">
      <c r="A55972" s="258"/>
      <c r="Z55972" s="258"/>
    </row>
    <row r="55973" spans="1:26" ht="12.75" customHeight="1" x14ac:dyDescent="0.2">
      <c r="A55973" s="258"/>
      <c r="Z55973" s="258"/>
    </row>
    <row r="55974" spans="1:26" ht="12.75" customHeight="1" x14ac:dyDescent="0.2">
      <c r="A55974" s="258"/>
      <c r="Z55974" s="258"/>
    </row>
    <row r="55975" spans="1:26" ht="12.75" customHeight="1" x14ac:dyDescent="0.2">
      <c r="A55975" s="258"/>
      <c r="Z55975" s="258"/>
    </row>
    <row r="55976" spans="1:26" ht="12.75" customHeight="1" x14ac:dyDescent="0.2">
      <c r="A55976" s="258"/>
      <c r="Z55976" s="258"/>
    </row>
    <row r="55977" spans="1:26" ht="12.75" customHeight="1" x14ac:dyDescent="0.2">
      <c r="A55977" s="258"/>
      <c r="Z55977" s="258"/>
    </row>
    <row r="55978" spans="1:26" ht="12.75" customHeight="1" x14ac:dyDescent="0.2">
      <c r="A55978" s="258"/>
      <c r="Z55978" s="258"/>
    </row>
    <row r="55979" spans="1:26" ht="12.75" customHeight="1" x14ac:dyDescent="0.2">
      <c r="A55979" s="258"/>
      <c r="Z55979" s="258"/>
    </row>
    <row r="55980" spans="1:26" ht="12.75" customHeight="1" x14ac:dyDescent="0.2">
      <c r="A55980" s="258"/>
      <c r="Z55980" s="258"/>
    </row>
    <row r="55981" spans="1:26" ht="12.75" customHeight="1" x14ac:dyDescent="0.2">
      <c r="A55981" s="258"/>
      <c r="Z55981" s="258"/>
    </row>
    <row r="55982" spans="1:26" ht="12.75" customHeight="1" x14ac:dyDescent="0.2">
      <c r="A55982" s="258"/>
      <c r="Z55982" s="258"/>
    </row>
    <row r="55983" spans="1:26" ht="12.75" customHeight="1" x14ac:dyDescent="0.2">
      <c r="A55983" s="258"/>
      <c r="Z55983" s="258"/>
    </row>
    <row r="55984" spans="1:26" ht="12.75" customHeight="1" x14ac:dyDescent="0.2">
      <c r="A55984" s="258"/>
      <c r="Z55984" s="258"/>
    </row>
    <row r="55985" spans="1:26" ht="12.75" customHeight="1" x14ac:dyDescent="0.2">
      <c r="A55985" s="258"/>
      <c r="Z55985" s="258"/>
    </row>
    <row r="55986" spans="1:26" ht="12.75" customHeight="1" x14ac:dyDescent="0.2">
      <c r="A55986" s="258"/>
      <c r="Z55986" s="258"/>
    </row>
    <row r="55987" spans="1:26" ht="12.75" customHeight="1" x14ac:dyDescent="0.2">
      <c r="A55987" s="258"/>
      <c r="Z55987" s="258"/>
    </row>
    <row r="55988" spans="1:26" ht="12.75" customHeight="1" x14ac:dyDescent="0.2">
      <c r="A55988" s="258"/>
      <c r="Z55988" s="258"/>
    </row>
    <row r="55989" spans="1:26" ht="12.75" customHeight="1" x14ac:dyDescent="0.2">
      <c r="A55989" s="258"/>
      <c r="Z55989" s="258"/>
    </row>
    <row r="55990" spans="1:26" ht="12.75" customHeight="1" x14ac:dyDescent="0.2">
      <c r="A55990" s="258"/>
      <c r="Z55990" s="258"/>
    </row>
    <row r="55991" spans="1:26" ht="12.75" customHeight="1" x14ac:dyDescent="0.2">
      <c r="A55991" s="258"/>
      <c r="Z55991" s="258"/>
    </row>
    <row r="55992" spans="1:26" ht="12.75" customHeight="1" x14ac:dyDescent="0.2">
      <c r="A55992" s="258"/>
      <c r="Z55992" s="258"/>
    </row>
    <row r="55993" spans="1:26" ht="12.75" customHeight="1" x14ac:dyDescent="0.2">
      <c r="A55993" s="258"/>
      <c r="Z55993" s="258"/>
    </row>
    <row r="55994" spans="1:26" ht="12.75" customHeight="1" x14ac:dyDescent="0.2">
      <c r="A55994" s="258"/>
      <c r="Z55994" s="258"/>
    </row>
    <row r="55995" spans="1:26" ht="12.75" customHeight="1" x14ac:dyDescent="0.2">
      <c r="A55995" s="258"/>
      <c r="Z55995" s="258"/>
    </row>
    <row r="55996" spans="1:26" ht="12.75" customHeight="1" x14ac:dyDescent="0.2">
      <c r="A55996" s="258"/>
      <c r="Z55996" s="258"/>
    </row>
    <row r="55997" spans="1:26" ht="12.75" customHeight="1" x14ac:dyDescent="0.2">
      <c r="A55997" s="258"/>
      <c r="Z55997" s="258"/>
    </row>
    <row r="55998" spans="1:26" ht="12.75" customHeight="1" x14ac:dyDescent="0.2">
      <c r="A55998" s="258"/>
      <c r="Z55998" s="258"/>
    </row>
    <row r="55999" spans="1:26" ht="12.75" customHeight="1" x14ac:dyDescent="0.2">
      <c r="A55999" s="258"/>
      <c r="Z55999" s="258"/>
    </row>
    <row r="56000" spans="1:26" ht="12.75" customHeight="1" x14ac:dyDescent="0.2">
      <c r="A56000" s="258"/>
      <c r="Z56000" s="258"/>
    </row>
    <row r="56001" spans="1:26" ht="12.75" customHeight="1" x14ac:dyDescent="0.2">
      <c r="A56001" s="258"/>
      <c r="Z56001" s="258"/>
    </row>
    <row r="56002" spans="1:26" ht="12.75" customHeight="1" x14ac:dyDescent="0.2">
      <c r="A56002" s="258"/>
      <c r="Z56002" s="258"/>
    </row>
    <row r="56003" spans="1:26" ht="12.75" customHeight="1" x14ac:dyDescent="0.2">
      <c r="A56003" s="258"/>
      <c r="Z56003" s="258"/>
    </row>
    <row r="56004" spans="1:26" ht="12.75" customHeight="1" x14ac:dyDescent="0.2">
      <c r="A56004" s="258"/>
      <c r="Z56004" s="258"/>
    </row>
    <row r="56005" spans="1:26" ht="12.75" customHeight="1" x14ac:dyDescent="0.2">
      <c r="A56005" s="258"/>
      <c r="Z56005" s="258"/>
    </row>
    <row r="56006" spans="1:26" ht="12.75" customHeight="1" x14ac:dyDescent="0.2">
      <c r="A56006" s="258"/>
      <c r="Z56006" s="258"/>
    </row>
    <row r="56007" spans="1:26" ht="12.75" customHeight="1" x14ac:dyDescent="0.2">
      <c r="A56007" s="258"/>
      <c r="Z56007" s="258"/>
    </row>
    <row r="56008" spans="1:26" ht="12.75" customHeight="1" x14ac:dyDescent="0.2">
      <c r="A56008" s="258"/>
      <c r="Z56008" s="258"/>
    </row>
    <row r="56009" spans="1:26" ht="12.75" customHeight="1" x14ac:dyDescent="0.2">
      <c r="A56009" s="258"/>
      <c r="Z56009" s="258"/>
    </row>
    <row r="56010" spans="1:26" ht="12.75" customHeight="1" x14ac:dyDescent="0.2">
      <c r="A56010" s="258"/>
      <c r="Z56010" s="258"/>
    </row>
    <row r="56011" spans="1:26" ht="12.75" customHeight="1" x14ac:dyDescent="0.2">
      <c r="A56011" s="258"/>
      <c r="Z56011" s="258"/>
    </row>
    <row r="56012" spans="1:26" ht="12.75" customHeight="1" x14ac:dyDescent="0.2">
      <c r="A56012" s="258"/>
      <c r="Z56012" s="258"/>
    </row>
    <row r="56013" spans="1:26" ht="12.75" customHeight="1" x14ac:dyDescent="0.2">
      <c r="A56013" s="258"/>
      <c r="Z56013" s="258"/>
    </row>
    <row r="56014" spans="1:26" ht="12.75" customHeight="1" x14ac:dyDescent="0.2">
      <c r="A56014" s="258"/>
      <c r="Z56014" s="258"/>
    </row>
    <row r="56015" spans="1:26" ht="12.75" customHeight="1" x14ac:dyDescent="0.2">
      <c r="A56015" s="258"/>
      <c r="Z56015" s="258"/>
    </row>
    <row r="56016" spans="1:26" ht="12.75" customHeight="1" x14ac:dyDescent="0.2">
      <c r="A56016" s="258"/>
      <c r="Z56016" s="258"/>
    </row>
    <row r="56017" spans="1:26" ht="12.75" customHeight="1" x14ac:dyDescent="0.2">
      <c r="A56017" s="258"/>
      <c r="Z56017" s="258"/>
    </row>
    <row r="56018" spans="1:26" ht="12.75" customHeight="1" x14ac:dyDescent="0.2">
      <c r="A56018" s="258"/>
      <c r="Z56018" s="258"/>
    </row>
    <row r="56019" spans="1:26" ht="12.75" customHeight="1" x14ac:dyDescent="0.2">
      <c r="A56019" s="258"/>
      <c r="Z56019" s="258"/>
    </row>
    <row r="56020" spans="1:26" ht="12.75" customHeight="1" x14ac:dyDescent="0.2">
      <c r="A56020" s="258"/>
      <c r="Z56020" s="258"/>
    </row>
    <row r="56021" spans="1:26" ht="12.75" customHeight="1" x14ac:dyDescent="0.2">
      <c r="A56021" s="258"/>
      <c r="Z56021" s="258"/>
    </row>
    <row r="56022" spans="1:26" ht="12.75" customHeight="1" x14ac:dyDescent="0.2">
      <c r="A56022" s="258"/>
      <c r="Z56022" s="258"/>
    </row>
    <row r="56023" spans="1:26" ht="12.75" customHeight="1" x14ac:dyDescent="0.2">
      <c r="A56023" s="258"/>
      <c r="Z56023" s="258"/>
    </row>
    <row r="56024" spans="1:26" ht="12.75" customHeight="1" x14ac:dyDescent="0.2">
      <c r="A56024" s="258"/>
      <c r="Z56024" s="258"/>
    </row>
    <row r="56025" spans="1:26" ht="12.75" customHeight="1" x14ac:dyDescent="0.2">
      <c r="A56025" s="258"/>
      <c r="Z56025" s="258"/>
    </row>
    <row r="56026" spans="1:26" ht="12.75" customHeight="1" x14ac:dyDescent="0.2">
      <c r="A56026" s="258"/>
      <c r="Z56026" s="258"/>
    </row>
    <row r="56027" spans="1:26" ht="12.75" customHeight="1" x14ac:dyDescent="0.2">
      <c r="A56027" s="258"/>
      <c r="Z56027" s="258"/>
    </row>
    <row r="56028" spans="1:26" ht="12.75" customHeight="1" x14ac:dyDescent="0.2">
      <c r="A56028" s="258"/>
      <c r="Z56028" s="258"/>
    </row>
    <row r="56029" spans="1:26" ht="12.75" customHeight="1" x14ac:dyDescent="0.2">
      <c r="A56029" s="258"/>
      <c r="Z56029" s="258"/>
    </row>
    <row r="56030" spans="1:26" ht="12.75" customHeight="1" x14ac:dyDescent="0.2">
      <c r="A56030" s="258"/>
      <c r="Z56030" s="258"/>
    </row>
    <row r="56031" spans="1:26" ht="12.75" customHeight="1" x14ac:dyDescent="0.2">
      <c r="A56031" s="258"/>
      <c r="Z56031" s="258"/>
    </row>
    <row r="56032" spans="1:26" ht="12.75" customHeight="1" x14ac:dyDescent="0.2">
      <c r="A56032" s="258"/>
      <c r="Z56032" s="258"/>
    </row>
    <row r="56033" spans="1:26" ht="12.75" customHeight="1" x14ac:dyDescent="0.2">
      <c r="A56033" s="258"/>
      <c r="Z56033" s="258"/>
    </row>
    <row r="56034" spans="1:26" ht="12.75" customHeight="1" x14ac:dyDescent="0.2">
      <c r="A56034" s="258"/>
      <c r="Z56034" s="258"/>
    </row>
    <row r="56035" spans="1:26" ht="12.75" customHeight="1" x14ac:dyDescent="0.2">
      <c r="A56035" s="258"/>
      <c r="Z56035" s="258"/>
    </row>
    <row r="56036" spans="1:26" ht="12.75" customHeight="1" x14ac:dyDescent="0.2">
      <c r="A56036" s="258"/>
      <c r="Z56036" s="258"/>
    </row>
    <row r="56037" spans="1:26" ht="12.75" customHeight="1" x14ac:dyDescent="0.2">
      <c r="A56037" s="258"/>
      <c r="Z56037" s="258"/>
    </row>
    <row r="56038" spans="1:26" ht="12.75" customHeight="1" x14ac:dyDescent="0.2">
      <c r="A56038" s="258"/>
      <c r="Z56038" s="258"/>
    </row>
    <row r="56039" spans="1:26" ht="12.75" customHeight="1" x14ac:dyDescent="0.2">
      <c r="A56039" s="258"/>
      <c r="Z56039" s="258"/>
    </row>
    <row r="56040" spans="1:26" ht="12.75" customHeight="1" x14ac:dyDescent="0.2">
      <c r="A56040" s="258"/>
      <c r="Z56040" s="258"/>
    </row>
    <row r="56041" spans="1:26" ht="12.75" customHeight="1" x14ac:dyDescent="0.2">
      <c r="A56041" s="258"/>
      <c r="Z56041" s="258"/>
    </row>
    <row r="56042" spans="1:26" ht="12.75" customHeight="1" x14ac:dyDescent="0.2">
      <c r="A56042" s="258"/>
      <c r="Z56042" s="258"/>
    </row>
    <row r="56043" spans="1:26" ht="12.75" customHeight="1" x14ac:dyDescent="0.2">
      <c r="A56043" s="258"/>
      <c r="Z56043" s="258"/>
    </row>
    <row r="56044" spans="1:26" ht="12.75" customHeight="1" x14ac:dyDescent="0.2">
      <c r="A56044" s="258"/>
      <c r="Z56044" s="258"/>
    </row>
    <row r="56045" spans="1:26" ht="12.75" customHeight="1" x14ac:dyDescent="0.2">
      <c r="A56045" s="258"/>
      <c r="Z56045" s="258"/>
    </row>
    <row r="56046" spans="1:26" ht="12.75" customHeight="1" x14ac:dyDescent="0.2">
      <c r="A56046" s="258"/>
      <c r="Z56046" s="258"/>
    </row>
    <row r="56047" spans="1:26" ht="12.75" customHeight="1" x14ac:dyDescent="0.2">
      <c r="A56047" s="258"/>
      <c r="Z56047" s="258"/>
    </row>
    <row r="56048" spans="1:26" ht="12.75" customHeight="1" x14ac:dyDescent="0.2">
      <c r="A56048" s="258"/>
      <c r="Z56048" s="258"/>
    </row>
    <row r="56049" spans="1:26" ht="12.75" customHeight="1" x14ac:dyDescent="0.2">
      <c r="A56049" s="258"/>
      <c r="Z56049" s="258"/>
    </row>
    <row r="56050" spans="1:26" ht="12.75" customHeight="1" x14ac:dyDescent="0.2">
      <c r="A56050" s="258"/>
      <c r="Z56050" s="258"/>
    </row>
    <row r="56051" spans="1:26" ht="12.75" customHeight="1" x14ac:dyDescent="0.2">
      <c r="A56051" s="258"/>
      <c r="Z56051" s="258"/>
    </row>
    <row r="56052" spans="1:26" ht="12.75" customHeight="1" x14ac:dyDescent="0.2">
      <c r="A56052" s="258"/>
      <c r="Z56052" s="258"/>
    </row>
    <row r="56053" spans="1:26" ht="12.75" customHeight="1" x14ac:dyDescent="0.2">
      <c r="A56053" s="258"/>
      <c r="Z56053" s="258"/>
    </row>
    <row r="56054" spans="1:26" ht="12.75" customHeight="1" x14ac:dyDescent="0.2">
      <c r="A56054" s="258"/>
      <c r="Z56054" s="258"/>
    </row>
    <row r="56055" spans="1:26" ht="12.75" customHeight="1" x14ac:dyDescent="0.2">
      <c r="A56055" s="258"/>
      <c r="Z56055" s="258"/>
    </row>
    <row r="56056" spans="1:26" ht="12.75" customHeight="1" x14ac:dyDescent="0.2">
      <c r="A56056" s="258"/>
      <c r="Z56056" s="258"/>
    </row>
    <row r="56057" spans="1:26" ht="12.75" customHeight="1" x14ac:dyDescent="0.2">
      <c r="A56057" s="258"/>
      <c r="Z56057" s="258"/>
    </row>
    <row r="56058" spans="1:26" ht="12.75" customHeight="1" x14ac:dyDescent="0.2">
      <c r="A56058" s="258"/>
      <c r="Z56058" s="258"/>
    </row>
    <row r="56059" spans="1:26" ht="12.75" customHeight="1" x14ac:dyDescent="0.2">
      <c r="A56059" s="258"/>
      <c r="Z56059" s="258"/>
    </row>
    <row r="56060" spans="1:26" ht="12.75" customHeight="1" x14ac:dyDescent="0.2">
      <c r="A56060" s="258"/>
      <c r="Z56060" s="258"/>
    </row>
    <row r="56061" spans="1:26" ht="12.75" customHeight="1" x14ac:dyDescent="0.2">
      <c r="A56061" s="258"/>
      <c r="Z56061" s="258"/>
    </row>
    <row r="56062" spans="1:26" ht="12.75" customHeight="1" x14ac:dyDescent="0.2">
      <c r="A56062" s="258"/>
      <c r="Z56062" s="258"/>
    </row>
    <row r="56063" spans="1:26" ht="12.75" customHeight="1" x14ac:dyDescent="0.2">
      <c r="A56063" s="258"/>
      <c r="Z56063" s="258"/>
    </row>
    <row r="56064" spans="1:26" ht="12.75" customHeight="1" x14ac:dyDescent="0.2">
      <c r="A56064" s="258"/>
      <c r="Z56064" s="258"/>
    </row>
    <row r="56065" spans="1:26" ht="12.75" customHeight="1" x14ac:dyDescent="0.2">
      <c r="A56065" s="258"/>
      <c r="Z56065" s="258"/>
    </row>
    <row r="56066" spans="1:26" ht="12.75" customHeight="1" x14ac:dyDescent="0.2">
      <c r="A56066" s="258"/>
      <c r="Z56066" s="258"/>
    </row>
    <row r="56067" spans="1:26" ht="12.75" customHeight="1" x14ac:dyDescent="0.2">
      <c r="A56067" s="258"/>
      <c r="Z56067" s="258"/>
    </row>
    <row r="56068" spans="1:26" ht="12.75" customHeight="1" x14ac:dyDescent="0.2">
      <c r="A56068" s="258"/>
      <c r="Z56068" s="258"/>
    </row>
    <row r="56069" spans="1:26" ht="12.75" customHeight="1" x14ac:dyDescent="0.2">
      <c r="A56069" s="258"/>
      <c r="Z56069" s="258"/>
    </row>
    <row r="56070" spans="1:26" ht="12.75" customHeight="1" x14ac:dyDescent="0.2">
      <c r="A56070" s="258"/>
      <c r="Z56070" s="258"/>
    </row>
    <row r="56071" spans="1:26" ht="12.75" customHeight="1" x14ac:dyDescent="0.2">
      <c r="A56071" s="258"/>
      <c r="Z56071" s="258"/>
    </row>
    <row r="56072" spans="1:26" ht="12.75" customHeight="1" x14ac:dyDescent="0.2">
      <c r="A56072" s="258"/>
      <c r="Z56072" s="258"/>
    </row>
    <row r="56073" spans="1:26" ht="12.75" customHeight="1" x14ac:dyDescent="0.2">
      <c r="A56073" s="258"/>
      <c r="Z56073" s="258"/>
    </row>
    <row r="56074" spans="1:26" ht="12.75" customHeight="1" x14ac:dyDescent="0.2">
      <c r="A56074" s="258"/>
      <c r="Z56074" s="258"/>
    </row>
    <row r="56075" spans="1:26" ht="12.75" customHeight="1" x14ac:dyDescent="0.2">
      <c r="A56075" s="258"/>
      <c r="Z56075" s="258"/>
    </row>
    <row r="56076" spans="1:26" ht="12.75" customHeight="1" x14ac:dyDescent="0.2">
      <c r="A56076" s="258"/>
      <c r="Z56076" s="258"/>
    </row>
    <row r="56077" spans="1:26" ht="12.75" customHeight="1" x14ac:dyDescent="0.2">
      <c r="A56077" s="258"/>
      <c r="Z56077" s="258"/>
    </row>
    <row r="56078" spans="1:26" ht="12.75" customHeight="1" x14ac:dyDescent="0.2">
      <c r="A56078" s="258"/>
      <c r="Z56078" s="258"/>
    </row>
    <row r="56079" spans="1:26" ht="12.75" customHeight="1" x14ac:dyDescent="0.2">
      <c r="A56079" s="258"/>
      <c r="Z56079" s="258"/>
    </row>
    <row r="56080" spans="1:26" ht="12.75" customHeight="1" x14ac:dyDescent="0.2">
      <c r="A56080" s="258"/>
      <c r="Z56080" s="258"/>
    </row>
    <row r="56081" spans="1:26" ht="12.75" customHeight="1" x14ac:dyDescent="0.2">
      <c r="A56081" s="258"/>
      <c r="Z56081" s="258"/>
    </row>
    <row r="56082" spans="1:26" ht="12.75" customHeight="1" x14ac:dyDescent="0.2">
      <c r="A56082" s="258"/>
      <c r="Z56082" s="258"/>
    </row>
    <row r="56083" spans="1:26" ht="12.75" customHeight="1" x14ac:dyDescent="0.2">
      <c r="A56083" s="258"/>
      <c r="Z56083" s="258"/>
    </row>
    <row r="56084" spans="1:26" ht="12.75" customHeight="1" x14ac:dyDescent="0.2">
      <c r="A56084" s="258"/>
      <c r="Z56084" s="258"/>
    </row>
    <row r="56085" spans="1:26" ht="12.75" customHeight="1" x14ac:dyDescent="0.2">
      <c r="A56085" s="258"/>
      <c r="Z56085" s="258"/>
    </row>
    <row r="56086" spans="1:26" ht="12.75" customHeight="1" x14ac:dyDescent="0.2">
      <c r="A56086" s="258"/>
      <c r="Z56086" s="258"/>
    </row>
    <row r="56087" spans="1:26" ht="12.75" customHeight="1" x14ac:dyDescent="0.2">
      <c r="A56087" s="258"/>
      <c r="Z56087" s="258"/>
    </row>
    <row r="56088" spans="1:26" ht="12.75" customHeight="1" x14ac:dyDescent="0.2">
      <c r="A56088" s="258"/>
      <c r="Z56088" s="258"/>
    </row>
    <row r="56089" spans="1:26" ht="12.75" customHeight="1" x14ac:dyDescent="0.2">
      <c r="A56089" s="258"/>
      <c r="Z56089" s="258"/>
    </row>
    <row r="56090" spans="1:26" ht="12.75" customHeight="1" x14ac:dyDescent="0.2">
      <c r="A56090" s="258"/>
      <c r="Z56090" s="258"/>
    </row>
    <row r="56091" spans="1:26" ht="12.75" customHeight="1" x14ac:dyDescent="0.2">
      <c r="A56091" s="258"/>
      <c r="Z56091" s="258"/>
    </row>
    <row r="56092" spans="1:26" ht="12.75" customHeight="1" x14ac:dyDescent="0.2">
      <c r="A56092" s="258"/>
      <c r="Z56092" s="258"/>
    </row>
    <row r="56093" spans="1:26" ht="12.75" customHeight="1" x14ac:dyDescent="0.2">
      <c r="A56093" s="258"/>
      <c r="Z56093" s="258"/>
    </row>
    <row r="56094" spans="1:26" ht="12.75" customHeight="1" x14ac:dyDescent="0.2">
      <c r="A56094" s="258"/>
      <c r="Z56094" s="258"/>
    </row>
    <row r="56095" spans="1:26" ht="12.75" customHeight="1" x14ac:dyDescent="0.2">
      <c r="A56095" s="258"/>
      <c r="Z56095" s="258"/>
    </row>
    <row r="56096" spans="1:26" ht="12.75" customHeight="1" x14ac:dyDescent="0.2">
      <c r="A56096" s="258"/>
      <c r="Z56096" s="258"/>
    </row>
    <row r="56097" spans="1:26" ht="12.75" customHeight="1" x14ac:dyDescent="0.2">
      <c r="A56097" s="258"/>
      <c r="Z56097" s="258"/>
    </row>
    <row r="56098" spans="1:26" ht="12.75" customHeight="1" x14ac:dyDescent="0.2">
      <c r="A56098" s="258"/>
      <c r="Z56098" s="258"/>
    </row>
    <row r="56099" spans="1:26" ht="12.75" customHeight="1" x14ac:dyDescent="0.2">
      <c r="A56099" s="258"/>
      <c r="Z56099" s="258"/>
    </row>
    <row r="56100" spans="1:26" ht="12.75" customHeight="1" x14ac:dyDescent="0.2">
      <c r="A56100" s="258"/>
      <c r="Z56100" s="258"/>
    </row>
    <row r="56101" spans="1:26" ht="12.75" customHeight="1" x14ac:dyDescent="0.2">
      <c r="A56101" s="258"/>
      <c r="Z56101" s="258"/>
    </row>
    <row r="56102" spans="1:26" ht="12.75" customHeight="1" x14ac:dyDescent="0.2">
      <c r="A56102" s="258"/>
      <c r="Z56102" s="258"/>
    </row>
    <row r="56103" spans="1:26" ht="12.75" customHeight="1" x14ac:dyDescent="0.2">
      <c r="A56103" s="258"/>
      <c r="Z56103" s="258"/>
    </row>
    <row r="56104" spans="1:26" ht="12.75" customHeight="1" x14ac:dyDescent="0.2">
      <c r="A56104" s="258"/>
      <c r="Z56104" s="258"/>
    </row>
    <row r="56105" spans="1:26" ht="12.75" customHeight="1" x14ac:dyDescent="0.2">
      <c r="A56105" s="258"/>
      <c r="Z56105" s="258"/>
    </row>
    <row r="56106" spans="1:26" ht="12.75" customHeight="1" x14ac:dyDescent="0.2">
      <c r="A56106" s="258"/>
      <c r="Z56106" s="258"/>
    </row>
    <row r="56107" spans="1:26" ht="12.75" customHeight="1" x14ac:dyDescent="0.2">
      <c r="A56107" s="258"/>
      <c r="Z56107" s="258"/>
    </row>
    <row r="56108" spans="1:26" ht="12.75" customHeight="1" x14ac:dyDescent="0.2">
      <c r="A56108" s="258"/>
      <c r="Z56108" s="258"/>
    </row>
    <row r="56109" spans="1:26" ht="12.75" customHeight="1" x14ac:dyDescent="0.2">
      <c r="A56109" s="258"/>
      <c r="Z56109" s="258"/>
    </row>
    <row r="56110" spans="1:26" ht="12.75" customHeight="1" x14ac:dyDescent="0.2">
      <c r="A56110" s="258"/>
      <c r="Z56110" s="258"/>
    </row>
    <row r="56111" spans="1:26" ht="12.75" customHeight="1" x14ac:dyDescent="0.2">
      <c r="A56111" s="258"/>
      <c r="Z56111" s="258"/>
    </row>
    <row r="56112" spans="1:26" ht="12.75" customHeight="1" x14ac:dyDescent="0.2">
      <c r="A56112" s="258"/>
      <c r="Z56112" s="258"/>
    </row>
    <row r="56113" spans="1:26" ht="12.75" customHeight="1" x14ac:dyDescent="0.2">
      <c r="A56113" s="258"/>
      <c r="Z56113" s="258"/>
    </row>
    <row r="56114" spans="1:26" ht="12.75" customHeight="1" x14ac:dyDescent="0.2">
      <c r="A56114" s="258"/>
      <c r="Z56114" s="258"/>
    </row>
    <row r="56115" spans="1:26" ht="12.75" customHeight="1" x14ac:dyDescent="0.2">
      <c r="A56115" s="258"/>
      <c r="Z56115" s="258"/>
    </row>
    <row r="56116" spans="1:26" ht="12.75" customHeight="1" x14ac:dyDescent="0.2">
      <c r="A56116" s="258"/>
      <c r="Z56116" s="258"/>
    </row>
    <row r="56117" spans="1:26" ht="12.75" customHeight="1" x14ac:dyDescent="0.2">
      <c r="A56117" s="258"/>
      <c r="Z56117" s="258"/>
    </row>
    <row r="56118" spans="1:26" ht="12.75" customHeight="1" x14ac:dyDescent="0.2">
      <c r="A56118" s="258"/>
      <c r="Z56118" s="258"/>
    </row>
    <row r="56119" spans="1:26" ht="12.75" customHeight="1" x14ac:dyDescent="0.2">
      <c r="A56119" s="258"/>
      <c r="Z56119" s="258"/>
    </row>
    <row r="56120" spans="1:26" ht="12.75" customHeight="1" x14ac:dyDescent="0.2">
      <c r="A56120" s="258"/>
      <c r="Z56120" s="258"/>
    </row>
    <row r="56121" spans="1:26" ht="12.75" customHeight="1" x14ac:dyDescent="0.2">
      <c r="A56121" s="258"/>
      <c r="Z56121" s="258"/>
    </row>
    <row r="56122" spans="1:26" ht="12.75" customHeight="1" x14ac:dyDescent="0.2">
      <c r="A56122" s="258"/>
      <c r="Z56122" s="258"/>
    </row>
    <row r="56123" spans="1:26" ht="12.75" customHeight="1" x14ac:dyDescent="0.2">
      <c r="A56123" s="258"/>
      <c r="Z56123" s="258"/>
    </row>
    <row r="56124" spans="1:26" ht="12.75" customHeight="1" x14ac:dyDescent="0.2">
      <c r="A56124" s="258"/>
      <c r="Z56124" s="258"/>
    </row>
    <row r="56125" spans="1:26" ht="12.75" customHeight="1" x14ac:dyDescent="0.2">
      <c r="A56125" s="258"/>
      <c r="Z56125" s="258"/>
    </row>
    <row r="56126" spans="1:26" ht="12.75" customHeight="1" x14ac:dyDescent="0.2">
      <c r="A56126" s="258"/>
      <c r="Z56126" s="258"/>
    </row>
    <row r="56127" spans="1:26" ht="12.75" customHeight="1" x14ac:dyDescent="0.2">
      <c r="A56127" s="258"/>
      <c r="Z56127" s="258"/>
    </row>
    <row r="56128" spans="1:26" ht="12.75" customHeight="1" x14ac:dyDescent="0.2">
      <c r="A56128" s="258"/>
      <c r="Z56128" s="258"/>
    </row>
    <row r="56129" spans="1:26" ht="12.75" customHeight="1" x14ac:dyDescent="0.2">
      <c r="A56129" s="258"/>
      <c r="Z56129" s="258"/>
    </row>
    <row r="56130" spans="1:26" ht="12.75" customHeight="1" x14ac:dyDescent="0.2">
      <c r="A56130" s="258"/>
      <c r="Z56130" s="258"/>
    </row>
    <row r="56131" spans="1:26" ht="12.75" customHeight="1" x14ac:dyDescent="0.2">
      <c r="A56131" s="258"/>
      <c r="Z56131" s="258"/>
    </row>
    <row r="56132" spans="1:26" ht="12.75" customHeight="1" x14ac:dyDescent="0.2">
      <c r="A56132" s="258"/>
      <c r="Z56132" s="258"/>
    </row>
    <row r="56133" spans="1:26" ht="12.75" customHeight="1" x14ac:dyDescent="0.2">
      <c r="A56133" s="258"/>
      <c r="Z56133" s="258"/>
    </row>
    <row r="56134" spans="1:26" ht="12.75" customHeight="1" x14ac:dyDescent="0.2">
      <c r="A56134" s="258"/>
      <c r="Z56134" s="258"/>
    </row>
    <row r="56135" spans="1:26" ht="12.75" customHeight="1" x14ac:dyDescent="0.2">
      <c r="A56135" s="258"/>
      <c r="Z56135" s="258"/>
    </row>
    <row r="56136" spans="1:26" ht="12.75" customHeight="1" x14ac:dyDescent="0.2">
      <c r="A56136" s="258"/>
      <c r="Z56136" s="258"/>
    </row>
    <row r="56137" spans="1:26" ht="12.75" customHeight="1" x14ac:dyDescent="0.2">
      <c r="A56137" s="258"/>
      <c r="Z56137" s="258"/>
    </row>
    <row r="56138" spans="1:26" ht="12.75" customHeight="1" x14ac:dyDescent="0.2">
      <c r="A56138" s="258"/>
      <c r="Z56138" s="258"/>
    </row>
    <row r="56139" spans="1:26" ht="12.75" customHeight="1" x14ac:dyDescent="0.2">
      <c r="A56139" s="258"/>
      <c r="Z56139" s="258"/>
    </row>
    <row r="56140" spans="1:26" ht="12.75" customHeight="1" x14ac:dyDescent="0.2">
      <c r="A56140" s="258"/>
      <c r="Z56140" s="258"/>
    </row>
    <row r="56141" spans="1:26" ht="12.75" customHeight="1" x14ac:dyDescent="0.2">
      <c r="A56141" s="258"/>
      <c r="Z56141" s="258"/>
    </row>
    <row r="56142" spans="1:26" ht="12.75" customHeight="1" x14ac:dyDescent="0.2">
      <c r="A56142" s="258"/>
      <c r="Z56142" s="258"/>
    </row>
    <row r="56143" spans="1:26" ht="12.75" customHeight="1" x14ac:dyDescent="0.2">
      <c r="A56143" s="258"/>
      <c r="Z56143" s="258"/>
    </row>
    <row r="56144" spans="1:26" ht="12.75" customHeight="1" x14ac:dyDescent="0.2">
      <c r="A56144" s="258"/>
      <c r="Z56144" s="258"/>
    </row>
    <row r="56145" spans="1:26" ht="12.75" customHeight="1" x14ac:dyDescent="0.2">
      <c r="A56145" s="258"/>
      <c r="Z56145" s="258"/>
    </row>
    <row r="56146" spans="1:26" ht="12.75" customHeight="1" x14ac:dyDescent="0.2">
      <c r="A56146" s="258"/>
      <c r="Z56146" s="258"/>
    </row>
    <row r="56147" spans="1:26" ht="12.75" customHeight="1" x14ac:dyDescent="0.2">
      <c r="A56147" s="258"/>
      <c r="Z56147" s="258"/>
    </row>
    <row r="56148" spans="1:26" ht="12.75" customHeight="1" x14ac:dyDescent="0.2">
      <c r="A56148" s="258"/>
      <c r="Z56148" s="258"/>
    </row>
    <row r="56149" spans="1:26" ht="12.75" customHeight="1" x14ac:dyDescent="0.2">
      <c r="A56149" s="258"/>
      <c r="Z56149" s="258"/>
    </row>
    <row r="56150" spans="1:26" ht="12.75" customHeight="1" x14ac:dyDescent="0.2">
      <c r="A56150" s="258"/>
      <c r="Z56150" s="258"/>
    </row>
    <row r="56151" spans="1:26" ht="12.75" customHeight="1" x14ac:dyDescent="0.2">
      <c r="A56151" s="258"/>
      <c r="Z56151" s="258"/>
    </row>
    <row r="56152" spans="1:26" ht="12.75" customHeight="1" x14ac:dyDescent="0.2">
      <c r="A56152" s="258"/>
      <c r="Z56152" s="258"/>
    </row>
    <row r="56153" spans="1:26" ht="12.75" customHeight="1" x14ac:dyDescent="0.2">
      <c r="A56153" s="258"/>
      <c r="Z56153" s="258"/>
    </row>
    <row r="56154" spans="1:26" ht="12.75" customHeight="1" x14ac:dyDescent="0.2">
      <c r="A56154" s="258"/>
      <c r="Z56154" s="258"/>
    </row>
    <row r="56155" spans="1:26" ht="12.75" customHeight="1" x14ac:dyDescent="0.2">
      <c r="A56155" s="258"/>
      <c r="Z56155" s="258"/>
    </row>
    <row r="56156" spans="1:26" ht="12.75" customHeight="1" x14ac:dyDescent="0.2">
      <c r="A56156" s="258"/>
      <c r="Z56156" s="258"/>
    </row>
    <row r="56157" spans="1:26" ht="12.75" customHeight="1" x14ac:dyDescent="0.2">
      <c r="A56157" s="258"/>
      <c r="Z56157" s="258"/>
    </row>
    <row r="56158" spans="1:26" ht="12.75" customHeight="1" x14ac:dyDescent="0.2">
      <c r="A56158" s="258"/>
      <c r="Z56158" s="258"/>
    </row>
    <row r="56159" spans="1:26" ht="12.75" customHeight="1" x14ac:dyDescent="0.2">
      <c r="A56159" s="258"/>
      <c r="Z56159" s="258"/>
    </row>
    <row r="56160" spans="1:26" ht="12.75" customHeight="1" x14ac:dyDescent="0.2">
      <c r="A56160" s="258"/>
      <c r="Z56160" s="258"/>
    </row>
    <row r="56161" spans="1:26" ht="12.75" customHeight="1" x14ac:dyDescent="0.2">
      <c r="A56161" s="258"/>
      <c r="Z56161" s="258"/>
    </row>
    <row r="56162" spans="1:26" ht="12.75" customHeight="1" x14ac:dyDescent="0.2">
      <c r="A56162" s="258"/>
      <c r="Z56162" s="258"/>
    </row>
    <row r="56163" spans="1:26" ht="12.75" customHeight="1" x14ac:dyDescent="0.2">
      <c r="A56163" s="258"/>
      <c r="Z56163" s="258"/>
    </row>
    <row r="56164" spans="1:26" ht="12.75" customHeight="1" x14ac:dyDescent="0.2">
      <c r="A56164" s="258"/>
      <c r="Z56164" s="258"/>
    </row>
    <row r="56165" spans="1:26" ht="12.75" customHeight="1" x14ac:dyDescent="0.2">
      <c r="A56165" s="258"/>
      <c r="Z56165" s="258"/>
    </row>
    <row r="56166" spans="1:26" ht="12.75" customHeight="1" x14ac:dyDescent="0.2">
      <c r="A56166" s="258"/>
      <c r="Z56166" s="258"/>
    </row>
    <row r="56167" spans="1:26" ht="12.75" customHeight="1" x14ac:dyDescent="0.2">
      <c r="A56167" s="258"/>
      <c r="Z56167" s="258"/>
    </row>
    <row r="56168" spans="1:26" ht="12.75" customHeight="1" x14ac:dyDescent="0.2">
      <c r="A56168" s="258"/>
      <c r="Z56168" s="258"/>
    </row>
    <row r="56169" spans="1:26" ht="12.75" customHeight="1" x14ac:dyDescent="0.2">
      <c r="A56169" s="258"/>
      <c r="Z56169" s="258"/>
    </row>
    <row r="56170" spans="1:26" ht="12.75" customHeight="1" x14ac:dyDescent="0.2">
      <c r="A56170" s="258"/>
      <c r="Z56170" s="258"/>
    </row>
    <row r="56171" spans="1:26" ht="12.75" customHeight="1" x14ac:dyDescent="0.2">
      <c r="A56171" s="258"/>
      <c r="Z56171" s="258"/>
    </row>
    <row r="56172" spans="1:26" ht="12.75" customHeight="1" x14ac:dyDescent="0.2">
      <c r="A56172" s="258"/>
      <c r="Z56172" s="258"/>
    </row>
    <row r="56173" spans="1:26" ht="12.75" customHeight="1" x14ac:dyDescent="0.2">
      <c r="A56173" s="258"/>
      <c r="Z56173" s="258"/>
    </row>
    <row r="56174" spans="1:26" ht="12.75" customHeight="1" x14ac:dyDescent="0.2">
      <c r="A56174" s="258"/>
      <c r="Z56174" s="258"/>
    </row>
    <row r="56175" spans="1:26" ht="12.75" customHeight="1" x14ac:dyDescent="0.2">
      <c r="A56175" s="258"/>
      <c r="Z56175" s="258"/>
    </row>
    <row r="56176" spans="1:26" ht="12.75" customHeight="1" x14ac:dyDescent="0.2">
      <c r="A56176" s="258"/>
      <c r="Z56176" s="258"/>
    </row>
    <row r="56177" spans="1:26" ht="12.75" customHeight="1" x14ac:dyDescent="0.2">
      <c r="A56177" s="258"/>
      <c r="Z56177" s="258"/>
    </row>
    <row r="56178" spans="1:26" ht="12.75" customHeight="1" x14ac:dyDescent="0.2">
      <c r="A56178" s="258"/>
      <c r="Z56178" s="258"/>
    </row>
    <row r="56179" spans="1:26" ht="12.75" customHeight="1" x14ac:dyDescent="0.2">
      <c r="A56179" s="258"/>
      <c r="Z56179" s="258"/>
    </row>
    <row r="56180" spans="1:26" ht="12.75" customHeight="1" x14ac:dyDescent="0.2">
      <c r="A56180" s="258"/>
      <c r="Z56180" s="258"/>
    </row>
    <row r="56181" spans="1:26" ht="12.75" customHeight="1" x14ac:dyDescent="0.2">
      <c r="A56181" s="258"/>
      <c r="Z56181" s="258"/>
    </row>
    <row r="56182" spans="1:26" ht="12.75" customHeight="1" x14ac:dyDescent="0.2">
      <c r="A56182" s="258"/>
      <c r="Z56182" s="258"/>
    </row>
    <row r="56183" spans="1:26" ht="12.75" customHeight="1" x14ac:dyDescent="0.2">
      <c r="A56183" s="258"/>
      <c r="Z56183" s="258"/>
    </row>
    <row r="56184" spans="1:26" ht="12.75" customHeight="1" x14ac:dyDescent="0.2">
      <c r="A56184" s="258"/>
      <c r="Z56184" s="258"/>
    </row>
    <row r="56185" spans="1:26" ht="12.75" customHeight="1" x14ac:dyDescent="0.2">
      <c r="A56185" s="258"/>
      <c r="Z56185" s="258"/>
    </row>
    <row r="56186" spans="1:26" ht="12.75" customHeight="1" x14ac:dyDescent="0.2">
      <c r="A56186" s="258"/>
      <c r="Z56186" s="258"/>
    </row>
    <row r="56187" spans="1:26" ht="12.75" customHeight="1" x14ac:dyDescent="0.2">
      <c r="A56187" s="258"/>
      <c r="Z56187" s="258"/>
    </row>
    <row r="56188" spans="1:26" ht="12.75" customHeight="1" x14ac:dyDescent="0.2">
      <c r="A56188" s="258"/>
      <c r="Z56188" s="258"/>
    </row>
    <row r="56189" spans="1:26" ht="12.75" customHeight="1" x14ac:dyDescent="0.2">
      <c r="A56189" s="258"/>
      <c r="Z56189" s="258"/>
    </row>
    <row r="56190" spans="1:26" ht="12.75" customHeight="1" x14ac:dyDescent="0.2">
      <c r="A56190" s="258"/>
      <c r="Z56190" s="258"/>
    </row>
    <row r="56191" spans="1:26" ht="12.75" customHeight="1" x14ac:dyDescent="0.2">
      <c r="A56191" s="258"/>
      <c r="Z56191" s="258"/>
    </row>
    <row r="56192" spans="1:26" ht="12.75" customHeight="1" x14ac:dyDescent="0.2">
      <c r="A56192" s="258"/>
      <c r="Z56192" s="258"/>
    </row>
    <row r="56193" spans="1:26" ht="12.75" customHeight="1" x14ac:dyDescent="0.2">
      <c r="A56193" s="258"/>
      <c r="Z56193" s="258"/>
    </row>
    <row r="56194" spans="1:26" ht="12.75" customHeight="1" x14ac:dyDescent="0.2">
      <c r="A56194" s="258"/>
      <c r="Z56194" s="258"/>
    </row>
    <row r="56195" spans="1:26" ht="12.75" customHeight="1" x14ac:dyDescent="0.2">
      <c r="A56195" s="258"/>
      <c r="Z56195" s="258"/>
    </row>
    <row r="56196" spans="1:26" ht="12.75" customHeight="1" x14ac:dyDescent="0.2">
      <c r="A56196" s="258"/>
      <c r="Z56196" s="258"/>
    </row>
    <row r="56197" spans="1:26" ht="12.75" customHeight="1" x14ac:dyDescent="0.2">
      <c r="A56197" s="258"/>
      <c r="Z56197" s="258"/>
    </row>
    <row r="56198" spans="1:26" ht="12.75" customHeight="1" x14ac:dyDescent="0.2">
      <c r="A56198" s="258"/>
      <c r="Z56198" s="258"/>
    </row>
    <row r="56199" spans="1:26" ht="12.75" customHeight="1" x14ac:dyDescent="0.2">
      <c r="A56199" s="258"/>
      <c r="Z56199" s="258"/>
    </row>
    <row r="56200" spans="1:26" ht="12.75" customHeight="1" x14ac:dyDescent="0.2">
      <c r="A56200" s="258"/>
      <c r="Z56200" s="258"/>
    </row>
    <row r="56201" spans="1:26" ht="12.75" customHeight="1" x14ac:dyDescent="0.2">
      <c r="A56201" s="258"/>
      <c r="Z56201" s="258"/>
    </row>
    <row r="56202" spans="1:26" ht="12.75" customHeight="1" x14ac:dyDescent="0.2">
      <c r="A56202" s="258"/>
      <c r="Z56202" s="258"/>
    </row>
    <row r="56203" spans="1:26" ht="12.75" customHeight="1" x14ac:dyDescent="0.2">
      <c r="A56203" s="258"/>
      <c r="Z56203" s="258"/>
    </row>
    <row r="56204" spans="1:26" ht="12.75" customHeight="1" x14ac:dyDescent="0.2">
      <c r="A56204" s="258"/>
      <c r="Z56204" s="258"/>
    </row>
    <row r="56205" spans="1:26" ht="12.75" customHeight="1" x14ac:dyDescent="0.2">
      <c r="A56205" s="258"/>
      <c r="Z56205" s="258"/>
    </row>
    <row r="56206" spans="1:26" ht="12.75" customHeight="1" x14ac:dyDescent="0.2">
      <c r="A56206" s="258"/>
      <c r="Z56206" s="258"/>
    </row>
    <row r="56207" spans="1:26" ht="12.75" customHeight="1" x14ac:dyDescent="0.2">
      <c r="A56207" s="258"/>
      <c r="Z56207" s="258"/>
    </row>
    <row r="56208" spans="1:26" ht="12.75" customHeight="1" x14ac:dyDescent="0.2">
      <c r="A56208" s="258"/>
      <c r="Z56208" s="258"/>
    </row>
    <row r="56209" spans="1:26" ht="12.75" customHeight="1" x14ac:dyDescent="0.2">
      <c r="A56209" s="258"/>
      <c r="Z56209" s="258"/>
    </row>
    <row r="56210" spans="1:26" ht="12.75" customHeight="1" x14ac:dyDescent="0.2">
      <c r="A56210" s="258"/>
      <c r="Z56210" s="258"/>
    </row>
    <row r="56211" spans="1:26" ht="12.75" customHeight="1" x14ac:dyDescent="0.2">
      <c r="A56211" s="258"/>
      <c r="Z56211" s="258"/>
    </row>
    <row r="56212" spans="1:26" ht="12.75" customHeight="1" x14ac:dyDescent="0.2">
      <c r="A56212" s="258"/>
      <c r="Z56212" s="258"/>
    </row>
    <row r="56213" spans="1:26" ht="12.75" customHeight="1" x14ac:dyDescent="0.2">
      <c r="A56213" s="258"/>
      <c r="Z56213" s="258"/>
    </row>
    <row r="56214" spans="1:26" ht="12.75" customHeight="1" x14ac:dyDescent="0.2">
      <c r="A56214" s="258"/>
      <c r="Z56214" s="258"/>
    </row>
    <row r="56215" spans="1:26" ht="12.75" customHeight="1" x14ac:dyDescent="0.2">
      <c r="A56215" s="258"/>
      <c r="Z56215" s="258"/>
    </row>
    <row r="56216" spans="1:26" ht="12.75" customHeight="1" x14ac:dyDescent="0.2">
      <c r="A56216" s="258"/>
      <c r="Z56216" s="258"/>
    </row>
    <row r="56217" spans="1:26" ht="12.75" customHeight="1" x14ac:dyDescent="0.2">
      <c r="A56217" s="258"/>
      <c r="Z56217" s="258"/>
    </row>
    <row r="56218" spans="1:26" ht="12.75" customHeight="1" x14ac:dyDescent="0.2">
      <c r="A56218" s="258"/>
      <c r="Z56218" s="258"/>
    </row>
    <row r="56219" spans="1:26" ht="12.75" customHeight="1" x14ac:dyDescent="0.2">
      <c r="A56219" s="258"/>
      <c r="Z56219" s="258"/>
    </row>
    <row r="56220" spans="1:26" ht="12.75" customHeight="1" x14ac:dyDescent="0.2">
      <c r="A56220" s="258"/>
      <c r="Z56220" s="258"/>
    </row>
    <row r="56221" spans="1:26" ht="12.75" customHeight="1" x14ac:dyDescent="0.2">
      <c r="A56221" s="258"/>
      <c r="Z56221" s="258"/>
    </row>
    <row r="56222" spans="1:26" ht="12.75" customHeight="1" x14ac:dyDescent="0.2">
      <c r="A56222" s="258"/>
      <c r="Z56222" s="258"/>
    </row>
    <row r="56223" spans="1:26" ht="12.75" customHeight="1" x14ac:dyDescent="0.2">
      <c r="A56223" s="258"/>
      <c r="Z56223" s="258"/>
    </row>
    <row r="56224" spans="1:26" ht="12.75" customHeight="1" x14ac:dyDescent="0.2">
      <c r="A56224" s="258"/>
      <c r="Z56224" s="258"/>
    </row>
    <row r="56225" spans="1:26" ht="12.75" customHeight="1" x14ac:dyDescent="0.2">
      <c r="A56225" s="258"/>
      <c r="Z56225" s="258"/>
    </row>
    <row r="56226" spans="1:26" ht="12.75" customHeight="1" x14ac:dyDescent="0.2">
      <c r="A56226" s="258"/>
      <c r="Z56226" s="258"/>
    </row>
    <row r="56227" spans="1:26" ht="12.75" customHeight="1" x14ac:dyDescent="0.2">
      <c r="A56227" s="258"/>
      <c r="Z56227" s="258"/>
    </row>
    <row r="56228" spans="1:26" ht="12.75" customHeight="1" x14ac:dyDescent="0.2">
      <c r="A56228" s="258"/>
      <c r="Z56228" s="258"/>
    </row>
    <row r="56229" spans="1:26" ht="12.75" customHeight="1" x14ac:dyDescent="0.2">
      <c r="A56229" s="258"/>
      <c r="Z56229" s="258"/>
    </row>
    <row r="56230" spans="1:26" ht="12.75" customHeight="1" x14ac:dyDescent="0.2">
      <c r="A56230" s="258"/>
      <c r="Z56230" s="258"/>
    </row>
    <row r="56231" spans="1:26" ht="12.75" customHeight="1" x14ac:dyDescent="0.2">
      <c r="A56231" s="258"/>
      <c r="Z56231" s="258"/>
    </row>
    <row r="56232" spans="1:26" ht="12.75" customHeight="1" x14ac:dyDescent="0.2">
      <c r="A56232" s="258"/>
      <c r="Z56232" s="258"/>
    </row>
    <row r="56233" spans="1:26" ht="12.75" customHeight="1" x14ac:dyDescent="0.2">
      <c r="A56233" s="258"/>
      <c r="Z56233" s="258"/>
    </row>
    <row r="56234" spans="1:26" ht="12.75" customHeight="1" x14ac:dyDescent="0.2">
      <c r="A56234" s="258"/>
      <c r="Z56234" s="258"/>
    </row>
    <row r="56235" spans="1:26" ht="12.75" customHeight="1" x14ac:dyDescent="0.2">
      <c r="A56235" s="258"/>
      <c r="Z56235" s="258"/>
    </row>
    <row r="56236" spans="1:26" ht="12.75" customHeight="1" x14ac:dyDescent="0.2">
      <c r="A56236" s="258"/>
      <c r="Z56236" s="258"/>
    </row>
    <row r="56237" spans="1:26" ht="12.75" customHeight="1" x14ac:dyDescent="0.2">
      <c r="A56237" s="258"/>
      <c r="Z56237" s="258"/>
    </row>
    <row r="56238" spans="1:26" ht="12.75" customHeight="1" x14ac:dyDescent="0.2">
      <c r="A56238" s="258"/>
      <c r="Z56238" s="258"/>
    </row>
    <row r="56239" spans="1:26" ht="12.75" customHeight="1" x14ac:dyDescent="0.2">
      <c r="A56239" s="258"/>
      <c r="Z56239" s="258"/>
    </row>
    <row r="56240" spans="1:26" ht="12.75" customHeight="1" x14ac:dyDescent="0.2">
      <c r="A56240" s="258"/>
      <c r="Z56240" s="258"/>
    </row>
    <row r="56241" spans="1:26" ht="12.75" customHeight="1" x14ac:dyDescent="0.2">
      <c r="A56241" s="258"/>
      <c r="Z56241" s="258"/>
    </row>
    <row r="56242" spans="1:26" ht="12.75" customHeight="1" x14ac:dyDescent="0.2">
      <c r="A56242" s="258"/>
      <c r="Z56242" s="258"/>
    </row>
    <row r="56243" spans="1:26" ht="12.75" customHeight="1" x14ac:dyDescent="0.2">
      <c r="A56243" s="258"/>
      <c r="Z56243" s="258"/>
    </row>
    <row r="56244" spans="1:26" ht="12.75" customHeight="1" x14ac:dyDescent="0.2">
      <c r="A56244" s="258"/>
      <c r="Z56244" s="258"/>
    </row>
    <row r="56245" spans="1:26" ht="12.75" customHeight="1" x14ac:dyDescent="0.2">
      <c r="A56245" s="258"/>
      <c r="Z56245" s="258"/>
    </row>
    <row r="56246" spans="1:26" ht="12.75" customHeight="1" x14ac:dyDescent="0.2">
      <c r="A56246" s="258"/>
      <c r="Z56246" s="258"/>
    </row>
    <row r="56247" spans="1:26" ht="12.75" customHeight="1" x14ac:dyDescent="0.2">
      <c r="A56247" s="258"/>
      <c r="Z56247" s="258"/>
    </row>
    <row r="56248" spans="1:26" ht="12.75" customHeight="1" x14ac:dyDescent="0.2">
      <c r="A56248" s="258"/>
      <c r="Z56248" s="258"/>
    </row>
    <row r="56249" spans="1:26" ht="12.75" customHeight="1" x14ac:dyDescent="0.2">
      <c r="A56249" s="258"/>
      <c r="Z56249" s="258"/>
    </row>
    <row r="56250" spans="1:26" ht="12.75" customHeight="1" x14ac:dyDescent="0.2">
      <c r="A56250" s="258"/>
      <c r="Z56250" s="258"/>
    </row>
    <row r="56251" spans="1:26" ht="12.75" customHeight="1" x14ac:dyDescent="0.2">
      <c r="A56251" s="258"/>
      <c r="Z56251" s="258"/>
    </row>
    <row r="56252" spans="1:26" ht="12.75" customHeight="1" x14ac:dyDescent="0.2">
      <c r="A56252" s="258"/>
      <c r="Z56252" s="258"/>
    </row>
    <row r="56253" spans="1:26" ht="12.75" customHeight="1" x14ac:dyDescent="0.2">
      <c r="A56253" s="258"/>
      <c r="Z56253" s="258"/>
    </row>
    <row r="56254" spans="1:26" ht="12.75" customHeight="1" x14ac:dyDescent="0.2">
      <c r="A56254" s="258"/>
      <c r="Z56254" s="258"/>
    </row>
    <row r="56255" spans="1:26" ht="12.75" customHeight="1" x14ac:dyDescent="0.2">
      <c r="A56255" s="258"/>
      <c r="Z56255" s="258"/>
    </row>
    <row r="56256" spans="1:26" ht="12.75" customHeight="1" x14ac:dyDescent="0.2">
      <c r="A56256" s="258"/>
      <c r="Z56256" s="258"/>
    </row>
    <row r="56257" spans="1:26" ht="12.75" customHeight="1" x14ac:dyDescent="0.2">
      <c r="A56257" s="258"/>
      <c r="Z56257" s="258"/>
    </row>
    <row r="56258" spans="1:26" ht="12.75" customHeight="1" x14ac:dyDescent="0.2">
      <c r="A56258" s="258"/>
      <c r="Z56258" s="258"/>
    </row>
    <row r="56259" spans="1:26" ht="12.75" customHeight="1" x14ac:dyDescent="0.2">
      <c r="A56259" s="258"/>
      <c r="Z56259" s="258"/>
    </row>
    <row r="56260" spans="1:26" ht="12.75" customHeight="1" x14ac:dyDescent="0.2">
      <c r="A56260" s="258"/>
      <c r="Z56260" s="258"/>
    </row>
    <row r="56261" spans="1:26" ht="12.75" customHeight="1" x14ac:dyDescent="0.2">
      <c r="A56261" s="258"/>
      <c r="Z56261" s="258"/>
    </row>
    <row r="56262" spans="1:26" ht="12.75" customHeight="1" x14ac:dyDescent="0.2">
      <c r="A56262" s="258"/>
      <c r="Z56262" s="258"/>
    </row>
    <row r="56263" spans="1:26" ht="12.75" customHeight="1" x14ac:dyDescent="0.2">
      <c r="A56263" s="258"/>
      <c r="Z56263" s="258"/>
    </row>
    <row r="56264" spans="1:26" ht="12.75" customHeight="1" x14ac:dyDescent="0.2">
      <c r="A56264" s="258"/>
      <c r="Z56264" s="258"/>
    </row>
    <row r="56265" spans="1:26" ht="12.75" customHeight="1" x14ac:dyDescent="0.2">
      <c r="A56265" s="258"/>
      <c r="Z56265" s="258"/>
    </row>
    <row r="56266" spans="1:26" ht="12.75" customHeight="1" x14ac:dyDescent="0.2">
      <c r="A56266" s="258"/>
      <c r="Z56266" s="258"/>
    </row>
    <row r="56267" spans="1:26" ht="12.75" customHeight="1" x14ac:dyDescent="0.2">
      <c r="A56267" s="258"/>
      <c r="Z56267" s="258"/>
    </row>
    <row r="56268" spans="1:26" ht="12.75" customHeight="1" x14ac:dyDescent="0.2">
      <c r="A56268" s="258"/>
      <c r="Z56268" s="258"/>
    </row>
    <row r="56269" spans="1:26" ht="12.75" customHeight="1" x14ac:dyDescent="0.2">
      <c r="A56269" s="258"/>
      <c r="Z56269" s="258"/>
    </row>
    <row r="56270" spans="1:26" ht="12.75" customHeight="1" x14ac:dyDescent="0.2">
      <c r="A56270" s="258"/>
      <c r="Z56270" s="258"/>
    </row>
    <row r="56271" spans="1:26" ht="12.75" customHeight="1" x14ac:dyDescent="0.2">
      <c r="A56271" s="258"/>
      <c r="Z56271" s="258"/>
    </row>
    <row r="56272" spans="1:26" ht="12.75" customHeight="1" x14ac:dyDescent="0.2">
      <c r="A56272" s="258"/>
      <c r="Z56272" s="258"/>
    </row>
    <row r="56273" spans="1:26" ht="12.75" customHeight="1" x14ac:dyDescent="0.2">
      <c r="A56273" s="258"/>
      <c r="Z56273" s="258"/>
    </row>
    <row r="56274" spans="1:26" ht="12.75" customHeight="1" x14ac:dyDescent="0.2">
      <c r="A56274" s="258"/>
      <c r="Z56274" s="258"/>
    </row>
    <row r="56275" spans="1:26" ht="12.75" customHeight="1" x14ac:dyDescent="0.2">
      <c r="A56275" s="258"/>
      <c r="Z56275" s="258"/>
    </row>
    <row r="56276" spans="1:26" ht="12.75" customHeight="1" x14ac:dyDescent="0.2">
      <c r="A56276" s="258"/>
      <c r="Z56276" s="258"/>
    </row>
    <row r="56277" spans="1:26" ht="12.75" customHeight="1" x14ac:dyDescent="0.2">
      <c r="A56277" s="258"/>
      <c r="Z56277" s="258"/>
    </row>
    <row r="56278" spans="1:26" ht="12.75" customHeight="1" x14ac:dyDescent="0.2">
      <c r="A56278" s="258"/>
      <c r="Z56278" s="258"/>
    </row>
    <row r="56279" spans="1:26" ht="12.75" customHeight="1" x14ac:dyDescent="0.2">
      <c r="A56279" s="258"/>
      <c r="Z56279" s="258"/>
    </row>
    <row r="56280" spans="1:26" ht="12.75" customHeight="1" x14ac:dyDescent="0.2">
      <c r="A56280" s="258"/>
      <c r="Z56280" s="258"/>
    </row>
    <row r="56281" spans="1:26" ht="12.75" customHeight="1" x14ac:dyDescent="0.2">
      <c r="A56281" s="258"/>
      <c r="Z56281" s="258"/>
    </row>
    <row r="56282" spans="1:26" ht="12.75" customHeight="1" x14ac:dyDescent="0.2">
      <c r="A56282" s="258"/>
      <c r="Z56282" s="258"/>
    </row>
    <row r="56283" spans="1:26" ht="12.75" customHeight="1" x14ac:dyDescent="0.2">
      <c r="A56283" s="258"/>
      <c r="Z56283" s="258"/>
    </row>
    <row r="56284" spans="1:26" ht="12.75" customHeight="1" x14ac:dyDescent="0.2">
      <c r="A56284" s="258"/>
      <c r="Z56284" s="258"/>
    </row>
    <row r="56285" spans="1:26" ht="12.75" customHeight="1" x14ac:dyDescent="0.2">
      <c r="A56285" s="258"/>
      <c r="Z56285" s="258"/>
    </row>
    <row r="56286" spans="1:26" ht="12.75" customHeight="1" x14ac:dyDescent="0.2">
      <c r="A56286" s="258"/>
      <c r="Z56286" s="258"/>
    </row>
    <row r="56287" spans="1:26" ht="12.75" customHeight="1" x14ac:dyDescent="0.2">
      <c r="A56287" s="258"/>
      <c r="Z56287" s="258"/>
    </row>
    <row r="56288" spans="1:26" ht="12.75" customHeight="1" x14ac:dyDescent="0.2">
      <c r="A56288" s="258"/>
      <c r="Z56288" s="258"/>
    </row>
    <row r="56289" spans="1:26" ht="12.75" customHeight="1" x14ac:dyDescent="0.2">
      <c r="A56289" s="258"/>
      <c r="Z56289" s="258"/>
    </row>
    <row r="56290" spans="1:26" ht="12.75" customHeight="1" x14ac:dyDescent="0.2">
      <c r="A56290" s="258"/>
      <c r="Z56290" s="258"/>
    </row>
    <row r="56291" spans="1:26" ht="12.75" customHeight="1" x14ac:dyDescent="0.2">
      <c r="A56291" s="258"/>
      <c r="Z56291" s="258"/>
    </row>
    <row r="56292" spans="1:26" ht="12.75" customHeight="1" x14ac:dyDescent="0.2">
      <c r="A56292" s="258"/>
      <c r="Z56292" s="258"/>
    </row>
    <row r="56293" spans="1:26" ht="12.75" customHeight="1" x14ac:dyDescent="0.2">
      <c r="A56293" s="258"/>
      <c r="Z56293" s="258"/>
    </row>
    <row r="56294" spans="1:26" ht="12.75" customHeight="1" x14ac:dyDescent="0.2">
      <c r="A56294" s="258"/>
      <c r="Z56294" s="258"/>
    </row>
    <row r="56295" spans="1:26" ht="12.75" customHeight="1" x14ac:dyDescent="0.2">
      <c r="A56295" s="258"/>
      <c r="Z56295" s="258"/>
    </row>
    <row r="56296" spans="1:26" ht="12.75" customHeight="1" x14ac:dyDescent="0.2">
      <c r="A56296" s="258"/>
      <c r="Z56296" s="258"/>
    </row>
    <row r="56297" spans="1:26" ht="12.75" customHeight="1" x14ac:dyDescent="0.2">
      <c r="A56297" s="258"/>
      <c r="Z56297" s="258"/>
    </row>
    <row r="56298" spans="1:26" ht="12.75" customHeight="1" x14ac:dyDescent="0.2">
      <c r="A56298" s="258"/>
      <c r="Z56298" s="258"/>
    </row>
    <row r="56299" spans="1:26" ht="12.75" customHeight="1" x14ac:dyDescent="0.2">
      <c r="A56299" s="258"/>
      <c r="Z56299" s="258"/>
    </row>
    <row r="56300" spans="1:26" ht="12.75" customHeight="1" x14ac:dyDescent="0.2">
      <c r="A56300" s="258"/>
      <c r="Z56300" s="258"/>
    </row>
    <row r="56301" spans="1:26" ht="12.75" customHeight="1" x14ac:dyDescent="0.2">
      <c r="A56301" s="258"/>
      <c r="Z56301" s="258"/>
    </row>
    <row r="56302" spans="1:26" ht="12.75" customHeight="1" x14ac:dyDescent="0.2">
      <c r="A56302" s="258"/>
      <c r="Z56302" s="258"/>
    </row>
    <row r="56303" spans="1:26" ht="12.75" customHeight="1" x14ac:dyDescent="0.2">
      <c r="A56303" s="258"/>
      <c r="Z56303" s="258"/>
    </row>
    <row r="56304" spans="1:26" ht="12.75" customHeight="1" x14ac:dyDescent="0.2">
      <c r="A56304" s="258"/>
      <c r="Z56304" s="258"/>
    </row>
    <row r="56305" spans="1:26" ht="12.75" customHeight="1" x14ac:dyDescent="0.2">
      <c r="A56305" s="258"/>
      <c r="Z56305" s="258"/>
    </row>
    <row r="56306" spans="1:26" ht="12.75" customHeight="1" x14ac:dyDescent="0.2">
      <c r="A56306" s="258"/>
      <c r="Z56306" s="258"/>
    </row>
    <row r="56307" spans="1:26" ht="12.75" customHeight="1" x14ac:dyDescent="0.2">
      <c r="A56307" s="258"/>
      <c r="Z56307" s="258"/>
    </row>
    <row r="56308" spans="1:26" ht="12.75" customHeight="1" x14ac:dyDescent="0.2">
      <c r="A56308" s="258"/>
      <c r="Z56308" s="258"/>
    </row>
    <row r="56309" spans="1:26" ht="12.75" customHeight="1" x14ac:dyDescent="0.2">
      <c r="A56309" s="258"/>
      <c r="Z56309" s="258"/>
    </row>
    <row r="56310" spans="1:26" ht="12.75" customHeight="1" x14ac:dyDescent="0.2">
      <c r="A56310" s="258"/>
      <c r="Z56310" s="258"/>
    </row>
    <row r="56311" spans="1:26" ht="12.75" customHeight="1" x14ac:dyDescent="0.2">
      <c r="A56311" s="258"/>
      <c r="Z56311" s="258"/>
    </row>
    <row r="56312" spans="1:26" ht="12.75" customHeight="1" x14ac:dyDescent="0.2">
      <c r="A56312" s="258"/>
      <c r="Z56312" s="258"/>
    </row>
    <row r="56313" spans="1:26" ht="12.75" customHeight="1" x14ac:dyDescent="0.2">
      <c r="A56313" s="258"/>
      <c r="Z56313" s="258"/>
    </row>
    <row r="56314" spans="1:26" ht="12.75" customHeight="1" x14ac:dyDescent="0.2">
      <c r="A56314" s="258"/>
      <c r="Z56314" s="258"/>
    </row>
    <row r="56315" spans="1:26" ht="12.75" customHeight="1" x14ac:dyDescent="0.2">
      <c r="A56315" s="258"/>
      <c r="Z56315" s="258"/>
    </row>
    <row r="56316" spans="1:26" ht="12.75" customHeight="1" x14ac:dyDescent="0.2">
      <c r="A56316" s="258"/>
      <c r="Z56316" s="258"/>
    </row>
    <row r="56317" spans="1:26" ht="12.75" customHeight="1" x14ac:dyDescent="0.2">
      <c r="A56317" s="258"/>
      <c r="Z56317" s="258"/>
    </row>
    <row r="56318" spans="1:26" ht="12.75" customHeight="1" x14ac:dyDescent="0.2">
      <c r="A56318" s="258"/>
      <c r="Z56318" s="258"/>
    </row>
    <row r="56319" spans="1:26" ht="12.75" customHeight="1" x14ac:dyDescent="0.2">
      <c r="A56319" s="258"/>
      <c r="Z56319" s="258"/>
    </row>
    <row r="56320" spans="1:26" ht="12.75" customHeight="1" x14ac:dyDescent="0.2">
      <c r="A56320" s="258"/>
      <c r="Z56320" s="258"/>
    </row>
    <row r="56321" spans="1:26" ht="12.75" customHeight="1" x14ac:dyDescent="0.2">
      <c r="A56321" s="258"/>
      <c r="Z56321" s="258"/>
    </row>
    <row r="56322" spans="1:26" ht="12.75" customHeight="1" x14ac:dyDescent="0.2">
      <c r="A56322" s="258"/>
      <c r="Z56322" s="258"/>
    </row>
    <row r="56323" spans="1:26" ht="12.75" customHeight="1" x14ac:dyDescent="0.2">
      <c r="A56323" s="258"/>
      <c r="Z56323" s="258"/>
    </row>
    <row r="56324" spans="1:26" ht="12.75" customHeight="1" x14ac:dyDescent="0.2">
      <c r="A56324" s="258"/>
      <c r="Z56324" s="258"/>
    </row>
    <row r="56325" spans="1:26" ht="12.75" customHeight="1" x14ac:dyDescent="0.2">
      <c r="A56325" s="258"/>
      <c r="Z56325" s="258"/>
    </row>
    <row r="56326" spans="1:26" ht="12.75" customHeight="1" x14ac:dyDescent="0.2">
      <c r="A56326" s="258"/>
      <c r="Z56326" s="258"/>
    </row>
    <row r="56327" spans="1:26" ht="12.75" customHeight="1" x14ac:dyDescent="0.2">
      <c r="A56327" s="258"/>
      <c r="Z56327" s="258"/>
    </row>
    <row r="56328" spans="1:26" ht="12.75" customHeight="1" x14ac:dyDescent="0.2">
      <c r="A56328" s="258"/>
      <c r="Z56328" s="258"/>
    </row>
    <row r="56329" spans="1:26" ht="12.75" customHeight="1" x14ac:dyDescent="0.2">
      <c r="A56329" s="258"/>
      <c r="Z56329" s="258"/>
    </row>
    <row r="56330" spans="1:26" ht="12.75" customHeight="1" x14ac:dyDescent="0.2">
      <c r="A56330" s="258"/>
      <c r="Z56330" s="258"/>
    </row>
    <row r="56331" spans="1:26" ht="12.75" customHeight="1" x14ac:dyDescent="0.2">
      <c r="A56331" s="258"/>
      <c r="Z56331" s="258"/>
    </row>
    <row r="56332" spans="1:26" ht="12.75" customHeight="1" x14ac:dyDescent="0.2">
      <c r="A56332" s="258"/>
      <c r="Z56332" s="258"/>
    </row>
    <row r="56333" spans="1:26" ht="12.75" customHeight="1" x14ac:dyDescent="0.2">
      <c r="A56333" s="258"/>
      <c r="Z56333" s="258"/>
    </row>
    <row r="56334" spans="1:26" ht="12.75" customHeight="1" x14ac:dyDescent="0.2">
      <c r="A56334" s="258"/>
      <c r="Z56334" s="258"/>
    </row>
    <row r="56335" spans="1:26" ht="12.75" customHeight="1" x14ac:dyDescent="0.2">
      <c r="A56335" s="258"/>
      <c r="Z56335" s="258"/>
    </row>
    <row r="56336" spans="1:26" ht="12.75" customHeight="1" x14ac:dyDescent="0.2">
      <c r="A56336" s="258"/>
      <c r="Z56336" s="258"/>
    </row>
    <row r="56337" spans="1:26" ht="12.75" customHeight="1" x14ac:dyDescent="0.2">
      <c r="A56337" s="258"/>
      <c r="Z56337" s="258"/>
    </row>
    <row r="56338" spans="1:26" ht="12.75" customHeight="1" x14ac:dyDescent="0.2">
      <c r="A56338" s="258"/>
      <c r="Z56338" s="258"/>
    </row>
    <row r="56339" spans="1:26" ht="12.75" customHeight="1" x14ac:dyDescent="0.2">
      <c r="A56339" s="258"/>
      <c r="Z56339" s="258"/>
    </row>
    <row r="56340" spans="1:26" ht="12.75" customHeight="1" x14ac:dyDescent="0.2">
      <c r="A56340" s="258"/>
      <c r="Z56340" s="258"/>
    </row>
    <row r="56341" spans="1:26" ht="12.75" customHeight="1" x14ac:dyDescent="0.2">
      <c r="A56341" s="258"/>
      <c r="Z56341" s="258"/>
    </row>
    <row r="56342" spans="1:26" ht="12.75" customHeight="1" x14ac:dyDescent="0.2">
      <c r="A56342" s="258"/>
      <c r="Z56342" s="258"/>
    </row>
    <row r="56343" spans="1:26" ht="12.75" customHeight="1" x14ac:dyDescent="0.2">
      <c r="A56343" s="258"/>
      <c r="Z56343" s="258"/>
    </row>
    <row r="56344" spans="1:26" ht="12.75" customHeight="1" x14ac:dyDescent="0.2">
      <c r="A56344" s="258"/>
      <c r="Z56344" s="258"/>
    </row>
    <row r="56345" spans="1:26" ht="12.75" customHeight="1" x14ac:dyDescent="0.2">
      <c r="A56345" s="258"/>
      <c r="Z56345" s="258"/>
    </row>
    <row r="56346" spans="1:26" ht="12.75" customHeight="1" x14ac:dyDescent="0.2">
      <c r="A56346" s="258"/>
      <c r="Z56346" s="258"/>
    </row>
    <row r="56347" spans="1:26" ht="12.75" customHeight="1" x14ac:dyDescent="0.2">
      <c r="A56347" s="258"/>
      <c r="Z56347" s="258"/>
    </row>
    <row r="56348" spans="1:26" ht="12.75" customHeight="1" x14ac:dyDescent="0.2">
      <c r="A56348" s="258"/>
      <c r="Z56348" s="258"/>
    </row>
    <row r="56349" spans="1:26" ht="12.75" customHeight="1" x14ac:dyDescent="0.2">
      <c r="A56349" s="258"/>
      <c r="Z56349" s="258"/>
    </row>
    <row r="56350" spans="1:26" ht="12.75" customHeight="1" x14ac:dyDescent="0.2">
      <c r="A56350" s="258"/>
      <c r="Z56350" s="258"/>
    </row>
    <row r="56351" spans="1:26" ht="12.75" customHeight="1" x14ac:dyDescent="0.2">
      <c r="A56351" s="258"/>
      <c r="Z56351" s="258"/>
    </row>
    <row r="56352" spans="1:26" ht="12.75" customHeight="1" x14ac:dyDescent="0.2">
      <c r="A56352" s="258"/>
      <c r="Z56352" s="258"/>
    </row>
    <row r="56353" spans="1:26" ht="12.75" customHeight="1" x14ac:dyDescent="0.2">
      <c r="A56353" s="258"/>
      <c r="Z56353" s="258"/>
    </row>
    <row r="56354" spans="1:26" ht="12.75" customHeight="1" x14ac:dyDescent="0.2">
      <c r="A56354" s="258"/>
      <c r="Z56354" s="258"/>
    </row>
    <row r="56355" spans="1:26" ht="12.75" customHeight="1" x14ac:dyDescent="0.2">
      <c r="A56355" s="258"/>
      <c r="Z56355" s="258"/>
    </row>
    <row r="56356" spans="1:26" ht="12.75" customHeight="1" x14ac:dyDescent="0.2">
      <c r="A56356" s="258"/>
      <c r="Z56356" s="258"/>
    </row>
    <row r="56357" spans="1:26" ht="12.75" customHeight="1" x14ac:dyDescent="0.2">
      <c r="A56357" s="258"/>
      <c r="Z56357" s="258"/>
    </row>
    <row r="56358" spans="1:26" ht="12.75" customHeight="1" x14ac:dyDescent="0.2">
      <c r="A56358" s="258"/>
      <c r="Z56358" s="258"/>
    </row>
    <row r="56359" spans="1:26" ht="12.75" customHeight="1" x14ac:dyDescent="0.2">
      <c r="A56359" s="258"/>
      <c r="Z56359" s="258"/>
    </row>
    <row r="56360" spans="1:26" ht="12.75" customHeight="1" x14ac:dyDescent="0.2">
      <c r="A56360" s="258"/>
      <c r="Z56360" s="258"/>
    </row>
    <row r="56361" spans="1:26" ht="12.75" customHeight="1" x14ac:dyDescent="0.2">
      <c r="A56361" s="258"/>
      <c r="Z56361" s="258"/>
    </row>
    <row r="56362" spans="1:26" ht="12.75" customHeight="1" x14ac:dyDescent="0.2">
      <c r="A56362" s="258"/>
      <c r="Z56362" s="258"/>
    </row>
    <row r="56363" spans="1:26" ht="12.75" customHeight="1" x14ac:dyDescent="0.2">
      <c r="A56363" s="258"/>
      <c r="Z56363" s="258"/>
    </row>
    <row r="56364" spans="1:26" ht="12.75" customHeight="1" x14ac:dyDescent="0.2">
      <c r="A56364" s="258"/>
      <c r="Z56364" s="258"/>
    </row>
    <row r="56365" spans="1:26" ht="12.75" customHeight="1" x14ac:dyDescent="0.2">
      <c r="A56365" s="258"/>
      <c r="Z56365" s="258"/>
    </row>
    <row r="56366" spans="1:26" ht="12.75" customHeight="1" x14ac:dyDescent="0.2">
      <c r="A56366" s="258"/>
      <c r="Z56366" s="258"/>
    </row>
    <row r="56367" spans="1:26" ht="12.75" customHeight="1" x14ac:dyDescent="0.2">
      <c r="A56367" s="258"/>
      <c r="Z56367" s="258"/>
    </row>
    <row r="56368" spans="1:26" ht="12.75" customHeight="1" x14ac:dyDescent="0.2">
      <c r="A56368" s="258"/>
      <c r="Z56368" s="258"/>
    </row>
    <row r="56369" spans="1:26" ht="12.75" customHeight="1" x14ac:dyDescent="0.2">
      <c r="A56369" s="258"/>
      <c r="Z56369" s="258"/>
    </row>
    <row r="56370" spans="1:26" ht="12.75" customHeight="1" x14ac:dyDescent="0.2">
      <c r="A56370" s="258"/>
      <c r="Z56370" s="258"/>
    </row>
    <row r="56371" spans="1:26" ht="12.75" customHeight="1" x14ac:dyDescent="0.2">
      <c r="A56371" s="258"/>
      <c r="Z56371" s="258"/>
    </row>
    <row r="56372" spans="1:26" ht="12.75" customHeight="1" x14ac:dyDescent="0.2">
      <c r="A56372" s="258"/>
      <c r="Z56372" s="258"/>
    </row>
    <row r="56373" spans="1:26" ht="12.75" customHeight="1" x14ac:dyDescent="0.2">
      <c r="A56373" s="258"/>
      <c r="Z56373" s="258"/>
    </row>
    <row r="56374" spans="1:26" ht="12.75" customHeight="1" x14ac:dyDescent="0.2">
      <c r="A56374" s="258"/>
      <c r="Z56374" s="258"/>
    </row>
    <row r="56375" spans="1:26" ht="12.75" customHeight="1" x14ac:dyDescent="0.2">
      <c r="A56375" s="258"/>
      <c r="Z56375" s="258"/>
    </row>
    <row r="56376" spans="1:26" ht="12.75" customHeight="1" x14ac:dyDescent="0.2">
      <c r="A56376" s="258"/>
      <c r="Z56376" s="258"/>
    </row>
    <row r="56377" spans="1:26" ht="12.75" customHeight="1" x14ac:dyDescent="0.2">
      <c r="A56377" s="258"/>
      <c r="Z56377" s="258"/>
    </row>
    <row r="56378" spans="1:26" ht="12.75" customHeight="1" x14ac:dyDescent="0.2">
      <c r="A56378" s="258"/>
      <c r="Z56378" s="258"/>
    </row>
    <row r="56379" spans="1:26" ht="12.75" customHeight="1" x14ac:dyDescent="0.2">
      <c r="A56379" s="258"/>
      <c r="Z56379" s="258"/>
    </row>
    <row r="56380" spans="1:26" ht="12.75" customHeight="1" x14ac:dyDescent="0.2">
      <c r="A56380" s="258"/>
      <c r="Z56380" s="258"/>
    </row>
    <row r="56381" spans="1:26" ht="12.75" customHeight="1" x14ac:dyDescent="0.2">
      <c r="A56381" s="258"/>
      <c r="Z56381" s="258"/>
    </row>
    <row r="56382" spans="1:26" ht="12.75" customHeight="1" x14ac:dyDescent="0.2">
      <c r="A56382" s="258"/>
      <c r="Z56382" s="258"/>
    </row>
    <row r="56383" spans="1:26" ht="12.75" customHeight="1" x14ac:dyDescent="0.2">
      <c r="A56383" s="258"/>
      <c r="Z56383" s="258"/>
    </row>
    <row r="56384" spans="1:26" ht="12.75" customHeight="1" x14ac:dyDescent="0.2">
      <c r="A56384" s="258"/>
      <c r="Z56384" s="258"/>
    </row>
    <row r="56385" spans="1:26" ht="12.75" customHeight="1" x14ac:dyDescent="0.2">
      <c r="A56385" s="258"/>
      <c r="Z56385" s="258"/>
    </row>
    <row r="56386" spans="1:26" ht="12.75" customHeight="1" x14ac:dyDescent="0.2">
      <c r="A56386" s="258"/>
      <c r="Z56386" s="258"/>
    </row>
    <row r="56387" spans="1:26" ht="12.75" customHeight="1" x14ac:dyDescent="0.2">
      <c r="A56387" s="258"/>
      <c r="Z56387" s="258"/>
    </row>
    <row r="56388" spans="1:26" ht="12.75" customHeight="1" x14ac:dyDescent="0.2">
      <c r="A56388" s="258"/>
      <c r="Z56388" s="258"/>
    </row>
    <row r="56389" spans="1:26" ht="12.75" customHeight="1" x14ac:dyDescent="0.2">
      <c r="A56389" s="258"/>
      <c r="Z56389" s="258"/>
    </row>
    <row r="56390" spans="1:26" ht="12.75" customHeight="1" x14ac:dyDescent="0.2">
      <c r="A56390" s="258"/>
      <c r="Z56390" s="258"/>
    </row>
    <row r="56391" spans="1:26" ht="12.75" customHeight="1" x14ac:dyDescent="0.2">
      <c r="A56391" s="258"/>
      <c r="Z56391" s="258"/>
    </row>
    <row r="56392" spans="1:26" ht="12.75" customHeight="1" x14ac:dyDescent="0.2">
      <c r="A56392" s="258"/>
      <c r="Z56392" s="258"/>
    </row>
    <row r="56393" spans="1:26" ht="12.75" customHeight="1" x14ac:dyDescent="0.2">
      <c r="A56393" s="258"/>
      <c r="Z56393" s="258"/>
    </row>
    <row r="56394" spans="1:26" ht="12.75" customHeight="1" x14ac:dyDescent="0.2">
      <c r="A56394" s="258"/>
      <c r="Z56394" s="258"/>
    </row>
    <row r="56395" spans="1:26" ht="12.75" customHeight="1" x14ac:dyDescent="0.2">
      <c r="A56395" s="258"/>
      <c r="Z56395" s="258"/>
    </row>
    <row r="56396" spans="1:26" ht="12.75" customHeight="1" x14ac:dyDescent="0.2">
      <c r="A56396" s="258"/>
      <c r="Z56396" s="258"/>
    </row>
    <row r="56397" spans="1:26" ht="12.75" customHeight="1" x14ac:dyDescent="0.2">
      <c r="A56397" s="258"/>
      <c r="Z56397" s="258"/>
    </row>
    <row r="56398" spans="1:26" ht="12.75" customHeight="1" x14ac:dyDescent="0.2">
      <c r="A56398" s="258"/>
      <c r="Z56398" s="258"/>
    </row>
    <row r="56399" spans="1:26" ht="12.75" customHeight="1" x14ac:dyDescent="0.2">
      <c r="A56399" s="258"/>
      <c r="Z56399" s="258"/>
    </row>
    <row r="56400" spans="1:26" ht="12.75" customHeight="1" x14ac:dyDescent="0.2">
      <c r="A56400" s="258"/>
      <c r="Z56400" s="258"/>
    </row>
    <row r="56401" spans="1:26" ht="12.75" customHeight="1" x14ac:dyDescent="0.2">
      <c r="A56401" s="258"/>
      <c r="Z56401" s="258"/>
    </row>
    <row r="56402" spans="1:26" ht="12.75" customHeight="1" x14ac:dyDescent="0.2">
      <c r="A56402" s="258"/>
      <c r="Z56402" s="258"/>
    </row>
    <row r="56403" spans="1:26" ht="12.75" customHeight="1" x14ac:dyDescent="0.2">
      <c r="A56403" s="258"/>
      <c r="Z56403" s="258"/>
    </row>
    <row r="56404" spans="1:26" ht="12.75" customHeight="1" x14ac:dyDescent="0.2">
      <c r="A56404" s="258"/>
      <c r="Z56404" s="258"/>
    </row>
    <row r="56405" spans="1:26" ht="12.75" customHeight="1" x14ac:dyDescent="0.2">
      <c r="A56405" s="258"/>
      <c r="Z56405" s="258"/>
    </row>
    <row r="56406" spans="1:26" ht="12.75" customHeight="1" x14ac:dyDescent="0.2">
      <c r="A56406" s="258"/>
      <c r="Z56406" s="258"/>
    </row>
    <row r="56407" spans="1:26" ht="12.75" customHeight="1" x14ac:dyDescent="0.2">
      <c r="A56407" s="258"/>
      <c r="Z56407" s="258"/>
    </row>
    <row r="56408" spans="1:26" ht="12.75" customHeight="1" x14ac:dyDescent="0.2">
      <c r="A56408" s="258"/>
      <c r="Z56408" s="258"/>
    </row>
    <row r="56409" spans="1:26" ht="12.75" customHeight="1" x14ac:dyDescent="0.2">
      <c r="A56409" s="258"/>
      <c r="Z56409" s="258"/>
    </row>
    <row r="56410" spans="1:26" ht="12.75" customHeight="1" x14ac:dyDescent="0.2">
      <c r="A56410" s="258"/>
      <c r="Z56410" s="258"/>
    </row>
    <row r="56411" spans="1:26" ht="12.75" customHeight="1" x14ac:dyDescent="0.2">
      <c r="A56411" s="258"/>
      <c r="Z56411" s="258"/>
    </row>
    <row r="56412" spans="1:26" ht="12.75" customHeight="1" x14ac:dyDescent="0.2">
      <c r="A56412" s="258"/>
      <c r="Z56412" s="258"/>
    </row>
    <row r="56413" spans="1:26" ht="12.75" customHeight="1" x14ac:dyDescent="0.2">
      <c r="A56413" s="258"/>
      <c r="Z56413" s="258"/>
    </row>
    <row r="56414" spans="1:26" ht="12.75" customHeight="1" x14ac:dyDescent="0.2">
      <c r="A56414" s="258"/>
      <c r="Z56414" s="258"/>
    </row>
    <row r="56415" spans="1:26" ht="12.75" customHeight="1" x14ac:dyDescent="0.2">
      <c r="A56415" s="258"/>
      <c r="Z56415" s="258"/>
    </row>
    <row r="56416" spans="1:26" ht="12.75" customHeight="1" x14ac:dyDescent="0.2">
      <c r="A56416" s="258"/>
      <c r="Z56416" s="258"/>
    </row>
    <row r="56417" spans="1:26" ht="12.75" customHeight="1" x14ac:dyDescent="0.2">
      <c r="A56417" s="258"/>
      <c r="Z56417" s="258"/>
    </row>
    <row r="56418" spans="1:26" ht="12.75" customHeight="1" x14ac:dyDescent="0.2">
      <c r="A56418" s="258"/>
      <c r="Z56418" s="258"/>
    </row>
    <row r="56419" spans="1:26" ht="12.75" customHeight="1" x14ac:dyDescent="0.2">
      <c r="A56419" s="258"/>
      <c r="Z56419" s="258"/>
    </row>
    <row r="56420" spans="1:26" ht="12.75" customHeight="1" x14ac:dyDescent="0.2">
      <c r="A56420" s="258"/>
      <c r="Z56420" s="258"/>
    </row>
    <row r="56421" spans="1:26" ht="12.75" customHeight="1" x14ac:dyDescent="0.2">
      <c r="A56421" s="258"/>
      <c r="Z56421" s="258"/>
    </row>
    <row r="56422" spans="1:26" ht="12.75" customHeight="1" x14ac:dyDescent="0.2">
      <c r="A56422" s="258"/>
      <c r="Z56422" s="258"/>
    </row>
    <row r="56423" spans="1:26" ht="12.75" customHeight="1" x14ac:dyDescent="0.2">
      <c r="A56423" s="258"/>
      <c r="Z56423" s="258"/>
    </row>
    <row r="56424" spans="1:26" ht="12.75" customHeight="1" x14ac:dyDescent="0.2">
      <c r="A56424" s="258"/>
      <c r="Z56424" s="258"/>
    </row>
    <row r="56425" spans="1:26" ht="12.75" customHeight="1" x14ac:dyDescent="0.2">
      <c r="A56425" s="258"/>
      <c r="Z56425" s="258"/>
    </row>
    <row r="56426" spans="1:26" ht="12.75" customHeight="1" x14ac:dyDescent="0.2">
      <c r="A56426" s="258"/>
      <c r="Z56426" s="258"/>
    </row>
    <row r="56427" spans="1:26" ht="12.75" customHeight="1" x14ac:dyDescent="0.2">
      <c r="A56427" s="258"/>
      <c r="Z56427" s="258"/>
    </row>
    <row r="56428" spans="1:26" ht="12.75" customHeight="1" x14ac:dyDescent="0.2">
      <c r="A56428" s="258"/>
      <c r="Z56428" s="258"/>
    </row>
    <row r="56429" spans="1:26" ht="12.75" customHeight="1" x14ac:dyDescent="0.2">
      <c r="A56429" s="258"/>
      <c r="Z56429" s="258"/>
    </row>
    <row r="56430" spans="1:26" ht="12.75" customHeight="1" x14ac:dyDescent="0.2">
      <c r="A56430" s="258"/>
      <c r="Z56430" s="258"/>
    </row>
    <row r="56431" spans="1:26" ht="12.75" customHeight="1" x14ac:dyDescent="0.2">
      <c r="A56431" s="258"/>
      <c r="Z56431" s="258"/>
    </row>
    <row r="56432" spans="1:26" ht="12.75" customHeight="1" x14ac:dyDescent="0.2">
      <c r="A56432" s="258"/>
      <c r="Z56432" s="258"/>
    </row>
    <row r="56433" spans="1:26" ht="12.75" customHeight="1" x14ac:dyDescent="0.2">
      <c r="A56433" s="258"/>
      <c r="Z56433" s="258"/>
    </row>
    <row r="56434" spans="1:26" ht="12.75" customHeight="1" x14ac:dyDescent="0.2">
      <c r="A56434" s="258"/>
      <c r="Z56434" s="258"/>
    </row>
    <row r="56435" spans="1:26" ht="12.75" customHeight="1" x14ac:dyDescent="0.2">
      <c r="A56435" s="258"/>
      <c r="Z56435" s="258"/>
    </row>
    <row r="56436" spans="1:26" ht="12.75" customHeight="1" x14ac:dyDescent="0.2">
      <c r="A56436" s="258"/>
      <c r="Z56436" s="258"/>
    </row>
    <row r="56437" spans="1:26" ht="12.75" customHeight="1" x14ac:dyDescent="0.2">
      <c r="A56437" s="258"/>
      <c r="Z56437" s="258"/>
    </row>
    <row r="56438" spans="1:26" ht="12.75" customHeight="1" x14ac:dyDescent="0.2">
      <c r="A56438" s="258"/>
      <c r="Z56438" s="258"/>
    </row>
    <row r="56439" spans="1:26" ht="12.75" customHeight="1" x14ac:dyDescent="0.2">
      <c r="A56439" s="258"/>
      <c r="Z56439" s="258"/>
    </row>
    <row r="56440" spans="1:26" ht="12.75" customHeight="1" x14ac:dyDescent="0.2">
      <c r="A56440" s="258"/>
      <c r="Z56440" s="258"/>
    </row>
    <row r="56441" spans="1:26" ht="12.75" customHeight="1" x14ac:dyDescent="0.2">
      <c r="A56441" s="258"/>
      <c r="Z56441" s="258"/>
    </row>
    <row r="56442" spans="1:26" ht="12.75" customHeight="1" x14ac:dyDescent="0.2">
      <c r="A56442" s="258"/>
      <c r="Z56442" s="258"/>
    </row>
    <row r="56443" spans="1:26" ht="12.75" customHeight="1" x14ac:dyDescent="0.2">
      <c r="A56443" s="258"/>
      <c r="Z56443" s="258"/>
    </row>
    <row r="56444" spans="1:26" ht="12.75" customHeight="1" x14ac:dyDescent="0.2">
      <c r="A56444" s="258"/>
      <c r="Z56444" s="258"/>
    </row>
    <row r="56445" spans="1:26" ht="12.75" customHeight="1" x14ac:dyDescent="0.2">
      <c r="A56445" s="258"/>
      <c r="Z56445" s="258"/>
    </row>
    <row r="56446" spans="1:26" ht="12.75" customHeight="1" x14ac:dyDescent="0.2">
      <c r="A56446" s="258"/>
      <c r="Z56446" s="258"/>
    </row>
    <row r="56447" spans="1:26" ht="12.75" customHeight="1" x14ac:dyDescent="0.2">
      <c r="A56447" s="258"/>
      <c r="Z56447" s="258"/>
    </row>
    <row r="56448" spans="1:26" ht="12.75" customHeight="1" x14ac:dyDescent="0.2">
      <c r="A56448" s="258"/>
      <c r="Z56448" s="258"/>
    </row>
    <row r="56449" spans="1:26" ht="12.75" customHeight="1" x14ac:dyDescent="0.2">
      <c r="A56449" s="258"/>
      <c r="Z56449" s="258"/>
    </row>
    <row r="56450" spans="1:26" ht="12.75" customHeight="1" x14ac:dyDescent="0.2">
      <c r="A56450" s="258"/>
      <c r="Z56450" s="258"/>
    </row>
    <row r="56451" spans="1:26" ht="12.75" customHeight="1" x14ac:dyDescent="0.2">
      <c r="A56451" s="258"/>
      <c r="Z56451" s="258"/>
    </row>
    <row r="56452" spans="1:26" ht="12.75" customHeight="1" x14ac:dyDescent="0.2">
      <c r="A56452" s="258"/>
      <c r="Z56452" s="258"/>
    </row>
    <row r="56453" spans="1:26" ht="12.75" customHeight="1" x14ac:dyDescent="0.2">
      <c r="A56453" s="258"/>
      <c r="Z56453" s="258"/>
    </row>
    <row r="56454" spans="1:26" ht="12.75" customHeight="1" x14ac:dyDescent="0.2">
      <c r="A56454" s="258"/>
      <c r="Z56454" s="258"/>
    </row>
    <row r="56455" spans="1:26" ht="12.75" customHeight="1" x14ac:dyDescent="0.2">
      <c r="A56455" s="258"/>
      <c r="Z56455" s="258"/>
    </row>
    <row r="56456" spans="1:26" ht="12.75" customHeight="1" x14ac:dyDescent="0.2">
      <c r="A56456" s="258"/>
      <c r="Z56456" s="258"/>
    </row>
    <row r="56457" spans="1:26" ht="12.75" customHeight="1" x14ac:dyDescent="0.2">
      <c r="A56457" s="258"/>
      <c r="Z56457" s="258"/>
    </row>
    <row r="56458" spans="1:26" ht="12.75" customHeight="1" x14ac:dyDescent="0.2">
      <c r="A56458" s="258"/>
      <c r="Z56458" s="258"/>
    </row>
    <row r="56459" spans="1:26" ht="12.75" customHeight="1" x14ac:dyDescent="0.2">
      <c r="A56459" s="258"/>
      <c r="Z56459" s="258"/>
    </row>
    <row r="56460" spans="1:26" ht="12.75" customHeight="1" x14ac:dyDescent="0.2">
      <c r="A56460" s="258"/>
      <c r="Z56460" s="258"/>
    </row>
    <row r="56461" spans="1:26" ht="12.75" customHeight="1" x14ac:dyDescent="0.2">
      <c r="A56461" s="258"/>
      <c r="Z56461" s="258"/>
    </row>
    <row r="56462" spans="1:26" ht="12.75" customHeight="1" x14ac:dyDescent="0.2">
      <c r="A56462" s="258"/>
      <c r="Z56462" s="258"/>
    </row>
    <row r="56463" spans="1:26" ht="12.75" customHeight="1" x14ac:dyDescent="0.2">
      <c r="A56463" s="258"/>
      <c r="Z56463" s="258"/>
    </row>
    <row r="56464" spans="1:26" ht="12.75" customHeight="1" x14ac:dyDescent="0.2">
      <c r="A56464" s="258"/>
      <c r="Z56464" s="258"/>
    </row>
    <row r="56465" spans="1:26" ht="12.75" customHeight="1" x14ac:dyDescent="0.2">
      <c r="A56465" s="258"/>
      <c r="Z56465" s="258"/>
    </row>
    <row r="56466" spans="1:26" ht="12.75" customHeight="1" x14ac:dyDescent="0.2">
      <c r="A56466" s="258"/>
      <c r="Z56466" s="258"/>
    </row>
    <row r="56467" spans="1:26" ht="12.75" customHeight="1" x14ac:dyDescent="0.2">
      <c r="A56467" s="258"/>
      <c r="Z56467" s="258"/>
    </row>
    <row r="56468" spans="1:26" ht="12.75" customHeight="1" x14ac:dyDescent="0.2">
      <c r="A56468" s="258"/>
      <c r="Z56468" s="258"/>
    </row>
    <row r="56469" spans="1:26" ht="12.75" customHeight="1" x14ac:dyDescent="0.2">
      <c r="A56469" s="258"/>
      <c r="Z56469" s="258"/>
    </row>
    <row r="56470" spans="1:26" ht="12.75" customHeight="1" x14ac:dyDescent="0.2">
      <c r="A56470" s="258"/>
      <c r="Z56470" s="258"/>
    </row>
    <row r="56471" spans="1:26" ht="12.75" customHeight="1" x14ac:dyDescent="0.2">
      <c r="A56471" s="258"/>
      <c r="Z56471" s="258"/>
    </row>
    <row r="56472" spans="1:26" ht="12.75" customHeight="1" x14ac:dyDescent="0.2">
      <c r="A56472" s="258"/>
      <c r="Z56472" s="258"/>
    </row>
    <row r="56473" spans="1:26" ht="12.75" customHeight="1" x14ac:dyDescent="0.2">
      <c r="A56473" s="258"/>
      <c r="Z56473" s="258"/>
    </row>
    <row r="56474" spans="1:26" ht="12.75" customHeight="1" x14ac:dyDescent="0.2">
      <c r="A56474" s="258"/>
      <c r="Z56474" s="258"/>
    </row>
    <row r="56475" spans="1:26" ht="12.75" customHeight="1" x14ac:dyDescent="0.2">
      <c r="A56475" s="258"/>
      <c r="Z56475" s="258"/>
    </row>
    <row r="56476" spans="1:26" ht="12.75" customHeight="1" x14ac:dyDescent="0.2">
      <c r="A56476" s="258"/>
      <c r="Z56476" s="258"/>
    </row>
    <row r="56477" spans="1:26" ht="12.75" customHeight="1" x14ac:dyDescent="0.2">
      <c r="A56477" s="258"/>
      <c r="Z56477" s="258"/>
    </row>
    <row r="56478" spans="1:26" ht="12.75" customHeight="1" x14ac:dyDescent="0.2">
      <c r="A56478" s="258"/>
      <c r="Z56478" s="258"/>
    </row>
    <row r="56479" spans="1:26" ht="12.75" customHeight="1" x14ac:dyDescent="0.2">
      <c r="A56479" s="258"/>
      <c r="Z56479" s="258"/>
    </row>
    <row r="56480" spans="1:26" ht="12.75" customHeight="1" x14ac:dyDescent="0.2">
      <c r="A56480" s="258"/>
      <c r="Z56480" s="258"/>
    </row>
    <row r="56481" spans="1:26" ht="12.75" customHeight="1" x14ac:dyDescent="0.2">
      <c r="A56481" s="258"/>
      <c r="Z56481" s="258"/>
    </row>
    <row r="56482" spans="1:26" ht="12.75" customHeight="1" x14ac:dyDescent="0.2">
      <c r="A56482" s="258"/>
      <c r="Z56482" s="258"/>
    </row>
    <row r="56483" spans="1:26" ht="12.75" customHeight="1" x14ac:dyDescent="0.2">
      <c r="A56483" s="258"/>
      <c r="Z56483" s="258"/>
    </row>
    <row r="56484" spans="1:26" ht="12.75" customHeight="1" x14ac:dyDescent="0.2">
      <c r="A56484" s="258"/>
      <c r="Z56484" s="258"/>
    </row>
    <row r="56485" spans="1:26" ht="12.75" customHeight="1" x14ac:dyDescent="0.2">
      <c r="A56485" s="258"/>
      <c r="Z56485" s="258"/>
    </row>
    <row r="56486" spans="1:26" ht="12.75" customHeight="1" x14ac:dyDescent="0.2">
      <c r="A56486" s="258"/>
      <c r="Z56486" s="258"/>
    </row>
    <row r="56487" spans="1:26" ht="12.75" customHeight="1" x14ac:dyDescent="0.2">
      <c r="A56487" s="258"/>
      <c r="Z56487" s="258"/>
    </row>
    <row r="56488" spans="1:26" ht="12.75" customHeight="1" x14ac:dyDescent="0.2">
      <c r="A56488" s="258"/>
      <c r="Z56488" s="258"/>
    </row>
    <row r="56489" spans="1:26" ht="12.75" customHeight="1" x14ac:dyDescent="0.2">
      <c r="A56489" s="258"/>
      <c r="Z56489" s="258"/>
    </row>
    <row r="56490" spans="1:26" ht="12.75" customHeight="1" x14ac:dyDescent="0.2">
      <c r="A56490" s="258"/>
      <c r="Z56490" s="258"/>
    </row>
    <row r="56491" spans="1:26" ht="12.75" customHeight="1" x14ac:dyDescent="0.2">
      <c r="A56491" s="258"/>
      <c r="Z56491" s="258"/>
    </row>
    <row r="56492" spans="1:26" ht="12.75" customHeight="1" x14ac:dyDescent="0.2">
      <c r="A56492" s="258"/>
      <c r="Z56492" s="258"/>
    </row>
    <row r="56493" spans="1:26" ht="12.75" customHeight="1" x14ac:dyDescent="0.2">
      <c r="A56493" s="258"/>
      <c r="Z56493" s="258"/>
    </row>
    <row r="56494" spans="1:26" ht="12.75" customHeight="1" x14ac:dyDescent="0.2">
      <c r="A56494" s="258"/>
      <c r="Z56494" s="258"/>
    </row>
    <row r="56495" spans="1:26" ht="12.75" customHeight="1" x14ac:dyDescent="0.2">
      <c r="A56495" s="258"/>
      <c r="Z56495" s="258"/>
    </row>
    <row r="56496" spans="1:26" ht="12.75" customHeight="1" x14ac:dyDescent="0.2">
      <c r="A56496" s="258"/>
      <c r="Z56496" s="258"/>
    </row>
    <row r="56497" spans="1:26" ht="12.75" customHeight="1" x14ac:dyDescent="0.2">
      <c r="A56497" s="258"/>
      <c r="Z56497" s="258"/>
    </row>
    <row r="56498" spans="1:26" ht="12.75" customHeight="1" x14ac:dyDescent="0.2">
      <c r="A56498" s="258"/>
      <c r="Z56498" s="258"/>
    </row>
    <row r="56499" spans="1:26" ht="12.75" customHeight="1" x14ac:dyDescent="0.2">
      <c r="A56499" s="258"/>
      <c r="Z56499" s="258"/>
    </row>
    <row r="56500" spans="1:26" ht="12.75" customHeight="1" x14ac:dyDescent="0.2">
      <c r="A56500" s="258"/>
      <c r="Z56500" s="258"/>
    </row>
    <row r="56501" spans="1:26" ht="12.75" customHeight="1" x14ac:dyDescent="0.2">
      <c r="A56501" s="258"/>
      <c r="Z56501" s="258"/>
    </row>
    <row r="56502" spans="1:26" ht="12.75" customHeight="1" x14ac:dyDescent="0.2">
      <c r="A56502" s="258"/>
      <c r="Z56502" s="258"/>
    </row>
    <row r="56503" spans="1:26" ht="12.75" customHeight="1" x14ac:dyDescent="0.2">
      <c r="A56503" s="258"/>
      <c r="Z56503" s="258"/>
    </row>
    <row r="56504" spans="1:26" ht="12.75" customHeight="1" x14ac:dyDescent="0.2">
      <c r="A56504" s="258"/>
      <c r="Z56504" s="258"/>
    </row>
    <row r="56505" spans="1:26" ht="12.75" customHeight="1" x14ac:dyDescent="0.2">
      <c r="A56505" s="258"/>
      <c r="Z56505" s="258"/>
    </row>
    <row r="56506" spans="1:26" ht="12.75" customHeight="1" x14ac:dyDescent="0.2">
      <c r="A56506" s="258"/>
      <c r="Z56506" s="258"/>
    </row>
    <row r="56507" spans="1:26" ht="12.75" customHeight="1" x14ac:dyDescent="0.2">
      <c r="A56507" s="258"/>
      <c r="Z56507" s="258"/>
    </row>
    <row r="56508" spans="1:26" ht="12.75" customHeight="1" x14ac:dyDescent="0.2">
      <c r="A56508" s="258"/>
      <c r="Z56508" s="258"/>
    </row>
    <row r="56509" spans="1:26" ht="12.75" customHeight="1" x14ac:dyDescent="0.2">
      <c r="A56509" s="258"/>
      <c r="Z56509" s="258"/>
    </row>
    <row r="56510" spans="1:26" ht="12.75" customHeight="1" x14ac:dyDescent="0.2">
      <c r="A56510" s="258"/>
      <c r="Z56510" s="258"/>
    </row>
    <row r="56511" spans="1:26" ht="12.75" customHeight="1" x14ac:dyDescent="0.2">
      <c r="A56511" s="258"/>
      <c r="Z56511" s="258"/>
    </row>
    <row r="56512" spans="1:26" ht="12.75" customHeight="1" x14ac:dyDescent="0.2">
      <c r="A56512" s="258"/>
      <c r="Z56512" s="258"/>
    </row>
    <row r="56513" spans="1:26" ht="12.75" customHeight="1" x14ac:dyDescent="0.2">
      <c r="A56513" s="258"/>
      <c r="Z56513" s="258"/>
    </row>
    <row r="56514" spans="1:26" ht="12.75" customHeight="1" x14ac:dyDescent="0.2">
      <c r="A56514" s="258"/>
      <c r="Z56514" s="258"/>
    </row>
    <row r="56515" spans="1:26" ht="12.75" customHeight="1" x14ac:dyDescent="0.2">
      <c r="A56515" s="258"/>
      <c r="Z56515" s="258"/>
    </row>
    <row r="56516" spans="1:26" ht="12.75" customHeight="1" x14ac:dyDescent="0.2">
      <c r="A56516" s="258"/>
      <c r="Z56516" s="258"/>
    </row>
    <row r="56517" spans="1:26" ht="12.75" customHeight="1" x14ac:dyDescent="0.2">
      <c r="A56517" s="258"/>
      <c r="Z56517" s="258"/>
    </row>
    <row r="56518" spans="1:26" ht="12.75" customHeight="1" x14ac:dyDescent="0.2">
      <c r="A56518" s="258"/>
      <c r="Z56518" s="258"/>
    </row>
    <row r="56519" spans="1:26" ht="12.75" customHeight="1" x14ac:dyDescent="0.2">
      <c r="A56519" s="258"/>
      <c r="Z56519" s="258"/>
    </row>
    <row r="56520" spans="1:26" ht="12.75" customHeight="1" x14ac:dyDescent="0.2">
      <c r="A56520" s="258"/>
      <c r="Z56520" s="258"/>
    </row>
    <row r="56521" spans="1:26" ht="12.75" customHeight="1" x14ac:dyDescent="0.2">
      <c r="A56521" s="258"/>
      <c r="Z56521" s="258"/>
    </row>
    <row r="56522" spans="1:26" ht="12.75" customHeight="1" x14ac:dyDescent="0.2">
      <c r="A56522" s="258"/>
      <c r="Z56522" s="258"/>
    </row>
    <row r="56523" spans="1:26" ht="12.75" customHeight="1" x14ac:dyDescent="0.2">
      <c r="A56523" s="258"/>
      <c r="Z56523" s="258"/>
    </row>
    <row r="56524" spans="1:26" ht="12.75" customHeight="1" x14ac:dyDescent="0.2">
      <c r="A56524" s="258"/>
      <c r="Z56524" s="258"/>
    </row>
    <row r="56525" spans="1:26" ht="12.75" customHeight="1" x14ac:dyDescent="0.2">
      <c r="A56525" s="258"/>
      <c r="Z56525" s="258"/>
    </row>
    <row r="56526" spans="1:26" ht="12.75" customHeight="1" x14ac:dyDescent="0.2">
      <c r="A56526" s="258"/>
      <c r="Z56526" s="258"/>
    </row>
    <row r="56527" spans="1:26" ht="12.75" customHeight="1" x14ac:dyDescent="0.2">
      <c r="A56527" s="258"/>
      <c r="Z56527" s="258"/>
    </row>
    <row r="56528" spans="1:26" ht="12.75" customHeight="1" x14ac:dyDescent="0.2">
      <c r="A56528" s="258"/>
      <c r="Z56528" s="258"/>
    </row>
    <row r="56529" spans="1:26" ht="12.75" customHeight="1" x14ac:dyDescent="0.2">
      <c r="A56529" s="258"/>
      <c r="Z56529" s="258"/>
    </row>
    <row r="56530" spans="1:26" ht="12.75" customHeight="1" x14ac:dyDescent="0.2">
      <c r="A56530" s="258"/>
      <c r="Z56530" s="258"/>
    </row>
    <row r="56531" spans="1:26" ht="12.75" customHeight="1" x14ac:dyDescent="0.2">
      <c r="A56531" s="258"/>
      <c r="Z56531" s="258"/>
    </row>
    <row r="56532" spans="1:26" ht="12.75" customHeight="1" x14ac:dyDescent="0.2">
      <c r="A56532" s="258"/>
      <c r="Z56532" s="258"/>
    </row>
    <row r="56533" spans="1:26" ht="12.75" customHeight="1" x14ac:dyDescent="0.2">
      <c r="A56533" s="258"/>
      <c r="Z56533" s="258"/>
    </row>
    <row r="56534" spans="1:26" ht="12.75" customHeight="1" x14ac:dyDescent="0.2">
      <c r="A56534" s="258"/>
      <c r="Z56534" s="258"/>
    </row>
    <row r="56535" spans="1:26" ht="12.75" customHeight="1" x14ac:dyDescent="0.2">
      <c r="A56535" s="258"/>
      <c r="Z56535" s="258"/>
    </row>
    <row r="56536" spans="1:26" ht="12.75" customHeight="1" x14ac:dyDescent="0.2">
      <c r="A56536" s="258"/>
      <c r="Z56536" s="258"/>
    </row>
    <row r="56537" spans="1:26" ht="12.75" customHeight="1" x14ac:dyDescent="0.2">
      <c r="A56537" s="258"/>
      <c r="Z56537" s="258"/>
    </row>
    <row r="56538" spans="1:26" ht="12.75" customHeight="1" x14ac:dyDescent="0.2">
      <c r="A56538" s="258"/>
      <c r="Z56538" s="258"/>
    </row>
    <row r="56539" spans="1:26" ht="12.75" customHeight="1" x14ac:dyDescent="0.2">
      <c r="A56539" s="258"/>
      <c r="Z56539" s="258"/>
    </row>
    <row r="56540" spans="1:26" ht="12.75" customHeight="1" x14ac:dyDescent="0.2">
      <c r="A56540" s="258"/>
      <c r="Z56540" s="258"/>
    </row>
    <row r="56541" spans="1:26" ht="12.75" customHeight="1" x14ac:dyDescent="0.2">
      <c r="A56541" s="258"/>
      <c r="Z56541" s="258"/>
    </row>
    <row r="56542" spans="1:26" ht="12.75" customHeight="1" x14ac:dyDescent="0.2">
      <c r="A56542" s="258"/>
      <c r="Z56542" s="258"/>
    </row>
    <row r="56543" spans="1:26" ht="12.75" customHeight="1" x14ac:dyDescent="0.2">
      <c r="A56543" s="258"/>
      <c r="Z56543" s="258"/>
    </row>
    <row r="56544" spans="1:26" ht="12.75" customHeight="1" x14ac:dyDescent="0.2">
      <c r="A56544" s="258"/>
      <c r="Z56544" s="258"/>
    </row>
    <row r="56545" spans="1:26" ht="12.75" customHeight="1" x14ac:dyDescent="0.2">
      <c r="A56545" s="258"/>
      <c r="Z56545" s="258"/>
    </row>
    <row r="56546" spans="1:26" ht="12.75" customHeight="1" x14ac:dyDescent="0.2">
      <c r="A56546" s="258"/>
      <c r="Z56546" s="258"/>
    </row>
    <row r="56547" spans="1:26" ht="12.75" customHeight="1" x14ac:dyDescent="0.2">
      <c r="A56547" s="258"/>
      <c r="Z56547" s="258"/>
    </row>
    <row r="56548" spans="1:26" ht="12.75" customHeight="1" x14ac:dyDescent="0.2">
      <c r="A56548" s="258"/>
      <c r="Z56548" s="258"/>
    </row>
    <row r="56549" spans="1:26" ht="12.75" customHeight="1" x14ac:dyDescent="0.2">
      <c r="A56549" s="258"/>
      <c r="Z56549" s="258"/>
    </row>
    <row r="56550" spans="1:26" ht="12.75" customHeight="1" x14ac:dyDescent="0.2">
      <c r="A56550" s="258"/>
      <c r="Z56550" s="258"/>
    </row>
    <row r="56551" spans="1:26" ht="12.75" customHeight="1" x14ac:dyDescent="0.2">
      <c r="A56551" s="258"/>
      <c r="Z56551" s="258"/>
    </row>
    <row r="56552" spans="1:26" ht="12.75" customHeight="1" x14ac:dyDescent="0.2">
      <c r="A56552" s="258"/>
      <c r="Z56552" s="258"/>
    </row>
    <row r="56553" spans="1:26" ht="12.75" customHeight="1" x14ac:dyDescent="0.2">
      <c r="A56553" s="258"/>
      <c r="Z56553" s="258"/>
    </row>
    <row r="56554" spans="1:26" ht="12.75" customHeight="1" x14ac:dyDescent="0.2">
      <c r="A56554" s="258"/>
      <c r="Z56554" s="258"/>
    </row>
    <row r="56555" spans="1:26" ht="12.75" customHeight="1" x14ac:dyDescent="0.2">
      <c r="A56555" s="258"/>
      <c r="Z56555" s="258"/>
    </row>
    <row r="56556" spans="1:26" ht="12.75" customHeight="1" x14ac:dyDescent="0.2">
      <c r="A56556" s="258"/>
      <c r="Z56556" s="258"/>
    </row>
    <row r="56557" spans="1:26" ht="12.75" customHeight="1" x14ac:dyDescent="0.2">
      <c r="A56557" s="258"/>
      <c r="Z56557" s="258"/>
    </row>
    <row r="56558" spans="1:26" ht="12.75" customHeight="1" x14ac:dyDescent="0.2">
      <c r="A56558" s="258"/>
      <c r="Z56558" s="258"/>
    </row>
    <row r="56559" spans="1:26" ht="12.75" customHeight="1" x14ac:dyDescent="0.2">
      <c r="A56559" s="258"/>
      <c r="Z56559" s="258"/>
    </row>
    <row r="56560" spans="1:26" ht="12.75" customHeight="1" x14ac:dyDescent="0.2">
      <c r="A56560" s="258"/>
      <c r="Z56560" s="258"/>
    </row>
    <row r="56561" spans="1:26" ht="12.75" customHeight="1" x14ac:dyDescent="0.2">
      <c r="A56561" s="258"/>
      <c r="Z56561" s="258"/>
    </row>
    <row r="56562" spans="1:26" ht="12.75" customHeight="1" x14ac:dyDescent="0.2">
      <c r="A56562" s="258"/>
      <c r="Z56562" s="258"/>
    </row>
    <row r="56563" spans="1:26" ht="12.75" customHeight="1" x14ac:dyDescent="0.2">
      <c r="A56563" s="258"/>
      <c r="Z56563" s="258"/>
    </row>
    <row r="56564" spans="1:26" ht="12.75" customHeight="1" x14ac:dyDescent="0.2">
      <c r="A56564" s="258"/>
      <c r="Z56564" s="258"/>
    </row>
    <row r="56565" spans="1:26" ht="12.75" customHeight="1" x14ac:dyDescent="0.2">
      <c r="A56565" s="258"/>
      <c r="Z56565" s="258"/>
    </row>
    <row r="56566" spans="1:26" ht="12.75" customHeight="1" x14ac:dyDescent="0.2">
      <c r="A56566" s="258"/>
      <c r="Z56566" s="258"/>
    </row>
    <row r="56567" spans="1:26" ht="12.75" customHeight="1" x14ac:dyDescent="0.2">
      <c r="A56567" s="258"/>
      <c r="Z56567" s="258"/>
    </row>
    <row r="56568" spans="1:26" ht="12.75" customHeight="1" x14ac:dyDescent="0.2">
      <c r="A56568" s="258"/>
      <c r="Z56568" s="258"/>
    </row>
    <row r="56569" spans="1:26" ht="12.75" customHeight="1" x14ac:dyDescent="0.2">
      <c r="A56569" s="258"/>
      <c r="Z56569" s="258"/>
    </row>
    <row r="56570" spans="1:26" ht="12.75" customHeight="1" x14ac:dyDescent="0.2">
      <c r="A56570" s="258"/>
      <c r="Z56570" s="258"/>
    </row>
    <row r="56571" spans="1:26" ht="12.75" customHeight="1" x14ac:dyDescent="0.2">
      <c r="A56571" s="258"/>
      <c r="Z56571" s="258"/>
    </row>
    <row r="56572" spans="1:26" ht="12.75" customHeight="1" x14ac:dyDescent="0.2">
      <c r="A56572" s="258"/>
      <c r="Z56572" s="258"/>
    </row>
    <row r="56573" spans="1:26" ht="12.75" customHeight="1" x14ac:dyDescent="0.2">
      <c r="A56573" s="258"/>
      <c r="Z56573" s="258"/>
    </row>
    <row r="56574" spans="1:26" ht="12.75" customHeight="1" x14ac:dyDescent="0.2">
      <c r="A56574" s="258"/>
      <c r="Z56574" s="258"/>
    </row>
    <row r="56575" spans="1:26" ht="12.75" customHeight="1" x14ac:dyDescent="0.2">
      <c r="A56575" s="258"/>
      <c r="Z56575" s="258"/>
    </row>
    <row r="56576" spans="1:26" ht="12.75" customHeight="1" x14ac:dyDescent="0.2">
      <c r="A56576" s="258"/>
      <c r="Z56576" s="258"/>
    </row>
    <row r="56577" spans="1:26" ht="12.75" customHeight="1" x14ac:dyDescent="0.2">
      <c r="A56577" s="258"/>
      <c r="Z56577" s="258"/>
    </row>
    <row r="56578" spans="1:26" ht="12.75" customHeight="1" x14ac:dyDescent="0.2">
      <c r="A56578" s="258"/>
      <c r="Z56578" s="258"/>
    </row>
    <row r="56579" spans="1:26" ht="12.75" customHeight="1" x14ac:dyDescent="0.2">
      <c r="A56579" s="258"/>
      <c r="Z56579" s="258"/>
    </row>
    <row r="56580" spans="1:26" ht="12.75" customHeight="1" x14ac:dyDescent="0.2">
      <c r="A56580" s="258"/>
      <c r="Z56580" s="258"/>
    </row>
    <row r="56581" spans="1:26" ht="12.75" customHeight="1" x14ac:dyDescent="0.2">
      <c r="A56581" s="258"/>
      <c r="Z56581" s="258"/>
    </row>
    <row r="56582" spans="1:26" ht="12.75" customHeight="1" x14ac:dyDescent="0.2">
      <c r="A56582" s="258"/>
      <c r="Z56582" s="258"/>
    </row>
    <row r="56583" spans="1:26" ht="12.75" customHeight="1" x14ac:dyDescent="0.2">
      <c r="A56583" s="258"/>
      <c r="Z56583" s="258"/>
    </row>
    <row r="56584" spans="1:26" ht="12.75" customHeight="1" x14ac:dyDescent="0.2">
      <c r="A56584" s="258"/>
      <c r="Z56584" s="258"/>
    </row>
    <row r="56585" spans="1:26" ht="12.75" customHeight="1" x14ac:dyDescent="0.2">
      <c r="A56585" s="258"/>
      <c r="Z56585" s="258"/>
    </row>
    <row r="56586" spans="1:26" ht="12.75" customHeight="1" x14ac:dyDescent="0.2">
      <c r="A56586" s="258"/>
      <c r="Z56586" s="258"/>
    </row>
    <row r="56587" spans="1:26" ht="12.75" customHeight="1" x14ac:dyDescent="0.2">
      <c r="A56587" s="258"/>
      <c r="Z56587" s="258"/>
    </row>
    <row r="56588" spans="1:26" ht="12.75" customHeight="1" x14ac:dyDescent="0.2">
      <c r="A56588" s="258"/>
      <c r="Z56588" s="258"/>
    </row>
    <row r="56589" spans="1:26" ht="12.75" customHeight="1" x14ac:dyDescent="0.2">
      <c r="A56589" s="258"/>
      <c r="Z56589" s="258"/>
    </row>
    <row r="56590" spans="1:26" ht="12.75" customHeight="1" x14ac:dyDescent="0.2">
      <c r="A56590" s="258"/>
      <c r="Z56590" s="258"/>
    </row>
    <row r="56591" spans="1:26" ht="12.75" customHeight="1" x14ac:dyDescent="0.2">
      <c r="A56591" s="258"/>
      <c r="Z56591" s="258"/>
    </row>
    <row r="56592" spans="1:26" ht="12.75" customHeight="1" x14ac:dyDescent="0.2">
      <c r="A56592" s="258"/>
      <c r="Z56592" s="258"/>
    </row>
    <row r="56593" spans="1:26" ht="12.75" customHeight="1" x14ac:dyDescent="0.2">
      <c r="A56593" s="258"/>
      <c r="Z56593" s="258"/>
    </row>
    <row r="56594" spans="1:26" ht="12.75" customHeight="1" x14ac:dyDescent="0.2">
      <c r="A56594" s="258"/>
      <c r="Z56594" s="258"/>
    </row>
    <row r="56595" spans="1:26" ht="12.75" customHeight="1" x14ac:dyDescent="0.2">
      <c r="A56595" s="258"/>
      <c r="Z56595" s="258"/>
    </row>
    <row r="56596" spans="1:26" ht="12.75" customHeight="1" x14ac:dyDescent="0.2">
      <c r="A56596" s="258"/>
      <c r="Z56596" s="258"/>
    </row>
    <row r="56597" spans="1:26" ht="12.75" customHeight="1" x14ac:dyDescent="0.2">
      <c r="A56597" s="258"/>
      <c r="Z56597" s="258"/>
    </row>
    <row r="56598" spans="1:26" ht="12.75" customHeight="1" x14ac:dyDescent="0.2">
      <c r="A56598" s="258"/>
      <c r="Z56598" s="258"/>
    </row>
    <row r="56599" spans="1:26" ht="12.75" customHeight="1" x14ac:dyDescent="0.2">
      <c r="A56599" s="258"/>
      <c r="Z56599" s="258"/>
    </row>
    <row r="56600" spans="1:26" ht="12.75" customHeight="1" x14ac:dyDescent="0.2">
      <c r="A56600" s="258"/>
      <c r="Z56600" s="258"/>
    </row>
    <row r="56601" spans="1:26" ht="12.75" customHeight="1" x14ac:dyDescent="0.2">
      <c r="A56601" s="258"/>
      <c r="Z56601" s="258"/>
    </row>
    <row r="56602" spans="1:26" ht="12.75" customHeight="1" x14ac:dyDescent="0.2">
      <c r="A56602" s="258"/>
      <c r="Z56602" s="258"/>
    </row>
    <row r="56603" spans="1:26" ht="12.75" customHeight="1" x14ac:dyDescent="0.2">
      <c r="A56603" s="258"/>
      <c r="Z56603" s="258"/>
    </row>
    <row r="56604" spans="1:26" ht="12.75" customHeight="1" x14ac:dyDescent="0.2">
      <c r="A56604" s="258"/>
      <c r="Z56604" s="258"/>
    </row>
    <row r="56605" spans="1:26" ht="12.75" customHeight="1" x14ac:dyDescent="0.2">
      <c r="A56605" s="258"/>
      <c r="Z56605" s="258"/>
    </row>
    <row r="56606" spans="1:26" ht="12.75" customHeight="1" x14ac:dyDescent="0.2">
      <c r="A56606" s="258"/>
      <c r="Z56606" s="258"/>
    </row>
    <row r="56607" spans="1:26" ht="12.75" customHeight="1" x14ac:dyDescent="0.2">
      <c r="A56607" s="258"/>
      <c r="Z56607" s="258"/>
    </row>
    <row r="56608" spans="1:26" ht="12.75" customHeight="1" x14ac:dyDescent="0.2">
      <c r="A56608" s="258"/>
      <c r="Z56608" s="258"/>
    </row>
    <row r="56609" spans="1:26" ht="12.75" customHeight="1" x14ac:dyDescent="0.2">
      <c r="A56609" s="258"/>
      <c r="Z56609" s="258"/>
    </row>
    <row r="56610" spans="1:26" ht="12.75" customHeight="1" x14ac:dyDescent="0.2">
      <c r="A56610" s="258"/>
      <c r="Z56610" s="258"/>
    </row>
    <row r="56611" spans="1:26" ht="12.75" customHeight="1" x14ac:dyDescent="0.2">
      <c r="A56611" s="258"/>
      <c r="Z56611" s="258"/>
    </row>
    <row r="56612" spans="1:26" ht="12.75" customHeight="1" x14ac:dyDescent="0.2">
      <c r="A56612" s="258"/>
      <c r="Z56612" s="258"/>
    </row>
    <row r="56613" spans="1:26" ht="12.75" customHeight="1" x14ac:dyDescent="0.2">
      <c r="A56613" s="258"/>
      <c r="Z56613" s="258"/>
    </row>
    <row r="56614" spans="1:26" ht="12.75" customHeight="1" x14ac:dyDescent="0.2">
      <c r="A56614" s="258"/>
      <c r="Z56614" s="258"/>
    </row>
    <row r="56615" spans="1:26" ht="12.75" customHeight="1" x14ac:dyDescent="0.2">
      <c r="A56615" s="258"/>
      <c r="Z56615" s="258"/>
    </row>
    <row r="56616" spans="1:26" ht="12.75" customHeight="1" x14ac:dyDescent="0.2">
      <c r="A56616" s="258"/>
      <c r="Z56616" s="258"/>
    </row>
    <row r="56617" spans="1:26" ht="12.75" customHeight="1" x14ac:dyDescent="0.2">
      <c r="A56617" s="258"/>
      <c r="Z56617" s="258"/>
    </row>
    <row r="56618" spans="1:26" ht="12.75" customHeight="1" x14ac:dyDescent="0.2">
      <c r="A56618" s="258"/>
      <c r="Z56618" s="258"/>
    </row>
    <row r="56619" spans="1:26" ht="12.75" customHeight="1" x14ac:dyDescent="0.2">
      <c r="A56619" s="258"/>
      <c r="Z56619" s="258"/>
    </row>
    <row r="56620" spans="1:26" ht="12.75" customHeight="1" x14ac:dyDescent="0.2">
      <c r="A56620" s="258"/>
      <c r="Z56620" s="258"/>
    </row>
    <row r="56621" spans="1:26" ht="12.75" customHeight="1" x14ac:dyDescent="0.2">
      <c r="A56621" s="258"/>
      <c r="Z56621" s="258"/>
    </row>
    <row r="56622" spans="1:26" ht="12.75" customHeight="1" x14ac:dyDescent="0.2">
      <c r="A56622" s="258"/>
      <c r="Z56622" s="258"/>
    </row>
    <row r="56623" spans="1:26" ht="12.75" customHeight="1" x14ac:dyDescent="0.2">
      <c r="A56623" s="258"/>
      <c r="Z56623" s="258"/>
    </row>
    <row r="56624" spans="1:26" ht="12.75" customHeight="1" x14ac:dyDescent="0.2">
      <c r="A56624" s="258"/>
      <c r="Z56624" s="258"/>
    </row>
    <row r="56625" spans="1:26" ht="12.75" customHeight="1" x14ac:dyDescent="0.2">
      <c r="A56625" s="258"/>
      <c r="Z56625" s="258"/>
    </row>
    <row r="56626" spans="1:26" ht="12.75" customHeight="1" x14ac:dyDescent="0.2">
      <c r="A56626" s="258"/>
      <c r="Z56626" s="258"/>
    </row>
    <row r="56627" spans="1:26" ht="12.75" customHeight="1" x14ac:dyDescent="0.2">
      <c r="A56627" s="258"/>
      <c r="Z56627" s="258"/>
    </row>
    <row r="56628" spans="1:26" ht="12.75" customHeight="1" x14ac:dyDescent="0.2">
      <c r="A56628" s="258"/>
      <c r="Z56628" s="258"/>
    </row>
    <row r="56629" spans="1:26" ht="12.75" customHeight="1" x14ac:dyDescent="0.2">
      <c r="A56629" s="258"/>
      <c r="Z56629" s="258"/>
    </row>
    <row r="56630" spans="1:26" ht="12.75" customHeight="1" x14ac:dyDescent="0.2">
      <c r="A56630" s="258"/>
      <c r="Z56630" s="258"/>
    </row>
    <row r="56631" spans="1:26" ht="12.75" customHeight="1" x14ac:dyDescent="0.2">
      <c r="A56631" s="258"/>
      <c r="Z56631" s="258"/>
    </row>
    <row r="56632" spans="1:26" ht="12.75" customHeight="1" x14ac:dyDescent="0.2">
      <c r="A56632" s="258"/>
      <c r="Z56632" s="258"/>
    </row>
    <row r="56633" spans="1:26" ht="12.75" customHeight="1" x14ac:dyDescent="0.2">
      <c r="A56633" s="258"/>
      <c r="Z56633" s="258"/>
    </row>
    <row r="56634" spans="1:26" ht="12.75" customHeight="1" x14ac:dyDescent="0.2">
      <c r="A56634" s="258"/>
      <c r="Z56634" s="258"/>
    </row>
    <row r="56635" spans="1:26" ht="12.75" customHeight="1" x14ac:dyDescent="0.2">
      <c r="A56635" s="258"/>
      <c r="Z56635" s="258"/>
    </row>
    <row r="56636" spans="1:26" ht="12.75" customHeight="1" x14ac:dyDescent="0.2">
      <c r="A56636" s="258"/>
      <c r="Z56636" s="258"/>
    </row>
    <row r="56637" spans="1:26" ht="12.75" customHeight="1" x14ac:dyDescent="0.2">
      <c r="A56637" s="258"/>
      <c r="Z56637" s="258"/>
    </row>
    <row r="56638" spans="1:26" ht="12.75" customHeight="1" x14ac:dyDescent="0.2">
      <c r="A56638" s="258"/>
      <c r="Z56638" s="258"/>
    </row>
    <row r="56639" spans="1:26" ht="12.75" customHeight="1" x14ac:dyDescent="0.2">
      <c r="A56639" s="258"/>
      <c r="Z56639" s="258"/>
    </row>
    <row r="56640" spans="1:26" ht="12.75" customHeight="1" x14ac:dyDescent="0.2">
      <c r="A56640" s="258"/>
      <c r="Z56640" s="258"/>
    </row>
    <row r="56641" spans="1:26" ht="12.75" customHeight="1" x14ac:dyDescent="0.2">
      <c r="A56641" s="258"/>
      <c r="Z56641" s="258"/>
    </row>
    <row r="56642" spans="1:26" ht="12.75" customHeight="1" x14ac:dyDescent="0.2">
      <c r="A56642" s="258"/>
      <c r="Z56642" s="258"/>
    </row>
    <row r="56643" spans="1:26" ht="12.75" customHeight="1" x14ac:dyDescent="0.2">
      <c r="A56643" s="258"/>
      <c r="Z56643" s="258"/>
    </row>
    <row r="56644" spans="1:26" ht="12.75" customHeight="1" x14ac:dyDescent="0.2">
      <c r="A56644" s="258"/>
      <c r="Z56644" s="258"/>
    </row>
    <row r="56645" spans="1:26" ht="12.75" customHeight="1" x14ac:dyDescent="0.2">
      <c r="A56645" s="258"/>
      <c r="Z56645" s="258"/>
    </row>
    <row r="56646" spans="1:26" ht="12.75" customHeight="1" x14ac:dyDescent="0.2">
      <c r="A56646" s="258"/>
      <c r="Z56646" s="258"/>
    </row>
    <row r="56647" spans="1:26" ht="12.75" customHeight="1" x14ac:dyDescent="0.2">
      <c r="A56647" s="258"/>
      <c r="Z56647" s="258"/>
    </row>
    <row r="56648" spans="1:26" ht="12.75" customHeight="1" x14ac:dyDescent="0.2">
      <c r="A56648" s="258"/>
      <c r="Z56648" s="258"/>
    </row>
    <row r="56649" spans="1:26" ht="12.75" customHeight="1" x14ac:dyDescent="0.2">
      <c r="A56649" s="258"/>
      <c r="Z56649" s="258"/>
    </row>
    <row r="56650" spans="1:26" ht="12.75" customHeight="1" x14ac:dyDescent="0.2">
      <c r="A56650" s="258"/>
      <c r="Z56650" s="258"/>
    </row>
    <row r="56651" spans="1:26" ht="12.75" customHeight="1" x14ac:dyDescent="0.2">
      <c r="A56651" s="258"/>
      <c r="Z56651" s="258"/>
    </row>
    <row r="56652" spans="1:26" ht="12.75" customHeight="1" x14ac:dyDescent="0.2">
      <c r="A56652" s="258"/>
      <c r="Z56652" s="258"/>
    </row>
    <row r="56653" spans="1:26" ht="12.75" customHeight="1" x14ac:dyDescent="0.2">
      <c r="A56653" s="258"/>
      <c r="Z56653" s="258"/>
    </row>
    <row r="56654" spans="1:26" ht="12.75" customHeight="1" x14ac:dyDescent="0.2">
      <c r="A56654" s="258"/>
      <c r="Z56654" s="258"/>
    </row>
    <row r="56655" spans="1:26" ht="12.75" customHeight="1" x14ac:dyDescent="0.2">
      <c r="A56655" s="258"/>
      <c r="Z56655" s="258"/>
    </row>
    <row r="56656" spans="1:26" ht="12.75" customHeight="1" x14ac:dyDescent="0.2">
      <c r="A56656" s="258"/>
      <c r="Z56656" s="258"/>
    </row>
    <row r="56657" spans="1:26" ht="12.75" customHeight="1" x14ac:dyDescent="0.2">
      <c r="A56657" s="258"/>
      <c r="Z56657" s="258"/>
    </row>
    <row r="56658" spans="1:26" ht="12.75" customHeight="1" x14ac:dyDescent="0.2">
      <c r="A56658" s="258"/>
      <c r="Z56658" s="258"/>
    </row>
    <row r="56659" spans="1:26" ht="12.75" customHeight="1" x14ac:dyDescent="0.2">
      <c r="A56659" s="258"/>
      <c r="Z56659" s="258"/>
    </row>
    <row r="56660" spans="1:26" ht="12.75" customHeight="1" x14ac:dyDescent="0.2">
      <c r="A56660" s="258"/>
      <c r="Z56660" s="258"/>
    </row>
    <row r="56661" spans="1:26" ht="12.75" customHeight="1" x14ac:dyDescent="0.2">
      <c r="A56661" s="258"/>
      <c r="Z56661" s="258"/>
    </row>
    <row r="56662" spans="1:26" ht="12.75" customHeight="1" x14ac:dyDescent="0.2">
      <c r="A56662" s="258"/>
      <c r="Z56662" s="258"/>
    </row>
    <row r="56663" spans="1:26" ht="12.75" customHeight="1" x14ac:dyDescent="0.2">
      <c r="A56663" s="258"/>
      <c r="Z56663" s="258"/>
    </row>
    <row r="56664" spans="1:26" ht="12.75" customHeight="1" x14ac:dyDescent="0.2">
      <c r="A56664" s="258"/>
      <c r="Z56664" s="258"/>
    </row>
    <row r="56665" spans="1:26" ht="12.75" customHeight="1" x14ac:dyDescent="0.2">
      <c r="A56665" s="258"/>
      <c r="Z56665" s="258"/>
    </row>
    <row r="56666" spans="1:26" ht="12.75" customHeight="1" x14ac:dyDescent="0.2">
      <c r="A56666" s="258"/>
      <c r="Z56666" s="258"/>
    </row>
    <row r="56667" spans="1:26" ht="12.75" customHeight="1" x14ac:dyDescent="0.2">
      <c r="A56667" s="258"/>
      <c r="Z56667" s="258"/>
    </row>
    <row r="56668" spans="1:26" ht="12.75" customHeight="1" x14ac:dyDescent="0.2">
      <c r="A56668" s="258"/>
      <c r="Z56668" s="258"/>
    </row>
    <row r="56669" spans="1:26" ht="12.75" customHeight="1" x14ac:dyDescent="0.2">
      <c r="A56669" s="258"/>
      <c r="Z56669" s="258"/>
    </row>
    <row r="56670" spans="1:26" ht="12.75" customHeight="1" x14ac:dyDescent="0.2">
      <c r="A56670" s="258"/>
      <c r="Z56670" s="258"/>
    </row>
    <row r="56671" spans="1:26" ht="12.75" customHeight="1" x14ac:dyDescent="0.2">
      <c r="A56671" s="258"/>
      <c r="Z56671" s="258"/>
    </row>
    <row r="56672" spans="1:26" ht="12.75" customHeight="1" x14ac:dyDescent="0.2">
      <c r="A56672" s="258"/>
      <c r="Z56672" s="258"/>
    </row>
    <row r="56673" spans="1:26" ht="12.75" customHeight="1" x14ac:dyDescent="0.2">
      <c r="A56673" s="258"/>
      <c r="Z56673" s="258"/>
    </row>
    <row r="56674" spans="1:26" ht="12.75" customHeight="1" x14ac:dyDescent="0.2">
      <c r="A56674" s="258"/>
      <c r="Z56674" s="258"/>
    </row>
    <row r="56675" spans="1:26" ht="12.75" customHeight="1" x14ac:dyDescent="0.2">
      <c r="A56675" s="258"/>
      <c r="Z56675" s="258"/>
    </row>
    <row r="56676" spans="1:26" ht="12.75" customHeight="1" x14ac:dyDescent="0.2">
      <c r="A56676" s="258"/>
      <c r="Z56676" s="258"/>
    </row>
    <row r="56677" spans="1:26" ht="12.75" customHeight="1" x14ac:dyDescent="0.2">
      <c r="A56677" s="258"/>
      <c r="Z56677" s="258"/>
    </row>
    <row r="56678" spans="1:26" ht="12.75" customHeight="1" x14ac:dyDescent="0.2">
      <c r="A56678" s="258"/>
      <c r="Z56678" s="258"/>
    </row>
    <row r="56679" spans="1:26" ht="12.75" customHeight="1" x14ac:dyDescent="0.2">
      <c r="A56679" s="258"/>
      <c r="Z56679" s="258"/>
    </row>
    <row r="56680" spans="1:26" ht="12.75" customHeight="1" x14ac:dyDescent="0.2">
      <c r="A56680" s="258"/>
      <c r="Z56680" s="258"/>
    </row>
    <row r="56681" spans="1:26" ht="12.75" customHeight="1" x14ac:dyDescent="0.2">
      <c r="A56681" s="258"/>
      <c r="Z56681" s="258"/>
    </row>
    <row r="56682" spans="1:26" ht="12.75" customHeight="1" x14ac:dyDescent="0.2">
      <c r="A56682" s="258"/>
      <c r="Z56682" s="258"/>
    </row>
    <row r="56683" spans="1:26" ht="12.75" customHeight="1" x14ac:dyDescent="0.2">
      <c r="A56683" s="258"/>
      <c r="Z56683" s="258"/>
    </row>
    <row r="56684" spans="1:26" ht="12.75" customHeight="1" x14ac:dyDescent="0.2">
      <c r="A56684" s="258"/>
      <c r="Z56684" s="258"/>
    </row>
    <row r="56685" spans="1:26" ht="12.75" customHeight="1" x14ac:dyDescent="0.2">
      <c r="A56685" s="258"/>
      <c r="Z56685" s="258"/>
    </row>
    <row r="56686" spans="1:26" ht="12.75" customHeight="1" x14ac:dyDescent="0.2">
      <c r="A56686" s="258"/>
      <c r="Z56686" s="258"/>
    </row>
    <row r="56687" spans="1:26" ht="12.75" customHeight="1" x14ac:dyDescent="0.2">
      <c r="A56687" s="258"/>
      <c r="Z56687" s="258"/>
    </row>
    <row r="56688" spans="1:26" ht="12.75" customHeight="1" x14ac:dyDescent="0.2">
      <c r="A56688" s="258"/>
      <c r="Z56688" s="258"/>
    </row>
    <row r="56689" spans="1:26" ht="12.75" customHeight="1" x14ac:dyDescent="0.2">
      <c r="A56689" s="258"/>
      <c r="Z56689" s="258"/>
    </row>
    <row r="56690" spans="1:26" ht="12.75" customHeight="1" x14ac:dyDescent="0.2">
      <c r="A56690" s="258"/>
      <c r="Z56690" s="258"/>
    </row>
    <row r="56691" spans="1:26" ht="12.75" customHeight="1" x14ac:dyDescent="0.2">
      <c r="A56691" s="258"/>
      <c r="Z56691" s="258"/>
    </row>
    <row r="56692" spans="1:26" ht="12.75" customHeight="1" x14ac:dyDescent="0.2">
      <c r="A56692" s="258"/>
      <c r="Z56692" s="258"/>
    </row>
    <row r="56693" spans="1:26" ht="12.75" customHeight="1" x14ac:dyDescent="0.2">
      <c r="A56693" s="258"/>
      <c r="Z56693" s="258"/>
    </row>
    <row r="56694" spans="1:26" ht="12.75" customHeight="1" x14ac:dyDescent="0.2">
      <c r="A56694" s="258"/>
      <c r="Z56694" s="258"/>
    </row>
    <row r="56695" spans="1:26" ht="12.75" customHeight="1" x14ac:dyDescent="0.2">
      <c r="A56695" s="258"/>
      <c r="Z56695" s="258"/>
    </row>
    <row r="56696" spans="1:26" ht="12.75" customHeight="1" x14ac:dyDescent="0.2">
      <c r="A56696" s="258"/>
      <c r="Z56696" s="258"/>
    </row>
    <row r="56697" spans="1:26" ht="12.75" customHeight="1" x14ac:dyDescent="0.2">
      <c r="A56697" s="258"/>
      <c r="Z56697" s="258"/>
    </row>
    <row r="56698" spans="1:26" ht="12.75" customHeight="1" x14ac:dyDescent="0.2">
      <c r="A56698" s="258"/>
      <c r="Z56698" s="258"/>
    </row>
    <row r="56699" spans="1:26" ht="12.75" customHeight="1" x14ac:dyDescent="0.2">
      <c r="A56699" s="258"/>
      <c r="Z56699" s="258"/>
    </row>
    <row r="56700" spans="1:26" ht="12.75" customHeight="1" x14ac:dyDescent="0.2">
      <c r="A56700" s="258"/>
      <c r="Z56700" s="258"/>
    </row>
    <row r="56701" spans="1:26" ht="12.75" customHeight="1" x14ac:dyDescent="0.2">
      <c r="A56701" s="258"/>
      <c r="Z56701" s="258"/>
    </row>
    <row r="56702" spans="1:26" ht="12.75" customHeight="1" x14ac:dyDescent="0.2">
      <c r="A56702" s="258"/>
      <c r="Z56702" s="258"/>
    </row>
    <row r="56703" spans="1:26" ht="12.75" customHeight="1" x14ac:dyDescent="0.2">
      <c r="A56703" s="258"/>
      <c r="Z56703" s="258"/>
    </row>
    <row r="56704" spans="1:26" ht="12.75" customHeight="1" x14ac:dyDescent="0.2">
      <c r="A56704" s="258"/>
      <c r="Z56704" s="258"/>
    </row>
    <row r="56705" spans="1:26" ht="12.75" customHeight="1" x14ac:dyDescent="0.2">
      <c r="A56705" s="258"/>
      <c r="Z56705" s="258"/>
    </row>
    <row r="56706" spans="1:26" ht="12.75" customHeight="1" x14ac:dyDescent="0.2">
      <c r="A56706" s="258"/>
      <c r="Z56706" s="258"/>
    </row>
    <row r="56707" spans="1:26" ht="12.75" customHeight="1" x14ac:dyDescent="0.2">
      <c r="A56707" s="258"/>
      <c r="Z56707" s="258"/>
    </row>
    <row r="56708" spans="1:26" ht="12.75" customHeight="1" x14ac:dyDescent="0.2">
      <c r="A56708" s="258"/>
      <c r="Z56708" s="258"/>
    </row>
    <row r="56709" spans="1:26" ht="12.75" customHeight="1" x14ac:dyDescent="0.2">
      <c r="A56709" s="258"/>
      <c r="Z56709" s="258"/>
    </row>
    <row r="56710" spans="1:26" ht="12.75" customHeight="1" x14ac:dyDescent="0.2">
      <c r="A56710" s="258"/>
      <c r="Z56710" s="258"/>
    </row>
    <row r="56711" spans="1:26" ht="12.75" customHeight="1" x14ac:dyDescent="0.2">
      <c r="A56711" s="258"/>
      <c r="Z56711" s="258"/>
    </row>
    <row r="56712" spans="1:26" ht="12.75" customHeight="1" x14ac:dyDescent="0.2">
      <c r="A56712" s="258"/>
      <c r="Z56712" s="258"/>
    </row>
    <row r="56713" spans="1:26" ht="12.75" customHeight="1" x14ac:dyDescent="0.2">
      <c r="A56713" s="258"/>
      <c r="Z56713" s="258"/>
    </row>
    <row r="56714" spans="1:26" ht="12.75" customHeight="1" x14ac:dyDescent="0.2">
      <c r="A56714" s="258"/>
      <c r="Z56714" s="258"/>
    </row>
    <row r="56715" spans="1:26" ht="12.75" customHeight="1" x14ac:dyDescent="0.2">
      <c r="A56715" s="258"/>
      <c r="Z56715" s="258"/>
    </row>
    <row r="56716" spans="1:26" ht="12.75" customHeight="1" x14ac:dyDescent="0.2">
      <c r="A56716" s="258"/>
      <c r="Z56716" s="258"/>
    </row>
    <row r="56717" spans="1:26" ht="12.75" customHeight="1" x14ac:dyDescent="0.2">
      <c r="A56717" s="258"/>
      <c r="Z56717" s="258"/>
    </row>
    <row r="56718" spans="1:26" ht="12.75" customHeight="1" x14ac:dyDescent="0.2">
      <c r="A56718" s="258"/>
      <c r="Z56718" s="258"/>
    </row>
    <row r="56719" spans="1:26" ht="12.75" customHeight="1" x14ac:dyDescent="0.2">
      <c r="A56719" s="258"/>
      <c r="Z56719" s="258"/>
    </row>
    <row r="56720" spans="1:26" ht="12.75" customHeight="1" x14ac:dyDescent="0.2">
      <c r="A56720" s="258"/>
      <c r="Z56720" s="258"/>
    </row>
    <row r="56721" spans="1:26" ht="12.75" customHeight="1" x14ac:dyDescent="0.2">
      <c r="A56721" s="258"/>
      <c r="Z56721" s="258"/>
    </row>
    <row r="56722" spans="1:26" ht="12.75" customHeight="1" x14ac:dyDescent="0.2">
      <c r="A56722" s="258"/>
      <c r="Z56722" s="258"/>
    </row>
    <row r="56723" spans="1:26" ht="12.75" customHeight="1" x14ac:dyDescent="0.2">
      <c r="A56723" s="258"/>
      <c r="Z56723" s="258"/>
    </row>
    <row r="56724" spans="1:26" ht="12.75" customHeight="1" x14ac:dyDescent="0.2">
      <c r="A56724" s="258"/>
      <c r="Z56724" s="258"/>
    </row>
    <row r="56725" spans="1:26" ht="12.75" customHeight="1" x14ac:dyDescent="0.2">
      <c r="A56725" s="258"/>
      <c r="Z56725" s="258"/>
    </row>
    <row r="56726" spans="1:26" ht="12.75" customHeight="1" x14ac:dyDescent="0.2">
      <c r="A56726" s="258"/>
      <c r="Z56726" s="258"/>
    </row>
    <row r="56727" spans="1:26" ht="12.75" customHeight="1" x14ac:dyDescent="0.2">
      <c r="A56727" s="258"/>
      <c r="Z56727" s="258"/>
    </row>
    <row r="56728" spans="1:26" ht="12.75" customHeight="1" x14ac:dyDescent="0.2">
      <c r="A56728" s="258"/>
      <c r="Z56728" s="258"/>
    </row>
    <row r="56729" spans="1:26" ht="12.75" customHeight="1" x14ac:dyDescent="0.2">
      <c r="A56729" s="258"/>
      <c r="Z56729" s="258"/>
    </row>
    <row r="56730" spans="1:26" ht="12.75" customHeight="1" x14ac:dyDescent="0.2">
      <c r="A56730" s="258"/>
      <c r="Z56730" s="258"/>
    </row>
    <row r="56731" spans="1:26" ht="12.75" customHeight="1" x14ac:dyDescent="0.2">
      <c r="A56731" s="258"/>
      <c r="Z56731" s="258"/>
    </row>
    <row r="56732" spans="1:26" ht="12.75" customHeight="1" x14ac:dyDescent="0.2">
      <c r="A56732" s="258"/>
      <c r="Z56732" s="258"/>
    </row>
    <row r="56733" spans="1:26" ht="12.75" customHeight="1" x14ac:dyDescent="0.2">
      <c r="A56733" s="258"/>
      <c r="Z56733" s="258"/>
    </row>
    <row r="56734" spans="1:26" ht="12.75" customHeight="1" x14ac:dyDescent="0.2">
      <c r="A56734" s="258"/>
      <c r="Z56734" s="258"/>
    </row>
    <row r="56735" spans="1:26" ht="12.75" customHeight="1" x14ac:dyDescent="0.2">
      <c r="A56735" s="258"/>
      <c r="Z56735" s="258"/>
    </row>
    <row r="56736" spans="1:26" ht="12.75" customHeight="1" x14ac:dyDescent="0.2">
      <c r="A56736" s="258"/>
      <c r="Z56736" s="258"/>
    </row>
    <row r="56737" spans="1:26" ht="12.75" customHeight="1" x14ac:dyDescent="0.2">
      <c r="A56737" s="258"/>
      <c r="Z56737" s="258"/>
    </row>
    <row r="56738" spans="1:26" ht="12.75" customHeight="1" x14ac:dyDescent="0.2">
      <c r="A56738" s="258"/>
      <c r="Z56738" s="258"/>
    </row>
    <row r="56739" spans="1:26" ht="12.75" customHeight="1" x14ac:dyDescent="0.2">
      <c r="A56739" s="258"/>
      <c r="Z56739" s="258"/>
    </row>
    <row r="56740" spans="1:26" ht="12.75" customHeight="1" x14ac:dyDescent="0.2">
      <c r="A56740" s="258"/>
      <c r="Z56740" s="258"/>
    </row>
    <row r="56741" spans="1:26" ht="12.75" customHeight="1" x14ac:dyDescent="0.2">
      <c r="A56741" s="258"/>
      <c r="Z56741" s="258"/>
    </row>
    <row r="56742" spans="1:26" ht="12.75" customHeight="1" x14ac:dyDescent="0.2">
      <c r="A56742" s="258"/>
      <c r="Z56742" s="258"/>
    </row>
    <row r="56743" spans="1:26" ht="12.75" customHeight="1" x14ac:dyDescent="0.2">
      <c r="A56743" s="258"/>
      <c r="Z56743" s="258"/>
    </row>
    <row r="56744" spans="1:26" ht="12.75" customHeight="1" x14ac:dyDescent="0.2">
      <c r="A56744" s="258"/>
      <c r="Z56744" s="258"/>
    </row>
    <row r="56745" spans="1:26" ht="12.75" customHeight="1" x14ac:dyDescent="0.2">
      <c r="A56745" s="258"/>
      <c r="Z56745" s="258"/>
    </row>
    <row r="56746" spans="1:26" ht="12.75" customHeight="1" x14ac:dyDescent="0.2">
      <c r="A56746" s="258"/>
      <c r="Z56746" s="258"/>
    </row>
    <row r="56747" spans="1:26" ht="12.75" customHeight="1" x14ac:dyDescent="0.2">
      <c r="A56747" s="258"/>
      <c r="Z56747" s="258"/>
    </row>
    <row r="56748" spans="1:26" ht="12.75" customHeight="1" x14ac:dyDescent="0.2">
      <c r="A56748" s="258"/>
      <c r="Z56748" s="258"/>
    </row>
    <row r="56749" spans="1:26" ht="12.75" customHeight="1" x14ac:dyDescent="0.2">
      <c r="A56749" s="258"/>
      <c r="Z56749" s="258"/>
    </row>
    <row r="56750" spans="1:26" ht="12.75" customHeight="1" x14ac:dyDescent="0.2">
      <c r="A56750" s="258"/>
      <c r="Z56750" s="258"/>
    </row>
    <row r="56751" spans="1:26" ht="12.75" customHeight="1" x14ac:dyDescent="0.2">
      <c r="A56751" s="258"/>
      <c r="Z56751" s="258"/>
    </row>
    <row r="56752" spans="1:26" ht="12.75" customHeight="1" x14ac:dyDescent="0.2">
      <c r="A56752" s="258"/>
      <c r="Z56752" s="258"/>
    </row>
    <row r="56753" spans="1:26" ht="12.75" customHeight="1" x14ac:dyDescent="0.2">
      <c r="A56753" s="258"/>
      <c r="Z56753" s="258"/>
    </row>
    <row r="56754" spans="1:26" ht="12.75" customHeight="1" x14ac:dyDescent="0.2">
      <c r="A56754" s="258"/>
      <c r="Z56754" s="258"/>
    </row>
    <row r="56755" spans="1:26" ht="12.75" customHeight="1" x14ac:dyDescent="0.2">
      <c r="A56755" s="258"/>
      <c r="Z56755" s="258"/>
    </row>
    <row r="56756" spans="1:26" ht="12.75" customHeight="1" x14ac:dyDescent="0.2">
      <c r="A56756" s="258"/>
      <c r="Z56756" s="258"/>
    </row>
    <row r="56757" spans="1:26" ht="12.75" customHeight="1" x14ac:dyDescent="0.2">
      <c r="A56757" s="258"/>
      <c r="Z56757" s="258"/>
    </row>
    <row r="56758" spans="1:26" ht="12.75" customHeight="1" x14ac:dyDescent="0.2">
      <c r="A56758" s="258"/>
      <c r="Z56758" s="258"/>
    </row>
    <row r="56759" spans="1:26" ht="12.75" customHeight="1" x14ac:dyDescent="0.2">
      <c r="A56759" s="258"/>
      <c r="Z56759" s="258"/>
    </row>
    <row r="56760" spans="1:26" ht="12.75" customHeight="1" x14ac:dyDescent="0.2">
      <c r="A56760" s="258"/>
      <c r="Z56760" s="258"/>
    </row>
    <row r="56761" spans="1:26" ht="12.75" customHeight="1" x14ac:dyDescent="0.2">
      <c r="A56761" s="258"/>
      <c r="Z56761" s="258"/>
    </row>
    <row r="56762" spans="1:26" ht="12.75" customHeight="1" x14ac:dyDescent="0.2">
      <c r="A56762" s="258"/>
      <c r="Z56762" s="258"/>
    </row>
    <row r="56763" spans="1:26" ht="12.75" customHeight="1" x14ac:dyDescent="0.2">
      <c r="A56763" s="258"/>
      <c r="Z56763" s="258"/>
    </row>
    <row r="56764" spans="1:26" ht="12.75" customHeight="1" x14ac:dyDescent="0.2">
      <c r="A56764" s="258"/>
      <c r="Z56764" s="258"/>
    </row>
    <row r="56765" spans="1:26" ht="12.75" customHeight="1" x14ac:dyDescent="0.2">
      <c r="A56765" s="258"/>
      <c r="Z56765" s="258"/>
    </row>
    <row r="56766" spans="1:26" ht="12.75" customHeight="1" x14ac:dyDescent="0.2">
      <c r="A56766" s="258"/>
      <c r="Z56766" s="258"/>
    </row>
    <row r="56767" spans="1:26" ht="12.75" customHeight="1" x14ac:dyDescent="0.2">
      <c r="A56767" s="258"/>
      <c r="Z56767" s="258"/>
    </row>
    <row r="56768" spans="1:26" ht="12.75" customHeight="1" x14ac:dyDescent="0.2">
      <c r="A56768" s="258"/>
      <c r="Z56768" s="258"/>
    </row>
    <row r="56769" spans="1:26" ht="12.75" customHeight="1" x14ac:dyDescent="0.2">
      <c r="A56769" s="258"/>
      <c r="Z56769" s="258"/>
    </row>
    <row r="56770" spans="1:26" ht="12.75" customHeight="1" x14ac:dyDescent="0.2">
      <c r="A56770" s="258"/>
      <c r="Z56770" s="258"/>
    </row>
    <row r="56771" spans="1:26" ht="12.75" customHeight="1" x14ac:dyDescent="0.2">
      <c r="A56771" s="258"/>
      <c r="Z56771" s="258"/>
    </row>
    <row r="56772" spans="1:26" ht="12.75" customHeight="1" x14ac:dyDescent="0.2">
      <c r="A56772" s="258"/>
      <c r="Z56772" s="258"/>
    </row>
    <row r="56773" spans="1:26" ht="12.75" customHeight="1" x14ac:dyDescent="0.2">
      <c r="A56773" s="258"/>
      <c r="Z56773" s="258"/>
    </row>
    <row r="56774" spans="1:26" ht="12.75" customHeight="1" x14ac:dyDescent="0.2">
      <c r="A56774" s="258"/>
      <c r="Z56774" s="258"/>
    </row>
    <row r="56775" spans="1:26" ht="12.75" customHeight="1" x14ac:dyDescent="0.2">
      <c r="A56775" s="258"/>
      <c r="Z56775" s="258"/>
    </row>
    <row r="56776" spans="1:26" ht="12.75" customHeight="1" x14ac:dyDescent="0.2">
      <c r="A56776" s="258"/>
      <c r="Z56776" s="258"/>
    </row>
    <row r="56777" spans="1:26" ht="12.75" customHeight="1" x14ac:dyDescent="0.2">
      <c r="A56777" s="258"/>
      <c r="Z56777" s="258"/>
    </row>
    <row r="56778" spans="1:26" ht="12.75" customHeight="1" x14ac:dyDescent="0.2">
      <c r="A56778" s="258"/>
      <c r="Z56778" s="258"/>
    </row>
    <row r="56779" spans="1:26" ht="12.75" customHeight="1" x14ac:dyDescent="0.2">
      <c r="A56779" s="258"/>
      <c r="Z56779" s="258"/>
    </row>
    <row r="56780" spans="1:26" ht="12.75" customHeight="1" x14ac:dyDescent="0.2">
      <c r="A56780" s="258"/>
      <c r="Z56780" s="258"/>
    </row>
    <row r="56781" spans="1:26" ht="12.75" customHeight="1" x14ac:dyDescent="0.2">
      <c r="A56781" s="258"/>
      <c r="Z56781" s="258"/>
    </row>
    <row r="56782" spans="1:26" ht="12.75" customHeight="1" x14ac:dyDescent="0.2">
      <c r="A56782" s="258"/>
      <c r="Z56782" s="258"/>
    </row>
    <row r="56783" spans="1:26" ht="12.75" customHeight="1" x14ac:dyDescent="0.2">
      <c r="A56783" s="258"/>
      <c r="Z56783" s="258"/>
    </row>
    <row r="56784" spans="1:26" ht="12.75" customHeight="1" x14ac:dyDescent="0.2">
      <c r="A56784" s="258"/>
      <c r="Z56784" s="258"/>
    </row>
    <row r="56785" spans="1:26" ht="12.75" customHeight="1" x14ac:dyDescent="0.2">
      <c r="A56785" s="258"/>
      <c r="Z56785" s="258"/>
    </row>
    <row r="56786" spans="1:26" ht="12.75" customHeight="1" x14ac:dyDescent="0.2">
      <c r="A56786" s="258"/>
      <c r="Z56786" s="258"/>
    </row>
    <row r="56787" spans="1:26" ht="12.75" customHeight="1" x14ac:dyDescent="0.2">
      <c r="A56787" s="258"/>
      <c r="Z56787" s="258"/>
    </row>
    <row r="56788" spans="1:26" ht="12.75" customHeight="1" x14ac:dyDescent="0.2">
      <c r="A56788" s="258"/>
      <c r="Z56788" s="258"/>
    </row>
    <row r="56789" spans="1:26" ht="12.75" customHeight="1" x14ac:dyDescent="0.2">
      <c r="A56789" s="258"/>
      <c r="Z56789" s="258"/>
    </row>
    <row r="56790" spans="1:26" ht="12.75" customHeight="1" x14ac:dyDescent="0.2">
      <c r="A56790" s="258"/>
      <c r="Z56790" s="258"/>
    </row>
    <row r="56791" spans="1:26" ht="12.75" customHeight="1" x14ac:dyDescent="0.2">
      <c r="A56791" s="258"/>
      <c r="Z56791" s="258"/>
    </row>
    <row r="56792" spans="1:26" ht="12.75" customHeight="1" x14ac:dyDescent="0.2">
      <c r="A56792" s="258"/>
      <c r="Z56792" s="258"/>
    </row>
    <row r="56793" spans="1:26" ht="12.75" customHeight="1" x14ac:dyDescent="0.2">
      <c r="A56793" s="258"/>
      <c r="Z56793" s="258"/>
    </row>
    <row r="56794" spans="1:26" ht="12.75" customHeight="1" x14ac:dyDescent="0.2">
      <c r="A56794" s="258"/>
      <c r="Z56794" s="258"/>
    </row>
    <row r="56795" spans="1:26" ht="12.75" customHeight="1" x14ac:dyDescent="0.2">
      <c r="A56795" s="258"/>
      <c r="Z56795" s="258"/>
    </row>
    <row r="56796" spans="1:26" ht="12.75" customHeight="1" x14ac:dyDescent="0.2">
      <c r="A56796" s="258"/>
      <c r="Z56796" s="258"/>
    </row>
    <row r="56797" spans="1:26" ht="12.75" customHeight="1" x14ac:dyDescent="0.2">
      <c r="A56797" s="258"/>
      <c r="Z56797" s="258"/>
    </row>
    <row r="56798" spans="1:26" ht="12.75" customHeight="1" x14ac:dyDescent="0.2">
      <c r="A56798" s="258"/>
      <c r="Z56798" s="258"/>
    </row>
    <row r="56799" spans="1:26" ht="12.75" customHeight="1" x14ac:dyDescent="0.2">
      <c r="A56799" s="258"/>
      <c r="Z56799" s="258"/>
    </row>
    <row r="56800" spans="1:26" ht="12.75" customHeight="1" x14ac:dyDescent="0.2">
      <c r="A56800" s="258"/>
      <c r="Z56800" s="258"/>
    </row>
    <row r="56801" spans="1:26" ht="12.75" customHeight="1" x14ac:dyDescent="0.2">
      <c r="A56801" s="258"/>
      <c r="Z56801" s="258"/>
    </row>
    <row r="56802" spans="1:26" ht="12.75" customHeight="1" x14ac:dyDescent="0.2">
      <c r="A56802" s="258"/>
      <c r="Z56802" s="258"/>
    </row>
    <row r="56803" spans="1:26" ht="12.75" customHeight="1" x14ac:dyDescent="0.2">
      <c r="A56803" s="258"/>
      <c r="Z56803" s="258"/>
    </row>
    <row r="56804" spans="1:26" ht="12.75" customHeight="1" x14ac:dyDescent="0.2">
      <c r="A56804" s="258"/>
      <c r="Z56804" s="258"/>
    </row>
    <row r="56805" spans="1:26" ht="12.75" customHeight="1" x14ac:dyDescent="0.2">
      <c r="A56805" s="258"/>
      <c r="Z56805" s="258"/>
    </row>
    <row r="56806" spans="1:26" ht="12.75" customHeight="1" x14ac:dyDescent="0.2">
      <c r="A56806" s="258"/>
      <c r="Z56806" s="258"/>
    </row>
    <row r="56807" spans="1:26" ht="12.75" customHeight="1" x14ac:dyDescent="0.2">
      <c r="A56807" s="258"/>
      <c r="Z56807" s="258"/>
    </row>
    <row r="56808" spans="1:26" ht="12.75" customHeight="1" x14ac:dyDescent="0.2">
      <c r="A56808" s="258"/>
      <c r="Z56808" s="258"/>
    </row>
    <row r="56809" spans="1:26" ht="12.75" customHeight="1" x14ac:dyDescent="0.2">
      <c r="A56809" s="258"/>
      <c r="Z56809" s="258"/>
    </row>
    <row r="56810" spans="1:26" ht="12.75" customHeight="1" x14ac:dyDescent="0.2">
      <c r="A56810" s="258"/>
      <c r="Z56810" s="258"/>
    </row>
    <row r="56811" spans="1:26" ht="12.75" customHeight="1" x14ac:dyDescent="0.2">
      <c r="A56811" s="258"/>
      <c r="Z56811" s="258"/>
    </row>
    <row r="56812" spans="1:26" ht="12.75" customHeight="1" x14ac:dyDescent="0.2">
      <c r="A56812" s="258"/>
      <c r="Z56812" s="258"/>
    </row>
    <row r="56813" spans="1:26" ht="12.75" customHeight="1" x14ac:dyDescent="0.2">
      <c r="A56813" s="258"/>
      <c r="Z56813" s="258"/>
    </row>
    <row r="56814" spans="1:26" ht="12.75" customHeight="1" x14ac:dyDescent="0.2">
      <c r="A56814" s="258"/>
      <c r="Z56814" s="258"/>
    </row>
    <row r="56815" spans="1:26" ht="12.75" customHeight="1" x14ac:dyDescent="0.2">
      <c r="A56815" s="258"/>
      <c r="Z56815" s="258"/>
    </row>
    <row r="56816" spans="1:26" ht="12.75" customHeight="1" x14ac:dyDescent="0.2">
      <c r="A56816" s="258"/>
      <c r="Z56816" s="258"/>
    </row>
    <row r="56817" spans="1:26" ht="12.75" customHeight="1" x14ac:dyDescent="0.2">
      <c r="A56817" s="258"/>
      <c r="Z56817" s="258"/>
    </row>
    <row r="56818" spans="1:26" ht="12.75" customHeight="1" x14ac:dyDescent="0.2">
      <c r="A56818" s="258"/>
      <c r="Z56818" s="258"/>
    </row>
    <row r="56819" spans="1:26" ht="12.75" customHeight="1" x14ac:dyDescent="0.2">
      <c r="A56819" s="258"/>
      <c r="Z56819" s="258"/>
    </row>
    <row r="56820" spans="1:26" ht="12.75" customHeight="1" x14ac:dyDescent="0.2">
      <c r="A56820" s="258"/>
      <c r="Z56820" s="258"/>
    </row>
    <row r="56821" spans="1:26" ht="12.75" customHeight="1" x14ac:dyDescent="0.2">
      <c r="A56821" s="258"/>
      <c r="Z56821" s="258"/>
    </row>
    <row r="56822" spans="1:26" ht="12.75" customHeight="1" x14ac:dyDescent="0.2">
      <c r="A56822" s="258"/>
      <c r="Z56822" s="258"/>
    </row>
    <row r="56823" spans="1:26" ht="12.75" customHeight="1" x14ac:dyDescent="0.2">
      <c r="A56823" s="258"/>
      <c r="Z56823" s="258"/>
    </row>
    <row r="56824" spans="1:26" ht="12.75" customHeight="1" x14ac:dyDescent="0.2">
      <c r="A56824" s="258"/>
      <c r="Z56824" s="258"/>
    </row>
    <row r="56825" spans="1:26" ht="12.75" customHeight="1" x14ac:dyDescent="0.2">
      <c r="A56825" s="258"/>
      <c r="Z56825" s="258"/>
    </row>
    <row r="56826" spans="1:26" ht="12.75" customHeight="1" x14ac:dyDescent="0.2">
      <c r="A56826" s="258"/>
      <c r="Z56826" s="258"/>
    </row>
    <row r="56827" spans="1:26" ht="12.75" customHeight="1" x14ac:dyDescent="0.2">
      <c r="A56827" s="258"/>
      <c r="Z56827" s="258"/>
    </row>
    <row r="56828" spans="1:26" ht="12.75" customHeight="1" x14ac:dyDescent="0.2">
      <c r="A56828" s="258"/>
      <c r="Z56828" s="258"/>
    </row>
    <row r="56829" spans="1:26" ht="12.75" customHeight="1" x14ac:dyDescent="0.2">
      <c r="A56829" s="258"/>
      <c r="Z56829" s="258"/>
    </row>
    <row r="56830" spans="1:26" ht="12.75" customHeight="1" x14ac:dyDescent="0.2">
      <c r="A56830" s="258"/>
      <c r="Z56830" s="258"/>
    </row>
    <row r="56831" spans="1:26" ht="12.75" customHeight="1" x14ac:dyDescent="0.2">
      <c r="A56831" s="258"/>
      <c r="Z56831" s="258"/>
    </row>
    <row r="56832" spans="1:26" ht="12.75" customHeight="1" x14ac:dyDescent="0.2">
      <c r="A56832" s="258"/>
      <c r="Z56832" s="258"/>
    </row>
    <row r="56833" spans="1:26" ht="12.75" customHeight="1" x14ac:dyDescent="0.2">
      <c r="A56833" s="258"/>
      <c r="Z56833" s="258"/>
    </row>
    <row r="56834" spans="1:26" ht="12.75" customHeight="1" x14ac:dyDescent="0.2">
      <c r="A56834" s="258"/>
      <c r="Z56834" s="258"/>
    </row>
    <row r="56835" spans="1:26" ht="12.75" customHeight="1" x14ac:dyDescent="0.2">
      <c r="A56835" s="258"/>
      <c r="Z56835" s="258"/>
    </row>
    <row r="56836" spans="1:26" ht="12.75" customHeight="1" x14ac:dyDescent="0.2">
      <c r="A56836" s="258"/>
      <c r="Z56836" s="258"/>
    </row>
    <row r="56837" spans="1:26" ht="12.75" customHeight="1" x14ac:dyDescent="0.2">
      <c r="A56837" s="258"/>
      <c r="Z56837" s="258"/>
    </row>
    <row r="56838" spans="1:26" ht="12.75" customHeight="1" x14ac:dyDescent="0.2">
      <c r="A56838" s="258"/>
      <c r="Z56838" s="258"/>
    </row>
    <row r="56839" spans="1:26" ht="12.75" customHeight="1" x14ac:dyDescent="0.2">
      <c r="A56839" s="258"/>
      <c r="Z56839" s="258"/>
    </row>
    <row r="56840" spans="1:26" ht="12.75" customHeight="1" x14ac:dyDescent="0.2">
      <c r="A56840" s="258"/>
      <c r="Z56840" s="258"/>
    </row>
    <row r="56841" spans="1:26" ht="12.75" customHeight="1" x14ac:dyDescent="0.2">
      <c r="A56841" s="258"/>
      <c r="Z56841" s="258"/>
    </row>
    <row r="56842" spans="1:26" ht="12.75" customHeight="1" x14ac:dyDescent="0.2">
      <c r="A56842" s="258"/>
      <c r="Z56842" s="258"/>
    </row>
    <row r="56843" spans="1:26" ht="12.75" customHeight="1" x14ac:dyDescent="0.2">
      <c r="A56843" s="258"/>
      <c r="Z56843" s="258"/>
    </row>
    <row r="56844" spans="1:26" ht="12.75" customHeight="1" x14ac:dyDescent="0.2">
      <c r="A56844" s="258"/>
      <c r="Z56844" s="258"/>
    </row>
    <row r="56845" spans="1:26" ht="12.75" customHeight="1" x14ac:dyDescent="0.2">
      <c r="A56845" s="258"/>
      <c r="Z56845" s="258"/>
    </row>
    <row r="56846" spans="1:26" ht="12.75" customHeight="1" x14ac:dyDescent="0.2">
      <c r="A56846" s="258"/>
      <c r="Z56846" s="258"/>
    </row>
    <row r="56847" spans="1:26" ht="12.75" customHeight="1" x14ac:dyDescent="0.2">
      <c r="A56847" s="258"/>
      <c r="Z56847" s="258"/>
    </row>
    <row r="56848" spans="1:26" ht="12.75" customHeight="1" x14ac:dyDescent="0.2">
      <c r="A56848" s="258"/>
      <c r="Z56848" s="258"/>
    </row>
    <row r="56849" spans="1:26" ht="12.75" customHeight="1" x14ac:dyDescent="0.2">
      <c r="A56849" s="258"/>
      <c r="Z56849" s="258"/>
    </row>
    <row r="56850" spans="1:26" ht="12.75" customHeight="1" x14ac:dyDescent="0.2">
      <c r="A56850" s="258"/>
      <c r="Z56850" s="258"/>
    </row>
    <row r="56851" spans="1:26" ht="12.75" customHeight="1" x14ac:dyDescent="0.2">
      <c r="A56851" s="258"/>
      <c r="Z56851" s="258"/>
    </row>
    <row r="56852" spans="1:26" ht="12.75" customHeight="1" x14ac:dyDescent="0.2">
      <c r="A56852" s="258"/>
      <c r="Z56852" s="258"/>
    </row>
    <row r="56853" spans="1:26" ht="12.75" customHeight="1" x14ac:dyDescent="0.2">
      <c r="A56853" s="258"/>
      <c r="Z56853" s="258"/>
    </row>
    <row r="56854" spans="1:26" ht="12.75" customHeight="1" x14ac:dyDescent="0.2">
      <c r="A56854" s="258"/>
      <c r="Z56854" s="258"/>
    </row>
    <row r="56855" spans="1:26" ht="12.75" customHeight="1" x14ac:dyDescent="0.2">
      <c r="A56855" s="258"/>
      <c r="Z56855" s="258"/>
    </row>
    <row r="56856" spans="1:26" ht="12.75" customHeight="1" x14ac:dyDescent="0.2">
      <c r="A56856" s="258"/>
      <c r="Z56856" s="258"/>
    </row>
    <row r="56857" spans="1:26" ht="12.75" customHeight="1" x14ac:dyDescent="0.2">
      <c r="A56857" s="258"/>
      <c r="Z56857" s="258"/>
    </row>
    <row r="56858" spans="1:26" ht="12.75" customHeight="1" x14ac:dyDescent="0.2">
      <c r="A56858" s="258"/>
      <c r="Z56858" s="258"/>
    </row>
    <row r="56859" spans="1:26" ht="12.75" customHeight="1" x14ac:dyDescent="0.2">
      <c r="A56859" s="258"/>
      <c r="Z56859" s="258"/>
    </row>
    <row r="56860" spans="1:26" ht="12.75" customHeight="1" x14ac:dyDescent="0.2">
      <c r="A56860" s="258"/>
      <c r="Z56860" s="258"/>
    </row>
    <row r="56861" spans="1:26" ht="12.75" customHeight="1" x14ac:dyDescent="0.2">
      <c r="A56861" s="258"/>
      <c r="Z56861" s="258"/>
    </row>
    <row r="56862" spans="1:26" ht="12.75" customHeight="1" x14ac:dyDescent="0.2">
      <c r="A56862" s="258"/>
      <c r="Z56862" s="258"/>
    </row>
    <row r="56863" spans="1:26" ht="12.75" customHeight="1" x14ac:dyDescent="0.2">
      <c r="A56863" s="258"/>
      <c r="Z56863" s="258"/>
    </row>
    <row r="56864" spans="1:26" ht="12.75" customHeight="1" x14ac:dyDescent="0.2">
      <c r="A56864" s="258"/>
      <c r="Z56864" s="258"/>
    </row>
    <row r="56865" spans="1:26" ht="12.75" customHeight="1" x14ac:dyDescent="0.2">
      <c r="A56865" s="258"/>
      <c r="Z56865" s="258"/>
    </row>
    <row r="56866" spans="1:26" ht="12.75" customHeight="1" x14ac:dyDescent="0.2">
      <c r="A56866" s="258"/>
      <c r="Z56866" s="258"/>
    </row>
    <row r="56867" spans="1:26" ht="12.75" customHeight="1" x14ac:dyDescent="0.2">
      <c r="A56867" s="258"/>
      <c r="Z56867" s="258"/>
    </row>
    <row r="56868" spans="1:26" ht="12.75" customHeight="1" x14ac:dyDescent="0.2">
      <c r="A56868" s="258"/>
      <c r="Z56868" s="258"/>
    </row>
    <row r="56869" spans="1:26" ht="12.75" customHeight="1" x14ac:dyDescent="0.2">
      <c r="A56869" s="258"/>
      <c r="Z56869" s="258"/>
    </row>
    <row r="56870" spans="1:26" ht="12.75" customHeight="1" x14ac:dyDescent="0.2">
      <c r="A56870" s="258"/>
      <c r="Z56870" s="258"/>
    </row>
    <row r="56871" spans="1:26" ht="12.75" customHeight="1" x14ac:dyDescent="0.2">
      <c r="A56871" s="258"/>
      <c r="Z56871" s="258"/>
    </row>
    <row r="56872" spans="1:26" ht="12.75" customHeight="1" x14ac:dyDescent="0.2">
      <c r="A56872" s="258"/>
      <c r="Z56872" s="258"/>
    </row>
    <row r="56873" spans="1:26" ht="12.75" customHeight="1" x14ac:dyDescent="0.2">
      <c r="A56873" s="258"/>
      <c r="Z56873" s="258"/>
    </row>
    <row r="56874" spans="1:26" ht="12.75" customHeight="1" x14ac:dyDescent="0.2">
      <c r="A56874" s="258"/>
      <c r="Z56874" s="258"/>
    </row>
    <row r="56875" spans="1:26" ht="12.75" customHeight="1" x14ac:dyDescent="0.2">
      <c r="A56875" s="258"/>
      <c r="Z56875" s="258"/>
    </row>
    <row r="56876" spans="1:26" ht="12.75" customHeight="1" x14ac:dyDescent="0.2">
      <c r="A56876" s="258"/>
      <c r="Z56876" s="258"/>
    </row>
    <row r="56877" spans="1:26" ht="12.75" customHeight="1" x14ac:dyDescent="0.2">
      <c r="A56877" s="258"/>
      <c r="Z56877" s="258"/>
    </row>
    <row r="56878" spans="1:26" ht="12.75" customHeight="1" x14ac:dyDescent="0.2">
      <c r="A56878" s="258"/>
      <c r="Z56878" s="258"/>
    </row>
    <row r="56879" spans="1:26" ht="12.75" customHeight="1" x14ac:dyDescent="0.2">
      <c r="A56879" s="258"/>
      <c r="Z56879" s="258"/>
    </row>
    <row r="56880" spans="1:26" ht="12.75" customHeight="1" x14ac:dyDescent="0.2">
      <c r="A56880" s="258"/>
      <c r="Z56880" s="258"/>
    </row>
    <row r="56881" spans="1:26" ht="12.75" customHeight="1" x14ac:dyDescent="0.2">
      <c r="A56881" s="258"/>
      <c r="Z56881" s="258"/>
    </row>
    <row r="56882" spans="1:26" ht="12.75" customHeight="1" x14ac:dyDescent="0.2">
      <c r="A56882" s="258"/>
      <c r="Z56882" s="258"/>
    </row>
    <row r="56883" spans="1:26" ht="12.75" customHeight="1" x14ac:dyDescent="0.2">
      <c r="A56883" s="258"/>
      <c r="Z56883" s="258"/>
    </row>
    <row r="56884" spans="1:26" ht="12.75" customHeight="1" x14ac:dyDescent="0.2">
      <c r="A56884" s="258"/>
      <c r="Z56884" s="258"/>
    </row>
    <row r="56885" spans="1:26" ht="12.75" customHeight="1" x14ac:dyDescent="0.2">
      <c r="A56885" s="258"/>
      <c r="Z56885" s="258"/>
    </row>
    <row r="56886" spans="1:26" ht="12.75" customHeight="1" x14ac:dyDescent="0.2">
      <c r="A56886" s="258"/>
      <c r="Z56886" s="258"/>
    </row>
    <row r="56887" spans="1:26" ht="12.75" customHeight="1" x14ac:dyDescent="0.2">
      <c r="A56887" s="258"/>
      <c r="Z56887" s="258"/>
    </row>
    <row r="56888" spans="1:26" ht="12.75" customHeight="1" x14ac:dyDescent="0.2">
      <c r="A56888" s="258"/>
      <c r="Z56888" s="258"/>
    </row>
    <row r="56889" spans="1:26" ht="12.75" customHeight="1" x14ac:dyDescent="0.2">
      <c r="A56889" s="258"/>
      <c r="Z56889" s="258"/>
    </row>
    <row r="56890" spans="1:26" ht="12.75" customHeight="1" x14ac:dyDescent="0.2">
      <c r="A56890" s="258"/>
      <c r="Z56890" s="258"/>
    </row>
    <row r="56891" spans="1:26" ht="12.75" customHeight="1" x14ac:dyDescent="0.2">
      <c r="A56891" s="258"/>
      <c r="Z56891" s="258"/>
    </row>
    <row r="56892" spans="1:26" ht="12.75" customHeight="1" x14ac:dyDescent="0.2">
      <c r="A56892" s="258"/>
      <c r="Z56892" s="258"/>
    </row>
    <row r="56893" spans="1:26" ht="12.75" customHeight="1" x14ac:dyDescent="0.2">
      <c r="A56893" s="258"/>
      <c r="Z56893" s="258"/>
    </row>
    <row r="56894" spans="1:26" ht="12.75" customHeight="1" x14ac:dyDescent="0.2">
      <c r="A56894" s="258"/>
      <c r="Z56894" s="258"/>
    </row>
    <row r="56895" spans="1:26" ht="12.75" customHeight="1" x14ac:dyDescent="0.2">
      <c r="A56895" s="258"/>
      <c r="Z56895" s="258"/>
    </row>
    <row r="56896" spans="1:26" ht="12.75" customHeight="1" x14ac:dyDescent="0.2">
      <c r="A56896" s="258"/>
      <c r="Z56896" s="258"/>
    </row>
    <row r="56897" spans="1:26" ht="12.75" customHeight="1" x14ac:dyDescent="0.2">
      <c r="A56897" s="258"/>
      <c r="Z56897" s="258"/>
    </row>
    <row r="56898" spans="1:26" ht="12.75" customHeight="1" x14ac:dyDescent="0.2">
      <c r="A56898" s="258"/>
      <c r="Z56898" s="258"/>
    </row>
    <row r="56899" spans="1:26" ht="12.75" customHeight="1" x14ac:dyDescent="0.2">
      <c r="A56899" s="258"/>
      <c r="Z56899" s="258"/>
    </row>
    <row r="56900" spans="1:26" ht="12.75" customHeight="1" x14ac:dyDescent="0.2">
      <c r="A56900" s="258"/>
      <c r="Z56900" s="258"/>
    </row>
    <row r="56901" spans="1:26" ht="12.75" customHeight="1" x14ac:dyDescent="0.2">
      <c r="A56901" s="258"/>
      <c r="Z56901" s="258"/>
    </row>
    <row r="56902" spans="1:26" ht="12.75" customHeight="1" x14ac:dyDescent="0.2">
      <c r="A56902" s="258"/>
      <c r="Z56902" s="258"/>
    </row>
    <row r="56903" spans="1:26" ht="12.75" customHeight="1" x14ac:dyDescent="0.2">
      <c r="A56903" s="258"/>
      <c r="Z56903" s="258"/>
    </row>
    <row r="56904" spans="1:26" ht="12.75" customHeight="1" x14ac:dyDescent="0.2">
      <c r="A56904" s="258"/>
      <c r="Z56904" s="258"/>
    </row>
    <row r="56905" spans="1:26" ht="12.75" customHeight="1" x14ac:dyDescent="0.2">
      <c r="A56905" s="258"/>
      <c r="Z56905" s="258"/>
    </row>
    <row r="56906" spans="1:26" ht="12.75" customHeight="1" x14ac:dyDescent="0.2">
      <c r="A56906" s="258"/>
      <c r="Z56906" s="258"/>
    </row>
    <row r="56907" spans="1:26" ht="12.75" customHeight="1" x14ac:dyDescent="0.2">
      <c r="A56907" s="258"/>
      <c r="Z56907" s="258"/>
    </row>
    <row r="56908" spans="1:26" ht="12.75" customHeight="1" x14ac:dyDescent="0.2">
      <c r="A56908" s="258"/>
      <c r="Z56908" s="258"/>
    </row>
    <row r="56909" spans="1:26" ht="12.75" customHeight="1" x14ac:dyDescent="0.2">
      <c r="A56909" s="258"/>
      <c r="Z56909" s="258"/>
    </row>
    <row r="56910" spans="1:26" ht="12.75" customHeight="1" x14ac:dyDescent="0.2">
      <c r="A56910" s="258"/>
      <c r="Z56910" s="258"/>
    </row>
    <row r="56911" spans="1:26" ht="12.75" customHeight="1" x14ac:dyDescent="0.2">
      <c r="A56911" s="258"/>
      <c r="Z56911" s="258"/>
    </row>
    <row r="56912" spans="1:26" ht="12.75" customHeight="1" x14ac:dyDescent="0.2">
      <c r="A56912" s="258"/>
      <c r="Z56912" s="258"/>
    </row>
    <row r="56913" spans="1:26" ht="12.75" customHeight="1" x14ac:dyDescent="0.2">
      <c r="A56913" s="258"/>
      <c r="Z56913" s="258"/>
    </row>
    <row r="56914" spans="1:26" ht="12.75" customHeight="1" x14ac:dyDescent="0.2">
      <c r="A56914" s="258"/>
      <c r="Z56914" s="258"/>
    </row>
    <row r="56915" spans="1:26" ht="12.75" customHeight="1" x14ac:dyDescent="0.2">
      <c r="A56915" s="258"/>
      <c r="Z56915" s="258"/>
    </row>
    <row r="56916" spans="1:26" ht="12.75" customHeight="1" x14ac:dyDescent="0.2">
      <c r="A56916" s="258"/>
      <c r="Z56916" s="258"/>
    </row>
    <row r="56917" spans="1:26" ht="12.75" customHeight="1" x14ac:dyDescent="0.2">
      <c r="A56917" s="258"/>
      <c r="Z56917" s="258"/>
    </row>
    <row r="56918" spans="1:26" ht="12.75" customHeight="1" x14ac:dyDescent="0.2">
      <c r="A56918" s="258"/>
      <c r="Z56918" s="258"/>
    </row>
    <row r="56919" spans="1:26" ht="12.75" customHeight="1" x14ac:dyDescent="0.2">
      <c r="A56919" s="258"/>
      <c r="Z56919" s="258"/>
    </row>
    <row r="56920" spans="1:26" ht="12.75" customHeight="1" x14ac:dyDescent="0.2">
      <c r="A56920" s="258"/>
      <c r="Z56920" s="258"/>
    </row>
    <row r="56921" spans="1:26" ht="12.75" customHeight="1" x14ac:dyDescent="0.2">
      <c r="A56921" s="258"/>
      <c r="Z56921" s="258"/>
    </row>
    <row r="56922" spans="1:26" ht="12.75" customHeight="1" x14ac:dyDescent="0.2">
      <c r="A56922" s="258"/>
      <c r="Z56922" s="258"/>
    </row>
    <row r="56923" spans="1:26" ht="12.75" customHeight="1" x14ac:dyDescent="0.2">
      <c r="A56923" s="258"/>
      <c r="Z56923" s="258"/>
    </row>
    <row r="56924" spans="1:26" ht="12.75" customHeight="1" x14ac:dyDescent="0.2">
      <c r="A56924" s="258"/>
      <c r="Z56924" s="258"/>
    </row>
    <row r="56925" spans="1:26" ht="12.75" customHeight="1" x14ac:dyDescent="0.2">
      <c r="A56925" s="258"/>
      <c r="Z56925" s="258"/>
    </row>
    <row r="56926" spans="1:26" ht="12.75" customHeight="1" x14ac:dyDescent="0.2">
      <c r="A56926" s="258"/>
      <c r="Z56926" s="258"/>
    </row>
    <row r="56927" spans="1:26" ht="12.75" customHeight="1" x14ac:dyDescent="0.2">
      <c r="A56927" s="258"/>
      <c r="Z56927" s="258"/>
    </row>
    <row r="56928" spans="1:26" ht="12.75" customHeight="1" x14ac:dyDescent="0.2">
      <c r="A56928" s="258"/>
      <c r="Z56928" s="258"/>
    </row>
    <row r="56929" spans="1:26" ht="12.75" customHeight="1" x14ac:dyDescent="0.2">
      <c r="A56929" s="258"/>
      <c r="Z56929" s="258"/>
    </row>
    <row r="56930" spans="1:26" ht="12.75" customHeight="1" x14ac:dyDescent="0.2">
      <c r="A56930" s="258"/>
      <c r="Z56930" s="258"/>
    </row>
    <row r="56931" spans="1:26" ht="12.75" customHeight="1" x14ac:dyDescent="0.2">
      <c r="A56931" s="258"/>
      <c r="Z56931" s="258"/>
    </row>
    <row r="56932" spans="1:26" ht="12.75" customHeight="1" x14ac:dyDescent="0.2">
      <c r="A56932" s="258"/>
      <c r="Z56932" s="258"/>
    </row>
    <row r="56933" spans="1:26" ht="12.75" customHeight="1" x14ac:dyDescent="0.2">
      <c r="A56933" s="258"/>
      <c r="Z56933" s="258"/>
    </row>
    <row r="56934" spans="1:26" ht="12.75" customHeight="1" x14ac:dyDescent="0.2">
      <c r="A56934" s="258"/>
      <c r="Z56934" s="258"/>
    </row>
    <row r="56935" spans="1:26" ht="12.75" customHeight="1" x14ac:dyDescent="0.2">
      <c r="A56935" s="258"/>
      <c r="Z56935" s="258"/>
    </row>
    <row r="56936" spans="1:26" ht="12.75" customHeight="1" x14ac:dyDescent="0.2">
      <c r="A56936" s="258"/>
      <c r="Z56936" s="258"/>
    </row>
    <row r="56937" spans="1:26" ht="12.75" customHeight="1" x14ac:dyDescent="0.2">
      <c r="A56937" s="258"/>
      <c r="Z56937" s="258"/>
    </row>
    <row r="56938" spans="1:26" ht="12.75" customHeight="1" x14ac:dyDescent="0.2">
      <c r="A56938" s="258"/>
      <c r="Z56938" s="258"/>
    </row>
    <row r="56939" spans="1:26" ht="12.75" customHeight="1" x14ac:dyDescent="0.2">
      <c r="A56939" s="258"/>
      <c r="Z56939" s="258"/>
    </row>
    <row r="56940" spans="1:26" ht="12.75" customHeight="1" x14ac:dyDescent="0.2">
      <c r="A56940" s="258"/>
      <c r="Z56940" s="258"/>
    </row>
    <row r="56941" spans="1:26" ht="12.75" customHeight="1" x14ac:dyDescent="0.2">
      <c r="A56941" s="258"/>
      <c r="Z56941" s="258"/>
    </row>
    <row r="56942" spans="1:26" ht="12.75" customHeight="1" x14ac:dyDescent="0.2">
      <c r="A56942" s="258"/>
      <c r="Z56942" s="258"/>
    </row>
    <row r="56943" spans="1:26" ht="12.75" customHeight="1" x14ac:dyDescent="0.2">
      <c r="A56943" s="258"/>
      <c r="Z56943" s="258"/>
    </row>
    <row r="56944" spans="1:26" ht="12.75" customHeight="1" x14ac:dyDescent="0.2">
      <c r="A56944" s="258"/>
      <c r="Z56944" s="258"/>
    </row>
    <row r="56945" spans="1:26" ht="12.75" customHeight="1" x14ac:dyDescent="0.2">
      <c r="A56945" s="258"/>
      <c r="Z56945" s="258"/>
    </row>
    <row r="56946" spans="1:26" ht="12.75" customHeight="1" x14ac:dyDescent="0.2">
      <c r="A56946" s="258"/>
      <c r="Z56946" s="258"/>
    </row>
    <row r="56947" spans="1:26" ht="12.75" customHeight="1" x14ac:dyDescent="0.2">
      <c r="A56947" s="258"/>
      <c r="Z56947" s="258"/>
    </row>
    <row r="56948" spans="1:26" ht="12.75" customHeight="1" x14ac:dyDescent="0.2">
      <c r="A56948" s="258"/>
      <c r="Z56948" s="258"/>
    </row>
    <row r="56949" spans="1:26" ht="12.75" customHeight="1" x14ac:dyDescent="0.2">
      <c r="A56949" s="258"/>
      <c r="Z56949" s="258"/>
    </row>
    <row r="56950" spans="1:26" ht="12.75" customHeight="1" x14ac:dyDescent="0.2">
      <c r="A56950" s="258"/>
      <c r="Z56950" s="258"/>
    </row>
    <row r="56951" spans="1:26" ht="12.75" customHeight="1" x14ac:dyDescent="0.2">
      <c r="A56951" s="258"/>
      <c r="Z56951" s="258"/>
    </row>
    <row r="56952" spans="1:26" ht="12.75" customHeight="1" x14ac:dyDescent="0.2">
      <c r="A56952" s="258"/>
      <c r="Z56952" s="258"/>
    </row>
    <row r="56953" spans="1:26" ht="12.75" customHeight="1" x14ac:dyDescent="0.2">
      <c r="A56953" s="258"/>
      <c r="Z56953" s="258"/>
    </row>
    <row r="56954" spans="1:26" ht="12.75" customHeight="1" x14ac:dyDescent="0.2">
      <c r="A56954" s="258"/>
      <c r="Z56954" s="258"/>
    </row>
    <row r="56955" spans="1:26" ht="12.75" customHeight="1" x14ac:dyDescent="0.2">
      <c r="A56955" s="258"/>
      <c r="Z56955" s="258"/>
    </row>
    <row r="56956" spans="1:26" ht="12.75" customHeight="1" x14ac:dyDescent="0.2">
      <c r="A56956" s="258"/>
      <c r="Z56956" s="258"/>
    </row>
    <row r="56957" spans="1:26" ht="12.75" customHeight="1" x14ac:dyDescent="0.2">
      <c r="A56957" s="258"/>
      <c r="Z56957" s="258"/>
    </row>
    <row r="56958" spans="1:26" ht="12.75" customHeight="1" x14ac:dyDescent="0.2">
      <c r="A56958" s="258"/>
      <c r="Z56958" s="258"/>
    </row>
    <row r="56959" spans="1:26" ht="12.75" customHeight="1" x14ac:dyDescent="0.2">
      <c r="A56959" s="258"/>
      <c r="Z56959" s="258"/>
    </row>
    <row r="56960" spans="1:26" ht="12.75" customHeight="1" x14ac:dyDescent="0.2">
      <c r="A56960" s="258"/>
      <c r="Z56960" s="258"/>
    </row>
    <row r="56961" spans="1:26" ht="12.75" customHeight="1" x14ac:dyDescent="0.2">
      <c r="A56961" s="258"/>
      <c r="Z56961" s="258"/>
    </row>
    <row r="56962" spans="1:26" ht="12.75" customHeight="1" x14ac:dyDescent="0.2">
      <c r="A56962" s="258"/>
      <c r="Z56962" s="258"/>
    </row>
    <row r="56963" spans="1:26" ht="12.75" customHeight="1" x14ac:dyDescent="0.2">
      <c r="A56963" s="258"/>
      <c r="Z56963" s="258"/>
    </row>
    <row r="56964" spans="1:26" ht="12.75" customHeight="1" x14ac:dyDescent="0.2">
      <c r="A56964" s="258"/>
      <c r="Z56964" s="258"/>
    </row>
    <row r="56965" spans="1:26" ht="12.75" customHeight="1" x14ac:dyDescent="0.2">
      <c r="A56965" s="258"/>
      <c r="Z56965" s="258"/>
    </row>
    <row r="56966" spans="1:26" ht="12.75" customHeight="1" x14ac:dyDescent="0.2">
      <c r="A56966" s="258"/>
      <c r="Z56966" s="258"/>
    </row>
    <row r="56967" spans="1:26" ht="12.75" customHeight="1" x14ac:dyDescent="0.2">
      <c r="A56967" s="258"/>
      <c r="Z56967" s="258"/>
    </row>
    <row r="56968" spans="1:26" ht="12.75" customHeight="1" x14ac:dyDescent="0.2">
      <c r="A56968" s="258"/>
      <c r="Z56968" s="258"/>
    </row>
    <row r="56969" spans="1:26" ht="12.75" customHeight="1" x14ac:dyDescent="0.2">
      <c r="A56969" s="258"/>
      <c r="Z56969" s="258"/>
    </row>
    <row r="56970" spans="1:26" ht="12.75" customHeight="1" x14ac:dyDescent="0.2">
      <c r="A56970" s="258"/>
      <c r="Z56970" s="258"/>
    </row>
    <row r="56971" spans="1:26" ht="12.75" customHeight="1" x14ac:dyDescent="0.2">
      <c r="A56971" s="258"/>
      <c r="Z56971" s="258"/>
    </row>
    <row r="56972" spans="1:26" ht="12.75" customHeight="1" x14ac:dyDescent="0.2">
      <c r="A56972" s="258"/>
      <c r="Z56972" s="258"/>
    </row>
    <row r="56973" spans="1:26" ht="12.75" customHeight="1" x14ac:dyDescent="0.2">
      <c r="A56973" s="258"/>
      <c r="Z56973" s="258"/>
    </row>
    <row r="56974" spans="1:26" ht="12.75" customHeight="1" x14ac:dyDescent="0.2">
      <c r="A56974" s="258"/>
      <c r="Z56974" s="258"/>
    </row>
    <row r="56975" spans="1:26" ht="12.75" customHeight="1" x14ac:dyDescent="0.2">
      <c r="A56975" s="258"/>
      <c r="Z56975" s="258"/>
    </row>
    <row r="56976" spans="1:26" ht="12.75" customHeight="1" x14ac:dyDescent="0.2">
      <c r="A56976" s="258"/>
      <c r="Z56976" s="258"/>
    </row>
    <row r="56977" spans="1:26" ht="12.75" customHeight="1" x14ac:dyDescent="0.2">
      <c r="A56977" s="258"/>
      <c r="Z56977" s="258"/>
    </row>
    <row r="56978" spans="1:26" ht="12.75" customHeight="1" x14ac:dyDescent="0.2">
      <c r="A56978" s="258"/>
      <c r="Z56978" s="258"/>
    </row>
    <row r="56979" spans="1:26" ht="12.75" customHeight="1" x14ac:dyDescent="0.2">
      <c r="A56979" s="258"/>
      <c r="Z56979" s="258"/>
    </row>
    <row r="56980" spans="1:26" ht="12.75" customHeight="1" x14ac:dyDescent="0.2">
      <c r="A56980" s="258"/>
      <c r="Z56980" s="258"/>
    </row>
    <row r="56981" spans="1:26" ht="12.75" customHeight="1" x14ac:dyDescent="0.2">
      <c r="A56981" s="258"/>
      <c r="Z56981" s="258"/>
    </row>
    <row r="56982" spans="1:26" ht="12.75" customHeight="1" x14ac:dyDescent="0.2">
      <c r="A56982" s="258"/>
      <c r="Z56982" s="258"/>
    </row>
    <row r="56983" spans="1:26" ht="12.75" customHeight="1" x14ac:dyDescent="0.2">
      <c r="A56983" s="258"/>
      <c r="Z56983" s="258"/>
    </row>
    <row r="56984" spans="1:26" ht="12.75" customHeight="1" x14ac:dyDescent="0.2">
      <c r="A56984" s="258"/>
      <c r="Z56984" s="258"/>
    </row>
    <row r="56985" spans="1:26" ht="12.75" customHeight="1" x14ac:dyDescent="0.2">
      <c r="A56985" s="258"/>
      <c r="Z56985" s="258"/>
    </row>
    <row r="56986" spans="1:26" ht="12.75" customHeight="1" x14ac:dyDescent="0.2">
      <c r="A56986" s="258"/>
      <c r="Z56986" s="258"/>
    </row>
    <row r="56987" spans="1:26" ht="12.75" customHeight="1" x14ac:dyDescent="0.2">
      <c r="A56987" s="258"/>
      <c r="Z56987" s="258"/>
    </row>
    <row r="56988" spans="1:26" ht="12.75" customHeight="1" x14ac:dyDescent="0.2">
      <c r="A56988" s="258"/>
      <c r="Z56988" s="258"/>
    </row>
    <row r="56989" spans="1:26" ht="12.75" customHeight="1" x14ac:dyDescent="0.2">
      <c r="A56989" s="258"/>
      <c r="Z56989" s="258"/>
    </row>
    <row r="56990" spans="1:26" ht="12.75" customHeight="1" x14ac:dyDescent="0.2">
      <c r="A56990" s="258"/>
      <c r="Z56990" s="258"/>
    </row>
    <row r="56991" spans="1:26" ht="12.75" customHeight="1" x14ac:dyDescent="0.2">
      <c r="A56991" s="258"/>
      <c r="Z56991" s="258"/>
    </row>
    <row r="56992" spans="1:26" ht="12.75" customHeight="1" x14ac:dyDescent="0.2">
      <c r="A56992" s="258"/>
      <c r="Z56992" s="258"/>
    </row>
    <row r="56993" spans="1:26" ht="12.75" customHeight="1" x14ac:dyDescent="0.2">
      <c r="A56993" s="258"/>
      <c r="Z56993" s="258"/>
    </row>
    <row r="56994" spans="1:26" ht="12.75" customHeight="1" x14ac:dyDescent="0.2">
      <c r="A56994" s="258"/>
      <c r="Z56994" s="258"/>
    </row>
    <row r="56995" spans="1:26" ht="12.75" customHeight="1" x14ac:dyDescent="0.2">
      <c r="A56995" s="258"/>
      <c r="Z56995" s="258"/>
    </row>
    <row r="56996" spans="1:26" ht="12.75" customHeight="1" x14ac:dyDescent="0.2">
      <c r="A56996" s="258"/>
      <c r="Z56996" s="258"/>
    </row>
    <row r="56997" spans="1:26" ht="12.75" customHeight="1" x14ac:dyDescent="0.2">
      <c r="A56997" s="258"/>
      <c r="Z56997" s="258"/>
    </row>
    <row r="56998" spans="1:26" ht="12.75" customHeight="1" x14ac:dyDescent="0.2">
      <c r="A56998" s="258"/>
      <c r="Z56998" s="258"/>
    </row>
    <row r="56999" spans="1:26" ht="12.75" customHeight="1" x14ac:dyDescent="0.2">
      <c r="A56999" s="258"/>
      <c r="Z56999" s="258"/>
    </row>
    <row r="57000" spans="1:26" ht="12.75" customHeight="1" x14ac:dyDescent="0.2">
      <c r="A57000" s="258"/>
      <c r="Z57000" s="258"/>
    </row>
    <row r="57001" spans="1:26" ht="12.75" customHeight="1" x14ac:dyDescent="0.2">
      <c r="A57001" s="258"/>
      <c r="Z57001" s="258"/>
    </row>
    <row r="57002" spans="1:26" ht="12.75" customHeight="1" x14ac:dyDescent="0.2">
      <c r="A57002" s="258"/>
      <c r="Z57002" s="258"/>
    </row>
    <row r="57003" spans="1:26" ht="12.75" customHeight="1" x14ac:dyDescent="0.2">
      <c r="A57003" s="258"/>
      <c r="Z57003" s="258"/>
    </row>
    <row r="57004" spans="1:26" ht="12.75" customHeight="1" x14ac:dyDescent="0.2">
      <c r="A57004" s="258"/>
      <c r="Z57004" s="258"/>
    </row>
    <row r="57005" spans="1:26" ht="12.75" customHeight="1" x14ac:dyDescent="0.2">
      <c r="A57005" s="258"/>
      <c r="Z57005" s="258"/>
    </row>
    <row r="57006" spans="1:26" ht="12.75" customHeight="1" x14ac:dyDescent="0.2">
      <c r="A57006" s="258"/>
      <c r="Z57006" s="258"/>
    </row>
    <row r="57007" spans="1:26" ht="12.75" customHeight="1" x14ac:dyDescent="0.2">
      <c r="A57007" s="258"/>
      <c r="Z57007" s="258"/>
    </row>
    <row r="57008" spans="1:26" ht="12.75" customHeight="1" x14ac:dyDescent="0.2">
      <c r="A57008" s="258"/>
      <c r="Z57008" s="258"/>
    </row>
    <row r="57009" spans="1:26" ht="12.75" customHeight="1" x14ac:dyDescent="0.2">
      <c r="A57009" s="258"/>
      <c r="Z57009" s="258"/>
    </row>
    <row r="57010" spans="1:26" ht="12.75" customHeight="1" x14ac:dyDescent="0.2">
      <c r="A57010" s="258"/>
      <c r="Z57010" s="258"/>
    </row>
    <row r="57011" spans="1:26" ht="12.75" customHeight="1" x14ac:dyDescent="0.2">
      <c r="A57011" s="258"/>
      <c r="Z57011" s="258"/>
    </row>
    <row r="57012" spans="1:26" ht="12.75" customHeight="1" x14ac:dyDescent="0.2">
      <c r="A57012" s="258"/>
      <c r="Z57012" s="258"/>
    </row>
    <row r="57013" spans="1:26" ht="12.75" customHeight="1" x14ac:dyDescent="0.2">
      <c r="A57013" s="258"/>
      <c r="Z57013" s="258"/>
    </row>
    <row r="57014" spans="1:26" ht="12.75" customHeight="1" x14ac:dyDescent="0.2">
      <c r="A57014" s="258"/>
      <c r="Z57014" s="258"/>
    </row>
    <row r="57015" spans="1:26" ht="12.75" customHeight="1" x14ac:dyDescent="0.2">
      <c r="A57015" s="258"/>
      <c r="Z57015" s="258"/>
    </row>
    <row r="57016" spans="1:26" ht="12.75" customHeight="1" x14ac:dyDescent="0.2">
      <c r="A57016" s="258"/>
      <c r="Z57016" s="258"/>
    </row>
    <row r="57017" spans="1:26" ht="12.75" customHeight="1" x14ac:dyDescent="0.2">
      <c r="A57017" s="258"/>
      <c r="Z57017" s="258"/>
    </row>
    <row r="57018" spans="1:26" ht="12.75" customHeight="1" x14ac:dyDescent="0.2">
      <c r="A57018" s="258"/>
      <c r="Z57018" s="258"/>
    </row>
    <row r="57019" spans="1:26" ht="12.75" customHeight="1" x14ac:dyDescent="0.2">
      <c r="A57019" s="258"/>
      <c r="Z57019" s="258"/>
    </row>
    <row r="57020" spans="1:26" ht="12.75" customHeight="1" x14ac:dyDescent="0.2">
      <c r="A57020" s="258"/>
      <c r="Z57020" s="258"/>
    </row>
    <row r="57021" spans="1:26" ht="12.75" customHeight="1" x14ac:dyDescent="0.2">
      <c r="A57021" s="258"/>
      <c r="Z57021" s="258"/>
    </row>
    <row r="57022" spans="1:26" ht="12.75" customHeight="1" x14ac:dyDescent="0.2">
      <c r="A57022" s="258"/>
      <c r="Z57022" s="258"/>
    </row>
    <row r="57023" spans="1:26" ht="12.75" customHeight="1" x14ac:dyDescent="0.2">
      <c r="A57023" s="258"/>
      <c r="Z57023" s="258"/>
    </row>
    <row r="57024" spans="1:26" ht="12.75" customHeight="1" x14ac:dyDescent="0.2">
      <c r="A57024" s="258"/>
      <c r="Z57024" s="258"/>
    </row>
    <row r="57025" spans="1:26" ht="12.75" customHeight="1" x14ac:dyDescent="0.2">
      <c r="A57025" s="258"/>
      <c r="Z57025" s="258"/>
    </row>
    <row r="57026" spans="1:26" ht="12.75" customHeight="1" x14ac:dyDescent="0.2">
      <c r="A57026" s="258"/>
      <c r="Z57026" s="258"/>
    </row>
    <row r="57027" spans="1:26" ht="12.75" customHeight="1" x14ac:dyDescent="0.2">
      <c r="A57027" s="258"/>
      <c r="Z57027" s="258"/>
    </row>
    <row r="57028" spans="1:26" ht="12.75" customHeight="1" x14ac:dyDescent="0.2">
      <c r="A57028" s="258"/>
      <c r="Z57028" s="258"/>
    </row>
    <row r="57029" spans="1:26" ht="12.75" customHeight="1" x14ac:dyDescent="0.2">
      <c r="A57029" s="258"/>
      <c r="Z57029" s="258"/>
    </row>
    <row r="57030" spans="1:26" ht="12.75" customHeight="1" x14ac:dyDescent="0.2">
      <c r="A57030" s="258"/>
      <c r="Z57030" s="258"/>
    </row>
    <row r="57031" spans="1:26" ht="12.75" customHeight="1" x14ac:dyDescent="0.2">
      <c r="A57031" s="258"/>
      <c r="Z57031" s="258"/>
    </row>
    <row r="57032" spans="1:26" ht="12.75" customHeight="1" x14ac:dyDescent="0.2">
      <c r="A57032" s="258"/>
      <c r="Z57032" s="258"/>
    </row>
    <row r="57033" spans="1:26" ht="12.75" customHeight="1" x14ac:dyDescent="0.2">
      <c r="A57033" s="258"/>
      <c r="Z57033" s="258"/>
    </row>
    <row r="57034" spans="1:26" ht="12.75" customHeight="1" x14ac:dyDescent="0.2">
      <c r="A57034" s="258"/>
      <c r="Z57034" s="258"/>
    </row>
    <row r="57035" spans="1:26" ht="12.75" customHeight="1" x14ac:dyDescent="0.2">
      <c r="A57035" s="258"/>
      <c r="Z57035" s="258"/>
    </row>
    <row r="57036" spans="1:26" ht="12.75" customHeight="1" x14ac:dyDescent="0.2">
      <c r="A57036" s="258"/>
      <c r="Z57036" s="258"/>
    </row>
    <row r="57037" spans="1:26" ht="12.75" customHeight="1" x14ac:dyDescent="0.2">
      <c r="A57037" s="258"/>
      <c r="Z57037" s="258"/>
    </row>
    <row r="57038" spans="1:26" ht="12.75" customHeight="1" x14ac:dyDescent="0.2">
      <c r="A57038" s="258"/>
      <c r="Z57038" s="258"/>
    </row>
    <row r="57039" spans="1:26" ht="12.75" customHeight="1" x14ac:dyDescent="0.2">
      <c r="A57039" s="258"/>
      <c r="Z57039" s="258"/>
    </row>
    <row r="57040" spans="1:26" ht="12.75" customHeight="1" x14ac:dyDescent="0.2">
      <c r="A57040" s="258"/>
      <c r="Z57040" s="258"/>
    </row>
    <row r="57041" spans="1:26" ht="12.75" customHeight="1" x14ac:dyDescent="0.2">
      <c r="A57041" s="258"/>
      <c r="Z57041" s="258"/>
    </row>
    <row r="57042" spans="1:26" ht="12.75" customHeight="1" x14ac:dyDescent="0.2">
      <c r="A57042" s="258"/>
      <c r="Z57042" s="258"/>
    </row>
    <row r="57043" spans="1:26" ht="12.75" customHeight="1" x14ac:dyDescent="0.2">
      <c r="A57043" s="258"/>
      <c r="Z57043" s="258"/>
    </row>
    <row r="57044" spans="1:26" ht="12.75" customHeight="1" x14ac:dyDescent="0.2">
      <c r="A57044" s="258"/>
      <c r="Z57044" s="258"/>
    </row>
    <row r="57045" spans="1:26" ht="12.75" customHeight="1" x14ac:dyDescent="0.2">
      <c r="A57045" s="258"/>
      <c r="Z57045" s="258"/>
    </row>
    <row r="57046" spans="1:26" ht="12.75" customHeight="1" x14ac:dyDescent="0.2">
      <c r="A57046" s="258"/>
      <c r="Z57046" s="258"/>
    </row>
    <row r="57047" spans="1:26" ht="12.75" customHeight="1" x14ac:dyDescent="0.2">
      <c r="A57047" s="258"/>
      <c r="Z57047" s="258"/>
    </row>
    <row r="57048" spans="1:26" ht="12.75" customHeight="1" x14ac:dyDescent="0.2">
      <c r="A57048" s="258"/>
      <c r="Z57048" s="258"/>
    </row>
    <row r="57049" spans="1:26" ht="12.75" customHeight="1" x14ac:dyDescent="0.2">
      <c r="A57049" s="258"/>
      <c r="Z57049" s="258"/>
    </row>
    <row r="57050" spans="1:26" ht="12.75" customHeight="1" x14ac:dyDescent="0.2">
      <c r="A57050" s="258"/>
      <c r="Z57050" s="258"/>
    </row>
    <row r="57051" spans="1:26" ht="12.75" customHeight="1" x14ac:dyDescent="0.2">
      <c r="A57051" s="258"/>
      <c r="Z57051" s="258"/>
    </row>
    <row r="57052" spans="1:26" ht="12.75" customHeight="1" x14ac:dyDescent="0.2">
      <c r="A57052" s="258"/>
      <c r="Z57052" s="258"/>
    </row>
    <row r="57053" spans="1:26" ht="12.75" customHeight="1" x14ac:dyDescent="0.2">
      <c r="A57053" s="258"/>
      <c r="Z57053" s="258"/>
    </row>
    <row r="57054" spans="1:26" ht="12.75" customHeight="1" x14ac:dyDescent="0.2">
      <c r="A57054" s="258"/>
      <c r="Z57054" s="258"/>
    </row>
    <row r="57055" spans="1:26" ht="12.75" customHeight="1" x14ac:dyDescent="0.2">
      <c r="A57055" s="258"/>
      <c r="Z57055" s="258"/>
    </row>
    <row r="57056" spans="1:26" ht="12.75" customHeight="1" x14ac:dyDescent="0.2">
      <c r="A57056" s="258"/>
      <c r="Z57056" s="258"/>
    </row>
    <row r="57057" spans="1:26" ht="12.75" customHeight="1" x14ac:dyDescent="0.2">
      <c r="A57057" s="258"/>
      <c r="Z57057" s="258"/>
    </row>
    <row r="57058" spans="1:26" ht="12.75" customHeight="1" x14ac:dyDescent="0.2">
      <c r="A57058" s="258"/>
      <c r="Z57058" s="258"/>
    </row>
    <row r="57059" spans="1:26" ht="12.75" customHeight="1" x14ac:dyDescent="0.2">
      <c r="A57059" s="258"/>
      <c r="Z57059" s="258"/>
    </row>
    <row r="57060" spans="1:26" ht="12.75" customHeight="1" x14ac:dyDescent="0.2">
      <c r="A57060" s="258"/>
      <c r="Z57060" s="258"/>
    </row>
    <row r="57061" spans="1:26" ht="12.75" customHeight="1" x14ac:dyDescent="0.2">
      <c r="A57061" s="258"/>
      <c r="Z57061" s="258"/>
    </row>
    <row r="57062" spans="1:26" ht="12.75" customHeight="1" x14ac:dyDescent="0.2">
      <c r="A57062" s="258"/>
      <c r="Z57062" s="258"/>
    </row>
    <row r="57063" spans="1:26" ht="12.75" customHeight="1" x14ac:dyDescent="0.2">
      <c r="A57063" s="258"/>
      <c r="Z57063" s="258"/>
    </row>
    <row r="57064" spans="1:26" ht="12.75" customHeight="1" x14ac:dyDescent="0.2">
      <c r="A57064" s="258"/>
      <c r="Z57064" s="258"/>
    </row>
    <row r="57065" spans="1:26" ht="12.75" customHeight="1" x14ac:dyDescent="0.2">
      <c r="A57065" s="258"/>
      <c r="Z57065" s="258"/>
    </row>
    <row r="57066" spans="1:26" ht="12.75" customHeight="1" x14ac:dyDescent="0.2">
      <c r="A57066" s="258"/>
      <c r="Z57066" s="258"/>
    </row>
    <row r="57067" spans="1:26" ht="12.75" customHeight="1" x14ac:dyDescent="0.2">
      <c r="A57067" s="258"/>
      <c r="Z57067" s="258"/>
    </row>
    <row r="57068" spans="1:26" ht="12.75" customHeight="1" x14ac:dyDescent="0.2">
      <c r="A57068" s="258"/>
      <c r="Z57068" s="258"/>
    </row>
    <row r="57069" spans="1:26" ht="12.75" customHeight="1" x14ac:dyDescent="0.2">
      <c r="A57069" s="258"/>
      <c r="Z57069" s="258"/>
    </row>
    <row r="57070" spans="1:26" ht="12.75" customHeight="1" x14ac:dyDescent="0.2">
      <c r="A57070" s="258"/>
      <c r="Z57070" s="258"/>
    </row>
    <row r="57071" spans="1:26" ht="12.75" customHeight="1" x14ac:dyDescent="0.2">
      <c r="A57071" s="258"/>
      <c r="Z57071" s="258"/>
    </row>
    <row r="57072" spans="1:26" ht="12.75" customHeight="1" x14ac:dyDescent="0.2">
      <c r="A57072" s="258"/>
      <c r="Z57072" s="258"/>
    </row>
    <row r="57073" spans="1:26" ht="12.75" customHeight="1" x14ac:dyDescent="0.2">
      <c r="A57073" s="258"/>
      <c r="Z57073" s="258"/>
    </row>
    <row r="57074" spans="1:26" ht="12.75" customHeight="1" x14ac:dyDescent="0.2">
      <c r="A57074" s="258"/>
      <c r="Z57074" s="258"/>
    </row>
    <row r="57075" spans="1:26" ht="12.75" customHeight="1" x14ac:dyDescent="0.2">
      <c r="A57075" s="258"/>
      <c r="Z57075" s="258"/>
    </row>
    <row r="57076" spans="1:26" ht="12.75" customHeight="1" x14ac:dyDescent="0.2">
      <c r="A57076" s="258"/>
      <c r="Z57076" s="258"/>
    </row>
    <row r="57077" spans="1:26" ht="12.75" customHeight="1" x14ac:dyDescent="0.2">
      <c r="A57077" s="258"/>
      <c r="Z57077" s="258"/>
    </row>
    <row r="57078" spans="1:26" ht="12.75" customHeight="1" x14ac:dyDescent="0.2">
      <c r="A57078" s="258"/>
      <c r="Z57078" s="258"/>
    </row>
    <row r="57079" spans="1:26" ht="12.75" customHeight="1" x14ac:dyDescent="0.2">
      <c r="A57079" s="258"/>
      <c r="Z57079" s="258"/>
    </row>
    <row r="57080" spans="1:26" ht="12.75" customHeight="1" x14ac:dyDescent="0.2">
      <c r="A57080" s="258"/>
      <c r="Z57080" s="258"/>
    </row>
    <row r="57081" spans="1:26" ht="12.75" customHeight="1" x14ac:dyDescent="0.2">
      <c r="A57081" s="258"/>
      <c r="Z57081" s="258"/>
    </row>
    <row r="57082" spans="1:26" ht="12.75" customHeight="1" x14ac:dyDescent="0.2">
      <c r="A57082" s="258"/>
      <c r="Z57082" s="258"/>
    </row>
    <row r="57083" spans="1:26" ht="12.75" customHeight="1" x14ac:dyDescent="0.2">
      <c r="A57083" s="258"/>
      <c r="Z57083" s="258"/>
    </row>
    <row r="57084" spans="1:26" ht="12.75" customHeight="1" x14ac:dyDescent="0.2">
      <c r="A57084" s="258"/>
      <c r="Z57084" s="258"/>
    </row>
    <row r="57085" spans="1:26" ht="12.75" customHeight="1" x14ac:dyDescent="0.2">
      <c r="A57085" s="258"/>
      <c r="Z57085" s="258"/>
    </row>
    <row r="57086" spans="1:26" ht="12.75" customHeight="1" x14ac:dyDescent="0.2">
      <c r="A57086" s="258"/>
      <c r="Z57086" s="258"/>
    </row>
    <row r="57087" spans="1:26" ht="12.75" customHeight="1" x14ac:dyDescent="0.2">
      <c r="A57087" s="258"/>
      <c r="Z57087" s="258"/>
    </row>
    <row r="57088" spans="1:26" ht="12.75" customHeight="1" x14ac:dyDescent="0.2">
      <c r="A57088" s="258"/>
      <c r="Z57088" s="258"/>
    </row>
    <row r="57089" spans="1:26" ht="12.75" customHeight="1" x14ac:dyDescent="0.2">
      <c r="A57089" s="258"/>
      <c r="Z57089" s="258"/>
    </row>
    <row r="57090" spans="1:26" ht="12.75" customHeight="1" x14ac:dyDescent="0.2">
      <c r="A57090" s="258"/>
      <c r="Z57090" s="258"/>
    </row>
    <row r="57091" spans="1:26" ht="12.75" customHeight="1" x14ac:dyDescent="0.2">
      <c r="A57091" s="258"/>
      <c r="Z57091" s="258"/>
    </row>
    <row r="57092" spans="1:26" ht="12.75" customHeight="1" x14ac:dyDescent="0.2">
      <c r="A57092" s="258"/>
      <c r="Z57092" s="258"/>
    </row>
    <row r="57093" spans="1:26" ht="12.75" customHeight="1" x14ac:dyDescent="0.2">
      <c r="A57093" s="258"/>
      <c r="Z57093" s="258"/>
    </row>
    <row r="57094" spans="1:26" ht="12.75" customHeight="1" x14ac:dyDescent="0.2">
      <c r="A57094" s="258"/>
      <c r="Z57094" s="258"/>
    </row>
    <row r="57095" spans="1:26" ht="12.75" customHeight="1" x14ac:dyDescent="0.2">
      <c r="A57095" s="258"/>
      <c r="Z57095" s="258"/>
    </row>
    <row r="57096" spans="1:26" ht="12.75" customHeight="1" x14ac:dyDescent="0.2">
      <c r="A57096" s="258"/>
      <c r="Z57096" s="258"/>
    </row>
    <row r="57097" spans="1:26" ht="12.75" customHeight="1" x14ac:dyDescent="0.2">
      <c r="A57097" s="258"/>
      <c r="Z57097" s="258"/>
    </row>
    <row r="57098" spans="1:26" ht="12.75" customHeight="1" x14ac:dyDescent="0.2">
      <c r="A57098" s="258"/>
      <c r="Z57098" s="258"/>
    </row>
    <row r="57099" spans="1:26" ht="12.75" customHeight="1" x14ac:dyDescent="0.2">
      <c r="A57099" s="258"/>
      <c r="Z57099" s="258"/>
    </row>
    <row r="57100" spans="1:26" ht="12.75" customHeight="1" x14ac:dyDescent="0.2">
      <c r="A57100" s="258"/>
      <c r="Z57100" s="258"/>
    </row>
    <row r="57101" spans="1:26" ht="12.75" customHeight="1" x14ac:dyDescent="0.2">
      <c r="A57101" s="258"/>
      <c r="Z57101" s="258"/>
    </row>
    <row r="57102" spans="1:26" ht="12.75" customHeight="1" x14ac:dyDescent="0.2">
      <c r="A57102" s="258"/>
      <c r="Z57102" s="258"/>
    </row>
    <row r="57103" spans="1:26" ht="12.75" customHeight="1" x14ac:dyDescent="0.2">
      <c r="A57103" s="258"/>
      <c r="Z57103" s="258"/>
    </row>
    <row r="57104" spans="1:26" ht="12.75" customHeight="1" x14ac:dyDescent="0.2">
      <c r="A57104" s="258"/>
      <c r="Z57104" s="258"/>
    </row>
    <row r="57105" spans="1:26" ht="12.75" customHeight="1" x14ac:dyDescent="0.2">
      <c r="A57105" s="258"/>
      <c r="Z57105" s="258"/>
    </row>
    <row r="57106" spans="1:26" ht="12.75" customHeight="1" x14ac:dyDescent="0.2">
      <c r="A57106" s="258"/>
      <c r="Z57106" s="258"/>
    </row>
    <row r="57107" spans="1:26" ht="12.75" customHeight="1" x14ac:dyDescent="0.2">
      <c r="A57107" s="258"/>
      <c r="Z57107" s="258"/>
    </row>
    <row r="57108" spans="1:26" ht="12.75" customHeight="1" x14ac:dyDescent="0.2">
      <c r="A57108" s="258"/>
      <c r="Z57108" s="258"/>
    </row>
    <row r="57109" spans="1:26" ht="12.75" customHeight="1" x14ac:dyDescent="0.2">
      <c r="A57109" s="258"/>
      <c r="Z57109" s="258"/>
    </row>
    <row r="57110" spans="1:26" ht="12.75" customHeight="1" x14ac:dyDescent="0.2">
      <c r="A57110" s="258"/>
      <c r="Z57110" s="258"/>
    </row>
    <row r="57111" spans="1:26" ht="12.75" customHeight="1" x14ac:dyDescent="0.2">
      <c r="A57111" s="258"/>
      <c r="Z57111" s="258"/>
    </row>
    <row r="57112" spans="1:26" ht="12.75" customHeight="1" x14ac:dyDescent="0.2">
      <c r="A57112" s="258"/>
      <c r="Z57112" s="258"/>
    </row>
    <row r="57113" spans="1:26" ht="12.75" customHeight="1" x14ac:dyDescent="0.2">
      <c r="A57113" s="258"/>
      <c r="Z57113" s="258"/>
    </row>
    <row r="57114" spans="1:26" ht="12.75" customHeight="1" x14ac:dyDescent="0.2">
      <c r="A57114" s="258"/>
      <c r="Z57114" s="258"/>
    </row>
    <row r="57115" spans="1:26" ht="12.75" customHeight="1" x14ac:dyDescent="0.2">
      <c r="A57115" s="258"/>
      <c r="Z57115" s="258"/>
    </row>
    <row r="57116" spans="1:26" ht="12.75" customHeight="1" x14ac:dyDescent="0.2">
      <c r="A57116" s="258"/>
      <c r="Z57116" s="258"/>
    </row>
    <row r="57117" spans="1:26" ht="12.75" customHeight="1" x14ac:dyDescent="0.2">
      <c r="A57117" s="258"/>
      <c r="Z57117" s="258"/>
    </row>
    <row r="57118" spans="1:26" ht="12.75" customHeight="1" x14ac:dyDescent="0.2">
      <c r="A57118" s="258"/>
      <c r="Z57118" s="258"/>
    </row>
    <row r="57119" spans="1:26" ht="12.75" customHeight="1" x14ac:dyDescent="0.2">
      <c r="A57119" s="258"/>
      <c r="Z57119" s="258"/>
    </row>
    <row r="57120" spans="1:26" ht="12.75" customHeight="1" x14ac:dyDescent="0.2">
      <c r="A57120" s="258"/>
      <c r="Z57120" s="258"/>
    </row>
    <row r="57121" spans="1:26" ht="12.75" customHeight="1" x14ac:dyDescent="0.2">
      <c r="A57121" s="258"/>
      <c r="Z57121" s="258"/>
    </row>
    <row r="57122" spans="1:26" ht="12.75" customHeight="1" x14ac:dyDescent="0.2">
      <c r="A57122" s="258"/>
      <c r="Z57122" s="258"/>
    </row>
    <row r="57123" spans="1:26" ht="12.75" customHeight="1" x14ac:dyDescent="0.2">
      <c r="A57123" s="258"/>
      <c r="Z57123" s="258"/>
    </row>
    <row r="57124" spans="1:26" ht="12.75" customHeight="1" x14ac:dyDescent="0.2">
      <c r="A57124" s="258"/>
      <c r="Z57124" s="258"/>
    </row>
    <row r="57125" spans="1:26" ht="12.75" customHeight="1" x14ac:dyDescent="0.2">
      <c r="A57125" s="258"/>
      <c r="Z57125" s="258"/>
    </row>
    <row r="57126" spans="1:26" ht="12.75" customHeight="1" x14ac:dyDescent="0.2">
      <c r="A57126" s="258"/>
      <c r="Z57126" s="258"/>
    </row>
    <row r="57127" spans="1:26" ht="12.75" customHeight="1" x14ac:dyDescent="0.2">
      <c r="A57127" s="258"/>
      <c r="Z57127" s="258"/>
    </row>
    <row r="57128" spans="1:26" ht="12.75" customHeight="1" x14ac:dyDescent="0.2">
      <c r="A57128" s="258"/>
      <c r="Z57128" s="258"/>
    </row>
    <row r="57129" spans="1:26" ht="12.75" customHeight="1" x14ac:dyDescent="0.2">
      <c r="A57129" s="258"/>
      <c r="Z57129" s="258"/>
    </row>
    <row r="57130" spans="1:26" ht="12.75" customHeight="1" x14ac:dyDescent="0.2">
      <c r="A57130" s="258"/>
      <c r="Z57130" s="258"/>
    </row>
    <row r="57131" spans="1:26" ht="12.75" customHeight="1" x14ac:dyDescent="0.2">
      <c r="A57131" s="258"/>
      <c r="Z57131" s="258"/>
    </row>
    <row r="57132" spans="1:26" ht="12.75" customHeight="1" x14ac:dyDescent="0.2">
      <c r="A57132" s="258"/>
      <c r="Z57132" s="258"/>
    </row>
    <row r="57133" spans="1:26" ht="12.75" customHeight="1" x14ac:dyDescent="0.2">
      <c r="A57133" s="258"/>
      <c r="Z57133" s="258"/>
    </row>
    <row r="57134" spans="1:26" ht="12.75" customHeight="1" x14ac:dyDescent="0.2">
      <c r="A57134" s="258"/>
      <c r="Z57134" s="258"/>
    </row>
    <row r="57135" spans="1:26" ht="12.75" customHeight="1" x14ac:dyDescent="0.2">
      <c r="A57135" s="258"/>
      <c r="Z57135" s="258"/>
    </row>
    <row r="57136" spans="1:26" ht="12.75" customHeight="1" x14ac:dyDescent="0.2">
      <c r="A57136" s="258"/>
      <c r="Z57136" s="258"/>
    </row>
    <row r="57137" spans="1:26" ht="12.75" customHeight="1" x14ac:dyDescent="0.2">
      <c r="A57137" s="258"/>
      <c r="Z57137" s="258"/>
    </row>
    <row r="57138" spans="1:26" ht="12.75" customHeight="1" x14ac:dyDescent="0.2">
      <c r="A57138" s="258"/>
      <c r="Z57138" s="258"/>
    </row>
    <row r="57139" spans="1:26" ht="12.75" customHeight="1" x14ac:dyDescent="0.2">
      <c r="A57139" s="258"/>
      <c r="Z57139" s="258"/>
    </row>
    <row r="57140" spans="1:26" ht="12.75" customHeight="1" x14ac:dyDescent="0.2">
      <c r="A57140" s="258"/>
      <c r="Z57140" s="258"/>
    </row>
    <row r="57141" spans="1:26" ht="12.75" customHeight="1" x14ac:dyDescent="0.2">
      <c r="A57141" s="258"/>
      <c r="Z57141" s="258"/>
    </row>
    <row r="57142" spans="1:26" ht="12.75" customHeight="1" x14ac:dyDescent="0.2">
      <c r="A57142" s="258"/>
      <c r="Z57142" s="258"/>
    </row>
    <row r="57143" spans="1:26" ht="12.75" customHeight="1" x14ac:dyDescent="0.2">
      <c r="A57143" s="258"/>
      <c r="Z57143" s="258"/>
    </row>
    <row r="57144" spans="1:26" ht="12.75" customHeight="1" x14ac:dyDescent="0.2">
      <c r="A57144" s="258"/>
      <c r="Z57144" s="258"/>
    </row>
    <row r="57145" spans="1:26" ht="12.75" customHeight="1" x14ac:dyDescent="0.2">
      <c r="A57145" s="258"/>
      <c r="Z57145" s="258"/>
    </row>
    <row r="57146" spans="1:26" ht="12.75" customHeight="1" x14ac:dyDescent="0.2">
      <c r="A57146" s="258"/>
      <c r="Z57146" s="258"/>
    </row>
    <row r="57147" spans="1:26" ht="12.75" customHeight="1" x14ac:dyDescent="0.2">
      <c r="A57147" s="258"/>
      <c r="Z57147" s="258"/>
    </row>
    <row r="57148" spans="1:26" ht="12.75" customHeight="1" x14ac:dyDescent="0.2">
      <c r="A57148" s="258"/>
      <c r="Z57148" s="258"/>
    </row>
    <row r="57149" spans="1:26" ht="12.75" customHeight="1" x14ac:dyDescent="0.2">
      <c r="A57149" s="258"/>
      <c r="Z57149" s="258"/>
    </row>
    <row r="57150" spans="1:26" ht="12.75" customHeight="1" x14ac:dyDescent="0.2">
      <c r="A57150" s="258"/>
      <c r="Z57150" s="258"/>
    </row>
    <row r="57151" spans="1:26" ht="12.75" customHeight="1" x14ac:dyDescent="0.2">
      <c r="A57151" s="258"/>
      <c r="Z57151" s="258"/>
    </row>
    <row r="57152" spans="1:26" ht="12.75" customHeight="1" x14ac:dyDescent="0.2">
      <c r="A57152" s="258"/>
      <c r="Z57152" s="258"/>
    </row>
    <row r="57153" spans="1:26" ht="12.75" customHeight="1" x14ac:dyDescent="0.2">
      <c r="A57153" s="258"/>
      <c r="Z57153" s="258"/>
    </row>
    <row r="57154" spans="1:26" ht="12.75" customHeight="1" x14ac:dyDescent="0.2">
      <c r="A57154" s="258"/>
      <c r="Z57154" s="258"/>
    </row>
    <row r="57155" spans="1:26" ht="12.75" customHeight="1" x14ac:dyDescent="0.2">
      <c r="A57155" s="258"/>
      <c r="Z57155" s="258"/>
    </row>
    <row r="57156" spans="1:26" ht="12.75" customHeight="1" x14ac:dyDescent="0.2">
      <c r="A57156" s="258"/>
      <c r="Z57156" s="258"/>
    </row>
    <row r="57157" spans="1:26" ht="12.75" customHeight="1" x14ac:dyDescent="0.2">
      <c r="A57157" s="258"/>
      <c r="Z57157" s="258"/>
    </row>
    <row r="57158" spans="1:26" ht="12.75" customHeight="1" x14ac:dyDescent="0.2">
      <c r="A57158" s="258"/>
      <c r="Z57158" s="258"/>
    </row>
    <row r="57159" spans="1:26" ht="12.75" customHeight="1" x14ac:dyDescent="0.2">
      <c r="A57159" s="258"/>
      <c r="Z57159" s="258"/>
    </row>
    <row r="57160" spans="1:26" ht="12.75" customHeight="1" x14ac:dyDescent="0.2">
      <c r="A57160" s="258"/>
      <c r="Z57160" s="258"/>
    </row>
    <row r="57161" spans="1:26" ht="12.75" customHeight="1" x14ac:dyDescent="0.2">
      <c r="A57161" s="258"/>
      <c r="Z57161" s="258"/>
    </row>
    <row r="57162" spans="1:26" ht="12.75" customHeight="1" x14ac:dyDescent="0.2">
      <c r="A57162" s="258"/>
      <c r="Z57162" s="258"/>
    </row>
    <row r="57163" spans="1:26" ht="12.75" customHeight="1" x14ac:dyDescent="0.2">
      <c r="A57163" s="258"/>
      <c r="Z57163" s="258"/>
    </row>
    <row r="57164" spans="1:26" ht="12.75" customHeight="1" x14ac:dyDescent="0.2">
      <c r="A57164" s="258"/>
      <c r="Z57164" s="258"/>
    </row>
    <row r="57165" spans="1:26" ht="12.75" customHeight="1" x14ac:dyDescent="0.2">
      <c r="A57165" s="258"/>
      <c r="Z57165" s="258"/>
    </row>
    <row r="57166" spans="1:26" ht="12.75" customHeight="1" x14ac:dyDescent="0.2">
      <c r="A57166" s="258"/>
      <c r="Z57166" s="258"/>
    </row>
    <row r="57167" spans="1:26" ht="12.75" customHeight="1" x14ac:dyDescent="0.2">
      <c r="A57167" s="258"/>
      <c r="Z57167" s="258"/>
    </row>
    <row r="57168" spans="1:26" ht="12.75" customHeight="1" x14ac:dyDescent="0.2">
      <c r="A57168" s="258"/>
      <c r="Z57168" s="258"/>
    </row>
    <row r="57169" spans="1:26" ht="12.75" customHeight="1" x14ac:dyDescent="0.2">
      <c r="A57169" s="258"/>
      <c r="Z57169" s="258"/>
    </row>
    <row r="57170" spans="1:26" ht="12.75" customHeight="1" x14ac:dyDescent="0.2">
      <c r="A57170" s="258"/>
      <c r="Z57170" s="258"/>
    </row>
    <row r="57171" spans="1:26" ht="12.75" customHeight="1" x14ac:dyDescent="0.2">
      <c r="A57171" s="258"/>
      <c r="Z57171" s="258"/>
    </row>
    <row r="57172" spans="1:26" ht="12.75" customHeight="1" x14ac:dyDescent="0.2">
      <c r="A57172" s="258"/>
      <c r="Z57172" s="258"/>
    </row>
    <row r="57173" spans="1:26" ht="12.75" customHeight="1" x14ac:dyDescent="0.2">
      <c r="A57173" s="258"/>
      <c r="Z57173" s="258"/>
    </row>
    <row r="57174" spans="1:26" ht="12.75" customHeight="1" x14ac:dyDescent="0.2">
      <c r="A57174" s="258"/>
      <c r="Z57174" s="258"/>
    </row>
    <row r="57175" spans="1:26" ht="12.75" customHeight="1" x14ac:dyDescent="0.2">
      <c r="A57175" s="258"/>
      <c r="Z57175" s="258"/>
    </row>
    <row r="57176" spans="1:26" ht="12.75" customHeight="1" x14ac:dyDescent="0.2">
      <c r="A57176" s="258"/>
      <c r="Z57176" s="258"/>
    </row>
    <row r="57177" spans="1:26" ht="12.75" customHeight="1" x14ac:dyDescent="0.2">
      <c r="A57177" s="258"/>
      <c r="Z57177" s="258"/>
    </row>
    <row r="57178" spans="1:26" ht="12.75" customHeight="1" x14ac:dyDescent="0.2">
      <c r="A57178" s="258"/>
      <c r="Z57178" s="258"/>
    </row>
    <row r="57179" spans="1:26" ht="12.75" customHeight="1" x14ac:dyDescent="0.2">
      <c r="A57179" s="258"/>
      <c r="Z57179" s="258"/>
    </row>
    <row r="57180" spans="1:26" ht="12.75" customHeight="1" x14ac:dyDescent="0.2">
      <c r="A57180" s="258"/>
      <c r="Z57180" s="258"/>
    </row>
    <row r="57181" spans="1:26" ht="12.75" customHeight="1" x14ac:dyDescent="0.2">
      <c r="A57181" s="258"/>
      <c r="Z57181" s="258"/>
    </row>
    <row r="57182" spans="1:26" ht="12.75" customHeight="1" x14ac:dyDescent="0.2">
      <c r="A57182" s="258"/>
      <c r="Z57182" s="258"/>
    </row>
    <row r="57183" spans="1:26" ht="12.75" customHeight="1" x14ac:dyDescent="0.2">
      <c r="A57183" s="258"/>
      <c r="Z57183" s="258"/>
    </row>
    <row r="57184" spans="1:26" ht="12.75" customHeight="1" x14ac:dyDescent="0.2">
      <c r="A57184" s="258"/>
      <c r="Z57184" s="258"/>
    </row>
    <row r="57185" spans="1:26" ht="12.75" customHeight="1" x14ac:dyDescent="0.2">
      <c r="A57185" s="258"/>
      <c r="Z57185" s="258"/>
    </row>
    <row r="57186" spans="1:26" ht="12.75" customHeight="1" x14ac:dyDescent="0.2">
      <c r="A57186" s="258"/>
      <c r="Z57186" s="258"/>
    </row>
    <row r="57187" spans="1:26" ht="12.75" customHeight="1" x14ac:dyDescent="0.2">
      <c r="A57187" s="258"/>
      <c r="Z57187" s="258"/>
    </row>
    <row r="57188" spans="1:26" ht="12.75" customHeight="1" x14ac:dyDescent="0.2">
      <c r="A57188" s="258"/>
      <c r="Z57188" s="258"/>
    </row>
    <row r="57189" spans="1:26" ht="12.75" customHeight="1" x14ac:dyDescent="0.2">
      <c r="A57189" s="258"/>
      <c r="Z57189" s="258"/>
    </row>
    <row r="57190" spans="1:26" ht="12.75" customHeight="1" x14ac:dyDescent="0.2">
      <c r="A57190" s="258"/>
      <c r="Z57190" s="258"/>
    </row>
    <row r="57191" spans="1:26" ht="12.75" customHeight="1" x14ac:dyDescent="0.2">
      <c r="A57191" s="258"/>
      <c r="Z57191" s="258"/>
    </row>
    <row r="57192" spans="1:26" ht="12.75" customHeight="1" x14ac:dyDescent="0.2">
      <c r="A57192" s="258"/>
      <c r="Z57192" s="258"/>
    </row>
    <row r="57193" spans="1:26" ht="12.75" customHeight="1" x14ac:dyDescent="0.2">
      <c r="A57193" s="258"/>
      <c r="Z57193" s="258"/>
    </row>
    <row r="57194" spans="1:26" ht="12.75" customHeight="1" x14ac:dyDescent="0.2">
      <c r="A57194" s="258"/>
      <c r="Z57194" s="258"/>
    </row>
    <row r="57195" spans="1:26" ht="12.75" customHeight="1" x14ac:dyDescent="0.2">
      <c r="A57195" s="258"/>
      <c r="Z57195" s="258"/>
    </row>
    <row r="57196" spans="1:26" ht="12.75" customHeight="1" x14ac:dyDescent="0.2">
      <c r="A57196" s="258"/>
      <c r="Z57196" s="258"/>
    </row>
    <row r="57197" spans="1:26" ht="12.75" customHeight="1" x14ac:dyDescent="0.2">
      <c r="A57197" s="258"/>
      <c r="Z57197" s="258"/>
    </row>
    <row r="57198" spans="1:26" ht="12.75" customHeight="1" x14ac:dyDescent="0.2">
      <c r="A57198" s="258"/>
      <c r="Z57198" s="258"/>
    </row>
    <row r="57199" spans="1:26" ht="12.75" customHeight="1" x14ac:dyDescent="0.2">
      <c r="A57199" s="258"/>
      <c r="Z57199" s="258"/>
    </row>
    <row r="57200" spans="1:26" ht="12.75" customHeight="1" x14ac:dyDescent="0.2">
      <c r="A57200" s="258"/>
      <c r="Z57200" s="258"/>
    </row>
    <row r="57201" spans="1:26" ht="12.75" customHeight="1" x14ac:dyDescent="0.2">
      <c r="A57201" s="258"/>
      <c r="Z57201" s="258"/>
    </row>
    <row r="57202" spans="1:26" ht="12.75" customHeight="1" x14ac:dyDescent="0.2">
      <c r="A57202" s="258"/>
      <c r="Z57202" s="258"/>
    </row>
    <row r="57203" spans="1:26" ht="12.75" customHeight="1" x14ac:dyDescent="0.2">
      <c r="A57203" s="258"/>
      <c r="Z57203" s="258"/>
    </row>
    <row r="57204" spans="1:26" ht="12.75" customHeight="1" x14ac:dyDescent="0.2">
      <c r="A57204" s="258"/>
      <c r="Z57204" s="258"/>
    </row>
    <row r="57205" spans="1:26" ht="12.75" customHeight="1" x14ac:dyDescent="0.2">
      <c r="A57205" s="258"/>
      <c r="Z57205" s="258"/>
    </row>
    <row r="57206" spans="1:26" ht="12.75" customHeight="1" x14ac:dyDescent="0.2">
      <c r="A57206" s="258"/>
      <c r="Z57206" s="258"/>
    </row>
    <row r="57207" spans="1:26" ht="12.75" customHeight="1" x14ac:dyDescent="0.2">
      <c r="A57207" s="258"/>
      <c r="Z57207" s="258"/>
    </row>
    <row r="57208" spans="1:26" ht="12.75" customHeight="1" x14ac:dyDescent="0.2">
      <c r="A57208" s="258"/>
      <c r="Z57208" s="258"/>
    </row>
    <row r="57209" spans="1:26" ht="12.75" customHeight="1" x14ac:dyDescent="0.2">
      <c r="A57209" s="258"/>
      <c r="Z57209" s="258"/>
    </row>
    <row r="57210" spans="1:26" ht="12.75" customHeight="1" x14ac:dyDescent="0.2">
      <c r="A57210" s="258"/>
      <c r="Z57210" s="258"/>
    </row>
    <row r="57211" spans="1:26" ht="12.75" customHeight="1" x14ac:dyDescent="0.2">
      <c r="A57211" s="258"/>
      <c r="Z57211" s="258"/>
    </row>
    <row r="57212" spans="1:26" ht="12.75" customHeight="1" x14ac:dyDescent="0.2">
      <c r="A57212" s="258"/>
      <c r="Z57212" s="258"/>
    </row>
    <row r="57213" spans="1:26" ht="12.75" customHeight="1" x14ac:dyDescent="0.2">
      <c r="A57213" s="258"/>
      <c r="Z57213" s="258"/>
    </row>
    <row r="57214" spans="1:26" ht="12.75" customHeight="1" x14ac:dyDescent="0.2">
      <c r="A57214" s="258"/>
      <c r="Z57214" s="258"/>
    </row>
    <row r="57215" spans="1:26" ht="12.75" customHeight="1" x14ac:dyDescent="0.2">
      <c r="A57215" s="258"/>
      <c r="Z57215" s="258"/>
    </row>
    <row r="57216" spans="1:26" ht="12.75" customHeight="1" x14ac:dyDescent="0.2">
      <c r="A57216" s="258"/>
      <c r="Z57216" s="258"/>
    </row>
    <row r="57217" spans="1:26" ht="12.75" customHeight="1" x14ac:dyDescent="0.2">
      <c r="A57217" s="258"/>
      <c r="Z57217" s="258"/>
    </row>
    <row r="57218" spans="1:26" ht="12.75" customHeight="1" x14ac:dyDescent="0.2">
      <c r="A57218" s="258"/>
      <c r="Z57218" s="258"/>
    </row>
    <row r="57219" spans="1:26" ht="12.75" customHeight="1" x14ac:dyDescent="0.2">
      <c r="A57219" s="258"/>
      <c r="Z57219" s="258"/>
    </row>
    <row r="57220" spans="1:26" ht="12.75" customHeight="1" x14ac:dyDescent="0.2">
      <c r="A57220" s="258"/>
      <c r="Z57220" s="258"/>
    </row>
    <row r="57221" spans="1:26" ht="12.75" customHeight="1" x14ac:dyDescent="0.2">
      <c r="A57221" s="258"/>
      <c r="Z57221" s="258"/>
    </row>
    <row r="57222" spans="1:26" ht="12.75" customHeight="1" x14ac:dyDescent="0.2">
      <c r="A57222" s="258"/>
      <c r="Z57222" s="258"/>
    </row>
    <row r="57223" spans="1:26" ht="12.75" customHeight="1" x14ac:dyDescent="0.2">
      <c r="A57223" s="258"/>
      <c r="Z57223" s="258"/>
    </row>
    <row r="57224" spans="1:26" ht="12.75" customHeight="1" x14ac:dyDescent="0.2">
      <c r="A57224" s="258"/>
      <c r="Z57224" s="258"/>
    </row>
    <row r="57225" spans="1:26" ht="12.75" customHeight="1" x14ac:dyDescent="0.2">
      <c r="A57225" s="258"/>
      <c r="Z57225" s="258"/>
    </row>
    <row r="57226" spans="1:26" ht="12.75" customHeight="1" x14ac:dyDescent="0.2">
      <c r="A57226" s="258"/>
      <c r="Z57226" s="258"/>
    </row>
    <row r="57227" spans="1:26" ht="12.75" customHeight="1" x14ac:dyDescent="0.2">
      <c r="A57227" s="258"/>
      <c r="Z57227" s="258"/>
    </row>
    <row r="57228" spans="1:26" ht="12.75" customHeight="1" x14ac:dyDescent="0.2">
      <c r="A57228" s="258"/>
      <c r="Z57228" s="258"/>
    </row>
    <row r="57229" spans="1:26" ht="12.75" customHeight="1" x14ac:dyDescent="0.2">
      <c r="A57229" s="258"/>
      <c r="Z57229" s="258"/>
    </row>
    <row r="57230" spans="1:26" ht="12.75" customHeight="1" x14ac:dyDescent="0.2">
      <c r="A57230" s="258"/>
      <c r="Z57230" s="258"/>
    </row>
    <row r="57231" spans="1:26" ht="12.75" customHeight="1" x14ac:dyDescent="0.2">
      <c r="A57231" s="258"/>
      <c r="Z57231" s="258"/>
    </row>
    <row r="57232" spans="1:26" ht="12.75" customHeight="1" x14ac:dyDescent="0.2">
      <c r="A57232" s="258"/>
      <c r="Z57232" s="258"/>
    </row>
    <row r="57233" spans="1:26" ht="12.75" customHeight="1" x14ac:dyDescent="0.2">
      <c r="A57233" s="258"/>
      <c r="Z57233" s="258"/>
    </row>
    <row r="57234" spans="1:26" ht="12.75" customHeight="1" x14ac:dyDescent="0.2">
      <c r="A57234" s="258"/>
      <c r="Z57234" s="258"/>
    </row>
    <row r="57235" spans="1:26" ht="12.75" customHeight="1" x14ac:dyDescent="0.2">
      <c r="A57235" s="258"/>
      <c r="Z57235" s="258"/>
    </row>
    <row r="57236" spans="1:26" ht="12.75" customHeight="1" x14ac:dyDescent="0.2">
      <c r="A57236" s="258"/>
      <c r="Z57236" s="258"/>
    </row>
    <row r="57237" spans="1:26" ht="12.75" customHeight="1" x14ac:dyDescent="0.2">
      <c r="A57237" s="258"/>
      <c r="Z57237" s="258"/>
    </row>
    <row r="57238" spans="1:26" ht="12.75" customHeight="1" x14ac:dyDescent="0.2">
      <c r="A57238" s="258"/>
      <c r="Z57238" s="258"/>
    </row>
    <row r="57239" spans="1:26" ht="12.75" customHeight="1" x14ac:dyDescent="0.2">
      <c r="A57239" s="258"/>
      <c r="Z57239" s="258"/>
    </row>
    <row r="57240" spans="1:26" ht="12.75" customHeight="1" x14ac:dyDescent="0.2">
      <c r="A57240" s="258"/>
      <c r="Z57240" s="258"/>
    </row>
    <row r="57241" spans="1:26" ht="12.75" customHeight="1" x14ac:dyDescent="0.2">
      <c r="A57241" s="258"/>
      <c r="Z57241" s="258"/>
    </row>
    <row r="57242" spans="1:26" ht="12.75" customHeight="1" x14ac:dyDescent="0.2">
      <c r="A57242" s="258"/>
      <c r="Z57242" s="258"/>
    </row>
    <row r="57243" spans="1:26" ht="12.75" customHeight="1" x14ac:dyDescent="0.2">
      <c r="A57243" s="258"/>
      <c r="Z57243" s="258"/>
    </row>
    <row r="57244" spans="1:26" ht="12.75" customHeight="1" x14ac:dyDescent="0.2">
      <c r="A57244" s="258"/>
      <c r="Z57244" s="258"/>
    </row>
    <row r="57245" spans="1:26" ht="12.75" customHeight="1" x14ac:dyDescent="0.2">
      <c r="A57245" s="258"/>
      <c r="Z57245" s="258"/>
    </row>
    <row r="57246" spans="1:26" ht="12.75" customHeight="1" x14ac:dyDescent="0.2">
      <c r="A57246" s="258"/>
      <c r="Z57246" s="258"/>
    </row>
    <row r="57247" spans="1:26" ht="12.75" customHeight="1" x14ac:dyDescent="0.2">
      <c r="A57247" s="258"/>
      <c r="Z57247" s="258"/>
    </row>
    <row r="57248" spans="1:26" ht="12.75" customHeight="1" x14ac:dyDescent="0.2">
      <c r="A57248" s="258"/>
      <c r="Z57248" s="258"/>
    </row>
    <row r="57249" spans="1:26" ht="12.75" customHeight="1" x14ac:dyDescent="0.2">
      <c r="A57249" s="258"/>
      <c r="Z57249" s="258"/>
    </row>
    <row r="57250" spans="1:26" ht="12.75" customHeight="1" x14ac:dyDescent="0.2">
      <c r="A57250" s="258"/>
      <c r="Z57250" s="258"/>
    </row>
    <row r="57251" spans="1:26" ht="12.75" customHeight="1" x14ac:dyDescent="0.2">
      <c r="A57251" s="258"/>
      <c r="Z57251" s="258"/>
    </row>
    <row r="57252" spans="1:26" ht="12.75" customHeight="1" x14ac:dyDescent="0.2">
      <c r="A57252" s="258"/>
      <c r="Z57252" s="258"/>
    </row>
    <row r="57253" spans="1:26" ht="12.75" customHeight="1" x14ac:dyDescent="0.2">
      <c r="A57253" s="258"/>
      <c r="Z57253" s="258"/>
    </row>
    <row r="57254" spans="1:26" ht="12.75" customHeight="1" x14ac:dyDescent="0.2">
      <c r="A57254" s="258"/>
      <c r="Z57254" s="258"/>
    </row>
    <row r="57255" spans="1:26" ht="12.75" customHeight="1" x14ac:dyDescent="0.2">
      <c r="A57255" s="258"/>
      <c r="Z57255" s="258"/>
    </row>
    <row r="57256" spans="1:26" ht="12.75" customHeight="1" x14ac:dyDescent="0.2">
      <c r="A57256" s="258"/>
      <c r="Z57256" s="258"/>
    </row>
    <row r="57257" spans="1:26" ht="12.75" customHeight="1" x14ac:dyDescent="0.2">
      <c r="A57257" s="258"/>
      <c r="Z57257" s="258"/>
    </row>
    <row r="57258" spans="1:26" ht="12.75" customHeight="1" x14ac:dyDescent="0.2">
      <c r="A57258" s="258"/>
      <c r="Z57258" s="258"/>
    </row>
    <row r="57259" spans="1:26" ht="12.75" customHeight="1" x14ac:dyDescent="0.2">
      <c r="A57259" s="258"/>
      <c r="Z57259" s="258"/>
    </row>
    <row r="57260" spans="1:26" ht="12.75" customHeight="1" x14ac:dyDescent="0.2">
      <c r="A57260" s="258"/>
      <c r="Z57260" s="258"/>
    </row>
    <row r="57261" spans="1:26" ht="12.75" customHeight="1" x14ac:dyDescent="0.2">
      <c r="A57261" s="258"/>
      <c r="Z57261" s="258"/>
    </row>
    <row r="57262" spans="1:26" ht="12.75" customHeight="1" x14ac:dyDescent="0.2">
      <c r="A57262" s="258"/>
      <c r="Z57262" s="258"/>
    </row>
    <row r="57263" spans="1:26" ht="12.75" customHeight="1" x14ac:dyDescent="0.2">
      <c r="A57263" s="258"/>
      <c r="Z57263" s="258"/>
    </row>
    <row r="57264" spans="1:26" ht="12.75" customHeight="1" x14ac:dyDescent="0.2">
      <c r="A57264" s="258"/>
      <c r="Z57264" s="258"/>
    </row>
    <row r="57265" spans="1:26" ht="12.75" customHeight="1" x14ac:dyDescent="0.2">
      <c r="A57265" s="258"/>
      <c r="Z57265" s="258"/>
    </row>
    <row r="57266" spans="1:26" ht="12.75" customHeight="1" x14ac:dyDescent="0.2">
      <c r="A57266" s="258"/>
      <c r="Z57266" s="258"/>
    </row>
    <row r="57267" spans="1:26" ht="12.75" customHeight="1" x14ac:dyDescent="0.2">
      <c r="A57267" s="258"/>
      <c r="Z57267" s="258"/>
    </row>
    <row r="57268" spans="1:26" ht="12.75" customHeight="1" x14ac:dyDescent="0.2">
      <c r="A57268" s="258"/>
      <c r="Z57268" s="258"/>
    </row>
    <row r="57269" spans="1:26" ht="12.75" customHeight="1" x14ac:dyDescent="0.2">
      <c r="A57269" s="258"/>
      <c r="Z57269" s="258"/>
    </row>
    <row r="57270" spans="1:26" ht="12.75" customHeight="1" x14ac:dyDescent="0.2">
      <c r="A57270" s="258"/>
      <c r="Z57270" s="258"/>
    </row>
    <row r="57271" spans="1:26" ht="12.75" customHeight="1" x14ac:dyDescent="0.2">
      <c r="A57271" s="258"/>
      <c r="Z57271" s="258"/>
    </row>
    <row r="57272" spans="1:26" ht="12.75" customHeight="1" x14ac:dyDescent="0.2">
      <c r="A57272" s="258"/>
      <c r="Z57272" s="258"/>
    </row>
    <row r="57273" spans="1:26" ht="12.75" customHeight="1" x14ac:dyDescent="0.2">
      <c r="A57273" s="258"/>
      <c r="Z57273" s="258"/>
    </row>
    <row r="57274" spans="1:26" ht="12.75" customHeight="1" x14ac:dyDescent="0.2">
      <c r="A57274" s="258"/>
      <c r="Z57274" s="258"/>
    </row>
    <row r="57275" spans="1:26" ht="12.75" customHeight="1" x14ac:dyDescent="0.2">
      <c r="A57275" s="258"/>
      <c r="Z57275" s="258"/>
    </row>
    <row r="57276" spans="1:26" ht="12.75" customHeight="1" x14ac:dyDescent="0.2">
      <c r="A57276" s="258"/>
      <c r="Z57276" s="258"/>
    </row>
    <row r="57277" spans="1:26" ht="12.75" customHeight="1" x14ac:dyDescent="0.2">
      <c r="A57277" s="258"/>
      <c r="Z57277" s="258"/>
    </row>
    <row r="57278" spans="1:26" ht="12.75" customHeight="1" x14ac:dyDescent="0.2">
      <c r="A57278" s="258"/>
      <c r="Z57278" s="258"/>
    </row>
    <row r="57279" spans="1:26" ht="12.75" customHeight="1" x14ac:dyDescent="0.2">
      <c r="A57279" s="258"/>
      <c r="Z57279" s="258"/>
    </row>
    <row r="57280" spans="1:26" ht="12.75" customHeight="1" x14ac:dyDescent="0.2">
      <c r="A57280" s="258"/>
      <c r="Z57280" s="258"/>
    </row>
    <row r="57281" spans="1:26" ht="12.75" customHeight="1" x14ac:dyDescent="0.2">
      <c r="A57281" s="258"/>
      <c r="Z57281" s="258"/>
    </row>
    <row r="57282" spans="1:26" ht="12.75" customHeight="1" x14ac:dyDescent="0.2">
      <c r="A57282" s="258"/>
      <c r="Z57282" s="258"/>
    </row>
    <row r="57283" spans="1:26" ht="12.75" customHeight="1" x14ac:dyDescent="0.2">
      <c r="A57283" s="258"/>
      <c r="Z57283" s="258"/>
    </row>
    <row r="57284" spans="1:26" ht="12.75" customHeight="1" x14ac:dyDescent="0.2">
      <c r="A57284" s="258"/>
      <c r="Z57284" s="258"/>
    </row>
    <row r="57285" spans="1:26" ht="12.75" customHeight="1" x14ac:dyDescent="0.2">
      <c r="A57285" s="258"/>
      <c r="Z57285" s="258"/>
    </row>
    <row r="57286" spans="1:26" ht="12.75" customHeight="1" x14ac:dyDescent="0.2">
      <c r="A57286" s="258"/>
      <c r="Z57286" s="258"/>
    </row>
    <row r="57287" spans="1:26" ht="12.75" customHeight="1" x14ac:dyDescent="0.2">
      <c r="A57287" s="258"/>
      <c r="Z57287" s="258"/>
    </row>
    <row r="57288" spans="1:26" ht="12.75" customHeight="1" x14ac:dyDescent="0.2">
      <c r="A57288" s="258"/>
      <c r="Z57288" s="258"/>
    </row>
    <row r="57289" spans="1:26" ht="12.75" customHeight="1" x14ac:dyDescent="0.2">
      <c r="A57289" s="258"/>
      <c r="Z57289" s="258"/>
    </row>
    <row r="57290" spans="1:26" ht="12.75" customHeight="1" x14ac:dyDescent="0.2">
      <c r="A57290" s="258"/>
      <c r="Z57290" s="258"/>
    </row>
    <row r="57291" spans="1:26" ht="12.75" customHeight="1" x14ac:dyDescent="0.2">
      <c r="A57291" s="258"/>
      <c r="Z57291" s="258"/>
    </row>
    <row r="57292" spans="1:26" ht="12.75" customHeight="1" x14ac:dyDescent="0.2">
      <c r="A57292" s="258"/>
      <c r="Z57292" s="258"/>
    </row>
    <row r="57293" spans="1:26" ht="12.75" customHeight="1" x14ac:dyDescent="0.2">
      <c r="A57293" s="258"/>
      <c r="Z57293" s="258"/>
    </row>
    <row r="57294" spans="1:26" ht="12.75" customHeight="1" x14ac:dyDescent="0.2">
      <c r="A57294" s="258"/>
      <c r="Z57294" s="258"/>
    </row>
    <row r="57295" spans="1:26" ht="12.75" customHeight="1" x14ac:dyDescent="0.2">
      <c r="A57295" s="258"/>
      <c r="Z57295" s="258"/>
    </row>
    <row r="57296" spans="1:26" ht="12.75" customHeight="1" x14ac:dyDescent="0.2">
      <c r="A57296" s="258"/>
      <c r="Z57296" s="258"/>
    </row>
    <row r="57297" spans="1:26" ht="12.75" customHeight="1" x14ac:dyDescent="0.2">
      <c r="A57297" s="258"/>
      <c r="Z57297" s="258"/>
    </row>
    <row r="57298" spans="1:26" ht="12.75" customHeight="1" x14ac:dyDescent="0.2">
      <c r="A57298" s="258"/>
      <c r="Z57298" s="258"/>
    </row>
    <row r="57299" spans="1:26" ht="12.75" customHeight="1" x14ac:dyDescent="0.2">
      <c r="A57299" s="258"/>
      <c r="Z57299" s="258"/>
    </row>
    <row r="57300" spans="1:26" ht="12.75" customHeight="1" x14ac:dyDescent="0.2">
      <c r="A57300" s="258"/>
      <c r="Z57300" s="258"/>
    </row>
    <row r="57301" spans="1:26" ht="12.75" customHeight="1" x14ac:dyDescent="0.2">
      <c r="A57301" s="258"/>
      <c r="Z57301" s="258"/>
    </row>
    <row r="57302" spans="1:26" ht="12.75" customHeight="1" x14ac:dyDescent="0.2">
      <c r="A57302" s="258"/>
      <c r="Z57302" s="258"/>
    </row>
    <row r="57303" spans="1:26" ht="12.75" customHeight="1" x14ac:dyDescent="0.2">
      <c r="A57303" s="258"/>
      <c r="Z57303" s="258"/>
    </row>
    <row r="57304" spans="1:26" ht="12.75" customHeight="1" x14ac:dyDescent="0.2">
      <c r="A57304" s="258"/>
      <c r="Z57304" s="258"/>
    </row>
    <row r="57305" spans="1:26" ht="12.75" customHeight="1" x14ac:dyDescent="0.2">
      <c r="A57305" s="258"/>
      <c r="Z57305" s="258"/>
    </row>
    <row r="57306" spans="1:26" ht="12.75" customHeight="1" x14ac:dyDescent="0.2">
      <c r="A57306" s="258"/>
      <c r="Z57306" s="258"/>
    </row>
    <row r="57307" spans="1:26" ht="12.75" customHeight="1" x14ac:dyDescent="0.2">
      <c r="A57307" s="258"/>
      <c r="Z57307" s="258"/>
    </row>
    <row r="57308" spans="1:26" ht="12.75" customHeight="1" x14ac:dyDescent="0.2">
      <c r="A57308" s="258"/>
      <c r="Z57308" s="258"/>
    </row>
    <row r="57309" spans="1:26" ht="12.75" customHeight="1" x14ac:dyDescent="0.2">
      <c r="A57309" s="258"/>
      <c r="Z57309" s="258"/>
    </row>
    <row r="57310" spans="1:26" ht="12.75" customHeight="1" x14ac:dyDescent="0.2">
      <c r="A57310" s="258"/>
      <c r="Z57310" s="258"/>
    </row>
    <row r="57311" spans="1:26" ht="12.75" customHeight="1" x14ac:dyDescent="0.2">
      <c r="A57311" s="258"/>
      <c r="Z57311" s="258"/>
    </row>
    <row r="57312" spans="1:26" ht="12.75" customHeight="1" x14ac:dyDescent="0.2">
      <c r="A57312" s="258"/>
      <c r="Z57312" s="258"/>
    </row>
    <row r="57313" spans="1:26" ht="12.75" customHeight="1" x14ac:dyDescent="0.2">
      <c r="A57313" s="258"/>
      <c r="Z57313" s="258"/>
    </row>
    <row r="57314" spans="1:26" ht="12.75" customHeight="1" x14ac:dyDescent="0.2">
      <c r="A57314" s="258"/>
      <c r="Z57314" s="258"/>
    </row>
    <row r="57315" spans="1:26" ht="12.75" customHeight="1" x14ac:dyDescent="0.2">
      <c r="A57315" s="258"/>
      <c r="Z57315" s="258"/>
    </row>
    <row r="57316" spans="1:26" ht="12.75" customHeight="1" x14ac:dyDescent="0.2">
      <c r="A57316" s="258"/>
      <c r="Z57316" s="258"/>
    </row>
    <row r="57317" spans="1:26" ht="12.75" customHeight="1" x14ac:dyDescent="0.2">
      <c r="A57317" s="258"/>
      <c r="Z57317" s="258"/>
    </row>
    <row r="57318" spans="1:26" ht="12.75" customHeight="1" x14ac:dyDescent="0.2">
      <c r="A57318" s="258"/>
      <c r="Z57318" s="258"/>
    </row>
    <row r="57319" spans="1:26" ht="12.75" customHeight="1" x14ac:dyDescent="0.2">
      <c r="A57319" s="258"/>
      <c r="Z57319" s="258"/>
    </row>
    <row r="57320" spans="1:26" ht="12.75" customHeight="1" x14ac:dyDescent="0.2">
      <c r="A57320" s="258"/>
      <c r="Z57320" s="258"/>
    </row>
    <row r="57321" spans="1:26" ht="12.75" customHeight="1" x14ac:dyDescent="0.2">
      <c r="A57321" s="258"/>
      <c r="Z57321" s="258"/>
    </row>
    <row r="57322" spans="1:26" ht="12.75" customHeight="1" x14ac:dyDescent="0.2">
      <c r="A57322" s="258"/>
      <c r="Z57322" s="258"/>
    </row>
    <row r="57323" spans="1:26" ht="12.75" customHeight="1" x14ac:dyDescent="0.2">
      <c r="A57323" s="258"/>
      <c r="Z57323" s="258"/>
    </row>
    <row r="57324" spans="1:26" ht="12.75" customHeight="1" x14ac:dyDescent="0.2">
      <c r="A57324" s="258"/>
      <c r="Z57324" s="258"/>
    </row>
    <row r="57325" spans="1:26" ht="12.75" customHeight="1" x14ac:dyDescent="0.2">
      <c r="A57325" s="258"/>
      <c r="Z57325" s="258"/>
    </row>
    <row r="57326" spans="1:26" ht="12.75" customHeight="1" x14ac:dyDescent="0.2">
      <c r="A57326" s="258"/>
      <c r="Z57326" s="258"/>
    </row>
    <row r="57327" spans="1:26" ht="12.75" customHeight="1" x14ac:dyDescent="0.2">
      <c r="A57327" s="258"/>
      <c r="Z57327" s="258"/>
    </row>
    <row r="57328" spans="1:26" ht="12.75" customHeight="1" x14ac:dyDescent="0.2">
      <c r="A57328" s="258"/>
      <c r="Z57328" s="258"/>
    </row>
    <row r="57329" spans="1:26" ht="12.75" customHeight="1" x14ac:dyDescent="0.2">
      <c r="A57329" s="258"/>
      <c r="Z57329" s="258"/>
    </row>
    <row r="57330" spans="1:26" ht="12.75" customHeight="1" x14ac:dyDescent="0.2">
      <c r="A57330" s="258"/>
      <c r="Z57330" s="258"/>
    </row>
    <row r="57331" spans="1:26" ht="12.75" customHeight="1" x14ac:dyDescent="0.2">
      <c r="A57331" s="258"/>
      <c r="Z57331" s="258"/>
    </row>
    <row r="57332" spans="1:26" ht="12.75" customHeight="1" x14ac:dyDescent="0.2">
      <c r="A57332" s="258"/>
      <c r="Z57332" s="258"/>
    </row>
    <row r="57333" spans="1:26" ht="12.75" customHeight="1" x14ac:dyDescent="0.2">
      <c r="A57333" s="258"/>
      <c r="Z57333" s="258"/>
    </row>
    <row r="57334" spans="1:26" ht="12.75" customHeight="1" x14ac:dyDescent="0.2">
      <c r="A57334" s="258"/>
      <c r="Z57334" s="258"/>
    </row>
    <row r="57335" spans="1:26" ht="12.75" customHeight="1" x14ac:dyDescent="0.2">
      <c r="A57335" s="258"/>
      <c r="Z57335" s="258"/>
    </row>
    <row r="57336" spans="1:26" ht="12.75" customHeight="1" x14ac:dyDescent="0.2">
      <c r="A57336" s="258"/>
      <c r="Z57336" s="258"/>
    </row>
    <row r="57337" spans="1:26" ht="12.75" customHeight="1" x14ac:dyDescent="0.2">
      <c r="A57337" s="258"/>
      <c r="Z57337" s="258"/>
    </row>
    <row r="57338" spans="1:26" ht="12.75" customHeight="1" x14ac:dyDescent="0.2">
      <c r="A57338" s="258"/>
      <c r="Z57338" s="258"/>
    </row>
    <row r="57339" spans="1:26" ht="12.75" customHeight="1" x14ac:dyDescent="0.2">
      <c r="A57339" s="258"/>
      <c r="Z57339" s="258"/>
    </row>
    <row r="57340" spans="1:26" ht="12.75" customHeight="1" x14ac:dyDescent="0.2">
      <c r="A57340" s="258"/>
      <c r="Z57340" s="258"/>
    </row>
    <row r="57341" spans="1:26" ht="12.75" customHeight="1" x14ac:dyDescent="0.2">
      <c r="A57341" s="258"/>
      <c r="Z57341" s="258"/>
    </row>
    <row r="57342" spans="1:26" ht="12.75" customHeight="1" x14ac:dyDescent="0.2">
      <c r="A57342" s="258"/>
      <c r="Z57342" s="258"/>
    </row>
    <row r="57343" spans="1:26" ht="12.75" customHeight="1" x14ac:dyDescent="0.2">
      <c r="A57343" s="258"/>
      <c r="Z57343" s="258"/>
    </row>
    <row r="57344" spans="1:26" ht="12.75" customHeight="1" x14ac:dyDescent="0.2">
      <c r="A57344" s="258"/>
      <c r="Z57344" s="258"/>
    </row>
    <row r="57345" spans="1:26" ht="12.75" customHeight="1" x14ac:dyDescent="0.2">
      <c r="A57345" s="258"/>
      <c r="Z57345" s="258"/>
    </row>
    <row r="57346" spans="1:26" ht="12.75" customHeight="1" x14ac:dyDescent="0.2">
      <c r="A57346" s="258"/>
      <c r="Z57346" s="258"/>
    </row>
    <row r="57347" spans="1:26" ht="12.75" customHeight="1" x14ac:dyDescent="0.2">
      <c r="A57347" s="258"/>
      <c r="Z57347" s="258"/>
    </row>
    <row r="57348" spans="1:26" ht="12.75" customHeight="1" x14ac:dyDescent="0.2">
      <c r="A57348" s="258"/>
      <c r="Z57348" s="258"/>
    </row>
    <row r="57349" spans="1:26" ht="12.75" customHeight="1" x14ac:dyDescent="0.2">
      <c r="A57349" s="258"/>
      <c r="Z57349" s="258"/>
    </row>
    <row r="57350" spans="1:26" ht="12.75" customHeight="1" x14ac:dyDescent="0.2">
      <c r="A57350" s="258"/>
      <c r="Z57350" s="258"/>
    </row>
    <row r="57351" spans="1:26" ht="12.75" customHeight="1" x14ac:dyDescent="0.2">
      <c r="A57351" s="258"/>
      <c r="Z57351" s="258"/>
    </row>
    <row r="57352" spans="1:26" ht="12.75" customHeight="1" x14ac:dyDescent="0.2">
      <c r="A57352" s="258"/>
      <c r="Z57352" s="258"/>
    </row>
    <row r="57353" spans="1:26" ht="12.75" customHeight="1" x14ac:dyDescent="0.2">
      <c r="A57353" s="258"/>
      <c r="Z57353" s="258"/>
    </row>
    <row r="57354" spans="1:26" ht="12.75" customHeight="1" x14ac:dyDescent="0.2">
      <c r="A57354" s="258"/>
      <c r="Z57354" s="258"/>
    </row>
    <row r="57355" spans="1:26" ht="12.75" customHeight="1" x14ac:dyDescent="0.2">
      <c r="A57355" s="258"/>
      <c r="Z57355" s="258"/>
    </row>
    <row r="57356" spans="1:26" ht="12.75" customHeight="1" x14ac:dyDescent="0.2">
      <c r="A57356" s="258"/>
      <c r="Z57356" s="258"/>
    </row>
    <row r="57357" spans="1:26" ht="12.75" customHeight="1" x14ac:dyDescent="0.2">
      <c r="A57357" s="258"/>
      <c r="Z57357" s="258"/>
    </row>
    <row r="57358" spans="1:26" ht="12.75" customHeight="1" x14ac:dyDescent="0.2">
      <c r="A57358" s="258"/>
      <c r="Z57358" s="258"/>
    </row>
    <row r="57359" spans="1:26" ht="12.75" customHeight="1" x14ac:dyDescent="0.2">
      <c r="A57359" s="258"/>
      <c r="Z57359" s="258"/>
    </row>
    <row r="57360" spans="1:26" ht="12.75" customHeight="1" x14ac:dyDescent="0.2">
      <c r="A57360" s="258"/>
      <c r="Z57360" s="258"/>
    </row>
    <row r="57361" spans="1:26" ht="12.75" customHeight="1" x14ac:dyDescent="0.2">
      <c r="A57361" s="258"/>
      <c r="Z57361" s="258"/>
    </row>
    <row r="57362" spans="1:26" ht="12.75" customHeight="1" x14ac:dyDescent="0.2">
      <c r="A57362" s="258"/>
      <c r="Z57362" s="258"/>
    </row>
    <row r="57363" spans="1:26" ht="12.75" customHeight="1" x14ac:dyDescent="0.2">
      <c r="A57363" s="258"/>
      <c r="Z57363" s="258"/>
    </row>
    <row r="57364" spans="1:26" ht="12.75" customHeight="1" x14ac:dyDescent="0.2">
      <c r="A57364" s="258"/>
      <c r="Z57364" s="258"/>
    </row>
    <row r="57365" spans="1:26" ht="12.75" customHeight="1" x14ac:dyDescent="0.2">
      <c r="A57365" s="258"/>
      <c r="Z57365" s="258"/>
    </row>
    <row r="57366" spans="1:26" ht="12.75" customHeight="1" x14ac:dyDescent="0.2">
      <c r="A57366" s="258"/>
      <c r="Z57366" s="258"/>
    </row>
    <row r="57367" spans="1:26" ht="12.75" customHeight="1" x14ac:dyDescent="0.2">
      <c r="A57367" s="258"/>
      <c r="Z57367" s="258"/>
    </row>
    <row r="57368" spans="1:26" ht="12.75" customHeight="1" x14ac:dyDescent="0.2">
      <c r="A57368" s="258"/>
      <c r="Z57368" s="258"/>
    </row>
    <row r="57369" spans="1:26" ht="12.75" customHeight="1" x14ac:dyDescent="0.2">
      <c r="A57369" s="258"/>
      <c r="Z57369" s="258"/>
    </row>
    <row r="57370" spans="1:26" ht="12.75" customHeight="1" x14ac:dyDescent="0.2">
      <c r="A57370" s="258"/>
      <c r="Z57370" s="258"/>
    </row>
    <row r="57371" spans="1:26" ht="12.75" customHeight="1" x14ac:dyDescent="0.2">
      <c r="A57371" s="258"/>
      <c r="Z57371" s="258"/>
    </row>
    <row r="57372" spans="1:26" ht="12.75" customHeight="1" x14ac:dyDescent="0.2">
      <c r="A57372" s="258"/>
      <c r="Z57372" s="258"/>
    </row>
    <row r="57373" spans="1:26" ht="12.75" customHeight="1" x14ac:dyDescent="0.2">
      <c r="A57373" s="258"/>
      <c r="Z57373" s="258"/>
    </row>
    <row r="57374" spans="1:26" ht="12.75" customHeight="1" x14ac:dyDescent="0.2">
      <c r="A57374" s="258"/>
      <c r="Z57374" s="258"/>
    </row>
    <row r="57375" spans="1:26" ht="12.75" customHeight="1" x14ac:dyDescent="0.2">
      <c r="A57375" s="258"/>
      <c r="Z57375" s="258"/>
    </row>
    <row r="57376" spans="1:26" ht="12.75" customHeight="1" x14ac:dyDescent="0.2">
      <c r="A57376" s="258"/>
      <c r="Z57376" s="258"/>
    </row>
    <row r="57377" spans="1:26" ht="12.75" customHeight="1" x14ac:dyDescent="0.2">
      <c r="A57377" s="258"/>
      <c r="Z57377" s="258"/>
    </row>
    <row r="57378" spans="1:26" ht="12.75" customHeight="1" x14ac:dyDescent="0.2">
      <c r="A57378" s="258"/>
      <c r="Z57378" s="258"/>
    </row>
    <row r="57379" spans="1:26" ht="12.75" customHeight="1" x14ac:dyDescent="0.2">
      <c r="A57379" s="258"/>
      <c r="Z57379" s="258"/>
    </row>
    <row r="57380" spans="1:26" ht="12.75" customHeight="1" x14ac:dyDescent="0.2">
      <c r="A57380" s="258"/>
      <c r="Z57380" s="258"/>
    </row>
    <row r="57381" spans="1:26" ht="12.75" customHeight="1" x14ac:dyDescent="0.2">
      <c r="A57381" s="258"/>
      <c r="Z57381" s="258"/>
    </row>
    <row r="57382" spans="1:26" ht="12.75" customHeight="1" x14ac:dyDescent="0.2">
      <c r="A57382" s="258"/>
      <c r="Z57382" s="258"/>
    </row>
    <row r="57383" spans="1:26" ht="12.75" customHeight="1" x14ac:dyDescent="0.2">
      <c r="A57383" s="258"/>
      <c r="Z57383" s="258"/>
    </row>
    <row r="57384" spans="1:26" ht="12.75" customHeight="1" x14ac:dyDescent="0.2">
      <c r="A57384" s="258"/>
      <c r="Z57384" s="258"/>
    </row>
    <row r="57385" spans="1:26" ht="12.75" customHeight="1" x14ac:dyDescent="0.2">
      <c r="A57385" s="258"/>
      <c r="Z57385" s="258"/>
    </row>
    <row r="57386" spans="1:26" ht="12.75" customHeight="1" x14ac:dyDescent="0.2">
      <c r="A57386" s="258"/>
      <c r="Z57386" s="258"/>
    </row>
    <row r="57387" spans="1:26" ht="12.75" customHeight="1" x14ac:dyDescent="0.2">
      <c r="A57387" s="258"/>
      <c r="Z57387" s="258"/>
    </row>
    <row r="57388" spans="1:26" ht="12.75" customHeight="1" x14ac:dyDescent="0.2">
      <c r="A57388" s="258"/>
      <c r="Z57388" s="258"/>
    </row>
    <row r="57389" spans="1:26" ht="12.75" customHeight="1" x14ac:dyDescent="0.2">
      <c r="A57389" s="258"/>
      <c r="Z57389" s="258"/>
    </row>
    <row r="57390" spans="1:26" ht="12.75" customHeight="1" x14ac:dyDescent="0.2">
      <c r="A57390" s="258"/>
      <c r="Z57390" s="258"/>
    </row>
    <row r="57391" spans="1:26" ht="12.75" customHeight="1" x14ac:dyDescent="0.2">
      <c r="A57391" s="258"/>
      <c r="Z57391" s="258"/>
    </row>
    <row r="57392" spans="1:26" ht="12.75" customHeight="1" x14ac:dyDescent="0.2">
      <c r="A57392" s="258"/>
      <c r="Z57392" s="258"/>
    </row>
    <row r="57393" spans="1:26" ht="12.75" customHeight="1" x14ac:dyDescent="0.2">
      <c r="A57393" s="258"/>
      <c r="Z57393" s="258"/>
    </row>
    <row r="57394" spans="1:26" ht="12.75" customHeight="1" x14ac:dyDescent="0.2">
      <c r="A57394" s="258"/>
      <c r="Z57394" s="258"/>
    </row>
    <row r="57395" spans="1:26" ht="12.75" customHeight="1" x14ac:dyDescent="0.2">
      <c r="A57395" s="258"/>
      <c r="Z57395" s="258"/>
    </row>
    <row r="57396" spans="1:26" ht="12.75" customHeight="1" x14ac:dyDescent="0.2">
      <c r="A57396" s="258"/>
      <c r="Z57396" s="258"/>
    </row>
    <row r="57397" spans="1:26" ht="12.75" customHeight="1" x14ac:dyDescent="0.2">
      <c r="A57397" s="258"/>
      <c r="Z57397" s="258"/>
    </row>
    <row r="57398" spans="1:26" ht="12.75" customHeight="1" x14ac:dyDescent="0.2">
      <c r="A57398" s="258"/>
      <c r="Z57398" s="258"/>
    </row>
    <row r="57399" spans="1:26" ht="12.75" customHeight="1" x14ac:dyDescent="0.2">
      <c r="A57399" s="258"/>
      <c r="Z57399" s="258"/>
    </row>
    <row r="57400" spans="1:26" ht="12.75" customHeight="1" x14ac:dyDescent="0.2">
      <c r="A57400" s="258"/>
      <c r="Z57400" s="258"/>
    </row>
    <row r="57401" spans="1:26" ht="12.75" customHeight="1" x14ac:dyDescent="0.2">
      <c r="A57401" s="258"/>
      <c r="Z57401" s="258"/>
    </row>
    <row r="57402" spans="1:26" ht="12.75" customHeight="1" x14ac:dyDescent="0.2">
      <c r="A57402" s="258"/>
      <c r="Z57402" s="258"/>
    </row>
    <row r="57403" spans="1:26" ht="12.75" customHeight="1" x14ac:dyDescent="0.2">
      <c r="A57403" s="258"/>
      <c r="Z57403" s="258"/>
    </row>
    <row r="57404" spans="1:26" ht="12.75" customHeight="1" x14ac:dyDescent="0.2">
      <c r="A57404" s="258"/>
      <c r="Z57404" s="258"/>
    </row>
    <row r="57405" spans="1:26" ht="12.75" customHeight="1" x14ac:dyDescent="0.2">
      <c r="A57405" s="258"/>
      <c r="Z57405" s="258"/>
    </row>
    <row r="57406" spans="1:26" ht="12.75" customHeight="1" x14ac:dyDescent="0.2">
      <c r="A57406" s="258"/>
      <c r="Z57406" s="258"/>
    </row>
    <row r="57407" spans="1:26" ht="12.75" customHeight="1" x14ac:dyDescent="0.2">
      <c r="A57407" s="258"/>
      <c r="Z57407" s="258"/>
    </row>
    <row r="57408" spans="1:26" ht="12.75" customHeight="1" x14ac:dyDescent="0.2">
      <c r="A57408" s="258"/>
      <c r="Z57408" s="258"/>
    </row>
    <row r="57409" spans="1:26" ht="12.75" customHeight="1" x14ac:dyDescent="0.2">
      <c r="A57409" s="258"/>
      <c r="Z57409" s="258"/>
    </row>
    <row r="57410" spans="1:26" ht="12.75" customHeight="1" x14ac:dyDescent="0.2">
      <c r="A57410" s="258"/>
      <c r="Z57410" s="258"/>
    </row>
    <row r="57411" spans="1:26" ht="12.75" customHeight="1" x14ac:dyDescent="0.2">
      <c r="A57411" s="258"/>
      <c r="Z57411" s="258"/>
    </row>
    <row r="57412" spans="1:26" ht="12.75" customHeight="1" x14ac:dyDescent="0.2">
      <c r="A57412" s="258"/>
      <c r="Z57412" s="258"/>
    </row>
    <row r="57413" spans="1:26" ht="12.75" customHeight="1" x14ac:dyDescent="0.2">
      <c r="A57413" s="258"/>
      <c r="Z57413" s="258"/>
    </row>
    <row r="57414" spans="1:26" ht="12.75" customHeight="1" x14ac:dyDescent="0.2">
      <c r="A57414" s="258"/>
      <c r="Z57414" s="258"/>
    </row>
    <row r="57415" spans="1:26" ht="12.75" customHeight="1" x14ac:dyDescent="0.2">
      <c r="A57415" s="258"/>
      <c r="Z57415" s="258"/>
    </row>
    <row r="57416" spans="1:26" ht="12.75" customHeight="1" x14ac:dyDescent="0.2">
      <c r="A57416" s="258"/>
      <c r="Z57416" s="258"/>
    </row>
    <row r="57417" spans="1:26" ht="12.75" customHeight="1" x14ac:dyDescent="0.2">
      <c r="A57417" s="258"/>
      <c r="Z57417" s="258"/>
    </row>
    <row r="57418" spans="1:26" ht="12.75" customHeight="1" x14ac:dyDescent="0.2">
      <c r="A57418" s="258"/>
      <c r="Z57418" s="258"/>
    </row>
    <row r="57419" spans="1:26" ht="12.75" customHeight="1" x14ac:dyDescent="0.2">
      <c r="A57419" s="258"/>
      <c r="Z57419" s="258"/>
    </row>
    <row r="57420" spans="1:26" ht="12.75" customHeight="1" x14ac:dyDescent="0.2">
      <c r="A57420" s="258"/>
      <c r="Z57420" s="258"/>
    </row>
    <row r="57421" spans="1:26" ht="12.75" customHeight="1" x14ac:dyDescent="0.2">
      <c r="A57421" s="258"/>
      <c r="Z57421" s="258"/>
    </row>
    <row r="57422" spans="1:26" ht="12.75" customHeight="1" x14ac:dyDescent="0.2">
      <c r="A57422" s="258"/>
      <c r="Z57422" s="258"/>
    </row>
    <row r="57423" spans="1:26" ht="12.75" customHeight="1" x14ac:dyDescent="0.2">
      <c r="A57423" s="258"/>
      <c r="Z57423" s="258"/>
    </row>
    <row r="57424" spans="1:26" ht="12.75" customHeight="1" x14ac:dyDescent="0.2">
      <c r="A57424" s="258"/>
      <c r="Z57424" s="258"/>
    </row>
    <row r="57425" spans="1:26" ht="12.75" customHeight="1" x14ac:dyDescent="0.2">
      <c r="A57425" s="258"/>
      <c r="Z57425" s="258"/>
    </row>
    <row r="57426" spans="1:26" ht="12.75" customHeight="1" x14ac:dyDescent="0.2">
      <c r="A57426" s="258"/>
      <c r="Z57426" s="258"/>
    </row>
    <row r="57427" spans="1:26" ht="12.75" customHeight="1" x14ac:dyDescent="0.2">
      <c r="A57427" s="258"/>
      <c r="Z57427" s="258"/>
    </row>
    <row r="57428" spans="1:26" ht="12.75" customHeight="1" x14ac:dyDescent="0.2">
      <c r="A57428" s="258"/>
      <c r="Z57428" s="258"/>
    </row>
    <row r="57429" spans="1:26" ht="12.75" customHeight="1" x14ac:dyDescent="0.2">
      <c r="A57429" s="258"/>
      <c r="Z57429" s="258"/>
    </row>
    <row r="57430" spans="1:26" ht="12.75" customHeight="1" x14ac:dyDescent="0.2">
      <c r="A57430" s="258"/>
      <c r="Z57430" s="258"/>
    </row>
    <row r="57431" spans="1:26" ht="12.75" customHeight="1" x14ac:dyDescent="0.2">
      <c r="A57431" s="258"/>
      <c r="Z57431" s="258"/>
    </row>
    <row r="57432" spans="1:26" ht="12.75" customHeight="1" x14ac:dyDescent="0.2">
      <c r="A57432" s="258"/>
      <c r="Z57432" s="258"/>
    </row>
    <row r="57433" spans="1:26" ht="12.75" customHeight="1" x14ac:dyDescent="0.2">
      <c r="A57433" s="258"/>
      <c r="Z57433" s="258"/>
    </row>
    <row r="57434" spans="1:26" ht="12.75" customHeight="1" x14ac:dyDescent="0.2">
      <c r="A57434" s="258"/>
      <c r="Z57434" s="258"/>
    </row>
    <row r="57435" spans="1:26" ht="12.75" customHeight="1" x14ac:dyDescent="0.2">
      <c r="A57435" s="258"/>
      <c r="Z57435" s="258"/>
    </row>
    <row r="57436" spans="1:26" ht="12.75" customHeight="1" x14ac:dyDescent="0.2">
      <c r="A57436" s="258"/>
      <c r="Z57436" s="258"/>
    </row>
    <row r="57437" spans="1:26" ht="12.75" customHeight="1" x14ac:dyDescent="0.2">
      <c r="A57437" s="258"/>
      <c r="Z57437" s="258"/>
    </row>
    <row r="57438" spans="1:26" ht="12.75" customHeight="1" x14ac:dyDescent="0.2">
      <c r="A57438" s="258"/>
      <c r="Z57438" s="258"/>
    </row>
    <row r="57439" spans="1:26" ht="12.75" customHeight="1" x14ac:dyDescent="0.2">
      <c r="A57439" s="258"/>
      <c r="Z57439" s="258"/>
    </row>
    <row r="57440" spans="1:26" ht="12.75" customHeight="1" x14ac:dyDescent="0.2">
      <c r="A57440" s="258"/>
      <c r="Z57440" s="258"/>
    </row>
    <row r="57441" spans="1:26" ht="12.75" customHeight="1" x14ac:dyDescent="0.2">
      <c r="A57441" s="258"/>
      <c r="Z57441" s="258"/>
    </row>
    <row r="57442" spans="1:26" ht="12.75" customHeight="1" x14ac:dyDescent="0.2">
      <c r="A57442" s="258"/>
      <c r="Z57442" s="258"/>
    </row>
    <row r="57443" spans="1:26" ht="12.75" customHeight="1" x14ac:dyDescent="0.2">
      <c r="A57443" s="258"/>
      <c r="Z57443" s="258"/>
    </row>
    <row r="57444" spans="1:26" ht="12.75" customHeight="1" x14ac:dyDescent="0.2">
      <c r="A57444" s="258"/>
      <c r="Z57444" s="258"/>
    </row>
    <row r="57445" spans="1:26" ht="12.75" customHeight="1" x14ac:dyDescent="0.2">
      <c r="A57445" s="258"/>
      <c r="Z57445" s="258"/>
    </row>
    <row r="57446" spans="1:26" ht="12.75" customHeight="1" x14ac:dyDescent="0.2">
      <c r="A57446" s="258"/>
      <c r="Z57446" s="258"/>
    </row>
    <row r="57447" spans="1:26" ht="12.75" customHeight="1" x14ac:dyDescent="0.2">
      <c r="A57447" s="258"/>
      <c r="Z57447" s="258"/>
    </row>
    <row r="57448" spans="1:26" ht="12.75" customHeight="1" x14ac:dyDescent="0.2">
      <c r="A57448" s="258"/>
      <c r="Z57448" s="258"/>
    </row>
    <row r="57449" spans="1:26" ht="12.75" customHeight="1" x14ac:dyDescent="0.2">
      <c r="A57449" s="258"/>
      <c r="Z57449" s="258"/>
    </row>
    <row r="57450" spans="1:26" ht="12.75" customHeight="1" x14ac:dyDescent="0.2">
      <c r="A57450" s="258"/>
      <c r="Z57450" s="258"/>
    </row>
    <row r="57451" spans="1:26" ht="12.75" customHeight="1" x14ac:dyDescent="0.2">
      <c r="A57451" s="258"/>
      <c r="Z57451" s="258"/>
    </row>
    <row r="57452" spans="1:26" ht="12.75" customHeight="1" x14ac:dyDescent="0.2">
      <c r="A57452" s="258"/>
      <c r="Z57452" s="258"/>
    </row>
    <row r="57453" spans="1:26" ht="12.75" customHeight="1" x14ac:dyDescent="0.2">
      <c r="A57453" s="258"/>
      <c r="Z57453" s="258"/>
    </row>
    <row r="57454" spans="1:26" ht="12.75" customHeight="1" x14ac:dyDescent="0.2">
      <c r="A57454" s="258"/>
      <c r="Z57454" s="258"/>
    </row>
    <row r="57455" spans="1:26" ht="12.75" customHeight="1" x14ac:dyDescent="0.2">
      <c r="A57455" s="258"/>
      <c r="Z57455" s="258"/>
    </row>
    <row r="57456" spans="1:26" ht="12.75" customHeight="1" x14ac:dyDescent="0.2">
      <c r="A57456" s="258"/>
      <c r="Z57456" s="258"/>
    </row>
    <row r="57457" spans="1:26" ht="12.75" customHeight="1" x14ac:dyDescent="0.2">
      <c r="A57457" s="258"/>
      <c r="Z57457" s="258"/>
    </row>
    <row r="57458" spans="1:26" ht="12.75" customHeight="1" x14ac:dyDescent="0.2">
      <c r="A57458" s="258"/>
      <c r="Z57458" s="258"/>
    </row>
    <row r="57459" spans="1:26" ht="12.75" customHeight="1" x14ac:dyDescent="0.2">
      <c r="A57459" s="258"/>
      <c r="Z57459" s="258"/>
    </row>
    <row r="57460" spans="1:26" ht="12.75" customHeight="1" x14ac:dyDescent="0.2">
      <c r="A57460" s="258"/>
      <c r="Z57460" s="258"/>
    </row>
    <row r="57461" spans="1:26" ht="12.75" customHeight="1" x14ac:dyDescent="0.2">
      <c r="A57461" s="258"/>
      <c r="Z57461" s="258"/>
    </row>
    <row r="57462" spans="1:26" ht="12.75" customHeight="1" x14ac:dyDescent="0.2">
      <c r="A57462" s="258"/>
      <c r="Z57462" s="258"/>
    </row>
    <row r="57463" spans="1:26" ht="12.75" customHeight="1" x14ac:dyDescent="0.2">
      <c r="A57463" s="258"/>
      <c r="Z57463" s="258"/>
    </row>
    <row r="57464" spans="1:26" ht="12.75" customHeight="1" x14ac:dyDescent="0.2">
      <c r="A57464" s="258"/>
      <c r="Z57464" s="258"/>
    </row>
    <row r="57465" spans="1:26" ht="12.75" customHeight="1" x14ac:dyDescent="0.2">
      <c r="A57465" s="258"/>
      <c r="Z57465" s="258"/>
    </row>
    <row r="57466" spans="1:26" ht="12.75" customHeight="1" x14ac:dyDescent="0.2">
      <c r="A57466" s="258"/>
      <c r="Z57466" s="258"/>
    </row>
    <row r="57467" spans="1:26" ht="12.75" customHeight="1" x14ac:dyDescent="0.2">
      <c r="A57467" s="258"/>
      <c r="Z57467" s="258"/>
    </row>
    <row r="57468" spans="1:26" ht="12.75" customHeight="1" x14ac:dyDescent="0.2">
      <c r="A57468" s="258"/>
      <c r="Z57468" s="258"/>
    </row>
    <row r="57469" spans="1:26" ht="12.75" customHeight="1" x14ac:dyDescent="0.2">
      <c r="A57469" s="258"/>
      <c r="Z57469" s="258"/>
    </row>
    <row r="57470" spans="1:26" ht="12.75" customHeight="1" x14ac:dyDescent="0.2">
      <c r="A57470" s="258"/>
      <c r="Z57470" s="258"/>
    </row>
    <row r="57471" spans="1:26" ht="12.75" customHeight="1" x14ac:dyDescent="0.2">
      <c r="A57471" s="258"/>
      <c r="Z57471" s="258"/>
    </row>
    <row r="57472" spans="1:26" ht="12.75" customHeight="1" x14ac:dyDescent="0.2">
      <c r="A57472" s="258"/>
      <c r="Z57472" s="258"/>
    </row>
    <row r="57473" spans="1:26" ht="12.75" customHeight="1" x14ac:dyDescent="0.2">
      <c r="A57473" s="258"/>
      <c r="Z57473" s="258"/>
    </row>
    <row r="57474" spans="1:26" ht="12.75" customHeight="1" x14ac:dyDescent="0.2">
      <c r="A57474" s="258"/>
      <c r="Z57474" s="258"/>
    </row>
    <row r="57475" spans="1:26" ht="12.75" customHeight="1" x14ac:dyDescent="0.2">
      <c r="A57475" s="258"/>
      <c r="Z57475" s="258"/>
    </row>
    <row r="57476" spans="1:26" ht="12.75" customHeight="1" x14ac:dyDescent="0.2">
      <c r="A57476" s="258"/>
      <c r="Z57476" s="258"/>
    </row>
    <row r="57477" spans="1:26" ht="12.75" customHeight="1" x14ac:dyDescent="0.2">
      <c r="A57477" s="258"/>
      <c r="Z57477" s="258"/>
    </row>
    <row r="57478" spans="1:26" ht="12.75" customHeight="1" x14ac:dyDescent="0.2">
      <c r="A57478" s="258"/>
      <c r="Z57478" s="258"/>
    </row>
    <row r="57479" spans="1:26" ht="12.75" customHeight="1" x14ac:dyDescent="0.2">
      <c r="A57479" s="258"/>
      <c r="Z57479" s="258"/>
    </row>
    <row r="57480" spans="1:26" ht="12.75" customHeight="1" x14ac:dyDescent="0.2">
      <c r="A57480" s="258"/>
      <c r="Z57480" s="258"/>
    </row>
    <row r="57481" spans="1:26" ht="12.75" customHeight="1" x14ac:dyDescent="0.2">
      <c r="A57481" s="258"/>
      <c r="Z57481" s="258"/>
    </row>
    <row r="57482" spans="1:26" ht="12.75" customHeight="1" x14ac:dyDescent="0.2">
      <c r="A57482" s="258"/>
      <c r="Z57482" s="258"/>
    </row>
    <row r="57483" spans="1:26" ht="12.75" customHeight="1" x14ac:dyDescent="0.2">
      <c r="A57483" s="258"/>
      <c r="Z57483" s="258"/>
    </row>
    <row r="57484" spans="1:26" ht="12.75" customHeight="1" x14ac:dyDescent="0.2">
      <c r="A57484" s="258"/>
      <c r="Z57484" s="258"/>
    </row>
    <row r="57485" spans="1:26" ht="12.75" customHeight="1" x14ac:dyDescent="0.2">
      <c r="A57485" s="258"/>
      <c r="Z57485" s="258"/>
    </row>
    <row r="57486" spans="1:26" ht="12.75" customHeight="1" x14ac:dyDescent="0.2">
      <c r="A57486" s="258"/>
      <c r="Z57486" s="258"/>
    </row>
    <row r="57487" spans="1:26" ht="12.75" customHeight="1" x14ac:dyDescent="0.2">
      <c r="A57487" s="258"/>
      <c r="Z57487" s="258"/>
    </row>
    <row r="57488" spans="1:26" ht="12.75" customHeight="1" x14ac:dyDescent="0.2">
      <c r="A57488" s="258"/>
      <c r="Z57488" s="258"/>
    </row>
    <row r="57489" spans="1:26" ht="12.75" customHeight="1" x14ac:dyDescent="0.2">
      <c r="A57489" s="258"/>
      <c r="Z57489" s="258"/>
    </row>
    <row r="57490" spans="1:26" ht="12.75" customHeight="1" x14ac:dyDescent="0.2">
      <c r="A57490" s="258"/>
      <c r="Z57490" s="258"/>
    </row>
    <row r="57491" spans="1:26" ht="12.75" customHeight="1" x14ac:dyDescent="0.2">
      <c r="A57491" s="258"/>
      <c r="Z57491" s="258"/>
    </row>
    <row r="57492" spans="1:26" ht="12.75" customHeight="1" x14ac:dyDescent="0.2">
      <c r="A57492" s="258"/>
      <c r="Z57492" s="258"/>
    </row>
    <row r="57493" spans="1:26" ht="12.75" customHeight="1" x14ac:dyDescent="0.2">
      <c r="A57493" s="258"/>
      <c r="Z57493" s="258"/>
    </row>
    <row r="57494" spans="1:26" ht="12.75" customHeight="1" x14ac:dyDescent="0.2">
      <c r="A57494" s="258"/>
      <c r="Z57494" s="258"/>
    </row>
    <row r="57495" spans="1:26" ht="12.75" customHeight="1" x14ac:dyDescent="0.2">
      <c r="A57495" s="258"/>
      <c r="Z57495" s="258"/>
    </row>
    <row r="57496" spans="1:26" ht="12.75" customHeight="1" x14ac:dyDescent="0.2">
      <c r="A57496" s="258"/>
      <c r="Z57496" s="258"/>
    </row>
    <row r="57497" spans="1:26" ht="12.75" customHeight="1" x14ac:dyDescent="0.2">
      <c r="A57497" s="258"/>
      <c r="Z57497" s="258"/>
    </row>
    <row r="57498" spans="1:26" ht="12.75" customHeight="1" x14ac:dyDescent="0.2">
      <c r="A57498" s="258"/>
      <c r="Z57498" s="258"/>
    </row>
    <row r="57499" spans="1:26" ht="12.75" customHeight="1" x14ac:dyDescent="0.2">
      <c r="A57499" s="258"/>
      <c r="Z57499" s="258"/>
    </row>
    <row r="57500" spans="1:26" ht="12.75" customHeight="1" x14ac:dyDescent="0.2">
      <c r="A57500" s="258"/>
      <c r="Z57500" s="258"/>
    </row>
    <row r="57501" spans="1:26" ht="12.75" customHeight="1" x14ac:dyDescent="0.2">
      <c r="A57501" s="258"/>
      <c r="Z57501" s="258"/>
    </row>
    <row r="57502" spans="1:26" ht="12.75" customHeight="1" x14ac:dyDescent="0.2">
      <c r="A57502" s="258"/>
      <c r="Z57502" s="258"/>
    </row>
    <row r="57503" spans="1:26" ht="12.75" customHeight="1" x14ac:dyDescent="0.2">
      <c r="A57503" s="258"/>
      <c r="Z57503" s="258"/>
    </row>
    <row r="57504" spans="1:26" ht="12.75" customHeight="1" x14ac:dyDescent="0.2">
      <c r="A57504" s="258"/>
      <c r="Z57504" s="258"/>
    </row>
    <row r="57505" spans="1:26" ht="12.75" customHeight="1" x14ac:dyDescent="0.2">
      <c r="A57505" s="258"/>
      <c r="Z57505" s="258"/>
    </row>
    <row r="57506" spans="1:26" ht="12.75" customHeight="1" x14ac:dyDescent="0.2">
      <c r="A57506" s="258"/>
      <c r="Z57506" s="258"/>
    </row>
    <row r="57507" spans="1:26" ht="12.75" customHeight="1" x14ac:dyDescent="0.2">
      <c r="A57507" s="258"/>
      <c r="Z57507" s="258"/>
    </row>
    <row r="57508" spans="1:26" ht="12.75" customHeight="1" x14ac:dyDescent="0.2">
      <c r="A57508" s="258"/>
      <c r="Z57508" s="258"/>
    </row>
    <row r="57509" spans="1:26" ht="12.75" customHeight="1" x14ac:dyDescent="0.2">
      <c r="A57509" s="258"/>
      <c r="Z57509" s="258"/>
    </row>
    <row r="57510" spans="1:26" ht="12.75" customHeight="1" x14ac:dyDescent="0.2">
      <c r="A57510" s="258"/>
      <c r="Z57510" s="258"/>
    </row>
    <row r="57511" spans="1:26" ht="12.75" customHeight="1" x14ac:dyDescent="0.2">
      <c r="A57511" s="258"/>
      <c r="Z57511" s="258"/>
    </row>
    <row r="57512" spans="1:26" ht="12.75" customHeight="1" x14ac:dyDescent="0.2">
      <c r="A57512" s="258"/>
      <c r="Z57512" s="258"/>
    </row>
    <row r="57513" spans="1:26" ht="12.75" customHeight="1" x14ac:dyDescent="0.2">
      <c r="A57513" s="258"/>
      <c r="Z57513" s="258"/>
    </row>
    <row r="57514" spans="1:26" ht="12.75" customHeight="1" x14ac:dyDescent="0.2">
      <c r="A57514" s="258"/>
      <c r="Z57514" s="258"/>
    </row>
    <row r="57515" spans="1:26" ht="12.75" customHeight="1" x14ac:dyDescent="0.2">
      <c r="A57515" s="258"/>
      <c r="Z57515" s="258"/>
    </row>
    <row r="57516" spans="1:26" ht="12.75" customHeight="1" x14ac:dyDescent="0.2">
      <c r="A57516" s="258"/>
      <c r="Z57516" s="258"/>
    </row>
    <row r="57517" spans="1:26" ht="12.75" customHeight="1" x14ac:dyDescent="0.2">
      <c r="A57517" s="258"/>
      <c r="Z57517" s="258"/>
    </row>
    <row r="57518" spans="1:26" ht="12.75" customHeight="1" x14ac:dyDescent="0.2">
      <c r="A57518" s="258"/>
      <c r="Z57518" s="258"/>
    </row>
    <row r="57519" spans="1:26" ht="12.75" customHeight="1" x14ac:dyDescent="0.2">
      <c r="A57519" s="258"/>
      <c r="Z57519" s="258"/>
    </row>
    <row r="57520" spans="1:26" ht="12.75" customHeight="1" x14ac:dyDescent="0.2">
      <c r="A57520" s="258"/>
      <c r="Z57520" s="258"/>
    </row>
    <row r="57521" spans="1:26" ht="12.75" customHeight="1" x14ac:dyDescent="0.2">
      <c r="A57521" s="258"/>
      <c r="Z57521" s="258"/>
    </row>
    <row r="57522" spans="1:26" ht="12.75" customHeight="1" x14ac:dyDescent="0.2">
      <c r="A57522" s="258"/>
      <c r="Z57522" s="258"/>
    </row>
    <row r="57523" spans="1:26" ht="12.75" customHeight="1" x14ac:dyDescent="0.2">
      <c r="A57523" s="258"/>
      <c r="Z57523" s="258"/>
    </row>
    <row r="57524" spans="1:26" ht="12.75" customHeight="1" x14ac:dyDescent="0.2">
      <c r="A57524" s="258"/>
      <c r="Z57524" s="258"/>
    </row>
    <row r="57525" spans="1:26" ht="12.75" customHeight="1" x14ac:dyDescent="0.2">
      <c r="A57525" s="258"/>
      <c r="Z57525" s="258"/>
    </row>
    <row r="57526" spans="1:26" ht="12.75" customHeight="1" x14ac:dyDescent="0.2">
      <c r="A57526" s="258"/>
      <c r="Z57526" s="258"/>
    </row>
    <row r="57527" spans="1:26" ht="12.75" customHeight="1" x14ac:dyDescent="0.2">
      <c r="A57527" s="258"/>
      <c r="Z57527" s="258"/>
    </row>
    <row r="57528" spans="1:26" ht="12.75" customHeight="1" x14ac:dyDescent="0.2">
      <c r="A57528" s="258"/>
      <c r="Z57528" s="258"/>
    </row>
    <row r="57529" spans="1:26" ht="12.75" customHeight="1" x14ac:dyDescent="0.2">
      <c r="A57529" s="258"/>
      <c r="Z57529" s="258"/>
    </row>
    <row r="57530" spans="1:26" ht="12.75" customHeight="1" x14ac:dyDescent="0.2">
      <c r="A57530" s="258"/>
      <c r="Z57530" s="258"/>
    </row>
    <row r="57531" spans="1:26" ht="12.75" customHeight="1" x14ac:dyDescent="0.2">
      <c r="A57531" s="258"/>
      <c r="Z57531" s="258"/>
    </row>
    <row r="57532" spans="1:26" ht="12.75" customHeight="1" x14ac:dyDescent="0.2">
      <c r="A57532" s="258"/>
      <c r="Z57532" s="258"/>
    </row>
    <row r="57533" spans="1:26" ht="12.75" customHeight="1" x14ac:dyDescent="0.2">
      <c r="A57533" s="258"/>
      <c r="Z57533" s="258"/>
    </row>
    <row r="57534" spans="1:26" ht="12.75" customHeight="1" x14ac:dyDescent="0.2">
      <c r="A57534" s="258"/>
      <c r="Z57534" s="258"/>
    </row>
    <row r="57535" spans="1:26" ht="12.75" customHeight="1" x14ac:dyDescent="0.2">
      <c r="A57535" s="258"/>
      <c r="Z57535" s="258"/>
    </row>
    <row r="57536" spans="1:26" ht="12.75" customHeight="1" x14ac:dyDescent="0.2">
      <c r="A57536" s="258"/>
      <c r="Z57536" s="258"/>
    </row>
    <row r="57537" spans="1:26" ht="12.75" customHeight="1" x14ac:dyDescent="0.2">
      <c r="A57537" s="258"/>
      <c r="Z57537" s="258"/>
    </row>
    <row r="57538" spans="1:26" ht="12.75" customHeight="1" x14ac:dyDescent="0.2">
      <c r="A57538" s="258"/>
      <c r="Z57538" s="258"/>
    </row>
    <row r="57539" spans="1:26" ht="12.75" customHeight="1" x14ac:dyDescent="0.2">
      <c r="A57539" s="258"/>
      <c r="Z57539" s="258"/>
    </row>
    <row r="57540" spans="1:26" ht="12.75" customHeight="1" x14ac:dyDescent="0.2">
      <c r="A57540" s="258"/>
      <c r="Z57540" s="258"/>
    </row>
    <row r="57541" spans="1:26" ht="12.75" customHeight="1" x14ac:dyDescent="0.2">
      <c r="A57541" s="258"/>
      <c r="Z57541" s="258"/>
    </row>
    <row r="57542" spans="1:26" ht="12.75" customHeight="1" x14ac:dyDescent="0.2">
      <c r="A57542" s="258"/>
      <c r="Z57542" s="258"/>
    </row>
    <row r="57543" spans="1:26" ht="12.75" customHeight="1" x14ac:dyDescent="0.2">
      <c r="A57543" s="258"/>
      <c r="Z57543" s="258"/>
    </row>
    <row r="57544" spans="1:26" ht="12.75" customHeight="1" x14ac:dyDescent="0.2">
      <c r="A57544" s="258"/>
      <c r="Z57544" s="258"/>
    </row>
    <row r="57545" spans="1:26" ht="12.75" customHeight="1" x14ac:dyDescent="0.2">
      <c r="A57545" s="258"/>
      <c r="Z57545" s="258"/>
    </row>
    <row r="57546" spans="1:26" ht="12.75" customHeight="1" x14ac:dyDescent="0.2">
      <c r="A57546" s="258"/>
      <c r="Z57546" s="258"/>
    </row>
    <row r="57547" spans="1:26" ht="12.75" customHeight="1" x14ac:dyDescent="0.2">
      <c r="A57547" s="258"/>
      <c r="Z57547" s="258"/>
    </row>
    <row r="57548" spans="1:26" ht="12.75" customHeight="1" x14ac:dyDescent="0.2">
      <c r="A57548" s="258"/>
      <c r="Z57548" s="258"/>
    </row>
    <row r="57549" spans="1:26" ht="12.75" customHeight="1" x14ac:dyDescent="0.2">
      <c r="A57549" s="258"/>
      <c r="Z57549" s="258"/>
    </row>
    <row r="57550" spans="1:26" ht="12.75" customHeight="1" x14ac:dyDescent="0.2">
      <c r="A57550" s="258"/>
      <c r="Z57550" s="258"/>
    </row>
    <row r="57551" spans="1:26" ht="12.75" customHeight="1" x14ac:dyDescent="0.2">
      <c r="A57551" s="258"/>
      <c r="Z57551" s="258"/>
    </row>
    <row r="57552" spans="1:26" ht="12.75" customHeight="1" x14ac:dyDescent="0.2">
      <c r="A57552" s="258"/>
      <c r="Z57552" s="258"/>
    </row>
    <row r="57553" spans="1:26" ht="12.75" customHeight="1" x14ac:dyDescent="0.2">
      <c r="A57553" s="258"/>
      <c r="Z57553" s="258"/>
    </row>
    <row r="57554" spans="1:26" ht="12.75" customHeight="1" x14ac:dyDescent="0.2">
      <c r="A57554" s="258"/>
      <c r="Z57554" s="258"/>
    </row>
    <row r="57555" spans="1:26" ht="12.75" customHeight="1" x14ac:dyDescent="0.2">
      <c r="A57555" s="258"/>
      <c r="Z57555" s="258"/>
    </row>
    <row r="57556" spans="1:26" ht="12.75" customHeight="1" x14ac:dyDescent="0.2">
      <c r="A57556" s="258"/>
      <c r="Z57556" s="258"/>
    </row>
    <row r="57557" spans="1:26" ht="12.75" customHeight="1" x14ac:dyDescent="0.2">
      <c r="A57557" s="258"/>
      <c r="Z57557" s="258"/>
    </row>
    <row r="57558" spans="1:26" ht="12.75" customHeight="1" x14ac:dyDescent="0.2">
      <c r="A57558" s="258"/>
      <c r="Z57558" s="258"/>
    </row>
    <row r="57559" spans="1:26" ht="12.75" customHeight="1" x14ac:dyDescent="0.2">
      <c r="A57559" s="258"/>
      <c r="Z57559" s="258"/>
    </row>
    <row r="57560" spans="1:26" ht="12.75" customHeight="1" x14ac:dyDescent="0.2">
      <c r="A57560" s="258"/>
      <c r="Z57560" s="258"/>
    </row>
    <row r="57561" spans="1:26" ht="12.75" customHeight="1" x14ac:dyDescent="0.2">
      <c r="A57561" s="258"/>
      <c r="Z57561" s="258"/>
    </row>
    <row r="57562" spans="1:26" ht="12.75" customHeight="1" x14ac:dyDescent="0.2">
      <c r="A57562" s="258"/>
      <c r="Z57562" s="258"/>
    </row>
    <row r="57563" spans="1:26" ht="12.75" customHeight="1" x14ac:dyDescent="0.2">
      <c r="A57563" s="258"/>
      <c r="Z57563" s="258"/>
    </row>
    <row r="57564" spans="1:26" ht="12.75" customHeight="1" x14ac:dyDescent="0.2">
      <c r="A57564" s="258"/>
      <c r="Z57564" s="258"/>
    </row>
    <row r="57565" spans="1:26" ht="12.75" customHeight="1" x14ac:dyDescent="0.2">
      <c r="A57565" s="258"/>
      <c r="Z57565" s="258"/>
    </row>
    <row r="57566" spans="1:26" ht="12.75" customHeight="1" x14ac:dyDescent="0.2">
      <c r="A57566" s="258"/>
      <c r="Z57566" s="258"/>
    </row>
    <row r="57567" spans="1:26" ht="12.75" customHeight="1" x14ac:dyDescent="0.2">
      <c r="A57567" s="258"/>
      <c r="Z57567" s="258"/>
    </row>
    <row r="57568" spans="1:26" ht="12.75" customHeight="1" x14ac:dyDescent="0.2">
      <c r="A57568" s="258"/>
      <c r="Z57568" s="258"/>
    </row>
    <row r="57569" spans="1:26" ht="12.75" customHeight="1" x14ac:dyDescent="0.2">
      <c r="A57569" s="258"/>
      <c r="Z57569" s="258"/>
    </row>
    <row r="57570" spans="1:26" ht="12.75" customHeight="1" x14ac:dyDescent="0.2">
      <c r="A57570" s="258"/>
      <c r="Z57570" s="258"/>
    </row>
    <row r="57571" spans="1:26" ht="12.75" customHeight="1" x14ac:dyDescent="0.2">
      <c r="A57571" s="258"/>
      <c r="Z57571" s="258"/>
    </row>
    <row r="57572" spans="1:26" ht="12.75" customHeight="1" x14ac:dyDescent="0.2">
      <c r="A57572" s="258"/>
      <c r="Z57572" s="258"/>
    </row>
    <row r="57573" spans="1:26" ht="12.75" customHeight="1" x14ac:dyDescent="0.2">
      <c r="A57573" s="258"/>
      <c r="Z57573" s="258"/>
    </row>
    <row r="57574" spans="1:26" ht="12.75" customHeight="1" x14ac:dyDescent="0.2">
      <c r="A57574" s="258"/>
      <c r="Z57574" s="258"/>
    </row>
    <row r="57575" spans="1:26" ht="12.75" customHeight="1" x14ac:dyDescent="0.2">
      <c r="A57575" s="258"/>
      <c r="Z57575" s="258"/>
    </row>
    <row r="57576" spans="1:26" ht="12.75" customHeight="1" x14ac:dyDescent="0.2">
      <c r="A57576" s="258"/>
      <c r="Z57576" s="258"/>
    </row>
    <row r="57577" spans="1:26" ht="12.75" customHeight="1" x14ac:dyDescent="0.2">
      <c r="A57577" s="258"/>
      <c r="Z57577" s="258"/>
    </row>
    <row r="57578" spans="1:26" ht="12.75" customHeight="1" x14ac:dyDescent="0.2">
      <c r="A57578" s="258"/>
      <c r="Z57578" s="258"/>
    </row>
    <row r="57579" spans="1:26" ht="12.75" customHeight="1" x14ac:dyDescent="0.2">
      <c r="A57579" s="258"/>
      <c r="Z57579" s="258"/>
    </row>
    <row r="57580" spans="1:26" ht="12.75" customHeight="1" x14ac:dyDescent="0.2">
      <c r="A57580" s="258"/>
      <c r="Z57580" s="258"/>
    </row>
    <row r="57581" spans="1:26" ht="12.75" customHeight="1" x14ac:dyDescent="0.2">
      <c r="A57581" s="258"/>
      <c r="Z57581" s="258"/>
    </row>
    <row r="57582" spans="1:26" ht="12.75" customHeight="1" x14ac:dyDescent="0.2">
      <c r="A57582" s="258"/>
      <c r="Z57582" s="258"/>
    </row>
    <row r="57583" spans="1:26" ht="12.75" customHeight="1" x14ac:dyDescent="0.2">
      <c r="A57583" s="258"/>
      <c r="Z57583" s="258"/>
    </row>
    <row r="57584" spans="1:26" ht="12.75" customHeight="1" x14ac:dyDescent="0.2">
      <c r="A57584" s="258"/>
      <c r="Z57584" s="258"/>
    </row>
    <row r="57585" spans="1:26" ht="12.75" customHeight="1" x14ac:dyDescent="0.2">
      <c r="A57585" s="258"/>
      <c r="Z57585" s="258"/>
    </row>
    <row r="57586" spans="1:26" ht="12.75" customHeight="1" x14ac:dyDescent="0.2">
      <c r="A57586" s="258"/>
      <c r="Z57586" s="258"/>
    </row>
    <row r="57587" spans="1:26" ht="12.75" customHeight="1" x14ac:dyDescent="0.2">
      <c r="A57587" s="258"/>
      <c r="Z57587" s="258"/>
    </row>
    <row r="57588" spans="1:26" ht="12.75" customHeight="1" x14ac:dyDescent="0.2">
      <c r="A57588" s="258"/>
      <c r="Z57588" s="258"/>
    </row>
    <row r="57589" spans="1:26" ht="12.75" customHeight="1" x14ac:dyDescent="0.2">
      <c r="A57589" s="258"/>
      <c r="Z57589" s="258"/>
    </row>
    <row r="57590" spans="1:26" ht="12.75" customHeight="1" x14ac:dyDescent="0.2">
      <c r="A57590" s="258"/>
      <c r="Z57590" s="258"/>
    </row>
    <row r="57591" spans="1:26" ht="12.75" customHeight="1" x14ac:dyDescent="0.2">
      <c r="A57591" s="258"/>
      <c r="Z57591" s="258"/>
    </row>
    <row r="57592" spans="1:26" ht="12.75" customHeight="1" x14ac:dyDescent="0.2">
      <c r="A57592" s="258"/>
      <c r="Z57592" s="258"/>
    </row>
    <row r="57593" spans="1:26" ht="12.75" customHeight="1" x14ac:dyDescent="0.2">
      <c r="A57593" s="258"/>
      <c r="Z57593" s="258"/>
    </row>
    <row r="57594" spans="1:26" ht="12.75" customHeight="1" x14ac:dyDescent="0.2">
      <c r="A57594" s="258"/>
      <c r="Z57594" s="258"/>
    </row>
    <row r="57595" spans="1:26" ht="12.75" customHeight="1" x14ac:dyDescent="0.2">
      <c r="A57595" s="258"/>
      <c r="Z57595" s="258"/>
    </row>
    <row r="57596" spans="1:26" ht="12.75" customHeight="1" x14ac:dyDescent="0.2">
      <c r="A57596" s="258"/>
      <c r="Z57596" s="258"/>
    </row>
    <row r="57597" spans="1:26" ht="12.75" customHeight="1" x14ac:dyDescent="0.2">
      <c r="A57597" s="258"/>
      <c r="Z57597" s="258"/>
    </row>
    <row r="57598" spans="1:26" ht="12.75" customHeight="1" x14ac:dyDescent="0.2">
      <c r="A57598" s="258"/>
      <c r="Z57598" s="258"/>
    </row>
    <row r="57599" spans="1:26" ht="12.75" customHeight="1" x14ac:dyDescent="0.2">
      <c r="A57599" s="258"/>
      <c r="Z57599" s="258"/>
    </row>
    <row r="57600" spans="1:26" ht="12.75" customHeight="1" x14ac:dyDescent="0.2">
      <c r="A57600" s="258"/>
      <c r="Z57600" s="258"/>
    </row>
    <row r="57601" spans="1:26" ht="12.75" customHeight="1" x14ac:dyDescent="0.2">
      <c r="A57601" s="258"/>
      <c r="Z57601" s="258"/>
    </row>
    <row r="57602" spans="1:26" ht="12.75" customHeight="1" x14ac:dyDescent="0.2">
      <c r="A57602" s="258"/>
      <c r="Z57602" s="258"/>
    </row>
    <row r="57603" spans="1:26" ht="12.75" customHeight="1" x14ac:dyDescent="0.2">
      <c r="A57603" s="258"/>
      <c r="Z57603" s="258"/>
    </row>
    <row r="57604" spans="1:26" ht="12.75" customHeight="1" x14ac:dyDescent="0.2">
      <c r="A57604" s="258"/>
      <c r="Z57604" s="258"/>
    </row>
    <row r="57605" spans="1:26" ht="12.75" customHeight="1" x14ac:dyDescent="0.2">
      <c r="A57605" s="258"/>
      <c r="Z57605" s="258"/>
    </row>
    <row r="57606" spans="1:26" ht="12.75" customHeight="1" x14ac:dyDescent="0.2">
      <c r="A57606" s="258"/>
      <c r="Z57606" s="258"/>
    </row>
    <row r="57607" spans="1:26" ht="12.75" customHeight="1" x14ac:dyDescent="0.2">
      <c r="A57607" s="258"/>
      <c r="Z57607" s="258"/>
    </row>
    <row r="57608" spans="1:26" ht="12.75" customHeight="1" x14ac:dyDescent="0.2">
      <c r="A57608" s="258"/>
      <c r="Z57608" s="258"/>
    </row>
    <row r="57609" spans="1:26" ht="12.75" customHeight="1" x14ac:dyDescent="0.2">
      <c r="A57609" s="258"/>
      <c r="Z57609" s="258"/>
    </row>
    <row r="57610" spans="1:26" ht="12.75" customHeight="1" x14ac:dyDescent="0.2">
      <c r="A57610" s="258"/>
      <c r="Z57610" s="258"/>
    </row>
    <row r="57611" spans="1:26" ht="12.75" customHeight="1" x14ac:dyDescent="0.2">
      <c r="A57611" s="258"/>
      <c r="Z57611" s="258"/>
    </row>
    <row r="57612" spans="1:26" ht="12.75" customHeight="1" x14ac:dyDescent="0.2">
      <c r="A57612" s="258"/>
      <c r="Z57612" s="258"/>
    </row>
    <row r="57613" spans="1:26" ht="12.75" customHeight="1" x14ac:dyDescent="0.2">
      <c r="A57613" s="258"/>
      <c r="Z57613" s="258"/>
    </row>
    <row r="57614" spans="1:26" ht="12.75" customHeight="1" x14ac:dyDescent="0.2">
      <c r="A57614" s="258"/>
      <c r="Z57614" s="258"/>
    </row>
    <row r="57615" spans="1:26" ht="12.75" customHeight="1" x14ac:dyDescent="0.2">
      <c r="A57615" s="258"/>
      <c r="Z57615" s="258"/>
    </row>
    <row r="57616" spans="1:26" ht="12.75" customHeight="1" x14ac:dyDescent="0.2">
      <c r="A57616" s="258"/>
      <c r="Z57616" s="258"/>
    </row>
    <row r="57617" spans="1:26" ht="12.75" customHeight="1" x14ac:dyDescent="0.2">
      <c r="A57617" s="258"/>
      <c r="Z57617" s="258"/>
    </row>
    <row r="57618" spans="1:26" ht="12.75" customHeight="1" x14ac:dyDescent="0.2">
      <c r="A57618" s="258"/>
      <c r="Z57618" s="258"/>
    </row>
    <row r="57619" spans="1:26" ht="12.75" customHeight="1" x14ac:dyDescent="0.2">
      <c r="A57619" s="258"/>
      <c r="Z57619" s="258"/>
    </row>
    <row r="57620" spans="1:26" ht="12.75" customHeight="1" x14ac:dyDescent="0.2">
      <c r="A57620" s="258"/>
      <c r="Z57620" s="258"/>
    </row>
    <row r="57621" spans="1:26" ht="12.75" customHeight="1" x14ac:dyDescent="0.2">
      <c r="A57621" s="258"/>
      <c r="Z57621" s="258"/>
    </row>
    <row r="57622" spans="1:26" ht="12.75" customHeight="1" x14ac:dyDescent="0.2">
      <c r="A57622" s="258"/>
      <c r="Z57622" s="258"/>
    </row>
    <row r="57623" spans="1:26" ht="12.75" customHeight="1" x14ac:dyDescent="0.2">
      <c r="A57623" s="258"/>
      <c r="Z57623" s="258"/>
    </row>
    <row r="57624" spans="1:26" ht="12.75" customHeight="1" x14ac:dyDescent="0.2">
      <c r="A57624" s="258"/>
      <c r="Z57624" s="258"/>
    </row>
    <row r="57625" spans="1:26" ht="12.75" customHeight="1" x14ac:dyDescent="0.2">
      <c r="A57625" s="258"/>
      <c r="Z57625" s="258"/>
    </row>
    <row r="57626" spans="1:26" ht="12.75" customHeight="1" x14ac:dyDescent="0.2">
      <c r="A57626" s="258"/>
      <c r="Z57626" s="258"/>
    </row>
    <row r="57627" spans="1:26" ht="12.75" customHeight="1" x14ac:dyDescent="0.2">
      <c r="A57627" s="258"/>
      <c r="Z57627" s="258"/>
    </row>
    <row r="57628" spans="1:26" ht="12.75" customHeight="1" x14ac:dyDescent="0.2">
      <c r="A57628" s="258"/>
      <c r="Z57628" s="258"/>
    </row>
    <row r="57629" spans="1:26" ht="12.75" customHeight="1" x14ac:dyDescent="0.2">
      <c r="A57629" s="258"/>
      <c r="Z57629" s="258"/>
    </row>
    <row r="57630" spans="1:26" ht="12.75" customHeight="1" x14ac:dyDescent="0.2">
      <c r="A57630" s="258"/>
      <c r="Z57630" s="258"/>
    </row>
    <row r="57631" spans="1:26" ht="12.75" customHeight="1" x14ac:dyDescent="0.2">
      <c r="A57631" s="258"/>
      <c r="Z57631" s="258"/>
    </row>
    <row r="57632" spans="1:26" ht="12.75" customHeight="1" x14ac:dyDescent="0.2">
      <c r="A57632" s="258"/>
      <c r="Z57632" s="258"/>
    </row>
    <row r="57633" spans="1:26" ht="12.75" customHeight="1" x14ac:dyDescent="0.2">
      <c r="A57633" s="258"/>
      <c r="Z57633" s="258"/>
    </row>
    <row r="57634" spans="1:26" ht="12.75" customHeight="1" x14ac:dyDescent="0.2">
      <c r="A57634" s="258"/>
      <c r="Z57634" s="258"/>
    </row>
    <row r="57635" spans="1:26" ht="12.75" customHeight="1" x14ac:dyDescent="0.2">
      <c r="A57635" s="258"/>
      <c r="Z57635" s="258"/>
    </row>
    <row r="57636" spans="1:26" ht="12.75" customHeight="1" x14ac:dyDescent="0.2">
      <c r="A57636" s="258"/>
      <c r="Z57636" s="258"/>
    </row>
    <row r="57637" spans="1:26" ht="12.75" customHeight="1" x14ac:dyDescent="0.2">
      <c r="A57637" s="258"/>
      <c r="Z57637" s="258"/>
    </row>
    <row r="57638" spans="1:26" ht="12.75" customHeight="1" x14ac:dyDescent="0.2">
      <c r="A57638" s="258"/>
      <c r="Z57638" s="258"/>
    </row>
    <row r="57639" spans="1:26" ht="12.75" customHeight="1" x14ac:dyDescent="0.2">
      <c r="A57639" s="258"/>
      <c r="Z57639" s="258"/>
    </row>
    <row r="57640" spans="1:26" ht="12.75" customHeight="1" x14ac:dyDescent="0.2">
      <c r="A57640" s="258"/>
      <c r="Z57640" s="258"/>
    </row>
    <row r="57641" spans="1:26" ht="12.75" customHeight="1" x14ac:dyDescent="0.2">
      <c r="A57641" s="258"/>
      <c r="Z57641" s="258"/>
    </row>
    <row r="57642" spans="1:26" ht="12.75" customHeight="1" x14ac:dyDescent="0.2">
      <c r="A57642" s="258"/>
      <c r="Z57642" s="258"/>
    </row>
    <row r="57643" spans="1:26" ht="12.75" customHeight="1" x14ac:dyDescent="0.2">
      <c r="A57643" s="258"/>
      <c r="Z57643" s="258"/>
    </row>
    <row r="57644" spans="1:26" ht="12.75" customHeight="1" x14ac:dyDescent="0.2">
      <c r="A57644" s="258"/>
      <c r="Z57644" s="258"/>
    </row>
    <row r="57645" spans="1:26" ht="12.75" customHeight="1" x14ac:dyDescent="0.2">
      <c r="A57645" s="258"/>
      <c r="Z57645" s="258"/>
    </row>
    <row r="57646" spans="1:26" ht="12.75" customHeight="1" x14ac:dyDescent="0.2">
      <c r="A57646" s="258"/>
      <c r="Z57646" s="258"/>
    </row>
    <row r="57647" spans="1:26" ht="12.75" customHeight="1" x14ac:dyDescent="0.2">
      <c r="A57647" s="258"/>
      <c r="Z57647" s="258"/>
    </row>
    <row r="57648" spans="1:26" ht="12.75" customHeight="1" x14ac:dyDescent="0.2">
      <c r="A57648" s="258"/>
      <c r="Z57648" s="258"/>
    </row>
    <row r="57649" spans="1:26" ht="12.75" customHeight="1" x14ac:dyDescent="0.2">
      <c r="A57649" s="258"/>
      <c r="Z57649" s="258"/>
    </row>
    <row r="57650" spans="1:26" ht="12.75" customHeight="1" x14ac:dyDescent="0.2">
      <c r="A57650" s="258"/>
      <c r="Z57650" s="258"/>
    </row>
    <row r="57651" spans="1:26" ht="12.75" customHeight="1" x14ac:dyDescent="0.2">
      <c r="A57651" s="258"/>
      <c r="Z57651" s="258"/>
    </row>
    <row r="57652" spans="1:26" ht="12.75" customHeight="1" x14ac:dyDescent="0.2">
      <c r="A57652" s="258"/>
      <c r="Z57652" s="258"/>
    </row>
    <row r="57653" spans="1:26" ht="12.75" customHeight="1" x14ac:dyDescent="0.2">
      <c r="A57653" s="258"/>
      <c r="Z57653" s="258"/>
    </row>
    <row r="57654" spans="1:26" ht="12.75" customHeight="1" x14ac:dyDescent="0.2">
      <c r="A57654" s="258"/>
      <c r="Z57654" s="258"/>
    </row>
    <row r="57655" spans="1:26" ht="12.75" customHeight="1" x14ac:dyDescent="0.2">
      <c r="A57655" s="258"/>
      <c r="Z57655" s="258"/>
    </row>
    <row r="57656" spans="1:26" ht="12.75" customHeight="1" x14ac:dyDescent="0.2">
      <c r="A57656" s="258"/>
      <c r="Z57656" s="258"/>
    </row>
    <row r="57657" spans="1:26" ht="12.75" customHeight="1" x14ac:dyDescent="0.2">
      <c r="A57657" s="258"/>
      <c r="Z57657" s="258"/>
    </row>
    <row r="57658" spans="1:26" ht="12.75" customHeight="1" x14ac:dyDescent="0.2">
      <c r="A57658" s="258"/>
      <c r="Z57658" s="258"/>
    </row>
    <row r="57659" spans="1:26" ht="12.75" customHeight="1" x14ac:dyDescent="0.2">
      <c r="A57659" s="258"/>
      <c r="Z57659" s="258"/>
    </row>
    <row r="57660" spans="1:26" ht="12.75" customHeight="1" x14ac:dyDescent="0.2">
      <c r="A57660" s="258"/>
      <c r="Z57660" s="258"/>
    </row>
    <row r="57661" spans="1:26" ht="12.75" customHeight="1" x14ac:dyDescent="0.2">
      <c r="A57661" s="258"/>
      <c r="Z57661" s="258"/>
    </row>
    <row r="57662" spans="1:26" ht="12.75" customHeight="1" x14ac:dyDescent="0.2">
      <c r="A57662" s="258"/>
      <c r="Z57662" s="258"/>
    </row>
    <row r="57663" spans="1:26" ht="12.75" customHeight="1" x14ac:dyDescent="0.2">
      <c r="A57663" s="258"/>
      <c r="Z57663" s="258"/>
    </row>
    <row r="57664" spans="1:26" ht="12.75" customHeight="1" x14ac:dyDescent="0.2">
      <c r="A57664" s="258"/>
      <c r="Z57664" s="258"/>
    </row>
    <row r="57665" spans="1:26" ht="12.75" customHeight="1" x14ac:dyDescent="0.2">
      <c r="A57665" s="258"/>
      <c r="Z57665" s="258"/>
    </row>
    <row r="57666" spans="1:26" ht="12.75" customHeight="1" x14ac:dyDescent="0.2">
      <c r="A57666" s="258"/>
      <c r="Z57666" s="258"/>
    </row>
    <row r="57667" spans="1:26" ht="12.75" customHeight="1" x14ac:dyDescent="0.2">
      <c r="A57667" s="258"/>
      <c r="Z57667" s="258"/>
    </row>
    <row r="57668" spans="1:26" ht="12.75" customHeight="1" x14ac:dyDescent="0.2">
      <c r="A57668" s="258"/>
      <c r="Z57668" s="258"/>
    </row>
    <row r="57669" spans="1:26" ht="12.75" customHeight="1" x14ac:dyDescent="0.2">
      <c r="A57669" s="258"/>
      <c r="Z57669" s="258"/>
    </row>
    <row r="57670" spans="1:26" ht="12.75" customHeight="1" x14ac:dyDescent="0.2">
      <c r="A57670" s="258"/>
      <c r="Z57670" s="258"/>
    </row>
    <row r="57671" spans="1:26" ht="12.75" customHeight="1" x14ac:dyDescent="0.2">
      <c r="A57671" s="258"/>
      <c r="Z57671" s="258"/>
    </row>
    <row r="57672" spans="1:26" ht="12.75" customHeight="1" x14ac:dyDescent="0.2">
      <c r="A57672" s="258"/>
      <c r="Z57672" s="258"/>
    </row>
    <row r="57673" spans="1:26" ht="12.75" customHeight="1" x14ac:dyDescent="0.2">
      <c r="A57673" s="258"/>
      <c r="Z57673" s="258"/>
    </row>
    <row r="57674" spans="1:26" ht="12.75" customHeight="1" x14ac:dyDescent="0.2">
      <c r="A57674" s="258"/>
      <c r="Z57674" s="258"/>
    </row>
    <row r="57675" spans="1:26" ht="12.75" customHeight="1" x14ac:dyDescent="0.2">
      <c r="A57675" s="258"/>
      <c r="Z57675" s="258"/>
    </row>
    <row r="57676" spans="1:26" ht="12.75" customHeight="1" x14ac:dyDescent="0.2">
      <c r="A57676" s="258"/>
      <c r="Z57676" s="258"/>
    </row>
    <row r="57677" spans="1:26" ht="12.75" customHeight="1" x14ac:dyDescent="0.2">
      <c r="A57677" s="258"/>
      <c r="Z57677" s="258"/>
    </row>
    <row r="57678" spans="1:26" ht="12.75" customHeight="1" x14ac:dyDescent="0.2">
      <c r="A57678" s="258"/>
      <c r="Z57678" s="258"/>
    </row>
    <row r="57679" spans="1:26" ht="12.75" customHeight="1" x14ac:dyDescent="0.2">
      <c r="A57679" s="258"/>
      <c r="Z57679" s="258"/>
    </row>
    <row r="57680" spans="1:26" ht="12.75" customHeight="1" x14ac:dyDescent="0.2">
      <c r="A57680" s="258"/>
      <c r="Z57680" s="258"/>
    </row>
    <row r="57681" spans="1:26" ht="12.75" customHeight="1" x14ac:dyDescent="0.2">
      <c r="A57681" s="258"/>
      <c r="Z57681" s="258"/>
    </row>
    <row r="57682" spans="1:26" ht="12.75" customHeight="1" x14ac:dyDescent="0.2">
      <c r="A57682" s="258"/>
      <c r="Z57682" s="258"/>
    </row>
    <row r="57683" spans="1:26" ht="12.75" customHeight="1" x14ac:dyDescent="0.2">
      <c r="A57683" s="258"/>
      <c r="Z57683" s="258"/>
    </row>
    <row r="57684" spans="1:26" ht="12.75" customHeight="1" x14ac:dyDescent="0.2">
      <c r="A57684" s="258"/>
      <c r="Z57684" s="258"/>
    </row>
    <row r="57685" spans="1:26" ht="12.75" customHeight="1" x14ac:dyDescent="0.2">
      <c r="A57685" s="258"/>
      <c r="Z57685" s="258"/>
    </row>
    <row r="57686" spans="1:26" ht="12.75" customHeight="1" x14ac:dyDescent="0.2">
      <c r="A57686" s="258"/>
      <c r="Z57686" s="258"/>
    </row>
    <row r="57687" spans="1:26" ht="12.75" customHeight="1" x14ac:dyDescent="0.2">
      <c r="A57687" s="258"/>
      <c r="Z57687" s="258"/>
    </row>
    <row r="57688" spans="1:26" ht="12.75" customHeight="1" x14ac:dyDescent="0.2">
      <c r="A57688" s="258"/>
      <c r="Z57688" s="258"/>
    </row>
    <row r="57689" spans="1:26" ht="12.75" customHeight="1" x14ac:dyDescent="0.2">
      <c r="A57689" s="258"/>
      <c r="Z57689" s="258"/>
    </row>
    <row r="57690" spans="1:26" ht="12.75" customHeight="1" x14ac:dyDescent="0.2">
      <c r="A57690" s="258"/>
      <c r="Z57690" s="258"/>
    </row>
    <row r="57691" spans="1:26" ht="12.75" customHeight="1" x14ac:dyDescent="0.2">
      <c r="A57691" s="258"/>
      <c r="Z57691" s="258"/>
    </row>
    <row r="57692" spans="1:26" ht="12.75" customHeight="1" x14ac:dyDescent="0.2">
      <c r="A57692" s="258"/>
      <c r="Z57692" s="258"/>
    </row>
    <row r="57693" spans="1:26" ht="12.75" customHeight="1" x14ac:dyDescent="0.2">
      <c r="A57693" s="258"/>
      <c r="Z57693" s="258"/>
    </row>
    <row r="57694" spans="1:26" ht="12.75" customHeight="1" x14ac:dyDescent="0.2">
      <c r="A57694" s="258"/>
      <c r="Z57694" s="258"/>
    </row>
    <row r="57695" spans="1:26" ht="12.75" customHeight="1" x14ac:dyDescent="0.2">
      <c r="A57695" s="258"/>
      <c r="Z57695" s="258"/>
    </row>
    <row r="57696" spans="1:26" ht="12.75" customHeight="1" x14ac:dyDescent="0.2">
      <c r="A57696" s="258"/>
      <c r="Z57696" s="258"/>
    </row>
    <row r="57697" spans="1:26" ht="12.75" customHeight="1" x14ac:dyDescent="0.2">
      <c r="A57697" s="258"/>
      <c r="Z57697" s="258"/>
    </row>
    <row r="57698" spans="1:26" ht="12.75" customHeight="1" x14ac:dyDescent="0.2">
      <c r="A57698" s="258"/>
      <c r="Z57698" s="258"/>
    </row>
    <row r="57699" spans="1:26" ht="12.75" customHeight="1" x14ac:dyDescent="0.2">
      <c r="A57699" s="258"/>
      <c r="Z57699" s="258"/>
    </row>
    <row r="57700" spans="1:26" ht="12.75" customHeight="1" x14ac:dyDescent="0.2">
      <c r="A57700" s="258"/>
      <c r="Z57700" s="258"/>
    </row>
    <row r="57701" spans="1:26" ht="12.75" customHeight="1" x14ac:dyDescent="0.2">
      <c r="A57701" s="258"/>
      <c r="Z57701" s="258"/>
    </row>
    <row r="57702" spans="1:26" ht="12.75" customHeight="1" x14ac:dyDescent="0.2">
      <c r="A57702" s="258"/>
      <c r="Z57702" s="258"/>
    </row>
    <row r="57703" spans="1:26" ht="12.75" customHeight="1" x14ac:dyDescent="0.2">
      <c r="A57703" s="258"/>
      <c r="Z57703" s="258"/>
    </row>
    <row r="57704" spans="1:26" ht="12.75" customHeight="1" x14ac:dyDescent="0.2">
      <c r="A57704" s="258"/>
      <c r="Z57704" s="258"/>
    </row>
    <row r="57705" spans="1:26" ht="12.75" customHeight="1" x14ac:dyDescent="0.2">
      <c r="A57705" s="258"/>
      <c r="Z57705" s="258"/>
    </row>
    <row r="57706" spans="1:26" ht="12.75" customHeight="1" x14ac:dyDescent="0.2">
      <c r="A57706" s="258"/>
      <c r="Z57706" s="258"/>
    </row>
    <row r="57707" spans="1:26" ht="12.75" customHeight="1" x14ac:dyDescent="0.2">
      <c r="A57707" s="258"/>
      <c r="Z57707" s="258"/>
    </row>
    <row r="57708" spans="1:26" ht="12.75" customHeight="1" x14ac:dyDescent="0.2">
      <c r="A57708" s="258"/>
      <c r="Z57708" s="258"/>
    </row>
    <row r="57709" spans="1:26" ht="12.75" customHeight="1" x14ac:dyDescent="0.2">
      <c r="A57709" s="258"/>
      <c r="Z57709" s="258"/>
    </row>
    <row r="57710" spans="1:26" ht="12.75" customHeight="1" x14ac:dyDescent="0.2">
      <c r="A57710" s="258"/>
      <c r="Z57710" s="258"/>
    </row>
    <row r="57711" spans="1:26" ht="12.75" customHeight="1" x14ac:dyDescent="0.2">
      <c r="A57711" s="258"/>
      <c r="Z57711" s="258"/>
    </row>
    <row r="57712" spans="1:26" ht="12.75" customHeight="1" x14ac:dyDescent="0.2">
      <c r="A57712" s="258"/>
      <c r="Z57712" s="258"/>
    </row>
    <row r="57713" spans="1:26" ht="12.75" customHeight="1" x14ac:dyDescent="0.2">
      <c r="A57713" s="258"/>
      <c r="Z57713" s="258"/>
    </row>
    <row r="57714" spans="1:26" ht="12.75" customHeight="1" x14ac:dyDescent="0.2">
      <c r="A57714" s="258"/>
      <c r="Z57714" s="258"/>
    </row>
    <row r="57715" spans="1:26" ht="12.75" customHeight="1" x14ac:dyDescent="0.2">
      <c r="A57715" s="258"/>
      <c r="Z57715" s="258"/>
    </row>
    <row r="57716" spans="1:26" ht="12.75" customHeight="1" x14ac:dyDescent="0.2">
      <c r="A57716" s="258"/>
      <c r="Z57716" s="258"/>
    </row>
    <row r="57717" spans="1:26" ht="12.75" customHeight="1" x14ac:dyDescent="0.2">
      <c r="A57717" s="258"/>
      <c r="Z57717" s="258"/>
    </row>
    <row r="57718" spans="1:26" ht="12.75" customHeight="1" x14ac:dyDescent="0.2">
      <c r="A57718" s="258"/>
      <c r="Z57718" s="258"/>
    </row>
    <row r="57719" spans="1:26" ht="12.75" customHeight="1" x14ac:dyDescent="0.2">
      <c r="A57719" s="258"/>
      <c r="Z57719" s="258"/>
    </row>
    <row r="57720" spans="1:26" ht="12.75" customHeight="1" x14ac:dyDescent="0.2">
      <c r="A57720" s="258"/>
      <c r="Z57720" s="258"/>
    </row>
    <row r="57721" spans="1:26" ht="12.75" customHeight="1" x14ac:dyDescent="0.2">
      <c r="A57721" s="258"/>
      <c r="Z57721" s="258"/>
    </row>
    <row r="57722" spans="1:26" ht="12.75" customHeight="1" x14ac:dyDescent="0.2">
      <c r="A57722" s="258"/>
      <c r="Z57722" s="258"/>
    </row>
    <row r="57723" spans="1:26" ht="12.75" customHeight="1" x14ac:dyDescent="0.2">
      <c r="A57723" s="258"/>
      <c r="Z57723" s="258"/>
    </row>
    <row r="57724" spans="1:26" ht="12.75" customHeight="1" x14ac:dyDescent="0.2">
      <c r="A57724" s="258"/>
      <c r="Z57724" s="258"/>
    </row>
    <row r="57725" spans="1:26" ht="12.75" customHeight="1" x14ac:dyDescent="0.2">
      <c r="A57725" s="258"/>
      <c r="Z57725" s="258"/>
    </row>
    <row r="57726" spans="1:26" ht="12.75" customHeight="1" x14ac:dyDescent="0.2">
      <c r="A57726" s="258"/>
      <c r="Z57726" s="258"/>
    </row>
    <row r="57727" spans="1:26" ht="12.75" customHeight="1" x14ac:dyDescent="0.2">
      <c r="A57727" s="258"/>
      <c r="Z57727" s="258"/>
    </row>
    <row r="57728" spans="1:26" ht="12.75" customHeight="1" x14ac:dyDescent="0.2">
      <c r="A57728" s="258"/>
      <c r="Z57728" s="258"/>
    </row>
    <row r="57729" spans="1:26" ht="12.75" customHeight="1" x14ac:dyDescent="0.2">
      <c r="A57729" s="258"/>
      <c r="Z57729" s="258"/>
    </row>
    <row r="57730" spans="1:26" ht="12.75" customHeight="1" x14ac:dyDescent="0.2">
      <c r="A57730" s="258"/>
      <c r="Z57730" s="258"/>
    </row>
    <row r="57731" spans="1:26" ht="12.75" customHeight="1" x14ac:dyDescent="0.2">
      <c r="A57731" s="258"/>
      <c r="Z57731" s="258"/>
    </row>
    <row r="57732" spans="1:26" ht="12.75" customHeight="1" x14ac:dyDescent="0.2">
      <c r="A57732" s="258"/>
      <c r="Z57732" s="258"/>
    </row>
    <row r="57733" spans="1:26" ht="12.75" customHeight="1" x14ac:dyDescent="0.2">
      <c r="A57733" s="258"/>
      <c r="Z57733" s="258"/>
    </row>
    <row r="57734" spans="1:26" ht="12.75" customHeight="1" x14ac:dyDescent="0.2">
      <c r="A57734" s="258"/>
      <c r="Z57734" s="258"/>
    </row>
    <row r="57735" spans="1:26" ht="12.75" customHeight="1" x14ac:dyDescent="0.2">
      <c r="A57735" s="258"/>
      <c r="Z57735" s="258"/>
    </row>
    <row r="57736" spans="1:26" ht="12.75" customHeight="1" x14ac:dyDescent="0.2">
      <c r="A57736" s="258"/>
      <c r="Z57736" s="258"/>
    </row>
    <row r="57737" spans="1:26" ht="12.75" customHeight="1" x14ac:dyDescent="0.2">
      <c r="A57737" s="258"/>
      <c r="Z57737" s="258"/>
    </row>
    <row r="57738" spans="1:26" ht="12.75" customHeight="1" x14ac:dyDescent="0.2">
      <c r="A57738" s="258"/>
      <c r="Z57738" s="258"/>
    </row>
    <row r="57739" spans="1:26" ht="12.75" customHeight="1" x14ac:dyDescent="0.2">
      <c r="A57739" s="258"/>
      <c r="Z57739" s="258"/>
    </row>
    <row r="57740" spans="1:26" ht="12.75" customHeight="1" x14ac:dyDescent="0.2">
      <c r="A57740" s="258"/>
      <c r="Z57740" s="258"/>
    </row>
    <row r="57741" spans="1:26" ht="12.75" customHeight="1" x14ac:dyDescent="0.2">
      <c r="A57741" s="258"/>
      <c r="Z57741" s="258"/>
    </row>
    <row r="57742" spans="1:26" ht="12.75" customHeight="1" x14ac:dyDescent="0.2">
      <c r="A57742" s="258"/>
      <c r="Z57742" s="258"/>
    </row>
    <row r="57743" spans="1:26" ht="12.75" customHeight="1" x14ac:dyDescent="0.2">
      <c r="A57743" s="258"/>
      <c r="Z57743" s="258"/>
    </row>
    <row r="57744" spans="1:26" ht="12.75" customHeight="1" x14ac:dyDescent="0.2">
      <c r="A57744" s="258"/>
      <c r="Z57744" s="258"/>
    </row>
    <row r="57745" spans="1:26" ht="12.75" customHeight="1" x14ac:dyDescent="0.2">
      <c r="A57745" s="258"/>
      <c r="Z57745" s="258"/>
    </row>
    <row r="57746" spans="1:26" ht="12.75" customHeight="1" x14ac:dyDescent="0.2">
      <c r="A57746" s="258"/>
      <c r="Z57746" s="258"/>
    </row>
    <row r="57747" spans="1:26" ht="12.75" customHeight="1" x14ac:dyDescent="0.2">
      <c r="A57747" s="258"/>
      <c r="Z57747" s="258"/>
    </row>
    <row r="57748" spans="1:26" ht="12.75" customHeight="1" x14ac:dyDescent="0.2">
      <c r="A57748" s="258"/>
      <c r="Z57748" s="258"/>
    </row>
    <row r="57749" spans="1:26" ht="12.75" customHeight="1" x14ac:dyDescent="0.2">
      <c r="A57749" s="258"/>
      <c r="Z57749" s="258"/>
    </row>
    <row r="57750" spans="1:26" ht="12.75" customHeight="1" x14ac:dyDescent="0.2">
      <c r="A57750" s="258"/>
      <c r="Z57750" s="258"/>
    </row>
    <row r="57751" spans="1:26" ht="12.75" customHeight="1" x14ac:dyDescent="0.2">
      <c r="A57751" s="258"/>
      <c r="Z57751" s="258"/>
    </row>
    <row r="57752" spans="1:26" ht="12.75" customHeight="1" x14ac:dyDescent="0.2">
      <c r="A57752" s="258"/>
      <c r="Z57752" s="258"/>
    </row>
    <row r="57753" spans="1:26" ht="12.75" customHeight="1" x14ac:dyDescent="0.2">
      <c r="A57753" s="258"/>
      <c r="Z57753" s="258"/>
    </row>
    <row r="57754" spans="1:26" ht="12.75" customHeight="1" x14ac:dyDescent="0.2">
      <c r="A57754" s="258"/>
      <c r="Z57754" s="258"/>
    </row>
    <row r="57755" spans="1:26" ht="12.75" customHeight="1" x14ac:dyDescent="0.2">
      <c r="A57755" s="258"/>
      <c r="Z57755" s="258"/>
    </row>
    <row r="57756" spans="1:26" ht="12.75" customHeight="1" x14ac:dyDescent="0.2">
      <c r="A57756" s="258"/>
      <c r="Z57756" s="258"/>
    </row>
    <row r="57757" spans="1:26" ht="12.75" customHeight="1" x14ac:dyDescent="0.2">
      <c r="A57757" s="258"/>
      <c r="Z57757" s="258"/>
    </row>
    <row r="57758" spans="1:26" ht="12.75" customHeight="1" x14ac:dyDescent="0.2">
      <c r="A57758" s="258"/>
      <c r="Z57758" s="258"/>
    </row>
    <row r="57759" spans="1:26" ht="12.75" customHeight="1" x14ac:dyDescent="0.2">
      <c r="A57759" s="258"/>
      <c r="Z57759" s="258"/>
    </row>
    <row r="57760" spans="1:26" ht="12.75" customHeight="1" x14ac:dyDescent="0.2">
      <c r="A57760" s="258"/>
      <c r="Z57760" s="258"/>
    </row>
    <row r="57761" spans="1:26" ht="12.75" customHeight="1" x14ac:dyDescent="0.2">
      <c r="A57761" s="258"/>
      <c r="Z57761" s="258"/>
    </row>
    <row r="57762" spans="1:26" ht="12.75" customHeight="1" x14ac:dyDescent="0.2">
      <c r="A57762" s="258"/>
      <c r="Z57762" s="258"/>
    </row>
    <row r="57763" spans="1:26" ht="12.75" customHeight="1" x14ac:dyDescent="0.2">
      <c r="A57763" s="258"/>
      <c r="Z57763" s="258"/>
    </row>
    <row r="57764" spans="1:26" ht="12.75" customHeight="1" x14ac:dyDescent="0.2">
      <c r="A57764" s="258"/>
      <c r="Z57764" s="258"/>
    </row>
    <row r="57765" spans="1:26" ht="12.75" customHeight="1" x14ac:dyDescent="0.2">
      <c r="A57765" s="258"/>
      <c r="Z57765" s="258"/>
    </row>
    <row r="57766" spans="1:26" ht="12.75" customHeight="1" x14ac:dyDescent="0.2">
      <c r="A57766" s="258"/>
      <c r="Z57766" s="258"/>
    </row>
    <row r="57767" spans="1:26" ht="12.75" customHeight="1" x14ac:dyDescent="0.2">
      <c r="A57767" s="258"/>
      <c r="Z57767" s="258"/>
    </row>
    <row r="57768" spans="1:26" ht="12.75" customHeight="1" x14ac:dyDescent="0.2">
      <c r="A57768" s="258"/>
      <c r="Z57768" s="258"/>
    </row>
    <row r="57769" spans="1:26" ht="12.75" customHeight="1" x14ac:dyDescent="0.2">
      <c r="A57769" s="258"/>
      <c r="Z57769" s="258"/>
    </row>
    <row r="57770" spans="1:26" ht="12.75" customHeight="1" x14ac:dyDescent="0.2">
      <c r="A57770" s="258"/>
      <c r="Z57770" s="258"/>
    </row>
    <row r="57771" spans="1:26" ht="12.75" customHeight="1" x14ac:dyDescent="0.2">
      <c r="A57771" s="258"/>
      <c r="Z57771" s="258"/>
    </row>
    <row r="57772" spans="1:26" ht="12.75" customHeight="1" x14ac:dyDescent="0.2">
      <c r="A57772" s="258"/>
      <c r="Z57772" s="258"/>
    </row>
    <row r="57773" spans="1:26" ht="12.75" customHeight="1" x14ac:dyDescent="0.2">
      <c r="A57773" s="258"/>
      <c r="Z57773" s="258"/>
    </row>
    <row r="57774" spans="1:26" ht="12.75" customHeight="1" x14ac:dyDescent="0.2">
      <c r="A57774" s="258"/>
      <c r="Z57774" s="258"/>
    </row>
    <row r="57775" spans="1:26" ht="12.75" customHeight="1" x14ac:dyDescent="0.2">
      <c r="A57775" s="258"/>
      <c r="Z57775" s="258"/>
    </row>
    <row r="57776" spans="1:26" ht="12.75" customHeight="1" x14ac:dyDescent="0.2">
      <c r="A57776" s="258"/>
      <c r="Z57776" s="258"/>
    </row>
    <row r="57777" spans="1:26" ht="12.75" customHeight="1" x14ac:dyDescent="0.2">
      <c r="A57777" s="258"/>
      <c r="Z57777" s="258"/>
    </row>
    <row r="57778" spans="1:26" ht="12.75" customHeight="1" x14ac:dyDescent="0.2">
      <c r="A57778" s="258"/>
      <c r="Z57778" s="258"/>
    </row>
    <row r="57779" spans="1:26" ht="12.75" customHeight="1" x14ac:dyDescent="0.2">
      <c r="A57779" s="258"/>
      <c r="Z57779" s="258"/>
    </row>
    <row r="57780" spans="1:26" ht="12.75" customHeight="1" x14ac:dyDescent="0.2">
      <c r="A57780" s="258"/>
      <c r="Z57780" s="258"/>
    </row>
    <row r="57781" spans="1:26" ht="12.75" customHeight="1" x14ac:dyDescent="0.2">
      <c r="A57781" s="258"/>
      <c r="Z57781" s="258"/>
    </row>
    <row r="57782" spans="1:26" ht="12.75" customHeight="1" x14ac:dyDescent="0.2">
      <c r="A57782" s="258"/>
      <c r="Z57782" s="258"/>
    </row>
    <row r="57783" spans="1:26" ht="12.75" customHeight="1" x14ac:dyDescent="0.2">
      <c r="A57783" s="258"/>
      <c r="Z57783" s="258"/>
    </row>
    <row r="57784" spans="1:26" ht="12.75" customHeight="1" x14ac:dyDescent="0.2">
      <c r="A57784" s="258"/>
      <c r="Z57784" s="258"/>
    </row>
    <row r="57785" spans="1:26" ht="12.75" customHeight="1" x14ac:dyDescent="0.2">
      <c r="A57785" s="258"/>
      <c r="Z57785" s="258"/>
    </row>
    <row r="57786" spans="1:26" ht="12.75" customHeight="1" x14ac:dyDescent="0.2">
      <c r="A57786" s="258"/>
      <c r="Z57786" s="258"/>
    </row>
    <row r="57787" spans="1:26" ht="12.75" customHeight="1" x14ac:dyDescent="0.2">
      <c r="A57787" s="258"/>
      <c r="Z57787" s="258"/>
    </row>
    <row r="57788" spans="1:26" ht="12.75" customHeight="1" x14ac:dyDescent="0.2">
      <c r="A57788" s="258"/>
      <c r="Z57788" s="258"/>
    </row>
    <row r="57789" spans="1:26" ht="12.75" customHeight="1" x14ac:dyDescent="0.2">
      <c r="A57789" s="258"/>
      <c r="Z57789" s="258"/>
    </row>
    <row r="57790" spans="1:26" ht="12.75" customHeight="1" x14ac:dyDescent="0.2">
      <c r="A57790" s="258"/>
      <c r="Z57790" s="258"/>
    </row>
    <row r="57791" spans="1:26" ht="12.75" customHeight="1" x14ac:dyDescent="0.2">
      <c r="A57791" s="258"/>
      <c r="Z57791" s="258"/>
    </row>
    <row r="57792" spans="1:26" ht="12.75" customHeight="1" x14ac:dyDescent="0.2">
      <c r="A57792" s="258"/>
      <c r="Z57792" s="258"/>
    </row>
    <row r="57793" spans="1:26" ht="12.75" customHeight="1" x14ac:dyDescent="0.2">
      <c r="A57793" s="258"/>
      <c r="Z57793" s="258"/>
    </row>
    <row r="57794" spans="1:26" ht="12.75" customHeight="1" x14ac:dyDescent="0.2">
      <c r="A57794" s="258"/>
      <c r="Z57794" s="258"/>
    </row>
    <row r="57795" spans="1:26" ht="12.75" customHeight="1" x14ac:dyDescent="0.2">
      <c r="A57795" s="258"/>
      <c r="Z57795" s="258"/>
    </row>
    <row r="57796" spans="1:26" ht="12.75" customHeight="1" x14ac:dyDescent="0.2">
      <c r="A57796" s="258"/>
      <c r="Z57796" s="258"/>
    </row>
    <row r="57797" spans="1:26" ht="12.75" customHeight="1" x14ac:dyDescent="0.2">
      <c r="A57797" s="258"/>
      <c r="Z57797" s="258"/>
    </row>
    <row r="57798" spans="1:26" ht="12.75" customHeight="1" x14ac:dyDescent="0.2">
      <c r="A57798" s="258"/>
      <c r="Z57798" s="258"/>
    </row>
    <row r="57799" spans="1:26" ht="12.75" customHeight="1" x14ac:dyDescent="0.2">
      <c r="A57799" s="258"/>
      <c r="Z57799" s="258"/>
    </row>
    <row r="57800" spans="1:26" ht="12.75" customHeight="1" x14ac:dyDescent="0.2">
      <c r="A57800" s="258"/>
      <c r="Z57800" s="258"/>
    </row>
    <row r="57801" spans="1:26" ht="12.75" customHeight="1" x14ac:dyDescent="0.2">
      <c r="A57801" s="258"/>
      <c r="Z57801" s="258"/>
    </row>
    <row r="57802" spans="1:26" ht="12.75" customHeight="1" x14ac:dyDescent="0.2">
      <c r="A57802" s="258"/>
      <c r="Z57802" s="258"/>
    </row>
    <row r="57803" spans="1:26" ht="12.75" customHeight="1" x14ac:dyDescent="0.2">
      <c r="A57803" s="258"/>
      <c r="Z57803" s="258"/>
    </row>
    <row r="57804" spans="1:26" ht="12.75" customHeight="1" x14ac:dyDescent="0.2">
      <c r="A57804" s="258"/>
      <c r="Z57804" s="258"/>
    </row>
    <row r="57805" spans="1:26" ht="12.75" customHeight="1" x14ac:dyDescent="0.2">
      <c r="A57805" s="258"/>
      <c r="Z57805" s="258"/>
    </row>
    <row r="57806" spans="1:26" ht="12.75" customHeight="1" x14ac:dyDescent="0.2">
      <c r="A57806" s="258"/>
      <c r="Z57806" s="258"/>
    </row>
    <row r="57807" spans="1:26" ht="12.75" customHeight="1" x14ac:dyDescent="0.2">
      <c r="A57807" s="258"/>
      <c r="Z57807" s="258"/>
    </row>
    <row r="57808" spans="1:26" ht="12.75" customHeight="1" x14ac:dyDescent="0.2">
      <c r="A57808" s="258"/>
      <c r="Z57808" s="258"/>
    </row>
    <row r="57809" spans="1:26" ht="12.75" customHeight="1" x14ac:dyDescent="0.2">
      <c r="A57809" s="258"/>
      <c r="Z57809" s="258"/>
    </row>
    <row r="57810" spans="1:26" ht="12.75" customHeight="1" x14ac:dyDescent="0.2">
      <c r="A57810" s="258"/>
      <c r="Z57810" s="258"/>
    </row>
    <row r="57811" spans="1:26" ht="12.75" customHeight="1" x14ac:dyDescent="0.2">
      <c r="A57811" s="258"/>
      <c r="Z57811" s="258"/>
    </row>
    <row r="57812" spans="1:26" ht="12.75" customHeight="1" x14ac:dyDescent="0.2">
      <c r="A57812" s="258"/>
      <c r="Z57812" s="258"/>
    </row>
    <row r="57813" spans="1:26" ht="12.75" customHeight="1" x14ac:dyDescent="0.2">
      <c r="A57813" s="258"/>
      <c r="Z57813" s="258"/>
    </row>
    <row r="57814" spans="1:26" ht="12.75" customHeight="1" x14ac:dyDescent="0.2">
      <c r="A57814" s="258"/>
      <c r="Z57814" s="258"/>
    </row>
    <row r="57815" spans="1:26" ht="12.75" customHeight="1" x14ac:dyDescent="0.2">
      <c r="A57815" s="258"/>
      <c r="Z57815" s="258"/>
    </row>
    <row r="57816" spans="1:26" ht="12.75" customHeight="1" x14ac:dyDescent="0.2">
      <c r="A57816" s="258"/>
      <c r="Z57816" s="258"/>
    </row>
    <row r="57817" spans="1:26" ht="12.75" customHeight="1" x14ac:dyDescent="0.2">
      <c r="A57817" s="258"/>
      <c r="Z57817" s="258"/>
    </row>
    <row r="57818" spans="1:26" ht="12.75" customHeight="1" x14ac:dyDescent="0.2">
      <c r="A57818" s="258"/>
      <c r="Z57818" s="258"/>
    </row>
    <row r="57819" spans="1:26" ht="12.75" customHeight="1" x14ac:dyDescent="0.2">
      <c r="A57819" s="258"/>
      <c r="Z57819" s="258"/>
    </row>
    <row r="57820" spans="1:26" ht="12.75" customHeight="1" x14ac:dyDescent="0.2">
      <c r="A57820" s="258"/>
      <c r="Z57820" s="258"/>
    </row>
    <row r="57821" spans="1:26" ht="12.75" customHeight="1" x14ac:dyDescent="0.2">
      <c r="A57821" s="258"/>
      <c r="Z57821" s="258"/>
    </row>
    <row r="57822" spans="1:26" ht="12.75" customHeight="1" x14ac:dyDescent="0.2">
      <c r="A57822" s="258"/>
      <c r="Z57822" s="258"/>
    </row>
    <row r="57823" spans="1:26" ht="12.75" customHeight="1" x14ac:dyDescent="0.2">
      <c r="A57823" s="258"/>
      <c r="Z57823" s="258"/>
    </row>
    <row r="57824" spans="1:26" ht="12.75" customHeight="1" x14ac:dyDescent="0.2">
      <c r="A57824" s="258"/>
      <c r="Z57824" s="258"/>
    </row>
    <row r="57825" spans="1:26" ht="12.75" customHeight="1" x14ac:dyDescent="0.2">
      <c r="A57825" s="258"/>
      <c r="Z57825" s="258"/>
    </row>
    <row r="57826" spans="1:26" ht="12.75" customHeight="1" x14ac:dyDescent="0.2">
      <c r="A57826" s="258"/>
      <c r="Z57826" s="258"/>
    </row>
    <row r="57827" spans="1:26" ht="12.75" customHeight="1" x14ac:dyDescent="0.2">
      <c r="A57827" s="258"/>
      <c r="Z57827" s="258"/>
    </row>
    <row r="57828" spans="1:26" ht="12.75" customHeight="1" x14ac:dyDescent="0.2">
      <c r="A57828" s="258"/>
      <c r="Z57828" s="258"/>
    </row>
    <row r="57829" spans="1:26" ht="12.75" customHeight="1" x14ac:dyDescent="0.2">
      <c r="A57829" s="258"/>
      <c r="Z57829" s="258"/>
    </row>
    <row r="57830" spans="1:26" ht="12.75" customHeight="1" x14ac:dyDescent="0.2">
      <c r="A57830" s="258"/>
      <c r="Z57830" s="258"/>
    </row>
    <row r="57831" spans="1:26" ht="12.75" customHeight="1" x14ac:dyDescent="0.2">
      <c r="A57831" s="258"/>
      <c r="Z57831" s="258"/>
    </row>
    <row r="57832" spans="1:26" ht="12.75" customHeight="1" x14ac:dyDescent="0.2">
      <c r="A57832" s="258"/>
      <c r="Z57832" s="258"/>
    </row>
    <row r="57833" spans="1:26" ht="12.75" customHeight="1" x14ac:dyDescent="0.2">
      <c r="A57833" s="258"/>
      <c r="Z57833" s="258"/>
    </row>
    <row r="57834" spans="1:26" ht="12.75" customHeight="1" x14ac:dyDescent="0.2">
      <c r="A57834" s="258"/>
      <c r="Z57834" s="258"/>
    </row>
    <row r="57835" spans="1:26" ht="12.75" customHeight="1" x14ac:dyDescent="0.2">
      <c r="A57835" s="258"/>
      <c r="Z57835" s="258"/>
    </row>
    <row r="57836" spans="1:26" ht="12.75" customHeight="1" x14ac:dyDescent="0.2">
      <c r="A57836" s="258"/>
      <c r="Z57836" s="258"/>
    </row>
    <row r="57837" spans="1:26" ht="12.75" customHeight="1" x14ac:dyDescent="0.2">
      <c r="A57837" s="258"/>
      <c r="Z57837" s="258"/>
    </row>
    <row r="57838" spans="1:26" ht="12.75" customHeight="1" x14ac:dyDescent="0.2">
      <c r="A57838" s="258"/>
      <c r="Z57838" s="258"/>
    </row>
    <row r="57839" spans="1:26" ht="12.75" customHeight="1" x14ac:dyDescent="0.2">
      <c r="A57839" s="258"/>
      <c r="Z57839" s="258"/>
    </row>
    <row r="57840" spans="1:26" ht="12.75" customHeight="1" x14ac:dyDescent="0.2">
      <c r="A57840" s="258"/>
      <c r="Z57840" s="258"/>
    </row>
    <row r="57841" spans="1:26" ht="12.75" customHeight="1" x14ac:dyDescent="0.2">
      <c r="A57841" s="258"/>
      <c r="Z57841" s="258"/>
    </row>
    <row r="57842" spans="1:26" ht="12.75" customHeight="1" x14ac:dyDescent="0.2">
      <c r="A57842" s="258"/>
      <c r="Z57842" s="258"/>
    </row>
    <row r="57843" spans="1:26" ht="12.75" customHeight="1" x14ac:dyDescent="0.2">
      <c r="A57843" s="258"/>
      <c r="Z57843" s="258"/>
    </row>
    <row r="57844" spans="1:26" ht="12.75" customHeight="1" x14ac:dyDescent="0.2">
      <c r="A57844" s="258"/>
      <c r="Z57844" s="258"/>
    </row>
    <row r="57845" spans="1:26" ht="12.75" customHeight="1" x14ac:dyDescent="0.2">
      <c r="A57845" s="258"/>
      <c r="Z57845" s="258"/>
    </row>
    <row r="57846" spans="1:26" ht="12.75" customHeight="1" x14ac:dyDescent="0.2">
      <c r="A57846" s="258"/>
      <c r="Z57846" s="258"/>
    </row>
    <row r="57847" spans="1:26" ht="12.75" customHeight="1" x14ac:dyDescent="0.2">
      <c r="A57847" s="258"/>
      <c r="Z57847" s="258"/>
    </row>
    <row r="57848" spans="1:26" ht="12.75" customHeight="1" x14ac:dyDescent="0.2">
      <c r="A57848" s="258"/>
      <c r="Z57848" s="258"/>
    </row>
    <row r="57849" spans="1:26" ht="12.75" customHeight="1" x14ac:dyDescent="0.2">
      <c r="A57849" s="258"/>
      <c r="Z57849" s="258"/>
    </row>
    <row r="57850" spans="1:26" ht="12.75" customHeight="1" x14ac:dyDescent="0.2">
      <c r="A57850" s="258"/>
      <c r="Z57850" s="258"/>
    </row>
    <row r="57851" spans="1:26" ht="12.75" customHeight="1" x14ac:dyDescent="0.2">
      <c r="A57851" s="258"/>
      <c r="Z57851" s="258"/>
    </row>
    <row r="57852" spans="1:26" ht="12.75" customHeight="1" x14ac:dyDescent="0.2">
      <c r="A57852" s="258"/>
      <c r="Z57852" s="258"/>
    </row>
    <row r="57853" spans="1:26" ht="12.75" customHeight="1" x14ac:dyDescent="0.2">
      <c r="A57853" s="258"/>
      <c r="Z57853" s="258"/>
    </row>
    <row r="57854" spans="1:26" ht="12.75" customHeight="1" x14ac:dyDescent="0.2">
      <c r="A57854" s="258"/>
      <c r="Z57854" s="258"/>
    </row>
    <row r="57855" spans="1:26" ht="12.75" customHeight="1" x14ac:dyDescent="0.2">
      <c r="A57855" s="258"/>
      <c r="Z57855" s="258"/>
    </row>
    <row r="57856" spans="1:26" ht="12.75" customHeight="1" x14ac:dyDescent="0.2">
      <c r="A57856" s="258"/>
      <c r="Z57856" s="258"/>
    </row>
    <row r="57857" spans="1:26" ht="12.75" customHeight="1" x14ac:dyDescent="0.2">
      <c r="A57857" s="258"/>
      <c r="Z57857" s="258"/>
    </row>
    <row r="57858" spans="1:26" ht="12.75" customHeight="1" x14ac:dyDescent="0.2">
      <c r="A57858" s="258"/>
      <c r="Z57858" s="258"/>
    </row>
    <row r="57859" spans="1:26" ht="12.75" customHeight="1" x14ac:dyDescent="0.2">
      <c r="A57859" s="258"/>
      <c r="Z57859" s="258"/>
    </row>
    <row r="57860" spans="1:26" ht="12.75" customHeight="1" x14ac:dyDescent="0.2">
      <c r="A57860" s="258"/>
      <c r="Z57860" s="258"/>
    </row>
    <row r="57861" spans="1:26" ht="12.75" customHeight="1" x14ac:dyDescent="0.2">
      <c r="A57861" s="258"/>
      <c r="Z57861" s="258"/>
    </row>
    <row r="57862" spans="1:26" ht="12.75" customHeight="1" x14ac:dyDescent="0.2">
      <c r="A57862" s="258"/>
      <c r="Z57862" s="258"/>
    </row>
    <row r="57863" spans="1:26" ht="12.75" customHeight="1" x14ac:dyDescent="0.2">
      <c r="A57863" s="258"/>
      <c r="Z57863" s="258"/>
    </row>
    <row r="57864" spans="1:26" ht="12.75" customHeight="1" x14ac:dyDescent="0.2">
      <c r="A57864" s="258"/>
      <c r="Z57864" s="258"/>
    </row>
    <row r="57865" spans="1:26" ht="12.75" customHeight="1" x14ac:dyDescent="0.2">
      <c r="A57865" s="258"/>
      <c r="Z57865" s="258"/>
    </row>
    <row r="57866" spans="1:26" ht="12.75" customHeight="1" x14ac:dyDescent="0.2">
      <c r="A57866" s="258"/>
      <c r="Z57866" s="258"/>
    </row>
    <row r="57867" spans="1:26" ht="12.75" customHeight="1" x14ac:dyDescent="0.2">
      <c r="A57867" s="258"/>
      <c r="Z57867" s="258"/>
    </row>
    <row r="57868" spans="1:26" ht="12.75" customHeight="1" x14ac:dyDescent="0.2">
      <c r="A57868" s="258"/>
      <c r="Z57868" s="258"/>
    </row>
    <row r="57869" spans="1:26" ht="12.75" customHeight="1" x14ac:dyDescent="0.2">
      <c r="A57869" s="258"/>
      <c r="Z57869" s="258"/>
    </row>
    <row r="57870" spans="1:26" ht="12.75" customHeight="1" x14ac:dyDescent="0.2">
      <c r="A57870" s="258"/>
      <c r="Z57870" s="258"/>
    </row>
    <row r="57871" spans="1:26" ht="12.75" customHeight="1" x14ac:dyDescent="0.2">
      <c r="A57871" s="258"/>
      <c r="Z57871" s="258"/>
    </row>
    <row r="57872" spans="1:26" ht="12.75" customHeight="1" x14ac:dyDescent="0.2">
      <c r="A57872" s="258"/>
      <c r="Z57872" s="258"/>
    </row>
    <row r="57873" spans="1:26" ht="12.75" customHeight="1" x14ac:dyDescent="0.2">
      <c r="A57873" s="258"/>
      <c r="Z57873" s="258"/>
    </row>
    <row r="57874" spans="1:26" ht="12.75" customHeight="1" x14ac:dyDescent="0.2">
      <c r="A57874" s="258"/>
      <c r="Z57874" s="258"/>
    </row>
    <row r="57875" spans="1:26" ht="12.75" customHeight="1" x14ac:dyDescent="0.2">
      <c r="A57875" s="258"/>
      <c r="Z57875" s="258"/>
    </row>
    <row r="57876" spans="1:26" ht="12.75" customHeight="1" x14ac:dyDescent="0.2">
      <c r="A57876" s="258"/>
      <c r="Z57876" s="258"/>
    </row>
    <row r="57877" spans="1:26" ht="12.75" customHeight="1" x14ac:dyDescent="0.2">
      <c r="A57877" s="258"/>
      <c r="Z57877" s="258"/>
    </row>
    <row r="57878" spans="1:26" ht="12.75" customHeight="1" x14ac:dyDescent="0.2">
      <c r="A57878" s="258"/>
      <c r="Z57878" s="258"/>
    </row>
    <row r="57879" spans="1:26" ht="12.75" customHeight="1" x14ac:dyDescent="0.2">
      <c r="A57879" s="258"/>
      <c r="Z57879" s="258"/>
    </row>
    <row r="57880" spans="1:26" ht="12.75" customHeight="1" x14ac:dyDescent="0.2">
      <c r="A57880" s="258"/>
      <c r="Z57880" s="258"/>
    </row>
    <row r="57881" spans="1:26" ht="12.75" customHeight="1" x14ac:dyDescent="0.2">
      <c r="A57881" s="258"/>
      <c r="Z57881" s="258"/>
    </row>
    <row r="57882" spans="1:26" ht="12.75" customHeight="1" x14ac:dyDescent="0.2">
      <c r="A57882" s="258"/>
      <c r="Z57882" s="258"/>
    </row>
    <row r="57883" spans="1:26" ht="12.75" customHeight="1" x14ac:dyDescent="0.2">
      <c r="A57883" s="258"/>
      <c r="Z57883" s="258"/>
    </row>
    <row r="57884" spans="1:26" ht="12.75" customHeight="1" x14ac:dyDescent="0.2">
      <c r="A57884" s="258"/>
      <c r="Z57884" s="258"/>
    </row>
    <row r="57885" spans="1:26" ht="12.75" customHeight="1" x14ac:dyDescent="0.2">
      <c r="A57885" s="258"/>
      <c r="Z57885" s="258"/>
    </row>
    <row r="57886" spans="1:26" ht="12.75" customHeight="1" x14ac:dyDescent="0.2">
      <c r="A57886" s="258"/>
      <c r="Z57886" s="258"/>
    </row>
    <row r="57887" spans="1:26" ht="12.75" customHeight="1" x14ac:dyDescent="0.2">
      <c r="A57887" s="258"/>
      <c r="Z57887" s="258"/>
    </row>
    <row r="57888" spans="1:26" ht="12.75" customHeight="1" x14ac:dyDescent="0.2">
      <c r="A57888" s="258"/>
      <c r="Z57888" s="258"/>
    </row>
    <row r="57889" spans="1:26" ht="12.75" customHeight="1" x14ac:dyDescent="0.2">
      <c r="A57889" s="258"/>
      <c r="Z57889" s="258"/>
    </row>
    <row r="57890" spans="1:26" ht="12.75" customHeight="1" x14ac:dyDescent="0.2">
      <c r="A57890" s="258"/>
      <c r="Z57890" s="258"/>
    </row>
    <row r="57891" spans="1:26" ht="12.75" customHeight="1" x14ac:dyDescent="0.2">
      <c r="A57891" s="258"/>
      <c r="Z57891" s="258"/>
    </row>
    <row r="57892" spans="1:26" ht="12.75" customHeight="1" x14ac:dyDescent="0.2">
      <c r="A57892" s="258"/>
      <c r="Z57892" s="258"/>
    </row>
    <row r="57893" spans="1:26" ht="12.75" customHeight="1" x14ac:dyDescent="0.2">
      <c r="A57893" s="258"/>
      <c r="Z57893" s="258"/>
    </row>
    <row r="57894" spans="1:26" ht="12.75" customHeight="1" x14ac:dyDescent="0.2">
      <c r="A57894" s="258"/>
      <c r="Z57894" s="258"/>
    </row>
    <row r="57895" spans="1:26" ht="12.75" customHeight="1" x14ac:dyDescent="0.2">
      <c r="A57895" s="258"/>
      <c r="Z57895" s="258"/>
    </row>
    <row r="57896" spans="1:26" ht="12.75" customHeight="1" x14ac:dyDescent="0.2">
      <c r="A57896" s="258"/>
      <c r="Z57896" s="258"/>
    </row>
    <row r="57897" spans="1:26" ht="12.75" customHeight="1" x14ac:dyDescent="0.2">
      <c r="A57897" s="258"/>
      <c r="Z57897" s="258"/>
    </row>
    <row r="57898" spans="1:26" ht="12.75" customHeight="1" x14ac:dyDescent="0.2">
      <c r="A57898" s="258"/>
      <c r="Z57898" s="258"/>
    </row>
    <row r="57899" spans="1:26" ht="12.75" customHeight="1" x14ac:dyDescent="0.2">
      <c r="A57899" s="258"/>
      <c r="Z57899" s="258"/>
    </row>
    <row r="57900" spans="1:26" ht="12.75" customHeight="1" x14ac:dyDescent="0.2">
      <c r="A57900" s="258"/>
      <c r="Z57900" s="258"/>
    </row>
    <row r="57901" spans="1:26" ht="12.75" customHeight="1" x14ac:dyDescent="0.2">
      <c r="A57901" s="258"/>
      <c r="Z57901" s="258"/>
    </row>
    <row r="57902" spans="1:26" ht="12.75" customHeight="1" x14ac:dyDescent="0.2">
      <c r="A57902" s="258"/>
      <c r="Z57902" s="258"/>
    </row>
    <row r="57903" spans="1:26" ht="12.75" customHeight="1" x14ac:dyDescent="0.2">
      <c r="A57903" s="258"/>
      <c r="Z57903" s="258"/>
    </row>
    <row r="57904" spans="1:26" ht="12.75" customHeight="1" x14ac:dyDescent="0.2">
      <c r="A57904" s="258"/>
      <c r="Z57904" s="258"/>
    </row>
    <row r="57905" spans="1:26" ht="12.75" customHeight="1" x14ac:dyDescent="0.2">
      <c r="A57905" s="258"/>
      <c r="Z57905" s="258"/>
    </row>
    <row r="57906" spans="1:26" ht="12.75" customHeight="1" x14ac:dyDescent="0.2">
      <c r="A57906" s="258"/>
      <c r="Z57906" s="258"/>
    </row>
    <row r="57907" spans="1:26" ht="12.75" customHeight="1" x14ac:dyDescent="0.2">
      <c r="A57907" s="258"/>
      <c r="Z57907" s="258"/>
    </row>
    <row r="57908" spans="1:26" ht="12.75" customHeight="1" x14ac:dyDescent="0.2">
      <c r="A57908" s="258"/>
      <c r="Z57908" s="258"/>
    </row>
    <row r="57909" spans="1:26" ht="12.75" customHeight="1" x14ac:dyDescent="0.2">
      <c r="A57909" s="258"/>
      <c r="Z57909" s="258"/>
    </row>
    <row r="57910" spans="1:26" ht="12.75" customHeight="1" x14ac:dyDescent="0.2">
      <c r="A57910" s="258"/>
      <c r="Z57910" s="258"/>
    </row>
    <row r="57911" spans="1:26" ht="12.75" customHeight="1" x14ac:dyDescent="0.2">
      <c r="A57911" s="258"/>
      <c r="Z57911" s="258"/>
    </row>
    <row r="57912" spans="1:26" ht="12.75" customHeight="1" x14ac:dyDescent="0.2">
      <c r="A57912" s="258"/>
      <c r="Z57912" s="258"/>
    </row>
    <row r="57913" spans="1:26" ht="12.75" customHeight="1" x14ac:dyDescent="0.2">
      <c r="A57913" s="258"/>
      <c r="Z57913" s="258"/>
    </row>
    <row r="57914" spans="1:26" ht="12.75" customHeight="1" x14ac:dyDescent="0.2">
      <c r="A57914" s="258"/>
      <c r="Z57914" s="258"/>
    </row>
    <row r="57915" spans="1:26" ht="12.75" customHeight="1" x14ac:dyDescent="0.2">
      <c r="A57915" s="258"/>
      <c r="Z57915" s="258"/>
    </row>
    <row r="57916" spans="1:26" ht="12.75" customHeight="1" x14ac:dyDescent="0.2">
      <c r="A57916" s="258"/>
      <c r="Z57916" s="258"/>
    </row>
    <row r="57917" spans="1:26" ht="12.75" customHeight="1" x14ac:dyDescent="0.2">
      <c r="A57917" s="258"/>
      <c r="Z57917" s="258"/>
    </row>
    <row r="57918" spans="1:26" ht="12.75" customHeight="1" x14ac:dyDescent="0.2">
      <c r="A57918" s="258"/>
      <c r="Z57918" s="258"/>
    </row>
    <row r="57919" spans="1:26" ht="12.75" customHeight="1" x14ac:dyDescent="0.2">
      <c r="A57919" s="258"/>
      <c r="Z57919" s="258"/>
    </row>
    <row r="57920" spans="1:26" ht="12.75" customHeight="1" x14ac:dyDescent="0.2">
      <c r="A57920" s="258"/>
      <c r="Z57920" s="258"/>
    </row>
    <row r="57921" spans="1:26" ht="12.75" customHeight="1" x14ac:dyDescent="0.2">
      <c r="A57921" s="258"/>
      <c r="Z57921" s="258"/>
    </row>
    <row r="57922" spans="1:26" ht="12.75" customHeight="1" x14ac:dyDescent="0.2">
      <c r="A57922" s="258"/>
      <c r="Z57922" s="258"/>
    </row>
    <row r="57923" spans="1:26" ht="12.75" customHeight="1" x14ac:dyDescent="0.2">
      <c r="A57923" s="258"/>
      <c r="Z57923" s="258"/>
    </row>
    <row r="57924" spans="1:26" ht="12.75" customHeight="1" x14ac:dyDescent="0.2">
      <c r="A57924" s="258"/>
      <c r="Z57924" s="258"/>
    </row>
    <row r="57925" spans="1:26" ht="12.75" customHeight="1" x14ac:dyDescent="0.2">
      <c r="A57925" s="258"/>
      <c r="Z57925" s="258"/>
    </row>
    <row r="57926" spans="1:26" ht="12.75" customHeight="1" x14ac:dyDescent="0.2">
      <c r="A57926" s="258"/>
      <c r="Z57926" s="258"/>
    </row>
    <row r="57927" spans="1:26" ht="12.75" customHeight="1" x14ac:dyDescent="0.2">
      <c r="A57927" s="258"/>
      <c r="Z57927" s="258"/>
    </row>
    <row r="57928" spans="1:26" ht="12.75" customHeight="1" x14ac:dyDescent="0.2">
      <c r="A57928" s="258"/>
      <c r="Z57928" s="258"/>
    </row>
    <row r="57929" spans="1:26" ht="12.75" customHeight="1" x14ac:dyDescent="0.2">
      <c r="A57929" s="258"/>
      <c r="Z57929" s="258"/>
    </row>
    <row r="57930" spans="1:26" ht="12.75" customHeight="1" x14ac:dyDescent="0.2">
      <c r="A57930" s="258"/>
      <c r="Z57930" s="258"/>
    </row>
    <row r="57931" spans="1:26" ht="12.75" customHeight="1" x14ac:dyDescent="0.2">
      <c r="A57931" s="258"/>
      <c r="Z57931" s="258"/>
    </row>
    <row r="57932" spans="1:26" ht="12.75" customHeight="1" x14ac:dyDescent="0.2">
      <c r="A57932" s="258"/>
      <c r="Z57932" s="258"/>
    </row>
    <row r="57933" spans="1:26" ht="12.75" customHeight="1" x14ac:dyDescent="0.2">
      <c r="A57933" s="258"/>
      <c r="Z57933" s="258"/>
    </row>
    <row r="57934" spans="1:26" ht="12.75" customHeight="1" x14ac:dyDescent="0.2">
      <c r="A57934" s="258"/>
      <c r="Z57934" s="258"/>
    </row>
    <row r="57935" spans="1:26" ht="12.75" customHeight="1" x14ac:dyDescent="0.2">
      <c r="A57935" s="258"/>
      <c r="Z57935" s="258"/>
    </row>
    <row r="57936" spans="1:26" ht="12.75" customHeight="1" x14ac:dyDescent="0.2">
      <c r="A57936" s="258"/>
      <c r="Z57936" s="258"/>
    </row>
    <row r="57937" spans="1:26" ht="12.75" customHeight="1" x14ac:dyDescent="0.2">
      <c r="A57937" s="258"/>
      <c r="Z57937" s="258"/>
    </row>
    <row r="57938" spans="1:26" ht="12.75" customHeight="1" x14ac:dyDescent="0.2">
      <c r="A57938" s="258"/>
      <c r="Z57938" s="258"/>
    </row>
    <row r="57939" spans="1:26" ht="12.75" customHeight="1" x14ac:dyDescent="0.2">
      <c r="A57939" s="258"/>
      <c r="Z57939" s="258"/>
    </row>
    <row r="57940" spans="1:26" ht="12.75" customHeight="1" x14ac:dyDescent="0.2">
      <c r="A57940" s="258"/>
      <c r="Z57940" s="258"/>
    </row>
    <row r="57941" spans="1:26" ht="12.75" customHeight="1" x14ac:dyDescent="0.2">
      <c r="A57941" s="258"/>
      <c r="Z57941" s="258"/>
    </row>
    <row r="57942" spans="1:26" ht="12.75" customHeight="1" x14ac:dyDescent="0.2">
      <c r="A57942" s="258"/>
      <c r="Z57942" s="258"/>
    </row>
    <row r="57943" spans="1:26" ht="12.75" customHeight="1" x14ac:dyDescent="0.2">
      <c r="A57943" s="258"/>
      <c r="Z57943" s="258"/>
    </row>
    <row r="57944" spans="1:26" ht="12.75" customHeight="1" x14ac:dyDescent="0.2">
      <c r="A57944" s="258"/>
      <c r="Z57944" s="258"/>
    </row>
    <row r="57945" spans="1:26" ht="12.75" customHeight="1" x14ac:dyDescent="0.2">
      <c r="A57945" s="258"/>
      <c r="Z57945" s="258"/>
    </row>
    <row r="57946" spans="1:26" ht="12.75" customHeight="1" x14ac:dyDescent="0.2">
      <c r="A57946" s="258"/>
      <c r="Z57946" s="258"/>
    </row>
    <row r="57947" spans="1:26" ht="12.75" customHeight="1" x14ac:dyDescent="0.2">
      <c r="A57947" s="258"/>
      <c r="Z57947" s="258"/>
    </row>
    <row r="57948" spans="1:26" ht="12.75" customHeight="1" x14ac:dyDescent="0.2">
      <c r="A57948" s="258"/>
      <c r="Z57948" s="258"/>
    </row>
    <row r="57949" spans="1:26" ht="12.75" customHeight="1" x14ac:dyDescent="0.2">
      <c r="A57949" s="258"/>
      <c r="Z57949" s="258"/>
    </row>
    <row r="57950" spans="1:26" ht="12.75" customHeight="1" x14ac:dyDescent="0.2">
      <c r="A57950" s="258"/>
      <c r="Z57950" s="258"/>
    </row>
    <row r="57951" spans="1:26" ht="12.75" customHeight="1" x14ac:dyDescent="0.2">
      <c r="A57951" s="258"/>
      <c r="Z57951" s="258"/>
    </row>
    <row r="57952" spans="1:26" ht="12.75" customHeight="1" x14ac:dyDescent="0.2">
      <c r="A57952" s="258"/>
      <c r="Z57952" s="258"/>
    </row>
    <row r="57953" spans="1:26" ht="12.75" customHeight="1" x14ac:dyDescent="0.2">
      <c r="A57953" s="258"/>
      <c r="Z57953" s="258"/>
    </row>
    <row r="57954" spans="1:26" ht="12.75" customHeight="1" x14ac:dyDescent="0.2">
      <c r="A57954" s="258"/>
      <c r="Z57954" s="258"/>
    </row>
    <row r="57955" spans="1:26" ht="12.75" customHeight="1" x14ac:dyDescent="0.2">
      <c r="A57955" s="258"/>
      <c r="Z57955" s="258"/>
    </row>
    <row r="57956" spans="1:26" ht="12.75" customHeight="1" x14ac:dyDescent="0.2">
      <c r="A57956" s="258"/>
      <c r="Z57956" s="258"/>
    </row>
    <row r="57957" spans="1:26" ht="12.75" customHeight="1" x14ac:dyDescent="0.2">
      <c r="A57957" s="258"/>
      <c r="Z57957" s="258"/>
    </row>
    <row r="57958" spans="1:26" ht="12.75" customHeight="1" x14ac:dyDescent="0.2">
      <c r="A57958" s="258"/>
      <c r="Z57958" s="258"/>
    </row>
    <row r="57959" spans="1:26" ht="12.75" customHeight="1" x14ac:dyDescent="0.2">
      <c r="A57959" s="258"/>
      <c r="Z57959" s="258"/>
    </row>
    <row r="57960" spans="1:26" ht="12.75" customHeight="1" x14ac:dyDescent="0.2">
      <c r="A57960" s="258"/>
      <c r="Z57960" s="258"/>
    </row>
    <row r="57961" spans="1:26" ht="12.75" customHeight="1" x14ac:dyDescent="0.2">
      <c r="A57961" s="258"/>
      <c r="Z57961" s="258"/>
    </row>
    <row r="57962" spans="1:26" ht="12.75" customHeight="1" x14ac:dyDescent="0.2">
      <c r="A57962" s="258"/>
      <c r="Z57962" s="258"/>
    </row>
    <row r="57963" spans="1:26" ht="12.75" customHeight="1" x14ac:dyDescent="0.2">
      <c r="A57963" s="258"/>
      <c r="Z57963" s="258"/>
    </row>
    <row r="57964" spans="1:26" ht="12.75" customHeight="1" x14ac:dyDescent="0.2">
      <c r="A57964" s="258"/>
      <c r="Z57964" s="258"/>
    </row>
    <row r="57965" spans="1:26" ht="12.75" customHeight="1" x14ac:dyDescent="0.2">
      <c r="A57965" s="258"/>
      <c r="Z57965" s="258"/>
    </row>
    <row r="57966" spans="1:26" ht="12.75" customHeight="1" x14ac:dyDescent="0.2">
      <c r="A57966" s="258"/>
      <c r="Z57966" s="258"/>
    </row>
    <row r="57967" spans="1:26" ht="12.75" customHeight="1" x14ac:dyDescent="0.2">
      <c r="A57967" s="258"/>
      <c r="Z57967" s="258"/>
    </row>
    <row r="57968" spans="1:26" ht="12.75" customHeight="1" x14ac:dyDescent="0.2">
      <c r="A57968" s="258"/>
      <c r="Z57968" s="258"/>
    </row>
    <row r="57969" spans="1:26" ht="12.75" customHeight="1" x14ac:dyDescent="0.2">
      <c r="A57969" s="258"/>
      <c r="Z57969" s="258"/>
    </row>
    <row r="57970" spans="1:26" ht="12.75" customHeight="1" x14ac:dyDescent="0.2">
      <c r="A57970" s="258"/>
      <c r="Z57970" s="258"/>
    </row>
    <row r="57971" spans="1:26" ht="12.75" customHeight="1" x14ac:dyDescent="0.2">
      <c r="A57971" s="258"/>
      <c r="Z57971" s="258"/>
    </row>
    <row r="57972" spans="1:26" ht="12.75" customHeight="1" x14ac:dyDescent="0.2">
      <c r="A57972" s="258"/>
      <c r="Z57972" s="258"/>
    </row>
    <row r="57973" spans="1:26" ht="12.75" customHeight="1" x14ac:dyDescent="0.2">
      <c r="A57973" s="258"/>
      <c r="Z57973" s="258"/>
    </row>
    <row r="57974" spans="1:26" ht="12.75" customHeight="1" x14ac:dyDescent="0.2">
      <c r="A57974" s="258"/>
      <c r="Z57974" s="258"/>
    </row>
    <row r="57975" spans="1:26" ht="12.75" customHeight="1" x14ac:dyDescent="0.2">
      <c r="A57975" s="258"/>
      <c r="Z57975" s="258"/>
    </row>
    <row r="57976" spans="1:26" ht="12.75" customHeight="1" x14ac:dyDescent="0.2">
      <c r="A57976" s="258"/>
      <c r="Z57976" s="258"/>
    </row>
    <row r="57977" spans="1:26" ht="12.75" customHeight="1" x14ac:dyDescent="0.2">
      <c r="A57977" s="258"/>
      <c r="Z57977" s="258"/>
    </row>
    <row r="57978" spans="1:26" ht="12.75" customHeight="1" x14ac:dyDescent="0.2">
      <c r="A57978" s="258"/>
      <c r="Z57978" s="258"/>
    </row>
    <row r="57979" spans="1:26" ht="12.75" customHeight="1" x14ac:dyDescent="0.2">
      <c r="A57979" s="258"/>
      <c r="Z57979" s="258"/>
    </row>
    <row r="57980" spans="1:26" ht="12.75" customHeight="1" x14ac:dyDescent="0.2">
      <c r="A57980" s="258"/>
      <c r="Z57980" s="258"/>
    </row>
    <row r="57981" spans="1:26" ht="12.75" customHeight="1" x14ac:dyDescent="0.2">
      <c r="A57981" s="258"/>
      <c r="Z57981" s="258"/>
    </row>
    <row r="57982" spans="1:26" ht="12.75" customHeight="1" x14ac:dyDescent="0.2">
      <c r="A57982" s="258"/>
      <c r="Z57982" s="258"/>
    </row>
    <row r="57983" spans="1:26" ht="12.75" customHeight="1" x14ac:dyDescent="0.2">
      <c r="A57983" s="258"/>
      <c r="Z57983" s="258"/>
    </row>
    <row r="57984" spans="1:26" ht="12.75" customHeight="1" x14ac:dyDescent="0.2">
      <c r="A57984" s="258"/>
      <c r="Z57984" s="258"/>
    </row>
    <row r="57985" spans="1:26" ht="12.75" customHeight="1" x14ac:dyDescent="0.2">
      <c r="A57985" s="258"/>
      <c r="Z57985" s="258"/>
    </row>
    <row r="57986" spans="1:26" ht="12.75" customHeight="1" x14ac:dyDescent="0.2">
      <c r="A57986" s="258"/>
      <c r="Z57986" s="258"/>
    </row>
    <row r="57987" spans="1:26" ht="12.75" customHeight="1" x14ac:dyDescent="0.2">
      <c r="A57987" s="258"/>
      <c r="Z57987" s="258"/>
    </row>
    <row r="57988" spans="1:26" ht="12.75" customHeight="1" x14ac:dyDescent="0.2">
      <c r="A57988" s="258"/>
      <c r="Z57988" s="258"/>
    </row>
    <row r="57989" spans="1:26" ht="12.75" customHeight="1" x14ac:dyDescent="0.2">
      <c r="A57989" s="258"/>
      <c r="Z57989" s="258"/>
    </row>
    <row r="57990" spans="1:26" ht="12.75" customHeight="1" x14ac:dyDescent="0.2">
      <c r="A57990" s="258"/>
      <c r="Z57990" s="258"/>
    </row>
    <row r="57991" spans="1:26" ht="12.75" customHeight="1" x14ac:dyDescent="0.2">
      <c r="A57991" s="258"/>
      <c r="Z57991" s="258"/>
    </row>
    <row r="57992" spans="1:26" ht="12.75" customHeight="1" x14ac:dyDescent="0.2">
      <c r="A57992" s="258"/>
      <c r="Z57992" s="258"/>
    </row>
    <row r="57993" spans="1:26" ht="12.75" customHeight="1" x14ac:dyDescent="0.2">
      <c r="A57993" s="258"/>
      <c r="Z57993" s="258"/>
    </row>
    <row r="57994" spans="1:26" ht="12.75" customHeight="1" x14ac:dyDescent="0.2">
      <c r="A57994" s="258"/>
      <c r="Z57994" s="258"/>
    </row>
    <row r="57995" spans="1:26" ht="12.75" customHeight="1" x14ac:dyDescent="0.2">
      <c r="A57995" s="258"/>
      <c r="Z57995" s="258"/>
    </row>
    <row r="57996" spans="1:26" ht="12.75" customHeight="1" x14ac:dyDescent="0.2">
      <c r="A57996" s="258"/>
      <c r="Z57996" s="258"/>
    </row>
    <row r="57997" spans="1:26" ht="12.75" customHeight="1" x14ac:dyDescent="0.2">
      <c r="A57997" s="258"/>
      <c r="Z57997" s="258"/>
    </row>
    <row r="57998" spans="1:26" ht="12.75" customHeight="1" x14ac:dyDescent="0.2">
      <c r="A57998" s="258"/>
      <c r="Z57998" s="258"/>
    </row>
    <row r="57999" spans="1:26" ht="12.75" customHeight="1" x14ac:dyDescent="0.2">
      <c r="A57999" s="258"/>
      <c r="Z57999" s="258"/>
    </row>
    <row r="58000" spans="1:26" ht="12.75" customHeight="1" x14ac:dyDescent="0.2">
      <c r="A58000" s="258"/>
      <c r="Z58000" s="258"/>
    </row>
    <row r="58001" spans="1:26" ht="12.75" customHeight="1" x14ac:dyDescent="0.2">
      <c r="A58001" s="258"/>
      <c r="Z58001" s="258"/>
    </row>
    <row r="58002" spans="1:26" ht="12.75" customHeight="1" x14ac:dyDescent="0.2">
      <c r="A58002" s="258"/>
      <c r="Z58002" s="258"/>
    </row>
    <row r="58003" spans="1:26" ht="12.75" customHeight="1" x14ac:dyDescent="0.2">
      <c r="A58003" s="258"/>
      <c r="Z58003" s="258"/>
    </row>
    <row r="58004" spans="1:26" ht="12.75" customHeight="1" x14ac:dyDescent="0.2">
      <c r="A58004" s="258"/>
      <c r="Z58004" s="258"/>
    </row>
    <row r="58005" spans="1:26" ht="12.75" customHeight="1" x14ac:dyDescent="0.2">
      <c r="A58005" s="258"/>
      <c r="Z58005" s="258"/>
    </row>
    <row r="58006" spans="1:26" ht="12.75" customHeight="1" x14ac:dyDescent="0.2">
      <c r="A58006" s="258"/>
      <c r="Z58006" s="258"/>
    </row>
    <row r="58007" spans="1:26" ht="12.75" customHeight="1" x14ac:dyDescent="0.2">
      <c r="A58007" s="258"/>
      <c r="Z58007" s="258"/>
    </row>
    <row r="58008" spans="1:26" ht="12.75" customHeight="1" x14ac:dyDescent="0.2">
      <c r="A58008" s="258"/>
      <c r="Z58008" s="258"/>
    </row>
    <row r="58009" spans="1:26" ht="12.75" customHeight="1" x14ac:dyDescent="0.2">
      <c r="A58009" s="258"/>
      <c r="Z58009" s="258"/>
    </row>
    <row r="58010" spans="1:26" ht="12.75" customHeight="1" x14ac:dyDescent="0.2">
      <c r="A58010" s="258"/>
      <c r="Z58010" s="258"/>
    </row>
    <row r="58011" spans="1:26" ht="12.75" customHeight="1" x14ac:dyDescent="0.2">
      <c r="A58011" s="258"/>
      <c r="Z58011" s="258"/>
    </row>
    <row r="58012" spans="1:26" ht="12.75" customHeight="1" x14ac:dyDescent="0.2">
      <c r="A58012" s="258"/>
      <c r="Z58012" s="258"/>
    </row>
    <row r="58013" spans="1:26" ht="12.75" customHeight="1" x14ac:dyDescent="0.2">
      <c r="A58013" s="258"/>
      <c r="Z58013" s="258"/>
    </row>
    <row r="58014" spans="1:26" ht="12.75" customHeight="1" x14ac:dyDescent="0.2">
      <c r="A58014" s="258"/>
      <c r="Z58014" s="258"/>
    </row>
    <row r="58015" spans="1:26" ht="12.75" customHeight="1" x14ac:dyDescent="0.2">
      <c r="A58015" s="258"/>
      <c r="Z58015" s="258"/>
    </row>
    <row r="58016" spans="1:26" ht="12.75" customHeight="1" x14ac:dyDescent="0.2">
      <c r="A58016" s="258"/>
      <c r="Z58016" s="258"/>
    </row>
    <row r="58017" spans="1:26" ht="12.75" customHeight="1" x14ac:dyDescent="0.2">
      <c r="A58017" s="258"/>
      <c r="Z58017" s="258"/>
    </row>
    <row r="58018" spans="1:26" ht="12.75" customHeight="1" x14ac:dyDescent="0.2">
      <c r="A58018" s="258"/>
      <c r="Z58018" s="258"/>
    </row>
    <row r="58019" spans="1:26" ht="12.75" customHeight="1" x14ac:dyDescent="0.2">
      <c r="A58019" s="258"/>
      <c r="Z58019" s="258"/>
    </row>
    <row r="58020" spans="1:26" ht="12.75" customHeight="1" x14ac:dyDescent="0.2">
      <c r="A58020" s="258"/>
      <c r="Z58020" s="258"/>
    </row>
    <row r="58021" spans="1:26" ht="12.75" customHeight="1" x14ac:dyDescent="0.2">
      <c r="A58021" s="258"/>
      <c r="Z58021" s="258"/>
    </row>
    <row r="58022" spans="1:26" ht="12.75" customHeight="1" x14ac:dyDescent="0.2">
      <c r="A58022" s="258"/>
      <c r="Z58022" s="258"/>
    </row>
    <row r="58023" spans="1:26" ht="12.75" customHeight="1" x14ac:dyDescent="0.2">
      <c r="A58023" s="258"/>
      <c r="Z58023" s="258"/>
    </row>
    <row r="58024" spans="1:26" ht="12.75" customHeight="1" x14ac:dyDescent="0.2">
      <c r="A58024" s="258"/>
      <c r="Z58024" s="258"/>
    </row>
    <row r="58025" spans="1:26" ht="12.75" customHeight="1" x14ac:dyDescent="0.2">
      <c r="A58025" s="258"/>
      <c r="Z58025" s="258"/>
    </row>
    <row r="58026" spans="1:26" ht="12.75" customHeight="1" x14ac:dyDescent="0.2">
      <c r="A58026" s="258"/>
      <c r="Z58026" s="258"/>
    </row>
    <row r="58027" spans="1:26" ht="12.75" customHeight="1" x14ac:dyDescent="0.2">
      <c r="A58027" s="258"/>
      <c r="Z58027" s="258"/>
    </row>
    <row r="58028" spans="1:26" ht="12.75" customHeight="1" x14ac:dyDescent="0.2">
      <c r="A58028" s="258"/>
      <c r="Z58028" s="258"/>
    </row>
    <row r="58029" spans="1:26" ht="12.75" customHeight="1" x14ac:dyDescent="0.2">
      <c r="A58029" s="258"/>
      <c r="Z58029" s="258"/>
    </row>
    <row r="58030" spans="1:26" ht="12.75" customHeight="1" x14ac:dyDescent="0.2">
      <c r="A58030" s="258"/>
      <c r="Z58030" s="258"/>
    </row>
    <row r="58031" spans="1:26" ht="12.75" customHeight="1" x14ac:dyDescent="0.2">
      <c r="A58031" s="258"/>
      <c r="Z58031" s="258"/>
    </row>
    <row r="58032" spans="1:26" ht="12.75" customHeight="1" x14ac:dyDescent="0.2">
      <c r="A58032" s="258"/>
      <c r="Z58032" s="258"/>
    </row>
    <row r="58033" spans="1:26" ht="12.75" customHeight="1" x14ac:dyDescent="0.2">
      <c r="A58033" s="258"/>
      <c r="Z58033" s="258"/>
    </row>
    <row r="58034" spans="1:26" ht="12.75" customHeight="1" x14ac:dyDescent="0.2">
      <c r="A58034" s="258"/>
      <c r="Z58034" s="258"/>
    </row>
    <row r="58035" spans="1:26" ht="12.75" customHeight="1" x14ac:dyDescent="0.2">
      <c r="A58035" s="258"/>
      <c r="Z58035" s="258"/>
    </row>
    <row r="58036" spans="1:26" ht="12.75" customHeight="1" x14ac:dyDescent="0.2">
      <c r="A58036" s="258"/>
      <c r="Z58036" s="258"/>
    </row>
    <row r="58037" spans="1:26" ht="12.75" customHeight="1" x14ac:dyDescent="0.2">
      <c r="A58037" s="258"/>
      <c r="Z58037" s="258"/>
    </row>
    <row r="58038" spans="1:26" ht="12.75" customHeight="1" x14ac:dyDescent="0.2">
      <c r="A58038" s="258"/>
      <c r="Z58038" s="258"/>
    </row>
    <row r="58039" spans="1:26" ht="12.75" customHeight="1" x14ac:dyDescent="0.2">
      <c r="A58039" s="258"/>
      <c r="Z58039" s="258"/>
    </row>
    <row r="58040" spans="1:26" ht="12.75" customHeight="1" x14ac:dyDescent="0.2">
      <c r="A58040" s="258"/>
      <c r="Z58040" s="258"/>
    </row>
    <row r="58041" spans="1:26" ht="12.75" customHeight="1" x14ac:dyDescent="0.2">
      <c r="A58041" s="258"/>
      <c r="Z58041" s="258"/>
    </row>
    <row r="58042" spans="1:26" ht="12.75" customHeight="1" x14ac:dyDescent="0.2">
      <c r="A58042" s="258"/>
      <c r="Z58042" s="258"/>
    </row>
    <row r="58043" spans="1:26" ht="12.75" customHeight="1" x14ac:dyDescent="0.2">
      <c r="A58043" s="258"/>
      <c r="Z58043" s="258"/>
    </row>
    <row r="58044" spans="1:26" ht="12.75" customHeight="1" x14ac:dyDescent="0.2">
      <c r="A58044" s="258"/>
      <c r="Z58044" s="258"/>
    </row>
    <row r="58045" spans="1:26" ht="12.75" customHeight="1" x14ac:dyDescent="0.2">
      <c r="A58045" s="258"/>
      <c r="Z58045" s="258"/>
    </row>
    <row r="58046" spans="1:26" ht="12.75" customHeight="1" x14ac:dyDescent="0.2">
      <c r="A58046" s="258"/>
      <c r="Z58046" s="258"/>
    </row>
    <row r="58047" spans="1:26" ht="12.75" customHeight="1" x14ac:dyDescent="0.2">
      <c r="A58047" s="258"/>
      <c r="Z58047" s="258"/>
    </row>
    <row r="58048" spans="1:26" ht="12.75" customHeight="1" x14ac:dyDescent="0.2">
      <c r="A58048" s="258"/>
      <c r="Z58048" s="258"/>
    </row>
    <row r="58049" spans="1:26" ht="12.75" customHeight="1" x14ac:dyDescent="0.2">
      <c r="A58049" s="258"/>
      <c r="Z58049" s="258"/>
    </row>
    <row r="58050" spans="1:26" ht="12.75" customHeight="1" x14ac:dyDescent="0.2">
      <c r="A58050" s="258"/>
      <c r="Z58050" s="258"/>
    </row>
    <row r="58051" spans="1:26" ht="12.75" customHeight="1" x14ac:dyDescent="0.2">
      <c r="A58051" s="258"/>
      <c r="Z58051" s="258"/>
    </row>
    <row r="58052" spans="1:26" ht="12.75" customHeight="1" x14ac:dyDescent="0.2">
      <c r="A58052" s="258"/>
      <c r="Z58052" s="258"/>
    </row>
    <row r="58053" spans="1:26" ht="12.75" customHeight="1" x14ac:dyDescent="0.2">
      <c r="A58053" s="258"/>
      <c r="Z58053" s="258"/>
    </row>
    <row r="58054" spans="1:26" ht="12.75" customHeight="1" x14ac:dyDescent="0.2">
      <c r="A58054" s="258"/>
      <c r="Z58054" s="258"/>
    </row>
    <row r="58055" spans="1:26" ht="12.75" customHeight="1" x14ac:dyDescent="0.2">
      <c r="A58055" s="258"/>
      <c r="Z58055" s="258"/>
    </row>
    <row r="58056" spans="1:26" ht="12.75" customHeight="1" x14ac:dyDescent="0.2">
      <c r="A58056" s="258"/>
      <c r="Z58056" s="258"/>
    </row>
    <row r="58057" spans="1:26" ht="12.75" customHeight="1" x14ac:dyDescent="0.2">
      <c r="A58057" s="258"/>
      <c r="Z58057" s="258"/>
    </row>
    <row r="58058" spans="1:26" ht="12.75" customHeight="1" x14ac:dyDescent="0.2">
      <c r="A58058" s="258"/>
      <c r="Z58058" s="258"/>
    </row>
    <row r="58059" spans="1:26" ht="12.75" customHeight="1" x14ac:dyDescent="0.2">
      <c r="A58059" s="258"/>
      <c r="Z58059" s="258"/>
    </row>
    <row r="58060" spans="1:26" ht="12.75" customHeight="1" x14ac:dyDescent="0.2">
      <c r="A58060" s="258"/>
      <c r="Z58060" s="258"/>
    </row>
    <row r="58061" spans="1:26" ht="12.75" customHeight="1" x14ac:dyDescent="0.2">
      <c r="A58061" s="258"/>
      <c r="Z58061" s="258"/>
    </row>
    <row r="58062" spans="1:26" ht="12.75" customHeight="1" x14ac:dyDescent="0.2">
      <c r="A58062" s="258"/>
      <c r="Z58062" s="258"/>
    </row>
    <row r="58063" spans="1:26" ht="12.75" customHeight="1" x14ac:dyDescent="0.2">
      <c r="A58063" s="258"/>
      <c r="Z58063" s="258"/>
    </row>
    <row r="58064" spans="1:26" ht="12.75" customHeight="1" x14ac:dyDescent="0.2">
      <c r="A58064" s="258"/>
      <c r="Z58064" s="258"/>
    </row>
    <row r="58065" spans="1:26" ht="12.75" customHeight="1" x14ac:dyDescent="0.2">
      <c r="A58065" s="258"/>
      <c r="Z58065" s="258"/>
    </row>
    <row r="58066" spans="1:26" ht="12.75" customHeight="1" x14ac:dyDescent="0.2">
      <c r="A58066" s="258"/>
      <c r="Z58066" s="258"/>
    </row>
    <row r="58067" spans="1:26" ht="12.75" customHeight="1" x14ac:dyDescent="0.2">
      <c r="A58067" s="258"/>
      <c r="Z58067" s="258"/>
    </row>
    <row r="58068" spans="1:26" ht="12.75" customHeight="1" x14ac:dyDescent="0.2">
      <c r="A58068" s="258"/>
      <c r="Z58068" s="258"/>
    </row>
    <row r="58069" spans="1:26" ht="12.75" customHeight="1" x14ac:dyDescent="0.2">
      <c r="A58069" s="258"/>
      <c r="Z58069" s="258"/>
    </row>
    <row r="58070" spans="1:26" ht="12.75" customHeight="1" x14ac:dyDescent="0.2">
      <c r="A58070" s="258"/>
      <c r="Z58070" s="258"/>
    </row>
    <row r="58071" spans="1:26" ht="12.75" customHeight="1" x14ac:dyDescent="0.2">
      <c r="A58071" s="258"/>
      <c r="Z58071" s="258"/>
    </row>
    <row r="58072" spans="1:26" ht="12.75" customHeight="1" x14ac:dyDescent="0.2">
      <c r="A58072" s="258"/>
      <c r="Z58072" s="258"/>
    </row>
    <row r="58073" spans="1:26" ht="12.75" customHeight="1" x14ac:dyDescent="0.2">
      <c r="A58073" s="258"/>
      <c r="Z58073" s="258"/>
    </row>
    <row r="58074" spans="1:26" ht="12.75" customHeight="1" x14ac:dyDescent="0.2">
      <c r="A58074" s="258"/>
      <c r="Z58074" s="258"/>
    </row>
    <row r="58075" spans="1:26" ht="12.75" customHeight="1" x14ac:dyDescent="0.2">
      <c r="A58075" s="258"/>
      <c r="Z58075" s="258"/>
    </row>
    <row r="58076" spans="1:26" ht="12.75" customHeight="1" x14ac:dyDescent="0.2">
      <c r="A58076" s="258"/>
      <c r="Z58076" s="258"/>
    </row>
    <row r="58077" spans="1:26" ht="12.75" customHeight="1" x14ac:dyDescent="0.2">
      <c r="A58077" s="258"/>
      <c r="Z58077" s="258"/>
    </row>
    <row r="58078" spans="1:26" ht="12.75" customHeight="1" x14ac:dyDescent="0.2">
      <c r="A58078" s="258"/>
      <c r="Z58078" s="258"/>
    </row>
    <row r="58079" spans="1:26" ht="12.75" customHeight="1" x14ac:dyDescent="0.2">
      <c r="A58079" s="258"/>
      <c r="Z58079" s="258"/>
    </row>
    <row r="58080" spans="1:26" ht="12.75" customHeight="1" x14ac:dyDescent="0.2">
      <c r="A58080" s="258"/>
      <c r="Z58080" s="258"/>
    </row>
    <row r="58081" spans="1:26" ht="12.75" customHeight="1" x14ac:dyDescent="0.2">
      <c r="A58081" s="258"/>
      <c r="Z58081" s="258"/>
    </row>
    <row r="58082" spans="1:26" ht="12.75" customHeight="1" x14ac:dyDescent="0.2">
      <c r="A58082" s="258"/>
      <c r="Z58082" s="258"/>
    </row>
    <row r="58083" spans="1:26" ht="12.75" customHeight="1" x14ac:dyDescent="0.2">
      <c r="A58083" s="258"/>
      <c r="Z58083" s="258"/>
    </row>
    <row r="58084" spans="1:26" ht="12.75" customHeight="1" x14ac:dyDescent="0.2">
      <c r="A58084" s="258"/>
      <c r="Z58084" s="258"/>
    </row>
    <row r="58085" spans="1:26" ht="12.75" customHeight="1" x14ac:dyDescent="0.2">
      <c r="A58085" s="258"/>
      <c r="Z58085" s="258"/>
    </row>
    <row r="58086" spans="1:26" ht="12.75" customHeight="1" x14ac:dyDescent="0.2">
      <c r="A58086" s="258"/>
      <c r="Z58086" s="258"/>
    </row>
    <row r="58087" spans="1:26" ht="12.75" customHeight="1" x14ac:dyDescent="0.2">
      <c r="A58087" s="258"/>
      <c r="Z58087" s="258"/>
    </row>
    <row r="58088" spans="1:26" ht="12.75" customHeight="1" x14ac:dyDescent="0.2">
      <c r="A58088" s="258"/>
      <c r="Z58088" s="258"/>
    </row>
    <row r="58089" spans="1:26" ht="12.75" customHeight="1" x14ac:dyDescent="0.2">
      <c r="A58089" s="258"/>
      <c r="Z58089" s="258"/>
    </row>
    <row r="58090" spans="1:26" ht="12.75" customHeight="1" x14ac:dyDescent="0.2">
      <c r="A58090" s="258"/>
      <c r="Z58090" s="258"/>
    </row>
    <row r="58091" spans="1:26" ht="12.75" customHeight="1" x14ac:dyDescent="0.2">
      <c r="A58091" s="258"/>
      <c r="Z58091" s="258"/>
    </row>
    <row r="58092" spans="1:26" ht="12.75" customHeight="1" x14ac:dyDescent="0.2">
      <c r="A58092" s="258"/>
      <c r="Z58092" s="258"/>
    </row>
    <row r="58093" spans="1:26" ht="12.75" customHeight="1" x14ac:dyDescent="0.2">
      <c r="A58093" s="258"/>
      <c r="Z58093" s="258"/>
    </row>
    <row r="58094" spans="1:26" ht="12.75" customHeight="1" x14ac:dyDescent="0.2">
      <c r="A58094" s="258"/>
      <c r="Z58094" s="258"/>
    </row>
    <row r="58095" spans="1:26" ht="12.75" customHeight="1" x14ac:dyDescent="0.2">
      <c r="A58095" s="258"/>
      <c r="Z58095" s="258"/>
    </row>
    <row r="58096" spans="1:26" ht="12.75" customHeight="1" x14ac:dyDescent="0.2">
      <c r="A58096" s="258"/>
      <c r="Z58096" s="258"/>
    </row>
    <row r="58097" spans="1:26" ht="12.75" customHeight="1" x14ac:dyDescent="0.2">
      <c r="A58097" s="258"/>
      <c r="Z58097" s="258"/>
    </row>
    <row r="58098" spans="1:26" ht="12.75" customHeight="1" x14ac:dyDescent="0.2">
      <c r="A58098" s="258"/>
      <c r="Z58098" s="258"/>
    </row>
    <row r="58099" spans="1:26" ht="12.75" customHeight="1" x14ac:dyDescent="0.2">
      <c r="A58099" s="258"/>
      <c r="Z58099" s="258"/>
    </row>
    <row r="58100" spans="1:26" ht="12.75" customHeight="1" x14ac:dyDescent="0.2">
      <c r="A58100" s="258"/>
      <c r="Z58100" s="258"/>
    </row>
    <row r="58101" spans="1:26" ht="12.75" customHeight="1" x14ac:dyDescent="0.2">
      <c r="A58101" s="258"/>
      <c r="Z58101" s="258"/>
    </row>
    <row r="58102" spans="1:26" ht="12.75" customHeight="1" x14ac:dyDescent="0.2">
      <c r="A58102" s="258"/>
      <c r="Z58102" s="258"/>
    </row>
    <row r="58103" spans="1:26" ht="12.75" customHeight="1" x14ac:dyDescent="0.2">
      <c r="A58103" s="258"/>
      <c r="Z58103" s="258"/>
    </row>
    <row r="58104" spans="1:26" ht="12.75" customHeight="1" x14ac:dyDescent="0.2">
      <c r="A58104" s="258"/>
      <c r="Z58104" s="258"/>
    </row>
    <row r="58105" spans="1:26" ht="12.75" customHeight="1" x14ac:dyDescent="0.2">
      <c r="A58105" s="258"/>
      <c r="Z58105" s="258"/>
    </row>
    <row r="58106" spans="1:26" ht="12.75" customHeight="1" x14ac:dyDescent="0.2">
      <c r="A58106" s="258"/>
      <c r="Z58106" s="258"/>
    </row>
    <row r="58107" spans="1:26" ht="12.75" customHeight="1" x14ac:dyDescent="0.2">
      <c r="A58107" s="258"/>
      <c r="Z58107" s="258"/>
    </row>
    <row r="58108" spans="1:26" ht="12.75" customHeight="1" x14ac:dyDescent="0.2">
      <c r="A58108" s="258"/>
      <c r="Z58108" s="258"/>
    </row>
    <row r="58109" spans="1:26" ht="12.75" customHeight="1" x14ac:dyDescent="0.2">
      <c r="A58109" s="258"/>
      <c r="Z58109" s="258"/>
    </row>
    <row r="58110" spans="1:26" ht="12.75" customHeight="1" x14ac:dyDescent="0.2">
      <c r="A58110" s="258"/>
      <c r="Z58110" s="258"/>
    </row>
    <row r="58111" spans="1:26" ht="12.75" customHeight="1" x14ac:dyDescent="0.2">
      <c r="A58111" s="258"/>
      <c r="Z58111" s="258"/>
    </row>
    <row r="58112" spans="1:26" ht="12.75" customHeight="1" x14ac:dyDescent="0.2">
      <c r="A58112" s="258"/>
      <c r="Z58112" s="258"/>
    </row>
    <row r="58113" spans="1:26" ht="12.75" customHeight="1" x14ac:dyDescent="0.2">
      <c r="A58113" s="258"/>
      <c r="Z58113" s="258"/>
    </row>
    <row r="58114" spans="1:26" ht="12.75" customHeight="1" x14ac:dyDescent="0.2">
      <c r="A58114" s="258"/>
      <c r="Z58114" s="258"/>
    </row>
    <row r="58115" spans="1:26" ht="12.75" customHeight="1" x14ac:dyDescent="0.2">
      <c r="A58115" s="258"/>
      <c r="Z58115" s="258"/>
    </row>
    <row r="58116" spans="1:26" ht="12.75" customHeight="1" x14ac:dyDescent="0.2">
      <c r="A58116" s="258"/>
      <c r="Z58116" s="258"/>
    </row>
    <row r="58117" spans="1:26" ht="12.75" customHeight="1" x14ac:dyDescent="0.2">
      <c r="A58117" s="258"/>
      <c r="Z58117" s="258"/>
    </row>
    <row r="58118" spans="1:26" ht="12.75" customHeight="1" x14ac:dyDescent="0.2">
      <c r="A58118" s="258"/>
      <c r="Z58118" s="258"/>
    </row>
    <row r="58119" spans="1:26" ht="12.75" customHeight="1" x14ac:dyDescent="0.2">
      <c r="A58119" s="258"/>
      <c r="Z58119" s="258"/>
    </row>
    <row r="58120" spans="1:26" ht="12.75" customHeight="1" x14ac:dyDescent="0.2">
      <c r="A58120" s="258"/>
      <c r="Z58120" s="258"/>
    </row>
    <row r="58121" spans="1:26" ht="12.75" customHeight="1" x14ac:dyDescent="0.2">
      <c r="A58121" s="258"/>
      <c r="Z58121" s="258"/>
    </row>
    <row r="58122" spans="1:26" ht="12.75" customHeight="1" x14ac:dyDescent="0.2">
      <c r="A58122" s="258"/>
      <c r="Z58122" s="258"/>
    </row>
    <row r="58123" spans="1:26" ht="12.75" customHeight="1" x14ac:dyDescent="0.2">
      <c r="A58123" s="258"/>
      <c r="Z58123" s="258"/>
    </row>
    <row r="58124" spans="1:26" ht="12.75" customHeight="1" x14ac:dyDescent="0.2">
      <c r="A58124" s="258"/>
      <c r="Z58124" s="258"/>
    </row>
    <row r="58125" spans="1:26" ht="12.75" customHeight="1" x14ac:dyDescent="0.2">
      <c r="A58125" s="258"/>
      <c r="Z58125" s="258"/>
    </row>
    <row r="58126" spans="1:26" ht="12.75" customHeight="1" x14ac:dyDescent="0.2">
      <c r="A58126" s="258"/>
      <c r="Z58126" s="258"/>
    </row>
    <row r="58127" spans="1:26" ht="12.75" customHeight="1" x14ac:dyDescent="0.2">
      <c r="A58127" s="258"/>
      <c r="Z58127" s="258"/>
    </row>
    <row r="58128" spans="1:26" ht="12.75" customHeight="1" x14ac:dyDescent="0.2">
      <c r="A58128" s="258"/>
      <c r="Z58128" s="258"/>
    </row>
    <row r="58129" spans="1:26" ht="12.75" customHeight="1" x14ac:dyDescent="0.2">
      <c r="A58129" s="258"/>
      <c r="Z58129" s="258"/>
    </row>
    <row r="58130" spans="1:26" ht="12.75" customHeight="1" x14ac:dyDescent="0.2">
      <c r="A58130" s="258"/>
      <c r="Z58130" s="258"/>
    </row>
    <row r="58131" spans="1:26" ht="12.75" customHeight="1" x14ac:dyDescent="0.2">
      <c r="A58131" s="258"/>
      <c r="Z58131" s="258"/>
    </row>
    <row r="58132" spans="1:26" ht="12.75" customHeight="1" x14ac:dyDescent="0.2">
      <c r="A58132" s="258"/>
      <c r="Z58132" s="258"/>
    </row>
    <row r="58133" spans="1:26" ht="12.75" customHeight="1" x14ac:dyDescent="0.2">
      <c r="A58133" s="258"/>
      <c r="Z58133" s="258"/>
    </row>
    <row r="58134" spans="1:26" ht="12.75" customHeight="1" x14ac:dyDescent="0.2">
      <c r="A58134" s="258"/>
      <c r="Z58134" s="258"/>
    </row>
    <row r="58135" spans="1:26" ht="12.75" customHeight="1" x14ac:dyDescent="0.2">
      <c r="A58135" s="258"/>
      <c r="Z58135" s="258"/>
    </row>
    <row r="58136" spans="1:26" ht="12.75" customHeight="1" x14ac:dyDescent="0.2">
      <c r="A58136" s="258"/>
      <c r="Z58136" s="258"/>
    </row>
    <row r="58137" spans="1:26" ht="12.75" customHeight="1" x14ac:dyDescent="0.2">
      <c r="A58137" s="258"/>
      <c r="Z58137" s="258"/>
    </row>
    <row r="58138" spans="1:26" ht="12.75" customHeight="1" x14ac:dyDescent="0.2">
      <c r="A58138" s="258"/>
      <c r="Z58138" s="258"/>
    </row>
    <row r="58139" spans="1:26" ht="12.75" customHeight="1" x14ac:dyDescent="0.2">
      <c r="A58139" s="258"/>
      <c r="Z58139" s="258"/>
    </row>
    <row r="58140" spans="1:26" ht="12.75" customHeight="1" x14ac:dyDescent="0.2">
      <c r="A58140" s="258"/>
      <c r="Z58140" s="258"/>
    </row>
    <row r="58141" spans="1:26" ht="12.75" customHeight="1" x14ac:dyDescent="0.2">
      <c r="A58141" s="258"/>
      <c r="Z58141" s="258"/>
    </row>
    <row r="58142" spans="1:26" ht="12.75" customHeight="1" x14ac:dyDescent="0.2">
      <c r="A58142" s="258"/>
      <c r="Z58142" s="258"/>
    </row>
    <row r="58143" spans="1:26" ht="12.75" customHeight="1" x14ac:dyDescent="0.2">
      <c r="A58143" s="258"/>
      <c r="Z58143" s="258"/>
    </row>
    <row r="58144" spans="1:26" ht="12.75" customHeight="1" x14ac:dyDescent="0.2">
      <c r="A58144" s="258"/>
      <c r="Z58144" s="258"/>
    </row>
    <row r="58145" spans="1:26" ht="12.75" customHeight="1" x14ac:dyDescent="0.2">
      <c r="A58145" s="258"/>
      <c r="Z58145" s="258"/>
    </row>
    <row r="58146" spans="1:26" ht="12.75" customHeight="1" x14ac:dyDescent="0.2">
      <c r="A58146" s="258"/>
      <c r="Z58146" s="258"/>
    </row>
    <row r="58147" spans="1:26" ht="12.75" customHeight="1" x14ac:dyDescent="0.2">
      <c r="A58147" s="258"/>
      <c r="Z58147" s="258"/>
    </row>
    <row r="58148" spans="1:26" ht="12.75" customHeight="1" x14ac:dyDescent="0.2">
      <c r="A58148" s="258"/>
      <c r="Z58148" s="258"/>
    </row>
    <row r="58149" spans="1:26" ht="12.75" customHeight="1" x14ac:dyDescent="0.2">
      <c r="A58149" s="258"/>
      <c r="Z58149" s="258"/>
    </row>
    <row r="58150" spans="1:26" ht="12.75" customHeight="1" x14ac:dyDescent="0.2">
      <c r="A58150" s="258"/>
      <c r="Z58150" s="258"/>
    </row>
    <row r="58151" spans="1:26" ht="12.75" customHeight="1" x14ac:dyDescent="0.2">
      <c r="A58151" s="258"/>
      <c r="Z58151" s="258"/>
    </row>
    <row r="58152" spans="1:26" ht="12.75" customHeight="1" x14ac:dyDescent="0.2">
      <c r="A58152" s="258"/>
      <c r="Z58152" s="258"/>
    </row>
    <row r="58153" spans="1:26" ht="12.75" customHeight="1" x14ac:dyDescent="0.2">
      <c r="A58153" s="258"/>
      <c r="Z58153" s="258"/>
    </row>
    <row r="58154" spans="1:26" ht="12.75" customHeight="1" x14ac:dyDescent="0.2">
      <c r="A58154" s="258"/>
      <c r="Z58154" s="258"/>
    </row>
    <row r="58155" spans="1:26" ht="12.75" customHeight="1" x14ac:dyDescent="0.2">
      <c r="A58155" s="258"/>
      <c r="Z58155" s="258"/>
    </row>
    <row r="58156" spans="1:26" ht="12.75" customHeight="1" x14ac:dyDescent="0.2">
      <c r="A58156" s="258"/>
      <c r="Z58156" s="258"/>
    </row>
    <row r="58157" spans="1:26" ht="12.75" customHeight="1" x14ac:dyDescent="0.2">
      <c r="A58157" s="258"/>
      <c r="Z58157" s="258"/>
    </row>
    <row r="58158" spans="1:26" ht="12.75" customHeight="1" x14ac:dyDescent="0.2">
      <c r="A58158" s="258"/>
      <c r="Z58158" s="258"/>
    </row>
    <row r="58159" spans="1:26" ht="12.75" customHeight="1" x14ac:dyDescent="0.2">
      <c r="A58159" s="258"/>
      <c r="Z58159" s="258"/>
    </row>
    <row r="58160" spans="1:26" ht="12.75" customHeight="1" x14ac:dyDescent="0.2">
      <c r="A58160" s="258"/>
      <c r="Z58160" s="258"/>
    </row>
    <row r="58161" spans="1:26" ht="12.75" customHeight="1" x14ac:dyDescent="0.2">
      <c r="A58161" s="258"/>
      <c r="Z58161" s="258"/>
    </row>
    <row r="58162" spans="1:26" ht="12.75" customHeight="1" x14ac:dyDescent="0.2">
      <c r="A58162" s="258"/>
      <c r="Z58162" s="258"/>
    </row>
    <row r="58163" spans="1:26" ht="12.75" customHeight="1" x14ac:dyDescent="0.2">
      <c r="A58163" s="258"/>
      <c r="Z58163" s="258"/>
    </row>
    <row r="58164" spans="1:26" ht="12.75" customHeight="1" x14ac:dyDescent="0.2">
      <c r="A58164" s="258"/>
      <c r="Z58164" s="258"/>
    </row>
    <row r="58165" spans="1:26" ht="12.75" customHeight="1" x14ac:dyDescent="0.2">
      <c r="A58165" s="258"/>
      <c r="Z58165" s="258"/>
    </row>
    <row r="58166" spans="1:26" ht="12.75" customHeight="1" x14ac:dyDescent="0.2">
      <c r="A58166" s="258"/>
      <c r="Z58166" s="258"/>
    </row>
    <row r="58167" spans="1:26" ht="12.75" customHeight="1" x14ac:dyDescent="0.2">
      <c r="A58167" s="258"/>
      <c r="Z58167" s="258"/>
    </row>
    <row r="58168" spans="1:26" ht="12.75" customHeight="1" x14ac:dyDescent="0.2">
      <c r="A58168" s="258"/>
      <c r="Z58168" s="258"/>
    </row>
    <row r="58169" spans="1:26" ht="12.75" customHeight="1" x14ac:dyDescent="0.2">
      <c r="A58169" s="258"/>
      <c r="Z58169" s="258"/>
    </row>
    <row r="58170" spans="1:26" ht="12.75" customHeight="1" x14ac:dyDescent="0.2">
      <c r="A58170" s="258"/>
      <c r="Z58170" s="258"/>
    </row>
    <row r="58171" spans="1:26" ht="12.75" customHeight="1" x14ac:dyDescent="0.2">
      <c r="A58171" s="258"/>
      <c r="Z58171" s="258"/>
    </row>
    <row r="58172" spans="1:26" ht="12.75" customHeight="1" x14ac:dyDescent="0.2">
      <c r="A58172" s="258"/>
      <c r="Z58172" s="258"/>
    </row>
    <row r="58173" spans="1:26" ht="12.75" customHeight="1" x14ac:dyDescent="0.2">
      <c r="A58173" s="258"/>
      <c r="Z58173" s="258"/>
    </row>
    <row r="58174" spans="1:26" ht="12.75" customHeight="1" x14ac:dyDescent="0.2">
      <c r="A58174" s="258"/>
      <c r="Z58174" s="258"/>
    </row>
    <row r="58175" spans="1:26" ht="12.75" customHeight="1" x14ac:dyDescent="0.2">
      <c r="A58175" s="258"/>
      <c r="Z58175" s="258"/>
    </row>
    <row r="58176" spans="1:26" ht="12.75" customHeight="1" x14ac:dyDescent="0.2">
      <c r="A58176" s="258"/>
      <c r="Z58176" s="258"/>
    </row>
    <row r="58177" spans="1:26" ht="12.75" customHeight="1" x14ac:dyDescent="0.2">
      <c r="A58177" s="258"/>
      <c r="Z58177" s="258"/>
    </row>
    <row r="58178" spans="1:26" ht="12.75" customHeight="1" x14ac:dyDescent="0.2">
      <c r="A58178" s="258"/>
      <c r="Z58178" s="258"/>
    </row>
    <row r="58179" spans="1:26" ht="12.75" customHeight="1" x14ac:dyDescent="0.2">
      <c r="A58179" s="258"/>
      <c r="Z58179" s="258"/>
    </row>
    <row r="58180" spans="1:26" ht="12.75" customHeight="1" x14ac:dyDescent="0.2">
      <c r="A58180" s="258"/>
      <c r="Z58180" s="258"/>
    </row>
    <row r="58181" spans="1:26" ht="12.75" customHeight="1" x14ac:dyDescent="0.2">
      <c r="A58181" s="258"/>
      <c r="Z58181" s="258"/>
    </row>
    <row r="58182" spans="1:26" ht="12.75" customHeight="1" x14ac:dyDescent="0.2">
      <c r="A58182" s="258"/>
      <c r="Z58182" s="258"/>
    </row>
    <row r="58183" spans="1:26" ht="12.75" customHeight="1" x14ac:dyDescent="0.2">
      <c r="A58183" s="258"/>
      <c r="Z58183" s="258"/>
    </row>
    <row r="58184" spans="1:26" ht="12.75" customHeight="1" x14ac:dyDescent="0.2">
      <c r="A58184" s="258"/>
      <c r="Z58184" s="258"/>
    </row>
    <row r="58185" spans="1:26" ht="12.75" customHeight="1" x14ac:dyDescent="0.2">
      <c r="A58185" s="258"/>
      <c r="Z58185" s="258"/>
    </row>
    <row r="58186" spans="1:26" ht="12.75" customHeight="1" x14ac:dyDescent="0.2">
      <c r="A58186" s="258"/>
      <c r="Z58186" s="258"/>
    </row>
    <row r="58187" spans="1:26" ht="12.75" customHeight="1" x14ac:dyDescent="0.2">
      <c r="A58187" s="258"/>
      <c r="Z58187" s="258"/>
    </row>
    <row r="58188" spans="1:26" ht="12.75" customHeight="1" x14ac:dyDescent="0.2">
      <c r="A58188" s="258"/>
      <c r="Z58188" s="258"/>
    </row>
    <row r="58189" spans="1:26" ht="12.75" customHeight="1" x14ac:dyDescent="0.2">
      <c r="A58189" s="258"/>
      <c r="Z58189" s="258"/>
    </row>
    <row r="58190" spans="1:26" ht="12.75" customHeight="1" x14ac:dyDescent="0.2">
      <c r="A58190" s="258"/>
      <c r="Z58190" s="258"/>
    </row>
    <row r="58191" spans="1:26" ht="12.75" customHeight="1" x14ac:dyDescent="0.2">
      <c r="A58191" s="258"/>
      <c r="Z58191" s="258"/>
    </row>
    <row r="58192" spans="1:26" ht="12.75" customHeight="1" x14ac:dyDescent="0.2">
      <c r="A58192" s="258"/>
      <c r="Z58192" s="258"/>
    </row>
    <row r="58193" spans="1:26" ht="12.75" customHeight="1" x14ac:dyDescent="0.2">
      <c r="A58193" s="258"/>
      <c r="Z58193" s="258"/>
    </row>
    <row r="58194" spans="1:26" ht="12.75" customHeight="1" x14ac:dyDescent="0.2">
      <c r="A58194" s="258"/>
      <c r="Z58194" s="258"/>
    </row>
    <row r="58195" spans="1:26" ht="12.75" customHeight="1" x14ac:dyDescent="0.2">
      <c r="A58195" s="258"/>
      <c r="Z58195" s="258"/>
    </row>
    <row r="58196" spans="1:26" ht="12.75" customHeight="1" x14ac:dyDescent="0.2">
      <c r="A58196" s="258"/>
      <c r="Z58196" s="258"/>
    </row>
    <row r="58197" spans="1:26" ht="12.75" customHeight="1" x14ac:dyDescent="0.2">
      <c r="A58197" s="258"/>
      <c r="Z58197" s="258"/>
    </row>
    <row r="58198" spans="1:26" ht="12.75" customHeight="1" x14ac:dyDescent="0.2">
      <c r="A58198" s="258"/>
      <c r="Z58198" s="258"/>
    </row>
    <row r="58199" spans="1:26" ht="12.75" customHeight="1" x14ac:dyDescent="0.2">
      <c r="A58199" s="258"/>
      <c r="Z58199" s="258"/>
    </row>
    <row r="58200" spans="1:26" ht="12.75" customHeight="1" x14ac:dyDescent="0.2">
      <c r="A58200" s="258"/>
      <c r="Z58200" s="258"/>
    </row>
    <row r="58201" spans="1:26" ht="12.75" customHeight="1" x14ac:dyDescent="0.2">
      <c r="A58201" s="258"/>
      <c r="Z58201" s="258"/>
    </row>
    <row r="58202" spans="1:26" ht="12.75" customHeight="1" x14ac:dyDescent="0.2">
      <c r="A58202" s="258"/>
      <c r="Z58202" s="258"/>
    </row>
    <row r="58203" spans="1:26" ht="12.75" customHeight="1" x14ac:dyDescent="0.2">
      <c r="A58203" s="258"/>
      <c r="Z58203" s="258"/>
    </row>
    <row r="58204" spans="1:26" ht="12.75" customHeight="1" x14ac:dyDescent="0.2">
      <c r="A58204" s="258"/>
      <c r="Z58204" s="258"/>
    </row>
    <row r="58205" spans="1:26" ht="12.75" customHeight="1" x14ac:dyDescent="0.2">
      <c r="A58205" s="258"/>
      <c r="Z58205" s="258"/>
    </row>
    <row r="58206" spans="1:26" ht="12.75" customHeight="1" x14ac:dyDescent="0.2">
      <c r="A58206" s="258"/>
      <c r="Z58206" s="258"/>
    </row>
    <row r="58207" spans="1:26" ht="12.75" customHeight="1" x14ac:dyDescent="0.2">
      <c r="A58207" s="258"/>
      <c r="Z58207" s="258"/>
    </row>
    <row r="58208" spans="1:26" ht="12.75" customHeight="1" x14ac:dyDescent="0.2">
      <c r="A58208" s="258"/>
      <c r="Z58208" s="258"/>
    </row>
    <row r="58209" spans="1:26" ht="12.75" customHeight="1" x14ac:dyDescent="0.2">
      <c r="A58209" s="258"/>
      <c r="Z58209" s="258"/>
    </row>
    <row r="58210" spans="1:26" ht="12.75" customHeight="1" x14ac:dyDescent="0.2">
      <c r="A58210" s="258"/>
      <c r="Z58210" s="258"/>
    </row>
    <row r="58211" spans="1:26" ht="12.75" customHeight="1" x14ac:dyDescent="0.2">
      <c r="A58211" s="258"/>
      <c r="Z58211" s="258"/>
    </row>
    <row r="58212" spans="1:26" ht="12.75" customHeight="1" x14ac:dyDescent="0.2">
      <c r="A58212" s="258"/>
      <c r="Z58212" s="258"/>
    </row>
    <row r="58213" spans="1:26" ht="12.75" customHeight="1" x14ac:dyDescent="0.2">
      <c r="A58213" s="258"/>
      <c r="Z58213" s="258"/>
    </row>
    <row r="58214" spans="1:26" ht="12.75" customHeight="1" x14ac:dyDescent="0.2">
      <c r="A58214" s="258"/>
      <c r="Z58214" s="258"/>
    </row>
    <row r="58215" spans="1:26" ht="12.75" customHeight="1" x14ac:dyDescent="0.2">
      <c r="A58215" s="258"/>
      <c r="Z58215" s="258"/>
    </row>
    <row r="58216" spans="1:26" ht="12.75" customHeight="1" x14ac:dyDescent="0.2">
      <c r="A58216" s="258"/>
      <c r="Z58216" s="258"/>
    </row>
    <row r="58217" spans="1:26" ht="12.75" customHeight="1" x14ac:dyDescent="0.2">
      <c r="A58217" s="258"/>
      <c r="Z58217" s="258"/>
    </row>
    <row r="58218" spans="1:26" ht="12.75" customHeight="1" x14ac:dyDescent="0.2">
      <c r="A58218" s="258"/>
      <c r="Z58218" s="258"/>
    </row>
    <row r="58219" spans="1:26" ht="12.75" customHeight="1" x14ac:dyDescent="0.2">
      <c r="A58219" s="258"/>
      <c r="Z58219" s="258"/>
    </row>
    <row r="58220" spans="1:26" ht="12.75" customHeight="1" x14ac:dyDescent="0.2">
      <c r="A58220" s="258"/>
      <c r="Z58220" s="258"/>
    </row>
    <row r="58221" spans="1:26" ht="12.75" customHeight="1" x14ac:dyDescent="0.2">
      <c r="A58221" s="258"/>
      <c r="Z58221" s="258"/>
    </row>
    <row r="58222" spans="1:26" ht="12.75" customHeight="1" x14ac:dyDescent="0.2">
      <c r="A58222" s="258"/>
      <c r="Z58222" s="258"/>
    </row>
    <row r="58223" spans="1:26" ht="12.75" customHeight="1" x14ac:dyDescent="0.2">
      <c r="A58223" s="258"/>
      <c r="Z58223" s="258"/>
    </row>
    <row r="58224" spans="1:26" ht="12.75" customHeight="1" x14ac:dyDescent="0.2">
      <c r="A58224" s="258"/>
      <c r="Z58224" s="258"/>
    </row>
    <row r="58225" spans="1:26" ht="12.75" customHeight="1" x14ac:dyDescent="0.2">
      <c r="A58225" s="258"/>
      <c r="Z58225" s="258"/>
    </row>
    <row r="58226" spans="1:26" ht="12.75" customHeight="1" x14ac:dyDescent="0.2">
      <c r="A58226" s="258"/>
      <c r="Z58226" s="258"/>
    </row>
    <row r="58227" spans="1:26" ht="12.75" customHeight="1" x14ac:dyDescent="0.2">
      <c r="A58227" s="258"/>
      <c r="Z58227" s="258"/>
    </row>
    <row r="58228" spans="1:26" ht="12.75" customHeight="1" x14ac:dyDescent="0.2">
      <c r="A58228" s="258"/>
      <c r="Z58228" s="258"/>
    </row>
    <row r="58229" spans="1:26" ht="12.75" customHeight="1" x14ac:dyDescent="0.2">
      <c r="A58229" s="258"/>
      <c r="Z58229" s="258"/>
    </row>
    <row r="58230" spans="1:26" ht="12.75" customHeight="1" x14ac:dyDescent="0.2">
      <c r="A58230" s="258"/>
      <c r="Z58230" s="258"/>
    </row>
    <row r="58231" spans="1:26" ht="12.75" customHeight="1" x14ac:dyDescent="0.2">
      <c r="A58231" s="258"/>
      <c r="Z58231" s="258"/>
    </row>
    <row r="58232" spans="1:26" ht="12.75" customHeight="1" x14ac:dyDescent="0.2">
      <c r="A58232" s="258"/>
      <c r="Z58232" s="258"/>
    </row>
    <row r="58233" spans="1:26" ht="12.75" customHeight="1" x14ac:dyDescent="0.2">
      <c r="A58233" s="258"/>
      <c r="Z58233" s="258"/>
    </row>
    <row r="58234" spans="1:26" ht="12.75" customHeight="1" x14ac:dyDescent="0.2">
      <c r="A58234" s="258"/>
      <c r="Z58234" s="258"/>
    </row>
    <row r="58235" spans="1:26" ht="12.75" customHeight="1" x14ac:dyDescent="0.2">
      <c r="A58235" s="258"/>
      <c r="Z58235" s="258"/>
    </row>
    <row r="58236" spans="1:26" ht="12.75" customHeight="1" x14ac:dyDescent="0.2">
      <c r="A58236" s="258"/>
      <c r="Z58236" s="258"/>
    </row>
    <row r="58237" spans="1:26" ht="12.75" customHeight="1" x14ac:dyDescent="0.2">
      <c r="A58237" s="258"/>
      <c r="Z58237" s="258"/>
    </row>
    <row r="58238" spans="1:26" ht="12.75" customHeight="1" x14ac:dyDescent="0.2">
      <c r="A58238" s="258"/>
      <c r="Z58238" s="258"/>
    </row>
    <row r="58239" spans="1:26" ht="12.75" customHeight="1" x14ac:dyDescent="0.2">
      <c r="A58239" s="258"/>
      <c r="Z58239" s="258"/>
    </row>
    <row r="58240" spans="1:26" ht="12.75" customHeight="1" x14ac:dyDescent="0.2">
      <c r="A58240" s="258"/>
      <c r="Z58240" s="258"/>
    </row>
    <row r="58241" spans="1:26" ht="12.75" customHeight="1" x14ac:dyDescent="0.2">
      <c r="A58241" s="258"/>
      <c r="Z58241" s="258"/>
    </row>
    <row r="58242" spans="1:26" ht="12.75" customHeight="1" x14ac:dyDescent="0.2">
      <c r="A58242" s="258"/>
      <c r="Z58242" s="258"/>
    </row>
    <row r="58243" spans="1:26" ht="12.75" customHeight="1" x14ac:dyDescent="0.2">
      <c r="A58243" s="258"/>
      <c r="Z58243" s="258"/>
    </row>
    <row r="58244" spans="1:26" ht="12.75" customHeight="1" x14ac:dyDescent="0.2">
      <c r="A58244" s="258"/>
      <c r="Z58244" s="258"/>
    </row>
    <row r="58245" spans="1:26" ht="12.75" customHeight="1" x14ac:dyDescent="0.2">
      <c r="A58245" s="258"/>
      <c r="Z58245" s="258"/>
    </row>
    <row r="58246" spans="1:26" ht="12.75" customHeight="1" x14ac:dyDescent="0.2">
      <c r="A58246" s="258"/>
      <c r="Z58246" s="258"/>
    </row>
    <row r="58247" spans="1:26" ht="12.75" customHeight="1" x14ac:dyDescent="0.2">
      <c r="A58247" s="258"/>
      <c r="Z58247" s="258"/>
    </row>
    <row r="58248" spans="1:26" ht="12.75" customHeight="1" x14ac:dyDescent="0.2">
      <c r="A58248" s="258"/>
      <c r="Z58248" s="258"/>
    </row>
    <row r="58249" spans="1:26" ht="12.75" customHeight="1" x14ac:dyDescent="0.2">
      <c r="A58249" s="258"/>
      <c r="Z58249" s="258"/>
    </row>
    <row r="58250" spans="1:26" ht="12.75" customHeight="1" x14ac:dyDescent="0.2">
      <c r="A58250" s="258"/>
      <c r="Z58250" s="258"/>
    </row>
    <row r="58251" spans="1:26" ht="12.75" customHeight="1" x14ac:dyDescent="0.2">
      <c r="A58251" s="258"/>
      <c r="Z58251" s="258"/>
    </row>
    <row r="58252" spans="1:26" ht="12.75" customHeight="1" x14ac:dyDescent="0.2">
      <c r="A58252" s="258"/>
      <c r="Z58252" s="258"/>
    </row>
    <row r="58253" spans="1:26" ht="12.75" customHeight="1" x14ac:dyDescent="0.2">
      <c r="A58253" s="258"/>
      <c r="Z58253" s="258"/>
    </row>
    <row r="58254" spans="1:26" ht="12.75" customHeight="1" x14ac:dyDescent="0.2">
      <c r="A58254" s="258"/>
      <c r="Z58254" s="258"/>
    </row>
    <row r="58255" spans="1:26" ht="12.75" customHeight="1" x14ac:dyDescent="0.2">
      <c r="A58255" s="258"/>
      <c r="Z58255" s="258"/>
    </row>
    <row r="58256" spans="1:26" ht="12.75" customHeight="1" x14ac:dyDescent="0.2">
      <c r="A58256" s="258"/>
      <c r="Z58256" s="258"/>
    </row>
    <row r="58257" spans="1:26" ht="12.75" customHeight="1" x14ac:dyDescent="0.2">
      <c r="A58257" s="258"/>
      <c r="Z58257" s="258"/>
    </row>
    <row r="58258" spans="1:26" ht="12.75" customHeight="1" x14ac:dyDescent="0.2">
      <c r="A58258" s="258"/>
      <c r="Z58258" s="258"/>
    </row>
    <row r="58259" spans="1:26" ht="12.75" customHeight="1" x14ac:dyDescent="0.2">
      <c r="A58259" s="258"/>
      <c r="Z58259" s="258"/>
    </row>
    <row r="58260" spans="1:26" ht="12.75" customHeight="1" x14ac:dyDescent="0.2">
      <c r="A58260" s="258"/>
      <c r="Z58260" s="258"/>
    </row>
    <row r="58261" spans="1:26" ht="12.75" customHeight="1" x14ac:dyDescent="0.2">
      <c r="A58261" s="258"/>
      <c r="Z58261" s="258"/>
    </row>
    <row r="58262" spans="1:26" ht="12.75" customHeight="1" x14ac:dyDescent="0.2">
      <c r="A58262" s="258"/>
      <c r="Z58262" s="258"/>
    </row>
    <row r="58263" spans="1:26" ht="12.75" customHeight="1" x14ac:dyDescent="0.2">
      <c r="A58263" s="258"/>
      <c r="Z58263" s="258"/>
    </row>
    <row r="58264" spans="1:26" ht="12.75" customHeight="1" x14ac:dyDescent="0.2">
      <c r="A58264" s="258"/>
      <c r="Z58264" s="258"/>
    </row>
    <row r="58265" spans="1:26" ht="12.75" customHeight="1" x14ac:dyDescent="0.2">
      <c r="A58265" s="258"/>
      <c r="Z58265" s="258"/>
    </row>
    <row r="58266" spans="1:26" ht="12.75" customHeight="1" x14ac:dyDescent="0.2">
      <c r="A58266" s="258"/>
      <c r="Z58266" s="258"/>
    </row>
    <row r="58267" spans="1:26" ht="12.75" customHeight="1" x14ac:dyDescent="0.2">
      <c r="A58267" s="258"/>
      <c r="Z58267" s="258"/>
    </row>
    <row r="58268" spans="1:26" ht="12.75" customHeight="1" x14ac:dyDescent="0.2">
      <c r="A58268" s="258"/>
      <c r="Z58268" s="258"/>
    </row>
    <row r="58269" spans="1:26" ht="12.75" customHeight="1" x14ac:dyDescent="0.2">
      <c r="A58269" s="258"/>
      <c r="Z58269" s="258"/>
    </row>
    <row r="58270" spans="1:26" ht="12.75" customHeight="1" x14ac:dyDescent="0.2">
      <c r="A58270" s="258"/>
      <c r="Z58270" s="258"/>
    </row>
    <row r="58271" spans="1:26" ht="12.75" customHeight="1" x14ac:dyDescent="0.2">
      <c r="A58271" s="258"/>
      <c r="Z58271" s="258"/>
    </row>
    <row r="58272" spans="1:26" ht="12.75" customHeight="1" x14ac:dyDescent="0.2">
      <c r="A58272" s="258"/>
      <c r="Z58272" s="258"/>
    </row>
    <row r="58273" spans="1:26" ht="12.75" customHeight="1" x14ac:dyDescent="0.2">
      <c r="A58273" s="258"/>
      <c r="Z58273" s="258"/>
    </row>
    <row r="58274" spans="1:26" ht="12.75" customHeight="1" x14ac:dyDescent="0.2">
      <c r="A58274" s="258"/>
      <c r="Z58274" s="258"/>
    </row>
    <row r="58275" spans="1:26" ht="12.75" customHeight="1" x14ac:dyDescent="0.2">
      <c r="A58275" s="258"/>
      <c r="Z58275" s="258"/>
    </row>
    <row r="58276" spans="1:26" ht="12.75" customHeight="1" x14ac:dyDescent="0.2">
      <c r="A58276" s="258"/>
      <c r="Z58276" s="258"/>
    </row>
    <row r="58277" spans="1:26" ht="12.75" customHeight="1" x14ac:dyDescent="0.2">
      <c r="A58277" s="258"/>
      <c r="Z58277" s="258"/>
    </row>
    <row r="58278" spans="1:26" ht="12.75" customHeight="1" x14ac:dyDescent="0.2">
      <c r="A58278" s="258"/>
      <c r="Z58278" s="258"/>
    </row>
    <row r="58279" spans="1:26" ht="12.75" customHeight="1" x14ac:dyDescent="0.2">
      <c r="A58279" s="258"/>
      <c r="Z58279" s="258"/>
    </row>
    <row r="58280" spans="1:26" ht="12.75" customHeight="1" x14ac:dyDescent="0.2">
      <c r="A58280" s="258"/>
      <c r="Z58280" s="258"/>
    </row>
    <row r="58281" spans="1:26" ht="12.75" customHeight="1" x14ac:dyDescent="0.2">
      <c r="A58281" s="258"/>
      <c r="Z58281" s="258"/>
    </row>
    <row r="58282" spans="1:26" ht="12.75" customHeight="1" x14ac:dyDescent="0.2">
      <c r="A58282" s="258"/>
      <c r="Z58282" s="258"/>
    </row>
    <row r="58283" spans="1:26" ht="12.75" customHeight="1" x14ac:dyDescent="0.2">
      <c r="A58283" s="258"/>
      <c r="Z58283" s="258"/>
    </row>
    <row r="58284" spans="1:26" ht="12.75" customHeight="1" x14ac:dyDescent="0.2">
      <c r="A58284" s="258"/>
      <c r="Z58284" s="258"/>
    </row>
    <row r="58285" spans="1:26" ht="12.75" customHeight="1" x14ac:dyDescent="0.2">
      <c r="A58285" s="258"/>
      <c r="Z58285" s="258"/>
    </row>
    <row r="58286" spans="1:26" ht="12.75" customHeight="1" x14ac:dyDescent="0.2">
      <c r="A58286" s="258"/>
      <c r="Z58286" s="258"/>
    </row>
    <row r="58287" spans="1:26" ht="12.75" customHeight="1" x14ac:dyDescent="0.2">
      <c r="A58287" s="258"/>
      <c r="Z58287" s="258"/>
    </row>
    <row r="58288" spans="1:26" ht="12.75" customHeight="1" x14ac:dyDescent="0.2">
      <c r="A58288" s="258"/>
      <c r="Z58288" s="258"/>
    </row>
    <row r="58289" spans="1:26" ht="12.75" customHeight="1" x14ac:dyDescent="0.2">
      <c r="A58289" s="258"/>
      <c r="Z58289" s="258"/>
    </row>
    <row r="58290" spans="1:26" ht="12.75" customHeight="1" x14ac:dyDescent="0.2">
      <c r="A58290" s="258"/>
      <c r="Z58290" s="258"/>
    </row>
    <row r="58291" spans="1:26" ht="12.75" customHeight="1" x14ac:dyDescent="0.2">
      <c r="A58291" s="258"/>
      <c r="Z58291" s="258"/>
    </row>
    <row r="58292" spans="1:26" ht="12.75" customHeight="1" x14ac:dyDescent="0.2">
      <c r="A58292" s="258"/>
      <c r="Z58292" s="258"/>
    </row>
    <row r="58293" spans="1:26" ht="12.75" customHeight="1" x14ac:dyDescent="0.2">
      <c r="A58293" s="258"/>
      <c r="Z58293" s="258"/>
    </row>
    <row r="58294" spans="1:26" ht="12.75" customHeight="1" x14ac:dyDescent="0.2">
      <c r="A58294" s="258"/>
      <c r="Z58294" s="258"/>
    </row>
    <row r="58295" spans="1:26" ht="12.75" customHeight="1" x14ac:dyDescent="0.2">
      <c r="A58295" s="258"/>
      <c r="Z58295" s="258"/>
    </row>
    <row r="58296" spans="1:26" ht="12.75" customHeight="1" x14ac:dyDescent="0.2">
      <c r="A58296" s="258"/>
      <c r="Z58296" s="258"/>
    </row>
    <row r="58297" spans="1:26" ht="12.75" customHeight="1" x14ac:dyDescent="0.2">
      <c r="A58297" s="258"/>
      <c r="Z58297" s="258"/>
    </row>
    <row r="58298" spans="1:26" ht="12.75" customHeight="1" x14ac:dyDescent="0.2">
      <c r="A58298" s="258"/>
      <c r="Z58298" s="258"/>
    </row>
    <row r="58299" spans="1:26" ht="12.75" customHeight="1" x14ac:dyDescent="0.2">
      <c r="A58299" s="258"/>
      <c r="Z58299" s="258"/>
    </row>
    <row r="58300" spans="1:26" ht="12.75" customHeight="1" x14ac:dyDescent="0.2">
      <c r="A58300" s="258"/>
      <c r="Z58300" s="258"/>
    </row>
    <row r="58301" spans="1:26" ht="12.75" customHeight="1" x14ac:dyDescent="0.2">
      <c r="A58301" s="258"/>
      <c r="Z58301" s="258"/>
    </row>
    <row r="58302" spans="1:26" ht="12.75" customHeight="1" x14ac:dyDescent="0.2">
      <c r="A58302" s="258"/>
      <c r="Z58302" s="258"/>
    </row>
    <row r="58303" spans="1:26" ht="12.75" customHeight="1" x14ac:dyDescent="0.2">
      <c r="A58303" s="258"/>
      <c r="Z58303" s="258"/>
    </row>
    <row r="58304" spans="1:26" ht="12.75" customHeight="1" x14ac:dyDescent="0.2">
      <c r="A58304" s="258"/>
      <c r="Z58304" s="258"/>
    </row>
    <row r="58305" spans="1:26" ht="12.75" customHeight="1" x14ac:dyDescent="0.2">
      <c r="A58305" s="258"/>
      <c r="Z58305" s="258"/>
    </row>
    <row r="58306" spans="1:26" ht="12.75" customHeight="1" x14ac:dyDescent="0.2">
      <c r="A58306" s="258"/>
      <c r="Z58306" s="258"/>
    </row>
    <row r="58307" spans="1:26" ht="12.75" customHeight="1" x14ac:dyDescent="0.2">
      <c r="A58307" s="258"/>
      <c r="Z58307" s="258"/>
    </row>
    <row r="58308" spans="1:26" ht="12.75" customHeight="1" x14ac:dyDescent="0.2">
      <c r="A58308" s="258"/>
      <c r="Z58308" s="258"/>
    </row>
    <row r="58309" spans="1:26" ht="12.75" customHeight="1" x14ac:dyDescent="0.2">
      <c r="A58309" s="258"/>
      <c r="Z58309" s="258"/>
    </row>
    <row r="58310" spans="1:26" ht="12.75" customHeight="1" x14ac:dyDescent="0.2">
      <c r="A58310" s="258"/>
      <c r="Z58310" s="258"/>
    </row>
    <row r="58311" spans="1:26" ht="12.75" customHeight="1" x14ac:dyDescent="0.2">
      <c r="A58311" s="258"/>
      <c r="Z58311" s="258"/>
    </row>
    <row r="58312" spans="1:26" ht="12.75" customHeight="1" x14ac:dyDescent="0.2">
      <c r="A58312" s="258"/>
      <c r="Z58312" s="258"/>
    </row>
    <row r="58313" spans="1:26" ht="12.75" customHeight="1" x14ac:dyDescent="0.2">
      <c r="A58313" s="258"/>
      <c r="Z58313" s="258"/>
    </row>
    <row r="58314" spans="1:26" ht="12.75" customHeight="1" x14ac:dyDescent="0.2">
      <c r="A58314" s="258"/>
      <c r="Z58314" s="258"/>
    </row>
    <row r="58315" spans="1:26" ht="12.75" customHeight="1" x14ac:dyDescent="0.2">
      <c r="A58315" s="258"/>
      <c r="Z58315" s="258"/>
    </row>
    <row r="58316" spans="1:26" ht="12.75" customHeight="1" x14ac:dyDescent="0.2">
      <c r="A58316" s="258"/>
      <c r="Z58316" s="258"/>
    </row>
    <row r="58317" spans="1:26" ht="12.75" customHeight="1" x14ac:dyDescent="0.2">
      <c r="A58317" s="258"/>
      <c r="Z58317" s="258"/>
    </row>
    <row r="58318" spans="1:26" ht="12.75" customHeight="1" x14ac:dyDescent="0.2">
      <c r="A58318" s="258"/>
      <c r="Z58318" s="258"/>
    </row>
    <row r="58319" spans="1:26" ht="12.75" customHeight="1" x14ac:dyDescent="0.2">
      <c r="A58319" s="258"/>
      <c r="Z58319" s="258"/>
    </row>
    <row r="58320" spans="1:26" ht="12.75" customHeight="1" x14ac:dyDescent="0.2">
      <c r="A58320" s="258"/>
      <c r="Z58320" s="258"/>
    </row>
    <row r="58321" spans="1:26" ht="12.75" customHeight="1" x14ac:dyDescent="0.2">
      <c r="A58321" s="258"/>
      <c r="Z58321" s="258"/>
    </row>
    <row r="58322" spans="1:26" ht="12.75" customHeight="1" x14ac:dyDescent="0.2">
      <c r="A58322" s="258"/>
      <c r="Z58322" s="258"/>
    </row>
    <row r="58323" spans="1:26" ht="12.75" customHeight="1" x14ac:dyDescent="0.2">
      <c r="A58323" s="258"/>
      <c r="Z58323" s="258"/>
    </row>
    <row r="58324" spans="1:26" ht="12.75" customHeight="1" x14ac:dyDescent="0.2">
      <c r="A58324" s="258"/>
      <c r="Z58324" s="258"/>
    </row>
    <row r="58325" spans="1:26" ht="12.75" customHeight="1" x14ac:dyDescent="0.2">
      <c r="A58325" s="258"/>
      <c r="Z58325" s="258"/>
    </row>
    <row r="58326" spans="1:26" ht="12.75" customHeight="1" x14ac:dyDescent="0.2">
      <c r="A58326" s="258"/>
      <c r="Z58326" s="258"/>
    </row>
    <row r="58327" spans="1:26" ht="12.75" customHeight="1" x14ac:dyDescent="0.2">
      <c r="A58327" s="258"/>
      <c r="Z58327" s="258"/>
    </row>
    <row r="58328" spans="1:26" ht="12.75" customHeight="1" x14ac:dyDescent="0.2">
      <c r="A58328" s="258"/>
      <c r="Z58328" s="258"/>
    </row>
    <row r="58329" spans="1:26" ht="12.75" customHeight="1" x14ac:dyDescent="0.2">
      <c r="A58329" s="258"/>
      <c r="Z58329" s="258"/>
    </row>
    <row r="58330" spans="1:26" ht="12.75" customHeight="1" x14ac:dyDescent="0.2">
      <c r="A58330" s="258"/>
      <c r="Z58330" s="258"/>
    </row>
    <row r="58331" spans="1:26" ht="12.75" customHeight="1" x14ac:dyDescent="0.2">
      <c r="A58331" s="258"/>
      <c r="Z58331" s="258"/>
    </row>
    <row r="58332" spans="1:26" ht="12.75" customHeight="1" x14ac:dyDescent="0.2">
      <c r="A58332" s="258"/>
      <c r="Z58332" s="258"/>
    </row>
    <row r="58333" spans="1:26" ht="12.75" customHeight="1" x14ac:dyDescent="0.2">
      <c r="A58333" s="258"/>
      <c r="Z58333" s="258"/>
    </row>
    <row r="58334" spans="1:26" ht="12.75" customHeight="1" x14ac:dyDescent="0.2">
      <c r="A58334" s="258"/>
      <c r="Z58334" s="258"/>
    </row>
    <row r="58335" spans="1:26" ht="12.75" customHeight="1" x14ac:dyDescent="0.2">
      <c r="A58335" s="258"/>
      <c r="Z58335" s="258"/>
    </row>
    <row r="58336" spans="1:26" ht="12.75" customHeight="1" x14ac:dyDescent="0.2">
      <c r="A58336" s="258"/>
      <c r="Z58336" s="258"/>
    </row>
    <row r="58337" spans="1:26" ht="12.75" customHeight="1" x14ac:dyDescent="0.2">
      <c r="A58337" s="258"/>
      <c r="Z58337" s="258"/>
    </row>
    <row r="58338" spans="1:26" ht="12.75" customHeight="1" x14ac:dyDescent="0.2">
      <c r="A58338" s="258"/>
      <c r="Z58338" s="258"/>
    </row>
    <row r="58339" spans="1:26" ht="12.75" customHeight="1" x14ac:dyDescent="0.2">
      <c r="A58339" s="258"/>
      <c r="Z58339" s="258"/>
    </row>
    <row r="58340" spans="1:26" ht="12.75" customHeight="1" x14ac:dyDescent="0.2">
      <c r="A58340" s="258"/>
      <c r="Z58340" s="258"/>
    </row>
    <row r="58341" spans="1:26" ht="12.75" customHeight="1" x14ac:dyDescent="0.2">
      <c r="A58341" s="258"/>
      <c r="Z58341" s="258"/>
    </row>
    <row r="58342" spans="1:26" ht="12.75" customHeight="1" x14ac:dyDescent="0.2">
      <c r="A58342" s="258"/>
      <c r="Z58342" s="258"/>
    </row>
    <row r="58343" spans="1:26" ht="12.75" customHeight="1" x14ac:dyDescent="0.2">
      <c r="A58343" s="258"/>
      <c r="Z58343" s="258"/>
    </row>
    <row r="58344" spans="1:26" ht="12.75" customHeight="1" x14ac:dyDescent="0.2">
      <c r="A58344" s="258"/>
      <c r="Z58344" s="258"/>
    </row>
    <row r="58345" spans="1:26" ht="12.75" customHeight="1" x14ac:dyDescent="0.2">
      <c r="A58345" s="258"/>
      <c r="Z58345" s="258"/>
    </row>
    <row r="58346" spans="1:26" ht="12.75" customHeight="1" x14ac:dyDescent="0.2">
      <c r="A58346" s="258"/>
      <c r="Z58346" s="258"/>
    </row>
    <row r="58347" spans="1:26" ht="12.75" customHeight="1" x14ac:dyDescent="0.2">
      <c r="A58347" s="258"/>
      <c r="Z58347" s="258"/>
    </row>
    <row r="58348" spans="1:26" ht="12.75" customHeight="1" x14ac:dyDescent="0.2">
      <c r="A58348" s="258"/>
      <c r="Z58348" s="258"/>
    </row>
    <row r="58349" spans="1:26" ht="12.75" customHeight="1" x14ac:dyDescent="0.2">
      <c r="A58349" s="258"/>
      <c r="Z58349" s="258"/>
    </row>
    <row r="58350" spans="1:26" ht="12.75" customHeight="1" x14ac:dyDescent="0.2">
      <c r="A58350" s="258"/>
      <c r="Z58350" s="258"/>
    </row>
    <row r="58351" spans="1:26" ht="12.75" customHeight="1" x14ac:dyDescent="0.2">
      <c r="A58351" s="258"/>
      <c r="Z58351" s="258"/>
    </row>
    <row r="58352" spans="1:26" ht="12.75" customHeight="1" x14ac:dyDescent="0.2">
      <c r="A58352" s="258"/>
      <c r="Z58352" s="258"/>
    </row>
    <row r="58353" spans="1:26" ht="12.75" customHeight="1" x14ac:dyDescent="0.2">
      <c r="A58353" s="258"/>
      <c r="Z58353" s="258"/>
    </row>
    <row r="58354" spans="1:26" ht="12.75" customHeight="1" x14ac:dyDescent="0.2">
      <c r="A58354" s="258"/>
      <c r="Z58354" s="258"/>
    </row>
    <row r="58355" spans="1:26" ht="12.75" customHeight="1" x14ac:dyDescent="0.2">
      <c r="A58355" s="258"/>
      <c r="Z58355" s="258"/>
    </row>
    <row r="58356" spans="1:26" ht="12.75" customHeight="1" x14ac:dyDescent="0.2">
      <c r="A58356" s="258"/>
      <c r="Z58356" s="258"/>
    </row>
    <row r="58357" spans="1:26" ht="12.75" customHeight="1" x14ac:dyDescent="0.2">
      <c r="A58357" s="258"/>
      <c r="Z58357" s="258"/>
    </row>
    <row r="58358" spans="1:26" ht="12.75" customHeight="1" x14ac:dyDescent="0.2">
      <c r="A58358" s="258"/>
      <c r="Z58358" s="258"/>
    </row>
    <row r="58359" spans="1:26" ht="12.75" customHeight="1" x14ac:dyDescent="0.2">
      <c r="A58359" s="258"/>
      <c r="Z58359" s="258"/>
    </row>
    <row r="58360" spans="1:26" ht="12.75" customHeight="1" x14ac:dyDescent="0.2">
      <c r="A58360" s="258"/>
      <c r="Z58360" s="258"/>
    </row>
    <row r="58361" spans="1:26" ht="12.75" customHeight="1" x14ac:dyDescent="0.2">
      <c r="A58361" s="258"/>
      <c r="Z58361" s="258"/>
    </row>
    <row r="58362" spans="1:26" ht="12.75" customHeight="1" x14ac:dyDescent="0.2">
      <c r="A58362" s="258"/>
      <c r="Z58362" s="258"/>
    </row>
    <row r="58363" spans="1:26" ht="12.75" customHeight="1" x14ac:dyDescent="0.2">
      <c r="A58363" s="258"/>
      <c r="Z58363" s="258"/>
    </row>
    <row r="58364" spans="1:26" ht="12.75" customHeight="1" x14ac:dyDescent="0.2">
      <c r="A58364" s="258"/>
      <c r="Z58364" s="258"/>
    </row>
    <row r="58365" spans="1:26" ht="12.75" customHeight="1" x14ac:dyDescent="0.2">
      <c r="A58365" s="258"/>
      <c r="Z58365" s="258"/>
    </row>
    <row r="58366" spans="1:26" ht="12.75" customHeight="1" x14ac:dyDescent="0.2">
      <c r="A58366" s="258"/>
      <c r="Z58366" s="258"/>
    </row>
    <row r="58367" spans="1:26" ht="12.75" customHeight="1" x14ac:dyDescent="0.2">
      <c r="A58367" s="258"/>
      <c r="Z58367" s="258"/>
    </row>
    <row r="58368" spans="1:26" ht="12.75" customHeight="1" x14ac:dyDescent="0.2">
      <c r="A58368" s="258"/>
      <c r="Z58368" s="258"/>
    </row>
    <row r="58369" spans="1:26" ht="12.75" customHeight="1" x14ac:dyDescent="0.2">
      <c r="A58369" s="258"/>
      <c r="Z58369" s="258"/>
    </row>
    <row r="58370" spans="1:26" ht="12.75" customHeight="1" x14ac:dyDescent="0.2">
      <c r="A58370" s="258"/>
      <c r="Z58370" s="258"/>
    </row>
    <row r="58371" spans="1:26" ht="12.75" customHeight="1" x14ac:dyDescent="0.2">
      <c r="A58371" s="258"/>
      <c r="Z58371" s="258"/>
    </row>
    <row r="58372" spans="1:26" ht="12.75" customHeight="1" x14ac:dyDescent="0.2">
      <c r="A58372" s="258"/>
      <c r="Z58372" s="258"/>
    </row>
    <row r="58373" spans="1:26" ht="12.75" customHeight="1" x14ac:dyDescent="0.2">
      <c r="A58373" s="258"/>
      <c r="Z58373" s="258"/>
    </row>
    <row r="58374" spans="1:26" ht="12.75" customHeight="1" x14ac:dyDescent="0.2">
      <c r="A58374" s="258"/>
      <c r="Z58374" s="258"/>
    </row>
    <row r="58375" spans="1:26" ht="12.75" customHeight="1" x14ac:dyDescent="0.2">
      <c r="A58375" s="258"/>
      <c r="Z58375" s="258"/>
    </row>
    <row r="58376" spans="1:26" ht="12.75" customHeight="1" x14ac:dyDescent="0.2">
      <c r="A58376" s="258"/>
      <c r="Z58376" s="258"/>
    </row>
    <row r="58377" spans="1:26" ht="12.75" customHeight="1" x14ac:dyDescent="0.2">
      <c r="A58377" s="258"/>
      <c r="Z58377" s="258"/>
    </row>
    <row r="58378" spans="1:26" ht="12.75" customHeight="1" x14ac:dyDescent="0.2">
      <c r="A58378" s="258"/>
      <c r="Z58378" s="258"/>
    </row>
    <row r="58379" spans="1:26" ht="12.75" customHeight="1" x14ac:dyDescent="0.2">
      <c r="A58379" s="258"/>
      <c r="Z58379" s="258"/>
    </row>
    <row r="58380" spans="1:26" ht="12.75" customHeight="1" x14ac:dyDescent="0.2">
      <c r="A58380" s="258"/>
      <c r="Z58380" s="258"/>
    </row>
    <row r="58381" spans="1:26" ht="12.75" customHeight="1" x14ac:dyDescent="0.2">
      <c r="A58381" s="258"/>
      <c r="Z58381" s="258"/>
    </row>
    <row r="58382" spans="1:26" ht="12.75" customHeight="1" x14ac:dyDescent="0.2">
      <c r="A58382" s="258"/>
      <c r="Z58382" s="258"/>
    </row>
    <row r="58383" spans="1:26" ht="12.75" customHeight="1" x14ac:dyDescent="0.2">
      <c r="A58383" s="258"/>
      <c r="Z58383" s="258"/>
    </row>
    <row r="58384" spans="1:26" ht="12.75" customHeight="1" x14ac:dyDescent="0.2">
      <c r="A58384" s="258"/>
      <c r="Z58384" s="258"/>
    </row>
    <row r="58385" spans="1:26" ht="12.75" customHeight="1" x14ac:dyDescent="0.2">
      <c r="A58385" s="258"/>
      <c r="Z58385" s="258"/>
    </row>
    <row r="58386" spans="1:26" ht="12.75" customHeight="1" x14ac:dyDescent="0.2">
      <c r="A58386" s="258"/>
      <c r="Z58386" s="258"/>
    </row>
    <row r="58387" spans="1:26" ht="12.75" customHeight="1" x14ac:dyDescent="0.2">
      <c r="A58387" s="258"/>
      <c r="Z58387" s="258"/>
    </row>
    <row r="58388" spans="1:26" ht="12.75" customHeight="1" x14ac:dyDescent="0.2">
      <c r="A58388" s="258"/>
      <c r="Z58388" s="258"/>
    </row>
    <row r="58389" spans="1:26" ht="12.75" customHeight="1" x14ac:dyDescent="0.2">
      <c r="A58389" s="258"/>
      <c r="Z58389" s="258"/>
    </row>
    <row r="58390" spans="1:26" ht="12.75" customHeight="1" x14ac:dyDescent="0.2">
      <c r="A58390" s="258"/>
      <c r="Z58390" s="258"/>
    </row>
    <row r="58391" spans="1:26" ht="12.75" customHeight="1" x14ac:dyDescent="0.2">
      <c r="A58391" s="258"/>
      <c r="Z58391" s="258"/>
    </row>
    <row r="58392" spans="1:26" ht="12.75" customHeight="1" x14ac:dyDescent="0.2">
      <c r="A58392" s="258"/>
      <c r="Z58392" s="258"/>
    </row>
    <row r="58393" spans="1:26" ht="12.75" customHeight="1" x14ac:dyDescent="0.2">
      <c r="A58393" s="258"/>
      <c r="Z58393" s="258"/>
    </row>
    <row r="58394" spans="1:26" ht="12.75" customHeight="1" x14ac:dyDescent="0.2">
      <c r="A58394" s="258"/>
      <c r="Z58394" s="258"/>
    </row>
    <row r="58395" spans="1:26" ht="12.75" customHeight="1" x14ac:dyDescent="0.2">
      <c r="A58395" s="258"/>
      <c r="Z58395" s="258"/>
    </row>
    <row r="58396" spans="1:26" ht="12.75" customHeight="1" x14ac:dyDescent="0.2">
      <c r="A58396" s="258"/>
      <c r="Z58396" s="258"/>
    </row>
    <row r="58397" spans="1:26" ht="12.75" customHeight="1" x14ac:dyDescent="0.2">
      <c r="A58397" s="258"/>
      <c r="Z58397" s="258"/>
    </row>
    <row r="58398" spans="1:26" ht="12.75" customHeight="1" x14ac:dyDescent="0.2">
      <c r="A58398" s="258"/>
      <c r="Z58398" s="258"/>
    </row>
    <row r="58399" spans="1:26" ht="12.75" customHeight="1" x14ac:dyDescent="0.2">
      <c r="A58399" s="258"/>
      <c r="Z58399" s="258"/>
    </row>
    <row r="58400" spans="1:26" ht="12.75" customHeight="1" x14ac:dyDescent="0.2">
      <c r="A58400" s="258"/>
      <c r="Z58400" s="258"/>
    </row>
    <row r="58401" spans="1:26" ht="12.75" customHeight="1" x14ac:dyDescent="0.2">
      <c r="A58401" s="258"/>
      <c r="Z58401" s="258"/>
    </row>
    <row r="58402" spans="1:26" ht="12.75" customHeight="1" x14ac:dyDescent="0.2">
      <c r="A58402" s="258"/>
      <c r="Z58402" s="258"/>
    </row>
    <row r="58403" spans="1:26" ht="12.75" customHeight="1" x14ac:dyDescent="0.2">
      <c r="A58403" s="258"/>
      <c r="Z58403" s="258"/>
    </row>
    <row r="58404" spans="1:26" ht="12.75" customHeight="1" x14ac:dyDescent="0.2">
      <c r="A58404" s="258"/>
      <c r="Z58404" s="258"/>
    </row>
    <row r="58405" spans="1:26" ht="12.75" customHeight="1" x14ac:dyDescent="0.2">
      <c r="A58405" s="258"/>
      <c r="Z58405" s="258"/>
    </row>
    <row r="58406" spans="1:26" ht="12.75" customHeight="1" x14ac:dyDescent="0.2">
      <c r="A58406" s="258"/>
      <c r="Z58406" s="258"/>
    </row>
    <row r="58407" spans="1:26" ht="12.75" customHeight="1" x14ac:dyDescent="0.2">
      <c r="A58407" s="258"/>
      <c r="Z58407" s="258"/>
    </row>
    <row r="58408" spans="1:26" ht="12.75" customHeight="1" x14ac:dyDescent="0.2">
      <c r="A58408" s="258"/>
      <c r="Z58408" s="258"/>
    </row>
    <row r="58409" spans="1:26" ht="12.75" customHeight="1" x14ac:dyDescent="0.2">
      <c r="A58409" s="258"/>
      <c r="Z58409" s="258"/>
    </row>
    <row r="58410" spans="1:26" ht="12.75" customHeight="1" x14ac:dyDescent="0.2">
      <c r="A58410" s="258"/>
      <c r="Z58410" s="258"/>
    </row>
    <row r="58411" spans="1:26" ht="12.75" customHeight="1" x14ac:dyDescent="0.2">
      <c r="A58411" s="258"/>
      <c r="Z58411" s="258"/>
    </row>
    <row r="58412" spans="1:26" ht="12.75" customHeight="1" x14ac:dyDescent="0.2">
      <c r="A58412" s="258"/>
      <c r="Z58412" s="258"/>
    </row>
    <row r="58413" spans="1:26" ht="12.75" customHeight="1" x14ac:dyDescent="0.2">
      <c r="A58413" s="258"/>
      <c r="Z58413" s="258"/>
    </row>
    <row r="58414" spans="1:26" ht="12.75" customHeight="1" x14ac:dyDescent="0.2">
      <c r="A58414" s="258"/>
      <c r="Z58414" s="258"/>
    </row>
    <row r="58415" spans="1:26" ht="12.75" customHeight="1" x14ac:dyDescent="0.2">
      <c r="A58415" s="258"/>
      <c r="Z58415" s="258"/>
    </row>
    <row r="58416" spans="1:26" ht="12.75" customHeight="1" x14ac:dyDescent="0.2">
      <c r="A58416" s="258"/>
      <c r="Z58416" s="258"/>
    </row>
    <row r="58417" spans="1:26" ht="12.75" customHeight="1" x14ac:dyDescent="0.2">
      <c r="A58417" s="258"/>
      <c r="Z58417" s="258"/>
    </row>
    <row r="58418" spans="1:26" ht="12.75" customHeight="1" x14ac:dyDescent="0.2">
      <c r="A58418" s="258"/>
      <c r="Z58418" s="258"/>
    </row>
    <row r="58419" spans="1:26" ht="12.75" customHeight="1" x14ac:dyDescent="0.2">
      <c r="A58419" s="258"/>
      <c r="Z58419" s="258"/>
    </row>
    <row r="58420" spans="1:26" ht="12.75" customHeight="1" x14ac:dyDescent="0.2">
      <c r="A58420" s="258"/>
      <c r="Z58420" s="258"/>
    </row>
    <row r="58421" spans="1:26" ht="12.75" customHeight="1" x14ac:dyDescent="0.2">
      <c r="A58421" s="258"/>
      <c r="Z58421" s="258"/>
    </row>
    <row r="58422" spans="1:26" ht="12.75" customHeight="1" x14ac:dyDescent="0.2">
      <c r="A58422" s="258"/>
      <c r="Z58422" s="258"/>
    </row>
    <row r="58423" spans="1:26" ht="12.75" customHeight="1" x14ac:dyDescent="0.2">
      <c r="A58423" s="258"/>
      <c r="Z58423" s="258"/>
    </row>
    <row r="58424" spans="1:26" ht="12.75" customHeight="1" x14ac:dyDescent="0.2">
      <c r="A58424" s="258"/>
      <c r="Z58424" s="258"/>
    </row>
    <row r="58425" spans="1:26" ht="12.75" customHeight="1" x14ac:dyDescent="0.2">
      <c r="A58425" s="258"/>
      <c r="Z58425" s="258"/>
    </row>
    <row r="58426" spans="1:26" ht="12.75" customHeight="1" x14ac:dyDescent="0.2">
      <c r="A58426" s="258"/>
      <c r="Z58426" s="258"/>
    </row>
    <row r="58427" spans="1:26" ht="12.75" customHeight="1" x14ac:dyDescent="0.2">
      <c r="A58427" s="258"/>
      <c r="Z58427" s="258"/>
    </row>
    <row r="58428" spans="1:26" ht="12.75" customHeight="1" x14ac:dyDescent="0.2">
      <c r="A58428" s="258"/>
      <c r="Z58428" s="258"/>
    </row>
    <row r="58429" spans="1:26" ht="12.75" customHeight="1" x14ac:dyDescent="0.2">
      <c r="A58429" s="258"/>
      <c r="Z58429" s="258"/>
    </row>
    <row r="58430" spans="1:26" ht="12.75" customHeight="1" x14ac:dyDescent="0.2">
      <c r="A58430" s="258"/>
      <c r="Z58430" s="258"/>
    </row>
    <row r="58431" spans="1:26" ht="12.75" customHeight="1" x14ac:dyDescent="0.2">
      <c r="A58431" s="258"/>
      <c r="Z58431" s="258"/>
    </row>
    <row r="58432" spans="1:26" ht="12.75" customHeight="1" x14ac:dyDescent="0.2">
      <c r="A58432" s="258"/>
      <c r="Z58432" s="258"/>
    </row>
    <row r="58433" spans="1:26" ht="12.75" customHeight="1" x14ac:dyDescent="0.2">
      <c r="A58433" s="258"/>
      <c r="Z58433" s="258"/>
    </row>
    <row r="58434" spans="1:26" ht="12.75" customHeight="1" x14ac:dyDescent="0.2">
      <c r="A58434" s="258"/>
      <c r="Z58434" s="258"/>
    </row>
    <row r="58435" spans="1:26" ht="12.75" customHeight="1" x14ac:dyDescent="0.2">
      <c r="A58435" s="258"/>
      <c r="Z58435" s="258"/>
    </row>
    <row r="58436" spans="1:26" ht="12.75" customHeight="1" x14ac:dyDescent="0.2">
      <c r="A58436" s="258"/>
      <c r="Z58436" s="258"/>
    </row>
    <row r="58437" spans="1:26" ht="12.75" customHeight="1" x14ac:dyDescent="0.2">
      <c r="A58437" s="258"/>
      <c r="Z58437" s="258"/>
    </row>
    <row r="58438" spans="1:26" ht="12.75" customHeight="1" x14ac:dyDescent="0.2">
      <c r="A58438" s="258"/>
      <c r="Z58438" s="258"/>
    </row>
    <row r="58439" spans="1:26" ht="12.75" customHeight="1" x14ac:dyDescent="0.2">
      <c r="A58439" s="258"/>
      <c r="Z58439" s="258"/>
    </row>
    <row r="58440" spans="1:26" ht="12.75" customHeight="1" x14ac:dyDescent="0.2">
      <c r="A58440" s="258"/>
      <c r="Z58440" s="258"/>
    </row>
    <row r="58441" spans="1:26" ht="12.75" customHeight="1" x14ac:dyDescent="0.2">
      <c r="A58441" s="258"/>
      <c r="Z58441" s="258"/>
    </row>
    <row r="58442" spans="1:26" ht="12.75" customHeight="1" x14ac:dyDescent="0.2">
      <c r="A58442" s="258"/>
      <c r="Z58442" s="258"/>
    </row>
    <row r="58443" spans="1:26" ht="12.75" customHeight="1" x14ac:dyDescent="0.2">
      <c r="A58443" s="258"/>
      <c r="Z58443" s="258"/>
    </row>
    <row r="58444" spans="1:26" ht="12.75" customHeight="1" x14ac:dyDescent="0.2">
      <c r="A58444" s="258"/>
      <c r="Z58444" s="258"/>
    </row>
    <row r="58445" spans="1:26" ht="12.75" customHeight="1" x14ac:dyDescent="0.2">
      <c r="A58445" s="258"/>
      <c r="Z58445" s="258"/>
    </row>
    <row r="58446" spans="1:26" ht="12.75" customHeight="1" x14ac:dyDescent="0.2">
      <c r="A58446" s="258"/>
      <c r="Z58446" s="258"/>
    </row>
    <row r="58447" spans="1:26" ht="12.75" customHeight="1" x14ac:dyDescent="0.2">
      <c r="A58447" s="258"/>
      <c r="Z58447" s="258"/>
    </row>
    <row r="58448" spans="1:26" ht="12.75" customHeight="1" x14ac:dyDescent="0.2">
      <c r="A58448" s="258"/>
      <c r="Z58448" s="258"/>
    </row>
    <row r="58449" spans="1:26" ht="12.75" customHeight="1" x14ac:dyDescent="0.2">
      <c r="A58449" s="258"/>
      <c r="Z58449" s="258"/>
    </row>
    <row r="58450" spans="1:26" ht="12.75" customHeight="1" x14ac:dyDescent="0.2">
      <c r="A58450" s="258"/>
      <c r="Z58450" s="258"/>
    </row>
    <row r="58451" spans="1:26" ht="12.75" customHeight="1" x14ac:dyDescent="0.2">
      <c r="A58451" s="258"/>
      <c r="Z58451" s="258"/>
    </row>
    <row r="58452" spans="1:26" ht="12.75" customHeight="1" x14ac:dyDescent="0.2">
      <c r="A58452" s="258"/>
      <c r="Z58452" s="258"/>
    </row>
    <row r="58453" spans="1:26" ht="12.75" customHeight="1" x14ac:dyDescent="0.2">
      <c r="A58453" s="258"/>
      <c r="Z58453" s="258"/>
    </row>
    <row r="58454" spans="1:26" ht="12.75" customHeight="1" x14ac:dyDescent="0.2">
      <c r="A58454" s="258"/>
      <c r="Z58454" s="258"/>
    </row>
    <row r="58455" spans="1:26" ht="12.75" customHeight="1" x14ac:dyDescent="0.2">
      <c r="A58455" s="258"/>
      <c r="Z58455" s="258"/>
    </row>
    <row r="58456" spans="1:26" ht="12.75" customHeight="1" x14ac:dyDescent="0.2">
      <c r="A58456" s="258"/>
      <c r="Z58456" s="258"/>
    </row>
    <row r="58457" spans="1:26" ht="12.75" customHeight="1" x14ac:dyDescent="0.2">
      <c r="A58457" s="258"/>
      <c r="Z58457" s="258"/>
    </row>
    <row r="58458" spans="1:26" ht="12.75" customHeight="1" x14ac:dyDescent="0.2">
      <c r="A58458" s="258"/>
      <c r="Z58458" s="258"/>
    </row>
    <row r="58459" spans="1:26" ht="12.75" customHeight="1" x14ac:dyDescent="0.2">
      <c r="A58459" s="258"/>
      <c r="Z58459" s="258"/>
    </row>
    <row r="58460" spans="1:26" ht="12.75" customHeight="1" x14ac:dyDescent="0.2">
      <c r="A58460" s="258"/>
      <c r="Z58460" s="258"/>
    </row>
    <row r="58461" spans="1:26" ht="12.75" customHeight="1" x14ac:dyDescent="0.2">
      <c r="A58461" s="258"/>
      <c r="Z58461" s="258"/>
    </row>
    <row r="58462" spans="1:26" ht="12.75" customHeight="1" x14ac:dyDescent="0.2">
      <c r="A58462" s="258"/>
      <c r="Z58462" s="258"/>
    </row>
    <row r="58463" spans="1:26" ht="12.75" customHeight="1" x14ac:dyDescent="0.2">
      <c r="A58463" s="258"/>
      <c r="Z58463" s="258"/>
    </row>
    <row r="58464" spans="1:26" ht="12.75" customHeight="1" x14ac:dyDescent="0.2">
      <c r="A58464" s="258"/>
      <c r="Z58464" s="258"/>
    </row>
    <row r="58465" spans="1:26" ht="12.75" customHeight="1" x14ac:dyDescent="0.2">
      <c r="A58465" s="258"/>
      <c r="Z58465" s="258"/>
    </row>
    <row r="58466" spans="1:26" ht="12.75" customHeight="1" x14ac:dyDescent="0.2">
      <c r="A58466" s="258"/>
      <c r="Z58466" s="258"/>
    </row>
    <row r="58467" spans="1:26" ht="12.75" customHeight="1" x14ac:dyDescent="0.2">
      <c r="A58467" s="258"/>
      <c r="Z58467" s="258"/>
    </row>
    <row r="58468" spans="1:26" ht="12.75" customHeight="1" x14ac:dyDescent="0.2">
      <c r="A58468" s="258"/>
      <c r="Z58468" s="258"/>
    </row>
    <row r="58469" spans="1:26" ht="12.75" customHeight="1" x14ac:dyDescent="0.2">
      <c r="A58469" s="258"/>
      <c r="Z58469" s="258"/>
    </row>
    <row r="58470" spans="1:26" ht="12.75" customHeight="1" x14ac:dyDescent="0.2">
      <c r="A58470" s="258"/>
      <c r="Z58470" s="258"/>
    </row>
    <row r="58471" spans="1:26" ht="12.75" customHeight="1" x14ac:dyDescent="0.2">
      <c r="A58471" s="258"/>
      <c r="Z58471" s="258"/>
    </row>
    <row r="58472" spans="1:26" ht="12.75" customHeight="1" x14ac:dyDescent="0.2">
      <c r="A58472" s="258"/>
      <c r="Z58472" s="258"/>
    </row>
    <row r="58473" spans="1:26" ht="12.75" customHeight="1" x14ac:dyDescent="0.2">
      <c r="A58473" s="258"/>
      <c r="Z58473" s="258"/>
    </row>
    <row r="58474" spans="1:26" ht="12.75" customHeight="1" x14ac:dyDescent="0.2">
      <c r="A58474" s="258"/>
      <c r="Z58474" s="258"/>
    </row>
    <row r="58475" spans="1:26" ht="12.75" customHeight="1" x14ac:dyDescent="0.2">
      <c r="A58475" s="258"/>
      <c r="Z58475" s="258"/>
    </row>
    <row r="58476" spans="1:26" ht="12.75" customHeight="1" x14ac:dyDescent="0.2">
      <c r="A58476" s="258"/>
      <c r="Z58476" s="258"/>
    </row>
    <row r="58477" spans="1:26" ht="12.75" customHeight="1" x14ac:dyDescent="0.2">
      <c r="A58477" s="258"/>
      <c r="Z58477" s="258"/>
    </row>
    <row r="58478" spans="1:26" ht="12.75" customHeight="1" x14ac:dyDescent="0.2">
      <c r="A58478" s="258"/>
      <c r="Z58478" s="258"/>
    </row>
    <row r="58479" spans="1:26" ht="12.75" customHeight="1" x14ac:dyDescent="0.2">
      <c r="A58479" s="258"/>
      <c r="Z58479" s="258"/>
    </row>
    <row r="58480" spans="1:26" ht="12.75" customHeight="1" x14ac:dyDescent="0.2">
      <c r="A58480" s="258"/>
      <c r="Z58480" s="258"/>
    </row>
    <row r="58481" spans="1:26" ht="12.75" customHeight="1" x14ac:dyDescent="0.2">
      <c r="A58481" s="258"/>
      <c r="Z58481" s="258"/>
    </row>
    <row r="58482" spans="1:26" ht="12.75" customHeight="1" x14ac:dyDescent="0.2">
      <c r="A58482" s="258"/>
      <c r="Z58482" s="258"/>
    </row>
    <row r="58483" spans="1:26" ht="12.75" customHeight="1" x14ac:dyDescent="0.2">
      <c r="A58483" s="258"/>
      <c r="Z58483" s="258"/>
    </row>
    <row r="58484" spans="1:26" ht="12.75" customHeight="1" x14ac:dyDescent="0.2">
      <c r="A58484" s="258"/>
      <c r="Z58484" s="258"/>
    </row>
    <row r="58485" spans="1:26" ht="12.75" customHeight="1" x14ac:dyDescent="0.2">
      <c r="A58485" s="258"/>
      <c r="Z58485" s="258"/>
    </row>
    <row r="58486" spans="1:26" ht="12.75" customHeight="1" x14ac:dyDescent="0.2">
      <c r="A58486" s="258"/>
      <c r="Z58486" s="258"/>
    </row>
    <row r="58487" spans="1:26" ht="12.75" customHeight="1" x14ac:dyDescent="0.2">
      <c r="A58487" s="258"/>
      <c r="Z58487" s="258"/>
    </row>
    <row r="58488" spans="1:26" ht="12.75" customHeight="1" x14ac:dyDescent="0.2">
      <c r="A58488" s="258"/>
      <c r="Z58488" s="258"/>
    </row>
    <row r="58489" spans="1:26" ht="12.75" customHeight="1" x14ac:dyDescent="0.2">
      <c r="A58489" s="258"/>
      <c r="Z58489" s="258"/>
    </row>
    <row r="58490" spans="1:26" ht="12.75" customHeight="1" x14ac:dyDescent="0.2">
      <c r="A58490" s="258"/>
      <c r="Z58490" s="258"/>
    </row>
    <row r="58491" spans="1:26" ht="12.75" customHeight="1" x14ac:dyDescent="0.2">
      <c r="A58491" s="258"/>
      <c r="Z58491" s="258"/>
    </row>
    <row r="58492" spans="1:26" ht="12.75" customHeight="1" x14ac:dyDescent="0.2">
      <c r="A58492" s="258"/>
      <c r="Z58492" s="258"/>
    </row>
    <row r="58493" spans="1:26" ht="12.75" customHeight="1" x14ac:dyDescent="0.2">
      <c r="A58493" s="258"/>
      <c r="Z58493" s="258"/>
    </row>
    <row r="58494" spans="1:26" ht="12.75" customHeight="1" x14ac:dyDescent="0.2">
      <c r="A58494" s="258"/>
      <c r="Z58494" s="258"/>
    </row>
    <row r="58495" spans="1:26" ht="12.75" customHeight="1" x14ac:dyDescent="0.2">
      <c r="A58495" s="258"/>
      <c r="Z58495" s="258"/>
    </row>
    <row r="58496" spans="1:26" ht="12.75" customHeight="1" x14ac:dyDescent="0.2">
      <c r="A58496" s="258"/>
      <c r="Z58496" s="258"/>
    </row>
    <row r="58497" spans="1:26" ht="12.75" customHeight="1" x14ac:dyDescent="0.2">
      <c r="A58497" s="258"/>
      <c r="Z58497" s="258"/>
    </row>
    <row r="58498" spans="1:26" ht="12.75" customHeight="1" x14ac:dyDescent="0.2">
      <c r="A58498" s="258"/>
      <c r="Z58498" s="258"/>
    </row>
    <row r="58499" spans="1:26" ht="12.75" customHeight="1" x14ac:dyDescent="0.2">
      <c r="A58499" s="258"/>
      <c r="Z58499" s="258"/>
    </row>
    <row r="58500" spans="1:26" ht="12.75" customHeight="1" x14ac:dyDescent="0.2">
      <c r="A58500" s="258"/>
      <c r="Z58500" s="258"/>
    </row>
    <row r="58501" spans="1:26" ht="12.75" customHeight="1" x14ac:dyDescent="0.2">
      <c r="A58501" s="258"/>
      <c r="Z58501" s="258"/>
    </row>
    <row r="58502" spans="1:26" ht="12.75" customHeight="1" x14ac:dyDescent="0.2">
      <c r="A58502" s="258"/>
      <c r="Z58502" s="258"/>
    </row>
    <row r="58503" spans="1:26" ht="12.75" customHeight="1" x14ac:dyDescent="0.2">
      <c r="A58503" s="258"/>
      <c r="Z58503" s="258"/>
    </row>
    <row r="58504" spans="1:26" ht="12.75" customHeight="1" x14ac:dyDescent="0.2">
      <c r="A58504" s="258"/>
      <c r="Z58504" s="258"/>
    </row>
    <row r="58505" spans="1:26" ht="12.75" customHeight="1" x14ac:dyDescent="0.2">
      <c r="A58505" s="258"/>
      <c r="Z58505" s="258"/>
    </row>
    <row r="58506" spans="1:26" ht="12.75" customHeight="1" x14ac:dyDescent="0.2">
      <c r="A58506" s="258"/>
      <c r="Z58506" s="258"/>
    </row>
    <row r="58507" spans="1:26" ht="12.75" customHeight="1" x14ac:dyDescent="0.2">
      <c r="A58507" s="258"/>
      <c r="Z58507" s="258"/>
    </row>
    <row r="58508" spans="1:26" ht="12.75" customHeight="1" x14ac:dyDescent="0.2">
      <c r="A58508" s="258"/>
      <c r="Z58508" s="258"/>
    </row>
    <row r="58509" spans="1:26" ht="12.75" customHeight="1" x14ac:dyDescent="0.2">
      <c r="A58509" s="258"/>
      <c r="Z58509" s="258"/>
    </row>
    <row r="58510" spans="1:26" ht="12.75" customHeight="1" x14ac:dyDescent="0.2">
      <c r="A58510" s="258"/>
      <c r="Z58510" s="258"/>
    </row>
    <row r="58511" spans="1:26" ht="12.75" customHeight="1" x14ac:dyDescent="0.2">
      <c r="A58511" s="258"/>
      <c r="Z58511" s="258"/>
    </row>
    <row r="58512" spans="1:26" ht="12.75" customHeight="1" x14ac:dyDescent="0.2">
      <c r="A58512" s="258"/>
      <c r="Z58512" s="258"/>
    </row>
    <row r="58513" spans="1:26" ht="12.75" customHeight="1" x14ac:dyDescent="0.2">
      <c r="A58513" s="258"/>
      <c r="Z58513" s="258"/>
    </row>
    <row r="58514" spans="1:26" ht="12.75" customHeight="1" x14ac:dyDescent="0.2">
      <c r="A58514" s="258"/>
      <c r="Z58514" s="258"/>
    </row>
    <row r="58515" spans="1:26" ht="12.75" customHeight="1" x14ac:dyDescent="0.2">
      <c r="A58515" s="258"/>
      <c r="Z58515" s="258"/>
    </row>
    <row r="58516" spans="1:26" ht="12.75" customHeight="1" x14ac:dyDescent="0.2">
      <c r="A58516" s="258"/>
      <c r="Z58516" s="258"/>
    </row>
    <row r="58517" spans="1:26" ht="12.75" customHeight="1" x14ac:dyDescent="0.2">
      <c r="A58517" s="258"/>
      <c r="Z58517" s="258"/>
    </row>
    <row r="58518" spans="1:26" ht="12.75" customHeight="1" x14ac:dyDescent="0.2">
      <c r="A58518" s="258"/>
      <c r="Z58518" s="258"/>
    </row>
    <row r="58519" spans="1:26" ht="12.75" customHeight="1" x14ac:dyDescent="0.2">
      <c r="A58519" s="258"/>
      <c r="Z58519" s="258"/>
    </row>
    <row r="58520" spans="1:26" ht="12.75" customHeight="1" x14ac:dyDescent="0.2">
      <c r="A58520" s="258"/>
      <c r="Z58520" s="258"/>
    </row>
    <row r="58521" spans="1:26" ht="12.75" customHeight="1" x14ac:dyDescent="0.2">
      <c r="A58521" s="258"/>
      <c r="Z58521" s="258"/>
    </row>
    <row r="58522" spans="1:26" ht="12.75" customHeight="1" x14ac:dyDescent="0.2">
      <c r="A58522" s="258"/>
      <c r="Z58522" s="258"/>
    </row>
    <row r="58523" spans="1:26" ht="12.75" customHeight="1" x14ac:dyDescent="0.2">
      <c r="A58523" s="258"/>
      <c r="Z58523" s="258"/>
    </row>
    <row r="58524" spans="1:26" ht="12.75" customHeight="1" x14ac:dyDescent="0.2">
      <c r="A58524" s="258"/>
      <c r="Z58524" s="258"/>
    </row>
    <row r="58525" spans="1:26" ht="12.75" customHeight="1" x14ac:dyDescent="0.2">
      <c r="A58525" s="258"/>
      <c r="Z58525" s="258"/>
    </row>
    <row r="58526" spans="1:26" ht="12.75" customHeight="1" x14ac:dyDescent="0.2">
      <c r="A58526" s="258"/>
      <c r="Z58526" s="258"/>
    </row>
    <row r="58527" spans="1:26" ht="12.75" customHeight="1" x14ac:dyDescent="0.2">
      <c r="A58527" s="258"/>
      <c r="Z58527" s="258"/>
    </row>
    <row r="58528" spans="1:26" ht="12.75" customHeight="1" x14ac:dyDescent="0.2">
      <c r="A58528" s="258"/>
      <c r="Z58528" s="258"/>
    </row>
    <row r="58529" spans="1:26" ht="12.75" customHeight="1" x14ac:dyDescent="0.2">
      <c r="A58529" s="258"/>
      <c r="Z58529" s="258"/>
    </row>
    <row r="58530" spans="1:26" ht="12.75" customHeight="1" x14ac:dyDescent="0.2">
      <c r="A58530" s="258"/>
      <c r="Z58530" s="258"/>
    </row>
    <row r="58531" spans="1:26" ht="12.75" customHeight="1" x14ac:dyDescent="0.2">
      <c r="A58531" s="258"/>
      <c r="Z58531" s="258"/>
    </row>
    <row r="58532" spans="1:26" ht="12.75" customHeight="1" x14ac:dyDescent="0.2">
      <c r="A58532" s="258"/>
      <c r="Z58532" s="258"/>
    </row>
    <row r="58533" spans="1:26" ht="12.75" customHeight="1" x14ac:dyDescent="0.2">
      <c r="A58533" s="258"/>
      <c r="Z58533" s="258"/>
    </row>
    <row r="58534" spans="1:26" ht="12.75" customHeight="1" x14ac:dyDescent="0.2">
      <c r="A58534" s="258"/>
      <c r="Z58534" s="258"/>
    </row>
    <row r="58535" spans="1:26" ht="12.75" customHeight="1" x14ac:dyDescent="0.2">
      <c r="A58535" s="258"/>
      <c r="Z58535" s="258"/>
    </row>
    <row r="58536" spans="1:26" ht="12.75" customHeight="1" x14ac:dyDescent="0.2">
      <c r="A58536" s="258"/>
      <c r="Z58536" s="258"/>
    </row>
    <row r="58537" spans="1:26" ht="12.75" customHeight="1" x14ac:dyDescent="0.2">
      <c r="A58537" s="258"/>
      <c r="Z58537" s="258"/>
    </row>
    <row r="58538" spans="1:26" ht="12.75" customHeight="1" x14ac:dyDescent="0.2">
      <c r="A58538" s="258"/>
      <c r="Z58538" s="258"/>
    </row>
    <row r="58539" spans="1:26" ht="12.75" customHeight="1" x14ac:dyDescent="0.2">
      <c r="A58539" s="258"/>
      <c r="Z58539" s="258"/>
    </row>
    <row r="58540" spans="1:26" ht="12.75" customHeight="1" x14ac:dyDescent="0.2">
      <c r="A58540" s="258"/>
      <c r="Z58540" s="258"/>
    </row>
    <row r="58541" spans="1:26" ht="12.75" customHeight="1" x14ac:dyDescent="0.2">
      <c r="A58541" s="258"/>
      <c r="Z58541" s="258"/>
    </row>
    <row r="58542" spans="1:26" ht="12.75" customHeight="1" x14ac:dyDescent="0.2">
      <c r="A58542" s="258"/>
      <c r="Z58542" s="258"/>
    </row>
    <row r="58543" spans="1:26" ht="12.75" customHeight="1" x14ac:dyDescent="0.2">
      <c r="A58543" s="258"/>
      <c r="Z58543" s="258"/>
    </row>
    <row r="58544" spans="1:26" ht="12.75" customHeight="1" x14ac:dyDescent="0.2">
      <c r="A58544" s="258"/>
      <c r="Z58544" s="258"/>
    </row>
    <row r="58545" spans="1:26" ht="12.75" customHeight="1" x14ac:dyDescent="0.2">
      <c r="A58545" s="258"/>
      <c r="Z58545" s="258"/>
    </row>
    <row r="58546" spans="1:26" ht="12.75" customHeight="1" x14ac:dyDescent="0.2">
      <c r="A58546" s="258"/>
      <c r="Z58546" s="258"/>
    </row>
    <row r="58547" spans="1:26" ht="12.75" customHeight="1" x14ac:dyDescent="0.2">
      <c r="A58547" s="258"/>
      <c r="Z58547" s="258"/>
    </row>
    <row r="58548" spans="1:26" ht="12.75" customHeight="1" x14ac:dyDescent="0.2">
      <c r="A58548" s="258"/>
      <c r="Z58548" s="258"/>
    </row>
    <row r="58549" spans="1:26" ht="12.75" customHeight="1" x14ac:dyDescent="0.2">
      <c r="A58549" s="258"/>
      <c r="Z58549" s="258"/>
    </row>
    <row r="58550" spans="1:26" ht="12.75" customHeight="1" x14ac:dyDescent="0.2">
      <c r="A58550" s="258"/>
      <c r="Z58550" s="258"/>
    </row>
    <row r="58551" spans="1:26" ht="12.75" customHeight="1" x14ac:dyDescent="0.2">
      <c r="A58551" s="258"/>
      <c r="Z58551" s="258"/>
    </row>
    <row r="58552" spans="1:26" ht="12.75" customHeight="1" x14ac:dyDescent="0.2">
      <c r="A58552" s="258"/>
      <c r="Z58552" s="258"/>
    </row>
    <row r="58553" spans="1:26" ht="12.75" customHeight="1" x14ac:dyDescent="0.2">
      <c r="A58553" s="258"/>
      <c r="Z58553" s="258"/>
    </row>
    <row r="58554" spans="1:26" ht="12.75" customHeight="1" x14ac:dyDescent="0.2">
      <c r="A58554" s="258"/>
      <c r="Z58554" s="258"/>
    </row>
    <row r="58555" spans="1:26" ht="12.75" customHeight="1" x14ac:dyDescent="0.2">
      <c r="A58555" s="258"/>
      <c r="Z58555" s="258"/>
    </row>
    <row r="58556" spans="1:26" ht="12.75" customHeight="1" x14ac:dyDescent="0.2">
      <c r="A58556" s="258"/>
      <c r="Z58556" s="258"/>
    </row>
    <row r="58557" spans="1:26" ht="12.75" customHeight="1" x14ac:dyDescent="0.2">
      <c r="A58557" s="258"/>
      <c r="Z58557" s="258"/>
    </row>
    <row r="58558" spans="1:26" ht="12.75" customHeight="1" x14ac:dyDescent="0.2">
      <c r="A58558" s="258"/>
      <c r="Z58558" s="258"/>
    </row>
    <row r="58559" spans="1:26" ht="12.75" customHeight="1" x14ac:dyDescent="0.2">
      <c r="A58559" s="258"/>
      <c r="Z58559" s="258"/>
    </row>
    <row r="58560" spans="1:26" ht="12.75" customHeight="1" x14ac:dyDescent="0.2">
      <c r="A58560" s="258"/>
      <c r="Z58560" s="258"/>
    </row>
    <row r="58561" spans="1:26" ht="12.75" customHeight="1" x14ac:dyDescent="0.2">
      <c r="A58561" s="258"/>
      <c r="Z58561" s="258"/>
    </row>
    <row r="58562" spans="1:26" ht="12.75" customHeight="1" x14ac:dyDescent="0.2">
      <c r="A58562" s="258"/>
      <c r="Z58562" s="258"/>
    </row>
    <row r="58563" spans="1:26" ht="12.75" customHeight="1" x14ac:dyDescent="0.2">
      <c r="A58563" s="258"/>
      <c r="Z58563" s="258"/>
    </row>
    <row r="58564" spans="1:26" ht="12.75" customHeight="1" x14ac:dyDescent="0.2">
      <c r="A58564" s="258"/>
      <c r="Z58564" s="258"/>
    </row>
    <row r="58565" spans="1:26" ht="12.75" customHeight="1" x14ac:dyDescent="0.2">
      <c r="A58565" s="258"/>
      <c r="Z58565" s="258"/>
    </row>
    <row r="58566" spans="1:26" ht="12.75" customHeight="1" x14ac:dyDescent="0.2">
      <c r="A58566" s="258"/>
      <c r="Z58566" s="258"/>
    </row>
    <row r="58567" spans="1:26" ht="12.75" customHeight="1" x14ac:dyDescent="0.2">
      <c r="A58567" s="258"/>
      <c r="Z58567" s="258"/>
    </row>
    <row r="58568" spans="1:26" ht="12.75" customHeight="1" x14ac:dyDescent="0.2">
      <c r="A58568" s="258"/>
      <c r="Z58568" s="258"/>
    </row>
    <row r="58569" spans="1:26" ht="12.75" customHeight="1" x14ac:dyDescent="0.2">
      <c r="A58569" s="258"/>
      <c r="Z58569" s="258"/>
    </row>
    <row r="58570" spans="1:26" ht="12.75" customHeight="1" x14ac:dyDescent="0.2">
      <c r="A58570" s="258"/>
      <c r="Z58570" s="258"/>
    </row>
    <row r="58571" spans="1:26" ht="12.75" customHeight="1" x14ac:dyDescent="0.2">
      <c r="A58571" s="258"/>
      <c r="Z58571" s="258"/>
    </row>
    <row r="58572" spans="1:26" ht="12.75" customHeight="1" x14ac:dyDescent="0.2">
      <c r="A58572" s="258"/>
      <c r="Z58572" s="258"/>
    </row>
    <row r="58573" spans="1:26" ht="12.75" customHeight="1" x14ac:dyDescent="0.2">
      <c r="A58573" s="258"/>
      <c r="Z58573" s="258"/>
    </row>
    <row r="58574" spans="1:26" ht="12.75" customHeight="1" x14ac:dyDescent="0.2">
      <c r="A58574" s="258"/>
      <c r="Z58574" s="258"/>
    </row>
    <row r="58575" spans="1:26" ht="12.75" customHeight="1" x14ac:dyDescent="0.2">
      <c r="A58575" s="258"/>
      <c r="Z58575" s="258"/>
    </row>
    <row r="58576" spans="1:26" ht="12.75" customHeight="1" x14ac:dyDescent="0.2">
      <c r="A58576" s="258"/>
      <c r="Z58576" s="258"/>
    </row>
    <row r="58577" spans="1:26" ht="12.75" customHeight="1" x14ac:dyDescent="0.2">
      <c r="A58577" s="258"/>
      <c r="Z58577" s="258"/>
    </row>
    <row r="58578" spans="1:26" ht="12.75" customHeight="1" x14ac:dyDescent="0.2">
      <c r="A58578" s="258"/>
      <c r="Z58578" s="258"/>
    </row>
    <row r="58579" spans="1:26" ht="12.75" customHeight="1" x14ac:dyDescent="0.2">
      <c r="A58579" s="258"/>
      <c r="Z58579" s="258"/>
    </row>
    <row r="58580" spans="1:26" ht="12.75" customHeight="1" x14ac:dyDescent="0.2">
      <c r="A58580" s="258"/>
      <c r="Z58580" s="258"/>
    </row>
    <row r="58581" spans="1:26" ht="12.75" customHeight="1" x14ac:dyDescent="0.2">
      <c r="A58581" s="258"/>
      <c r="Z58581" s="258"/>
    </row>
    <row r="58582" spans="1:26" ht="12.75" customHeight="1" x14ac:dyDescent="0.2">
      <c r="A58582" s="258"/>
      <c r="Z58582" s="258"/>
    </row>
    <row r="58583" spans="1:26" ht="12.75" customHeight="1" x14ac:dyDescent="0.2">
      <c r="A58583" s="258"/>
      <c r="Z58583" s="258"/>
    </row>
    <row r="58584" spans="1:26" ht="12.75" customHeight="1" x14ac:dyDescent="0.2">
      <c r="A58584" s="258"/>
      <c r="Z58584" s="258"/>
    </row>
    <row r="58585" spans="1:26" ht="12.75" customHeight="1" x14ac:dyDescent="0.2">
      <c r="A58585" s="258"/>
      <c r="Z58585" s="258"/>
    </row>
    <row r="58586" spans="1:26" ht="12.75" customHeight="1" x14ac:dyDescent="0.2">
      <c r="A58586" s="258"/>
      <c r="Z58586" s="258"/>
    </row>
    <row r="58587" spans="1:26" ht="12.75" customHeight="1" x14ac:dyDescent="0.2">
      <c r="A58587" s="258"/>
      <c r="Z58587" s="258"/>
    </row>
    <row r="58588" spans="1:26" ht="12.75" customHeight="1" x14ac:dyDescent="0.2">
      <c r="A58588" s="258"/>
      <c r="Z58588" s="258"/>
    </row>
    <row r="58589" spans="1:26" ht="12.75" customHeight="1" x14ac:dyDescent="0.2">
      <c r="A58589" s="258"/>
      <c r="Z58589" s="258"/>
    </row>
    <row r="58590" spans="1:26" ht="12.75" customHeight="1" x14ac:dyDescent="0.2">
      <c r="A58590" s="258"/>
      <c r="Z58590" s="258"/>
    </row>
    <row r="58591" spans="1:26" ht="12.75" customHeight="1" x14ac:dyDescent="0.2">
      <c r="A58591" s="258"/>
      <c r="Z58591" s="258"/>
    </row>
    <row r="58592" spans="1:26" ht="12.75" customHeight="1" x14ac:dyDescent="0.2">
      <c r="A58592" s="258"/>
      <c r="Z58592" s="258"/>
    </row>
    <row r="58593" spans="1:26" ht="12.75" customHeight="1" x14ac:dyDescent="0.2">
      <c r="A58593" s="258"/>
      <c r="Z58593" s="258"/>
    </row>
    <row r="58594" spans="1:26" ht="12.75" customHeight="1" x14ac:dyDescent="0.2">
      <c r="A58594" s="258"/>
      <c r="Z58594" s="258"/>
    </row>
    <row r="58595" spans="1:26" ht="12.75" customHeight="1" x14ac:dyDescent="0.2">
      <c r="A58595" s="258"/>
      <c r="Z58595" s="258"/>
    </row>
    <row r="58596" spans="1:26" ht="12.75" customHeight="1" x14ac:dyDescent="0.2">
      <c r="A58596" s="258"/>
      <c r="Z58596" s="258"/>
    </row>
    <row r="58597" spans="1:26" ht="12.75" customHeight="1" x14ac:dyDescent="0.2">
      <c r="A58597" s="258"/>
      <c r="Z58597" s="258"/>
    </row>
    <row r="58598" spans="1:26" ht="12.75" customHeight="1" x14ac:dyDescent="0.2">
      <c r="A58598" s="258"/>
      <c r="Z58598" s="258"/>
    </row>
    <row r="58599" spans="1:26" ht="12.75" customHeight="1" x14ac:dyDescent="0.2">
      <c r="A58599" s="258"/>
      <c r="Z58599" s="258"/>
    </row>
    <row r="58600" spans="1:26" ht="12.75" customHeight="1" x14ac:dyDescent="0.2">
      <c r="A58600" s="258"/>
      <c r="Z58600" s="258"/>
    </row>
    <row r="58601" spans="1:26" ht="12.75" customHeight="1" x14ac:dyDescent="0.2">
      <c r="A58601" s="258"/>
      <c r="Z58601" s="258"/>
    </row>
    <row r="58602" spans="1:26" ht="12.75" customHeight="1" x14ac:dyDescent="0.2">
      <c r="A58602" s="258"/>
      <c r="Z58602" s="258"/>
    </row>
    <row r="58603" spans="1:26" ht="12.75" customHeight="1" x14ac:dyDescent="0.2">
      <c r="A58603" s="258"/>
      <c r="Z58603" s="258"/>
    </row>
    <row r="58604" spans="1:26" ht="12.75" customHeight="1" x14ac:dyDescent="0.2">
      <c r="A58604" s="258"/>
      <c r="Z58604" s="258"/>
    </row>
    <row r="58605" spans="1:26" ht="12.75" customHeight="1" x14ac:dyDescent="0.2">
      <c r="A58605" s="258"/>
      <c r="Z58605" s="258"/>
    </row>
    <row r="58606" spans="1:26" ht="12.75" customHeight="1" x14ac:dyDescent="0.2">
      <c r="A58606" s="258"/>
      <c r="Z58606" s="258"/>
    </row>
    <row r="58607" spans="1:26" ht="12.75" customHeight="1" x14ac:dyDescent="0.2">
      <c r="A58607" s="258"/>
      <c r="Z58607" s="258"/>
    </row>
    <row r="58608" spans="1:26" ht="12.75" customHeight="1" x14ac:dyDescent="0.2">
      <c r="A58608" s="258"/>
      <c r="Z58608" s="258"/>
    </row>
    <row r="58609" spans="1:26" ht="12.75" customHeight="1" x14ac:dyDescent="0.2">
      <c r="A58609" s="258"/>
      <c r="Z58609" s="258"/>
    </row>
    <row r="58610" spans="1:26" ht="12.75" customHeight="1" x14ac:dyDescent="0.2">
      <c r="A58610" s="258"/>
      <c r="Z58610" s="258"/>
    </row>
    <row r="58611" spans="1:26" ht="12.75" customHeight="1" x14ac:dyDescent="0.2">
      <c r="A58611" s="258"/>
      <c r="Z58611" s="258"/>
    </row>
    <row r="58612" spans="1:26" ht="12.75" customHeight="1" x14ac:dyDescent="0.2">
      <c r="A58612" s="258"/>
      <c r="Z58612" s="258"/>
    </row>
    <row r="58613" spans="1:26" ht="12.75" customHeight="1" x14ac:dyDescent="0.2">
      <c r="A58613" s="258"/>
      <c r="Z58613" s="258"/>
    </row>
    <row r="58614" spans="1:26" ht="12.75" customHeight="1" x14ac:dyDescent="0.2">
      <c r="A58614" s="258"/>
      <c r="Z58614" s="258"/>
    </row>
    <row r="58615" spans="1:26" ht="12.75" customHeight="1" x14ac:dyDescent="0.2">
      <c r="A58615" s="258"/>
      <c r="Z58615" s="258"/>
    </row>
    <row r="58616" spans="1:26" ht="12.75" customHeight="1" x14ac:dyDescent="0.2">
      <c r="A58616" s="258"/>
      <c r="Z58616" s="258"/>
    </row>
    <row r="58617" spans="1:26" ht="12.75" customHeight="1" x14ac:dyDescent="0.2">
      <c r="A58617" s="258"/>
      <c r="Z58617" s="258"/>
    </row>
    <row r="58618" spans="1:26" ht="12.75" customHeight="1" x14ac:dyDescent="0.2">
      <c r="A58618" s="258"/>
      <c r="Z58618" s="258"/>
    </row>
    <row r="58619" spans="1:26" ht="12.75" customHeight="1" x14ac:dyDescent="0.2">
      <c r="A58619" s="258"/>
      <c r="Z58619" s="258"/>
    </row>
    <row r="58620" spans="1:26" ht="12.75" customHeight="1" x14ac:dyDescent="0.2">
      <c r="A58620" s="258"/>
      <c r="Z58620" s="258"/>
    </row>
    <row r="58621" spans="1:26" ht="12.75" customHeight="1" x14ac:dyDescent="0.2">
      <c r="A58621" s="258"/>
      <c r="Z58621" s="258"/>
    </row>
    <row r="58622" spans="1:26" ht="12.75" customHeight="1" x14ac:dyDescent="0.2">
      <c r="A58622" s="258"/>
      <c r="Z58622" s="258"/>
    </row>
    <row r="58623" spans="1:26" ht="12.75" customHeight="1" x14ac:dyDescent="0.2">
      <c r="A58623" s="258"/>
      <c r="Z58623" s="258"/>
    </row>
    <row r="58624" spans="1:26" ht="12.75" customHeight="1" x14ac:dyDescent="0.2">
      <c r="A58624" s="258"/>
      <c r="Z58624" s="258"/>
    </row>
    <row r="58625" spans="1:26" ht="12.75" customHeight="1" x14ac:dyDescent="0.2">
      <c r="A58625" s="258"/>
      <c r="Z58625" s="258"/>
    </row>
    <row r="58626" spans="1:26" ht="12.75" customHeight="1" x14ac:dyDescent="0.2">
      <c r="A58626" s="258"/>
      <c r="Z58626" s="258"/>
    </row>
    <row r="58627" spans="1:26" ht="12.75" customHeight="1" x14ac:dyDescent="0.2">
      <c r="A58627" s="258"/>
      <c r="Z58627" s="258"/>
    </row>
    <row r="58628" spans="1:26" ht="12.75" customHeight="1" x14ac:dyDescent="0.2">
      <c r="A58628" s="258"/>
      <c r="Z58628" s="258"/>
    </row>
    <row r="58629" spans="1:26" ht="12.75" customHeight="1" x14ac:dyDescent="0.2">
      <c r="A58629" s="258"/>
      <c r="Z58629" s="258"/>
    </row>
    <row r="58630" spans="1:26" ht="12.75" customHeight="1" x14ac:dyDescent="0.2">
      <c r="A58630" s="258"/>
      <c r="Z58630" s="258"/>
    </row>
    <row r="58631" spans="1:26" ht="12.75" customHeight="1" x14ac:dyDescent="0.2">
      <c r="A58631" s="258"/>
      <c r="Z58631" s="258"/>
    </row>
    <row r="58632" spans="1:26" ht="12.75" customHeight="1" x14ac:dyDescent="0.2">
      <c r="A58632" s="258"/>
      <c r="Z58632" s="258"/>
    </row>
    <row r="58633" spans="1:26" ht="12.75" customHeight="1" x14ac:dyDescent="0.2">
      <c r="A58633" s="258"/>
      <c r="Z58633" s="258"/>
    </row>
    <row r="58634" spans="1:26" ht="12.75" customHeight="1" x14ac:dyDescent="0.2">
      <c r="A58634" s="258"/>
      <c r="Z58634" s="258"/>
    </row>
    <row r="58635" spans="1:26" ht="12.75" customHeight="1" x14ac:dyDescent="0.2">
      <c r="A58635" s="258"/>
      <c r="Z58635" s="258"/>
    </row>
    <row r="58636" spans="1:26" ht="12.75" customHeight="1" x14ac:dyDescent="0.2">
      <c r="A58636" s="258"/>
      <c r="Z58636" s="258"/>
    </row>
    <row r="58637" spans="1:26" ht="12.75" customHeight="1" x14ac:dyDescent="0.2">
      <c r="A58637" s="258"/>
      <c r="Z58637" s="258"/>
    </row>
    <row r="58638" spans="1:26" ht="12.75" customHeight="1" x14ac:dyDescent="0.2">
      <c r="A58638" s="258"/>
      <c r="Z58638" s="258"/>
    </row>
    <row r="58639" spans="1:26" ht="12.75" customHeight="1" x14ac:dyDescent="0.2">
      <c r="A58639" s="258"/>
      <c r="Z58639" s="258"/>
    </row>
    <row r="58640" spans="1:26" ht="12.75" customHeight="1" x14ac:dyDescent="0.2">
      <c r="A58640" s="258"/>
      <c r="Z58640" s="258"/>
    </row>
    <row r="58641" spans="1:26" ht="12.75" customHeight="1" x14ac:dyDescent="0.2">
      <c r="A58641" s="258"/>
      <c r="Z58641" s="258"/>
    </row>
    <row r="58642" spans="1:26" ht="12.75" customHeight="1" x14ac:dyDescent="0.2">
      <c r="A58642" s="258"/>
      <c r="Z58642" s="258"/>
    </row>
    <row r="58643" spans="1:26" ht="12.75" customHeight="1" x14ac:dyDescent="0.2">
      <c r="A58643" s="258"/>
      <c r="Z58643" s="258"/>
    </row>
    <row r="58644" spans="1:26" ht="12.75" customHeight="1" x14ac:dyDescent="0.2">
      <c r="A58644" s="258"/>
      <c r="Z58644" s="258"/>
    </row>
    <row r="58645" spans="1:26" ht="12.75" customHeight="1" x14ac:dyDescent="0.2">
      <c r="A58645" s="258"/>
      <c r="Z58645" s="258"/>
    </row>
    <row r="58646" spans="1:26" ht="12.75" customHeight="1" x14ac:dyDescent="0.2">
      <c r="A58646" s="258"/>
      <c r="Z58646" s="258"/>
    </row>
    <row r="58647" spans="1:26" ht="12.75" customHeight="1" x14ac:dyDescent="0.2">
      <c r="A58647" s="258"/>
      <c r="Z58647" s="258"/>
    </row>
    <row r="58648" spans="1:26" ht="12.75" customHeight="1" x14ac:dyDescent="0.2">
      <c r="A58648" s="258"/>
      <c r="Z58648" s="258"/>
    </row>
    <row r="58649" spans="1:26" ht="12.75" customHeight="1" x14ac:dyDescent="0.2">
      <c r="A58649" s="258"/>
      <c r="Z58649" s="258"/>
    </row>
    <row r="58650" spans="1:26" ht="12.75" customHeight="1" x14ac:dyDescent="0.2">
      <c r="A58650" s="258"/>
      <c r="Z58650" s="258"/>
    </row>
    <row r="58651" spans="1:26" ht="12.75" customHeight="1" x14ac:dyDescent="0.2">
      <c r="A58651" s="258"/>
      <c r="Z58651" s="258"/>
    </row>
    <row r="58652" spans="1:26" ht="12.75" customHeight="1" x14ac:dyDescent="0.2">
      <c r="A58652" s="258"/>
      <c r="Z58652" s="258"/>
    </row>
    <row r="58653" spans="1:26" ht="12.75" customHeight="1" x14ac:dyDescent="0.2">
      <c r="A58653" s="258"/>
      <c r="Z58653" s="258"/>
    </row>
    <row r="58654" spans="1:26" ht="12.75" customHeight="1" x14ac:dyDescent="0.2">
      <c r="A58654" s="258"/>
      <c r="Z58654" s="258"/>
    </row>
    <row r="58655" spans="1:26" ht="12.75" customHeight="1" x14ac:dyDescent="0.2">
      <c r="A58655" s="258"/>
      <c r="Z58655" s="258"/>
    </row>
    <row r="58656" spans="1:26" ht="12.75" customHeight="1" x14ac:dyDescent="0.2">
      <c r="A58656" s="258"/>
      <c r="Z58656" s="258"/>
    </row>
    <row r="58657" spans="1:26" ht="12.75" customHeight="1" x14ac:dyDescent="0.2">
      <c r="A58657" s="258"/>
      <c r="Z58657" s="258"/>
    </row>
    <row r="58658" spans="1:26" ht="12.75" customHeight="1" x14ac:dyDescent="0.2">
      <c r="A58658" s="258"/>
      <c r="Z58658" s="258"/>
    </row>
    <row r="58659" spans="1:26" ht="12.75" customHeight="1" x14ac:dyDescent="0.2">
      <c r="A58659" s="258"/>
      <c r="Z58659" s="258"/>
    </row>
    <row r="58660" spans="1:26" ht="12.75" customHeight="1" x14ac:dyDescent="0.2">
      <c r="A58660" s="258"/>
      <c r="Z58660" s="258"/>
    </row>
    <row r="58661" spans="1:26" ht="12.75" customHeight="1" x14ac:dyDescent="0.2">
      <c r="A58661" s="258"/>
      <c r="Z58661" s="258"/>
    </row>
    <row r="58662" spans="1:26" ht="12.75" customHeight="1" x14ac:dyDescent="0.2">
      <c r="A58662" s="258"/>
      <c r="Z58662" s="258"/>
    </row>
    <row r="58663" spans="1:26" ht="12.75" customHeight="1" x14ac:dyDescent="0.2">
      <c r="A58663" s="258"/>
      <c r="Z58663" s="258"/>
    </row>
    <row r="58664" spans="1:26" ht="12.75" customHeight="1" x14ac:dyDescent="0.2">
      <c r="A58664" s="258"/>
      <c r="Z58664" s="258"/>
    </row>
    <row r="58665" spans="1:26" ht="12.75" customHeight="1" x14ac:dyDescent="0.2">
      <c r="A58665" s="258"/>
      <c r="Z58665" s="258"/>
    </row>
    <row r="58666" spans="1:26" ht="12.75" customHeight="1" x14ac:dyDescent="0.2">
      <c r="A58666" s="258"/>
      <c r="Z58666" s="258"/>
    </row>
    <row r="58667" spans="1:26" ht="12.75" customHeight="1" x14ac:dyDescent="0.2">
      <c r="A58667" s="258"/>
      <c r="Z58667" s="258"/>
    </row>
    <row r="58668" spans="1:26" ht="12.75" customHeight="1" x14ac:dyDescent="0.2">
      <c r="A58668" s="258"/>
      <c r="Z58668" s="258"/>
    </row>
    <row r="58669" spans="1:26" ht="12.75" customHeight="1" x14ac:dyDescent="0.2">
      <c r="A58669" s="258"/>
      <c r="Z58669" s="258"/>
    </row>
    <row r="58670" spans="1:26" ht="12.75" customHeight="1" x14ac:dyDescent="0.2">
      <c r="A58670" s="258"/>
      <c r="Z58670" s="258"/>
    </row>
    <row r="58671" spans="1:26" ht="12.75" customHeight="1" x14ac:dyDescent="0.2">
      <c r="A58671" s="258"/>
      <c r="Z58671" s="258"/>
    </row>
    <row r="58672" spans="1:26" ht="12.75" customHeight="1" x14ac:dyDescent="0.2">
      <c r="A58672" s="258"/>
      <c r="Z58672" s="258"/>
    </row>
    <row r="58673" spans="1:26" ht="12.75" customHeight="1" x14ac:dyDescent="0.2">
      <c r="A58673" s="258"/>
      <c r="Z58673" s="258"/>
    </row>
    <row r="58674" spans="1:26" ht="12.75" customHeight="1" x14ac:dyDescent="0.2">
      <c r="A58674" s="258"/>
      <c r="Z58674" s="258"/>
    </row>
    <row r="58675" spans="1:26" ht="12.75" customHeight="1" x14ac:dyDescent="0.2">
      <c r="A58675" s="258"/>
      <c r="Z58675" s="258"/>
    </row>
    <row r="58676" spans="1:26" ht="12.75" customHeight="1" x14ac:dyDescent="0.2">
      <c r="A58676" s="258"/>
      <c r="Z58676" s="258"/>
    </row>
    <row r="58677" spans="1:26" ht="12.75" customHeight="1" x14ac:dyDescent="0.2">
      <c r="A58677" s="258"/>
      <c r="Z58677" s="258"/>
    </row>
    <row r="58678" spans="1:26" ht="12.75" customHeight="1" x14ac:dyDescent="0.2">
      <c r="A58678" s="258"/>
      <c r="Z58678" s="258"/>
    </row>
    <row r="58679" spans="1:26" ht="12.75" customHeight="1" x14ac:dyDescent="0.2">
      <c r="A58679" s="258"/>
      <c r="Z58679" s="258"/>
    </row>
    <row r="58680" spans="1:26" ht="12.75" customHeight="1" x14ac:dyDescent="0.2">
      <c r="A58680" s="258"/>
      <c r="Z58680" s="258"/>
    </row>
    <row r="58681" spans="1:26" ht="12.75" customHeight="1" x14ac:dyDescent="0.2">
      <c r="A58681" s="258"/>
      <c r="Z58681" s="258"/>
    </row>
    <row r="58682" spans="1:26" ht="12.75" customHeight="1" x14ac:dyDescent="0.2">
      <c r="A58682" s="258"/>
      <c r="Z58682" s="258"/>
    </row>
    <row r="58683" spans="1:26" ht="12.75" customHeight="1" x14ac:dyDescent="0.2">
      <c r="A58683" s="258"/>
      <c r="Z58683" s="258"/>
    </row>
    <row r="58684" spans="1:26" ht="12.75" customHeight="1" x14ac:dyDescent="0.2">
      <c r="A58684" s="258"/>
      <c r="Z58684" s="258"/>
    </row>
    <row r="58685" spans="1:26" ht="12.75" customHeight="1" x14ac:dyDescent="0.2">
      <c r="A58685" s="258"/>
      <c r="Z58685" s="258"/>
    </row>
    <row r="58686" spans="1:26" ht="12.75" customHeight="1" x14ac:dyDescent="0.2">
      <c r="A58686" s="258"/>
      <c r="Z58686" s="258"/>
    </row>
    <row r="58687" spans="1:26" ht="12.75" customHeight="1" x14ac:dyDescent="0.2">
      <c r="A58687" s="258"/>
      <c r="Z58687" s="258"/>
    </row>
    <row r="58688" spans="1:26" ht="12.75" customHeight="1" x14ac:dyDescent="0.2">
      <c r="A58688" s="258"/>
      <c r="Z58688" s="258"/>
    </row>
    <row r="58689" spans="1:26" ht="12.75" customHeight="1" x14ac:dyDescent="0.2">
      <c r="A58689" s="258"/>
      <c r="Z58689" s="258"/>
    </row>
    <row r="58690" spans="1:26" ht="12.75" customHeight="1" x14ac:dyDescent="0.2">
      <c r="A58690" s="258"/>
      <c r="Z58690" s="258"/>
    </row>
    <row r="58691" spans="1:26" ht="12.75" customHeight="1" x14ac:dyDescent="0.2">
      <c r="A58691" s="258"/>
      <c r="Z58691" s="258"/>
    </row>
    <row r="58692" spans="1:26" ht="12.75" customHeight="1" x14ac:dyDescent="0.2">
      <c r="A58692" s="258"/>
      <c r="Z58692" s="258"/>
    </row>
    <row r="58693" spans="1:26" ht="12.75" customHeight="1" x14ac:dyDescent="0.2">
      <c r="A58693" s="258"/>
      <c r="Z58693" s="258"/>
    </row>
    <row r="58694" spans="1:26" ht="12.75" customHeight="1" x14ac:dyDescent="0.2">
      <c r="A58694" s="258"/>
      <c r="Z58694" s="258"/>
    </row>
    <row r="58695" spans="1:26" ht="12.75" customHeight="1" x14ac:dyDescent="0.2">
      <c r="A58695" s="258"/>
      <c r="Z58695" s="258"/>
    </row>
    <row r="58696" spans="1:26" ht="12.75" customHeight="1" x14ac:dyDescent="0.2">
      <c r="A58696" s="258"/>
      <c r="Z58696" s="258"/>
    </row>
    <row r="58697" spans="1:26" ht="12.75" customHeight="1" x14ac:dyDescent="0.2">
      <c r="A58697" s="258"/>
      <c r="Z58697" s="258"/>
    </row>
    <row r="58698" spans="1:26" ht="12.75" customHeight="1" x14ac:dyDescent="0.2">
      <c r="A58698" s="258"/>
      <c r="Z58698" s="258"/>
    </row>
    <row r="58699" spans="1:26" ht="12.75" customHeight="1" x14ac:dyDescent="0.2">
      <c r="A58699" s="258"/>
      <c r="Z58699" s="258"/>
    </row>
    <row r="58700" spans="1:26" ht="12.75" customHeight="1" x14ac:dyDescent="0.2">
      <c r="A58700" s="258"/>
      <c r="Z58700" s="258"/>
    </row>
    <row r="58701" spans="1:26" ht="12.75" customHeight="1" x14ac:dyDescent="0.2">
      <c r="A58701" s="258"/>
      <c r="Z58701" s="258"/>
    </row>
    <row r="58702" spans="1:26" ht="12.75" customHeight="1" x14ac:dyDescent="0.2">
      <c r="A58702" s="258"/>
      <c r="Z58702" s="258"/>
    </row>
    <row r="58703" spans="1:26" ht="12.75" customHeight="1" x14ac:dyDescent="0.2">
      <c r="A58703" s="258"/>
      <c r="Z58703" s="258"/>
    </row>
    <row r="58704" spans="1:26" ht="12.75" customHeight="1" x14ac:dyDescent="0.2">
      <c r="A58704" s="258"/>
      <c r="Z58704" s="258"/>
    </row>
    <row r="58705" spans="1:26" ht="12.75" customHeight="1" x14ac:dyDescent="0.2">
      <c r="A58705" s="258"/>
      <c r="Z58705" s="258"/>
    </row>
    <row r="58706" spans="1:26" ht="12.75" customHeight="1" x14ac:dyDescent="0.2">
      <c r="A58706" s="258"/>
      <c r="Z58706" s="258"/>
    </row>
    <row r="58707" spans="1:26" ht="12.75" customHeight="1" x14ac:dyDescent="0.2">
      <c r="A58707" s="258"/>
      <c r="Z58707" s="258"/>
    </row>
    <row r="58708" spans="1:26" ht="12.75" customHeight="1" x14ac:dyDescent="0.2">
      <c r="A58708" s="258"/>
      <c r="Z58708" s="258"/>
    </row>
    <row r="58709" spans="1:26" ht="12.75" customHeight="1" x14ac:dyDescent="0.2">
      <c r="A58709" s="258"/>
      <c r="Z58709" s="258"/>
    </row>
    <row r="58710" spans="1:26" ht="12.75" customHeight="1" x14ac:dyDescent="0.2">
      <c r="A58710" s="258"/>
      <c r="Z58710" s="258"/>
    </row>
    <row r="58711" spans="1:26" ht="12.75" customHeight="1" x14ac:dyDescent="0.2">
      <c r="A58711" s="258"/>
      <c r="Z58711" s="258"/>
    </row>
    <row r="58712" spans="1:26" ht="12.75" customHeight="1" x14ac:dyDescent="0.2">
      <c r="A58712" s="258"/>
      <c r="Z58712" s="258"/>
    </row>
    <row r="58713" spans="1:26" ht="12.75" customHeight="1" x14ac:dyDescent="0.2">
      <c r="A58713" s="258"/>
      <c r="Z58713" s="258"/>
    </row>
    <row r="58714" spans="1:26" ht="12.75" customHeight="1" x14ac:dyDescent="0.2">
      <c r="A58714" s="258"/>
      <c r="Z58714" s="258"/>
    </row>
    <row r="58715" spans="1:26" ht="12.75" customHeight="1" x14ac:dyDescent="0.2">
      <c r="A58715" s="258"/>
      <c r="Z58715" s="258"/>
    </row>
    <row r="58716" spans="1:26" ht="12.75" customHeight="1" x14ac:dyDescent="0.2">
      <c r="A58716" s="258"/>
      <c r="Z58716" s="258"/>
    </row>
    <row r="58717" spans="1:26" ht="12.75" customHeight="1" x14ac:dyDescent="0.2">
      <c r="A58717" s="258"/>
      <c r="Z58717" s="258"/>
    </row>
    <row r="58718" spans="1:26" ht="12.75" customHeight="1" x14ac:dyDescent="0.2">
      <c r="A58718" s="258"/>
      <c r="Z58718" s="258"/>
    </row>
    <row r="58719" spans="1:26" ht="12.75" customHeight="1" x14ac:dyDescent="0.2">
      <c r="A58719" s="258"/>
      <c r="Z58719" s="258"/>
    </row>
    <row r="58720" spans="1:26" ht="12.75" customHeight="1" x14ac:dyDescent="0.2">
      <c r="A58720" s="258"/>
      <c r="Z58720" s="258"/>
    </row>
    <row r="58721" spans="1:26" ht="12.75" customHeight="1" x14ac:dyDescent="0.2">
      <c r="A58721" s="258"/>
      <c r="Z58721" s="258"/>
    </row>
    <row r="58722" spans="1:26" ht="12.75" customHeight="1" x14ac:dyDescent="0.2">
      <c r="A58722" s="258"/>
      <c r="Z58722" s="258"/>
    </row>
    <row r="58723" spans="1:26" ht="12.75" customHeight="1" x14ac:dyDescent="0.2">
      <c r="A58723" s="258"/>
      <c r="Z58723" s="258"/>
    </row>
    <row r="58724" spans="1:26" ht="12.75" customHeight="1" x14ac:dyDescent="0.2">
      <c r="A58724" s="258"/>
      <c r="Z58724" s="258"/>
    </row>
    <row r="58725" spans="1:26" ht="12.75" customHeight="1" x14ac:dyDescent="0.2">
      <c r="A58725" s="258"/>
      <c r="Z58725" s="258"/>
    </row>
    <row r="58726" spans="1:26" ht="12.75" customHeight="1" x14ac:dyDescent="0.2">
      <c r="A58726" s="258"/>
      <c r="Z58726" s="258"/>
    </row>
    <row r="58727" spans="1:26" ht="12.75" customHeight="1" x14ac:dyDescent="0.2">
      <c r="A58727" s="258"/>
      <c r="Z58727" s="258"/>
    </row>
    <row r="58728" spans="1:26" ht="12.75" customHeight="1" x14ac:dyDescent="0.2">
      <c r="A58728" s="258"/>
      <c r="Z58728" s="258"/>
    </row>
    <row r="58729" spans="1:26" ht="12.75" customHeight="1" x14ac:dyDescent="0.2">
      <c r="A58729" s="258"/>
      <c r="Z58729" s="258"/>
    </row>
    <row r="58730" spans="1:26" ht="12.75" customHeight="1" x14ac:dyDescent="0.2">
      <c r="A58730" s="258"/>
      <c r="Z58730" s="258"/>
    </row>
    <row r="58731" spans="1:26" ht="12.75" customHeight="1" x14ac:dyDescent="0.2">
      <c r="A58731" s="258"/>
      <c r="Z58731" s="258"/>
    </row>
    <row r="58732" spans="1:26" ht="12.75" customHeight="1" x14ac:dyDescent="0.2">
      <c r="A58732" s="258"/>
      <c r="Z58732" s="258"/>
    </row>
    <row r="58733" spans="1:26" ht="12.75" customHeight="1" x14ac:dyDescent="0.2">
      <c r="A58733" s="258"/>
      <c r="Z58733" s="258"/>
    </row>
    <row r="58734" spans="1:26" ht="12.75" customHeight="1" x14ac:dyDescent="0.2">
      <c r="A58734" s="258"/>
      <c r="Z58734" s="258"/>
    </row>
    <row r="58735" spans="1:26" ht="12.75" customHeight="1" x14ac:dyDescent="0.2">
      <c r="A58735" s="258"/>
      <c r="Z58735" s="258"/>
    </row>
    <row r="58736" spans="1:26" ht="12.75" customHeight="1" x14ac:dyDescent="0.2">
      <c r="A58736" s="258"/>
      <c r="Z58736" s="258"/>
    </row>
    <row r="58737" spans="1:26" ht="12.75" customHeight="1" x14ac:dyDescent="0.2">
      <c r="A58737" s="258"/>
      <c r="Z58737" s="258"/>
    </row>
    <row r="58738" spans="1:26" ht="12.75" customHeight="1" x14ac:dyDescent="0.2">
      <c r="A58738" s="258"/>
      <c r="Z58738" s="258"/>
    </row>
    <row r="58739" spans="1:26" ht="12.75" customHeight="1" x14ac:dyDescent="0.2">
      <c r="A58739" s="258"/>
      <c r="Z58739" s="258"/>
    </row>
    <row r="58740" spans="1:26" ht="12.75" customHeight="1" x14ac:dyDescent="0.2">
      <c r="A58740" s="258"/>
      <c r="Z58740" s="258"/>
    </row>
    <row r="58741" spans="1:26" ht="12.75" customHeight="1" x14ac:dyDescent="0.2">
      <c r="A58741" s="258"/>
      <c r="Z58741" s="258"/>
    </row>
    <row r="58742" spans="1:26" ht="12.75" customHeight="1" x14ac:dyDescent="0.2">
      <c r="A58742" s="258"/>
      <c r="Z58742" s="258"/>
    </row>
    <row r="58743" spans="1:26" ht="12.75" customHeight="1" x14ac:dyDescent="0.2">
      <c r="A58743" s="258"/>
      <c r="Z58743" s="258"/>
    </row>
    <row r="58744" spans="1:26" ht="12.75" customHeight="1" x14ac:dyDescent="0.2">
      <c r="A58744" s="258"/>
      <c r="Z58744" s="258"/>
    </row>
    <row r="58745" spans="1:26" ht="12.75" customHeight="1" x14ac:dyDescent="0.2">
      <c r="A58745" s="258"/>
      <c r="Z58745" s="258"/>
    </row>
    <row r="58746" spans="1:26" ht="12.75" customHeight="1" x14ac:dyDescent="0.2">
      <c r="A58746" s="258"/>
      <c r="Z58746" s="258"/>
    </row>
    <row r="58747" spans="1:26" ht="12.75" customHeight="1" x14ac:dyDescent="0.2">
      <c r="A58747" s="258"/>
      <c r="Z58747" s="258"/>
    </row>
    <row r="58748" spans="1:26" ht="12.75" customHeight="1" x14ac:dyDescent="0.2">
      <c r="A58748" s="258"/>
      <c r="Z58748" s="258"/>
    </row>
    <row r="58749" spans="1:26" ht="12.75" customHeight="1" x14ac:dyDescent="0.2">
      <c r="A58749" s="258"/>
      <c r="Z58749" s="258"/>
    </row>
    <row r="58750" spans="1:26" ht="12.75" customHeight="1" x14ac:dyDescent="0.2">
      <c r="A58750" s="258"/>
      <c r="Z58750" s="258"/>
    </row>
    <row r="58751" spans="1:26" ht="12.75" customHeight="1" x14ac:dyDescent="0.2">
      <c r="A58751" s="258"/>
      <c r="Z58751" s="258"/>
    </row>
    <row r="58752" spans="1:26" ht="12.75" customHeight="1" x14ac:dyDescent="0.2">
      <c r="A58752" s="258"/>
      <c r="Z58752" s="258"/>
    </row>
    <row r="58753" spans="1:26" ht="12.75" customHeight="1" x14ac:dyDescent="0.2">
      <c r="A58753" s="258"/>
      <c r="Z58753" s="258"/>
    </row>
    <row r="58754" spans="1:26" ht="12.75" customHeight="1" x14ac:dyDescent="0.2">
      <c r="A58754" s="258"/>
      <c r="Z58754" s="258"/>
    </row>
    <row r="58755" spans="1:26" ht="12.75" customHeight="1" x14ac:dyDescent="0.2">
      <c r="A58755" s="258"/>
      <c r="Z58755" s="258"/>
    </row>
    <row r="58756" spans="1:26" ht="12.75" customHeight="1" x14ac:dyDescent="0.2">
      <c r="A58756" s="258"/>
      <c r="Z58756" s="258"/>
    </row>
    <row r="58757" spans="1:26" ht="12.75" customHeight="1" x14ac:dyDescent="0.2">
      <c r="A58757" s="258"/>
      <c r="Z58757" s="258"/>
    </row>
    <row r="58758" spans="1:26" ht="12.75" customHeight="1" x14ac:dyDescent="0.2">
      <c r="A58758" s="258"/>
      <c r="Z58758" s="258"/>
    </row>
    <row r="58759" spans="1:26" ht="12.75" customHeight="1" x14ac:dyDescent="0.2">
      <c r="A58759" s="258"/>
      <c r="Z58759" s="258"/>
    </row>
    <row r="58760" spans="1:26" ht="12.75" customHeight="1" x14ac:dyDescent="0.2">
      <c r="A58760" s="258"/>
      <c r="Z58760" s="258"/>
    </row>
    <row r="58761" spans="1:26" ht="12.75" customHeight="1" x14ac:dyDescent="0.2">
      <c r="A58761" s="258"/>
      <c r="Z58761" s="258"/>
    </row>
    <row r="58762" spans="1:26" ht="12.75" customHeight="1" x14ac:dyDescent="0.2">
      <c r="A58762" s="258"/>
      <c r="Z58762" s="258"/>
    </row>
    <row r="58763" spans="1:26" ht="12.75" customHeight="1" x14ac:dyDescent="0.2">
      <c r="A58763" s="258"/>
      <c r="Z58763" s="258"/>
    </row>
    <row r="58764" spans="1:26" ht="12.75" customHeight="1" x14ac:dyDescent="0.2">
      <c r="A58764" s="258"/>
      <c r="Z58764" s="258"/>
    </row>
    <row r="58765" spans="1:26" ht="12.75" customHeight="1" x14ac:dyDescent="0.2">
      <c r="A58765" s="258"/>
      <c r="Z58765" s="258"/>
    </row>
    <row r="58766" spans="1:26" ht="12.75" customHeight="1" x14ac:dyDescent="0.2">
      <c r="A58766" s="258"/>
      <c r="Z58766" s="258"/>
    </row>
    <row r="58767" spans="1:26" ht="12.75" customHeight="1" x14ac:dyDescent="0.2">
      <c r="A58767" s="258"/>
      <c r="Z58767" s="258"/>
    </row>
    <row r="58768" spans="1:26" ht="12.75" customHeight="1" x14ac:dyDescent="0.2">
      <c r="A58768" s="258"/>
      <c r="Z58768" s="258"/>
    </row>
    <row r="58769" spans="1:26" ht="12.75" customHeight="1" x14ac:dyDescent="0.2">
      <c r="A58769" s="258"/>
      <c r="Z58769" s="258"/>
    </row>
    <row r="58770" spans="1:26" ht="12.75" customHeight="1" x14ac:dyDescent="0.2">
      <c r="A58770" s="258"/>
      <c r="Z58770" s="258"/>
    </row>
    <row r="58771" spans="1:26" ht="12.75" customHeight="1" x14ac:dyDescent="0.2">
      <c r="A58771" s="258"/>
      <c r="Z58771" s="258"/>
    </row>
    <row r="58772" spans="1:26" ht="12.75" customHeight="1" x14ac:dyDescent="0.2">
      <c r="A58772" s="258"/>
      <c r="Z58772" s="258"/>
    </row>
    <row r="58773" spans="1:26" ht="12.75" customHeight="1" x14ac:dyDescent="0.2">
      <c r="A58773" s="258"/>
      <c r="Z58773" s="258"/>
    </row>
    <row r="58774" spans="1:26" ht="12.75" customHeight="1" x14ac:dyDescent="0.2">
      <c r="A58774" s="258"/>
      <c r="Z58774" s="258"/>
    </row>
    <row r="58775" spans="1:26" ht="12.75" customHeight="1" x14ac:dyDescent="0.2">
      <c r="A58775" s="258"/>
      <c r="Z58775" s="258"/>
    </row>
    <row r="58776" spans="1:26" ht="12.75" customHeight="1" x14ac:dyDescent="0.2">
      <c r="A58776" s="258"/>
      <c r="Z58776" s="258"/>
    </row>
    <row r="58777" spans="1:26" ht="12.75" customHeight="1" x14ac:dyDescent="0.2">
      <c r="A58777" s="258"/>
      <c r="Z58777" s="258"/>
    </row>
    <row r="58778" spans="1:26" ht="12.75" customHeight="1" x14ac:dyDescent="0.2">
      <c r="A58778" s="258"/>
      <c r="Z58778" s="258"/>
    </row>
    <row r="58779" spans="1:26" ht="12.75" customHeight="1" x14ac:dyDescent="0.2">
      <c r="A58779" s="258"/>
      <c r="Z58779" s="258"/>
    </row>
    <row r="58780" spans="1:26" ht="12.75" customHeight="1" x14ac:dyDescent="0.2">
      <c r="A58780" s="258"/>
      <c r="Z58780" s="258"/>
    </row>
    <row r="58781" spans="1:26" ht="12.75" customHeight="1" x14ac:dyDescent="0.2">
      <c r="A58781" s="258"/>
      <c r="Z58781" s="258"/>
    </row>
    <row r="58782" spans="1:26" ht="12.75" customHeight="1" x14ac:dyDescent="0.2">
      <c r="A58782" s="258"/>
      <c r="Z58782" s="258"/>
    </row>
    <row r="58783" spans="1:26" ht="12.75" customHeight="1" x14ac:dyDescent="0.2">
      <c r="A58783" s="258"/>
      <c r="Z58783" s="258"/>
    </row>
    <row r="58784" spans="1:26" ht="12.75" customHeight="1" x14ac:dyDescent="0.2">
      <c r="A58784" s="258"/>
      <c r="Z58784" s="258"/>
    </row>
    <row r="58785" spans="1:26" ht="12.75" customHeight="1" x14ac:dyDescent="0.2">
      <c r="A58785" s="258"/>
      <c r="Z58785" s="258"/>
    </row>
    <row r="58786" spans="1:26" ht="12.75" customHeight="1" x14ac:dyDescent="0.2">
      <c r="A58786" s="258"/>
      <c r="Z58786" s="258"/>
    </row>
    <row r="58787" spans="1:26" ht="12.75" customHeight="1" x14ac:dyDescent="0.2">
      <c r="A58787" s="258"/>
      <c r="Z58787" s="258"/>
    </row>
    <row r="58788" spans="1:26" ht="12.75" customHeight="1" x14ac:dyDescent="0.2">
      <c r="A58788" s="258"/>
      <c r="Z58788" s="258"/>
    </row>
    <row r="58789" spans="1:26" ht="12.75" customHeight="1" x14ac:dyDescent="0.2">
      <c r="A58789" s="258"/>
      <c r="Z58789" s="258"/>
    </row>
    <row r="58790" spans="1:26" ht="12.75" customHeight="1" x14ac:dyDescent="0.2">
      <c r="A58790" s="258"/>
      <c r="Z58790" s="258"/>
    </row>
    <row r="58791" spans="1:26" ht="12.75" customHeight="1" x14ac:dyDescent="0.2">
      <c r="A58791" s="258"/>
      <c r="Z58791" s="258"/>
    </row>
    <row r="58792" spans="1:26" ht="12.75" customHeight="1" x14ac:dyDescent="0.2">
      <c r="A58792" s="258"/>
      <c r="Z58792" s="258"/>
    </row>
    <row r="58793" spans="1:26" ht="12.75" customHeight="1" x14ac:dyDescent="0.2">
      <c r="A58793" s="258"/>
      <c r="Z58793" s="258"/>
    </row>
    <row r="58794" spans="1:26" ht="12.75" customHeight="1" x14ac:dyDescent="0.2">
      <c r="A58794" s="258"/>
      <c r="Z58794" s="258"/>
    </row>
    <row r="58795" spans="1:26" ht="12.75" customHeight="1" x14ac:dyDescent="0.2">
      <c r="A58795" s="258"/>
      <c r="Z58795" s="258"/>
    </row>
    <row r="58796" spans="1:26" ht="12.75" customHeight="1" x14ac:dyDescent="0.2">
      <c r="A58796" s="258"/>
      <c r="Z58796" s="258"/>
    </row>
    <row r="58797" spans="1:26" ht="12.75" customHeight="1" x14ac:dyDescent="0.2">
      <c r="A58797" s="258"/>
      <c r="Z58797" s="258"/>
    </row>
    <row r="58798" spans="1:26" ht="12.75" customHeight="1" x14ac:dyDescent="0.2">
      <c r="A58798" s="258"/>
      <c r="Z58798" s="258"/>
    </row>
    <row r="58799" spans="1:26" ht="12.75" customHeight="1" x14ac:dyDescent="0.2">
      <c r="A58799" s="258"/>
      <c r="Z58799" s="258"/>
    </row>
    <row r="58800" spans="1:26" ht="12.75" customHeight="1" x14ac:dyDescent="0.2">
      <c r="A58800" s="258"/>
      <c r="Z58800" s="258"/>
    </row>
    <row r="58801" spans="1:26" ht="12.75" customHeight="1" x14ac:dyDescent="0.2">
      <c r="A58801" s="258"/>
      <c r="Z58801" s="258"/>
    </row>
    <row r="58802" spans="1:26" ht="12.75" customHeight="1" x14ac:dyDescent="0.2">
      <c r="A58802" s="258"/>
      <c r="Z58802" s="258"/>
    </row>
    <row r="58803" spans="1:26" ht="12.75" customHeight="1" x14ac:dyDescent="0.2">
      <c r="A58803" s="258"/>
      <c r="Z58803" s="258"/>
    </row>
    <row r="58804" spans="1:26" ht="12.75" customHeight="1" x14ac:dyDescent="0.2">
      <c r="A58804" s="258"/>
      <c r="Z58804" s="258"/>
    </row>
    <row r="58805" spans="1:26" ht="12.75" customHeight="1" x14ac:dyDescent="0.2">
      <c r="A58805" s="258"/>
      <c r="Z58805" s="258"/>
    </row>
    <row r="58806" spans="1:26" ht="12.75" customHeight="1" x14ac:dyDescent="0.2">
      <c r="A58806" s="258"/>
      <c r="Z58806" s="258"/>
    </row>
    <row r="58807" spans="1:26" ht="12.75" customHeight="1" x14ac:dyDescent="0.2">
      <c r="A58807" s="258"/>
      <c r="Z58807" s="258"/>
    </row>
    <row r="58808" spans="1:26" ht="12.75" customHeight="1" x14ac:dyDescent="0.2">
      <c r="A58808" s="258"/>
      <c r="Z58808" s="258"/>
    </row>
    <row r="58809" spans="1:26" ht="12.75" customHeight="1" x14ac:dyDescent="0.2">
      <c r="A58809" s="258"/>
      <c r="Z58809" s="258"/>
    </row>
    <row r="58810" spans="1:26" ht="12.75" customHeight="1" x14ac:dyDescent="0.2">
      <c r="A58810" s="258"/>
      <c r="Z58810" s="258"/>
    </row>
    <row r="58811" spans="1:26" ht="12.75" customHeight="1" x14ac:dyDescent="0.2">
      <c r="A58811" s="258"/>
      <c r="Z58811" s="258"/>
    </row>
    <row r="58812" spans="1:26" ht="12.75" customHeight="1" x14ac:dyDescent="0.2">
      <c r="A58812" s="258"/>
      <c r="Z58812" s="258"/>
    </row>
    <row r="58813" spans="1:26" ht="12.75" customHeight="1" x14ac:dyDescent="0.2">
      <c r="A58813" s="258"/>
      <c r="Z58813" s="258"/>
    </row>
    <row r="58814" spans="1:26" ht="12.75" customHeight="1" x14ac:dyDescent="0.2">
      <c r="A58814" s="258"/>
      <c r="Z58814" s="258"/>
    </row>
    <row r="58815" spans="1:26" ht="12.75" customHeight="1" x14ac:dyDescent="0.2">
      <c r="A58815" s="258"/>
      <c r="Z58815" s="258"/>
    </row>
    <row r="58816" spans="1:26" ht="12.75" customHeight="1" x14ac:dyDescent="0.2">
      <c r="A58816" s="258"/>
      <c r="Z58816" s="258"/>
    </row>
    <row r="58817" spans="1:26" ht="12.75" customHeight="1" x14ac:dyDescent="0.2">
      <c r="A58817" s="258"/>
      <c r="Z58817" s="258"/>
    </row>
    <row r="58818" spans="1:26" ht="12.75" customHeight="1" x14ac:dyDescent="0.2">
      <c r="A58818" s="258"/>
      <c r="Z58818" s="258"/>
    </row>
    <row r="58819" spans="1:26" ht="12.75" customHeight="1" x14ac:dyDescent="0.2">
      <c r="A58819" s="258"/>
      <c r="Z58819" s="258"/>
    </row>
    <row r="58820" spans="1:26" ht="12.75" customHeight="1" x14ac:dyDescent="0.2">
      <c r="A58820" s="258"/>
      <c r="Z58820" s="258"/>
    </row>
    <row r="58821" spans="1:26" ht="12.75" customHeight="1" x14ac:dyDescent="0.2">
      <c r="A58821" s="258"/>
      <c r="Z58821" s="258"/>
    </row>
    <row r="58822" spans="1:26" ht="12.75" customHeight="1" x14ac:dyDescent="0.2">
      <c r="A58822" s="258"/>
      <c r="Z58822" s="258"/>
    </row>
    <row r="58823" spans="1:26" ht="12.75" customHeight="1" x14ac:dyDescent="0.2">
      <c r="A58823" s="258"/>
      <c r="Z58823" s="258"/>
    </row>
    <row r="58824" spans="1:26" ht="12.75" customHeight="1" x14ac:dyDescent="0.2">
      <c r="A58824" s="258"/>
      <c r="Z58824" s="258"/>
    </row>
    <row r="58825" spans="1:26" ht="12.75" customHeight="1" x14ac:dyDescent="0.2">
      <c r="A58825" s="258"/>
      <c r="Z58825" s="258"/>
    </row>
    <row r="58826" spans="1:26" ht="12.75" customHeight="1" x14ac:dyDescent="0.2">
      <c r="A58826" s="258"/>
      <c r="Z58826" s="258"/>
    </row>
    <row r="58827" spans="1:26" ht="12.75" customHeight="1" x14ac:dyDescent="0.2">
      <c r="A58827" s="258"/>
      <c r="Z58827" s="258"/>
    </row>
    <row r="58828" spans="1:26" ht="12.75" customHeight="1" x14ac:dyDescent="0.2">
      <c r="A58828" s="258"/>
      <c r="Z58828" s="258"/>
    </row>
    <row r="58829" spans="1:26" ht="12.75" customHeight="1" x14ac:dyDescent="0.2">
      <c r="A58829" s="258"/>
      <c r="Z58829" s="258"/>
    </row>
    <row r="58830" spans="1:26" ht="12.75" customHeight="1" x14ac:dyDescent="0.2">
      <c r="A58830" s="258"/>
      <c r="Z58830" s="258"/>
    </row>
    <row r="58831" spans="1:26" ht="12.75" customHeight="1" x14ac:dyDescent="0.2">
      <c r="A58831" s="258"/>
      <c r="Z58831" s="258"/>
    </row>
    <row r="58832" spans="1:26" ht="12.75" customHeight="1" x14ac:dyDescent="0.2">
      <c r="A58832" s="258"/>
      <c r="Z58832" s="258"/>
    </row>
    <row r="58833" spans="1:26" ht="12.75" customHeight="1" x14ac:dyDescent="0.2">
      <c r="A58833" s="258"/>
      <c r="Z58833" s="258"/>
    </row>
    <row r="58834" spans="1:26" ht="12.75" customHeight="1" x14ac:dyDescent="0.2">
      <c r="A58834" s="258"/>
      <c r="Z58834" s="258"/>
    </row>
    <row r="58835" spans="1:26" ht="12.75" customHeight="1" x14ac:dyDescent="0.2">
      <c r="A58835" s="258"/>
      <c r="Z58835" s="258"/>
    </row>
    <row r="58836" spans="1:26" ht="12.75" customHeight="1" x14ac:dyDescent="0.2">
      <c r="A58836" s="258"/>
      <c r="Z58836" s="258"/>
    </row>
    <row r="58837" spans="1:26" ht="12.75" customHeight="1" x14ac:dyDescent="0.2">
      <c r="A58837" s="258"/>
      <c r="Z58837" s="258"/>
    </row>
    <row r="58838" spans="1:26" ht="12.75" customHeight="1" x14ac:dyDescent="0.2">
      <c r="A58838" s="258"/>
      <c r="Z58838" s="258"/>
    </row>
    <row r="58839" spans="1:26" ht="12.75" customHeight="1" x14ac:dyDescent="0.2">
      <c r="A58839" s="258"/>
      <c r="Z58839" s="258"/>
    </row>
    <row r="58840" spans="1:26" ht="12.75" customHeight="1" x14ac:dyDescent="0.2">
      <c r="A58840" s="258"/>
      <c r="Z58840" s="258"/>
    </row>
    <row r="58841" spans="1:26" ht="12.75" customHeight="1" x14ac:dyDescent="0.2">
      <c r="A58841" s="258"/>
      <c r="Z58841" s="258"/>
    </row>
    <row r="58842" spans="1:26" ht="12.75" customHeight="1" x14ac:dyDescent="0.2">
      <c r="A58842" s="258"/>
      <c r="Z58842" s="258"/>
    </row>
    <row r="58843" spans="1:26" ht="12.75" customHeight="1" x14ac:dyDescent="0.2">
      <c r="A58843" s="258"/>
      <c r="Z58843" s="258"/>
    </row>
    <row r="58844" spans="1:26" ht="12.75" customHeight="1" x14ac:dyDescent="0.2">
      <c r="A58844" s="258"/>
      <c r="Z58844" s="258"/>
    </row>
    <row r="58845" spans="1:26" ht="12.75" customHeight="1" x14ac:dyDescent="0.2">
      <c r="A58845" s="258"/>
      <c r="Z58845" s="258"/>
    </row>
    <row r="58846" spans="1:26" ht="12.75" customHeight="1" x14ac:dyDescent="0.2">
      <c r="A58846" s="258"/>
      <c r="Z58846" s="258"/>
    </row>
    <row r="58847" spans="1:26" ht="12.75" customHeight="1" x14ac:dyDescent="0.2">
      <c r="A58847" s="258"/>
      <c r="Z58847" s="258"/>
    </row>
    <row r="58848" spans="1:26" ht="12.75" customHeight="1" x14ac:dyDescent="0.2">
      <c r="A58848" s="258"/>
      <c r="Z58848" s="258"/>
    </row>
    <row r="58849" spans="1:26" ht="12.75" customHeight="1" x14ac:dyDescent="0.2">
      <c r="A58849" s="258"/>
      <c r="Z58849" s="258"/>
    </row>
    <row r="58850" spans="1:26" ht="12.75" customHeight="1" x14ac:dyDescent="0.2">
      <c r="A58850" s="258"/>
      <c r="Z58850" s="258"/>
    </row>
    <row r="58851" spans="1:26" ht="12.75" customHeight="1" x14ac:dyDescent="0.2">
      <c r="A58851" s="258"/>
      <c r="Z58851" s="258"/>
    </row>
    <row r="58852" spans="1:26" ht="12.75" customHeight="1" x14ac:dyDescent="0.2">
      <c r="A58852" s="258"/>
      <c r="Z58852" s="258"/>
    </row>
    <row r="58853" spans="1:26" ht="12.75" customHeight="1" x14ac:dyDescent="0.2">
      <c r="A58853" s="258"/>
      <c r="Z58853" s="258"/>
    </row>
    <row r="58854" spans="1:26" ht="12.75" customHeight="1" x14ac:dyDescent="0.2">
      <c r="A58854" s="258"/>
      <c r="Z58854" s="258"/>
    </row>
    <row r="58855" spans="1:26" ht="12.75" customHeight="1" x14ac:dyDescent="0.2">
      <c r="A58855" s="258"/>
      <c r="Z58855" s="258"/>
    </row>
    <row r="58856" spans="1:26" ht="12.75" customHeight="1" x14ac:dyDescent="0.2">
      <c r="A58856" s="258"/>
      <c r="Z58856" s="258"/>
    </row>
    <row r="58857" spans="1:26" ht="12.75" customHeight="1" x14ac:dyDescent="0.2">
      <c r="A58857" s="258"/>
      <c r="Z58857" s="258"/>
    </row>
    <row r="58858" spans="1:26" ht="12.75" customHeight="1" x14ac:dyDescent="0.2">
      <c r="A58858" s="258"/>
      <c r="Z58858" s="258"/>
    </row>
    <row r="58859" spans="1:26" ht="12.75" customHeight="1" x14ac:dyDescent="0.2">
      <c r="A58859" s="258"/>
      <c r="Z58859" s="258"/>
    </row>
    <row r="58860" spans="1:26" ht="12.75" customHeight="1" x14ac:dyDescent="0.2">
      <c r="A58860" s="258"/>
      <c r="Z58860" s="258"/>
    </row>
    <row r="58861" spans="1:26" ht="12.75" customHeight="1" x14ac:dyDescent="0.2">
      <c r="A58861" s="258"/>
      <c r="Z58861" s="258"/>
    </row>
    <row r="58862" spans="1:26" ht="12.75" customHeight="1" x14ac:dyDescent="0.2">
      <c r="A58862" s="258"/>
      <c r="Z58862" s="258"/>
    </row>
    <row r="58863" spans="1:26" ht="12.75" customHeight="1" x14ac:dyDescent="0.2">
      <c r="A58863" s="258"/>
      <c r="Z58863" s="258"/>
    </row>
    <row r="58864" spans="1:26" ht="12.75" customHeight="1" x14ac:dyDescent="0.2">
      <c r="A58864" s="258"/>
      <c r="Z58864" s="258"/>
    </row>
    <row r="58865" spans="1:26" ht="12.75" customHeight="1" x14ac:dyDescent="0.2">
      <c r="A58865" s="258"/>
      <c r="Z58865" s="258"/>
    </row>
    <row r="58866" spans="1:26" ht="12.75" customHeight="1" x14ac:dyDescent="0.2">
      <c r="A58866" s="258"/>
      <c r="Z58866" s="258"/>
    </row>
    <row r="58867" spans="1:26" ht="12.75" customHeight="1" x14ac:dyDescent="0.2">
      <c r="A58867" s="258"/>
      <c r="Z58867" s="258"/>
    </row>
    <row r="58868" spans="1:26" ht="12.75" customHeight="1" x14ac:dyDescent="0.2">
      <c r="A58868" s="258"/>
      <c r="Z58868" s="258"/>
    </row>
    <row r="58869" spans="1:26" ht="12.75" customHeight="1" x14ac:dyDescent="0.2">
      <c r="A58869" s="258"/>
      <c r="Z58869" s="258"/>
    </row>
    <row r="58870" spans="1:26" ht="12.75" customHeight="1" x14ac:dyDescent="0.2">
      <c r="A58870" s="258"/>
      <c r="Z58870" s="258"/>
    </row>
    <row r="58871" spans="1:26" ht="12.75" customHeight="1" x14ac:dyDescent="0.2">
      <c r="A58871" s="258"/>
      <c r="Z58871" s="258"/>
    </row>
    <row r="58872" spans="1:26" ht="12.75" customHeight="1" x14ac:dyDescent="0.2">
      <c r="A58872" s="258"/>
      <c r="Z58872" s="258"/>
    </row>
    <row r="58873" spans="1:26" ht="12.75" customHeight="1" x14ac:dyDescent="0.2">
      <c r="A58873" s="258"/>
      <c r="Z58873" s="258"/>
    </row>
    <row r="58874" spans="1:26" ht="12.75" customHeight="1" x14ac:dyDescent="0.2">
      <c r="A58874" s="258"/>
      <c r="Z58874" s="258"/>
    </row>
    <row r="58875" spans="1:26" ht="12.75" customHeight="1" x14ac:dyDescent="0.2">
      <c r="A58875" s="258"/>
      <c r="Z58875" s="258"/>
    </row>
    <row r="58876" spans="1:26" ht="12.75" customHeight="1" x14ac:dyDescent="0.2">
      <c r="A58876" s="258"/>
      <c r="Z58876" s="258"/>
    </row>
    <row r="58877" spans="1:26" ht="12.75" customHeight="1" x14ac:dyDescent="0.2">
      <c r="A58877" s="258"/>
      <c r="Z58877" s="258"/>
    </row>
    <row r="58878" spans="1:26" ht="12.75" customHeight="1" x14ac:dyDescent="0.2">
      <c r="A58878" s="258"/>
      <c r="Z58878" s="258"/>
    </row>
    <row r="58879" spans="1:26" ht="12.75" customHeight="1" x14ac:dyDescent="0.2">
      <c r="A58879" s="258"/>
      <c r="Z58879" s="258"/>
    </row>
    <row r="58880" spans="1:26" ht="12.75" customHeight="1" x14ac:dyDescent="0.2">
      <c r="A58880" s="258"/>
      <c r="Z58880" s="258"/>
    </row>
    <row r="58881" spans="1:26" ht="12.75" customHeight="1" x14ac:dyDescent="0.2">
      <c r="A58881" s="258"/>
      <c r="Z58881" s="258"/>
    </row>
    <row r="58882" spans="1:26" ht="12.75" customHeight="1" x14ac:dyDescent="0.2">
      <c r="A58882" s="258"/>
      <c r="Z58882" s="258"/>
    </row>
    <row r="58883" spans="1:26" ht="12.75" customHeight="1" x14ac:dyDescent="0.2">
      <c r="A58883" s="258"/>
      <c r="Z58883" s="258"/>
    </row>
    <row r="58884" spans="1:26" ht="12.75" customHeight="1" x14ac:dyDescent="0.2">
      <c r="A58884" s="258"/>
      <c r="Z58884" s="258"/>
    </row>
    <row r="58885" spans="1:26" ht="12.75" customHeight="1" x14ac:dyDescent="0.2">
      <c r="A58885" s="258"/>
      <c r="Z58885" s="258"/>
    </row>
    <row r="58886" spans="1:26" ht="12.75" customHeight="1" x14ac:dyDescent="0.2">
      <c r="A58886" s="258"/>
      <c r="Z58886" s="258"/>
    </row>
    <row r="58887" spans="1:26" ht="12.75" customHeight="1" x14ac:dyDescent="0.2">
      <c r="A58887" s="258"/>
      <c r="Z58887" s="258"/>
    </row>
    <row r="58888" spans="1:26" ht="12.75" customHeight="1" x14ac:dyDescent="0.2">
      <c r="A58888" s="258"/>
      <c r="Z58888" s="258"/>
    </row>
    <row r="58889" spans="1:26" ht="12.75" customHeight="1" x14ac:dyDescent="0.2">
      <c r="A58889" s="258"/>
      <c r="Z58889" s="258"/>
    </row>
    <row r="58890" spans="1:26" ht="12.75" customHeight="1" x14ac:dyDescent="0.2">
      <c r="A58890" s="258"/>
      <c r="Z58890" s="258"/>
    </row>
    <row r="58891" spans="1:26" ht="12.75" customHeight="1" x14ac:dyDescent="0.2">
      <c r="A58891" s="258"/>
      <c r="Z58891" s="258"/>
    </row>
    <row r="58892" spans="1:26" ht="12.75" customHeight="1" x14ac:dyDescent="0.2">
      <c r="A58892" s="258"/>
      <c r="Z58892" s="258"/>
    </row>
    <row r="58893" spans="1:26" ht="12.75" customHeight="1" x14ac:dyDescent="0.2">
      <c r="A58893" s="258"/>
      <c r="Z58893" s="258"/>
    </row>
    <row r="58894" spans="1:26" ht="12.75" customHeight="1" x14ac:dyDescent="0.2">
      <c r="A58894" s="258"/>
      <c r="Z58894" s="258"/>
    </row>
    <row r="58895" spans="1:26" ht="12.75" customHeight="1" x14ac:dyDescent="0.2">
      <c r="A58895" s="258"/>
      <c r="Z58895" s="258"/>
    </row>
    <row r="58896" spans="1:26" ht="12.75" customHeight="1" x14ac:dyDescent="0.2">
      <c r="A58896" s="258"/>
      <c r="Z58896" s="258"/>
    </row>
    <row r="58897" spans="1:26" ht="12.75" customHeight="1" x14ac:dyDescent="0.2">
      <c r="A58897" s="258"/>
      <c r="Z58897" s="258"/>
    </row>
    <row r="58898" spans="1:26" ht="12.75" customHeight="1" x14ac:dyDescent="0.2">
      <c r="A58898" s="258"/>
      <c r="Z58898" s="258"/>
    </row>
    <row r="58899" spans="1:26" ht="12.75" customHeight="1" x14ac:dyDescent="0.2">
      <c r="A58899" s="258"/>
      <c r="Z58899" s="258"/>
    </row>
    <row r="58900" spans="1:26" ht="12.75" customHeight="1" x14ac:dyDescent="0.2">
      <c r="A58900" s="258"/>
      <c r="Z58900" s="258"/>
    </row>
    <row r="58901" spans="1:26" ht="12.75" customHeight="1" x14ac:dyDescent="0.2">
      <c r="A58901" s="258"/>
      <c r="Z58901" s="258"/>
    </row>
    <row r="58902" spans="1:26" ht="12.75" customHeight="1" x14ac:dyDescent="0.2">
      <c r="A58902" s="258"/>
      <c r="Z58902" s="258"/>
    </row>
    <row r="58903" spans="1:26" ht="12.75" customHeight="1" x14ac:dyDescent="0.2">
      <c r="A58903" s="258"/>
      <c r="Z58903" s="258"/>
    </row>
    <row r="58904" spans="1:26" ht="12.75" customHeight="1" x14ac:dyDescent="0.2">
      <c r="A58904" s="258"/>
      <c r="Z58904" s="258"/>
    </row>
    <row r="58905" spans="1:26" ht="12.75" customHeight="1" x14ac:dyDescent="0.2">
      <c r="A58905" s="258"/>
      <c r="Z58905" s="258"/>
    </row>
    <row r="58906" spans="1:26" ht="12.75" customHeight="1" x14ac:dyDescent="0.2">
      <c r="A58906" s="258"/>
      <c r="Z58906" s="258"/>
    </row>
    <row r="58907" spans="1:26" ht="12.75" customHeight="1" x14ac:dyDescent="0.2">
      <c r="A58907" s="258"/>
      <c r="Z58907" s="258"/>
    </row>
    <row r="58908" spans="1:26" ht="12.75" customHeight="1" x14ac:dyDescent="0.2">
      <c r="A58908" s="258"/>
      <c r="Z58908" s="258"/>
    </row>
    <row r="58909" spans="1:26" ht="12.75" customHeight="1" x14ac:dyDescent="0.2">
      <c r="A58909" s="258"/>
      <c r="Z58909" s="258"/>
    </row>
    <row r="58910" spans="1:26" ht="12.75" customHeight="1" x14ac:dyDescent="0.2">
      <c r="A58910" s="258"/>
      <c r="Z58910" s="258"/>
    </row>
    <row r="58911" spans="1:26" ht="12.75" customHeight="1" x14ac:dyDescent="0.2">
      <c r="A58911" s="258"/>
      <c r="Z58911" s="258"/>
    </row>
    <row r="58912" spans="1:26" ht="12.75" customHeight="1" x14ac:dyDescent="0.2">
      <c r="A58912" s="258"/>
      <c r="Z58912" s="258"/>
    </row>
    <row r="58913" spans="1:26" ht="12.75" customHeight="1" x14ac:dyDescent="0.2">
      <c r="A58913" s="258"/>
      <c r="Z58913" s="258"/>
    </row>
    <row r="58914" spans="1:26" ht="12.75" customHeight="1" x14ac:dyDescent="0.2">
      <c r="A58914" s="258"/>
      <c r="Z58914" s="258"/>
    </row>
    <row r="58915" spans="1:26" ht="12.75" customHeight="1" x14ac:dyDescent="0.2">
      <c r="A58915" s="258"/>
      <c r="Z58915" s="258"/>
    </row>
    <row r="58916" spans="1:26" ht="12.75" customHeight="1" x14ac:dyDescent="0.2">
      <c r="A58916" s="258"/>
      <c r="Z58916" s="258"/>
    </row>
    <row r="58917" spans="1:26" ht="12.75" customHeight="1" x14ac:dyDescent="0.2">
      <c r="A58917" s="258"/>
      <c r="Z58917" s="258"/>
    </row>
    <row r="58918" spans="1:26" ht="12.75" customHeight="1" x14ac:dyDescent="0.2">
      <c r="A58918" s="258"/>
      <c r="Z58918" s="258"/>
    </row>
    <row r="58919" spans="1:26" ht="12.75" customHeight="1" x14ac:dyDescent="0.2">
      <c r="A58919" s="258"/>
      <c r="Z58919" s="258"/>
    </row>
    <row r="58920" spans="1:26" ht="12.75" customHeight="1" x14ac:dyDescent="0.2">
      <c r="A58920" s="258"/>
      <c r="Z58920" s="258"/>
    </row>
    <row r="58921" spans="1:26" ht="12.75" customHeight="1" x14ac:dyDescent="0.2">
      <c r="A58921" s="258"/>
      <c r="Z58921" s="258"/>
    </row>
    <row r="58922" spans="1:26" ht="12.75" customHeight="1" x14ac:dyDescent="0.2">
      <c r="A58922" s="258"/>
      <c r="Z58922" s="258"/>
    </row>
    <row r="58923" spans="1:26" ht="12.75" customHeight="1" x14ac:dyDescent="0.2">
      <c r="A58923" s="258"/>
      <c r="Z58923" s="258"/>
    </row>
    <row r="58924" spans="1:26" ht="12.75" customHeight="1" x14ac:dyDescent="0.2">
      <c r="A58924" s="258"/>
      <c r="Z58924" s="258"/>
    </row>
    <row r="58925" spans="1:26" ht="12.75" customHeight="1" x14ac:dyDescent="0.2">
      <c r="A58925" s="258"/>
      <c r="Z58925" s="258"/>
    </row>
    <row r="58926" spans="1:26" ht="12.75" customHeight="1" x14ac:dyDescent="0.2">
      <c r="A58926" s="258"/>
      <c r="Z58926" s="258"/>
    </row>
    <row r="58927" spans="1:26" ht="12.75" customHeight="1" x14ac:dyDescent="0.2">
      <c r="A58927" s="258"/>
      <c r="Z58927" s="258"/>
    </row>
    <row r="58928" spans="1:26" ht="12.75" customHeight="1" x14ac:dyDescent="0.2">
      <c r="A58928" s="258"/>
      <c r="Z58928" s="258"/>
    </row>
    <row r="58929" spans="1:26" ht="12.75" customHeight="1" x14ac:dyDescent="0.2">
      <c r="A58929" s="258"/>
      <c r="Z58929" s="258"/>
    </row>
    <row r="58930" spans="1:26" ht="12.75" customHeight="1" x14ac:dyDescent="0.2">
      <c r="A58930" s="258"/>
      <c r="Z58930" s="258"/>
    </row>
    <row r="58931" spans="1:26" ht="12.75" customHeight="1" x14ac:dyDescent="0.2">
      <c r="A58931" s="258"/>
      <c r="Z58931" s="258"/>
    </row>
    <row r="58932" spans="1:26" ht="12.75" customHeight="1" x14ac:dyDescent="0.2">
      <c r="A58932" s="258"/>
      <c r="Z58932" s="258"/>
    </row>
    <row r="58933" spans="1:26" ht="12.75" customHeight="1" x14ac:dyDescent="0.2">
      <c r="A58933" s="258"/>
      <c r="Z58933" s="258"/>
    </row>
    <row r="58934" spans="1:26" ht="12.75" customHeight="1" x14ac:dyDescent="0.2">
      <c r="A58934" s="258"/>
      <c r="Z58934" s="258"/>
    </row>
    <row r="58935" spans="1:26" ht="12.75" customHeight="1" x14ac:dyDescent="0.2">
      <c r="A58935" s="258"/>
      <c r="Z58935" s="258"/>
    </row>
    <row r="58936" spans="1:26" ht="12.75" customHeight="1" x14ac:dyDescent="0.2">
      <c r="A58936" s="258"/>
      <c r="Z58936" s="258"/>
    </row>
    <row r="58937" spans="1:26" ht="12.75" customHeight="1" x14ac:dyDescent="0.2">
      <c r="A58937" s="258"/>
      <c r="Z58937" s="258"/>
    </row>
    <row r="58938" spans="1:26" ht="12.75" customHeight="1" x14ac:dyDescent="0.2">
      <c r="A58938" s="258"/>
      <c r="Z58938" s="258"/>
    </row>
    <row r="58939" spans="1:26" ht="12.75" customHeight="1" x14ac:dyDescent="0.2">
      <c r="A58939" s="258"/>
      <c r="Z58939" s="258"/>
    </row>
    <row r="58940" spans="1:26" ht="12.75" customHeight="1" x14ac:dyDescent="0.2">
      <c r="A58940" s="258"/>
      <c r="Z58940" s="258"/>
    </row>
    <row r="58941" spans="1:26" ht="12.75" customHeight="1" x14ac:dyDescent="0.2">
      <c r="A58941" s="258"/>
      <c r="Z58941" s="258"/>
    </row>
    <row r="58942" spans="1:26" ht="12.75" customHeight="1" x14ac:dyDescent="0.2">
      <c r="A58942" s="258"/>
      <c r="Z58942" s="258"/>
    </row>
    <row r="58943" spans="1:26" ht="12.75" customHeight="1" x14ac:dyDescent="0.2">
      <c r="A58943" s="258"/>
      <c r="Z58943" s="258"/>
    </row>
    <row r="58944" spans="1:26" ht="12.75" customHeight="1" x14ac:dyDescent="0.2">
      <c r="A58944" s="258"/>
      <c r="Z58944" s="258"/>
    </row>
    <row r="58945" spans="1:26" ht="12.75" customHeight="1" x14ac:dyDescent="0.2">
      <c r="A58945" s="258"/>
      <c r="Z58945" s="258"/>
    </row>
    <row r="58946" spans="1:26" ht="12.75" customHeight="1" x14ac:dyDescent="0.2">
      <c r="A58946" s="258"/>
      <c r="Z58946" s="258"/>
    </row>
    <row r="58947" spans="1:26" ht="12.75" customHeight="1" x14ac:dyDescent="0.2">
      <c r="A58947" s="258"/>
      <c r="Z58947" s="258"/>
    </row>
    <row r="58948" spans="1:26" ht="12.75" customHeight="1" x14ac:dyDescent="0.2">
      <c r="A58948" s="258"/>
      <c r="Z58948" s="258"/>
    </row>
    <row r="58949" spans="1:26" ht="12.75" customHeight="1" x14ac:dyDescent="0.2">
      <c r="A58949" s="258"/>
      <c r="Z58949" s="258"/>
    </row>
    <row r="58950" spans="1:26" ht="12.75" customHeight="1" x14ac:dyDescent="0.2">
      <c r="A58950" s="258"/>
      <c r="Z58950" s="258"/>
    </row>
    <row r="58951" spans="1:26" ht="12.75" customHeight="1" x14ac:dyDescent="0.2">
      <c r="A58951" s="258"/>
      <c r="Z58951" s="258"/>
    </row>
    <row r="58952" spans="1:26" ht="12.75" customHeight="1" x14ac:dyDescent="0.2">
      <c r="A58952" s="258"/>
      <c r="Z58952" s="258"/>
    </row>
    <row r="58953" spans="1:26" ht="12.75" customHeight="1" x14ac:dyDescent="0.2">
      <c r="A58953" s="258"/>
      <c r="Z58953" s="258"/>
    </row>
    <row r="58954" spans="1:26" ht="12.75" customHeight="1" x14ac:dyDescent="0.2">
      <c r="A58954" s="258"/>
      <c r="Z58954" s="258"/>
    </row>
    <row r="58955" spans="1:26" ht="12.75" customHeight="1" x14ac:dyDescent="0.2">
      <c r="A58955" s="258"/>
      <c r="Z58955" s="258"/>
    </row>
    <row r="58956" spans="1:26" ht="12.75" customHeight="1" x14ac:dyDescent="0.2">
      <c r="A58956" s="258"/>
      <c r="Z58956" s="258"/>
    </row>
    <row r="58957" spans="1:26" ht="12.75" customHeight="1" x14ac:dyDescent="0.2">
      <c r="A58957" s="258"/>
      <c r="Z58957" s="258"/>
    </row>
    <row r="58958" spans="1:26" ht="12.75" customHeight="1" x14ac:dyDescent="0.2">
      <c r="A58958" s="258"/>
      <c r="Z58958" s="258"/>
    </row>
    <row r="58959" spans="1:26" ht="12.75" customHeight="1" x14ac:dyDescent="0.2">
      <c r="A58959" s="258"/>
      <c r="Z58959" s="258"/>
    </row>
    <row r="58960" spans="1:26" ht="12.75" customHeight="1" x14ac:dyDescent="0.2">
      <c r="A58960" s="258"/>
      <c r="Z58960" s="258"/>
    </row>
    <row r="58961" spans="1:26" ht="12.75" customHeight="1" x14ac:dyDescent="0.2">
      <c r="A58961" s="258"/>
      <c r="Z58961" s="258"/>
    </row>
    <row r="58962" spans="1:26" ht="12.75" customHeight="1" x14ac:dyDescent="0.2">
      <c r="A58962" s="258"/>
      <c r="Z58962" s="258"/>
    </row>
    <row r="58963" spans="1:26" ht="12.75" customHeight="1" x14ac:dyDescent="0.2">
      <c r="A58963" s="258"/>
      <c r="Z58963" s="258"/>
    </row>
    <row r="58964" spans="1:26" ht="12.75" customHeight="1" x14ac:dyDescent="0.2">
      <c r="A58964" s="258"/>
      <c r="Z58964" s="258"/>
    </row>
    <row r="58965" spans="1:26" ht="12.75" customHeight="1" x14ac:dyDescent="0.2">
      <c r="A58965" s="258"/>
      <c r="Z58965" s="258"/>
    </row>
    <row r="58966" spans="1:26" ht="12.75" customHeight="1" x14ac:dyDescent="0.2">
      <c r="A58966" s="258"/>
      <c r="Z58966" s="258"/>
    </row>
    <row r="58967" spans="1:26" ht="12.75" customHeight="1" x14ac:dyDescent="0.2">
      <c r="A58967" s="258"/>
      <c r="Z58967" s="258"/>
    </row>
    <row r="58968" spans="1:26" ht="12.75" customHeight="1" x14ac:dyDescent="0.2">
      <c r="A58968" s="258"/>
      <c r="Z58968" s="258"/>
    </row>
    <row r="58969" spans="1:26" ht="12.75" customHeight="1" x14ac:dyDescent="0.2">
      <c r="A58969" s="258"/>
      <c r="Z58969" s="258"/>
    </row>
    <row r="58970" spans="1:26" ht="12.75" customHeight="1" x14ac:dyDescent="0.2">
      <c r="A58970" s="258"/>
      <c r="Z58970" s="258"/>
    </row>
    <row r="58971" spans="1:26" ht="12.75" customHeight="1" x14ac:dyDescent="0.2">
      <c r="A58971" s="258"/>
      <c r="Z58971" s="258"/>
    </row>
    <row r="58972" spans="1:26" ht="12.75" customHeight="1" x14ac:dyDescent="0.2">
      <c r="A58972" s="258"/>
      <c r="Z58972" s="258"/>
    </row>
    <row r="58973" spans="1:26" ht="12.75" customHeight="1" x14ac:dyDescent="0.2">
      <c r="A58973" s="258"/>
      <c r="Z58973" s="258"/>
    </row>
    <row r="58974" spans="1:26" ht="12.75" customHeight="1" x14ac:dyDescent="0.2">
      <c r="A58974" s="258"/>
      <c r="Z58974" s="258"/>
    </row>
    <row r="58975" spans="1:26" ht="12.75" customHeight="1" x14ac:dyDescent="0.2">
      <c r="A58975" s="258"/>
      <c r="Z58975" s="258"/>
    </row>
    <row r="58976" spans="1:26" ht="12.75" customHeight="1" x14ac:dyDescent="0.2">
      <c r="A58976" s="258"/>
      <c r="Z58976" s="258"/>
    </row>
    <row r="58977" spans="1:26" ht="12.75" customHeight="1" x14ac:dyDescent="0.2">
      <c r="A58977" s="258"/>
      <c r="Z58977" s="258"/>
    </row>
    <row r="58978" spans="1:26" ht="12.75" customHeight="1" x14ac:dyDescent="0.2">
      <c r="A58978" s="258"/>
      <c r="Z58978" s="258"/>
    </row>
    <row r="58979" spans="1:26" ht="12.75" customHeight="1" x14ac:dyDescent="0.2">
      <c r="A58979" s="258"/>
      <c r="Z58979" s="258"/>
    </row>
    <row r="58980" spans="1:26" ht="12.75" customHeight="1" x14ac:dyDescent="0.2">
      <c r="A58980" s="258"/>
      <c r="Z58980" s="258"/>
    </row>
    <row r="58981" spans="1:26" ht="12.75" customHeight="1" x14ac:dyDescent="0.2">
      <c r="A58981" s="258"/>
      <c r="Z58981" s="258"/>
    </row>
    <row r="58982" spans="1:26" ht="12.75" customHeight="1" x14ac:dyDescent="0.2">
      <c r="A58982" s="258"/>
      <c r="Z58982" s="258"/>
    </row>
    <row r="58983" spans="1:26" ht="12.75" customHeight="1" x14ac:dyDescent="0.2">
      <c r="A58983" s="258"/>
      <c r="Z58983" s="258"/>
    </row>
    <row r="58984" spans="1:26" ht="12.75" customHeight="1" x14ac:dyDescent="0.2">
      <c r="A58984" s="258"/>
      <c r="Z58984" s="258"/>
    </row>
    <row r="58985" spans="1:26" ht="12.75" customHeight="1" x14ac:dyDescent="0.2">
      <c r="A58985" s="258"/>
      <c r="Z58985" s="258"/>
    </row>
    <row r="58986" spans="1:26" ht="12.75" customHeight="1" x14ac:dyDescent="0.2">
      <c r="A58986" s="258"/>
      <c r="Z58986" s="258"/>
    </row>
    <row r="58987" spans="1:26" ht="12.75" customHeight="1" x14ac:dyDescent="0.2">
      <c r="A58987" s="258"/>
      <c r="Z58987" s="258"/>
    </row>
    <row r="58988" spans="1:26" ht="12.75" customHeight="1" x14ac:dyDescent="0.2">
      <c r="A58988" s="258"/>
      <c r="Z58988" s="258"/>
    </row>
    <row r="58989" spans="1:26" ht="12.75" customHeight="1" x14ac:dyDescent="0.2">
      <c r="A58989" s="258"/>
      <c r="Z58989" s="258"/>
    </row>
    <row r="58990" spans="1:26" ht="12.75" customHeight="1" x14ac:dyDescent="0.2">
      <c r="A58990" s="258"/>
      <c r="Z58990" s="258"/>
    </row>
    <row r="58991" spans="1:26" ht="12.75" customHeight="1" x14ac:dyDescent="0.2">
      <c r="A58991" s="258"/>
      <c r="Z58991" s="258"/>
    </row>
    <row r="58992" spans="1:26" ht="12.75" customHeight="1" x14ac:dyDescent="0.2">
      <c r="A58992" s="258"/>
      <c r="Z58992" s="258"/>
    </row>
    <row r="58993" spans="1:26" ht="12.75" customHeight="1" x14ac:dyDescent="0.2">
      <c r="A58993" s="258"/>
      <c r="Z58993" s="258"/>
    </row>
    <row r="58994" spans="1:26" ht="12.75" customHeight="1" x14ac:dyDescent="0.2">
      <c r="A58994" s="258"/>
      <c r="Z58994" s="258"/>
    </row>
    <row r="58995" spans="1:26" ht="12.75" customHeight="1" x14ac:dyDescent="0.2">
      <c r="A58995" s="258"/>
      <c r="Z58995" s="258"/>
    </row>
    <row r="58996" spans="1:26" ht="12.75" customHeight="1" x14ac:dyDescent="0.2">
      <c r="A58996" s="258"/>
      <c r="Z58996" s="258"/>
    </row>
    <row r="58997" spans="1:26" ht="12.75" customHeight="1" x14ac:dyDescent="0.2">
      <c r="A58997" s="258"/>
      <c r="Z58997" s="258"/>
    </row>
    <row r="58998" spans="1:26" ht="12.75" customHeight="1" x14ac:dyDescent="0.2">
      <c r="A58998" s="258"/>
      <c r="Z58998" s="258"/>
    </row>
    <row r="58999" spans="1:26" ht="12.75" customHeight="1" x14ac:dyDescent="0.2">
      <c r="A58999" s="258"/>
      <c r="Z58999" s="258"/>
    </row>
    <row r="59000" spans="1:26" ht="12.75" customHeight="1" x14ac:dyDescent="0.2">
      <c r="A59000" s="258"/>
      <c r="Z59000" s="258"/>
    </row>
    <row r="59001" spans="1:26" ht="12.75" customHeight="1" x14ac:dyDescent="0.2">
      <c r="A59001" s="258"/>
      <c r="Z59001" s="258"/>
    </row>
    <row r="59002" spans="1:26" ht="12.75" customHeight="1" x14ac:dyDescent="0.2">
      <c r="A59002" s="258"/>
      <c r="Z59002" s="258"/>
    </row>
    <row r="59003" spans="1:26" ht="12.75" customHeight="1" x14ac:dyDescent="0.2">
      <c r="A59003" s="258"/>
      <c r="Z59003" s="258"/>
    </row>
    <row r="59004" spans="1:26" ht="12.75" customHeight="1" x14ac:dyDescent="0.2">
      <c r="A59004" s="258"/>
      <c r="Z59004" s="258"/>
    </row>
    <row r="59005" spans="1:26" ht="12.75" customHeight="1" x14ac:dyDescent="0.2">
      <c r="A59005" s="258"/>
      <c r="Z59005" s="258"/>
    </row>
    <row r="59006" spans="1:26" ht="12.75" customHeight="1" x14ac:dyDescent="0.2">
      <c r="A59006" s="258"/>
      <c r="Z59006" s="258"/>
    </row>
    <row r="59007" spans="1:26" ht="12.75" customHeight="1" x14ac:dyDescent="0.2">
      <c r="A59007" s="258"/>
      <c r="Z59007" s="258"/>
    </row>
    <row r="59008" spans="1:26" ht="12.75" customHeight="1" x14ac:dyDescent="0.2">
      <c r="A59008" s="258"/>
      <c r="Z59008" s="258"/>
    </row>
    <row r="59009" spans="1:26" ht="12.75" customHeight="1" x14ac:dyDescent="0.2">
      <c r="A59009" s="258"/>
      <c r="Z59009" s="258"/>
    </row>
    <row r="59010" spans="1:26" ht="12.75" customHeight="1" x14ac:dyDescent="0.2">
      <c r="A59010" s="258"/>
      <c r="Z59010" s="258"/>
    </row>
    <row r="59011" spans="1:26" ht="12.75" customHeight="1" x14ac:dyDescent="0.2">
      <c r="A59011" s="258"/>
      <c r="Z59011" s="258"/>
    </row>
    <row r="59012" spans="1:26" ht="12.75" customHeight="1" x14ac:dyDescent="0.2">
      <c r="A59012" s="258"/>
      <c r="Z59012" s="258"/>
    </row>
    <row r="59013" spans="1:26" ht="12.75" customHeight="1" x14ac:dyDescent="0.2">
      <c r="A59013" s="258"/>
      <c r="Z59013" s="258"/>
    </row>
    <row r="59014" spans="1:26" ht="12.75" customHeight="1" x14ac:dyDescent="0.2">
      <c r="A59014" s="258"/>
      <c r="Z59014" s="258"/>
    </row>
    <row r="59015" spans="1:26" ht="12.75" customHeight="1" x14ac:dyDescent="0.2">
      <c r="A59015" s="258"/>
      <c r="Z59015" s="258"/>
    </row>
    <row r="59016" spans="1:26" ht="12.75" customHeight="1" x14ac:dyDescent="0.2">
      <c r="A59016" s="258"/>
      <c r="Z59016" s="258"/>
    </row>
    <row r="59017" spans="1:26" ht="12.75" customHeight="1" x14ac:dyDescent="0.2">
      <c r="A59017" s="258"/>
      <c r="Z59017" s="258"/>
    </row>
    <row r="59018" spans="1:26" ht="12.75" customHeight="1" x14ac:dyDescent="0.2">
      <c r="A59018" s="258"/>
      <c r="Z59018" s="258"/>
    </row>
    <row r="59019" spans="1:26" ht="12.75" customHeight="1" x14ac:dyDescent="0.2">
      <c r="A59019" s="258"/>
      <c r="Z59019" s="258"/>
    </row>
    <row r="59020" spans="1:26" ht="12.75" customHeight="1" x14ac:dyDescent="0.2">
      <c r="A59020" s="258"/>
      <c r="Z59020" s="258"/>
    </row>
    <row r="59021" spans="1:26" ht="12.75" customHeight="1" x14ac:dyDescent="0.2">
      <c r="A59021" s="258"/>
      <c r="Z59021" s="258"/>
    </row>
    <row r="59022" spans="1:26" ht="12.75" customHeight="1" x14ac:dyDescent="0.2">
      <c r="A59022" s="258"/>
      <c r="Z59022" s="258"/>
    </row>
    <row r="59023" spans="1:26" ht="12.75" customHeight="1" x14ac:dyDescent="0.2">
      <c r="A59023" s="258"/>
      <c r="Z59023" s="258"/>
    </row>
    <row r="59024" spans="1:26" ht="12.75" customHeight="1" x14ac:dyDescent="0.2">
      <c r="A59024" s="258"/>
      <c r="Z59024" s="258"/>
    </row>
    <row r="59025" spans="1:26" ht="12.75" customHeight="1" x14ac:dyDescent="0.2">
      <c r="A59025" s="258"/>
      <c r="Z59025" s="258"/>
    </row>
    <row r="59026" spans="1:26" ht="12.75" customHeight="1" x14ac:dyDescent="0.2">
      <c r="A59026" s="258"/>
      <c r="Z59026" s="258"/>
    </row>
    <row r="59027" spans="1:26" ht="12.75" customHeight="1" x14ac:dyDescent="0.2">
      <c r="A59027" s="258"/>
      <c r="Z59027" s="258"/>
    </row>
    <row r="59028" spans="1:26" ht="12.75" customHeight="1" x14ac:dyDescent="0.2">
      <c r="A59028" s="258"/>
      <c r="Z59028" s="258"/>
    </row>
    <row r="59029" spans="1:26" ht="12.75" customHeight="1" x14ac:dyDescent="0.2">
      <c r="A59029" s="258"/>
      <c r="Z59029" s="258"/>
    </row>
    <row r="59030" spans="1:26" ht="12.75" customHeight="1" x14ac:dyDescent="0.2">
      <c r="A59030" s="258"/>
      <c r="Z59030" s="258"/>
    </row>
    <row r="59031" spans="1:26" ht="12.75" customHeight="1" x14ac:dyDescent="0.2">
      <c r="A59031" s="258"/>
      <c r="Z59031" s="258"/>
    </row>
    <row r="59032" spans="1:26" ht="12.75" customHeight="1" x14ac:dyDescent="0.2">
      <c r="A59032" s="258"/>
      <c r="Z59032" s="258"/>
    </row>
    <row r="59033" spans="1:26" ht="12.75" customHeight="1" x14ac:dyDescent="0.2">
      <c r="A59033" s="258"/>
      <c r="Z59033" s="258"/>
    </row>
    <row r="59034" spans="1:26" ht="12.75" customHeight="1" x14ac:dyDescent="0.2">
      <c r="A59034" s="258"/>
      <c r="Z59034" s="258"/>
    </row>
    <row r="59035" spans="1:26" ht="12.75" customHeight="1" x14ac:dyDescent="0.2">
      <c r="A59035" s="258"/>
      <c r="Z59035" s="258"/>
    </row>
    <row r="59036" spans="1:26" ht="12.75" customHeight="1" x14ac:dyDescent="0.2">
      <c r="A59036" s="258"/>
      <c r="Z59036" s="258"/>
    </row>
    <row r="59037" spans="1:26" ht="12.75" customHeight="1" x14ac:dyDescent="0.2">
      <c r="A59037" s="258"/>
      <c r="Z59037" s="258"/>
    </row>
    <row r="59038" spans="1:26" ht="12.75" customHeight="1" x14ac:dyDescent="0.2">
      <c r="A59038" s="258"/>
      <c r="Z59038" s="258"/>
    </row>
    <row r="59039" spans="1:26" ht="12.75" customHeight="1" x14ac:dyDescent="0.2">
      <c r="A59039" s="258"/>
      <c r="Z59039" s="258"/>
    </row>
    <row r="59040" spans="1:26" ht="12.75" customHeight="1" x14ac:dyDescent="0.2">
      <c r="A59040" s="258"/>
      <c r="Z59040" s="258"/>
    </row>
    <row r="59041" spans="1:26" ht="12.75" customHeight="1" x14ac:dyDescent="0.2">
      <c r="A59041" s="258"/>
      <c r="Z59041" s="258"/>
    </row>
    <row r="59042" spans="1:26" ht="12.75" customHeight="1" x14ac:dyDescent="0.2">
      <c r="A59042" s="258"/>
      <c r="Z59042" s="258"/>
    </row>
    <row r="59043" spans="1:26" ht="12.75" customHeight="1" x14ac:dyDescent="0.2">
      <c r="A59043" s="258"/>
      <c r="Z59043" s="258"/>
    </row>
    <row r="59044" spans="1:26" ht="12.75" customHeight="1" x14ac:dyDescent="0.2">
      <c r="A59044" s="258"/>
      <c r="Z59044" s="258"/>
    </row>
    <row r="59045" spans="1:26" ht="12.75" customHeight="1" x14ac:dyDescent="0.2">
      <c r="A59045" s="258"/>
      <c r="Z59045" s="258"/>
    </row>
    <row r="59046" spans="1:26" ht="12.75" customHeight="1" x14ac:dyDescent="0.2">
      <c r="A59046" s="258"/>
      <c r="Z59046" s="258"/>
    </row>
    <row r="59047" spans="1:26" ht="12.75" customHeight="1" x14ac:dyDescent="0.2">
      <c r="A59047" s="258"/>
      <c r="Z59047" s="258"/>
    </row>
    <row r="59048" spans="1:26" ht="12.75" customHeight="1" x14ac:dyDescent="0.2">
      <c r="A59048" s="258"/>
      <c r="Z59048" s="258"/>
    </row>
    <row r="59049" spans="1:26" ht="12.75" customHeight="1" x14ac:dyDescent="0.2">
      <c r="A59049" s="258"/>
      <c r="Z59049" s="258"/>
    </row>
    <row r="59050" spans="1:26" ht="12.75" customHeight="1" x14ac:dyDescent="0.2">
      <c r="A59050" s="258"/>
      <c r="Z59050" s="258"/>
    </row>
    <row r="59051" spans="1:26" ht="12.75" customHeight="1" x14ac:dyDescent="0.2">
      <c r="A59051" s="258"/>
      <c r="Z59051" s="258"/>
    </row>
    <row r="59052" spans="1:26" ht="12.75" customHeight="1" x14ac:dyDescent="0.2">
      <c r="A59052" s="258"/>
      <c r="Z59052" s="258"/>
    </row>
    <row r="59053" spans="1:26" ht="12.75" customHeight="1" x14ac:dyDescent="0.2">
      <c r="A59053" s="258"/>
      <c r="Z59053" s="258"/>
    </row>
    <row r="59054" spans="1:26" ht="12.75" customHeight="1" x14ac:dyDescent="0.2">
      <c r="A59054" s="258"/>
      <c r="Z59054" s="258"/>
    </row>
    <row r="59055" spans="1:26" ht="12.75" customHeight="1" x14ac:dyDescent="0.2">
      <c r="A59055" s="258"/>
      <c r="Z59055" s="258"/>
    </row>
    <row r="59056" spans="1:26" ht="12.75" customHeight="1" x14ac:dyDescent="0.2">
      <c r="A59056" s="258"/>
      <c r="Z59056" s="258"/>
    </row>
    <row r="59057" spans="1:26" ht="12.75" customHeight="1" x14ac:dyDescent="0.2">
      <c r="A59057" s="258"/>
      <c r="Z59057" s="258"/>
    </row>
    <row r="59058" spans="1:26" ht="12.75" customHeight="1" x14ac:dyDescent="0.2">
      <c r="A59058" s="258"/>
      <c r="Z59058" s="258"/>
    </row>
    <row r="59059" spans="1:26" ht="12.75" customHeight="1" x14ac:dyDescent="0.2">
      <c r="A59059" s="258"/>
      <c r="Z59059" s="258"/>
    </row>
    <row r="59060" spans="1:26" ht="12.75" customHeight="1" x14ac:dyDescent="0.2">
      <c r="A59060" s="258"/>
      <c r="Z59060" s="258"/>
    </row>
    <row r="59061" spans="1:26" ht="12.75" customHeight="1" x14ac:dyDescent="0.2">
      <c r="A59061" s="258"/>
      <c r="Z59061" s="258"/>
    </row>
    <row r="59062" spans="1:26" ht="12.75" customHeight="1" x14ac:dyDescent="0.2">
      <c r="A59062" s="258"/>
      <c r="Z59062" s="258"/>
    </row>
    <row r="59063" spans="1:26" ht="12.75" customHeight="1" x14ac:dyDescent="0.2">
      <c r="A59063" s="258"/>
      <c r="Z59063" s="258"/>
    </row>
    <row r="59064" spans="1:26" ht="12.75" customHeight="1" x14ac:dyDescent="0.2">
      <c r="A59064" s="258"/>
      <c r="Z59064" s="258"/>
    </row>
    <row r="59065" spans="1:26" ht="12.75" customHeight="1" x14ac:dyDescent="0.2">
      <c r="A59065" s="258"/>
      <c r="Z59065" s="258"/>
    </row>
    <row r="59066" spans="1:26" ht="12.75" customHeight="1" x14ac:dyDescent="0.2">
      <c r="A59066" s="258"/>
      <c r="Z59066" s="258"/>
    </row>
    <row r="59067" spans="1:26" ht="12.75" customHeight="1" x14ac:dyDescent="0.2">
      <c r="A59067" s="258"/>
      <c r="Z59067" s="258"/>
    </row>
    <row r="59068" spans="1:26" ht="12.75" customHeight="1" x14ac:dyDescent="0.2">
      <c r="A59068" s="258"/>
      <c r="Z59068" s="258"/>
    </row>
    <row r="59069" spans="1:26" ht="12.75" customHeight="1" x14ac:dyDescent="0.2">
      <c r="A59069" s="258"/>
      <c r="Z59069" s="258"/>
    </row>
    <row r="59070" spans="1:26" ht="12.75" customHeight="1" x14ac:dyDescent="0.2">
      <c r="A59070" s="258"/>
      <c r="Z59070" s="258"/>
    </row>
    <row r="59071" spans="1:26" ht="12.75" customHeight="1" x14ac:dyDescent="0.2">
      <c r="A59071" s="258"/>
      <c r="Z59071" s="258"/>
    </row>
    <row r="59072" spans="1:26" ht="12.75" customHeight="1" x14ac:dyDescent="0.2">
      <c r="A59072" s="258"/>
      <c r="Z59072" s="258"/>
    </row>
    <row r="59073" spans="1:26" ht="12.75" customHeight="1" x14ac:dyDescent="0.2">
      <c r="A59073" s="258"/>
      <c r="Z59073" s="258"/>
    </row>
    <row r="59074" spans="1:26" ht="12.75" customHeight="1" x14ac:dyDescent="0.2">
      <c r="A59074" s="258"/>
      <c r="Z59074" s="258"/>
    </row>
    <row r="59075" spans="1:26" ht="12.75" customHeight="1" x14ac:dyDescent="0.2">
      <c r="A59075" s="258"/>
      <c r="Z59075" s="258"/>
    </row>
    <row r="59076" spans="1:26" ht="12.75" customHeight="1" x14ac:dyDescent="0.2">
      <c r="A59076" s="258"/>
      <c r="Z59076" s="258"/>
    </row>
    <row r="59077" spans="1:26" ht="12.75" customHeight="1" x14ac:dyDescent="0.2">
      <c r="A59077" s="258"/>
      <c r="Z59077" s="258"/>
    </row>
    <row r="59078" spans="1:26" ht="12.75" customHeight="1" x14ac:dyDescent="0.2">
      <c r="A59078" s="258"/>
      <c r="Z59078" s="258"/>
    </row>
    <row r="59079" spans="1:26" ht="12.75" customHeight="1" x14ac:dyDescent="0.2">
      <c r="A59079" s="258"/>
      <c r="Z59079" s="258"/>
    </row>
    <row r="59080" spans="1:26" ht="12.75" customHeight="1" x14ac:dyDescent="0.2">
      <c r="A59080" s="258"/>
      <c r="Z59080" s="258"/>
    </row>
    <row r="59081" spans="1:26" ht="12.75" customHeight="1" x14ac:dyDescent="0.2">
      <c r="A59081" s="258"/>
      <c r="Z59081" s="258"/>
    </row>
    <row r="59082" spans="1:26" ht="12.75" customHeight="1" x14ac:dyDescent="0.2">
      <c r="A59082" s="258"/>
      <c r="Z59082" s="258"/>
    </row>
    <row r="59083" spans="1:26" ht="12.75" customHeight="1" x14ac:dyDescent="0.2">
      <c r="A59083" s="258"/>
      <c r="Z59083" s="258"/>
    </row>
    <row r="59084" spans="1:26" ht="12.75" customHeight="1" x14ac:dyDescent="0.2">
      <c r="A59084" s="258"/>
      <c r="Z59084" s="258"/>
    </row>
    <row r="59085" spans="1:26" ht="12.75" customHeight="1" x14ac:dyDescent="0.2">
      <c r="A59085" s="258"/>
      <c r="Z59085" s="258"/>
    </row>
    <row r="59086" spans="1:26" ht="12.75" customHeight="1" x14ac:dyDescent="0.2">
      <c r="A59086" s="258"/>
      <c r="Z59086" s="258"/>
    </row>
    <row r="59087" spans="1:26" ht="12.75" customHeight="1" x14ac:dyDescent="0.2">
      <c r="A59087" s="258"/>
      <c r="Z59087" s="258"/>
    </row>
    <row r="59088" spans="1:26" ht="12.75" customHeight="1" x14ac:dyDescent="0.2">
      <c r="A59088" s="258"/>
      <c r="Z59088" s="258"/>
    </row>
    <row r="59089" spans="1:26" ht="12.75" customHeight="1" x14ac:dyDescent="0.2">
      <c r="A59089" s="258"/>
      <c r="Z59089" s="258"/>
    </row>
    <row r="59090" spans="1:26" ht="12.75" customHeight="1" x14ac:dyDescent="0.2">
      <c r="A59090" s="258"/>
      <c r="Z59090" s="258"/>
    </row>
    <row r="59091" spans="1:26" ht="12.75" customHeight="1" x14ac:dyDescent="0.2">
      <c r="A59091" s="258"/>
      <c r="Z59091" s="258"/>
    </row>
    <row r="59092" spans="1:26" ht="12.75" customHeight="1" x14ac:dyDescent="0.2">
      <c r="A59092" s="258"/>
      <c r="Z59092" s="258"/>
    </row>
    <row r="59093" spans="1:26" ht="12.75" customHeight="1" x14ac:dyDescent="0.2">
      <c r="A59093" s="258"/>
      <c r="Z59093" s="258"/>
    </row>
    <row r="59094" spans="1:26" ht="12.75" customHeight="1" x14ac:dyDescent="0.2">
      <c r="A59094" s="258"/>
      <c r="Z59094" s="258"/>
    </row>
    <row r="59095" spans="1:26" ht="12.75" customHeight="1" x14ac:dyDescent="0.2">
      <c r="A59095" s="258"/>
      <c r="Z59095" s="258"/>
    </row>
    <row r="59096" spans="1:26" ht="12.75" customHeight="1" x14ac:dyDescent="0.2">
      <c r="A59096" s="258"/>
      <c r="Z59096" s="258"/>
    </row>
    <row r="59097" spans="1:26" ht="12.75" customHeight="1" x14ac:dyDescent="0.2">
      <c r="A59097" s="258"/>
      <c r="Z59097" s="258"/>
    </row>
    <row r="59098" spans="1:26" ht="12.75" customHeight="1" x14ac:dyDescent="0.2">
      <c r="A59098" s="258"/>
      <c r="Z59098" s="258"/>
    </row>
    <row r="59099" spans="1:26" ht="12.75" customHeight="1" x14ac:dyDescent="0.2">
      <c r="A59099" s="258"/>
      <c r="Z59099" s="258"/>
    </row>
    <row r="59100" spans="1:26" ht="12.75" customHeight="1" x14ac:dyDescent="0.2">
      <c r="A59100" s="258"/>
      <c r="Z59100" s="258"/>
    </row>
    <row r="59101" spans="1:26" ht="12.75" customHeight="1" x14ac:dyDescent="0.2">
      <c r="A59101" s="258"/>
      <c r="Z59101" s="258"/>
    </row>
    <row r="59102" spans="1:26" ht="12.75" customHeight="1" x14ac:dyDescent="0.2">
      <c r="A59102" s="258"/>
      <c r="Z59102" s="258"/>
    </row>
    <row r="59103" spans="1:26" ht="12.75" customHeight="1" x14ac:dyDescent="0.2">
      <c r="A59103" s="258"/>
      <c r="Z59103" s="258"/>
    </row>
    <row r="59104" spans="1:26" ht="12.75" customHeight="1" x14ac:dyDescent="0.2">
      <c r="A59104" s="258"/>
      <c r="Z59104" s="258"/>
    </row>
    <row r="59105" spans="1:26" ht="12.75" customHeight="1" x14ac:dyDescent="0.2">
      <c r="A59105" s="258"/>
      <c r="Z59105" s="258"/>
    </row>
    <row r="59106" spans="1:26" ht="12.75" customHeight="1" x14ac:dyDescent="0.2">
      <c r="A59106" s="258"/>
      <c r="Z59106" s="258"/>
    </row>
    <row r="59107" spans="1:26" ht="12.75" customHeight="1" x14ac:dyDescent="0.2">
      <c r="A59107" s="258"/>
      <c r="Z59107" s="258"/>
    </row>
    <row r="59108" spans="1:26" ht="12.75" customHeight="1" x14ac:dyDescent="0.2">
      <c r="A59108" s="258"/>
      <c r="Z59108" s="258"/>
    </row>
    <row r="59109" spans="1:26" ht="12.75" customHeight="1" x14ac:dyDescent="0.2">
      <c r="A59109" s="258"/>
      <c r="Z59109" s="258"/>
    </row>
    <row r="59110" spans="1:26" ht="12.75" customHeight="1" x14ac:dyDescent="0.2">
      <c r="A59110" s="258"/>
      <c r="Z59110" s="258"/>
    </row>
    <row r="59111" spans="1:26" ht="12.75" customHeight="1" x14ac:dyDescent="0.2">
      <c r="A59111" s="258"/>
      <c r="Z59111" s="258"/>
    </row>
    <row r="59112" spans="1:26" ht="12.75" customHeight="1" x14ac:dyDescent="0.2">
      <c r="A59112" s="258"/>
      <c r="Z59112" s="258"/>
    </row>
    <row r="59113" spans="1:26" ht="12.75" customHeight="1" x14ac:dyDescent="0.2">
      <c r="A59113" s="258"/>
      <c r="Z59113" s="258"/>
    </row>
    <row r="59114" spans="1:26" ht="12.75" customHeight="1" x14ac:dyDescent="0.2">
      <c r="A59114" s="258"/>
      <c r="Z59114" s="258"/>
    </row>
    <row r="59115" spans="1:26" ht="12.75" customHeight="1" x14ac:dyDescent="0.2">
      <c r="A59115" s="258"/>
      <c r="Z59115" s="258"/>
    </row>
    <row r="59116" spans="1:26" ht="12.75" customHeight="1" x14ac:dyDescent="0.2">
      <c r="A59116" s="258"/>
      <c r="Z59116" s="258"/>
    </row>
    <row r="59117" spans="1:26" ht="12.75" customHeight="1" x14ac:dyDescent="0.2">
      <c r="A59117" s="258"/>
      <c r="Z59117" s="258"/>
    </row>
    <row r="59118" spans="1:26" ht="12.75" customHeight="1" x14ac:dyDescent="0.2">
      <c r="A59118" s="258"/>
      <c r="Z59118" s="258"/>
    </row>
    <row r="59119" spans="1:26" ht="12.75" customHeight="1" x14ac:dyDescent="0.2">
      <c r="A59119" s="258"/>
      <c r="Z59119" s="258"/>
    </row>
    <row r="59120" spans="1:26" ht="12.75" customHeight="1" x14ac:dyDescent="0.2">
      <c r="A59120" s="258"/>
      <c r="Z59120" s="258"/>
    </row>
    <row r="59121" spans="1:26" ht="12.75" customHeight="1" x14ac:dyDescent="0.2">
      <c r="A59121" s="258"/>
      <c r="Z59121" s="258"/>
    </row>
    <row r="59122" spans="1:26" ht="12.75" customHeight="1" x14ac:dyDescent="0.2">
      <c r="A59122" s="258"/>
      <c r="Z59122" s="258"/>
    </row>
    <row r="59123" spans="1:26" ht="12.75" customHeight="1" x14ac:dyDescent="0.2">
      <c r="A59123" s="258"/>
      <c r="Z59123" s="258"/>
    </row>
    <row r="59124" spans="1:26" ht="12.75" customHeight="1" x14ac:dyDescent="0.2">
      <c r="A59124" s="258"/>
      <c r="Z59124" s="258"/>
    </row>
    <row r="59125" spans="1:26" ht="12.75" customHeight="1" x14ac:dyDescent="0.2">
      <c r="A59125" s="258"/>
      <c r="Z59125" s="258"/>
    </row>
    <row r="59126" spans="1:26" ht="12.75" customHeight="1" x14ac:dyDescent="0.2">
      <c r="A59126" s="258"/>
      <c r="Z59126" s="258"/>
    </row>
    <row r="59127" spans="1:26" ht="12.75" customHeight="1" x14ac:dyDescent="0.2">
      <c r="A59127" s="258"/>
      <c r="Z59127" s="258"/>
    </row>
    <row r="59128" spans="1:26" ht="12.75" customHeight="1" x14ac:dyDescent="0.2">
      <c r="A59128" s="258"/>
      <c r="Z59128" s="258"/>
    </row>
    <row r="59129" spans="1:26" ht="12.75" customHeight="1" x14ac:dyDescent="0.2">
      <c r="A59129" s="258"/>
      <c r="Z59129" s="258"/>
    </row>
    <row r="59130" spans="1:26" ht="12.75" customHeight="1" x14ac:dyDescent="0.2">
      <c r="A59130" s="258"/>
      <c r="Z59130" s="258"/>
    </row>
    <row r="59131" spans="1:26" ht="12.75" customHeight="1" x14ac:dyDescent="0.2">
      <c r="A59131" s="258"/>
      <c r="Z59131" s="258"/>
    </row>
    <row r="59132" spans="1:26" ht="12.75" customHeight="1" x14ac:dyDescent="0.2">
      <c r="A59132" s="258"/>
      <c r="Z59132" s="258"/>
    </row>
    <row r="59133" spans="1:26" ht="12.75" customHeight="1" x14ac:dyDescent="0.2">
      <c r="A59133" s="258"/>
      <c r="Z59133" s="258"/>
    </row>
    <row r="59134" spans="1:26" ht="12.75" customHeight="1" x14ac:dyDescent="0.2">
      <c r="A59134" s="258"/>
      <c r="Z59134" s="258"/>
    </row>
    <row r="59135" spans="1:26" ht="12.75" customHeight="1" x14ac:dyDescent="0.2">
      <c r="A59135" s="258"/>
      <c r="Z59135" s="258"/>
    </row>
    <row r="59136" spans="1:26" ht="12.75" customHeight="1" x14ac:dyDescent="0.2">
      <c r="A59136" s="258"/>
      <c r="Z59136" s="258"/>
    </row>
    <row r="59137" spans="1:26" ht="12.75" customHeight="1" x14ac:dyDescent="0.2">
      <c r="A59137" s="258"/>
      <c r="Z59137" s="258"/>
    </row>
    <row r="59138" spans="1:26" ht="12.75" customHeight="1" x14ac:dyDescent="0.2">
      <c r="A59138" s="258"/>
      <c r="Z59138" s="258"/>
    </row>
    <row r="59139" spans="1:26" ht="12.75" customHeight="1" x14ac:dyDescent="0.2">
      <c r="A59139" s="258"/>
      <c r="Z59139" s="258"/>
    </row>
    <row r="59140" spans="1:26" ht="12.75" customHeight="1" x14ac:dyDescent="0.2">
      <c r="A59140" s="258"/>
      <c r="Z59140" s="258"/>
    </row>
    <row r="59141" spans="1:26" ht="12.75" customHeight="1" x14ac:dyDescent="0.2">
      <c r="A59141" s="258"/>
      <c r="Z59141" s="258"/>
    </row>
    <row r="59142" spans="1:26" ht="12.75" customHeight="1" x14ac:dyDescent="0.2">
      <c r="A59142" s="258"/>
      <c r="Z59142" s="258"/>
    </row>
    <row r="59143" spans="1:26" ht="12.75" customHeight="1" x14ac:dyDescent="0.2">
      <c r="A59143" s="258"/>
      <c r="Z59143" s="258"/>
    </row>
    <row r="59144" spans="1:26" ht="12.75" customHeight="1" x14ac:dyDescent="0.2">
      <c r="A59144" s="258"/>
      <c r="Z59144" s="258"/>
    </row>
    <row r="59145" spans="1:26" ht="12.75" customHeight="1" x14ac:dyDescent="0.2">
      <c r="A59145" s="258"/>
      <c r="Z59145" s="258"/>
    </row>
    <row r="59146" spans="1:26" ht="12.75" customHeight="1" x14ac:dyDescent="0.2">
      <c r="A59146" s="258"/>
      <c r="Z59146" s="258"/>
    </row>
    <row r="59147" spans="1:26" ht="12.75" customHeight="1" x14ac:dyDescent="0.2">
      <c r="A59147" s="258"/>
      <c r="Z59147" s="258"/>
    </row>
    <row r="59148" spans="1:26" ht="12.75" customHeight="1" x14ac:dyDescent="0.2">
      <c r="A59148" s="258"/>
      <c r="Z59148" s="258"/>
    </row>
    <row r="59149" spans="1:26" ht="12.75" customHeight="1" x14ac:dyDescent="0.2">
      <c r="A59149" s="258"/>
      <c r="Z59149" s="258"/>
    </row>
    <row r="59150" spans="1:26" ht="12.75" customHeight="1" x14ac:dyDescent="0.2">
      <c r="A59150" s="258"/>
      <c r="Z59150" s="258"/>
    </row>
    <row r="59151" spans="1:26" ht="12.75" customHeight="1" x14ac:dyDescent="0.2">
      <c r="A59151" s="258"/>
      <c r="Z59151" s="258"/>
    </row>
    <row r="59152" spans="1:26" ht="12.75" customHeight="1" x14ac:dyDescent="0.2">
      <c r="A59152" s="258"/>
      <c r="Z59152" s="258"/>
    </row>
    <row r="59153" spans="1:26" ht="12.75" customHeight="1" x14ac:dyDescent="0.2">
      <c r="A59153" s="258"/>
      <c r="Z59153" s="258"/>
    </row>
    <row r="59154" spans="1:26" ht="12.75" customHeight="1" x14ac:dyDescent="0.2">
      <c r="A59154" s="258"/>
      <c r="Z59154" s="258"/>
    </row>
    <row r="59155" spans="1:26" ht="12.75" customHeight="1" x14ac:dyDescent="0.2">
      <c r="A59155" s="258"/>
      <c r="Z59155" s="258"/>
    </row>
    <row r="59156" spans="1:26" ht="12.75" customHeight="1" x14ac:dyDescent="0.2">
      <c r="A59156" s="258"/>
      <c r="Z59156" s="258"/>
    </row>
    <row r="59157" spans="1:26" ht="12.75" customHeight="1" x14ac:dyDescent="0.2">
      <c r="A59157" s="258"/>
      <c r="Z59157" s="258"/>
    </row>
    <row r="59158" spans="1:26" ht="12.75" customHeight="1" x14ac:dyDescent="0.2">
      <c r="A59158" s="258"/>
      <c r="Z59158" s="258"/>
    </row>
    <row r="59159" spans="1:26" ht="12.75" customHeight="1" x14ac:dyDescent="0.2">
      <c r="A59159" s="258"/>
      <c r="Z59159" s="258"/>
    </row>
    <row r="59160" spans="1:26" ht="12.75" customHeight="1" x14ac:dyDescent="0.2">
      <c r="A59160" s="258"/>
      <c r="Z59160" s="258"/>
    </row>
    <row r="59161" spans="1:26" ht="12.75" customHeight="1" x14ac:dyDescent="0.2">
      <c r="A59161" s="258"/>
      <c r="Z59161" s="258"/>
    </row>
    <row r="59162" spans="1:26" ht="12.75" customHeight="1" x14ac:dyDescent="0.2">
      <c r="A59162" s="258"/>
      <c r="Z59162" s="258"/>
    </row>
    <row r="59163" spans="1:26" ht="12.75" customHeight="1" x14ac:dyDescent="0.2">
      <c r="A59163" s="258"/>
      <c r="Z59163" s="258"/>
    </row>
    <row r="59164" spans="1:26" ht="12.75" customHeight="1" x14ac:dyDescent="0.2">
      <c r="A59164" s="258"/>
      <c r="Z59164" s="258"/>
    </row>
    <row r="59165" spans="1:26" ht="12.75" customHeight="1" x14ac:dyDescent="0.2">
      <c r="A59165" s="258"/>
      <c r="Z59165" s="258"/>
    </row>
    <row r="59166" spans="1:26" ht="12.75" customHeight="1" x14ac:dyDescent="0.2">
      <c r="A59166" s="258"/>
      <c r="Z59166" s="258"/>
    </row>
    <row r="59167" spans="1:26" ht="12.75" customHeight="1" x14ac:dyDescent="0.2">
      <c r="A59167" s="258"/>
      <c r="Z59167" s="258"/>
    </row>
    <row r="59168" spans="1:26" ht="12.75" customHeight="1" x14ac:dyDescent="0.2">
      <c r="A59168" s="258"/>
      <c r="Z59168" s="258"/>
    </row>
    <row r="59169" spans="1:26" ht="12.75" customHeight="1" x14ac:dyDescent="0.2">
      <c r="A59169" s="258"/>
      <c r="Z59169" s="258"/>
    </row>
    <row r="59170" spans="1:26" ht="12.75" customHeight="1" x14ac:dyDescent="0.2">
      <c r="A59170" s="258"/>
      <c r="Z59170" s="258"/>
    </row>
    <row r="59171" spans="1:26" ht="12.75" customHeight="1" x14ac:dyDescent="0.2">
      <c r="A59171" s="258"/>
      <c r="Z59171" s="258"/>
    </row>
    <row r="59172" spans="1:26" ht="12.75" customHeight="1" x14ac:dyDescent="0.2">
      <c r="A59172" s="258"/>
      <c r="Z59172" s="258"/>
    </row>
    <row r="59173" spans="1:26" ht="12.75" customHeight="1" x14ac:dyDescent="0.2">
      <c r="A59173" s="258"/>
      <c r="Z59173" s="258"/>
    </row>
    <row r="59174" spans="1:26" ht="12.75" customHeight="1" x14ac:dyDescent="0.2">
      <c r="A59174" s="258"/>
      <c r="Z59174" s="258"/>
    </row>
    <row r="59175" spans="1:26" ht="12.75" customHeight="1" x14ac:dyDescent="0.2">
      <c r="A59175" s="258"/>
      <c r="Z59175" s="258"/>
    </row>
    <row r="59176" spans="1:26" ht="12.75" customHeight="1" x14ac:dyDescent="0.2">
      <c r="A59176" s="258"/>
      <c r="Z59176" s="258"/>
    </row>
    <row r="59177" spans="1:26" ht="12.75" customHeight="1" x14ac:dyDescent="0.2">
      <c r="A59177" s="258"/>
      <c r="Z59177" s="258"/>
    </row>
    <row r="59178" spans="1:26" ht="12.75" customHeight="1" x14ac:dyDescent="0.2">
      <c r="A59178" s="258"/>
      <c r="Z59178" s="258"/>
    </row>
    <row r="59179" spans="1:26" ht="12.75" customHeight="1" x14ac:dyDescent="0.2">
      <c r="A59179" s="258"/>
      <c r="Z59179" s="258"/>
    </row>
    <row r="59180" spans="1:26" ht="12.75" customHeight="1" x14ac:dyDescent="0.2">
      <c r="A59180" s="258"/>
      <c r="Z59180" s="258"/>
    </row>
    <row r="59181" spans="1:26" ht="12.75" customHeight="1" x14ac:dyDescent="0.2">
      <c r="A59181" s="258"/>
      <c r="Z59181" s="258"/>
    </row>
    <row r="59182" spans="1:26" ht="12.75" customHeight="1" x14ac:dyDescent="0.2">
      <c r="A59182" s="258"/>
      <c r="Z59182" s="258"/>
    </row>
    <row r="59183" spans="1:26" ht="12.75" customHeight="1" x14ac:dyDescent="0.2">
      <c r="A59183" s="258"/>
      <c r="Z59183" s="258"/>
    </row>
    <row r="59184" spans="1:26" ht="12.75" customHeight="1" x14ac:dyDescent="0.2">
      <c r="A59184" s="258"/>
      <c r="Z59184" s="258"/>
    </row>
    <row r="59185" spans="1:26" ht="12.75" customHeight="1" x14ac:dyDescent="0.2">
      <c r="A59185" s="258"/>
      <c r="Z59185" s="258"/>
    </row>
    <row r="59186" spans="1:26" ht="12.75" customHeight="1" x14ac:dyDescent="0.2">
      <c r="A59186" s="258"/>
      <c r="Z59186" s="258"/>
    </row>
    <row r="59187" spans="1:26" ht="12.75" customHeight="1" x14ac:dyDescent="0.2">
      <c r="A59187" s="258"/>
      <c r="Z59187" s="258"/>
    </row>
    <row r="59188" spans="1:26" ht="12.75" customHeight="1" x14ac:dyDescent="0.2">
      <c r="A59188" s="258"/>
      <c r="Z59188" s="258"/>
    </row>
    <row r="59189" spans="1:26" ht="12.75" customHeight="1" x14ac:dyDescent="0.2">
      <c r="A59189" s="258"/>
      <c r="Z59189" s="258"/>
    </row>
    <row r="59190" spans="1:26" ht="12.75" customHeight="1" x14ac:dyDescent="0.2">
      <c r="A59190" s="258"/>
      <c r="Z59190" s="258"/>
    </row>
    <row r="59191" spans="1:26" ht="12.75" customHeight="1" x14ac:dyDescent="0.2">
      <c r="A59191" s="258"/>
      <c r="Z59191" s="258"/>
    </row>
    <row r="59192" spans="1:26" ht="12.75" customHeight="1" x14ac:dyDescent="0.2">
      <c r="A59192" s="258"/>
      <c r="Z59192" s="258"/>
    </row>
    <row r="59193" spans="1:26" ht="12.75" customHeight="1" x14ac:dyDescent="0.2">
      <c r="A59193" s="258"/>
      <c r="Z59193" s="258"/>
    </row>
    <row r="59194" spans="1:26" ht="12.75" customHeight="1" x14ac:dyDescent="0.2">
      <c r="A59194" s="258"/>
      <c r="Z59194" s="258"/>
    </row>
    <row r="59195" spans="1:26" ht="12.75" customHeight="1" x14ac:dyDescent="0.2">
      <c r="A59195" s="258"/>
      <c r="Z59195" s="258"/>
    </row>
    <row r="59196" spans="1:26" ht="12.75" customHeight="1" x14ac:dyDescent="0.2">
      <c r="A59196" s="258"/>
      <c r="Z59196" s="258"/>
    </row>
    <row r="59197" spans="1:26" ht="12.75" customHeight="1" x14ac:dyDescent="0.2">
      <c r="A59197" s="258"/>
      <c r="Z59197" s="258"/>
    </row>
    <row r="59198" spans="1:26" ht="12.75" customHeight="1" x14ac:dyDescent="0.2">
      <c r="A59198" s="258"/>
      <c r="Z59198" s="258"/>
    </row>
    <row r="59199" spans="1:26" ht="12.75" customHeight="1" x14ac:dyDescent="0.2">
      <c r="A59199" s="258"/>
      <c r="Z59199" s="258"/>
    </row>
    <row r="59200" spans="1:26" ht="12.75" customHeight="1" x14ac:dyDescent="0.2">
      <c r="A59200" s="258"/>
      <c r="Z59200" s="258"/>
    </row>
    <row r="59201" spans="1:26" ht="12.75" customHeight="1" x14ac:dyDescent="0.2">
      <c r="A59201" s="258"/>
      <c r="Z59201" s="258"/>
    </row>
    <row r="59202" spans="1:26" ht="12.75" customHeight="1" x14ac:dyDescent="0.2">
      <c r="A59202" s="258"/>
      <c r="Z59202" s="258"/>
    </row>
    <row r="59203" spans="1:26" ht="12.75" customHeight="1" x14ac:dyDescent="0.2">
      <c r="A59203" s="258"/>
      <c r="Z59203" s="258"/>
    </row>
    <row r="59204" spans="1:26" ht="12.75" customHeight="1" x14ac:dyDescent="0.2">
      <c r="A59204" s="258"/>
      <c r="Z59204" s="258"/>
    </row>
    <row r="59205" spans="1:26" ht="12.75" customHeight="1" x14ac:dyDescent="0.2">
      <c r="A59205" s="258"/>
      <c r="Z59205" s="258"/>
    </row>
    <row r="59206" spans="1:26" ht="12.75" customHeight="1" x14ac:dyDescent="0.2">
      <c r="A59206" s="258"/>
      <c r="Z59206" s="258"/>
    </row>
    <row r="59207" spans="1:26" ht="12.75" customHeight="1" x14ac:dyDescent="0.2">
      <c r="A59207" s="258"/>
      <c r="Z59207" s="258"/>
    </row>
    <row r="59208" spans="1:26" ht="12.75" customHeight="1" x14ac:dyDescent="0.2">
      <c r="A59208" s="258"/>
      <c r="Z59208" s="258"/>
    </row>
    <row r="59209" spans="1:26" ht="12.75" customHeight="1" x14ac:dyDescent="0.2">
      <c r="A59209" s="258"/>
      <c r="Z59209" s="258"/>
    </row>
    <row r="59210" spans="1:26" ht="12.75" customHeight="1" x14ac:dyDescent="0.2">
      <c r="A59210" s="258"/>
      <c r="Z59210" s="258"/>
    </row>
    <row r="59211" spans="1:26" ht="12.75" customHeight="1" x14ac:dyDescent="0.2">
      <c r="A59211" s="258"/>
      <c r="Z59211" s="258"/>
    </row>
    <row r="59212" spans="1:26" ht="12.75" customHeight="1" x14ac:dyDescent="0.2">
      <c r="A59212" s="258"/>
      <c r="Z59212" s="258"/>
    </row>
    <row r="59213" spans="1:26" ht="12.75" customHeight="1" x14ac:dyDescent="0.2">
      <c r="A59213" s="258"/>
      <c r="Z59213" s="258"/>
    </row>
    <row r="59214" spans="1:26" ht="12.75" customHeight="1" x14ac:dyDescent="0.2">
      <c r="A59214" s="258"/>
      <c r="Z59214" s="258"/>
    </row>
    <row r="59215" spans="1:26" ht="12.75" customHeight="1" x14ac:dyDescent="0.2">
      <c r="A59215" s="258"/>
      <c r="Z59215" s="258"/>
    </row>
    <row r="59216" spans="1:26" ht="12.75" customHeight="1" x14ac:dyDescent="0.2">
      <c r="A59216" s="258"/>
      <c r="Z59216" s="258"/>
    </row>
    <row r="59217" spans="1:26" ht="12.75" customHeight="1" x14ac:dyDescent="0.2">
      <c r="A59217" s="258"/>
      <c r="Z59217" s="258"/>
    </row>
    <row r="59218" spans="1:26" ht="12.75" customHeight="1" x14ac:dyDescent="0.2">
      <c r="A59218" s="258"/>
      <c r="Z59218" s="258"/>
    </row>
    <row r="59219" spans="1:26" ht="12.75" customHeight="1" x14ac:dyDescent="0.2">
      <c r="A59219" s="258"/>
      <c r="Z59219" s="258"/>
    </row>
    <row r="59220" spans="1:26" ht="12.75" customHeight="1" x14ac:dyDescent="0.2">
      <c r="A59220" s="258"/>
      <c r="Z59220" s="258"/>
    </row>
    <row r="59221" spans="1:26" ht="12.75" customHeight="1" x14ac:dyDescent="0.2">
      <c r="A59221" s="258"/>
      <c r="Z59221" s="258"/>
    </row>
    <row r="59222" spans="1:26" ht="12.75" customHeight="1" x14ac:dyDescent="0.2">
      <c r="A59222" s="258"/>
      <c r="Z59222" s="258"/>
    </row>
    <row r="59223" spans="1:26" ht="12.75" customHeight="1" x14ac:dyDescent="0.2">
      <c r="A59223" s="258"/>
      <c r="Z59223" s="258"/>
    </row>
    <row r="59224" spans="1:26" ht="12.75" customHeight="1" x14ac:dyDescent="0.2">
      <c r="A59224" s="258"/>
      <c r="Z59224" s="258"/>
    </row>
    <row r="59225" spans="1:26" ht="12.75" customHeight="1" x14ac:dyDescent="0.2">
      <c r="A59225" s="258"/>
      <c r="Z59225" s="258"/>
    </row>
    <row r="59226" spans="1:26" ht="12.75" customHeight="1" x14ac:dyDescent="0.2">
      <c r="A59226" s="258"/>
      <c r="Z59226" s="258"/>
    </row>
    <row r="59227" spans="1:26" ht="12.75" customHeight="1" x14ac:dyDescent="0.2">
      <c r="A59227" s="258"/>
      <c r="Z59227" s="258"/>
    </row>
    <row r="59228" spans="1:26" ht="12.75" customHeight="1" x14ac:dyDescent="0.2">
      <c r="A59228" s="258"/>
      <c r="Z59228" s="258"/>
    </row>
    <row r="59229" spans="1:26" ht="12.75" customHeight="1" x14ac:dyDescent="0.2">
      <c r="A59229" s="258"/>
      <c r="Z59229" s="258"/>
    </row>
    <row r="59230" spans="1:26" ht="12.75" customHeight="1" x14ac:dyDescent="0.2">
      <c r="A59230" s="258"/>
      <c r="Z59230" s="258"/>
    </row>
    <row r="59231" spans="1:26" ht="12.75" customHeight="1" x14ac:dyDescent="0.2">
      <c r="A59231" s="258"/>
      <c r="Z59231" s="258"/>
    </row>
    <row r="59232" spans="1:26" ht="12.75" customHeight="1" x14ac:dyDescent="0.2">
      <c r="A59232" s="258"/>
      <c r="Z59232" s="258"/>
    </row>
    <row r="59233" spans="1:26" ht="12.75" customHeight="1" x14ac:dyDescent="0.2">
      <c r="A59233" s="258"/>
      <c r="Z59233" s="258"/>
    </row>
    <row r="59234" spans="1:26" ht="12.75" customHeight="1" x14ac:dyDescent="0.2">
      <c r="A59234" s="258"/>
      <c r="Z59234" s="258"/>
    </row>
    <row r="59235" spans="1:26" ht="12.75" customHeight="1" x14ac:dyDescent="0.2">
      <c r="A59235" s="258"/>
      <c r="Z59235" s="258"/>
    </row>
    <row r="59236" spans="1:26" ht="12.75" customHeight="1" x14ac:dyDescent="0.2">
      <c r="A59236" s="258"/>
      <c r="Z59236" s="258"/>
    </row>
    <row r="59237" spans="1:26" ht="12.75" customHeight="1" x14ac:dyDescent="0.2">
      <c r="A59237" s="258"/>
      <c r="Z59237" s="258"/>
    </row>
    <row r="59238" spans="1:26" ht="12.75" customHeight="1" x14ac:dyDescent="0.2">
      <c r="A59238" s="258"/>
      <c r="Z59238" s="258"/>
    </row>
    <row r="59239" spans="1:26" ht="12.75" customHeight="1" x14ac:dyDescent="0.2">
      <c r="A59239" s="258"/>
      <c r="Z59239" s="258"/>
    </row>
    <row r="59240" spans="1:26" ht="12.75" customHeight="1" x14ac:dyDescent="0.2">
      <c r="A59240" s="258"/>
      <c r="Z59240" s="258"/>
    </row>
    <row r="59241" spans="1:26" ht="12.75" customHeight="1" x14ac:dyDescent="0.2">
      <c r="A59241" s="258"/>
      <c r="Z59241" s="258"/>
    </row>
    <row r="59242" spans="1:26" ht="12.75" customHeight="1" x14ac:dyDescent="0.2">
      <c r="A59242" s="258"/>
      <c r="Z59242" s="258"/>
    </row>
    <row r="59243" spans="1:26" ht="12.75" customHeight="1" x14ac:dyDescent="0.2">
      <c r="A59243" s="258"/>
      <c r="Z59243" s="258"/>
    </row>
    <row r="59244" spans="1:26" ht="12.75" customHeight="1" x14ac:dyDescent="0.2">
      <c r="A59244" s="258"/>
      <c r="Z59244" s="258"/>
    </row>
    <row r="59245" spans="1:26" ht="12.75" customHeight="1" x14ac:dyDescent="0.2">
      <c r="A59245" s="258"/>
      <c r="Z59245" s="258"/>
    </row>
    <row r="59246" spans="1:26" ht="12.75" customHeight="1" x14ac:dyDescent="0.2">
      <c r="A59246" s="258"/>
      <c r="Z59246" s="258"/>
    </row>
    <row r="59247" spans="1:26" ht="12.75" customHeight="1" x14ac:dyDescent="0.2">
      <c r="A59247" s="258"/>
      <c r="Z59247" s="258"/>
    </row>
    <row r="59248" spans="1:26" ht="12.75" customHeight="1" x14ac:dyDescent="0.2">
      <c r="A59248" s="258"/>
      <c r="Z59248" s="258"/>
    </row>
    <row r="59249" spans="1:26" ht="12.75" customHeight="1" x14ac:dyDescent="0.2">
      <c r="A59249" s="258"/>
      <c r="Z59249" s="258"/>
    </row>
    <row r="59250" spans="1:26" ht="12.75" customHeight="1" x14ac:dyDescent="0.2">
      <c r="A59250" s="258"/>
      <c r="Z59250" s="258"/>
    </row>
    <row r="59251" spans="1:26" ht="12.75" customHeight="1" x14ac:dyDescent="0.2">
      <c r="A59251" s="258"/>
      <c r="Z59251" s="258"/>
    </row>
    <row r="59252" spans="1:26" ht="12.75" customHeight="1" x14ac:dyDescent="0.2">
      <c r="A59252" s="258"/>
      <c r="Z59252" s="258"/>
    </row>
    <row r="59253" spans="1:26" ht="12.75" customHeight="1" x14ac:dyDescent="0.2">
      <c r="A59253" s="258"/>
      <c r="Z59253" s="258"/>
    </row>
    <row r="59254" spans="1:26" ht="12.75" customHeight="1" x14ac:dyDescent="0.2">
      <c r="A59254" s="258"/>
      <c r="Z59254" s="258"/>
    </row>
    <row r="59255" spans="1:26" ht="12.75" customHeight="1" x14ac:dyDescent="0.2">
      <c r="A59255" s="258"/>
      <c r="Z59255" s="258"/>
    </row>
    <row r="59256" spans="1:26" ht="12.75" customHeight="1" x14ac:dyDescent="0.2">
      <c r="A59256" s="258"/>
      <c r="Z59256" s="258"/>
    </row>
    <row r="59257" spans="1:26" ht="12.75" customHeight="1" x14ac:dyDescent="0.2">
      <c r="A59257" s="258"/>
      <c r="Z59257" s="258"/>
    </row>
    <row r="59258" spans="1:26" ht="12.75" customHeight="1" x14ac:dyDescent="0.2">
      <c r="A59258" s="258"/>
      <c r="Z59258" s="258"/>
    </row>
    <row r="59259" spans="1:26" ht="12.75" customHeight="1" x14ac:dyDescent="0.2">
      <c r="A59259" s="258"/>
      <c r="Z59259" s="258"/>
    </row>
    <row r="59260" spans="1:26" ht="12.75" customHeight="1" x14ac:dyDescent="0.2">
      <c r="A59260" s="258"/>
      <c r="Z59260" s="258"/>
    </row>
    <row r="59261" spans="1:26" ht="12.75" customHeight="1" x14ac:dyDescent="0.2">
      <c r="A59261" s="258"/>
      <c r="Z59261" s="258"/>
    </row>
    <row r="59262" spans="1:26" ht="12.75" customHeight="1" x14ac:dyDescent="0.2">
      <c r="A59262" s="258"/>
      <c r="Z59262" s="258"/>
    </row>
    <row r="59263" spans="1:26" ht="12.75" customHeight="1" x14ac:dyDescent="0.2">
      <c r="A59263" s="258"/>
      <c r="Z59263" s="258"/>
    </row>
    <row r="59264" spans="1:26" ht="12.75" customHeight="1" x14ac:dyDescent="0.2">
      <c r="A59264" s="258"/>
      <c r="Z59264" s="258"/>
    </row>
    <row r="59265" spans="1:26" ht="12.75" customHeight="1" x14ac:dyDescent="0.2">
      <c r="A59265" s="258"/>
      <c r="Z59265" s="258"/>
    </row>
    <row r="59266" spans="1:26" ht="12.75" customHeight="1" x14ac:dyDescent="0.2">
      <c r="A59266" s="258"/>
      <c r="Z59266" s="258"/>
    </row>
    <row r="59267" spans="1:26" ht="12.75" customHeight="1" x14ac:dyDescent="0.2">
      <c r="A59267" s="258"/>
      <c r="Z59267" s="258"/>
    </row>
    <row r="59268" spans="1:26" ht="12.75" customHeight="1" x14ac:dyDescent="0.2">
      <c r="A59268" s="258"/>
      <c r="Z59268" s="258"/>
    </row>
    <row r="59269" spans="1:26" ht="12.75" customHeight="1" x14ac:dyDescent="0.2">
      <c r="A59269" s="258"/>
      <c r="Z59269" s="258"/>
    </row>
    <row r="59270" spans="1:26" ht="12.75" customHeight="1" x14ac:dyDescent="0.2">
      <c r="A59270" s="258"/>
      <c r="Z59270" s="258"/>
    </row>
    <row r="59271" spans="1:26" ht="12.75" customHeight="1" x14ac:dyDescent="0.2">
      <c r="A59271" s="258"/>
      <c r="Z59271" s="258"/>
    </row>
    <row r="59272" spans="1:26" ht="12.75" customHeight="1" x14ac:dyDescent="0.2">
      <c r="A59272" s="258"/>
      <c r="Z59272" s="258"/>
    </row>
    <row r="59273" spans="1:26" ht="12.75" customHeight="1" x14ac:dyDescent="0.2">
      <c r="A59273" s="258"/>
      <c r="Z59273" s="258"/>
    </row>
    <row r="59274" spans="1:26" ht="12.75" customHeight="1" x14ac:dyDescent="0.2">
      <c r="A59274" s="258"/>
      <c r="Z59274" s="258"/>
    </row>
    <row r="59275" spans="1:26" ht="12.75" customHeight="1" x14ac:dyDescent="0.2">
      <c r="A59275" s="258"/>
      <c r="Z59275" s="258"/>
    </row>
    <row r="59276" spans="1:26" ht="12.75" customHeight="1" x14ac:dyDescent="0.2">
      <c r="A59276" s="258"/>
      <c r="Z59276" s="258"/>
    </row>
    <row r="59277" spans="1:26" ht="12.75" customHeight="1" x14ac:dyDescent="0.2">
      <c r="A59277" s="258"/>
      <c r="Z59277" s="258"/>
    </row>
    <row r="59278" spans="1:26" ht="12.75" customHeight="1" x14ac:dyDescent="0.2">
      <c r="A59278" s="258"/>
      <c r="Z59278" s="258"/>
    </row>
    <row r="59279" spans="1:26" ht="12.75" customHeight="1" x14ac:dyDescent="0.2">
      <c r="A59279" s="258"/>
      <c r="Z59279" s="258"/>
    </row>
    <row r="59280" spans="1:26" ht="12.75" customHeight="1" x14ac:dyDescent="0.2">
      <c r="A59280" s="258"/>
      <c r="Z59280" s="258"/>
    </row>
    <row r="59281" spans="1:26" ht="12.75" customHeight="1" x14ac:dyDescent="0.2">
      <c r="A59281" s="258"/>
      <c r="Z59281" s="258"/>
    </row>
    <row r="59282" spans="1:26" ht="12.75" customHeight="1" x14ac:dyDescent="0.2">
      <c r="A59282" s="258"/>
      <c r="Z59282" s="258"/>
    </row>
    <row r="59283" spans="1:26" ht="12.75" customHeight="1" x14ac:dyDescent="0.2">
      <c r="A59283" s="258"/>
      <c r="Z59283" s="258"/>
    </row>
    <row r="59284" spans="1:26" ht="12.75" customHeight="1" x14ac:dyDescent="0.2">
      <c r="A59284" s="258"/>
      <c r="Z59284" s="258"/>
    </row>
    <row r="59285" spans="1:26" ht="12.75" customHeight="1" x14ac:dyDescent="0.2">
      <c r="A59285" s="258"/>
      <c r="Z59285" s="258"/>
    </row>
    <row r="59286" spans="1:26" ht="12.75" customHeight="1" x14ac:dyDescent="0.2">
      <c r="A59286" s="258"/>
      <c r="Z59286" s="258"/>
    </row>
    <row r="59287" spans="1:26" ht="12.75" customHeight="1" x14ac:dyDescent="0.2">
      <c r="A59287" s="258"/>
      <c r="Z59287" s="258"/>
    </row>
    <row r="59288" spans="1:26" ht="12.75" customHeight="1" x14ac:dyDescent="0.2">
      <c r="A59288" s="258"/>
      <c r="Z59288" s="258"/>
    </row>
    <row r="59289" spans="1:26" ht="12.75" customHeight="1" x14ac:dyDescent="0.2">
      <c r="A59289" s="258"/>
      <c r="Z59289" s="258"/>
    </row>
    <row r="59290" spans="1:26" ht="12.75" customHeight="1" x14ac:dyDescent="0.2">
      <c r="A59290" s="258"/>
      <c r="Z59290" s="258"/>
    </row>
    <row r="59291" spans="1:26" ht="12.75" customHeight="1" x14ac:dyDescent="0.2">
      <c r="A59291" s="258"/>
      <c r="Z59291" s="258"/>
    </row>
    <row r="59292" spans="1:26" ht="12.75" customHeight="1" x14ac:dyDescent="0.2">
      <c r="A59292" s="258"/>
      <c r="Z59292" s="258"/>
    </row>
    <row r="59293" spans="1:26" ht="12.75" customHeight="1" x14ac:dyDescent="0.2">
      <c r="A59293" s="258"/>
      <c r="Z59293" s="258"/>
    </row>
    <row r="59294" spans="1:26" ht="12.75" customHeight="1" x14ac:dyDescent="0.2">
      <c r="A59294" s="258"/>
      <c r="Z59294" s="258"/>
    </row>
    <row r="59295" spans="1:26" ht="12.75" customHeight="1" x14ac:dyDescent="0.2">
      <c r="A59295" s="258"/>
      <c r="Z59295" s="258"/>
    </row>
    <row r="59296" spans="1:26" ht="12.75" customHeight="1" x14ac:dyDescent="0.2">
      <c r="A59296" s="258"/>
      <c r="Z59296" s="258"/>
    </row>
    <row r="59297" spans="1:26" ht="12.75" customHeight="1" x14ac:dyDescent="0.2">
      <c r="A59297" s="258"/>
      <c r="Z59297" s="258"/>
    </row>
    <row r="59298" spans="1:26" ht="12.75" customHeight="1" x14ac:dyDescent="0.2">
      <c r="A59298" s="258"/>
      <c r="Z59298" s="258"/>
    </row>
    <row r="59299" spans="1:26" ht="12.75" customHeight="1" x14ac:dyDescent="0.2">
      <c r="A59299" s="258"/>
      <c r="Z59299" s="258"/>
    </row>
    <row r="59300" spans="1:26" ht="12.75" customHeight="1" x14ac:dyDescent="0.2">
      <c r="A59300" s="258"/>
      <c r="Z59300" s="258"/>
    </row>
    <row r="59301" spans="1:26" ht="12.75" customHeight="1" x14ac:dyDescent="0.2">
      <c r="A59301" s="258"/>
      <c r="Z59301" s="258"/>
    </row>
    <row r="59302" spans="1:26" ht="12.75" customHeight="1" x14ac:dyDescent="0.2">
      <c r="A59302" s="258"/>
      <c r="Z59302" s="258"/>
    </row>
    <row r="59303" spans="1:26" ht="12.75" customHeight="1" x14ac:dyDescent="0.2">
      <c r="A59303" s="258"/>
      <c r="Z59303" s="258"/>
    </row>
    <row r="59304" spans="1:26" ht="12.75" customHeight="1" x14ac:dyDescent="0.2">
      <c r="A59304" s="258"/>
      <c r="Z59304" s="258"/>
    </row>
    <row r="59305" spans="1:26" ht="12.75" customHeight="1" x14ac:dyDescent="0.2">
      <c r="A59305" s="258"/>
      <c r="Z59305" s="258"/>
    </row>
    <row r="59306" spans="1:26" ht="12.75" customHeight="1" x14ac:dyDescent="0.2">
      <c r="A59306" s="258"/>
      <c r="Z59306" s="258"/>
    </row>
    <row r="59307" spans="1:26" ht="12.75" customHeight="1" x14ac:dyDescent="0.2">
      <c r="A59307" s="258"/>
      <c r="Z59307" s="258"/>
    </row>
    <row r="59308" spans="1:26" ht="12.75" customHeight="1" x14ac:dyDescent="0.2">
      <c r="A59308" s="258"/>
      <c r="Z59308" s="258"/>
    </row>
    <row r="59309" spans="1:26" ht="12.75" customHeight="1" x14ac:dyDescent="0.2">
      <c r="A59309" s="258"/>
      <c r="Z59309" s="258"/>
    </row>
    <row r="59310" spans="1:26" ht="12.75" customHeight="1" x14ac:dyDescent="0.2">
      <c r="A59310" s="258"/>
      <c r="Z59310" s="258"/>
    </row>
    <row r="59311" spans="1:26" ht="12.75" customHeight="1" x14ac:dyDescent="0.2">
      <c r="A59311" s="258"/>
      <c r="Z59311" s="258"/>
    </row>
    <row r="59312" spans="1:26" ht="12.75" customHeight="1" x14ac:dyDescent="0.2">
      <c r="A59312" s="258"/>
      <c r="Z59312" s="258"/>
    </row>
    <row r="59313" spans="1:26" ht="12.75" customHeight="1" x14ac:dyDescent="0.2">
      <c r="A59313" s="258"/>
      <c r="Z59313" s="258"/>
    </row>
    <row r="59314" spans="1:26" ht="12.75" customHeight="1" x14ac:dyDescent="0.2">
      <c r="A59314" s="258"/>
      <c r="Z59314" s="258"/>
    </row>
    <row r="59315" spans="1:26" ht="12.75" customHeight="1" x14ac:dyDescent="0.2">
      <c r="A59315" s="258"/>
      <c r="Z59315" s="258"/>
    </row>
    <row r="59316" spans="1:26" ht="12.75" customHeight="1" x14ac:dyDescent="0.2">
      <c r="A59316" s="258"/>
      <c r="Z59316" s="258"/>
    </row>
    <row r="59317" spans="1:26" ht="12.75" customHeight="1" x14ac:dyDescent="0.2">
      <c r="A59317" s="258"/>
      <c r="Z59317" s="258"/>
    </row>
    <row r="59318" spans="1:26" ht="12.75" customHeight="1" x14ac:dyDescent="0.2">
      <c r="A59318" s="258"/>
      <c r="Z59318" s="258"/>
    </row>
    <row r="59319" spans="1:26" ht="12.75" customHeight="1" x14ac:dyDescent="0.2">
      <c r="A59319" s="258"/>
      <c r="Z59319" s="258"/>
    </row>
    <row r="59320" spans="1:26" ht="12.75" customHeight="1" x14ac:dyDescent="0.2">
      <c r="A59320" s="258"/>
      <c r="Z59320" s="258"/>
    </row>
    <row r="59321" spans="1:26" ht="12.75" customHeight="1" x14ac:dyDescent="0.2">
      <c r="A59321" s="258"/>
      <c r="Z59321" s="258"/>
    </row>
    <row r="59322" spans="1:26" ht="12.75" customHeight="1" x14ac:dyDescent="0.2">
      <c r="A59322" s="258"/>
      <c r="Z59322" s="258"/>
    </row>
    <row r="59323" spans="1:26" ht="12.75" customHeight="1" x14ac:dyDescent="0.2">
      <c r="A59323" s="258"/>
      <c r="Z59323" s="258"/>
    </row>
    <row r="59324" spans="1:26" ht="12.75" customHeight="1" x14ac:dyDescent="0.2">
      <c r="A59324" s="258"/>
      <c r="Z59324" s="258"/>
    </row>
    <row r="59325" spans="1:26" ht="12.75" customHeight="1" x14ac:dyDescent="0.2">
      <c r="A59325" s="258"/>
      <c r="Z59325" s="258"/>
    </row>
    <row r="59326" spans="1:26" ht="12.75" customHeight="1" x14ac:dyDescent="0.2">
      <c r="A59326" s="258"/>
      <c r="Z59326" s="258"/>
    </row>
    <row r="59327" spans="1:26" ht="12.75" customHeight="1" x14ac:dyDescent="0.2">
      <c r="A59327" s="258"/>
      <c r="Z59327" s="258"/>
    </row>
    <row r="59328" spans="1:26" ht="12.75" customHeight="1" x14ac:dyDescent="0.2">
      <c r="A59328" s="258"/>
      <c r="Z59328" s="258"/>
    </row>
    <row r="59329" spans="1:26" ht="12.75" customHeight="1" x14ac:dyDescent="0.2">
      <c r="A59329" s="258"/>
      <c r="Z59329" s="258"/>
    </row>
    <row r="59330" spans="1:26" ht="12.75" customHeight="1" x14ac:dyDescent="0.2">
      <c r="A59330" s="258"/>
      <c r="Z59330" s="258"/>
    </row>
    <row r="59331" spans="1:26" ht="12.75" customHeight="1" x14ac:dyDescent="0.2">
      <c r="A59331" s="258"/>
      <c r="Z59331" s="258"/>
    </row>
    <row r="59332" spans="1:26" ht="12.75" customHeight="1" x14ac:dyDescent="0.2">
      <c r="A59332" s="258"/>
      <c r="Z59332" s="258"/>
    </row>
    <row r="59333" spans="1:26" ht="12.75" customHeight="1" x14ac:dyDescent="0.2">
      <c r="A59333" s="258"/>
      <c r="Z59333" s="258"/>
    </row>
    <row r="59334" spans="1:26" ht="12.75" customHeight="1" x14ac:dyDescent="0.2">
      <c r="A59334" s="258"/>
      <c r="Z59334" s="258"/>
    </row>
    <row r="59335" spans="1:26" ht="12.75" customHeight="1" x14ac:dyDescent="0.2">
      <c r="A59335" s="258"/>
      <c r="Z59335" s="258"/>
    </row>
    <row r="59336" spans="1:26" ht="12.75" customHeight="1" x14ac:dyDescent="0.2">
      <c r="A59336" s="258"/>
      <c r="Z59336" s="258"/>
    </row>
    <row r="59337" spans="1:26" ht="12.75" customHeight="1" x14ac:dyDescent="0.2">
      <c r="A59337" s="258"/>
      <c r="Z59337" s="258"/>
    </row>
    <row r="59338" spans="1:26" ht="12.75" customHeight="1" x14ac:dyDescent="0.2">
      <c r="A59338" s="258"/>
      <c r="Z59338" s="258"/>
    </row>
    <row r="59339" spans="1:26" ht="12.75" customHeight="1" x14ac:dyDescent="0.2">
      <c r="A59339" s="258"/>
      <c r="Z59339" s="258"/>
    </row>
    <row r="59340" spans="1:26" ht="12.75" customHeight="1" x14ac:dyDescent="0.2">
      <c r="A59340" s="258"/>
      <c r="Z59340" s="258"/>
    </row>
    <row r="59341" spans="1:26" ht="12.75" customHeight="1" x14ac:dyDescent="0.2">
      <c r="A59341" s="258"/>
      <c r="Z59341" s="258"/>
    </row>
    <row r="59342" spans="1:26" ht="12.75" customHeight="1" x14ac:dyDescent="0.2">
      <c r="A59342" s="258"/>
      <c r="Z59342" s="258"/>
    </row>
    <row r="59343" spans="1:26" ht="12.75" customHeight="1" x14ac:dyDescent="0.2">
      <c r="A59343" s="258"/>
      <c r="Z59343" s="258"/>
    </row>
    <row r="59344" spans="1:26" ht="12.75" customHeight="1" x14ac:dyDescent="0.2">
      <c r="A59344" s="258"/>
      <c r="Z59344" s="258"/>
    </row>
    <row r="59345" spans="1:26" ht="12.75" customHeight="1" x14ac:dyDescent="0.2">
      <c r="A59345" s="258"/>
      <c r="Z59345" s="258"/>
    </row>
    <row r="59346" spans="1:26" ht="12.75" customHeight="1" x14ac:dyDescent="0.2">
      <c r="A59346" s="258"/>
      <c r="Z59346" s="258"/>
    </row>
    <row r="59347" spans="1:26" ht="12.75" customHeight="1" x14ac:dyDescent="0.2">
      <c r="A59347" s="258"/>
      <c r="Z59347" s="258"/>
    </row>
    <row r="59348" spans="1:26" ht="12.75" customHeight="1" x14ac:dyDescent="0.2">
      <c r="A59348" s="258"/>
      <c r="Z59348" s="258"/>
    </row>
    <row r="59349" spans="1:26" ht="12.75" customHeight="1" x14ac:dyDescent="0.2">
      <c r="A59349" s="258"/>
      <c r="Z59349" s="258"/>
    </row>
    <row r="59350" spans="1:26" ht="12.75" customHeight="1" x14ac:dyDescent="0.2">
      <c r="A59350" s="258"/>
      <c r="Z59350" s="258"/>
    </row>
    <row r="59351" spans="1:26" ht="12.75" customHeight="1" x14ac:dyDescent="0.2">
      <c r="A59351" s="258"/>
      <c r="Z59351" s="258"/>
    </row>
    <row r="59352" spans="1:26" ht="12.75" customHeight="1" x14ac:dyDescent="0.2">
      <c r="A59352" s="258"/>
      <c r="Z59352" s="258"/>
    </row>
    <row r="59353" spans="1:26" ht="12.75" customHeight="1" x14ac:dyDescent="0.2">
      <c r="A59353" s="258"/>
      <c r="Z59353" s="258"/>
    </row>
    <row r="59354" spans="1:26" ht="12.75" customHeight="1" x14ac:dyDescent="0.2">
      <c r="A59354" s="258"/>
      <c r="Z59354" s="258"/>
    </row>
    <row r="59355" spans="1:26" ht="12.75" customHeight="1" x14ac:dyDescent="0.2">
      <c r="A59355" s="258"/>
      <c r="Z59355" s="258"/>
    </row>
    <row r="59356" spans="1:26" ht="12.75" customHeight="1" x14ac:dyDescent="0.2">
      <c r="A59356" s="258"/>
      <c r="Z59356" s="258"/>
    </row>
    <row r="59357" spans="1:26" ht="12.75" customHeight="1" x14ac:dyDescent="0.2">
      <c r="A59357" s="258"/>
      <c r="Z59357" s="258"/>
    </row>
    <row r="59358" spans="1:26" ht="12.75" customHeight="1" x14ac:dyDescent="0.2">
      <c r="A59358" s="258"/>
      <c r="Z59358" s="258"/>
    </row>
    <row r="59359" spans="1:26" ht="12.75" customHeight="1" x14ac:dyDescent="0.2">
      <c r="A59359" s="258"/>
      <c r="Z59359" s="258"/>
    </row>
    <row r="59360" spans="1:26" ht="12.75" customHeight="1" x14ac:dyDescent="0.2">
      <c r="A59360" s="258"/>
      <c r="Z59360" s="258"/>
    </row>
    <row r="59361" spans="1:26" ht="12.75" customHeight="1" x14ac:dyDescent="0.2">
      <c r="A59361" s="258"/>
      <c r="Z59361" s="258"/>
    </row>
    <row r="59362" spans="1:26" ht="12.75" customHeight="1" x14ac:dyDescent="0.2">
      <c r="A59362" s="258"/>
      <c r="Z59362" s="258"/>
    </row>
    <row r="59363" spans="1:26" ht="12.75" customHeight="1" x14ac:dyDescent="0.2">
      <c r="A59363" s="258"/>
      <c r="Z59363" s="258"/>
    </row>
    <row r="59364" spans="1:26" ht="12.75" customHeight="1" x14ac:dyDescent="0.2">
      <c r="A59364" s="258"/>
      <c r="Z59364" s="258"/>
    </row>
    <row r="59365" spans="1:26" ht="12.75" customHeight="1" x14ac:dyDescent="0.2">
      <c r="A59365" s="258"/>
      <c r="Z59365" s="258"/>
    </row>
    <row r="59366" spans="1:26" ht="12.75" customHeight="1" x14ac:dyDescent="0.2">
      <c r="A59366" s="258"/>
      <c r="Z59366" s="258"/>
    </row>
    <row r="59367" spans="1:26" ht="12.75" customHeight="1" x14ac:dyDescent="0.2">
      <c r="A59367" s="258"/>
      <c r="Z59367" s="258"/>
    </row>
    <row r="59368" spans="1:26" ht="12.75" customHeight="1" x14ac:dyDescent="0.2">
      <c r="A59368" s="258"/>
      <c r="Z59368" s="258"/>
    </row>
    <row r="59369" spans="1:26" ht="12.75" customHeight="1" x14ac:dyDescent="0.2">
      <c r="A59369" s="258"/>
      <c r="Z59369" s="258"/>
    </row>
    <row r="59370" spans="1:26" ht="12.75" customHeight="1" x14ac:dyDescent="0.2">
      <c r="A59370" s="258"/>
      <c r="Z59370" s="258"/>
    </row>
    <row r="59371" spans="1:26" ht="12.75" customHeight="1" x14ac:dyDescent="0.2">
      <c r="A59371" s="258"/>
      <c r="Z59371" s="258"/>
    </row>
    <row r="59372" spans="1:26" ht="12.75" customHeight="1" x14ac:dyDescent="0.2">
      <c r="A59372" s="258"/>
      <c r="Z59372" s="258"/>
    </row>
    <row r="59373" spans="1:26" ht="12.75" customHeight="1" x14ac:dyDescent="0.2">
      <c r="A59373" s="258"/>
      <c r="Z59373" s="258"/>
    </row>
    <row r="59374" spans="1:26" ht="12.75" customHeight="1" x14ac:dyDescent="0.2">
      <c r="A59374" s="258"/>
      <c r="Z59374" s="258"/>
    </row>
    <row r="59375" spans="1:26" ht="12.75" customHeight="1" x14ac:dyDescent="0.2">
      <c r="A59375" s="258"/>
      <c r="Z59375" s="258"/>
    </row>
    <row r="59376" spans="1:26" ht="12.75" customHeight="1" x14ac:dyDescent="0.2">
      <c r="A59376" s="258"/>
      <c r="Z59376" s="258"/>
    </row>
    <row r="59377" spans="1:26" ht="12.75" customHeight="1" x14ac:dyDescent="0.2">
      <c r="A59377" s="258"/>
      <c r="Z59377" s="258"/>
    </row>
    <row r="59378" spans="1:26" ht="12.75" customHeight="1" x14ac:dyDescent="0.2">
      <c r="A59378" s="258"/>
      <c r="Z59378" s="258"/>
    </row>
    <row r="59379" spans="1:26" ht="12.75" customHeight="1" x14ac:dyDescent="0.2">
      <c r="A59379" s="258"/>
      <c r="Z59379" s="258"/>
    </row>
    <row r="59380" spans="1:26" ht="12.75" customHeight="1" x14ac:dyDescent="0.2">
      <c r="A59380" s="258"/>
      <c r="Z59380" s="258"/>
    </row>
    <row r="59381" spans="1:26" ht="12.75" customHeight="1" x14ac:dyDescent="0.2">
      <c r="A59381" s="258"/>
      <c r="Z59381" s="258"/>
    </row>
    <row r="59382" spans="1:26" ht="12.75" customHeight="1" x14ac:dyDescent="0.2">
      <c r="A59382" s="258"/>
      <c r="Z59382" s="258"/>
    </row>
    <row r="59383" spans="1:26" ht="12.75" customHeight="1" x14ac:dyDescent="0.2">
      <c r="A59383" s="258"/>
      <c r="Z59383" s="258"/>
    </row>
    <row r="59384" spans="1:26" ht="12.75" customHeight="1" x14ac:dyDescent="0.2">
      <c r="A59384" s="258"/>
      <c r="Z59384" s="258"/>
    </row>
    <row r="59385" spans="1:26" ht="12.75" customHeight="1" x14ac:dyDescent="0.2">
      <c r="A59385" s="258"/>
      <c r="Z59385" s="258"/>
    </row>
    <row r="59386" spans="1:26" ht="12.75" customHeight="1" x14ac:dyDescent="0.2">
      <c r="A59386" s="258"/>
      <c r="Z59386" s="258"/>
    </row>
    <row r="59387" spans="1:26" ht="12.75" customHeight="1" x14ac:dyDescent="0.2">
      <c r="A59387" s="258"/>
      <c r="Z59387" s="258"/>
    </row>
    <row r="59388" spans="1:26" ht="12.75" customHeight="1" x14ac:dyDescent="0.2">
      <c r="A59388" s="258"/>
      <c r="Z59388" s="258"/>
    </row>
    <row r="59389" spans="1:26" ht="12.75" customHeight="1" x14ac:dyDescent="0.2">
      <c r="A59389" s="258"/>
      <c r="Z59389" s="258"/>
    </row>
    <row r="59390" spans="1:26" ht="12.75" customHeight="1" x14ac:dyDescent="0.2">
      <c r="A59390" s="258"/>
      <c r="Z59390" s="258"/>
    </row>
    <row r="59391" spans="1:26" ht="12.75" customHeight="1" x14ac:dyDescent="0.2">
      <c r="A59391" s="258"/>
      <c r="Z59391" s="258"/>
    </row>
    <row r="59392" spans="1:26" ht="12.75" customHeight="1" x14ac:dyDescent="0.2">
      <c r="A59392" s="258"/>
      <c r="Z59392" s="258"/>
    </row>
    <row r="59393" spans="1:26" ht="12.75" customHeight="1" x14ac:dyDescent="0.2">
      <c r="A59393" s="258"/>
      <c r="Z59393" s="258"/>
    </row>
    <row r="59394" spans="1:26" ht="12.75" customHeight="1" x14ac:dyDescent="0.2">
      <c r="A59394" s="258"/>
      <c r="Z59394" s="258"/>
    </row>
    <row r="59395" spans="1:26" ht="12.75" customHeight="1" x14ac:dyDescent="0.2">
      <c r="A59395" s="258"/>
      <c r="Z59395" s="258"/>
    </row>
    <row r="59396" spans="1:26" ht="12.75" customHeight="1" x14ac:dyDescent="0.2">
      <c r="A59396" s="258"/>
      <c r="Z59396" s="258"/>
    </row>
    <row r="59397" spans="1:26" ht="12.75" customHeight="1" x14ac:dyDescent="0.2">
      <c r="A59397" s="258"/>
      <c r="Z59397" s="258"/>
    </row>
    <row r="59398" spans="1:26" ht="12.75" customHeight="1" x14ac:dyDescent="0.2">
      <c r="A59398" s="258"/>
      <c r="Z59398" s="258"/>
    </row>
    <row r="59399" spans="1:26" ht="12.75" customHeight="1" x14ac:dyDescent="0.2">
      <c r="A59399" s="258"/>
      <c r="Z59399" s="258"/>
    </row>
    <row r="59400" spans="1:26" ht="12.75" customHeight="1" x14ac:dyDescent="0.2">
      <c r="A59400" s="258"/>
      <c r="Z59400" s="258"/>
    </row>
    <row r="59401" spans="1:26" ht="12.75" customHeight="1" x14ac:dyDescent="0.2">
      <c r="A59401" s="258"/>
      <c r="Z59401" s="258"/>
    </row>
    <row r="59402" spans="1:26" ht="12.75" customHeight="1" x14ac:dyDescent="0.2">
      <c r="A59402" s="258"/>
      <c r="Z59402" s="258"/>
    </row>
    <row r="59403" spans="1:26" ht="12.75" customHeight="1" x14ac:dyDescent="0.2">
      <c r="A59403" s="258"/>
      <c r="Z59403" s="258"/>
    </row>
    <row r="59404" spans="1:26" ht="12.75" customHeight="1" x14ac:dyDescent="0.2">
      <c r="A59404" s="258"/>
      <c r="Z59404" s="258"/>
    </row>
    <row r="59405" spans="1:26" ht="12.75" customHeight="1" x14ac:dyDescent="0.2">
      <c r="A59405" s="258"/>
      <c r="Z59405" s="258"/>
    </row>
    <row r="59406" spans="1:26" ht="12.75" customHeight="1" x14ac:dyDescent="0.2">
      <c r="A59406" s="258"/>
      <c r="Z59406" s="258"/>
    </row>
    <row r="59407" spans="1:26" ht="12.75" customHeight="1" x14ac:dyDescent="0.2">
      <c r="A59407" s="258"/>
      <c r="Z59407" s="258"/>
    </row>
    <row r="59408" spans="1:26" ht="12.75" customHeight="1" x14ac:dyDescent="0.2">
      <c r="A59408" s="258"/>
      <c r="Z59408" s="258"/>
    </row>
    <row r="59409" spans="1:26" ht="12.75" customHeight="1" x14ac:dyDescent="0.2">
      <c r="A59409" s="258"/>
      <c r="Z59409" s="258"/>
    </row>
    <row r="59410" spans="1:26" ht="12.75" customHeight="1" x14ac:dyDescent="0.2">
      <c r="A59410" s="258"/>
      <c r="Z59410" s="258"/>
    </row>
    <row r="59411" spans="1:26" ht="12.75" customHeight="1" x14ac:dyDescent="0.2">
      <c r="A59411" s="258"/>
      <c r="Z59411" s="258"/>
    </row>
    <row r="59412" spans="1:26" ht="12.75" customHeight="1" x14ac:dyDescent="0.2">
      <c r="A59412" s="258"/>
      <c r="Z59412" s="258"/>
    </row>
    <row r="59413" spans="1:26" ht="12.75" customHeight="1" x14ac:dyDescent="0.2">
      <c r="A59413" s="258"/>
      <c r="Z59413" s="258"/>
    </row>
    <row r="59414" spans="1:26" ht="12.75" customHeight="1" x14ac:dyDescent="0.2">
      <c r="A59414" s="258"/>
      <c r="Z59414" s="258"/>
    </row>
    <row r="59415" spans="1:26" ht="12.75" customHeight="1" x14ac:dyDescent="0.2">
      <c r="A59415" s="258"/>
      <c r="Z59415" s="258"/>
    </row>
    <row r="59416" spans="1:26" ht="12.75" customHeight="1" x14ac:dyDescent="0.2">
      <c r="A59416" s="258"/>
      <c r="Z59416" s="258"/>
    </row>
    <row r="59417" spans="1:26" ht="12.75" customHeight="1" x14ac:dyDescent="0.2">
      <c r="A59417" s="258"/>
      <c r="Z59417" s="258"/>
    </row>
    <row r="59418" spans="1:26" ht="12.75" customHeight="1" x14ac:dyDescent="0.2">
      <c r="A59418" s="258"/>
      <c r="Z59418" s="258"/>
    </row>
    <row r="59419" spans="1:26" ht="12.75" customHeight="1" x14ac:dyDescent="0.2">
      <c r="A59419" s="258"/>
      <c r="Z59419" s="258"/>
    </row>
    <row r="59420" spans="1:26" ht="12.75" customHeight="1" x14ac:dyDescent="0.2">
      <c r="A59420" s="258"/>
      <c r="Z59420" s="258"/>
    </row>
    <row r="59421" spans="1:26" ht="12.75" customHeight="1" x14ac:dyDescent="0.2">
      <c r="A59421" s="258"/>
      <c r="Z59421" s="258"/>
    </row>
    <row r="59422" spans="1:26" ht="12.75" customHeight="1" x14ac:dyDescent="0.2">
      <c r="A59422" s="258"/>
      <c r="Z59422" s="258"/>
    </row>
    <row r="59423" spans="1:26" ht="12.75" customHeight="1" x14ac:dyDescent="0.2">
      <c r="A59423" s="258"/>
      <c r="Z59423" s="258"/>
    </row>
    <row r="59424" spans="1:26" ht="12.75" customHeight="1" x14ac:dyDescent="0.2">
      <c r="A59424" s="258"/>
      <c r="Z59424" s="258"/>
    </row>
    <row r="59425" spans="1:26" ht="12.75" customHeight="1" x14ac:dyDescent="0.2">
      <c r="A59425" s="258"/>
      <c r="Z59425" s="258"/>
    </row>
    <row r="59426" spans="1:26" ht="12.75" customHeight="1" x14ac:dyDescent="0.2">
      <c r="A59426" s="258"/>
      <c r="Z59426" s="258"/>
    </row>
    <row r="59427" spans="1:26" ht="12.75" customHeight="1" x14ac:dyDescent="0.2">
      <c r="A59427" s="258"/>
      <c r="Z59427" s="258"/>
    </row>
    <row r="59428" spans="1:26" ht="12.75" customHeight="1" x14ac:dyDescent="0.2">
      <c r="A59428" s="258"/>
      <c r="Z59428" s="258"/>
    </row>
    <row r="59429" spans="1:26" ht="12.75" customHeight="1" x14ac:dyDescent="0.2">
      <c r="A59429" s="258"/>
      <c r="Z59429" s="258"/>
    </row>
    <row r="59430" spans="1:26" ht="12.75" customHeight="1" x14ac:dyDescent="0.2">
      <c r="A59430" s="258"/>
      <c r="Z59430" s="258"/>
    </row>
    <row r="59431" spans="1:26" ht="12.75" customHeight="1" x14ac:dyDescent="0.2">
      <c r="A59431" s="258"/>
      <c r="Z59431" s="258"/>
    </row>
    <row r="59432" spans="1:26" ht="12.75" customHeight="1" x14ac:dyDescent="0.2">
      <c r="A59432" s="258"/>
      <c r="Z59432" s="258"/>
    </row>
    <row r="59433" spans="1:26" ht="12.75" customHeight="1" x14ac:dyDescent="0.2">
      <c r="A59433" s="258"/>
      <c r="Z59433" s="258"/>
    </row>
    <row r="59434" spans="1:26" ht="12.75" customHeight="1" x14ac:dyDescent="0.2">
      <c r="A59434" s="258"/>
      <c r="Z59434" s="258"/>
    </row>
    <row r="59435" spans="1:26" ht="12.75" customHeight="1" x14ac:dyDescent="0.2">
      <c r="A59435" s="258"/>
      <c r="Z59435" s="258"/>
    </row>
    <row r="59436" spans="1:26" ht="12.75" customHeight="1" x14ac:dyDescent="0.2">
      <c r="A59436" s="258"/>
      <c r="Z59436" s="258"/>
    </row>
    <row r="59437" spans="1:26" ht="12.75" customHeight="1" x14ac:dyDescent="0.2">
      <c r="A59437" s="258"/>
      <c r="Z59437" s="258"/>
    </row>
    <row r="59438" spans="1:26" ht="12.75" customHeight="1" x14ac:dyDescent="0.2">
      <c r="A59438" s="258"/>
      <c r="Z59438" s="258"/>
    </row>
    <row r="59439" spans="1:26" ht="12.75" customHeight="1" x14ac:dyDescent="0.2">
      <c r="A59439" s="258"/>
      <c r="Z59439" s="258"/>
    </row>
    <row r="59440" spans="1:26" ht="12.75" customHeight="1" x14ac:dyDescent="0.2">
      <c r="A59440" s="258"/>
      <c r="Z59440" s="258"/>
    </row>
    <row r="59441" spans="1:26" ht="12.75" customHeight="1" x14ac:dyDescent="0.2">
      <c r="A59441" s="258"/>
      <c r="Z59441" s="258"/>
    </row>
    <row r="59442" spans="1:26" ht="12.75" customHeight="1" x14ac:dyDescent="0.2">
      <c r="A59442" s="258"/>
      <c r="Z59442" s="258"/>
    </row>
    <row r="59443" spans="1:26" ht="12.75" customHeight="1" x14ac:dyDescent="0.2">
      <c r="A59443" s="258"/>
      <c r="Z59443" s="258"/>
    </row>
    <row r="59444" spans="1:26" ht="12.75" customHeight="1" x14ac:dyDescent="0.2">
      <c r="A59444" s="258"/>
      <c r="Z59444" s="258"/>
    </row>
    <row r="59445" spans="1:26" ht="12.75" customHeight="1" x14ac:dyDescent="0.2">
      <c r="A59445" s="258"/>
      <c r="Z59445" s="258"/>
    </row>
    <row r="59446" spans="1:26" ht="12.75" customHeight="1" x14ac:dyDescent="0.2">
      <c r="A59446" s="258"/>
      <c r="Z59446" s="258"/>
    </row>
    <row r="59447" spans="1:26" ht="12.75" customHeight="1" x14ac:dyDescent="0.2">
      <c r="A59447" s="258"/>
      <c r="Z59447" s="258"/>
    </row>
    <row r="59448" spans="1:26" ht="12.75" customHeight="1" x14ac:dyDescent="0.2">
      <c r="A59448" s="258"/>
      <c r="Z59448" s="258"/>
    </row>
    <row r="59449" spans="1:26" ht="12.75" customHeight="1" x14ac:dyDescent="0.2">
      <c r="A59449" s="258"/>
      <c r="Z59449" s="258"/>
    </row>
    <row r="59450" spans="1:26" ht="12.75" customHeight="1" x14ac:dyDescent="0.2">
      <c r="A59450" s="258"/>
      <c r="Z59450" s="258"/>
    </row>
    <row r="59451" spans="1:26" ht="12.75" customHeight="1" x14ac:dyDescent="0.2">
      <c r="A59451" s="258"/>
      <c r="Z59451" s="258"/>
    </row>
    <row r="59452" spans="1:26" ht="12.75" customHeight="1" x14ac:dyDescent="0.2">
      <c r="A59452" s="258"/>
      <c r="Z59452" s="258"/>
    </row>
    <row r="59453" spans="1:26" ht="12.75" customHeight="1" x14ac:dyDescent="0.2">
      <c r="A59453" s="258"/>
      <c r="Z59453" s="258"/>
    </row>
    <row r="59454" spans="1:26" ht="12.75" customHeight="1" x14ac:dyDescent="0.2">
      <c r="A59454" s="258"/>
      <c r="Z59454" s="258"/>
    </row>
    <row r="59455" spans="1:26" ht="12.75" customHeight="1" x14ac:dyDescent="0.2">
      <c r="A59455" s="258"/>
      <c r="Z59455" s="258"/>
    </row>
    <row r="59456" spans="1:26" ht="12.75" customHeight="1" x14ac:dyDescent="0.2">
      <c r="A59456" s="258"/>
      <c r="Z59456" s="258"/>
    </row>
    <row r="59457" spans="1:26" ht="12.75" customHeight="1" x14ac:dyDescent="0.2">
      <c r="A59457" s="258"/>
      <c r="Z59457" s="258"/>
    </row>
    <row r="59458" spans="1:26" ht="12.75" customHeight="1" x14ac:dyDescent="0.2">
      <c r="A59458" s="258"/>
      <c r="Z59458" s="258"/>
    </row>
    <row r="59459" spans="1:26" ht="12.75" customHeight="1" x14ac:dyDescent="0.2">
      <c r="A59459" s="258"/>
      <c r="Z59459" s="258"/>
    </row>
    <row r="59460" spans="1:26" ht="12.75" customHeight="1" x14ac:dyDescent="0.2">
      <c r="A59460" s="258"/>
      <c r="Z59460" s="258"/>
    </row>
    <row r="59461" spans="1:26" ht="12.75" customHeight="1" x14ac:dyDescent="0.2">
      <c r="A59461" s="258"/>
      <c r="Z59461" s="258"/>
    </row>
    <row r="59462" spans="1:26" ht="12.75" customHeight="1" x14ac:dyDescent="0.2">
      <c r="A59462" s="258"/>
      <c r="Z59462" s="258"/>
    </row>
    <row r="59463" spans="1:26" ht="12.75" customHeight="1" x14ac:dyDescent="0.2">
      <c r="A59463" s="258"/>
      <c r="Z59463" s="258"/>
    </row>
    <row r="59464" spans="1:26" ht="12.75" customHeight="1" x14ac:dyDescent="0.2">
      <c r="A59464" s="258"/>
      <c r="Z59464" s="258"/>
    </row>
    <row r="59465" spans="1:26" ht="12.75" customHeight="1" x14ac:dyDescent="0.2">
      <c r="A59465" s="258"/>
      <c r="Z59465" s="258"/>
    </row>
    <row r="59466" spans="1:26" ht="12.75" customHeight="1" x14ac:dyDescent="0.2">
      <c r="A59466" s="258"/>
      <c r="Z59466" s="258"/>
    </row>
    <row r="59467" spans="1:26" ht="12.75" customHeight="1" x14ac:dyDescent="0.2">
      <c r="A59467" s="258"/>
      <c r="Z59467" s="258"/>
    </row>
    <row r="59468" spans="1:26" ht="12.75" customHeight="1" x14ac:dyDescent="0.2">
      <c r="A59468" s="258"/>
      <c r="Z59468" s="258"/>
    </row>
    <row r="59469" spans="1:26" ht="12.75" customHeight="1" x14ac:dyDescent="0.2">
      <c r="A59469" s="258"/>
      <c r="Z59469" s="258"/>
    </row>
    <row r="59470" spans="1:26" ht="12.75" customHeight="1" x14ac:dyDescent="0.2">
      <c r="A59470" s="258"/>
      <c r="Z59470" s="258"/>
    </row>
    <row r="59471" spans="1:26" ht="12.75" customHeight="1" x14ac:dyDescent="0.2">
      <c r="A59471" s="258"/>
      <c r="Z59471" s="258"/>
    </row>
    <row r="59472" spans="1:26" ht="12.75" customHeight="1" x14ac:dyDescent="0.2">
      <c r="A59472" s="258"/>
      <c r="Z59472" s="258"/>
    </row>
    <row r="59473" spans="1:26" ht="12.75" customHeight="1" x14ac:dyDescent="0.2">
      <c r="A59473" s="258"/>
      <c r="Z59473" s="258"/>
    </row>
    <row r="59474" spans="1:26" ht="12.75" customHeight="1" x14ac:dyDescent="0.2">
      <c r="A59474" s="258"/>
      <c r="Z59474" s="258"/>
    </row>
    <row r="59475" spans="1:26" ht="12.75" customHeight="1" x14ac:dyDescent="0.2">
      <c r="A59475" s="258"/>
      <c r="Z59475" s="258"/>
    </row>
    <row r="59476" spans="1:26" ht="12.75" customHeight="1" x14ac:dyDescent="0.2">
      <c r="A59476" s="258"/>
      <c r="Z59476" s="258"/>
    </row>
    <row r="59477" spans="1:26" ht="12.75" customHeight="1" x14ac:dyDescent="0.2">
      <c r="A59477" s="258"/>
      <c r="Z59477" s="258"/>
    </row>
    <row r="59478" spans="1:26" ht="12.75" customHeight="1" x14ac:dyDescent="0.2">
      <c r="A59478" s="258"/>
      <c r="Z59478" s="258"/>
    </row>
    <row r="59479" spans="1:26" ht="12.75" customHeight="1" x14ac:dyDescent="0.2">
      <c r="A59479" s="258"/>
      <c r="Z59479" s="258"/>
    </row>
    <row r="59480" spans="1:26" ht="12.75" customHeight="1" x14ac:dyDescent="0.2">
      <c r="A59480" s="258"/>
      <c r="Z59480" s="258"/>
    </row>
    <row r="59481" spans="1:26" ht="12.75" customHeight="1" x14ac:dyDescent="0.2">
      <c r="A59481" s="258"/>
      <c r="Z59481" s="258"/>
    </row>
    <row r="59482" spans="1:26" ht="12.75" customHeight="1" x14ac:dyDescent="0.2">
      <c r="A59482" s="258"/>
      <c r="Z59482" s="258"/>
    </row>
    <row r="59483" spans="1:26" ht="12.75" customHeight="1" x14ac:dyDescent="0.2">
      <c r="A59483" s="258"/>
      <c r="Z59483" s="258"/>
    </row>
    <row r="59484" spans="1:26" ht="12.75" customHeight="1" x14ac:dyDescent="0.2">
      <c r="A59484" s="258"/>
      <c r="Z59484" s="258"/>
    </row>
    <row r="59485" spans="1:26" ht="12.75" customHeight="1" x14ac:dyDescent="0.2">
      <c r="A59485" s="258"/>
      <c r="Z59485" s="258"/>
    </row>
    <row r="59486" spans="1:26" ht="12.75" customHeight="1" x14ac:dyDescent="0.2">
      <c r="A59486" s="258"/>
      <c r="Z59486" s="258"/>
    </row>
    <row r="59487" spans="1:26" ht="12.75" customHeight="1" x14ac:dyDescent="0.2">
      <c r="A59487" s="258"/>
      <c r="Z59487" s="258"/>
    </row>
    <row r="59488" spans="1:26" ht="12.75" customHeight="1" x14ac:dyDescent="0.2">
      <c r="A59488" s="258"/>
      <c r="Z59488" s="258"/>
    </row>
    <row r="59489" spans="1:26" ht="12.75" customHeight="1" x14ac:dyDescent="0.2">
      <c r="A59489" s="258"/>
      <c r="Z59489" s="258"/>
    </row>
    <row r="59490" spans="1:26" ht="12.75" customHeight="1" x14ac:dyDescent="0.2">
      <c r="A59490" s="258"/>
      <c r="Z59490" s="258"/>
    </row>
    <row r="59491" spans="1:26" ht="12.75" customHeight="1" x14ac:dyDescent="0.2">
      <c r="A59491" s="258"/>
      <c r="Z59491" s="258"/>
    </row>
    <row r="59492" spans="1:26" ht="12.75" customHeight="1" x14ac:dyDescent="0.2">
      <c r="A59492" s="258"/>
      <c r="Z59492" s="258"/>
    </row>
    <row r="59493" spans="1:26" ht="12.75" customHeight="1" x14ac:dyDescent="0.2">
      <c r="A59493" s="258"/>
      <c r="Z59493" s="258"/>
    </row>
    <row r="59494" spans="1:26" ht="12.75" customHeight="1" x14ac:dyDescent="0.2">
      <c r="A59494" s="258"/>
      <c r="Z59494" s="258"/>
    </row>
    <row r="59495" spans="1:26" ht="12.75" customHeight="1" x14ac:dyDescent="0.2">
      <c r="A59495" s="258"/>
      <c r="Z59495" s="258"/>
    </row>
    <row r="59496" spans="1:26" ht="12.75" customHeight="1" x14ac:dyDescent="0.2">
      <c r="A59496" s="258"/>
      <c r="Z59496" s="258"/>
    </row>
    <row r="59497" spans="1:26" ht="12.75" customHeight="1" x14ac:dyDescent="0.2">
      <c r="A59497" s="258"/>
      <c r="Z59497" s="258"/>
    </row>
    <row r="59498" spans="1:26" ht="12.75" customHeight="1" x14ac:dyDescent="0.2">
      <c r="A59498" s="258"/>
      <c r="Z59498" s="258"/>
    </row>
    <row r="59499" spans="1:26" ht="12.75" customHeight="1" x14ac:dyDescent="0.2">
      <c r="A59499" s="258"/>
      <c r="Z59499" s="258"/>
    </row>
    <row r="59500" spans="1:26" ht="12.75" customHeight="1" x14ac:dyDescent="0.2">
      <c r="A59500" s="258"/>
      <c r="Z59500" s="258"/>
    </row>
    <row r="59501" spans="1:26" ht="12.75" customHeight="1" x14ac:dyDescent="0.2">
      <c r="A59501" s="258"/>
      <c r="Z59501" s="258"/>
    </row>
    <row r="59502" spans="1:26" ht="12.75" customHeight="1" x14ac:dyDescent="0.2">
      <c r="A59502" s="258"/>
      <c r="Z59502" s="258"/>
    </row>
    <row r="59503" spans="1:26" ht="12.75" customHeight="1" x14ac:dyDescent="0.2">
      <c r="A59503" s="258"/>
      <c r="Z59503" s="258"/>
    </row>
    <row r="59504" spans="1:26" ht="12.75" customHeight="1" x14ac:dyDescent="0.2">
      <c r="A59504" s="258"/>
      <c r="Z59504" s="258"/>
    </row>
    <row r="59505" spans="1:26" ht="12.75" customHeight="1" x14ac:dyDescent="0.2">
      <c r="A59505" s="258"/>
      <c r="Z59505" s="258"/>
    </row>
    <row r="59506" spans="1:26" ht="12.75" customHeight="1" x14ac:dyDescent="0.2">
      <c r="A59506" s="258"/>
      <c r="Z59506" s="258"/>
    </row>
    <row r="59507" spans="1:26" ht="12.75" customHeight="1" x14ac:dyDescent="0.2">
      <c r="A59507" s="258"/>
      <c r="Z59507" s="258"/>
    </row>
    <row r="59508" spans="1:26" ht="12.75" customHeight="1" x14ac:dyDescent="0.2">
      <c r="A59508" s="258"/>
      <c r="Z59508" s="258"/>
    </row>
    <row r="59509" spans="1:26" ht="12.75" customHeight="1" x14ac:dyDescent="0.2">
      <c r="A59509" s="258"/>
      <c r="Z59509" s="258"/>
    </row>
    <row r="59510" spans="1:26" ht="12.75" customHeight="1" x14ac:dyDescent="0.2">
      <c r="A59510" s="258"/>
      <c r="Z59510" s="258"/>
    </row>
    <row r="59511" spans="1:26" ht="12.75" customHeight="1" x14ac:dyDescent="0.2">
      <c r="A59511" s="258"/>
      <c r="Z59511" s="258"/>
    </row>
    <row r="59512" spans="1:26" ht="12.75" customHeight="1" x14ac:dyDescent="0.2">
      <c r="A59512" s="258"/>
      <c r="Z59512" s="258"/>
    </row>
    <row r="59513" spans="1:26" ht="12.75" customHeight="1" x14ac:dyDescent="0.2">
      <c r="A59513" s="258"/>
      <c r="Z59513" s="258"/>
    </row>
    <row r="59514" spans="1:26" ht="12.75" customHeight="1" x14ac:dyDescent="0.2">
      <c r="A59514" s="258"/>
      <c r="Z59514" s="258"/>
    </row>
    <row r="59515" spans="1:26" ht="12.75" customHeight="1" x14ac:dyDescent="0.2">
      <c r="A59515" s="258"/>
      <c r="Z59515" s="258"/>
    </row>
    <row r="59516" spans="1:26" ht="12.75" customHeight="1" x14ac:dyDescent="0.2">
      <c r="A59516" s="258"/>
      <c r="Z59516" s="258"/>
    </row>
    <row r="59517" spans="1:26" ht="12.75" customHeight="1" x14ac:dyDescent="0.2">
      <c r="A59517" s="258"/>
      <c r="Z59517" s="258"/>
    </row>
    <row r="59518" spans="1:26" ht="12.75" customHeight="1" x14ac:dyDescent="0.2">
      <c r="A59518" s="258"/>
      <c r="Z59518" s="258"/>
    </row>
    <row r="59519" spans="1:26" ht="12.75" customHeight="1" x14ac:dyDescent="0.2">
      <c r="A59519" s="258"/>
      <c r="Z59519" s="258"/>
    </row>
    <row r="59520" spans="1:26" ht="12.75" customHeight="1" x14ac:dyDescent="0.2">
      <c r="A59520" s="258"/>
      <c r="Z59520" s="258"/>
    </row>
    <row r="59521" spans="1:26" ht="12.75" customHeight="1" x14ac:dyDescent="0.2">
      <c r="A59521" s="258"/>
      <c r="Z59521" s="258"/>
    </row>
    <row r="59522" spans="1:26" ht="12.75" customHeight="1" x14ac:dyDescent="0.2">
      <c r="A59522" s="258"/>
      <c r="Z59522" s="258"/>
    </row>
    <row r="59523" spans="1:26" ht="12.75" customHeight="1" x14ac:dyDescent="0.2">
      <c r="A59523" s="258"/>
      <c r="Z59523" s="258"/>
    </row>
    <row r="59524" spans="1:26" ht="12.75" customHeight="1" x14ac:dyDescent="0.2">
      <c r="A59524" s="258"/>
      <c r="Z59524" s="258"/>
    </row>
    <row r="59525" spans="1:26" ht="12.75" customHeight="1" x14ac:dyDescent="0.2">
      <c r="A59525" s="258"/>
      <c r="Z59525" s="258"/>
    </row>
    <row r="59526" spans="1:26" ht="12.75" customHeight="1" x14ac:dyDescent="0.2">
      <c r="A59526" s="258"/>
      <c r="Z59526" s="258"/>
    </row>
    <row r="59527" spans="1:26" ht="12.75" customHeight="1" x14ac:dyDescent="0.2">
      <c r="A59527" s="258"/>
      <c r="Z59527" s="258"/>
    </row>
    <row r="59528" spans="1:26" ht="12.75" customHeight="1" x14ac:dyDescent="0.2">
      <c r="A59528" s="258"/>
      <c r="Z59528" s="258"/>
    </row>
    <row r="59529" spans="1:26" ht="12.75" customHeight="1" x14ac:dyDescent="0.2">
      <c r="A59529" s="258"/>
      <c r="Z59529" s="258"/>
    </row>
    <row r="59530" spans="1:26" ht="12.75" customHeight="1" x14ac:dyDescent="0.2">
      <c r="A59530" s="258"/>
      <c r="Z59530" s="258"/>
    </row>
    <row r="59531" spans="1:26" ht="12.75" customHeight="1" x14ac:dyDescent="0.2">
      <c r="A59531" s="258"/>
      <c r="Z59531" s="258"/>
    </row>
    <row r="59532" spans="1:26" ht="12.75" customHeight="1" x14ac:dyDescent="0.2">
      <c r="A59532" s="258"/>
      <c r="Z59532" s="258"/>
    </row>
    <row r="59533" spans="1:26" ht="12.75" customHeight="1" x14ac:dyDescent="0.2">
      <c r="A59533" s="258"/>
      <c r="Z59533" s="258"/>
    </row>
    <row r="59534" spans="1:26" ht="12.75" customHeight="1" x14ac:dyDescent="0.2">
      <c r="A59534" s="258"/>
      <c r="Z59534" s="258"/>
    </row>
    <row r="59535" spans="1:26" ht="12.75" customHeight="1" x14ac:dyDescent="0.2">
      <c r="A59535" s="258"/>
      <c r="Z59535" s="258"/>
    </row>
    <row r="59536" spans="1:26" ht="12.75" customHeight="1" x14ac:dyDescent="0.2">
      <c r="A59536" s="258"/>
      <c r="Z59536" s="258"/>
    </row>
    <row r="59537" spans="1:26" ht="12.75" customHeight="1" x14ac:dyDescent="0.2">
      <c r="A59537" s="258"/>
      <c r="Z59537" s="258"/>
    </row>
    <row r="59538" spans="1:26" ht="12.75" customHeight="1" x14ac:dyDescent="0.2">
      <c r="A59538" s="258"/>
      <c r="Z59538" s="258"/>
    </row>
    <row r="59539" spans="1:26" ht="12.75" customHeight="1" x14ac:dyDescent="0.2">
      <c r="A59539" s="258"/>
      <c r="Z59539" s="258"/>
    </row>
    <row r="59540" spans="1:26" ht="12.75" customHeight="1" x14ac:dyDescent="0.2">
      <c r="A59540" s="258"/>
      <c r="Z59540" s="258"/>
    </row>
    <row r="59541" spans="1:26" ht="12.75" customHeight="1" x14ac:dyDescent="0.2">
      <c r="A59541" s="258"/>
      <c r="Z59541" s="258"/>
    </row>
    <row r="59542" spans="1:26" ht="12.75" customHeight="1" x14ac:dyDescent="0.2">
      <c r="A59542" s="258"/>
      <c r="Z59542" s="258"/>
    </row>
    <row r="59543" spans="1:26" ht="12.75" customHeight="1" x14ac:dyDescent="0.2">
      <c r="A59543" s="258"/>
      <c r="Z59543" s="258"/>
    </row>
    <row r="59544" spans="1:26" ht="12.75" customHeight="1" x14ac:dyDescent="0.2">
      <c r="A59544" s="258"/>
      <c r="Z59544" s="258"/>
    </row>
    <row r="59545" spans="1:26" ht="12.75" customHeight="1" x14ac:dyDescent="0.2">
      <c r="A59545" s="258"/>
      <c r="Z59545" s="258"/>
    </row>
    <row r="59546" spans="1:26" ht="12.75" customHeight="1" x14ac:dyDescent="0.2">
      <c r="A59546" s="258"/>
      <c r="Z59546" s="258"/>
    </row>
    <row r="59547" spans="1:26" ht="12.75" customHeight="1" x14ac:dyDescent="0.2">
      <c r="A59547" s="258"/>
      <c r="Z59547" s="258"/>
    </row>
    <row r="59548" spans="1:26" ht="12.75" customHeight="1" x14ac:dyDescent="0.2">
      <c r="A59548" s="258"/>
      <c r="Z59548" s="258"/>
    </row>
    <row r="59549" spans="1:26" ht="12.75" customHeight="1" x14ac:dyDescent="0.2">
      <c r="A59549" s="258"/>
      <c r="Z59549" s="258"/>
    </row>
    <row r="59550" spans="1:26" ht="12.75" customHeight="1" x14ac:dyDescent="0.2">
      <c r="A59550" s="258"/>
      <c r="Z59550" s="258"/>
    </row>
    <row r="59551" spans="1:26" ht="12.75" customHeight="1" x14ac:dyDescent="0.2">
      <c r="A59551" s="258"/>
      <c r="Z59551" s="258"/>
    </row>
    <row r="59552" spans="1:26" ht="12.75" customHeight="1" x14ac:dyDescent="0.2">
      <c r="A59552" s="258"/>
      <c r="Z59552" s="258"/>
    </row>
    <row r="59553" spans="1:26" ht="12.75" customHeight="1" x14ac:dyDescent="0.2">
      <c r="A59553" s="258"/>
      <c r="Z59553" s="258"/>
    </row>
    <row r="59554" spans="1:26" ht="12.75" customHeight="1" x14ac:dyDescent="0.2">
      <c r="A59554" s="258"/>
      <c r="Z59554" s="258"/>
    </row>
    <row r="59555" spans="1:26" ht="12.75" customHeight="1" x14ac:dyDescent="0.2">
      <c r="A59555" s="258"/>
      <c r="Z59555" s="258"/>
    </row>
    <row r="59556" spans="1:26" ht="12.75" customHeight="1" x14ac:dyDescent="0.2">
      <c r="A59556" s="258"/>
      <c r="Z59556" s="258"/>
    </row>
    <row r="59557" spans="1:26" ht="12.75" customHeight="1" x14ac:dyDescent="0.2">
      <c r="A59557" s="258"/>
      <c r="Z59557" s="258"/>
    </row>
    <row r="59558" spans="1:26" ht="12.75" customHeight="1" x14ac:dyDescent="0.2">
      <c r="A59558" s="258"/>
      <c r="Z59558" s="258"/>
    </row>
    <row r="59559" spans="1:26" ht="12.75" customHeight="1" x14ac:dyDescent="0.2">
      <c r="A59559" s="258"/>
      <c r="Z59559" s="258"/>
    </row>
    <row r="59560" spans="1:26" ht="12.75" customHeight="1" x14ac:dyDescent="0.2">
      <c r="A59560" s="258"/>
      <c r="Z59560" s="258"/>
    </row>
    <row r="59561" spans="1:26" ht="12.75" customHeight="1" x14ac:dyDescent="0.2">
      <c r="A59561" s="258"/>
      <c r="Z59561" s="258"/>
    </row>
    <row r="59562" spans="1:26" ht="12.75" customHeight="1" x14ac:dyDescent="0.2">
      <c r="A59562" s="258"/>
      <c r="Z59562" s="258"/>
    </row>
    <row r="59563" spans="1:26" ht="12.75" customHeight="1" x14ac:dyDescent="0.2">
      <c r="A59563" s="258"/>
      <c r="Z59563" s="258"/>
    </row>
    <row r="59564" spans="1:26" ht="12.75" customHeight="1" x14ac:dyDescent="0.2">
      <c r="A59564" s="258"/>
      <c r="Z59564" s="258"/>
    </row>
    <row r="59565" spans="1:26" ht="12.75" customHeight="1" x14ac:dyDescent="0.2">
      <c r="A59565" s="258"/>
      <c r="Z59565" s="258"/>
    </row>
    <row r="59566" spans="1:26" ht="12.75" customHeight="1" x14ac:dyDescent="0.2">
      <c r="A59566" s="258"/>
      <c r="Z59566" s="258"/>
    </row>
    <row r="59567" spans="1:26" ht="12.75" customHeight="1" x14ac:dyDescent="0.2">
      <c r="A59567" s="258"/>
      <c r="Z59567" s="258"/>
    </row>
    <row r="59568" spans="1:26" ht="12.75" customHeight="1" x14ac:dyDescent="0.2">
      <c r="A59568" s="258"/>
      <c r="Z59568" s="258"/>
    </row>
    <row r="59569" spans="1:26" ht="12.75" customHeight="1" x14ac:dyDescent="0.2">
      <c r="A59569" s="258"/>
      <c r="Z59569" s="258"/>
    </row>
    <row r="59570" spans="1:26" ht="12.75" customHeight="1" x14ac:dyDescent="0.2">
      <c r="A59570" s="258"/>
      <c r="Z59570" s="258"/>
    </row>
    <row r="59571" spans="1:26" ht="12.75" customHeight="1" x14ac:dyDescent="0.2">
      <c r="A59571" s="258"/>
      <c r="Z59571" s="258"/>
    </row>
    <row r="59572" spans="1:26" ht="12.75" customHeight="1" x14ac:dyDescent="0.2">
      <c r="A59572" s="258"/>
      <c r="Z59572" s="258"/>
    </row>
    <row r="59573" spans="1:26" ht="12.75" customHeight="1" x14ac:dyDescent="0.2">
      <c r="A59573" s="258"/>
      <c r="Z59573" s="258"/>
    </row>
    <row r="59574" spans="1:26" ht="12.75" customHeight="1" x14ac:dyDescent="0.2">
      <c r="A59574" s="258"/>
      <c r="Z59574" s="258"/>
    </row>
    <row r="59575" spans="1:26" ht="12.75" customHeight="1" x14ac:dyDescent="0.2">
      <c r="A59575" s="258"/>
      <c r="Z59575" s="258"/>
    </row>
    <row r="59576" spans="1:26" ht="12.75" customHeight="1" x14ac:dyDescent="0.2">
      <c r="A59576" s="258"/>
      <c r="Z59576" s="258"/>
    </row>
    <row r="59577" spans="1:26" ht="12.75" customHeight="1" x14ac:dyDescent="0.2">
      <c r="A59577" s="258"/>
      <c r="Z59577" s="258"/>
    </row>
    <row r="59578" spans="1:26" ht="12.75" customHeight="1" x14ac:dyDescent="0.2">
      <c r="A59578" s="258"/>
      <c r="Z59578" s="258"/>
    </row>
    <row r="59579" spans="1:26" ht="12.75" customHeight="1" x14ac:dyDescent="0.2">
      <c r="A59579" s="258"/>
      <c r="Z59579" s="258"/>
    </row>
    <row r="59580" spans="1:26" ht="12.75" customHeight="1" x14ac:dyDescent="0.2">
      <c r="A59580" s="258"/>
      <c r="Z59580" s="258"/>
    </row>
    <row r="59581" spans="1:26" ht="12.75" customHeight="1" x14ac:dyDescent="0.2">
      <c r="A59581" s="258"/>
      <c r="Z59581" s="258"/>
    </row>
    <row r="59582" spans="1:26" ht="12.75" customHeight="1" x14ac:dyDescent="0.2">
      <c r="A59582" s="258"/>
      <c r="Z59582" s="258"/>
    </row>
    <row r="59583" spans="1:26" ht="12.75" customHeight="1" x14ac:dyDescent="0.2">
      <c r="A59583" s="258"/>
      <c r="Z59583" s="258"/>
    </row>
    <row r="59584" spans="1:26" ht="12.75" customHeight="1" x14ac:dyDescent="0.2">
      <c r="A59584" s="258"/>
      <c r="Z59584" s="258"/>
    </row>
    <row r="59585" spans="1:26" ht="12.75" customHeight="1" x14ac:dyDescent="0.2">
      <c r="A59585" s="258"/>
      <c r="Z59585" s="258"/>
    </row>
    <row r="59586" spans="1:26" ht="12.75" customHeight="1" x14ac:dyDescent="0.2">
      <c r="A59586" s="258"/>
      <c r="Z59586" s="258"/>
    </row>
    <row r="59587" spans="1:26" ht="12.75" customHeight="1" x14ac:dyDescent="0.2">
      <c r="A59587" s="258"/>
      <c r="Z59587" s="258"/>
    </row>
    <row r="59588" spans="1:26" ht="12.75" customHeight="1" x14ac:dyDescent="0.2">
      <c r="A59588" s="258"/>
      <c r="Z59588" s="258"/>
    </row>
    <row r="59589" spans="1:26" ht="12.75" customHeight="1" x14ac:dyDescent="0.2">
      <c r="A59589" s="258"/>
      <c r="Z59589" s="258"/>
    </row>
    <row r="59590" spans="1:26" ht="12.75" customHeight="1" x14ac:dyDescent="0.2">
      <c r="A59590" s="258"/>
      <c r="Z59590" s="258"/>
    </row>
    <row r="59591" spans="1:26" ht="12.75" customHeight="1" x14ac:dyDescent="0.2">
      <c r="A59591" s="258"/>
      <c r="Z59591" s="258"/>
    </row>
    <row r="59592" spans="1:26" ht="12.75" customHeight="1" x14ac:dyDescent="0.2">
      <c r="A59592" s="258"/>
      <c r="Z59592" s="258"/>
    </row>
    <row r="59593" spans="1:26" ht="12.75" customHeight="1" x14ac:dyDescent="0.2">
      <c r="A59593" s="258"/>
      <c r="Z59593" s="258"/>
    </row>
    <row r="59594" spans="1:26" ht="12.75" customHeight="1" x14ac:dyDescent="0.2">
      <c r="A59594" s="258"/>
      <c r="Z59594" s="258"/>
    </row>
    <row r="59595" spans="1:26" ht="12.75" customHeight="1" x14ac:dyDescent="0.2">
      <c r="A59595" s="258"/>
      <c r="Z59595" s="258"/>
    </row>
    <row r="59596" spans="1:26" ht="12.75" customHeight="1" x14ac:dyDescent="0.2">
      <c r="A59596" s="258"/>
      <c r="Z59596" s="258"/>
    </row>
    <row r="59597" spans="1:26" ht="12.75" customHeight="1" x14ac:dyDescent="0.2">
      <c r="A59597" s="258"/>
      <c r="Z59597" s="258"/>
    </row>
    <row r="59598" spans="1:26" ht="12.75" customHeight="1" x14ac:dyDescent="0.2">
      <c r="A59598" s="258"/>
      <c r="Z59598" s="258"/>
    </row>
    <row r="59599" spans="1:26" ht="12.75" customHeight="1" x14ac:dyDescent="0.2">
      <c r="A59599" s="258"/>
      <c r="Z59599" s="258"/>
    </row>
    <row r="59600" spans="1:26" ht="12.75" customHeight="1" x14ac:dyDescent="0.2">
      <c r="A59600" s="258"/>
      <c r="Z59600" s="258"/>
    </row>
    <row r="59601" spans="1:26" ht="12.75" customHeight="1" x14ac:dyDescent="0.2">
      <c r="A59601" s="258"/>
      <c r="Z59601" s="258"/>
    </row>
    <row r="59602" spans="1:26" ht="12.75" customHeight="1" x14ac:dyDescent="0.2">
      <c r="A59602" s="258"/>
      <c r="Z59602" s="258"/>
    </row>
    <row r="59603" spans="1:26" ht="12.75" customHeight="1" x14ac:dyDescent="0.2">
      <c r="A59603" s="258"/>
      <c r="Z59603" s="258"/>
    </row>
    <row r="59604" spans="1:26" ht="12.75" customHeight="1" x14ac:dyDescent="0.2">
      <c r="A59604" s="258"/>
      <c r="Z59604" s="258"/>
    </row>
    <row r="59605" spans="1:26" ht="12.75" customHeight="1" x14ac:dyDescent="0.2">
      <c r="A59605" s="258"/>
      <c r="Z59605" s="258"/>
    </row>
    <row r="59606" spans="1:26" ht="12.75" customHeight="1" x14ac:dyDescent="0.2">
      <c r="A59606" s="258"/>
      <c r="Z59606" s="258"/>
    </row>
    <row r="59607" spans="1:26" ht="12.75" customHeight="1" x14ac:dyDescent="0.2">
      <c r="A59607" s="258"/>
      <c r="Z59607" s="258"/>
    </row>
    <row r="59608" spans="1:26" ht="12.75" customHeight="1" x14ac:dyDescent="0.2">
      <c r="A59608" s="258"/>
      <c r="Z59608" s="258"/>
    </row>
    <row r="59609" spans="1:26" ht="12.75" customHeight="1" x14ac:dyDescent="0.2">
      <c r="A59609" s="258"/>
      <c r="Z59609" s="258"/>
    </row>
    <row r="59610" spans="1:26" ht="12.75" customHeight="1" x14ac:dyDescent="0.2">
      <c r="A59610" s="258"/>
      <c r="Z59610" s="258"/>
    </row>
    <row r="59611" spans="1:26" ht="12.75" customHeight="1" x14ac:dyDescent="0.2">
      <c r="A59611" s="258"/>
      <c r="Z59611" s="258"/>
    </row>
    <row r="59612" spans="1:26" ht="12.75" customHeight="1" x14ac:dyDescent="0.2">
      <c r="A59612" s="258"/>
      <c r="Z59612" s="258"/>
    </row>
    <row r="59613" spans="1:26" ht="12.75" customHeight="1" x14ac:dyDescent="0.2">
      <c r="A59613" s="258"/>
      <c r="Z59613" s="258"/>
    </row>
    <row r="59614" spans="1:26" ht="12.75" customHeight="1" x14ac:dyDescent="0.2">
      <c r="A59614" s="258"/>
      <c r="Z59614" s="258"/>
    </row>
    <row r="59615" spans="1:26" ht="12.75" customHeight="1" x14ac:dyDescent="0.2">
      <c r="A59615" s="258"/>
      <c r="Z59615" s="258"/>
    </row>
    <row r="59616" spans="1:26" ht="12.75" customHeight="1" x14ac:dyDescent="0.2">
      <c r="A59616" s="258"/>
      <c r="Z59616" s="258"/>
    </row>
    <row r="59617" spans="1:26" ht="12.75" customHeight="1" x14ac:dyDescent="0.2">
      <c r="A59617" s="258"/>
      <c r="Z59617" s="258"/>
    </row>
    <row r="59618" spans="1:26" ht="12.75" customHeight="1" x14ac:dyDescent="0.2">
      <c r="A59618" s="258"/>
      <c r="Z59618" s="258"/>
    </row>
    <row r="59619" spans="1:26" ht="12.75" customHeight="1" x14ac:dyDescent="0.2">
      <c r="A59619" s="258"/>
      <c r="Z59619" s="258"/>
    </row>
    <row r="59620" spans="1:26" ht="12.75" customHeight="1" x14ac:dyDescent="0.2">
      <c r="A59620" s="258"/>
      <c r="Z59620" s="258"/>
    </row>
    <row r="59621" spans="1:26" ht="12.75" customHeight="1" x14ac:dyDescent="0.2">
      <c r="A59621" s="258"/>
      <c r="Z59621" s="258"/>
    </row>
    <row r="59622" spans="1:26" ht="12.75" customHeight="1" x14ac:dyDescent="0.2">
      <c r="A59622" s="258"/>
      <c r="Z59622" s="258"/>
    </row>
    <row r="59623" spans="1:26" ht="12.75" customHeight="1" x14ac:dyDescent="0.2">
      <c r="A59623" s="258"/>
      <c r="Z59623" s="258"/>
    </row>
    <row r="59624" spans="1:26" ht="12.75" customHeight="1" x14ac:dyDescent="0.2">
      <c r="A59624" s="258"/>
      <c r="Z59624" s="258"/>
    </row>
    <row r="59625" spans="1:26" ht="12.75" customHeight="1" x14ac:dyDescent="0.2">
      <c r="A59625" s="258"/>
      <c r="Z59625" s="258"/>
    </row>
    <row r="59626" spans="1:26" ht="12.75" customHeight="1" x14ac:dyDescent="0.2">
      <c r="A59626" s="258"/>
      <c r="Z59626" s="258"/>
    </row>
    <row r="59627" spans="1:26" ht="12.75" customHeight="1" x14ac:dyDescent="0.2">
      <c r="A59627" s="258"/>
      <c r="Z59627" s="258"/>
    </row>
    <row r="59628" spans="1:26" ht="12.75" customHeight="1" x14ac:dyDescent="0.2">
      <c r="A59628" s="258"/>
      <c r="Z59628" s="258"/>
    </row>
    <row r="59629" spans="1:26" ht="12.75" customHeight="1" x14ac:dyDescent="0.2">
      <c r="A59629" s="258"/>
      <c r="Z59629" s="258"/>
    </row>
    <row r="59630" spans="1:26" ht="12.75" customHeight="1" x14ac:dyDescent="0.2">
      <c r="A59630" s="258"/>
      <c r="Z59630" s="258"/>
    </row>
    <row r="59631" spans="1:26" ht="12.75" customHeight="1" x14ac:dyDescent="0.2">
      <c r="A59631" s="258"/>
      <c r="Z59631" s="258"/>
    </row>
    <row r="59632" spans="1:26" ht="12.75" customHeight="1" x14ac:dyDescent="0.2">
      <c r="A59632" s="258"/>
      <c r="Z59632" s="258"/>
    </row>
    <row r="59633" spans="1:26" ht="12.75" customHeight="1" x14ac:dyDescent="0.2">
      <c r="A59633" s="258"/>
      <c r="Z59633" s="258"/>
    </row>
    <row r="59634" spans="1:26" ht="12.75" customHeight="1" x14ac:dyDescent="0.2">
      <c r="A59634" s="258"/>
      <c r="Z59634" s="258"/>
    </row>
    <row r="59635" spans="1:26" ht="12.75" customHeight="1" x14ac:dyDescent="0.2">
      <c r="A59635" s="258"/>
      <c r="Z59635" s="258"/>
    </row>
    <row r="59636" spans="1:26" ht="12.75" customHeight="1" x14ac:dyDescent="0.2">
      <c r="A59636" s="258"/>
      <c r="Z59636" s="258"/>
    </row>
    <row r="59637" spans="1:26" ht="12.75" customHeight="1" x14ac:dyDescent="0.2">
      <c r="A59637" s="258"/>
      <c r="Z59637" s="258"/>
    </row>
    <row r="59638" spans="1:26" ht="12.75" customHeight="1" x14ac:dyDescent="0.2">
      <c r="A59638" s="258"/>
      <c r="Z59638" s="258"/>
    </row>
    <row r="59639" spans="1:26" ht="12.75" customHeight="1" x14ac:dyDescent="0.2">
      <c r="A59639" s="258"/>
      <c r="Z59639" s="258"/>
    </row>
    <row r="59640" spans="1:26" ht="12.75" customHeight="1" x14ac:dyDescent="0.2">
      <c r="A59640" s="258"/>
      <c r="Z59640" s="258"/>
    </row>
    <row r="59641" spans="1:26" ht="12.75" customHeight="1" x14ac:dyDescent="0.2">
      <c r="A59641" s="258"/>
      <c r="Z59641" s="258"/>
    </row>
    <row r="59642" spans="1:26" ht="12.75" customHeight="1" x14ac:dyDescent="0.2">
      <c r="A59642" s="258"/>
      <c r="Z59642" s="258"/>
    </row>
    <row r="59643" spans="1:26" ht="12.75" customHeight="1" x14ac:dyDescent="0.2">
      <c r="A59643" s="258"/>
      <c r="Z59643" s="258"/>
    </row>
    <row r="59644" spans="1:26" ht="12.75" customHeight="1" x14ac:dyDescent="0.2">
      <c r="A59644" s="258"/>
      <c r="Z59644" s="258"/>
    </row>
    <row r="59645" spans="1:26" ht="12.75" customHeight="1" x14ac:dyDescent="0.2">
      <c r="A59645" s="258"/>
      <c r="Z59645" s="258"/>
    </row>
    <row r="59646" spans="1:26" ht="12.75" customHeight="1" x14ac:dyDescent="0.2">
      <c r="A59646" s="258"/>
      <c r="Z59646" s="258"/>
    </row>
    <row r="59647" spans="1:26" ht="12.75" customHeight="1" x14ac:dyDescent="0.2">
      <c r="A59647" s="258"/>
      <c r="Z59647" s="258"/>
    </row>
    <row r="59648" spans="1:26" ht="12.75" customHeight="1" x14ac:dyDescent="0.2">
      <c r="A59648" s="258"/>
      <c r="Z59648" s="258"/>
    </row>
    <row r="59649" spans="1:26" ht="12.75" customHeight="1" x14ac:dyDescent="0.2">
      <c r="A59649" s="258"/>
      <c r="Z59649" s="258"/>
    </row>
    <row r="59650" spans="1:26" ht="12.75" customHeight="1" x14ac:dyDescent="0.2">
      <c r="A59650" s="258"/>
      <c r="Z59650" s="258"/>
    </row>
    <row r="59651" spans="1:26" ht="12.75" customHeight="1" x14ac:dyDescent="0.2">
      <c r="A59651" s="258"/>
      <c r="Z59651" s="258"/>
    </row>
    <row r="59652" spans="1:26" ht="12.75" customHeight="1" x14ac:dyDescent="0.2">
      <c r="A59652" s="258"/>
      <c r="Z59652" s="258"/>
    </row>
    <row r="59653" spans="1:26" ht="12.75" customHeight="1" x14ac:dyDescent="0.2">
      <c r="A59653" s="258"/>
      <c r="Z59653" s="258"/>
    </row>
    <row r="59654" spans="1:26" ht="12.75" customHeight="1" x14ac:dyDescent="0.2">
      <c r="A59654" s="258"/>
      <c r="Z59654" s="258"/>
    </row>
    <row r="59655" spans="1:26" ht="12.75" customHeight="1" x14ac:dyDescent="0.2">
      <c r="A59655" s="258"/>
      <c r="Z59655" s="258"/>
    </row>
    <row r="59656" spans="1:26" ht="12.75" customHeight="1" x14ac:dyDescent="0.2">
      <c r="A59656" s="258"/>
      <c r="Z59656" s="258"/>
    </row>
    <row r="59657" spans="1:26" ht="12.75" customHeight="1" x14ac:dyDescent="0.2">
      <c r="A59657" s="258"/>
      <c r="Z59657" s="258"/>
    </row>
    <row r="59658" spans="1:26" ht="12.75" customHeight="1" x14ac:dyDescent="0.2">
      <c r="A59658" s="258"/>
      <c r="Z59658" s="258"/>
    </row>
    <row r="59659" spans="1:26" ht="12.75" customHeight="1" x14ac:dyDescent="0.2">
      <c r="A59659" s="258"/>
      <c r="Z59659" s="258"/>
    </row>
    <row r="59660" spans="1:26" ht="12.75" customHeight="1" x14ac:dyDescent="0.2">
      <c r="A59660" s="258"/>
      <c r="Z59660" s="258"/>
    </row>
    <row r="59661" spans="1:26" ht="12.75" customHeight="1" x14ac:dyDescent="0.2">
      <c r="A59661" s="258"/>
      <c r="Z59661" s="258"/>
    </row>
    <row r="59662" spans="1:26" ht="12.75" customHeight="1" x14ac:dyDescent="0.2">
      <c r="A59662" s="258"/>
      <c r="Z59662" s="258"/>
    </row>
    <row r="59663" spans="1:26" ht="12.75" customHeight="1" x14ac:dyDescent="0.2">
      <c r="A59663" s="258"/>
      <c r="Z59663" s="258"/>
    </row>
    <row r="59664" spans="1:26" ht="12.75" customHeight="1" x14ac:dyDescent="0.2">
      <c r="A59664" s="258"/>
      <c r="Z59664" s="258"/>
    </row>
    <row r="59665" spans="1:26" ht="12.75" customHeight="1" x14ac:dyDescent="0.2">
      <c r="A59665" s="258"/>
      <c r="Z59665" s="258"/>
    </row>
    <row r="59666" spans="1:26" ht="12.75" customHeight="1" x14ac:dyDescent="0.2">
      <c r="A59666" s="258"/>
      <c r="Z59666" s="258"/>
    </row>
    <row r="59667" spans="1:26" ht="12.75" customHeight="1" x14ac:dyDescent="0.2">
      <c r="A59667" s="258"/>
      <c r="Z59667" s="258"/>
    </row>
    <row r="59668" spans="1:26" ht="12.75" customHeight="1" x14ac:dyDescent="0.2">
      <c r="A59668" s="258"/>
      <c r="Z59668" s="258"/>
    </row>
    <row r="59669" spans="1:26" ht="12.75" customHeight="1" x14ac:dyDescent="0.2">
      <c r="A59669" s="258"/>
      <c r="Z59669" s="258"/>
    </row>
    <row r="59670" spans="1:26" ht="12.75" customHeight="1" x14ac:dyDescent="0.2">
      <c r="A59670" s="258"/>
      <c r="Z59670" s="258"/>
    </row>
    <row r="59671" spans="1:26" ht="12.75" customHeight="1" x14ac:dyDescent="0.2">
      <c r="A59671" s="258"/>
      <c r="Z59671" s="258"/>
    </row>
    <row r="59672" spans="1:26" ht="12.75" customHeight="1" x14ac:dyDescent="0.2">
      <c r="A59672" s="258"/>
      <c r="Z59672" s="258"/>
    </row>
    <row r="59673" spans="1:26" ht="12.75" customHeight="1" x14ac:dyDescent="0.2">
      <c r="A59673" s="258"/>
      <c r="Z59673" s="258"/>
    </row>
    <row r="59674" spans="1:26" ht="12.75" customHeight="1" x14ac:dyDescent="0.2">
      <c r="A59674" s="258"/>
      <c r="Z59674" s="258"/>
    </row>
    <row r="59675" spans="1:26" ht="12.75" customHeight="1" x14ac:dyDescent="0.2">
      <c r="A59675" s="258"/>
      <c r="Z59675" s="258"/>
    </row>
    <row r="59676" spans="1:26" ht="12.75" customHeight="1" x14ac:dyDescent="0.2">
      <c r="A59676" s="258"/>
      <c r="Z59676" s="258"/>
    </row>
    <row r="59677" spans="1:26" ht="12.75" customHeight="1" x14ac:dyDescent="0.2">
      <c r="A59677" s="258"/>
      <c r="Z59677" s="258"/>
    </row>
    <row r="59678" spans="1:26" ht="12.75" customHeight="1" x14ac:dyDescent="0.2">
      <c r="A59678" s="258"/>
      <c r="Z59678" s="258"/>
    </row>
    <row r="59679" spans="1:26" ht="12.75" customHeight="1" x14ac:dyDescent="0.2">
      <c r="A59679" s="258"/>
      <c r="Z59679" s="258"/>
    </row>
    <row r="59680" spans="1:26" ht="12.75" customHeight="1" x14ac:dyDescent="0.2">
      <c r="A59680" s="258"/>
      <c r="Z59680" s="258"/>
    </row>
    <row r="59681" spans="1:26" ht="12.75" customHeight="1" x14ac:dyDescent="0.2">
      <c r="A59681" s="258"/>
      <c r="Z59681" s="258"/>
    </row>
    <row r="59682" spans="1:26" ht="12.75" customHeight="1" x14ac:dyDescent="0.2">
      <c r="A59682" s="258"/>
      <c r="Z59682" s="258"/>
    </row>
    <row r="59683" spans="1:26" ht="12.75" customHeight="1" x14ac:dyDescent="0.2">
      <c r="A59683" s="258"/>
      <c r="Z59683" s="258"/>
    </row>
    <row r="59684" spans="1:26" ht="12.75" customHeight="1" x14ac:dyDescent="0.2">
      <c r="A59684" s="258"/>
      <c r="Z59684" s="258"/>
    </row>
    <row r="59685" spans="1:26" ht="12.75" customHeight="1" x14ac:dyDescent="0.2">
      <c r="A59685" s="258"/>
      <c r="Z59685" s="258"/>
    </row>
    <row r="59686" spans="1:26" ht="12.75" customHeight="1" x14ac:dyDescent="0.2">
      <c r="A59686" s="258"/>
      <c r="Z59686" s="258"/>
    </row>
    <row r="59687" spans="1:26" ht="12.75" customHeight="1" x14ac:dyDescent="0.2">
      <c r="A59687" s="258"/>
      <c r="Z59687" s="258"/>
    </row>
    <row r="59688" spans="1:26" ht="12.75" customHeight="1" x14ac:dyDescent="0.2">
      <c r="A59688" s="258"/>
      <c r="Z59688" s="258"/>
    </row>
    <row r="59689" spans="1:26" ht="12.75" customHeight="1" x14ac:dyDescent="0.2">
      <c r="A59689" s="258"/>
      <c r="Z59689" s="258"/>
    </row>
    <row r="59690" spans="1:26" ht="12.75" customHeight="1" x14ac:dyDescent="0.2">
      <c r="A59690" s="258"/>
      <c r="Z59690" s="258"/>
    </row>
    <row r="59691" spans="1:26" ht="12.75" customHeight="1" x14ac:dyDescent="0.2">
      <c r="A59691" s="258"/>
      <c r="Z59691" s="258"/>
    </row>
    <row r="59692" spans="1:26" ht="12.75" customHeight="1" x14ac:dyDescent="0.2">
      <c r="A59692" s="258"/>
      <c r="Z59692" s="258"/>
    </row>
    <row r="59693" spans="1:26" ht="12.75" customHeight="1" x14ac:dyDescent="0.2">
      <c r="A59693" s="258"/>
      <c r="Z59693" s="258"/>
    </row>
    <row r="59694" spans="1:26" ht="12.75" customHeight="1" x14ac:dyDescent="0.2">
      <c r="A59694" s="258"/>
      <c r="Z59694" s="258"/>
    </row>
    <row r="59695" spans="1:26" ht="12.75" customHeight="1" x14ac:dyDescent="0.2">
      <c r="A59695" s="258"/>
      <c r="Z59695" s="258"/>
    </row>
    <row r="59696" spans="1:26" ht="12.75" customHeight="1" x14ac:dyDescent="0.2">
      <c r="A59696" s="258"/>
      <c r="Z59696" s="258"/>
    </row>
    <row r="59697" spans="1:26" ht="12.75" customHeight="1" x14ac:dyDescent="0.2">
      <c r="A59697" s="258"/>
      <c r="Z59697" s="258"/>
    </row>
    <row r="59698" spans="1:26" ht="12.75" customHeight="1" x14ac:dyDescent="0.2">
      <c r="A59698" s="258"/>
      <c r="Z59698" s="258"/>
    </row>
    <row r="59699" spans="1:26" ht="12.75" customHeight="1" x14ac:dyDescent="0.2">
      <c r="A59699" s="258"/>
      <c r="Z59699" s="258"/>
    </row>
    <row r="59700" spans="1:26" ht="12.75" customHeight="1" x14ac:dyDescent="0.2">
      <c r="A59700" s="258"/>
      <c r="Z59700" s="258"/>
    </row>
    <row r="59701" spans="1:26" ht="12.75" customHeight="1" x14ac:dyDescent="0.2">
      <c r="A59701" s="258"/>
      <c r="Z59701" s="258"/>
    </row>
    <row r="59702" spans="1:26" ht="12.75" customHeight="1" x14ac:dyDescent="0.2">
      <c r="A59702" s="258"/>
      <c r="Z59702" s="258"/>
    </row>
    <row r="59703" spans="1:26" ht="12.75" customHeight="1" x14ac:dyDescent="0.2">
      <c r="A59703" s="258"/>
      <c r="Z59703" s="258"/>
    </row>
    <row r="59704" spans="1:26" ht="12.75" customHeight="1" x14ac:dyDescent="0.2">
      <c r="A59704" s="258"/>
      <c r="Z59704" s="258"/>
    </row>
    <row r="59705" spans="1:26" ht="12.75" customHeight="1" x14ac:dyDescent="0.2">
      <c r="A59705" s="258"/>
      <c r="Z59705" s="258"/>
    </row>
    <row r="59706" spans="1:26" ht="12.75" customHeight="1" x14ac:dyDescent="0.2">
      <c r="A59706" s="258"/>
      <c r="Z59706" s="258"/>
    </row>
    <row r="59707" spans="1:26" ht="12.75" customHeight="1" x14ac:dyDescent="0.2">
      <c r="A59707" s="258"/>
      <c r="Z59707" s="258"/>
    </row>
    <row r="59708" spans="1:26" ht="12.75" customHeight="1" x14ac:dyDescent="0.2">
      <c r="A59708" s="258"/>
      <c r="Z59708" s="258"/>
    </row>
    <row r="59709" spans="1:26" ht="12.75" customHeight="1" x14ac:dyDescent="0.2">
      <c r="A59709" s="258"/>
      <c r="Z59709" s="258"/>
    </row>
    <row r="59710" spans="1:26" ht="12.75" customHeight="1" x14ac:dyDescent="0.2">
      <c r="A59710" s="258"/>
      <c r="Z59710" s="258"/>
    </row>
    <row r="59711" spans="1:26" ht="12.75" customHeight="1" x14ac:dyDescent="0.2">
      <c r="A59711" s="258"/>
      <c r="Z59711" s="258"/>
    </row>
    <row r="59712" spans="1:26" ht="12.75" customHeight="1" x14ac:dyDescent="0.2">
      <c r="A59712" s="258"/>
      <c r="Z59712" s="258"/>
    </row>
    <row r="59713" spans="1:26" ht="12.75" customHeight="1" x14ac:dyDescent="0.2">
      <c r="A59713" s="258"/>
      <c r="Z59713" s="258"/>
    </row>
    <row r="59714" spans="1:26" ht="12.75" customHeight="1" x14ac:dyDescent="0.2">
      <c r="A59714" s="258"/>
      <c r="Z59714" s="258"/>
    </row>
    <row r="59715" spans="1:26" ht="12.75" customHeight="1" x14ac:dyDescent="0.2">
      <c r="A59715" s="258"/>
      <c r="Z59715" s="258"/>
    </row>
    <row r="59716" spans="1:26" ht="12.75" customHeight="1" x14ac:dyDescent="0.2">
      <c r="A59716" s="258"/>
      <c r="Z59716" s="258"/>
    </row>
    <row r="59717" spans="1:26" ht="12.75" customHeight="1" x14ac:dyDescent="0.2">
      <c r="A59717" s="258"/>
      <c r="Z59717" s="258"/>
    </row>
    <row r="59718" spans="1:26" ht="12.75" customHeight="1" x14ac:dyDescent="0.2">
      <c r="A59718" s="258"/>
      <c r="Z59718" s="258"/>
    </row>
    <row r="59719" spans="1:26" ht="12.75" customHeight="1" x14ac:dyDescent="0.2">
      <c r="A59719" s="258"/>
      <c r="Z59719" s="258"/>
    </row>
    <row r="59720" spans="1:26" ht="12.75" customHeight="1" x14ac:dyDescent="0.2">
      <c r="A59720" s="258"/>
      <c r="Z59720" s="258"/>
    </row>
    <row r="59721" spans="1:26" ht="12.75" customHeight="1" x14ac:dyDescent="0.2">
      <c r="A59721" s="258"/>
      <c r="Z59721" s="258"/>
    </row>
    <row r="59722" spans="1:26" ht="12.75" customHeight="1" x14ac:dyDescent="0.2">
      <c r="A59722" s="258"/>
      <c r="Z59722" s="258"/>
    </row>
    <row r="59723" spans="1:26" ht="12.75" customHeight="1" x14ac:dyDescent="0.2">
      <c r="A59723" s="258"/>
      <c r="Z59723" s="258"/>
    </row>
    <row r="59724" spans="1:26" ht="12.75" customHeight="1" x14ac:dyDescent="0.2">
      <c r="A59724" s="258"/>
      <c r="Z59724" s="258"/>
    </row>
    <row r="59725" spans="1:26" ht="12.75" customHeight="1" x14ac:dyDescent="0.2">
      <c r="A59725" s="258"/>
      <c r="Z59725" s="258"/>
    </row>
    <row r="59726" spans="1:26" ht="12.75" customHeight="1" x14ac:dyDescent="0.2">
      <c r="A59726" s="258"/>
      <c r="Z59726" s="258"/>
    </row>
    <row r="59727" spans="1:26" ht="12.75" customHeight="1" x14ac:dyDescent="0.2">
      <c r="A59727" s="258"/>
      <c r="Z59727" s="258"/>
    </row>
    <row r="59728" spans="1:26" ht="12.75" customHeight="1" x14ac:dyDescent="0.2">
      <c r="A59728" s="258"/>
      <c r="Z59728" s="258"/>
    </row>
    <row r="59729" spans="1:26" ht="12.75" customHeight="1" x14ac:dyDescent="0.2">
      <c r="A59729" s="258"/>
      <c r="Z59729" s="258"/>
    </row>
    <row r="59730" spans="1:26" ht="12.75" customHeight="1" x14ac:dyDescent="0.2">
      <c r="A59730" s="258"/>
      <c r="Z59730" s="258"/>
    </row>
    <row r="59731" spans="1:26" ht="12.75" customHeight="1" x14ac:dyDescent="0.2">
      <c r="A59731" s="258"/>
      <c r="Z59731" s="258"/>
    </row>
    <row r="59732" spans="1:26" ht="12.75" customHeight="1" x14ac:dyDescent="0.2">
      <c r="A59732" s="258"/>
      <c r="Z59732" s="258"/>
    </row>
    <row r="59733" spans="1:26" ht="12.75" customHeight="1" x14ac:dyDescent="0.2">
      <c r="A59733" s="258"/>
      <c r="Z59733" s="258"/>
    </row>
    <row r="59734" spans="1:26" ht="12.75" customHeight="1" x14ac:dyDescent="0.2">
      <c r="A59734" s="258"/>
      <c r="Z59734" s="258"/>
    </row>
    <row r="59735" spans="1:26" ht="12.75" customHeight="1" x14ac:dyDescent="0.2">
      <c r="A59735" s="258"/>
      <c r="Z59735" s="258"/>
    </row>
    <row r="59736" spans="1:26" ht="12.75" customHeight="1" x14ac:dyDescent="0.2">
      <c r="A59736" s="258"/>
      <c r="Z59736" s="258"/>
    </row>
    <row r="59737" spans="1:26" ht="12.75" customHeight="1" x14ac:dyDescent="0.2">
      <c r="A59737" s="258"/>
      <c r="Z59737" s="258"/>
    </row>
    <row r="59738" spans="1:26" ht="12.75" customHeight="1" x14ac:dyDescent="0.2">
      <c r="A59738" s="258"/>
      <c r="Z59738" s="258"/>
    </row>
    <row r="59739" spans="1:26" ht="12.75" customHeight="1" x14ac:dyDescent="0.2">
      <c r="A59739" s="258"/>
      <c r="Z59739" s="258"/>
    </row>
    <row r="59740" spans="1:26" ht="12.75" customHeight="1" x14ac:dyDescent="0.2">
      <c r="A59740" s="258"/>
      <c r="Z59740" s="258"/>
    </row>
    <row r="59741" spans="1:26" ht="12.75" customHeight="1" x14ac:dyDescent="0.2">
      <c r="A59741" s="258"/>
      <c r="Z59741" s="258"/>
    </row>
    <row r="59742" spans="1:26" ht="12.75" customHeight="1" x14ac:dyDescent="0.2">
      <c r="A59742" s="258"/>
      <c r="Z59742" s="258"/>
    </row>
    <row r="59743" spans="1:26" ht="12.75" customHeight="1" x14ac:dyDescent="0.2">
      <c r="A59743" s="258"/>
      <c r="Z59743" s="258"/>
    </row>
    <row r="59744" spans="1:26" ht="12.75" customHeight="1" x14ac:dyDescent="0.2">
      <c r="A59744" s="258"/>
      <c r="Z59744" s="258"/>
    </row>
    <row r="59745" spans="1:26" ht="12.75" customHeight="1" x14ac:dyDescent="0.2">
      <c r="A59745" s="258"/>
      <c r="Z59745" s="258"/>
    </row>
    <row r="59746" spans="1:26" ht="12.75" customHeight="1" x14ac:dyDescent="0.2">
      <c r="A59746" s="258"/>
      <c r="Z59746" s="258"/>
    </row>
    <row r="59747" spans="1:26" ht="12.75" customHeight="1" x14ac:dyDescent="0.2">
      <c r="A59747" s="258"/>
      <c r="Z59747" s="258"/>
    </row>
    <row r="59748" spans="1:26" ht="12.75" customHeight="1" x14ac:dyDescent="0.2">
      <c r="A59748" s="258"/>
      <c r="Z59748" s="258"/>
    </row>
    <row r="59749" spans="1:26" ht="12.75" customHeight="1" x14ac:dyDescent="0.2">
      <c r="A59749" s="258"/>
      <c r="Z59749" s="258"/>
    </row>
    <row r="59750" spans="1:26" ht="12.75" customHeight="1" x14ac:dyDescent="0.2">
      <c r="A59750" s="258"/>
      <c r="Z59750" s="258"/>
    </row>
    <row r="59751" spans="1:26" ht="12.75" customHeight="1" x14ac:dyDescent="0.2">
      <c r="A59751" s="258"/>
      <c r="Z59751" s="258"/>
    </row>
    <row r="59752" spans="1:26" ht="12.75" customHeight="1" x14ac:dyDescent="0.2">
      <c r="A59752" s="258"/>
      <c r="Z59752" s="258"/>
    </row>
    <row r="59753" spans="1:26" ht="12.75" customHeight="1" x14ac:dyDescent="0.2">
      <c r="A59753" s="258"/>
      <c r="Z59753" s="258"/>
    </row>
    <row r="59754" spans="1:26" ht="12.75" customHeight="1" x14ac:dyDescent="0.2">
      <c r="A59754" s="258"/>
      <c r="Z59754" s="258"/>
    </row>
    <row r="59755" spans="1:26" ht="12.75" customHeight="1" x14ac:dyDescent="0.2">
      <c r="A59755" s="258"/>
      <c r="Z59755" s="258"/>
    </row>
    <row r="59756" spans="1:26" ht="12.75" customHeight="1" x14ac:dyDescent="0.2">
      <c r="A59756" s="258"/>
      <c r="Z59756" s="258"/>
    </row>
    <row r="59757" spans="1:26" ht="12.75" customHeight="1" x14ac:dyDescent="0.2">
      <c r="A59757" s="258"/>
      <c r="Z59757" s="258"/>
    </row>
    <row r="59758" spans="1:26" ht="12.75" customHeight="1" x14ac:dyDescent="0.2">
      <c r="A59758" s="258"/>
      <c r="Z59758" s="258"/>
    </row>
    <row r="59759" spans="1:26" ht="12.75" customHeight="1" x14ac:dyDescent="0.2">
      <c r="A59759" s="258"/>
      <c r="Z59759" s="258"/>
    </row>
    <row r="59760" spans="1:26" ht="12.75" customHeight="1" x14ac:dyDescent="0.2">
      <c r="A59760" s="258"/>
      <c r="Z59760" s="258"/>
    </row>
    <row r="59761" spans="1:26" ht="12.75" customHeight="1" x14ac:dyDescent="0.2">
      <c r="A59761" s="258"/>
      <c r="Z59761" s="258"/>
    </row>
    <row r="59762" spans="1:26" ht="12.75" customHeight="1" x14ac:dyDescent="0.2">
      <c r="A59762" s="258"/>
      <c r="Z59762" s="258"/>
    </row>
    <row r="59763" spans="1:26" ht="12.75" customHeight="1" x14ac:dyDescent="0.2">
      <c r="A59763" s="258"/>
      <c r="Z59763" s="258"/>
    </row>
    <row r="59764" spans="1:26" ht="12.75" customHeight="1" x14ac:dyDescent="0.2">
      <c r="A59764" s="258"/>
      <c r="Z59764" s="258"/>
    </row>
    <row r="59765" spans="1:26" ht="12.75" customHeight="1" x14ac:dyDescent="0.2">
      <c r="A59765" s="258"/>
      <c r="Z59765" s="258"/>
    </row>
    <row r="59766" spans="1:26" ht="12.75" customHeight="1" x14ac:dyDescent="0.2">
      <c r="A59766" s="258"/>
      <c r="Z59766" s="258"/>
    </row>
    <row r="59767" spans="1:26" ht="12.75" customHeight="1" x14ac:dyDescent="0.2">
      <c r="A59767" s="258"/>
      <c r="Z59767" s="258"/>
    </row>
    <row r="59768" spans="1:26" ht="12.75" customHeight="1" x14ac:dyDescent="0.2">
      <c r="A59768" s="258"/>
      <c r="Z59768" s="258"/>
    </row>
    <row r="59769" spans="1:26" ht="12.75" customHeight="1" x14ac:dyDescent="0.2">
      <c r="A59769" s="258"/>
      <c r="Z59769" s="258"/>
    </row>
    <row r="59770" spans="1:26" ht="12.75" customHeight="1" x14ac:dyDescent="0.2">
      <c r="A59770" s="258"/>
      <c r="Z59770" s="258"/>
    </row>
    <row r="59771" spans="1:26" ht="12.75" customHeight="1" x14ac:dyDescent="0.2">
      <c r="A59771" s="258"/>
      <c r="Z59771" s="258"/>
    </row>
    <row r="59772" spans="1:26" ht="12.75" customHeight="1" x14ac:dyDescent="0.2">
      <c r="A59772" s="258"/>
      <c r="Z59772" s="258"/>
    </row>
    <row r="59773" spans="1:26" ht="12.75" customHeight="1" x14ac:dyDescent="0.2">
      <c r="A59773" s="258"/>
      <c r="Z59773" s="258"/>
    </row>
    <row r="59774" spans="1:26" ht="12.75" customHeight="1" x14ac:dyDescent="0.2">
      <c r="A59774" s="258"/>
      <c r="Z59774" s="258"/>
    </row>
    <row r="59775" spans="1:26" ht="12.75" customHeight="1" x14ac:dyDescent="0.2">
      <c r="A59775" s="258"/>
      <c r="Z59775" s="258"/>
    </row>
    <row r="59776" spans="1:26" ht="12.75" customHeight="1" x14ac:dyDescent="0.2">
      <c r="A59776" s="258"/>
      <c r="Z59776" s="258"/>
    </row>
    <row r="59777" spans="1:26" ht="12.75" customHeight="1" x14ac:dyDescent="0.2">
      <c r="A59777" s="258"/>
      <c r="Z59777" s="258"/>
    </row>
    <row r="59778" spans="1:26" ht="12.75" customHeight="1" x14ac:dyDescent="0.2">
      <c r="A59778" s="258"/>
      <c r="Z59778" s="258"/>
    </row>
    <row r="59779" spans="1:26" ht="12.75" customHeight="1" x14ac:dyDescent="0.2">
      <c r="A59779" s="258"/>
      <c r="Z59779" s="258"/>
    </row>
    <row r="59780" spans="1:26" ht="12.75" customHeight="1" x14ac:dyDescent="0.2">
      <c r="A59780" s="258"/>
      <c r="Z59780" s="258"/>
    </row>
    <row r="59781" spans="1:26" ht="12.75" customHeight="1" x14ac:dyDescent="0.2">
      <c r="A59781" s="258"/>
      <c r="Z59781" s="258"/>
    </row>
    <row r="59782" spans="1:26" ht="12.75" customHeight="1" x14ac:dyDescent="0.2">
      <c r="A59782" s="258"/>
      <c r="Z59782" s="258"/>
    </row>
    <row r="59783" spans="1:26" ht="12.75" customHeight="1" x14ac:dyDescent="0.2">
      <c r="A59783" s="258"/>
      <c r="Z59783" s="258"/>
    </row>
    <row r="59784" spans="1:26" ht="12.75" customHeight="1" x14ac:dyDescent="0.2">
      <c r="A59784" s="258"/>
      <c r="Z59784" s="258"/>
    </row>
    <row r="59785" spans="1:26" ht="12.75" customHeight="1" x14ac:dyDescent="0.2">
      <c r="A59785" s="258"/>
      <c r="Z59785" s="258"/>
    </row>
    <row r="59786" spans="1:26" ht="12.75" customHeight="1" x14ac:dyDescent="0.2">
      <c r="A59786" s="258"/>
      <c r="Z59786" s="258"/>
    </row>
    <row r="59787" spans="1:26" ht="12.75" customHeight="1" x14ac:dyDescent="0.2">
      <c r="A59787" s="258"/>
      <c r="Z59787" s="258"/>
    </row>
    <row r="59788" spans="1:26" ht="12.75" customHeight="1" x14ac:dyDescent="0.2">
      <c r="A59788" s="258"/>
      <c r="Z59788" s="258"/>
    </row>
    <row r="59789" spans="1:26" ht="12.75" customHeight="1" x14ac:dyDescent="0.2">
      <c r="A59789" s="258"/>
      <c r="Z59789" s="258"/>
    </row>
    <row r="59790" spans="1:26" ht="12.75" customHeight="1" x14ac:dyDescent="0.2">
      <c r="A59790" s="258"/>
      <c r="Z59790" s="258"/>
    </row>
    <row r="59791" spans="1:26" ht="12.75" customHeight="1" x14ac:dyDescent="0.2">
      <c r="A59791" s="258"/>
      <c r="Z59791" s="258"/>
    </row>
    <row r="59792" spans="1:26" ht="12.75" customHeight="1" x14ac:dyDescent="0.2">
      <c r="A59792" s="258"/>
      <c r="Z59792" s="258"/>
    </row>
    <row r="59793" spans="1:26" ht="12.75" customHeight="1" x14ac:dyDescent="0.2">
      <c r="A59793" s="258"/>
      <c r="Z59793" s="258"/>
    </row>
    <row r="59794" spans="1:26" ht="12.75" customHeight="1" x14ac:dyDescent="0.2">
      <c r="A59794" s="258"/>
      <c r="Z59794" s="258"/>
    </row>
    <row r="59795" spans="1:26" ht="12.75" customHeight="1" x14ac:dyDescent="0.2">
      <c r="A59795" s="258"/>
      <c r="Z59795" s="258"/>
    </row>
    <row r="59796" spans="1:26" ht="12.75" customHeight="1" x14ac:dyDescent="0.2">
      <c r="A59796" s="258"/>
      <c r="Z59796" s="258"/>
    </row>
    <row r="59797" spans="1:26" ht="12.75" customHeight="1" x14ac:dyDescent="0.2">
      <c r="A59797" s="258"/>
      <c r="Z59797" s="258"/>
    </row>
    <row r="59798" spans="1:26" ht="12.75" customHeight="1" x14ac:dyDescent="0.2">
      <c r="A59798" s="258"/>
      <c r="Z59798" s="258"/>
    </row>
    <row r="59799" spans="1:26" ht="12.75" customHeight="1" x14ac:dyDescent="0.2">
      <c r="A59799" s="258"/>
      <c r="Z59799" s="258"/>
    </row>
    <row r="59800" spans="1:26" ht="12.75" customHeight="1" x14ac:dyDescent="0.2">
      <c r="A59800" s="258"/>
      <c r="Z59800" s="258"/>
    </row>
    <row r="59801" spans="1:26" ht="12.75" customHeight="1" x14ac:dyDescent="0.2">
      <c r="A59801" s="258"/>
      <c r="Z59801" s="258"/>
    </row>
    <row r="59802" spans="1:26" ht="12.75" customHeight="1" x14ac:dyDescent="0.2">
      <c r="A59802" s="258"/>
      <c r="Z59802" s="258"/>
    </row>
    <row r="59803" spans="1:26" ht="12.75" customHeight="1" x14ac:dyDescent="0.2">
      <c r="A59803" s="258"/>
      <c r="Z59803" s="258"/>
    </row>
    <row r="59804" spans="1:26" ht="12.75" customHeight="1" x14ac:dyDescent="0.2">
      <c r="A59804" s="258"/>
      <c r="Z59804" s="258"/>
    </row>
    <row r="59805" spans="1:26" ht="12.75" customHeight="1" x14ac:dyDescent="0.2">
      <c r="A59805" s="258"/>
      <c r="Z59805" s="258"/>
    </row>
    <row r="59806" spans="1:26" ht="12.75" customHeight="1" x14ac:dyDescent="0.2">
      <c r="A59806" s="258"/>
      <c r="Z59806" s="258"/>
    </row>
    <row r="59807" spans="1:26" ht="12.75" customHeight="1" x14ac:dyDescent="0.2">
      <c r="A59807" s="258"/>
      <c r="Z59807" s="258"/>
    </row>
    <row r="59808" spans="1:26" ht="12.75" customHeight="1" x14ac:dyDescent="0.2">
      <c r="A59808" s="258"/>
      <c r="Z59808" s="258"/>
    </row>
    <row r="59809" spans="1:26" ht="12.75" customHeight="1" x14ac:dyDescent="0.2">
      <c r="A59809" s="258"/>
      <c r="Z59809" s="258"/>
    </row>
    <row r="59810" spans="1:26" ht="12.75" customHeight="1" x14ac:dyDescent="0.2">
      <c r="A59810" s="258"/>
      <c r="Z59810" s="258"/>
    </row>
    <row r="59811" spans="1:26" ht="12.75" customHeight="1" x14ac:dyDescent="0.2">
      <c r="A59811" s="258"/>
      <c r="Z59811" s="258"/>
    </row>
    <row r="59812" spans="1:26" ht="12.75" customHeight="1" x14ac:dyDescent="0.2">
      <c r="A59812" s="258"/>
      <c r="Z59812" s="258"/>
    </row>
    <row r="59813" spans="1:26" ht="12.75" customHeight="1" x14ac:dyDescent="0.2">
      <c r="A59813" s="258"/>
      <c r="Z59813" s="258"/>
    </row>
    <row r="59814" spans="1:26" ht="12.75" customHeight="1" x14ac:dyDescent="0.2">
      <c r="A59814" s="258"/>
      <c r="Z59814" s="258"/>
    </row>
    <row r="59815" spans="1:26" ht="12.75" customHeight="1" x14ac:dyDescent="0.2">
      <c r="A59815" s="258"/>
      <c r="Z59815" s="258"/>
    </row>
    <row r="59816" spans="1:26" ht="12.75" customHeight="1" x14ac:dyDescent="0.2">
      <c r="A59816" s="258"/>
      <c r="Z59816" s="258"/>
    </row>
    <row r="59817" spans="1:26" ht="12.75" customHeight="1" x14ac:dyDescent="0.2">
      <c r="A59817" s="258"/>
      <c r="Z59817" s="258"/>
    </row>
    <row r="59818" spans="1:26" ht="12.75" customHeight="1" x14ac:dyDescent="0.2">
      <c r="A59818" s="258"/>
      <c r="Z59818" s="258"/>
    </row>
    <row r="59819" spans="1:26" ht="12.75" customHeight="1" x14ac:dyDescent="0.2">
      <c r="A59819" s="258"/>
      <c r="Z59819" s="258"/>
    </row>
    <row r="59820" spans="1:26" ht="12.75" customHeight="1" x14ac:dyDescent="0.2">
      <c r="A59820" s="258"/>
      <c r="Z59820" s="258"/>
    </row>
    <row r="59821" spans="1:26" ht="12.75" customHeight="1" x14ac:dyDescent="0.2">
      <c r="A59821" s="258"/>
      <c r="Z59821" s="258"/>
    </row>
    <row r="59822" spans="1:26" ht="12.75" customHeight="1" x14ac:dyDescent="0.2">
      <c r="A59822" s="258"/>
      <c r="Z59822" s="258"/>
    </row>
    <row r="59823" spans="1:26" ht="12.75" customHeight="1" x14ac:dyDescent="0.2">
      <c r="A59823" s="258"/>
      <c r="Z59823" s="258"/>
    </row>
    <row r="59824" spans="1:26" ht="12.75" customHeight="1" x14ac:dyDescent="0.2">
      <c r="A59824" s="258"/>
      <c r="Z59824" s="258"/>
    </row>
    <row r="59825" spans="1:26" ht="12.75" customHeight="1" x14ac:dyDescent="0.2">
      <c r="A59825" s="258"/>
      <c r="Z59825" s="258"/>
    </row>
    <row r="59826" spans="1:26" ht="12.75" customHeight="1" x14ac:dyDescent="0.2">
      <c r="A59826" s="258"/>
      <c r="Z59826" s="258"/>
    </row>
    <row r="59827" spans="1:26" ht="12.75" customHeight="1" x14ac:dyDescent="0.2">
      <c r="A59827" s="258"/>
      <c r="Z59827" s="258"/>
    </row>
    <row r="59828" spans="1:26" ht="12.75" customHeight="1" x14ac:dyDescent="0.2">
      <c r="A59828" s="258"/>
      <c r="Z59828" s="258"/>
    </row>
    <row r="59829" spans="1:26" ht="12.75" customHeight="1" x14ac:dyDescent="0.2">
      <c r="A59829" s="258"/>
      <c r="Z59829" s="258"/>
    </row>
    <row r="59830" spans="1:26" ht="12.75" customHeight="1" x14ac:dyDescent="0.2">
      <c r="A59830" s="258"/>
      <c r="Z59830" s="258"/>
    </row>
    <row r="59831" spans="1:26" ht="12.75" customHeight="1" x14ac:dyDescent="0.2">
      <c r="A59831" s="258"/>
      <c r="Z59831" s="258"/>
    </row>
    <row r="59832" spans="1:26" ht="12.75" customHeight="1" x14ac:dyDescent="0.2">
      <c r="A59832" s="258"/>
      <c r="Z59832" s="258"/>
    </row>
    <row r="59833" spans="1:26" ht="12.75" customHeight="1" x14ac:dyDescent="0.2">
      <c r="A59833" s="258"/>
      <c r="Z59833" s="258"/>
    </row>
    <row r="59834" spans="1:26" ht="12.75" customHeight="1" x14ac:dyDescent="0.2">
      <c r="A59834" s="258"/>
      <c r="Z59834" s="258"/>
    </row>
    <row r="59835" spans="1:26" ht="12.75" customHeight="1" x14ac:dyDescent="0.2">
      <c r="A59835" s="258"/>
      <c r="Z59835" s="258"/>
    </row>
    <row r="59836" spans="1:26" ht="12.75" customHeight="1" x14ac:dyDescent="0.2">
      <c r="A59836" s="258"/>
      <c r="Z59836" s="258"/>
    </row>
    <row r="59837" spans="1:26" ht="12.75" customHeight="1" x14ac:dyDescent="0.2">
      <c r="A59837" s="258"/>
      <c r="Z59837" s="258"/>
    </row>
    <row r="59838" spans="1:26" ht="12.75" customHeight="1" x14ac:dyDescent="0.2">
      <c r="A59838" s="258"/>
      <c r="Z59838" s="258"/>
    </row>
    <row r="59839" spans="1:26" ht="12.75" customHeight="1" x14ac:dyDescent="0.2">
      <c r="A59839" s="258"/>
      <c r="Z59839" s="258"/>
    </row>
    <row r="59840" spans="1:26" ht="12.75" customHeight="1" x14ac:dyDescent="0.2">
      <c r="A59840" s="258"/>
      <c r="Z59840" s="258"/>
    </row>
    <row r="59841" spans="1:26" ht="12.75" customHeight="1" x14ac:dyDescent="0.2">
      <c r="A59841" s="258"/>
      <c r="Z59841" s="258"/>
    </row>
    <row r="59842" spans="1:26" ht="12.75" customHeight="1" x14ac:dyDescent="0.2">
      <c r="A59842" s="258"/>
      <c r="Z59842" s="258"/>
    </row>
    <row r="59843" spans="1:26" ht="12.75" customHeight="1" x14ac:dyDescent="0.2">
      <c r="A59843" s="258"/>
      <c r="Z59843" s="258"/>
    </row>
    <row r="59844" spans="1:26" ht="12.75" customHeight="1" x14ac:dyDescent="0.2">
      <c r="A59844" s="258"/>
      <c r="Z59844" s="258"/>
    </row>
    <row r="59845" spans="1:26" ht="12.75" customHeight="1" x14ac:dyDescent="0.2">
      <c r="A59845" s="258"/>
      <c r="Z59845" s="258"/>
    </row>
    <row r="59846" spans="1:26" ht="12.75" customHeight="1" x14ac:dyDescent="0.2">
      <c r="A59846" s="258"/>
      <c r="Z59846" s="258"/>
    </row>
    <row r="59847" spans="1:26" ht="12.75" customHeight="1" x14ac:dyDescent="0.2">
      <c r="A59847" s="258"/>
      <c r="Z59847" s="258"/>
    </row>
    <row r="59848" spans="1:26" ht="12.75" customHeight="1" x14ac:dyDescent="0.2">
      <c r="A59848" s="258"/>
      <c r="Z59848" s="258"/>
    </row>
    <row r="59849" spans="1:26" ht="12.75" customHeight="1" x14ac:dyDescent="0.2">
      <c r="A59849" s="258"/>
      <c r="Z59849" s="258"/>
    </row>
    <row r="59850" spans="1:26" ht="12.75" customHeight="1" x14ac:dyDescent="0.2">
      <c r="A59850" s="258"/>
      <c r="Z59850" s="258"/>
    </row>
    <row r="59851" spans="1:26" ht="12.75" customHeight="1" x14ac:dyDescent="0.2">
      <c r="A59851" s="258"/>
      <c r="Z59851" s="258"/>
    </row>
    <row r="59852" spans="1:26" ht="12.75" customHeight="1" x14ac:dyDescent="0.2">
      <c r="A59852" s="258"/>
      <c r="Z59852" s="258"/>
    </row>
    <row r="59853" spans="1:26" ht="12.75" customHeight="1" x14ac:dyDescent="0.2">
      <c r="A59853" s="258"/>
      <c r="Z59853" s="258"/>
    </row>
    <row r="59854" spans="1:26" ht="12.75" customHeight="1" x14ac:dyDescent="0.2">
      <c r="A59854" s="258"/>
      <c r="Z59854" s="258"/>
    </row>
    <row r="59855" spans="1:26" ht="12.75" customHeight="1" x14ac:dyDescent="0.2">
      <c r="A59855" s="258"/>
      <c r="Z59855" s="258"/>
    </row>
    <row r="59856" spans="1:26" ht="12.75" customHeight="1" x14ac:dyDescent="0.2">
      <c r="A59856" s="258"/>
      <c r="Z59856" s="258"/>
    </row>
    <row r="59857" spans="1:26" ht="12.75" customHeight="1" x14ac:dyDescent="0.2">
      <c r="A59857" s="258"/>
      <c r="Z59857" s="258"/>
    </row>
    <row r="59858" spans="1:26" ht="12.75" customHeight="1" x14ac:dyDescent="0.2">
      <c r="A59858" s="258"/>
      <c r="Z59858" s="258"/>
    </row>
    <row r="59859" spans="1:26" ht="12.75" customHeight="1" x14ac:dyDescent="0.2">
      <c r="A59859" s="258"/>
      <c r="Z59859" s="258"/>
    </row>
    <row r="59860" spans="1:26" ht="12.75" customHeight="1" x14ac:dyDescent="0.2">
      <c r="A59860" s="258"/>
      <c r="Z59860" s="258"/>
    </row>
    <row r="59861" spans="1:26" ht="12.75" customHeight="1" x14ac:dyDescent="0.2">
      <c r="A59861" s="258"/>
      <c r="Z59861" s="258"/>
    </row>
    <row r="59862" spans="1:26" ht="12.75" customHeight="1" x14ac:dyDescent="0.2">
      <c r="A59862" s="258"/>
      <c r="Z59862" s="258"/>
    </row>
    <row r="59863" spans="1:26" ht="12.75" customHeight="1" x14ac:dyDescent="0.2">
      <c r="A59863" s="258"/>
      <c r="Z59863" s="258"/>
    </row>
    <row r="59864" spans="1:26" ht="12.75" customHeight="1" x14ac:dyDescent="0.2">
      <c r="A59864" s="258"/>
      <c r="Z59864" s="258"/>
    </row>
    <row r="59865" spans="1:26" ht="12.75" customHeight="1" x14ac:dyDescent="0.2">
      <c r="A59865" s="258"/>
      <c r="Z59865" s="258"/>
    </row>
    <row r="59866" spans="1:26" ht="12.75" customHeight="1" x14ac:dyDescent="0.2">
      <c r="A59866" s="258"/>
      <c r="Z59866" s="258"/>
    </row>
    <row r="59867" spans="1:26" ht="12.75" customHeight="1" x14ac:dyDescent="0.2">
      <c r="A59867" s="258"/>
      <c r="Z59867" s="258"/>
    </row>
    <row r="59868" spans="1:26" ht="12.75" customHeight="1" x14ac:dyDescent="0.2">
      <c r="A59868" s="258"/>
      <c r="Z59868" s="258"/>
    </row>
    <row r="59869" spans="1:26" ht="12.75" customHeight="1" x14ac:dyDescent="0.2">
      <c r="A59869" s="258"/>
      <c r="Z59869" s="258"/>
    </row>
    <row r="59870" spans="1:26" ht="12.75" customHeight="1" x14ac:dyDescent="0.2">
      <c r="A59870" s="258"/>
      <c r="Z59870" s="258"/>
    </row>
    <row r="59871" spans="1:26" ht="12.75" customHeight="1" x14ac:dyDescent="0.2">
      <c r="A59871" s="258"/>
      <c r="Z59871" s="258"/>
    </row>
    <row r="59872" spans="1:26" ht="12.75" customHeight="1" x14ac:dyDescent="0.2">
      <c r="A59872" s="258"/>
      <c r="Z59872" s="258"/>
    </row>
    <row r="59873" spans="1:26" ht="12.75" customHeight="1" x14ac:dyDescent="0.2">
      <c r="A59873" s="258"/>
      <c r="Z59873" s="258"/>
    </row>
    <row r="59874" spans="1:26" ht="12.75" customHeight="1" x14ac:dyDescent="0.2">
      <c r="A59874" s="258"/>
      <c r="Z59874" s="258"/>
    </row>
    <row r="59875" spans="1:26" ht="12.75" customHeight="1" x14ac:dyDescent="0.2">
      <c r="A59875" s="258"/>
      <c r="Z59875" s="258"/>
    </row>
    <row r="59876" spans="1:26" ht="12.75" customHeight="1" x14ac:dyDescent="0.2">
      <c r="A59876" s="258"/>
      <c r="Z59876" s="258"/>
    </row>
    <row r="59877" spans="1:26" ht="12.75" customHeight="1" x14ac:dyDescent="0.2">
      <c r="A59877" s="258"/>
      <c r="Z59877" s="258"/>
    </row>
    <row r="59878" spans="1:26" ht="12.75" customHeight="1" x14ac:dyDescent="0.2">
      <c r="A59878" s="258"/>
      <c r="Z59878" s="258"/>
    </row>
    <row r="59879" spans="1:26" ht="12.75" customHeight="1" x14ac:dyDescent="0.2">
      <c r="A59879" s="258"/>
      <c r="Z59879" s="258"/>
    </row>
    <row r="59880" spans="1:26" ht="12.75" customHeight="1" x14ac:dyDescent="0.2">
      <c r="A59880" s="258"/>
      <c r="Z59880" s="258"/>
    </row>
    <row r="59881" spans="1:26" ht="12.75" customHeight="1" x14ac:dyDescent="0.2">
      <c r="A59881" s="258"/>
      <c r="Z59881" s="258"/>
    </row>
    <row r="59882" spans="1:26" ht="12.75" customHeight="1" x14ac:dyDescent="0.2">
      <c r="A59882" s="258"/>
      <c r="Z59882" s="258"/>
    </row>
    <row r="59883" spans="1:26" ht="12.75" customHeight="1" x14ac:dyDescent="0.2">
      <c r="A59883" s="258"/>
      <c r="Z59883" s="258"/>
    </row>
    <row r="59884" spans="1:26" ht="12.75" customHeight="1" x14ac:dyDescent="0.2">
      <c r="A59884" s="258"/>
      <c r="Z59884" s="258"/>
    </row>
    <row r="59885" spans="1:26" ht="12.75" customHeight="1" x14ac:dyDescent="0.2">
      <c r="A59885" s="258"/>
      <c r="Z59885" s="258"/>
    </row>
    <row r="59886" spans="1:26" ht="12.75" customHeight="1" x14ac:dyDescent="0.2">
      <c r="A59886" s="258"/>
      <c r="Z59886" s="258"/>
    </row>
    <row r="59887" spans="1:26" ht="12.75" customHeight="1" x14ac:dyDescent="0.2">
      <c r="A59887" s="258"/>
      <c r="Z59887" s="258"/>
    </row>
    <row r="59888" spans="1:26" ht="12.75" customHeight="1" x14ac:dyDescent="0.2">
      <c r="A59888" s="258"/>
      <c r="Z59888" s="258"/>
    </row>
    <row r="59889" spans="1:26" ht="12.75" customHeight="1" x14ac:dyDescent="0.2">
      <c r="A59889" s="258"/>
      <c r="Z59889" s="258"/>
    </row>
    <row r="59890" spans="1:26" ht="12.75" customHeight="1" x14ac:dyDescent="0.2">
      <c r="A59890" s="258"/>
      <c r="Z59890" s="258"/>
    </row>
    <row r="59891" spans="1:26" ht="12.75" customHeight="1" x14ac:dyDescent="0.2">
      <c r="A59891" s="258"/>
      <c r="Z59891" s="258"/>
    </row>
    <row r="59892" spans="1:26" ht="12.75" customHeight="1" x14ac:dyDescent="0.2">
      <c r="A59892" s="258"/>
      <c r="Z59892" s="258"/>
    </row>
    <row r="59893" spans="1:26" ht="12.75" customHeight="1" x14ac:dyDescent="0.2">
      <c r="A59893" s="258"/>
      <c r="Z59893" s="258"/>
    </row>
    <row r="59894" spans="1:26" ht="12.75" customHeight="1" x14ac:dyDescent="0.2">
      <c r="A59894" s="258"/>
      <c r="Z59894" s="258"/>
    </row>
    <row r="59895" spans="1:26" ht="12.75" customHeight="1" x14ac:dyDescent="0.2">
      <c r="A59895" s="258"/>
      <c r="Z59895" s="258"/>
    </row>
    <row r="59896" spans="1:26" ht="12.75" customHeight="1" x14ac:dyDescent="0.2">
      <c r="A59896" s="258"/>
      <c r="Z59896" s="258"/>
    </row>
    <row r="59897" spans="1:26" ht="12.75" customHeight="1" x14ac:dyDescent="0.2">
      <c r="A59897" s="258"/>
      <c r="Z59897" s="258"/>
    </row>
    <row r="59898" spans="1:26" ht="12.75" customHeight="1" x14ac:dyDescent="0.2">
      <c r="A59898" s="258"/>
      <c r="Z59898" s="258"/>
    </row>
    <row r="59899" spans="1:26" ht="12.75" customHeight="1" x14ac:dyDescent="0.2">
      <c r="A59899" s="258"/>
      <c r="Z59899" s="258"/>
    </row>
    <row r="59900" spans="1:26" ht="12.75" customHeight="1" x14ac:dyDescent="0.2">
      <c r="A59900" s="258"/>
      <c r="Z59900" s="258"/>
    </row>
    <row r="59901" spans="1:26" ht="12.75" customHeight="1" x14ac:dyDescent="0.2">
      <c r="A59901" s="258"/>
      <c r="Z59901" s="258"/>
    </row>
    <row r="59902" spans="1:26" ht="12.75" customHeight="1" x14ac:dyDescent="0.2">
      <c r="A59902" s="258"/>
      <c r="Z59902" s="258"/>
    </row>
    <row r="59903" spans="1:26" ht="12.75" customHeight="1" x14ac:dyDescent="0.2">
      <c r="A59903" s="258"/>
      <c r="Z59903" s="258"/>
    </row>
    <row r="59904" spans="1:26" ht="12.75" customHeight="1" x14ac:dyDescent="0.2">
      <c r="A59904" s="258"/>
      <c r="Z59904" s="258"/>
    </row>
    <row r="59905" spans="1:26" ht="12.75" customHeight="1" x14ac:dyDescent="0.2">
      <c r="A59905" s="258"/>
      <c r="Z59905" s="258"/>
    </row>
    <row r="59906" spans="1:26" ht="12.75" customHeight="1" x14ac:dyDescent="0.2">
      <c r="A59906" s="258"/>
      <c r="Z59906" s="258"/>
    </row>
    <row r="59907" spans="1:26" ht="12.75" customHeight="1" x14ac:dyDescent="0.2">
      <c r="A59907" s="258"/>
      <c r="Z59907" s="258"/>
    </row>
    <row r="59908" spans="1:26" ht="12.75" customHeight="1" x14ac:dyDescent="0.2">
      <c r="A59908" s="258"/>
      <c r="Z59908" s="258"/>
    </row>
    <row r="59909" spans="1:26" ht="12.75" customHeight="1" x14ac:dyDescent="0.2">
      <c r="A59909" s="258"/>
      <c r="Z59909" s="258"/>
    </row>
    <row r="59910" spans="1:26" ht="12.75" customHeight="1" x14ac:dyDescent="0.2">
      <c r="A59910" s="258"/>
      <c r="Z59910" s="258"/>
    </row>
    <row r="59911" spans="1:26" ht="12.75" customHeight="1" x14ac:dyDescent="0.2">
      <c r="A59911" s="258"/>
      <c r="Z59911" s="258"/>
    </row>
    <row r="59912" spans="1:26" ht="12.75" customHeight="1" x14ac:dyDescent="0.2">
      <c r="A59912" s="258"/>
      <c r="Z59912" s="258"/>
    </row>
    <row r="59913" spans="1:26" ht="12.75" customHeight="1" x14ac:dyDescent="0.2">
      <c r="A59913" s="258"/>
      <c r="Z59913" s="258"/>
    </row>
    <row r="59914" spans="1:26" ht="12.75" customHeight="1" x14ac:dyDescent="0.2">
      <c r="A59914" s="258"/>
      <c r="Z59914" s="258"/>
    </row>
    <row r="59915" spans="1:26" ht="12.75" customHeight="1" x14ac:dyDescent="0.2">
      <c r="A59915" s="258"/>
      <c r="Z59915" s="258"/>
    </row>
    <row r="59916" spans="1:26" ht="12.75" customHeight="1" x14ac:dyDescent="0.2">
      <c r="A59916" s="258"/>
      <c r="Z59916" s="258"/>
    </row>
    <row r="59917" spans="1:26" ht="12.75" customHeight="1" x14ac:dyDescent="0.2">
      <c r="A59917" s="258"/>
      <c r="Z59917" s="258"/>
    </row>
    <row r="59918" spans="1:26" ht="12.75" customHeight="1" x14ac:dyDescent="0.2">
      <c r="A59918" s="258"/>
      <c r="Z59918" s="258"/>
    </row>
    <row r="59919" spans="1:26" ht="12.75" customHeight="1" x14ac:dyDescent="0.2">
      <c r="A59919" s="258"/>
      <c r="Z59919" s="258"/>
    </row>
    <row r="59920" spans="1:26" ht="12.75" customHeight="1" x14ac:dyDescent="0.2">
      <c r="A59920" s="258"/>
      <c r="Z59920" s="258"/>
    </row>
    <row r="59921" spans="1:26" ht="12.75" customHeight="1" x14ac:dyDescent="0.2">
      <c r="A59921" s="258"/>
      <c r="Z59921" s="258"/>
    </row>
    <row r="59922" spans="1:26" ht="12.75" customHeight="1" x14ac:dyDescent="0.2">
      <c r="A59922" s="258"/>
      <c r="Z59922" s="258"/>
    </row>
    <row r="59923" spans="1:26" ht="12.75" customHeight="1" x14ac:dyDescent="0.2">
      <c r="A59923" s="258"/>
      <c r="Z59923" s="258"/>
    </row>
    <row r="59924" spans="1:26" ht="12.75" customHeight="1" x14ac:dyDescent="0.2">
      <c r="A59924" s="258"/>
      <c r="Z59924" s="258"/>
    </row>
    <row r="59925" spans="1:26" ht="12.75" customHeight="1" x14ac:dyDescent="0.2">
      <c r="A59925" s="258"/>
      <c r="Z59925" s="258"/>
    </row>
    <row r="59926" spans="1:26" ht="12.75" customHeight="1" x14ac:dyDescent="0.2">
      <c r="A59926" s="258"/>
      <c r="Z59926" s="258"/>
    </row>
    <row r="59927" spans="1:26" ht="12.75" customHeight="1" x14ac:dyDescent="0.2">
      <c r="A59927" s="258"/>
      <c r="Z59927" s="258"/>
    </row>
    <row r="59928" spans="1:26" ht="12.75" customHeight="1" x14ac:dyDescent="0.2">
      <c r="A59928" s="258"/>
      <c r="Z59928" s="258"/>
    </row>
    <row r="59929" spans="1:26" ht="12.75" customHeight="1" x14ac:dyDescent="0.2">
      <c r="A59929" s="258"/>
      <c r="Z59929" s="258"/>
    </row>
    <row r="59930" spans="1:26" ht="12.75" customHeight="1" x14ac:dyDescent="0.2">
      <c r="A59930" s="258"/>
      <c r="Z59930" s="258"/>
    </row>
    <row r="59931" spans="1:26" ht="12.75" customHeight="1" x14ac:dyDescent="0.2">
      <c r="A59931" s="258"/>
      <c r="Z59931" s="258"/>
    </row>
    <row r="59932" spans="1:26" ht="12.75" customHeight="1" x14ac:dyDescent="0.2">
      <c r="A59932" s="258"/>
      <c r="Z59932" s="258"/>
    </row>
    <row r="59933" spans="1:26" ht="12.75" customHeight="1" x14ac:dyDescent="0.2">
      <c r="A59933" s="258"/>
      <c r="Z59933" s="258"/>
    </row>
    <row r="59934" spans="1:26" ht="12.75" customHeight="1" x14ac:dyDescent="0.2">
      <c r="A59934" s="258"/>
      <c r="Z59934" s="258"/>
    </row>
    <row r="59935" spans="1:26" ht="12.75" customHeight="1" x14ac:dyDescent="0.2">
      <c r="A59935" s="258"/>
      <c r="Z59935" s="258"/>
    </row>
    <row r="59936" spans="1:26" ht="12.75" customHeight="1" x14ac:dyDescent="0.2">
      <c r="A59936" s="258"/>
      <c r="Z59936" s="258"/>
    </row>
    <row r="59937" spans="1:26" ht="12.75" customHeight="1" x14ac:dyDescent="0.2">
      <c r="A59937" s="258"/>
      <c r="Z59937" s="258"/>
    </row>
    <row r="59938" spans="1:26" ht="12.75" customHeight="1" x14ac:dyDescent="0.2">
      <c r="A59938" s="258"/>
      <c r="Z59938" s="258"/>
    </row>
    <row r="59939" spans="1:26" ht="12.75" customHeight="1" x14ac:dyDescent="0.2">
      <c r="A59939" s="258"/>
      <c r="Z59939" s="258"/>
    </row>
    <row r="59940" spans="1:26" ht="12.75" customHeight="1" x14ac:dyDescent="0.2">
      <c r="A59940" s="258"/>
      <c r="Z59940" s="258"/>
    </row>
    <row r="59941" spans="1:26" ht="12.75" customHeight="1" x14ac:dyDescent="0.2">
      <c r="A59941" s="258"/>
      <c r="Z59941" s="258"/>
    </row>
    <row r="59942" spans="1:26" ht="12.75" customHeight="1" x14ac:dyDescent="0.2">
      <c r="A59942" s="258"/>
      <c r="Z59942" s="258"/>
    </row>
    <row r="59943" spans="1:26" ht="12.75" customHeight="1" x14ac:dyDescent="0.2">
      <c r="A59943" s="258"/>
      <c r="Z59943" s="258"/>
    </row>
    <row r="59944" spans="1:26" ht="12.75" customHeight="1" x14ac:dyDescent="0.2">
      <c r="A59944" s="258"/>
      <c r="Z59944" s="258"/>
    </row>
    <row r="59945" spans="1:26" ht="12.75" customHeight="1" x14ac:dyDescent="0.2">
      <c r="A59945" s="258"/>
      <c r="Z59945" s="258"/>
    </row>
    <row r="59946" spans="1:26" ht="12.75" customHeight="1" x14ac:dyDescent="0.2">
      <c r="A59946" s="258"/>
      <c r="Z59946" s="258"/>
    </row>
    <row r="59947" spans="1:26" ht="12.75" customHeight="1" x14ac:dyDescent="0.2">
      <c r="A59947" s="258"/>
      <c r="Z59947" s="258"/>
    </row>
    <row r="59948" spans="1:26" ht="12.75" customHeight="1" x14ac:dyDescent="0.2">
      <c r="A59948" s="258"/>
      <c r="Z59948" s="258"/>
    </row>
    <row r="59949" spans="1:26" ht="12.75" customHeight="1" x14ac:dyDescent="0.2">
      <c r="A59949" s="258"/>
      <c r="Z59949" s="258"/>
    </row>
    <row r="59950" spans="1:26" ht="12.75" customHeight="1" x14ac:dyDescent="0.2">
      <c r="A59950" s="258"/>
      <c r="Z59950" s="258"/>
    </row>
    <row r="59951" spans="1:26" ht="12.75" customHeight="1" x14ac:dyDescent="0.2">
      <c r="A59951" s="258"/>
      <c r="Z59951" s="258"/>
    </row>
    <row r="59952" spans="1:26" ht="12.75" customHeight="1" x14ac:dyDescent="0.2">
      <c r="A59952" s="258"/>
      <c r="Z59952" s="258"/>
    </row>
    <row r="59953" spans="1:26" ht="12.75" customHeight="1" x14ac:dyDescent="0.2">
      <c r="A59953" s="258"/>
      <c r="Z59953" s="258"/>
    </row>
    <row r="59954" spans="1:26" ht="12.75" customHeight="1" x14ac:dyDescent="0.2">
      <c r="A59954" s="258"/>
      <c r="Z59954" s="258"/>
    </row>
    <row r="59955" spans="1:26" ht="12.75" customHeight="1" x14ac:dyDescent="0.2">
      <c r="A59955" s="258"/>
      <c r="Z59955" s="258"/>
    </row>
    <row r="59956" spans="1:26" ht="12.75" customHeight="1" x14ac:dyDescent="0.2">
      <c r="A59956" s="258"/>
      <c r="Z59956" s="258"/>
    </row>
    <row r="59957" spans="1:26" ht="12.75" customHeight="1" x14ac:dyDescent="0.2">
      <c r="A59957" s="258"/>
      <c r="Z59957" s="258"/>
    </row>
    <row r="59958" spans="1:26" ht="12.75" customHeight="1" x14ac:dyDescent="0.2">
      <c r="A59958" s="258"/>
      <c r="Z59958" s="258"/>
    </row>
    <row r="59959" spans="1:26" ht="12.75" customHeight="1" x14ac:dyDescent="0.2">
      <c r="A59959" s="258"/>
      <c r="Z59959" s="258"/>
    </row>
    <row r="59960" spans="1:26" ht="12.75" customHeight="1" x14ac:dyDescent="0.2">
      <c r="A59960" s="258"/>
      <c r="Z59960" s="258"/>
    </row>
    <row r="59961" spans="1:26" ht="12.75" customHeight="1" x14ac:dyDescent="0.2">
      <c r="A59961" s="258"/>
      <c r="Z59961" s="258"/>
    </row>
    <row r="59962" spans="1:26" ht="12.75" customHeight="1" x14ac:dyDescent="0.2">
      <c r="A59962" s="258"/>
      <c r="Z59962" s="258"/>
    </row>
    <row r="59963" spans="1:26" ht="12.75" customHeight="1" x14ac:dyDescent="0.2">
      <c r="A59963" s="258"/>
      <c r="Z59963" s="258"/>
    </row>
    <row r="59964" spans="1:26" ht="12.75" customHeight="1" x14ac:dyDescent="0.2">
      <c r="A59964" s="258"/>
      <c r="Z59964" s="258"/>
    </row>
    <row r="59965" spans="1:26" ht="12.75" customHeight="1" x14ac:dyDescent="0.2">
      <c r="A59965" s="258"/>
      <c r="Z59965" s="258"/>
    </row>
    <row r="59966" spans="1:26" ht="12.75" customHeight="1" x14ac:dyDescent="0.2">
      <c r="A59966" s="258"/>
      <c r="Z59966" s="258"/>
    </row>
    <row r="59967" spans="1:26" ht="12.75" customHeight="1" x14ac:dyDescent="0.2">
      <c r="A59967" s="258"/>
      <c r="Z59967" s="258"/>
    </row>
    <row r="59968" spans="1:26" ht="12.75" customHeight="1" x14ac:dyDescent="0.2">
      <c r="A59968" s="258"/>
      <c r="Z59968" s="258"/>
    </row>
    <row r="59969" spans="1:26" ht="12.75" customHeight="1" x14ac:dyDescent="0.2">
      <c r="A59969" s="258"/>
      <c r="Z59969" s="258"/>
    </row>
    <row r="59970" spans="1:26" ht="12.75" customHeight="1" x14ac:dyDescent="0.2">
      <c r="A59970" s="258"/>
      <c r="Z59970" s="258"/>
    </row>
    <row r="59971" spans="1:26" ht="12.75" customHeight="1" x14ac:dyDescent="0.2">
      <c r="A59971" s="258"/>
      <c r="Z59971" s="258"/>
    </row>
    <row r="59972" spans="1:26" ht="12.75" customHeight="1" x14ac:dyDescent="0.2">
      <c r="A59972" s="258"/>
      <c r="Z59972" s="258"/>
    </row>
    <row r="59973" spans="1:26" ht="12.75" customHeight="1" x14ac:dyDescent="0.2">
      <c r="A59973" s="258"/>
      <c r="Z59973" s="258"/>
    </row>
    <row r="59974" spans="1:26" ht="12.75" customHeight="1" x14ac:dyDescent="0.2">
      <c r="A59974" s="258"/>
      <c r="Z59974" s="258"/>
    </row>
    <row r="59975" spans="1:26" ht="12.75" customHeight="1" x14ac:dyDescent="0.2">
      <c r="A59975" s="258"/>
      <c r="Z59975" s="258"/>
    </row>
    <row r="59976" spans="1:26" ht="12.75" customHeight="1" x14ac:dyDescent="0.2">
      <c r="A59976" s="258"/>
      <c r="Z59976" s="258"/>
    </row>
    <row r="59977" spans="1:26" ht="12.75" customHeight="1" x14ac:dyDescent="0.2">
      <c r="A59977" s="258"/>
      <c r="Z59977" s="258"/>
    </row>
    <row r="59978" spans="1:26" ht="12.75" customHeight="1" x14ac:dyDescent="0.2">
      <c r="A59978" s="258"/>
      <c r="Z59978" s="258"/>
    </row>
    <row r="59979" spans="1:26" ht="12.75" customHeight="1" x14ac:dyDescent="0.2">
      <c r="A59979" s="258"/>
      <c r="Z59979" s="258"/>
    </row>
    <row r="59980" spans="1:26" ht="12.75" customHeight="1" x14ac:dyDescent="0.2">
      <c r="A59980" s="258"/>
      <c r="Z59980" s="258"/>
    </row>
    <row r="59981" spans="1:26" ht="12.75" customHeight="1" x14ac:dyDescent="0.2">
      <c r="A59981" s="258"/>
      <c r="Z59981" s="258"/>
    </row>
    <row r="59982" spans="1:26" ht="12.75" customHeight="1" x14ac:dyDescent="0.2">
      <c r="A59982" s="258"/>
      <c r="Z59982" s="258"/>
    </row>
    <row r="59983" spans="1:26" ht="12.75" customHeight="1" x14ac:dyDescent="0.2">
      <c r="A59983" s="258"/>
      <c r="Z59983" s="258"/>
    </row>
    <row r="59984" spans="1:26" ht="12.75" customHeight="1" x14ac:dyDescent="0.2">
      <c r="A59984" s="258"/>
      <c r="Z59984" s="258"/>
    </row>
    <row r="59985" spans="1:26" ht="12.75" customHeight="1" x14ac:dyDescent="0.2">
      <c r="A59985" s="258"/>
      <c r="Z59985" s="258"/>
    </row>
    <row r="59986" spans="1:26" ht="12.75" customHeight="1" x14ac:dyDescent="0.2">
      <c r="A59986" s="258"/>
      <c r="Z59986" s="258"/>
    </row>
    <row r="59987" spans="1:26" ht="12.75" customHeight="1" x14ac:dyDescent="0.2">
      <c r="A59987" s="258"/>
      <c r="Z59987" s="258"/>
    </row>
    <row r="59988" spans="1:26" ht="12.75" customHeight="1" x14ac:dyDescent="0.2">
      <c r="A59988" s="258"/>
      <c r="Z59988" s="258"/>
    </row>
    <row r="59989" spans="1:26" ht="12.75" customHeight="1" x14ac:dyDescent="0.2">
      <c r="A59989" s="258"/>
      <c r="Z59989" s="258"/>
    </row>
    <row r="59990" spans="1:26" ht="12.75" customHeight="1" x14ac:dyDescent="0.2">
      <c r="A59990" s="258"/>
      <c r="Z59990" s="258"/>
    </row>
    <row r="59991" spans="1:26" ht="12.75" customHeight="1" x14ac:dyDescent="0.2">
      <c r="A59991" s="258"/>
      <c r="Z59991" s="258"/>
    </row>
    <row r="59992" spans="1:26" ht="12.75" customHeight="1" x14ac:dyDescent="0.2">
      <c r="A59992" s="258"/>
      <c r="Z59992" s="258"/>
    </row>
    <row r="59993" spans="1:26" ht="12.75" customHeight="1" x14ac:dyDescent="0.2">
      <c r="A59993" s="258"/>
      <c r="Z59993" s="258"/>
    </row>
    <row r="59994" spans="1:26" ht="12.75" customHeight="1" x14ac:dyDescent="0.2">
      <c r="A59994" s="258"/>
      <c r="Z59994" s="258"/>
    </row>
    <row r="59995" spans="1:26" ht="12.75" customHeight="1" x14ac:dyDescent="0.2">
      <c r="A59995" s="258"/>
      <c r="Z59995" s="258"/>
    </row>
    <row r="59996" spans="1:26" ht="12.75" customHeight="1" x14ac:dyDescent="0.2">
      <c r="A59996" s="258"/>
      <c r="Z59996" s="258"/>
    </row>
    <row r="59997" spans="1:26" ht="12.75" customHeight="1" x14ac:dyDescent="0.2">
      <c r="A59997" s="258"/>
      <c r="Z59997" s="258"/>
    </row>
    <row r="59998" spans="1:26" ht="12.75" customHeight="1" x14ac:dyDescent="0.2">
      <c r="A59998" s="258"/>
      <c r="Z59998" s="258"/>
    </row>
    <row r="59999" spans="1:26" ht="12.75" customHeight="1" x14ac:dyDescent="0.2">
      <c r="A59999" s="258"/>
      <c r="Z59999" s="258"/>
    </row>
    <row r="60000" spans="1:26" ht="12.75" customHeight="1" x14ac:dyDescent="0.2">
      <c r="A60000" s="258"/>
      <c r="Z60000" s="258"/>
    </row>
    <row r="60001" spans="1:26" ht="12.75" customHeight="1" x14ac:dyDescent="0.2">
      <c r="A60001" s="258"/>
      <c r="Z60001" s="258"/>
    </row>
    <row r="60002" spans="1:26" ht="12.75" customHeight="1" x14ac:dyDescent="0.2">
      <c r="A60002" s="258"/>
      <c r="Z60002" s="258"/>
    </row>
    <row r="60003" spans="1:26" ht="12.75" customHeight="1" x14ac:dyDescent="0.2">
      <c r="A60003" s="258"/>
      <c r="Z60003" s="258"/>
    </row>
    <row r="60004" spans="1:26" ht="12.75" customHeight="1" x14ac:dyDescent="0.2">
      <c r="A60004" s="258"/>
      <c r="Z60004" s="258"/>
    </row>
    <row r="60005" spans="1:26" ht="12.75" customHeight="1" x14ac:dyDescent="0.2">
      <c r="A60005" s="258"/>
      <c r="Z60005" s="258"/>
    </row>
    <row r="60006" spans="1:26" ht="12.75" customHeight="1" x14ac:dyDescent="0.2">
      <c r="A60006" s="258"/>
      <c r="Z60006" s="258"/>
    </row>
    <row r="60007" spans="1:26" ht="12.75" customHeight="1" x14ac:dyDescent="0.2">
      <c r="A60007" s="258"/>
      <c r="Z60007" s="258"/>
    </row>
    <row r="60008" spans="1:26" ht="12.75" customHeight="1" x14ac:dyDescent="0.2">
      <c r="A60008" s="258"/>
      <c r="Z60008" s="258"/>
    </row>
    <row r="60009" spans="1:26" ht="12.75" customHeight="1" x14ac:dyDescent="0.2">
      <c r="A60009" s="258"/>
      <c r="Z60009" s="258"/>
    </row>
    <row r="60010" spans="1:26" ht="12.75" customHeight="1" x14ac:dyDescent="0.2">
      <c r="A60010" s="258"/>
      <c r="Z60010" s="258"/>
    </row>
    <row r="60011" spans="1:26" ht="12.75" customHeight="1" x14ac:dyDescent="0.2">
      <c r="A60011" s="258"/>
      <c r="Z60011" s="258"/>
    </row>
    <row r="60012" spans="1:26" ht="12.75" customHeight="1" x14ac:dyDescent="0.2">
      <c r="A60012" s="258"/>
      <c r="Z60012" s="258"/>
    </row>
    <row r="60013" spans="1:26" ht="12.75" customHeight="1" x14ac:dyDescent="0.2">
      <c r="A60013" s="258"/>
      <c r="Z60013" s="258"/>
    </row>
    <row r="60014" spans="1:26" ht="12.75" customHeight="1" x14ac:dyDescent="0.2">
      <c r="A60014" s="258"/>
      <c r="Z60014" s="258"/>
    </row>
    <row r="60015" spans="1:26" ht="12.75" customHeight="1" x14ac:dyDescent="0.2">
      <c r="A60015" s="258"/>
      <c r="Z60015" s="258"/>
    </row>
    <row r="60016" spans="1:26" ht="12.75" customHeight="1" x14ac:dyDescent="0.2">
      <c r="A60016" s="258"/>
      <c r="Z60016" s="258"/>
    </row>
    <row r="60017" spans="1:26" ht="12.75" customHeight="1" x14ac:dyDescent="0.2">
      <c r="A60017" s="258"/>
      <c r="Z60017" s="258"/>
    </row>
    <row r="60018" spans="1:26" ht="12.75" customHeight="1" x14ac:dyDescent="0.2">
      <c r="A60018" s="258"/>
      <c r="Z60018" s="258"/>
    </row>
    <row r="60019" spans="1:26" ht="12.75" customHeight="1" x14ac:dyDescent="0.2">
      <c r="A60019" s="258"/>
      <c r="Z60019" s="258"/>
    </row>
    <row r="60020" spans="1:26" ht="12.75" customHeight="1" x14ac:dyDescent="0.2">
      <c r="A60020" s="258"/>
      <c r="Z60020" s="258"/>
    </row>
    <row r="60021" spans="1:26" ht="12.75" customHeight="1" x14ac:dyDescent="0.2">
      <c r="A60021" s="258"/>
      <c r="Z60021" s="258"/>
    </row>
    <row r="60022" spans="1:26" ht="12.75" customHeight="1" x14ac:dyDescent="0.2">
      <c r="A60022" s="258"/>
      <c r="Z60022" s="258"/>
    </row>
    <row r="60023" spans="1:26" ht="12.75" customHeight="1" x14ac:dyDescent="0.2">
      <c r="A60023" s="258"/>
      <c r="Z60023" s="258"/>
    </row>
    <row r="60024" spans="1:26" ht="12.75" customHeight="1" x14ac:dyDescent="0.2">
      <c r="A60024" s="258"/>
      <c r="Z60024" s="258"/>
    </row>
    <row r="60025" spans="1:26" ht="12.75" customHeight="1" x14ac:dyDescent="0.2">
      <c r="A60025" s="258"/>
      <c r="Z60025" s="258"/>
    </row>
    <row r="60026" spans="1:26" ht="12.75" customHeight="1" x14ac:dyDescent="0.2">
      <c r="A60026" s="258"/>
      <c r="Z60026" s="258"/>
    </row>
    <row r="60027" spans="1:26" ht="12.75" customHeight="1" x14ac:dyDescent="0.2">
      <c r="A60027" s="258"/>
      <c r="Z60027" s="258"/>
    </row>
    <row r="60028" spans="1:26" ht="12.75" customHeight="1" x14ac:dyDescent="0.2">
      <c r="A60028" s="258"/>
      <c r="Z60028" s="258"/>
    </row>
    <row r="60029" spans="1:26" ht="12.75" customHeight="1" x14ac:dyDescent="0.2">
      <c r="A60029" s="258"/>
      <c r="Z60029" s="258"/>
    </row>
    <row r="60030" spans="1:26" ht="12.75" customHeight="1" x14ac:dyDescent="0.2">
      <c r="A60030" s="258"/>
      <c r="Z60030" s="258"/>
    </row>
    <row r="60031" spans="1:26" ht="12.75" customHeight="1" x14ac:dyDescent="0.2">
      <c r="A60031" s="258"/>
      <c r="Z60031" s="258"/>
    </row>
    <row r="60032" spans="1:26" ht="12.75" customHeight="1" x14ac:dyDescent="0.2">
      <c r="A60032" s="258"/>
      <c r="Z60032" s="258"/>
    </row>
    <row r="60033" spans="1:26" ht="12.75" customHeight="1" x14ac:dyDescent="0.2">
      <c r="A60033" s="258"/>
      <c r="Z60033" s="258"/>
    </row>
    <row r="60034" spans="1:26" ht="12.75" customHeight="1" x14ac:dyDescent="0.2">
      <c r="A60034" s="258"/>
      <c r="Z60034" s="258"/>
    </row>
    <row r="60035" spans="1:26" ht="12.75" customHeight="1" x14ac:dyDescent="0.2">
      <c r="A60035" s="258"/>
      <c r="Z60035" s="258"/>
    </row>
    <row r="60036" spans="1:26" ht="12.75" customHeight="1" x14ac:dyDescent="0.2">
      <c r="A60036" s="258"/>
      <c r="Z60036" s="258"/>
    </row>
    <row r="60037" spans="1:26" ht="12.75" customHeight="1" x14ac:dyDescent="0.2">
      <c r="A60037" s="258"/>
      <c r="Z60037" s="258"/>
    </row>
    <row r="60038" spans="1:26" ht="12.75" customHeight="1" x14ac:dyDescent="0.2">
      <c r="A60038" s="258"/>
      <c r="Z60038" s="258"/>
    </row>
    <row r="60039" spans="1:26" ht="12.75" customHeight="1" x14ac:dyDescent="0.2">
      <c r="A60039" s="258"/>
      <c r="Z60039" s="258"/>
    </row>
    <row r="60040" spans="1:26" ht="12.75" customHeight="1" x14ac:dyDescent="0.2">
      <c r="A60040" s="258"/>
      <c r="Z60040" s="258"/>
    </row>
    <row r="60041" spans="1:26" ht="12.75" customHeight="1" x14ac:dyDescent="0.2">
      <c r="A60041" s="258"/>
      <c r="Z60041" s="258"/>
    </row>
    <row r="60042" spans="1:26" ht="12.75" customHeight="1" x14ac:dyDescent="0.2">
      <c r="A60042" s="258"/>
      <c r="Z60042" s="258"/>
    </row>
    <row r="60043" spans="1:26" ht="12.75" customHeight="1" x14ac:dyDescent="0.2">
      <c r="A60043" s="258"/>
      <c r="Z60043" s="258"/>
    </row>
    <row r="60044" spans="1:26" ht="12.75" customHeight="1" x14ac:dyDescent="0.2">
      <c r="A60044" s="258"/>
      <c r="Z60044" s="258"/>
    </row>
    <row r="60045" spans="1:26" ht="12.75" customHeight="1" x14ac:dyDescent="0.2">
      <c r="A60045" s="258"/>
      <c r="Z60045" s="258"/>
    </row>
    <row r="60046" spans="1:26" ht="12.75" customHeight="1" x14ac:dyDescent="0.2">
      <c r="A60046" s="258"/>
      <c r="Z60046" s="258"/>
    </row>
    <row r="60047" spans="1:26" ht="12.75" customHeight="1" x14ac:dyDescent="0.2">
      <c r="A60047" s="258"/>
      <c r="Z60047" s="258"/>
    </row>
    <row r="60048" spans="1:26" ht="12.75" customHeight="1" x14ac:dyDescent="0.2">
      <c r="A60048" s="258"/>
      <c r="Z60048" s="258"/>
    </row>
    <row r="60049" spans="1:26" ht="12.75" customHeight="1" x14ac:dyDescent="0.2">
      <c r="A60049" s="258"/>
      <c r="Z60049" s="258"/>
    </row>
    <row r="60050" spans="1:26" ht="12.75" customHeight="1" x14ac:dyDescent="0.2">
      <c r="A60050" s="258"/>
      <c r="Z60050" s="258"/>
    </row>
    <row r="60051" spans="1:26" ht="12.75" customHeight="1" x14ac:dyDescent="0.2">
      <c r="A60051" s="258"/>
      <c r="Z60051" s="258"/>
    </row>
    <row r="60052" spans="1:26" ht="12.75" customHeight="1" x14ac:dyDescent="0.2">
      <c r="A60052" s="258"/>
      <c r="Z60052" s="258"/>
    </row>
    <row r="60053" spans="1:26" ht="12.75" customHeight="1" x14ac:dyDescent="0.2">
      <c r="A60053" s="258"/>
      <c r="Z60053" s="258"/>
    </row>
    <row r="60054" spans="1:26" ht="12.75" customHeight="1" x14ac:dyDescent="0.2">
      <c r="A60054" s="258"/>
      <c r="Z60054" s="258"/>
    </row>
    <row r="60055" spans="1:26" ht="12.75" customHeight="1" x14ac:dyDescent="0.2">
      <c r="A60055" s="258"/>
      <c r="Z60055" s="258"/>
    </row>
    <row r="60056" spans="1:26" ht="12.75" customHeight="1" x14ac:dyDescent="0.2">
      <c r="A60056" s="258"/>
      <c r="Z60056" s="258"/>
    </row>
    <row r="60057" spans="1:26" ht="12.75" customHeight="1" x14ac:dyDescent="0.2">
      <c r="A60057" s="258"/>
      <c r="Z60057" s="258"/>
    </row>
    <row r="60058" spans="1:26" ht="12.75" customHeight="1" x14ac:dyDescent="0.2">
      <c r="A60058" s="258"/>
      <c r="Z60058" s="258"/>
    </row>
    <row r="60059" spans="1:26" ht="12.75" customHeight="1" x14ac:dyDescent="0.2">
      <c r="A60059" s="258"/>
      <c r="Z60059" s="258"/>
    </row>
    <row r="60060" spans="1:26" ht="12.75" customHeight="1" x14ac:dyDescent="0.2">
      <c r="A60060" s="258"/>
      <c r="Z60060" s="258"/>
    </row>
    <row r="60061" spans="1:26" ht="12.75" customHeight="1" x14ac:dyDescent="0.2">
      <c r="A60061" s="258"/>
      <c r="Z60061" s="258"/>
    </row>
    <row r="60062" spans="1:26" ht="12.75" customHeight="1" x14ac:dyDescent="0.2">
      <c r="A60062" s="258"/>
      <c r="Z60062" s="258"/>
    </row>
    <row r="60063" spans="1:26" ht="12.75" customHeight="1" x14ac:dyDescent="0.2">
      <c r="A60063" s="258"/>
      <c r="Z60063" s="258"/>
    </row>
    <row r="60064" spans="1:26" ht="12.75" customHeight="1" x14ac:dyDescent="0.2">
      <c r="A60064" s="258"/>
      <c r="Z60064" s="258"/>
    </row>
    <row r="60065" spans="1:26" ht="12.75" customHeight="1" x14ac:dyDescent="0.2">
      <c r="A60065" s="258"/>
      <c r="Z60065" s="258"/>
    </row>
    <row r="60066" spans="1:26" ht="12.75" customHeight="1" x14ac:dyDescent="0.2">
      <c r="A60066" s="258"/>
      <c r="Z60066" s="258"/>
    </row>
    <row r="60067" spans="1:26" ht="12.75" customHeight="1" x14ac:dyDescent="0.2">
      <c r="A60067" s="258"/>
      <c r="Z60067" s="258"/>
    </row>
    <row r="60068" spans="1:26" ht="12.75" customHeight="1" x14ac:dyDescent="0.2">
      <c r="A60068" s="258"/>
      <c r="Z60068" s="258"/>
    </row>
    <row r="60069" spans="1:26" ht="12.75" customHeight="1" x14ac:dyDescent="0.2">
      <c r="A60069" s="258"/>
      <c r="Z60069" s="258"/>
    </row>
    <row r="60070" spans="1:26" ht="12.75" customHeight="1" x14ac:dyDescent="0.2">
      <c r="A60070" s="258"/>
      <c r="Z60070" s="258"/>
    </row>
    <row r="60071" spans="1:26" ht="12.75" customHeight="1" x14ac:dyDescent="0.2">
      <c r="A60071" s="258"/>
      <c r="Z60071" s="258"/>
    </row>
    <row r="60072" spans="1:26" ht="12.75" customHeight="1" x14ac:dyDescent="0.2">
      <c r="A60072" s="258"/>
      <c r="Z60072" s="258"/>
    </row>
    <row r="60073" spans="1:26" ht="12.75" customHeight="1" x14ac:dyDescent="0.2">
      <c r="A60073" s="258"/>
      <c r="Z60073" s="258"/>
    </row>
    <row r="60074" spans="1:26" ht="12.75" customHeight="1" x14ac:dyDescent="0.2">
      <c r="A60074" s="258"/>
      <c r="Z60074" s="258"/>
    </row>
    <row r="60075" spans="1:26" ht="12.75" customHeight="1" x14ac:dyDescent="0.2">
      <c r="A60075" s="258"/>
      <c r="Z60075" s="258"/>
    </row>
    <row r="60076" spans="1:26" ht="12.75" customHeight="1" x14ac:dyDescent="0.2">
      <c r="A60076" s="258"/>
      <c r="Z60076" s="258"/>
    </row>
    <row r="60077" spans="1:26" ht="12.75" customHeight="1" x14ac:dyDescent="0.2">
      <c r="A60077" s="258"/>
      <c r="Z60077" s="258"/>
    </row>
    <row r="60078" spans="1:26" ht="12.75" customHeight="1" x14ac:dyDescent="0.2">
      <c r="A60078" s="258"/>
      <c r="Z60078" s="258"/>
    </row>
    <row r="60079" spans="1:26" ht="12.75" customHeight="1" x14ac:dyDescent="0.2">
      <c r="A60079" s="258"/>
      <c r="Z60079" s="258"/>
    </row>
    <row r="60080" spans="1:26" ht="12.75" customHeight="1" x14ac:dyDescent="0.2">
      <c r="A60080" s="258"/>
      <c r="Z60080" s="258"/>
    </row>
    <row r="60081" spans="1:26" ht="12.75" customHeight="1" x14ac:dyDescent="0.2">
      <c r="A60081" s="258"/>
      <c r="Z60081" s="258"/>
    </row>
    <row r="60082" spans="1:26" ht="12.75" customHeight="1" x14ac:dyDescent="0.2">
      <c r="A60082" s="258"/>
      <c r="Z60082" s="258"/>
    </row>
    <row r="60083" spans="1:26" ht="12.75" customHeight="1" x14ac:dyDescent="0.2">
      <c r="A60083" s="258"/>
      <c r="Z60083" s="258"/>
    </row>
    <row r="60084" spans="1:26" ht="12.75" customHeight="1" x14ac:dyDescent="0.2">
      <c r="A60084" s="258"/>
      <c r="Z60084" s="258"/>
    </row>
    <row r="60085" spans="1:26" ht="12.75" customHeight="1" x14ac:dyDescent="0.2">
      <c r="A60085" s="258"/>
      <c r="Z60085" s="258"/>
    </row>
    <row r="60086" spans="1:26" ht="12.75" customHeight="1" x14ac:dyDescent="0.2">
      <c r="A60086" s="258"/>
      <c r="Z60086" s="258"/>
    </row>
    <row r="60087" spans="1:26" ht="12.75" customHeight="1" x14ac:dyDescent="0.2">
      <c r="A60087" s="258"/>
      <c r="Z60087" s="258"/>
    </row>
    <row r="60088" spans="1:26" ht="12.75" customHeight="1" x14ac:dyDescent="0.2">
      <c r="A60088" s="258"/>
      <c r="Z60088" s="258"/>
    </row>
    <row r="60089" spans="1:26" ht="12.75" customHeight="1" x14ac:dyDescent="0.2">
      <c r="A60089" s="258"/>
      <c r="Z60089" s="258"/>
    </row>
    <row r="60090" spans="1:26" ht="12.75" customHeight="1" x14ac:dyDescent="0.2">
      <c r="A60090" s="258"/>
      <c r="Z60090" s="258"/>
    </row>
    <row r="60091" spans="1:26" ht="12.75" customHeight="1" x14ac:dyDescent="0.2">
      <c r="A60091" s="258"/>
      <c r="Z60091" s="258"/>
    </row>
    <row r="60092" spans="1:26" ht="12.75" customHeight="1" x14ac:dyDescent="0.2">
      <c r="A60092" s="258"/>
      <c r="Z60092" s="258"/>
    </row>
    <row r="60093" spans="1:26" ht="12.75" customHeight="1" x14ac:dyDescent="0.2">
      <c r="A60093" s="258"/>
      <c r="Z60093" s="258"/>
    </row>
    <row r="60094" spans="1:26" ht="12.75" customHeight="1" x14ac:dyDescent="0.2">
      <c r="A60094" s="258"/>
      <c r="Z60094" s="258"/>
    </row>
    <row r="60095" spans="1:26" ht="12.75" customHeight="1" x14ac:dyDescent="0.2">
      <c r="A60095" s="258"/>
      <c r="Z60095" s="258"/>
    </row>
    <row r="60096" spans="1:26" ht="12.75" customHeight="1" x14ac:dyDescent="0.2">
      <c r="A60096" s="258"/>
      <c r="Z60096" s="258"/>
    </row>
    <row r="60097" spans="1:26" ht="12.75" customHeight="1" x14ac:dyDescent="0.2">
      <c r="A60097" s="258"/>
      <c r="Z60097" s="258"/>
    </row>
    <row r="60098" spans="1:26" ht="12.75" customHeight="1" x14ac:dyDescent="0.2">
      <c r="A60098" s="258"/>
      <c r="Z60098" s="258"/>
    </row>
    <row r="60099" spans="1:26" ht="12.75" customHeight="1" x14ac:dyDescent="0.2">
      <c r="A60099" s="258"/>
      <c r="Z60099" s="258"/>
    </row>
    <row r="60100" spans="1:26" ht="12.75" customHeight="1" x14ac:dyDescent="0.2">
      <c r="A60100" s="258"/>
      <c r="Z60100" s="258"/>
    </row>
    <row r="60101" spans="1:26" ht="12.75" customHeight="1" x14ac:dyDescent="0.2">
      <c r="A60101" s="258"/>
      <c r="Z60101" s="258"/>
    </row>
    <row r="60102" spans="1:26" ht="12.75" customHeight="1" x14ac:dyDescent="0.2">
      <c r="A60102" s="258"/>
      <c r="Z60102" s="258"/>
    </row>
    <row r="60103" spans="1:26" ht="12.75" customHeight="1" x14ac:dyDescent="0.2">
      <c r="A60103" s="258"/>
      <c r="Z60103" s="258"/>
    </row>
    <row r="60104" spans="1:26" ht="12.75" customHeight="1" x14ac:dyDescent="0.2">
      <c r="A60104" s="258"/>
      <c r="Z60104" s="258"/>
    </row>
    <row r="60105" spans="1:26" ht="12.75" customHeight="1" x14ac:dyDescent="0.2">
      <c r="A60105" s="258"/>
      <c r="Z60105" s="258"/>
    </row>
    <row r="60106" spans="1:26" ht="12.75" customHeight="1" x14ac:dyDescent="0.2">
      <c r="A60106" s="258"/>
      <c r="Z60106" s="258"/>
    </row>
    <row r="60107" spans="1:26" ht="12.75" customHeight="1" x14ac:dyDescent="0.2">
      <c r="A60107" s="258"/>
      <c r="Z60107" s="258"/>
    </row>
    <row r="60108" spans="1:26" ht="12.75" customHeight="1" x14ac:dyDescent="0.2">
      <c r="A60108" s="258"/>
      <c r="Z60108" s="258"/>
    </row>
    <row r="60109" spans="1:26" ht="12.75" customHeight="1" x14ac:dyDescent="0.2">
      <c r="A60109" s="258"/>
      <c r="Z60109" s="258"/>
    </row>
    <row r="60110" spans="1:26" ht="12.75" customHeight="1" x14ac:dyDescent="0.2">
      <c r="A60110" s="258"/>
      <c r="Z60110" s="258"/>
    </row>
    <row r="60111" spans="1:26" ht="12.75" customHeight="1" x14ac:dyDescent="0.2">
      <c r="A60111" s="258"/>
      <c r="Z60111" s="258"/>
    </row>
    <row r="60112" spans="1:26" ht="12.75" customHeight="1" x14ac:dyDescent="0.2">
      <c r="A60112" s="258"/>
      <c r="Z60112" s="258"/>
    </row>
    <row r="60113" spans="1:26" ht="12.75" customHeight="1" x14ac:dyDescent="0.2">
      <c r="A60113" s="258"/>
      <c r="Z60113" s="258"/>
    </row>
    <row r="60114" spans="1:26" ht="12.75" customHeight="1" x14ac:dyDescent="0.2">
      <c r="A60114" s="258"/>
      <c r="Z60114" s="258"/>
    </row>
    <row r="60115" spans="1:26" ht="12.75" customHeight="1" x14ac:dyDescent="0.2">
      <c r="A60115" s="258"/>
      <c r="Z60115" s="258"/>
    </row>
    <row r="60116" spans="1:26" ht="12.75" customHeight="1" x14ac:dyDescent="0.2">
      <c r="A60116" s="258"/>
      <c r="Z60116" s="258"/>
    </row>
    <row r="60117" spans="1:26" ht="12.75" customHeight="1" x14ac:dyDescent="0.2">
      <c r="A60117" s="258"/>
      <c r="Z60117" s="258"/>
    </row>
    <row r="60118" spans="1:26" ht="12.75" customHeight="1" x14ac:dyDescent="0.2">
      <c r="A60118" s="258"/>
      <c r="Z60118" s="258"/>
    </row>
    <row r="60119" spans="1:26" ht="12.75" customHeight="1" x14ac:dyDescent="0.2">
      <c r="A60119" s="258"/>
      <c r="Z60119" s="258"/>
    </row>
    <row r="60120" spans="1:26" ht="12.75" customHeight="1" x14ac:dyDescent="0.2">
      <c r="A60120" s="258"/>
      <c r="Z60120" s="258"/>
    </row>
    <row r="60121" spans="1:26" ht="12.75" customHeight="1" x14ac:dyDescent="0.2">
      <c r="A60121" s="258"/>
      <c r="Z60121" s="258"/>
    </row>
    <row r="60122" spans="1:26" ht="12.75" customHeight="1" x14ac:dyDescent="0.2">
      <c r="A60122" s="258"/>
      <c r="Z60122" s="258"/>
    </row>
    <row r="60123" spans="1:26" ht="12.75" customHeight="1" x14ac:dyDescent="0.2">
      <c r="A60123" s="258"/>
      <c r="Z60123" s="258"/>
    </row>
    <row r="60124" spans="1:26" ht="12.75" customHeight="1" x14ac:dyDescent="0.2">
      <c r="A60124" s="258"/>
      <c r="Z60124" s="258"/>
    </row>
    <row r="60125" spans="1:26" ht="12.75" customHeight="1" x14ac:dyDescent="0.2">
      <c r="A60125" s="258"/>
      <c r="Z60125" s="258"/>
    </row>
    <row r="60126" spans="1:26" ht="12.75" customHeight="1" x14ac:dyDescent="0.2">
      <c r="A60126" s="258"/>
      <c r="Z60126" s="258"/>
    </row>
    <row r="60127" spans="1:26" ht="12.75" customHeight="1" x14ac:dyDescent="0.2">
      <c r="A60127" s="258"/>
      <c r="Z60127" s="258"/>
    </row>
    <row r="60128" spans="1:26" ht="12.75" customHeight="1" x14ac:dyDescent="0.2">
      <c r="A60128" s="258"/>
      <c r="Z60128" s="258"/>
    </row>
    <row r="60129" spans="1:26" ht="12.75" customHeight="1" x14ac:dyDescent="0.2">
      <c r="A60129" s="258"/>
      <c r="Z60129" s="258"/>
    </row>
    <row r="60130" spans="1:26" ht="12.75" customHeight="1" x14ac:dyDescent="0.2">
      <c r="A60130" s="258"/>
      <c r="Z60130" s="258"/>
    </row>
    <row r="60131" spans="1:26" ht="12.75" customHeight="1" x14ac:dyDescent="0.2">
      <c r="A60131" s="258"/>
      <c r="Z60131" s="258"/>
    </row>
    <row r="60132" spans="1:26" ht="12.75" customHeight="1" x14ac:dyDescent="0.2">
      <c r="A60132" s="258"/>
      <c r="Z60132" s="258"/>
    </row>
    <row r="60133" spans="1:26" ht="12.75" customHeight="1" x14ac:dyDescent="0.2">
      <c r="A60133" s="258"/>
      <c r="Z60133" s="258"/>
    </row>
    <row r="60134" spans="1:26" ht="12.75" customHeight="1" x14ac:dyDescent="0.2">
      <c r="A60134" s="258"/>
      <c r="Z60134" s="258"/>
    </row>
    <row r="60135" spans="1:26" ht="12.75" customHeight="1" x14ac:dyDescent="0.2">
      <c r="A60135" s="258"/>
      <c r="Z60135" s="258"/>
    </row>
    <row r="60136" spans="1:26" ht="12.75" customHeight="1" x14ac:dyDescent="0.2">
      <c r="A60136" s="258"/>
      <c r="Z60136" s="258"/>
    </row>
    <row r="60137" spans="1:26" ht="12.75" customHeight="1" x14ac:dyDescent="0.2">
      <c r="A60137" s="258"/>
      <c r="Z60137" s="258"/>
    </row>
    <row r="60138" spans="1:26" ht="12.75" customHeight="1" x14ac:dyDescent="0.2">
      <c r="A60138" s="258"/>
      <c r="Z60138" s="258"/>
    </row>
    <row r="60139" spans="1:26" ht="12.75" customHeight="1" x14ac:dyDescent="0.2">
      <c r="A60139" s="258"/>
      <c r="Z60139" s="258"/>
    </row>
    <row r="60140" spans="1:26" ht="12.75" customHeight="1" x14ac:dyDescent="0.2">
      <c r="A60140" s="258"/>
      <c r="Z60140" s="258"/>
    </row>
    <row r="60141" spans="1:26" ht="12.75" customHeight="1" x14ac:dyDescent="0.2">
      <c r="A60141" s="258"/>
      <c r="Z60141" s="258"/>
    </row>
    <row r="60142" spans="1:26" ht="12.75" customHeight="1" x14ac:dyDescent="0.2">
      <c r="A60142" s="258"/>
      <c r="Z60142" s="258"/>
    </row>
    <row r="60143" spans="1:26" ht="12.75" customHeight="1" x14ac:dyDescent="0.2">
      <c r="A60143" s="258"/>
      <c r="Z60143" s="258"/>
    </row>
    <row r="60144" spans="1:26" ht="12.75" customHeight="1" x14ac:dyDescent="0.2">
      <c r="A60144" s="258"/>
      <c r="Z60144" s="258"/>
    </row>
    <row r="60145" spans="1:26" ht="12.75" customHeight="1" x14ac:dyDescent="0.2">
      <c r="A60145" s="258"/>
      <c r="Z60145" s="258"/>
    </row>
    <row r="60146" spans="1:26" ht="12.75" customHeight="1" x14ac:dyDescent="0.2">
      <c r="A60146" s="258"/>
      <c r="Z60146" s="258"/>
    </row>
    <row r="60147" spans="1:26" ht="12.75" customHeight="1" x14ac:dyDescent="0.2">
      <c r="A60147" s="258"/>
      <c r="Z60147" s="258"/>
    </row>
    <row r="60148" spans="1:26" ht="12.75" customHeight="1" x14ac:dyDescent="0.2">
      <c r="A60148" s="258"/>
      <c r="Z60148" s="258"/>
    </row>
    <row r="60149" spans="1:26" ht="12.75" customHeight="1" x14ac:dyDescent="0.2">
      <c r="A60149" s="258"/>
      <c r="Z60149" s="258"/>
    </row>
    <row r="60150" spans="1:26" ht="12.75" customHeight="1" x14ac:dyDescent="0.2">
      <c r="A60150" s="258"/>
      <c r="Z60150" s="258"/>
    </row>
    <row r="60151" spans="1:26" ht="12.75" customHeight="1" x14ac:dyDescent="0.2">
      <c r="A60151" s="258"/>
      <c r="Z60151" s="258"/>
    </row>
    <row r="60152" spans="1:26" ht="12.75" customHeight="1" x14ac:dyDescent="0.2">
      <c r="A60152" s="258"/>
      <c r="Z60152" s="258"/>
    </row>
    <row r="60153" spans="1:26" ht="12.75" customHeight="1" x14ac:dyDescent="0.2">
      <c r="A60153" s="258"/>
      <c r="Z60153" s="258"/>
    </row>
    <row r="60154" spans="1:26" ht="12.75" customHeight="1" x14ac:dyDescent="0.2">
      <c r="A60154" s="258"/>
      <c r="Z60154" s="258"/>
    </row>
    <row r="60155" spans="1:26" ht="12.75" customHeight="1" x14ac:dyDescent="0.2">
      <c r="A60155" s="258"/>
      <c r="Z60155" s="258"/>
    </row>
    <row r="60156" spans="1:26" ht="12.75" customHeight="1" x14ac:dyDescent="0.2">
      <c r="A60156" s="258"/>
      <c r="Z60156" s="258"/>
    </row>
    <row r="60157" spans="1:26" ht="12.75" customHeight="1" x14ac:dyDescent="0.2">
      <c r="A60157" s="258"/>
      <c r="Z60157" s="258"/>
    </row>
    <row r="60158" spans="1:26" ht="12.75" customHeight="1" x14ac:dyDescent="0.2">
      <c r="A60158" s="258"/>
      <c r="Z60158" s="258"/>
    </row>
    <row r="60159" spans="1:26" ht="12.75" customHeight="1" x14ac:dyDescent="0.2">
      <c r="A60159" s="258"/>
      <c r="Z60159" s="258"/>
    </row>
    <row r="60160" spans="1:26" ht="12.75" customHeight="1" x14ac:dyDescent="0.2">
      <c r="A60160" s="258"/>
      <c r="Z60160" s="258"/>
    </row>
    <row r="60161" spans="1:26" ht="12.75" customHeight="1" x14ac:dyDescent="0.2">
      <c r="A60161" s="258"/>
      <c r="Z60161" s="258"/>
    </row>
    <row r="60162" spans="1:26" ht="12.75" customHeight="1" x14ac:dyDescent="0.2">
      <c r="A60162" s="258"/>
      <c r="Z60162" s="258"/>
    </row>
    <row r="60163" spans="1:26" ht="12.75" customHeight="1" x14ac:dyDescent="0.2">
      <c r="A60163" s="258"/>
      <c r="Z60163" s="258"/>
    </row>
    <row r="60164" spans="1:26" ht="12.75" customHeight="1" x14ac:dyDescent="0.2">
      <c r="A60164" s="258"/>
      <c r="Z60164" s="258"/>
    </row>
    <row r="60165" spans="1:26" ht="12.75" customHeight="1" x14ac:dyDescent="0.2">
      <c r="A60165" s="258"/>
      <c r="Z60165" s="258"/>
    </row>
    <row r="60166" spans="1:26" ht="12.75" customHeight="1" x14ac:dyDescent="0.2">
      <c r="A60166" s="258"/>
      <c r="Z60166" s="258"/>
    </row>
    <row r="60167" spans="1:26" ht="12.75" customHeight="1" x14ac:dyDescent="0.2">
      <c r="A60167" s="258"/>
      <c r="Z60167" s="258"/>
    </row>
    <row r="60168" spans="1:26" ht="12.75" customHeight="1" x14ac:dyDescent="0.2">
      <c r="A60168" s="258"/>
      <c r="Z60168" s="258"/>
    </row>
    <row r="60169" spans="1:26" ht="12.75" customHeight="1" x14ac:dyDescent="0.2">
      <c r="A60169" s="258"/>
      <c r="Z60169" s="258"/>
    </row>
    <row r="60170" spans="1:26" ht="12.75" customHeight="1" x14ac:dyDescent="0.2">
      <c r="A60170" s="258"/>
      <c r="Z60170" s="258"/>
    </row>
    <row r="60171" spans="1:26" ht="12.75" customHeight="1" x14ac:dyDescent="0.2">
      <c r="A60171" s="258"/>
      <c r="Z60171" s="258"/>
    </row>
    <row r="60172" spans="1:26" ht="12.75" customHeight="1" x14ac:dyDescent="0.2">
      <c r="A60172" s="258"/>
      <c r="Z60172" s="258"/>
    </row>
    <row r="60173" spans="1:26" ht="12.75" customHeight="1" x14ac:dyDescent="0.2">
      <c r="A60173" s="258"/>
      <c r="Z60173" s="258"/>
    </row>
    <row r="60174" spans="1:26" ht="12.75" customHeight="1" x14ac:dyDescent="0.2">
      <c r="A60174" s="258"/>
      <c r="Z60174" s="258"/>
    </row>
    <row r="60175" spans="1:26" ht="12.75" customHeight="1" x14ac:dyDescent="0.2">
      <c r="A60175" s="258"/>
      <c r="Z60175" s="258"/>
    </row>
    <row r="60176" spans="1:26" ht="12.75" customHeight="1" x14ac:dyDescent="0.2">
      <c r="A60176" s="258"/>
      <c r="Z60176" s="258"/>
    </row>
    <row r="60177" spans="1:26" ht="12.75" customHeight="1" x14ac:dyDescent="0.2">
      <c r="A60177" s="258"/>
      <c r="Z60177" s="258"/>
    </row>
    <row r="60178" spans="1:26" ht="12.75" customHeight="1" x14ac:dyDescent="0.2">
      <c r="A60178" s="258"/>
      <c r="Z60178" s="258"/>
    </row>
    <row r="60179" spans="1:26" ht="12.75" customHeight="1" x14ac:dyDescent="0.2">
      <c r="A60179" s="258"/>
      <c r="Z60179" s="258"/>
    </row>
    <row r="60180" spans="1:26" ht="12.75" customHeight="1" x14ac:dyDescent="0.2">
      <c r="A60180" s="258"/>
      <c r="Z60180" s="258"/>
    </row>
    <row r="60181" spans="1:26" ht="12.75" customHeight="1" x14ac:dyDescent="0.2">
      <c r="A60181" s="258"/>
      <c r="Z60181" s="258"/>
    </row>
    <row r="60182" spans="1:26" ht="12.75" customHeight="1" x14ac:dyDescent="0.2">
      <c r="A60182" s="258"/>
      <c r="Z60182" s="258"/>
    </row>
    <row r="60183" spans="1:26" ht="12.75" customHeight="1" x14ac:dyDescent="0.2">
      <c r="A60183" s="258"/>
      <c r="Z60183" s="258"/>
    </row>
    <row r="60184" spans="1:26" ht="12.75" customHeight="1" x14ac:dyDescent="0.2">
      <c r="A60184" s="258"/>
      <c r="Z60184" s="258"/>
    </row>
    <row r="60185" spans="1:26" ht="12.75" customHeight="1" x14ac:dyDescent="0.2">
      <c r="A60185" s="258"/>
      <c r="Z60185" s="258"/>
    </row>
    <row r="60186" spans="1:26" ht="12.75" customHeight="1" x14ac:dyDescent="0.2">
      <c r="A60186" s="258"/>
      <c r="Z60186" s="258"/>
    </row>
    <row r="60187" spans="1:26" ht="12.75" customHeight="1" x14ac:dyDescent="0.2">
      <c r="A60187" s="258"/>
      <c r="Z60187" s="258"/>
    </row>
    <row r="60188" spans="1:26" ht="12.75" customHeight="1" x14ac:dyDescent="0.2">
      <c r="A60188" s="258"/>
      <c r="Z60188" s="258"/>
    </row>
    <row r="60189" spans="1:26" ht="12.75" customHeight="1" x14ac:dyDescent="0.2">
      <c r="A60189" s="258"/>
      <c r="Z60189" s="258"/>
    </row>
    <row r="60190" spans="1:26" ht="12.75" customHeight="1" x14ac:dyDescent="0.2">
      <c r="A60190" s="258"/>
      <c r="Z60190" s="258"/>
    </row>
    <row r="60191" spans="1:26" ht="12.75" customHeight="1" x14ac:dyDescent="0.2">
      <c r="A60191" s="258"/>
      <c r="Z60191" s="258"/>
    </row>
    <row r="60192" spans="1:26" ht="12.75" customHeight="1" x14ac:dyDescent="0.2">
      <c r="A60192" s="258"/>
      <c r="Z60192" s="258"/>
    </row>
    <row r="60193" spans="1:26" ht="12.75" customHeight="1" x14ac:dyDescent="0.2">
      <c r="A60193" s="258"/>
      <c r="Z60193" s="258"/>
    </row>
    <row r="60194" spans="1:26" ht="12.75" customHeight="1" x14ac:dyDescent="0.2">
      <c r="A60194" s="258"/>
      <c r="Z60194" s="258"/>
    </row>
    <row r="60195" spans="1:26" ht="12.75" customHeight="1" x14ac:dyDescent="0.2">
      <c r="A60195" s="258"/>
      <c r="Z60195" s="258"/>
    </row>
    <row r="60196" spans="1:26" ht="12.75" customHeight="1" x14ac:dyDescent="0.2">
      <c r="A60196" s="258"/>
      <c r="Z60196" s="258"/>
    </row>
    <row r="60197" spans="1:26" ht="12.75" customHeight="1" x14ac:dyDescent="0.2">
      <c r="A60197" s="258"/>
      <c r="Z60197" s="258"/>
    </row>
    <row r="60198" spans="1:26" ht="12.75" customHeight="1" x14ac:dyDescent="0.2">
      <c r="A60198" s="258"/>
      <c r="Z60198" s="258"/>
    </row>
    <row r="60199" spans="1:26" ht="12.75" customHeight="1" x14ac:dyDescent="0.2">
      <c r="A60199" s="258"/>
      <c r="Z60199" s="258"/>
    </row>
    <row r="60200" spans="1:26" ht="12.75" customHeight="1" x14ac:dyDescent="0.2">
      <c r="A60200" s="258"/>
      <c r="Z60200" s="258"/>
    </row>
    <row r="60201" spans="1:26" ht="12.75" customHeight="1" x14ac:dyDescent="0.2">
      <c r="A60201" s="258"/>
      <c r="Z60201" s="258"/>
    </row>
    <row r="60202" spans="1:26" ht="12.75" customHeight="1" x14ac:dyDescent="0.2">
      <c r="A60202" s="258"/>
      <c r="Z60202" s="258"/>
    </row>
    <row r="60203" spans="1:26" ht="12.75" customHeight="1" x14ac:dyDescent="0.2">
      <c r="A60203" s="258"/>
      <c r="Z60203" s="258"/>
    </row>
    <row r="60204" spans="1:26" ht="12.75" customHeight="1" x14ac:dyDescent="0.2">
      <c r="A60204" s="258"/>
      <c r="Z60204" s="258"/>
    </row>
    <row r="60205" spans="1:26" ht="12.75" customHeight="1" x14ac:dyDescent="0.2">
      <c r="A60205" s="258"/>
      <c r="Z60205" s="258"/>
    </row>
    <row r="60206" spans="1:26" ht="12.75" customHeight="1" x14ac:dyDescent="0.2">
      <c r="A60206" s="258"/>
      <c r="Z60206" s="258"/>
    </row>
    <row r="60207" spans="1:26" ht="12.75" customHeight="1" x14ac:dyDescent="0.2">
      <c r="A60207" s="258"/>
      <c r="Z60207" s="258"/>
    </row>
    <row r="60208" spans="1:26" ht="12.75" customHeight="1" x14ac:dyDescent="0.2">
      <c r="A60208" s="258"/>
      <c r="Z60208" s="258"/>
    </row>
    <row r="60209" spans="1:26" ht="12.75" customHeight="1" x14ac:dyDescent="0.2">
      <c r="A60209" s="258"/>
      <c r="Z60209" s="258"/>
    </row>
    <row r="60210" spans="1:26" ht="12.75" customHeight="1" x14ac:dyDescent="0.2">
      <c r="A60210" s="258"/>
      <c r="Z60210" s="258"/>
    </row>
    <row r="60211" spans="1:26" ht="12.75" customHeight="1" x14ac:dyDescent="0.2">
      <c r="A60211" s="258"/>
      <c r="Z60211" s="258"/>
    </row>
    <row r="60212" spans="1:26" ht="12.75" customHeight="1" x14ac:dyDescent="0.2">
      <c r="A60212" s="258"/>
      <c r="Z60212" s="258"/>
    </row>
    <row r="60213" spans="1:26" ht="12.75" customHeight="1" x14ac:dyDescent="0.2">
      <c r="A60213" s="258"/>
      <c r="Z60213" s="258"/>
    </row>
    <row r="60214" spans="1:26" ht="12.75" customHeight="1" x14ac:dyDescent="0.2">
      <c r="A60214" s="258"/>
      <c r="Z60214" s="258"/>
    </row>
    <row r="60215" spans="1:26" ht="12.75" customHeight="1" x14ac:dyDescent="0.2">
      <c r="A60215" s="258"/>
      <c r="Z60215" s="258"/>
    </row>
    <row r="60216" spans="1:26" ht="12.75" customHeight="1" x14ac:dyDescent="0.2">
      <c r="A60216" s="258"/>
      <c r="Z60216" s="258"/>
    </row>
    <row r="60217" spans="1:26" ht="12.75" customHeight="1" x14ac:dyDescent="0.2">
      <c r="A60217" s="258"/>
      <c r="Z60217" s="258"/>
    </row>
    <row r="60218" spans="1:26" ht="12.75" customHeight="1" x14ac:dyDescent="0.2">
      <c r="A60218" s="258"/>
      <c r="Z60218" s="258"/>
    </row>
    <row r="60219" spans="1:26" ht="12.75" customHeight="1" x14ac:dyDescent="0.2">
      <c r="A60219" s="258"/>
      <c r="Z60219" s="258"/>
    </row>
    <row r="60220" spans="1:26" ht="12.75" customHeight="1" x14ac:dyDescent="0.2">
      <c r="A60220" s="258"/>
      <c r="Z60220" s="258"/>
    </row>
    <row r="60221" spans="1:26" ht="12.75" customHeight="1" x14ac:dyDescent="0.2">
      <c r="A60221" s="258"/>
      <c r="Z60221" s="258"/>
    </row>
    <row r="60222" spans="1:26" ht="12.75" customHeight="1" x14ac:dyDescent="0.2">
      <c r="A60222" s="258"/>
      <c r="Z60222" s="258"/>
    </row>
    <row r="60223" spans="1:26" ht="12.75" customHeight="1" x14ac:dyDescent="0.2">
      <c r="A60223" s="258"/>
      <c r="Z60223" s="258"/>
    </row>
    <row r="60224" spans="1:26" ht="12.75" customHeight="1" x14ac:dyDescent="0.2">
      <c r="A60224" s="258"/>
      <c r="Z60224" s="258"/>
    </row>
    <row r="60225" spans="1:26" ht="12.75" customHeight="1" x14ac:dyDescent="0.2">
      <c r="A60225" s="258"/>
      <c r="Z60225" s="258"/>
    </row>
    <row r="60226" spans="1:26" ht="12.75" customHeight="1" x14ac:dyDescent="0.2">
      <c r="A60226" s="258"/>
      <c r="Z60226" s="258"/>
    </row>
    <row r="60227" spans="1:26" ht="12.75" customHeight="1" x14ac:dyDescent="0.2">
      <c r="A60227" s="258"/>
      <c r="Z60227" s="258"/>
    </row>
    <row r="60228" spans="1:26" ht="12.75" customHeight="1" x14ac:dyDescent="0.2">
      <c r="A60228" s="258"/>
      <c r="Z60228" s="258"/>
    </row>
    <row r="60229" spans="1:26" ht="12.75" customHeight="1" x14ac:dyDescent="0.2">
      <c r="A60229" s="258"/>
      <c r="Z60229" s="258"/>
    </row>
    <row r="60230" spans="1:26" ht="12.75" customHeight="1" x14ac:dyDescent="0.2">
      <c r="A60230" s="258"/>
      <c r="Z60230" s="258"/>
    </row>
    <row r="60231" spans="1:26" ht="12.75" customHeight="1" x14ac:dyDescent="0.2">
      <c r="A60231" s="258"/>
      <c r="Z60231" s="258"/>
    </row>
    <row r="60232" spans="1:26" ht="12.75" customHeight="1" x14ac:dyDescent="0.2">
      <c r="A60232" s="258"/>
      <c r="Z60232" s="258"/>
    </row>
    <row r="60233" spans="1:26" ht="12.75" customHeight="1" x14ac:dyDescent="0.2">
      <c r="A60233" s="258"/>
      <c r="Z60233" s="258"/>
    </row>
    <row r="60234" spans="1:26" ht="12.75" customHeight="1" x14ac:dyDescent="0.2">
      <c r="A60234" s="258"/>
      <c r="Z60234" s="258"/>
    </row>
    <row r="60235" spans="1:26" ht="12.75" customHeight="1" x14ac:dyDescent="0.2">
      <c r="A60235" s="258"/>
      <c r="Z60235" s="258"/>
    </row>
    <row r="60236" spans="1:26" ht="12.75" customHeight="1" x14ac:dyDescent="0.2">
      <c r="A60236" s="258"/>
      <c r="Z60236" s="258"/>
    </row>
    <row r="60237" spans="1:26" ht="12.75" customHeight="1" x14ac:dyDescent="0.2">
      <c r="A60237" s="258"/>
      <c r="Z60237" s="258"/>
    </row>
    <row r="60238" spans="1:26" ht="12.75" customHeight="1" x14ac:dyDescent="0.2">
      <c r="A60238" s="258"/>
      <c r="Z60238" s="258"/>
    </row>
    <row r="60239" spans="1:26" ht="12.75" customHeight="1" x14ac:dyDescent="0.2">
      <c r="A60239" s="258"/>
      <c r="Z60239" s="258"/>
    </row>
    <row r="60240" spans="1:26" ht="12.75" customHeight="1" x14ac:dyDescent="0.2">
      <c r="A60240" s="258"/>
      <c r="Z60240" s="258"/>
    </row>
    <row r="60241" spans="1:26" ht="12.75" customHeight="1" x14ac:dyDescent="0.2">
      <c r="A60241" s="258"/>
      <c r="Z60241" s="258"/>
    </row>
    <row r="60242" spans="1:26" ht="12.75" customHeight="1" x14ac:dyDescent="0.2">
      <c r="A60242" s="258"/>
      <c r="Z60242" s="258"/>
    </row>
    <row r="60243" spans="1:26" ht="12.75" customHeight="1" x14ac:dyDescent="0.2">
      <c r="A60243" s="258"/>
      <c r="Z60243" s="258"/>
    </row>
    <row r="60244" spans="1:26" ht="12.75" customHeight="1" x14ac:dyDescent="0.2">
      <c r="A60244" s="258"/>
      <c r="Z60244" s="258"/>
    </row>
    <row r="60245" spans="1:26" ht="12.75" customHeight="1" x14ac:dyDescent="0.2">
      <c r="A60245" s="258"/>
      <c r="Z60245" s="258"/>
    </row>
    <row r="60246" spans="1:26" ht="12.75" customHeight="1" x14ac:dyDescent="0.2">
      <c r="A60246" s="258"/>
      <c r="Z60246" s="258"/>
    </row>
    <row r="60247" spans="1:26" ht="12.75" customHeight="1" x14ac:dyDescent="0.2">
      <c r="A60247" s="258"/>
      <c r="Z60247" s="258"/>
    </row>
    <row r="60248" spans="1:26" ht="12.75" customHeight="1" x14ac:dyDescent="0.2">
      <c r="A60248" s="258"/>
      <c r="Z60248" s="258"/>
    </row>
    <row r="60249" spans="1:26" ht="12.75" customHeight="1" x14ac:dyDescent="0.2">
      <c r="A60249" s="258"/>
      <c r="Z60249" s="258"/>
    </row>
    <row r="60250" spans="1:26" ht="12.75" customHeight="1" x14ac:dyDescent="0.2">
      <c r="A60250" s="258"/>
      <c r="Z60250" s="258"/>
    </row>
    <row r="60251" spans="1:26" ht="12.75" customHeight="1" x14ac:dyDescent="0.2">
      <c r="A60251" s="258"/>
      <c r="Z60251" s="258"/>
    </row>
    <row r="60252" spans="1:26" ht="12.75" customHeight="1" x14ac:dyDescent="0.2">
      <c r="A60252" s="258"/>
      <c r="Z60252" s="258"/>
    </row>
    <row r="60253" spans="1:26" ht="12.75" customHeight="1" x14ac:dyDescent="0.2">
      <c r="A60253" s="258"/>
      <c r="Z60253" s="258"/>
    </row>
    <row r="60254" spans="1:26" ht="12.75" customHeight="1" x14ac:dyDescent="0.2">
      <c r="A60254" s="258"/>
      <c r="Z60254" s="258"/>
    </row>
    <row r="60255" spans="1:26" ht="12.75" customHeight="1" x14ac:dyDescent="0.2">
      <c r="A60255" s="258"/>
      <c r="Z60255" s="258"/>
    </row>
    <row r="60256" spans="1:26" ht="12.75" customHeight="1" x14ac:dyDescent="0.2">
      <c r="A60256" s="258"/>
      <c r="Z60256" s="258"/>
    </row>
    <row r="60257" spans="1:26" ht="12.75" customHeight="1" x14ac:dyDescent="0.2">
      <c r="A60257" s="258"/>
      <c r="Z60257" s="258"/>
    </row>
    <row r="60258" spans="1:26" ht="12.75" customHeight="1" x14ac:dyDescent="0.2">
      <c r="A60258" s="258"/>
      <c r="Z60258" s="258"/>
    </row>
    <row r="60259" spans="1:26" ht="12.75" customHeight="1" x14ac:dyDescent="0.2">
      <c r="A60259" s="258"/>
      <c r="Z60259" s="258"/>
    </row>
    <row r="60260" spans="1:26" ht="12.75" customHeight="1" x14ac:dyDescent="0.2">
      <c r="A60260" s="258"/>
      <c r="Z60260" s="258"/>
    </row>
    <row r="60261" spans="1:26" ht="12.75" customHeight="1" x14ac:dyDescent="0.2">
      <c r="A60261" s="258"/>
      <c r="Z60261" s="258"/>
    </row>
    <row r="60262" spans="1:26" ht="12.75" customHeight="1" x14ac:dyDescent="0.2">
      <c r="A60262" s="258"/>
      <c r="Z60262" s="258"/>
    </row>
    <row r="60263" spans="1:26" ht="12.75" customHeight="1" x14ac:dyDescent="0.2">
      <c r="A60263" s="258"/>
      <c r="Z60263" s="258"/>
    </row>
    <row r="60264" spans="1:26" ht="12.75" customHeight="1" x14ac:dyDescent="0.2">
      <c r="A60264" s="258"/>
      <c r="Z60264" s="258"/>
    </row>
    <row r="60265" spans="1:26" ht="12.75" customHeight="1" x14ac:dyDescent="0.2">
      <c r="A60265" s="258"/>
      <c r="Z60265" s="258"/>
    </row>
    <row r="60266" spans="1:26" ht="12.75" customHeight="1" x14ac:dyDescent="0.2">
      <c r="A60266" s="258"/>
      <c r="Z60266" s="258"/>
    </row>
    <row r="60267" spans="1:26" ht="12.75" customHeight="1" x14ac:dyDescent="0.2">
      <c r="A60267" s="258"/>
      <c r="Z60267" s="258"/>
    </row>
    <row r="60268" spans="1:26" ht="12.75" customHeight="1" x14ac:dyDescent="0.2">
      <c r="A60268" s="258"/>
      <c r="Z60268" s="258"/>
    </row>
    <row r="60269" spans="1:26" ht="12.75" customHeight="1" x14ac:dyDescent="0.2">
      <c r="A60269" s="258"/>
      <c r="Z60269" s="258"/>
    </row>
    <row r="60270" spans="1:26" ht="12.75" customHeight="1" x14ac:dyDescent="0.2">
      <c r="A60270" s="258"/>
      <c r="Z60270" s="258"/>
    </row>
    <row r="60271" spans="1:26" ht="12.75" customHeight="1" x14ac:dyDescent="0.2">
      <c r="A60271" s="258"/>
      <c r="Z60271" s="258"/>
    </row>
    <row r="60272" spans="1:26" ht="12.75" customHeight="1" x14ac:dyDescent="0.2">
      <c r="A60272" s="258"/>
      <c r="Z60272" s="258"/>
    </row>
    <row r="60273" spans="1:26" ht="12.75" customHeight="1" x14ac:dyDescent="0.2">
      <c r="A60273" s="258"/>
      <c r="Z60273" s="258"/>
    </row>
    <row r="60274" spans="1:26" ht="12.75" customHeight="1" x14ac:dyDescent="0.2">
      <c r="A60274" s="258"/>
      <c r="Z60274" s="258"/>
    </row>
    <row r="60275" spans="1:26" ht="12.75" customHeight="1" x14ac:dyDescent="0.2">
      <c r="A60275" s="258"/>
      <c r="Z60275" s="258"/>
    </row>
    <row r="60276" spans="1:26" ht="12.75" customHeight="1" x14ac:dyDescent="0.2">
      <c r="A60276" s="258"/>
      <c r="Z60276" s="258"/>
    </row>
    <row r="60277" spans="1:26" ht="12.75" customHeight="1" x14ac:dyDescent="0.2">
      <c r="A60277" s="258"/>
      <c r="Z60277" s="258"/>
    </row>
    <row r="60278" spans="1:26" ht="12.75" customHeight="1" x14ac:dyDescent="0.2">
      <c r="A60278" s="258"/>
      <c r="Z60278" s="258"/>
    </row>
    <row r="60279" spans="1:26" ht="12.75" customHeight="1" x14ac:dyDescent="0.2">
      <c r="A60279" s="258"/>
      <c r="Z60279" s="258"/>
    </row>
    <row r="60280" spans="1:26" ht="12.75" customHeight="1" x14ac:dyDescent="0.2">
      <c r="A60280" s="258"/>
      <c r="Z60280" s="258"/>
    </row>
    <row r="60281" spans="1:26" ht="12.75" customHeight="1" x14ac:dyDescent="0.2">
      <c r="A60281" s="258"/>
      <c r="Z60281" s="258"/>
    </row>
    <row r="60282" spans="1:26" ht="12.75" customHeight="1" x14ac:dyDescent="0.2">
      <c r="A60282" s="258"/>
      <c r="Z60282" s="258"/>
    </row>
    <row r="60283" spans="1:26" ht="12.75" customHeight="1" x14ac:dyDescent="0.2">
      <c r="A60283" s="258"/>
      <c r="Z60283" s="258"/>
    </row>
    <row r="60284" spans="1:26" ht="12.75" customHeight="1" x14ac:dyDescent="0.2">
      <c r="A60284" s="258"/>
      <c r="Z60284" s="258"/>
    </row>
    <row r="60285" spans="1:26" ht="12.75" customHeight="1" x14ac:dyDescent="0.2">
      <c r="A60285" s="258"/>
      <c r="Z60285" s="258"/>
    </row>
    <row r="60286" spans="1:26" ht="12.75" customHeight="1" x14ac:dyDescent="0.2">
      <c r="A60286" s="258"/>
      <c r="Z60286" s="258"/>
    </row>
    <row r="60287" spans="1:26" ht="12.75" customHeight="1" x14ac:dyDescent="0.2">
      <c r="A60287" s="258"/>
      <c r="Z60287" s="258"/>
    </row>
    <row r="60288" spans="1:26" ht="12.75" customHeight="1" x14ac:dyDescent="0.2">
      <c r="A60288" s="258"/>
      <c r="Z60288" s="258"/>
    </row>
    <row r="60289" spans="1:26" ht="12.75" customHeight="1" x14ac:dyDescent="0.2">
      <c r="A60289" s="258"/>
      <c r="Z60289" s="258"/>
    </row>
    <row r="60290" spans="1:26" ht="12.75" customHeight="1" x14ac:dyDescent="0.2">
      <c r="A60290" s="258"/>
      <c r="Z60290" s="258"/>
    </row>
    <row r="60291" spans="1:26" ht="12.75" customHeight="1" x14ac:dyDescent="0.2">
      <c r="A60291" s="258"/>
      <c r="Z60291" s="258"/>
    </row>
    <row r="60292" spans="1:26" ht="12.75" customHeight="1" x14ac:dyDescent="0.2">
      <c r="A60292" s="258"/>
      <c r="Z60292" s="258"/>
    </row>
    <row r="60293" spans="1:26" ht="12.75" customHeight="1" x14ac:dyDescent="0.2">
      <c r="A60293" s="258"/>
      <c r="Z60293" s="258"/>
    </row>
    <row r="60294" spans="1:26" ht="12.75" customHeight="1" x14ac:dyDescent="0.2">
      <c r="A60294" s="258"/>
      <c r="Z60294" s="258"/>
    </row>
    <row r="60295" spans="1:26" ht="12.75" customHeight="1" x14ac:dyDescent="0.2">
      <c r="A60295" s="258"/>
      <c r="Z60295" s="258"/>
    </row>
    <row r="60296" spans="1:26" ht="12.75" customHeight="1" x14ac:dyDescent="0.2">
      <c r="A60296" s="258"/>
      <c r="Z60296" s="258"/>
    </row>
    <row r="60297" spans="1:26" ht="12.75" customHeight="1" x14ac:dyDescent="0.2">
      <c r="A60297" s="258"/>
      <c r="Z60297" s="258"/>
    </row>
    <row r="60298" spans="1:26" ht="12.75" customHeight="1" x14ac:dyDescent="0.2">
      <c r="A60298" s="258"/>
      <c r="Z60298" s="258"/>
    </row>
    <row r="60299" spans="1:26" ht="12.75" customHeight="1" x14ac:dyDescent="0.2">
      <c r="A60299" s="258"/>
      <c r="Z60299" s="258"/>
    </row>
    <row r="60300" spans="1:26" ht="12.75" customHeight="1" x14ac:dyDescent="0.2">
      <c r="A60300" s="258"/>
      <c r="Z60300" s="258"/>
    </row>
    <row r="60301" spans="1:26" ht="12.75" customHeight="1" x14ac:dyDescent="0.2">
      <c r="A60301" s="258"/>
      <c r="Z60301" s="258"/>
    </row>
    <row r="60302" spans="1:26" ht="12.75" customHeight="1" x14ac:dyDescent="0.2">
      <c r="A60302" s="258"/>
      <c r="Z60302" s="258"/>
    </row>
    <row r="60303" spans="1:26" ht="12.75" customHeight="1" x14ac:dyDescent="0.2">
      <c r="A60303" s="258"/>
      <c r="Z60303" s="258"/>
    </row>
    <row r="60304" spans="1:26" ht="12.75" customHeight="1" x14ac:dyDescent="0.2">
      <c r="A60304" s="258"/>
      <c r="Z60304" s="258"/>
    </row>
    <row r="60305" spans="1:26" ht="12.75" customHeight="1" x14ac:dyDescent="0.2">
      <c r="A60305" s="258"/>
      <c r="Z60305" s="258"/>
    </row>
    <row r="60306" spans="1:26" ht="12.75" customHeight="1" x14ac:dyDescent="0.2">
      <c r="A60306" s="258"/>
      <c r="Z60306" s="258"/>
    </row>
    <row r="60307" spans="1:26" ht="12.75" customHeight="1" x14ac:dyDescent="0.2">
      <c r="A60307" s="258"/>
      <c r="Z60307" s="258"/>
    </row>
    <row r="60308" spans="1:26" ht="12.75" customHeight="1" x14ac:dyDescent="0.2">
      <c r="A60308" s="258"/>
      <c r="Z60308" s="258"/>
    </row>
    <row r="60309" spans="1:26" ht="12.75" customHeight="1" x14ac:dyDescent="0.2">
      <c r="A60309" s="258"/>
      <c r="Z60309" s="258"/>
    </row>
    <row r="60310" spans="1:26" ht="12.75" customHeight="1" x14ac:dyDescent="0.2">
      <c r="A60310" s="258"/>
      <c r="Z60310" s="258"/>
    </row>
    <row r="60311" spans="1:26" ht="12.75" customHeight="1" x14ac:dyDescent="0.2">
      <c r="A60311" s="258"/>
      <c r="Z60311" s="258"/>
    </row>
    <row r="60312" spans="1:26" ht="12.75" customHeight="1" x14ac:dyDescent="0.2">
      <c r="A60312" s="258"/>
      <c r="Z60312" s="258"/>
    </row>
    <row r="60313" spans="1:26" ht="12.75" customHeight="1" x14ac:dyDescent="0.2">
      <c r="A60313" s="258"/>
      <c r="Z60313" s="258"/>
    </row>
    <row r="60314" spans="1:26" ht="12.75" customHeight="1" x14ac:dyDescent="0.2">
      <c r="A60314" s="258"/>
      <c r="Z60314" s="258"/>
    </row>
    <row r="60315" spans="1:26" ht="12.75" customHeight="1" x14ac:dyDescent="0.2">
      <c r="A60315" s="258"/>
      <c r="Z60315" s="258"/>
    </row>
    <row r="60316" spans="1:26" ht="12.75" customHeight="1" x14ac:dyDescent="0.2">
      <c r="A60316" s="258"/>
      <c r="Z60316" s="258"/>
    </row>
    <row r="60317" spans="1:26" ht="12.75" customHeight="1" x14ac:dyDescent="0.2">
      <c r="A60317" s="258"/>
      <c r="Z60317" s="258"/>
    </row>
    <row r="60318" spans="1:26" ht="12.75" customHeight="1" x14ac:dyDescent="0.2">
      <c r="A60318" s="258"/>
      <c r="Z60318" s="258"/>
    </row>
    <row r="60319" spans="1:26" ht="12.75" customHeight="1" x14ac:dyDescent="0.2">
      <c r="A60319" s="258"/>
      <c r="Z60319" s="258"/>
    </row>
    <row r="60320" spans="1:26" ht="12.75" customHeight="1" x14ac:dyDescent="0.2">
      <c r="A60320" s="258"/>
      <c r="Z60320" s="258"/>
    </row>
    <row r="60321" spans="1:26" ht="12.75" customHeight="1" x14ac:dyDescent="0.2">
      <c r="A60321" s="258"/>
      <c r="Z60321" s="258"/>
    </row>
    <row r="60322" spans="1:26" ht="12.75" customHeight="1" x14ac:dyDescent="0.2">
      <c r="A60322" s="258"/>
      <c r="Z60322" s="258"/>
    </row>
    <row r="60323" spans="1:26" ht="12.75" customHeight="1" x14ac:dyDescent="0.2">
      <c r="A60323" s="258"/>
      <c r="Z60323" s="258"/>
    </row>
    <row r="60324" spans="1:26" ht="12.75" customHeight="1" x14ac:dyDescent="0.2">
      <c r="A60324" s="258"/>
      <c r="Z60324" s="258"/>
    </row>
    <row r="60325" spans="1:26" ht="12.75" customHeight="1" x14ac:dyDescent="0.2">
      <c r="A60325" s="258"/>
      <c r="Z60325" s="258"/>
    </row>
    <row r="60326" spans="1:26" ht="12.75" customHeight="1" x14ac:dyDescent="0.2">
      <c r="A60326" s="258"/>
      <c r="Z60326" s="258"/>
    </row>
    <row r="60327" spans="1:26" ht="12.75" customHeight="1" x14ac:dyDescent="0.2">
      <c r="A60327" s="258"/>
      <c r="Z60327" s="258"/>
    </row>
    <row r="60328" spans="1:26" ht="12.75" customHeight="1" x14ac:dyDescent="0.2">
      <c r="A60328" s="258"/>
      <c r="Z60328" s="258"/>
    </row>
    <row r="60329" spans="1:26" ht="12.75" customHeight="1" x14ac:dyDescent="0.2">
      <c r="A60329" s="258"/>
      <c r="Z60329" s="258"/>
    </row>
    <row r="60330" spans="1:26" ht="12.75" customHeight="1" x14ac:dyDescent="0.2">
      <c r="A60330" s="258"/>
      <c r="Z60330" s="258"/>
    </row>
    <row r="60331" spans="1:26" ht="12.75" customHeight="1" x14ac:dyDescent="0.2">
      <c r="A60331" s="258"/>
      <c r="Z60331" s="258"/>
    </row>
    <row r="60332" spans="1:26" ht="12.75" customHeight="1" x14ac:dyDescent="0.2">
      <c r="A60332" s="258"/>
      <c r="Z60332" s="258"/>
    </row>
    <row r="60333" spans="1:26" ht="12.75" customHeight="1" x14ac:dyDescent="0.2">
      <c r="A60333" s="258"/>
      <c r="Z60333" s="258"/>
    </row>
    <row r="60334" spans="1:26" ht="12.75" customHeight="1" x14ac:dyDescent="0.2">
      <c r="A60334" s="258"/>
      <c r="Z60334" s="258"/>
    </row>
    <row r="60335" spans="1:26" ht="12.75" customHeight="1" x14ac:dyDescent="0.2">
      <c r="A60335" s="258"/>
      <c r="Z60335" s="258"/>
    </row>
    <row r="60336" spans="1:26" ht="12.75" customHeight="1" x14ac:dyDescent="0.2">
      <c r="A60336" s="258"/>
      <c r="Z60336" s="258"/>
    </row>
    <row r="60337" spans="1:26" ht="12.75" customHeight="1" x14ac:dyDescent="0.2">
      <c r="A60337" s="258"/>
      <c r="Z60337" s="258"/>
    </row>
    <row r="60338" spans="1:26" ht="12.75" customHeight="1" x14ac:dyDescent="0.2">
      <c r="A60338" s="258"/>
      <c r="Z60338" s="258"/>
    </row>
    <row r="60339" spans="1:26" ht="12.75" customHeight="1" x14ac:dyDescent="0.2">
      <c r="A60339" s="258"/>
      <c r="Z60339" s="258"/>
    </row>
    <row r="60340" spans="1:26" ht="12.75" customHeight="1" x14ac:dyDescent="0.2">
      <c r="A60340" s="258"/>
      <c r="Z60340" s="258"/>
    </row>
    <row r="60341" spans="1:26" ht="12.75" customHeight="1" x14ac:dyDescent="0.2">
      <c r="A60341" s="258"/>
      <c r="Z60341" s="258"/>
    </row>
    <row r="60342" spans="1:26" ht="12.75" customHeight="1" x14ac:dyDescent="0.2">
      <c r="A60342" s="258"/>
      <c r="Z60342" s="258"/>
    </row>
    <row r="60343" spans="1:26" ht="12.75" customHeight="1" x14ac:dyDescent="0.2">
      <c r="A60343" s="258"/>
      <c r="Z60343" s="258"/>
    </row>
    <row r="60344" spans="1:26" ht="12.75" customHeight="1" x14ac:dyDescent="0.2">
      <c r="A60344" s="258"/>
      <c r="Z60344" s="258"/>
    </row>
    <row r="60345" spans="1:26" ht="12.75" customHeight="1" x14ac:dyDescent="0.2">
      <c r="A60345" s="258"/>
      <c r="Z60345" s="258"/>
    </row>
    <row r="60346" spans="1:26" ht="12.75" customHeight="1" x14ac:dyDescent="0.2">
      <c r="A60346" s="258"/>
      <c r="Z60346" s="258"/>
    </row>
    <row r="60347" spans="1:26" ht="12.75" customHeight="1" x14ac:dyDescent="0.2">
      <c r="A60347" s="258"/>
      <c r="Z60347" s="258"/>
    </row>
    <row r="60348" spans="1:26" ht="12.75" customHeight="1" x14ac:dyDescent="0.2">
      <c r="A60348" s="258"/>
      <c r="Z60348" s="258"/>
    </row>
    <row r="60349" spans="1:26" ht="12.75" customHeight="1" x14ac:dyDescent="0.2">
      <c r="A60349" s="258"/>
      <c r="Z60349" s="258"/>
    </row>
    <row r="60350" spans="1:26" ht="12.75" customHeight="1" x14ac:dyDescent="0.2">
      <c r="A60350" s="258"/>
      <c r="Z60350" s="258"/>
    </row>
    <row r="60351" spans="1:26" ht="12.75" customHeight="1" x14ac:dyDescent="0.2">
      <c r="A60351" s="258"/>
      <c r="Z60351" s="258"/>
    </row>
    <row r="60352" spans="1:26" ht="12.75" customHeight="1" x14ac:dyDescent="0.2">
      <c r="A60352" s="258"/>
      <c r="Z60352" s="258"/>
    </row>
    <row r="60353" spans="1:26" ht="12.75" customHeight="1" x14ac:dyDescent="0.2">
      <c r="A60353" s="258"/>
      <c r="Z60353" s="258"/>
    </row>
    <row r="60354" spans="1:26" ht="12.75" customHeight="1" x14ac:dyDescent="0.2">
      <c r="A60354" s="258"/>
      <c r="Z60354" s="258"/>
    </row>
    <row r="60355" spans="1:26" ht="12.75" customHeight="1" x14ac:dyDescent="0.2">
      <c r="A60355" s="258"/>
      <c r="Z60355" s="258"/>
    </row>
    <row r="60356" spans="1:26" ht="12.75" customHeight="1" x14ac:dyDescent="0.2">
      <c r="A60356" s="258"/>
      <c r="Z60356" s="258"/>
    </row>
    <row r="60357" spans="1:26" ht="12.75" customHeight="1" x14ac:dyDescent="0.2">
      <c r="A60357" s="258"/>
      <c r="Z60357" s="258"/>
    </row>
    <row r="60358" spans="1:26" ht="12.75" customHeight="1" x14ac:dyDescent="0.2">
      <c r="A60358" s="258"/>
      <c r="Z60358" s="258"/>
    </row>
    <row r="60359" spans="1:26" ht="12.75" customHeight="1" x14ac:dyDescent="0.2">
      <c r="A60359" s="258"/>
      <c r="Z60359" s="258"/>
    </row>
    <row r="60360" spans="1:26" ht="12.75" customHeight="1" x14ac:dyDescent="0.2">
      <c r="A60360" s="258"/>
      <c r="Z60360" s="258"/>
    </row>
    <row r="60361" spans="1:26" ht="12.75" customHeight="1" x14ac:dyDescent="0.2">
      <c r="A60361" s="258"/>
      <c r="Z60361" s="258"/>
    </row>
    <row r="60362" spans="1:26" ht="12.75" customHeight="1" x14ac:dyDescent="0.2">
      <c r="A60362" s="258"/>
      <c r="Z60362" s="258"/>
    </row>
    <row r="60363" spans="1:26" ht="12.75" customHeight="1" x14ac:dyDescent="0.2">
      <c r="A60363" s="258"/>
      <c r="Z60363" s="258"/>
    </row>
    <row r="60364" spans="1:26" ht="12.75" customHeight="1" x14ac:dyDescent="0.2">
      <c r="A60364" s="258"/>
      <c r="Z60364" s="258"/>
    </row>
    <row r="60365" spans="1:26" ht="12.75" customHeight="1" x14ac:dyDescent="0.2">
      <c r="A60365" s="258"/>
      <c r="Z60365" s="258"/>
    </row>
    <row r="60366" spans="1:26" ht="12.75" customHeight="1" x14ac:dyDescent="0.2">
      <c r="A60366" s="258"/>
      <c r="Z60366" s="258"/>
    </row>
    <row r="60367" spans="1:26" ht="12.75" customHeight="1" x14ac:dyDescent="0.2">
      <c r="A60367" s="258"/>
      <c r="Z60367" s="258"/>
    </row>
    <row r="60368" spans="1:26" ht="12.75" customHeight="1" x14ac:dyDescent="0.2">
      <c r="A60368" s="258"/>
      <c r="Z60368" s="258"/>
    </row>
    <row r="60369" spans="1:26" ht="12.75" customHeight="1" x14ac:dyDescent="0.2">
      <c r="A60369" s="258"/>
      <c r="Z60369" s="258"/>
    </row>
    <row r="60370" spans="1:26" ht="12.75" customHeight="1" x14ac:dyDescent="0.2">
      <c r="A60370" s="258"/>
      <c r="Z60370" s="258"/>
    </row>
    <row r="60371" spans="1:26" ht="12.75" customHeight="1" x14ac:dyDescent="0.2">
      <c r="A60371" s="258"/>
      <c r="Z60371" s="258"/>
    </row>
    <row r="60372" spans="1:26" ht="12.75" customHeight="1" x14ac:dyDescent="0.2">
      <c r="A60372" s="258"/>
      <c r="Z60372" s="258"/>
    </row>
    <row r="60373" spans="1:26" ht="12.75" customHeight="1" x14ac:dyDescent="0.2">
      <c r="A60373" s="258"/>
      <c r="Z60373" s="258"/>
    </row>
    <row r="60374" spans="1:26" ht="12.75" customHeight="1" x14ac:dyDescent="0.2">
      <c r="A60374" s="258"/>
      <c r="Z60374" s="258"/>
    </row>
    <row r="60375" spans="1:26" ht="12.75" customHeight="1" x14ac:dyDescent="0.2">
      <c r="A60375" s="258"/>
      <c r="Z60375" s="258"/>
    </row>
    <row r="60376" spans="1:26" ht="12.75" customHeight="1" x14ac:dyDescent="0.2">
      <c r="A60376" s="258"/>
      <c r="Z60376" s="258"/>
    </row>
    <row r="60377" spans="1:26" ht="12.75" customHeight="1" x14ac:dyDescent="0.2">
      <c r="A60377" s="258"/>
      <c r="Z60377" s="258"/>
    </row>
    <row r="60378" spans="1:26" ht="12.75" customHeight="1" x14ac:dyDescent="0.2">
      <c r="A60378" s="258"/>
      <c r="Z60378" s="258"/>
    </row>
    <row r="60379" spans="1:26" ht="12.75" customHeight="1" x14ac:dyDescent="0.2">
      <c r="A60379" s="258"/>
      <c r="Z60379" s="258"/>
    </row>
    <row r="60380" spans="1:26" ht="12.75" customHeight="1" x14ac:dyDescent="0.2">
      <c r="A60380" s="258"/>
      <c r="Z60380" s="258"/>
    </row>
    <row r="60381" spans="1:26" ht="12.75" customHeight="1" x14ac:dyDescent="0.2">
      <c r="A60381" s="258"/>
      <c r="Z60381" s="258"/>
    </row>
    <row r="60382" spans="1:26" ht="12.75" customHeight="1" x14ac:dyDescent="0.2">
      <c r="A60382" s="258"/>
      <c r="Z60382" s="258"/>
    </row>
    <row r="60383" spans="1:26" ht="12.75" customHeight="1" x14ac:dyDescent="0.2">
      <c r="A60383" s="258"/>
      <c r="Z60383" s="258"/>
    </row>
    <row r="60384" spans="1:26" ht="12.75" customHeight="1" x14ac:dyDescent="0.2">
      <c r="A60384" s="258"/>
      <c r="Z60384" s="258"/>
    </row>
    <row r="60385" spans="1:26" ht="12.75" customHeight="1" x14ac:dyDescent="0.2">
      <c r="A60385" s="258"/>
      <c r="Z60385" s="258"/>
    </row>
    <row r="60386" spans="1:26" ht="12.75" customHeight="1" x14ac:dyDescent="0.2">
      <c r="A60386" s="258"/>
      <c r="Z60386" s="258"/>
    </row>
    <row r="60387" spans="1:26" ht="12.75" customHeight="1" x14ac:dyDescent="0.2">
      <c r="A60387" s="258"/>
      <c r="Z60387" s="258"/>
    </row>
    <row r="60388" spans="1:26" ht="12.75" customHeight="1" x14ac:dyDescent="0.2">
      <c r="A60388" s="258"/>
      <c r="Z60388" s="258"/>
    </row>
    <row r="60389" spans="1:26" ht="12.75" customHeight="1" x14ac:dyDescent="0.2">
      <c r="A60389" s="258"/>
      <c r="Z60389" s="258"/>
    </row>
    <row r="60390" spans="1:26" ht="12.75" customHeight="1" x14ac:dyDescent="0.2">
      <c r="A60390" s="258"/>
      <c r="Z60390" s="258"/>
    </row>
    <row r="60391" spans="1:26" ht="12.75" customHeight="1" x14ac:dyDescent="0.2">
      <c r="A60391" s="258"/>
      <c r="Z60391" s="258"/>
    </row>
    <row r="60392" spans="1:26" ht="12.75" customHeight="1" x14ac:dyDescent="0.2">
      <c r="A60392" s="258"/>
      <c r="Z60392" s="258"/>
    </row>
    <row r="60393" spans="1:26" ht="12.75" customHeight="1" x14ac:dyDescent="0.2">
      <c r="A60393" s="258"/>
      <c r="Z60393" s="258"/>
    </row>
    <row r="60394" spans="1:26" ht="12.75" customHeight="1" x14ac:dyDescent="0.2">
      <c r="A60394" s="258"/>
      <c r="Z60394" s="258"/>
    </row>
    <row r="60395" spans="1:26" ht="12.75" customHeight="1" x14ac:dyDescent="0.2">
      <c r="A60395" s="258"/>
      <c r="Z60395" s="258"/>
    </row>
    <row r="60396" spans="1:26" ht="12.75" customHeight="1" x14ac:dyDescent="0.2">
      <c r="A60396" s="258"/>
      <c r="Z60396" s="258"/>
    </row>
    <row r="60397" spans="1:26" ht="12.75" customHeight="1" x14ac:dyDescent="0.2">
      <c r="A60397" s="258"/>
      <c r="Z60397" s="258"/>
    </row>
    <row r="60398" spans="1:26" ht="12.75" customHeight="1" x14ac:dyDescent="0.2">
      <c r="A60398" s="258"/>
      <c r="Z60398" s="258"/>
    </row>
    <row r="60399" spans="1:26" ht="12.75" customHeight="1" x14ac:dyDescent="0.2">
      <c r="A60399" s="258"/>
      <c r="Z60399" s="258"/>
    </row>
    <row r="60400" spans="1:26" ht="12.75" customHeight="1" x14ac:dyDescent="0.2">
      <c r="A60400" s="258"/>
      <c r="Z60400" s="258"/>
    </row>
    <row r="60401" spans="1:26" ht="12.75" customHeight="1" x14ac:dyDescent="0.2">
      <c r="A60401" s="258"/>
      <c r="Z60401" s="258"/>
    </row>
    <row r="60402" spans="1:26" ht="12.75" customHeight="1" x14ac:dyDescent="0.2">
      <c r="A60402" s="258"/>
      <c r="Z60402" s="258"/>
    </row>
    <row r="60403" spans="1:26" ht="12.75" customHeight="1" x14ac:dyDescent="0.2">
      <c r="A60403" s="258"/>
      <c r="Z60403" s="258"/>
    </row>
    <row r="60404" spans="1:26" ht="12.75" customHeight="1" x14ac:dyDescent="0.2">
      <c r="A60404" s="258"/>
      <c r="Z60404" s="258"/>
    </row>
    <row r="60405" spans="1:26" ht="12.75" customHeight="1" x14ac:dyDescent="0.2">
      <c r="A60405" s="258"/>
      <c r="Z60405" s="258"/>
    </row>
    <row r="60406" spans="1:26" ht="12.75" customHeight="1" x14ac:dyDescent="0.2">
      <c r="A60406" s="258"/>
      <c r="Z60406" s="258"/>
    </row>
    <row r="60407" spans="1:26" ht="12.75" customHeight="1" x14ac:dyDescent="0.2">
      <c r="A60407" s="258"/>
      <c r="Z60407" s="258"/>
    </row>
    <row r="60408" spans="1:26" ht="12.75" customHeight="1" x14ac:dyDescent="0.2">
      <c r="A60408" s="258"/>
      <c r="Z60408" s="258"/>
    </row>
    <row r="60409" spans="1:26" ht="12.75" customHeight="1" x14ac:dyDescent="0.2">
      <c r="A60409" s="258"/>
      <c r="Z60409" s="258"/>
    </row>
    <row r="60410" spans="1:26" ht="12.75" customHeight="1" x14ac:dyDescent="0.2">
      <c r="A60410" s="258"/>
      <c r="Z60410" s="258"/>
    </row>
    <row r="60411" spans="1:26" ht="12.75" customHeight="1" x14ac:dyDescent="0.2">
      <c r="A60411" s="258"/>
      <c r="Z60411" s="258"/>
    </row>
    <row r="60412" spans="1:26" ht="12.75" customHeight="1" x14ac:dyDescent="0.2">
      <c r="A60412" s="258"/>
      <c r="Z60412" s="258"/>
    </row>
    <row r="60413" spans="1:26" ht="12.75" customHeight="1" x14ac:dyDescent="0.2">
      <c r="A60413" s="258"/>
      <c r="Z60413" s="258"/>
    </row>
    <row r="60414" spans="1:26" ht="12.75" customHeight="1" x14ac:dyDescent="0.2">
      <c r="A60414" s="258"/>
      <c r="Z60414" s="258"/>
    </row>
    <row r="60415" spans="1:26" ht="12.75" customHeight="1" x14ac:dyDescent="0.2">
      <c r="A60415" s="258"/>
      <c r="Z60415" s="258"/>
    </row>
    <row r="60416" spans="1:26" ht="12.75" customHeight="1" x14ac:dyDescent="0.2">
      <c r="A60416" s="258"/>
      <c r="Z60416" s="258"/>
    </row>
    <row r="60417" spans="1:26" ht="12.75" customHeight="1" x14ac:dyDescent="0.2">
      <c r="A60417" s="258"/>
      <c r="Z60417" s="258"/>
    </row>
    <row r="60418" spans="1:26" ht="12.75" customHeight="1" x14ac:dyDescent="0.2">
      <c r="A60418" s="258"/>
      <c r="Z60418" s="258"/>
    </row>
    <row r="60419" spans="1:26" ht="12.75" customHeight="1" x14ac:dyDescent="0.2">
      <c r="A60419" s="258"/>
      <c r="Z60419" s="258"/>
    </row>
    <row r="60420" spans="1:26" ht="12.75" customHeight="1" x14ac:dyDescent="0.2">
      <c r="A60420" s="258"/>
      <c r="Z60420" s="258"/>
    </row>
    <row r="60421" spans="1:26" ht="12.75" customHeight="1" x14ac:dyDescent="0.2">
      <c r="A60421" s="258"/>
      <c r="Z60421" s="258"/>
    </row>
    <row r="60422" spans="1:26" ht="12.75" customHeight="1" x14ac:dyDescent="0.2">
      <c r="A60422" s="258"/>
      <c r="Z60422" s="258"/>
    </row>
    <row r="60423" spans="1:26" ht="12.75" customHeight="1" x14ac:dyDescent="0.2">
      <c r="A60423" s="258"/>
      <c r="Z60423" s="258"/>
    </row>
    <row r="60424" spans="1:26" ht="12.75" customHeight="1" x14ac:dyDescent="0.2">
      <c r="A60424" s="258"/>
      <c r="Z60424" s="258"/>
    </row>
    <row r="60425" spans="1:26" ht="12.75" customHeight="1" x14ac:dyDescent="0.2">
      <c r="A60425" s="258"/>
      <c r="Z60425" s="258"/>
    </row>
    <row r="60426" spans="1:26" ht="12.75" customHeight="1" x14ac:dyDescent="0.2">
      <c r="A60426" s="258"/>
      <c r="Z60426" s="258"/>
    </row>
    <row r="60427" spans="1:26" ht="12.75" customHeight="1" x14ac:dyDescent="0.2">
      <c r="A60427" s="258"/>
      <c r="Z60427" s="258"/>
    </row>
    <row r="60428" spans="1:26" ht="12.75" customHeight="1" x14ac:dyDescent="0.2">
      <c r="A60428" s="258"/>
      <c r="Z60428" s="258"/>
    </row>
    <row r="60429" spans="1:26" ht="12.75" customHeight="1" x14ac:dyDescent="0.2">
      <c r="A60429" s="258"/>
      <c r="Z60429" s="258"/>
    </row>
    <row r="60430" spans="1:26" ht="12.75" customHeight="1" x14ac:dyDescent="0.2">
      <c r="A60430" s="258"/>
      <c r="Z60430" s="258"/>
    </row>
    <row r="60431" spans="1:26" ht="12.75" customHeight="1" x14ac:dyDescent="0.2">
      <c r="A60431" s="258"/>
      <c r="Z60431" s="258"/>
    </row>
    <row r="60432" spans="1:26" ht="12.75" customHeight="1" x14ac:dyDescent="0.2">
      <c r="A60432" s="258"/>
      <c r="Z60432" s="258"/>
    </row>
    <row r="60433" spans="1:26" ht="12.75" customHeight="1" x14ac:dyDescent="0.2">
      <c r="A60433" s="258"/>
      <c r="Z60433" s="258"/>
    </row>
    <row r="60434" spans="1:26" ht="12.75" customHeight="1" x14ac:dyDescent="0.2">
      <c r="A60434" s="258"/>
      <c r="Z60434" s="258"/>
    </row>
    <row r="60435" spans="1:26" ht="12.75" customHeight="1" x14ac:dyDescent="0.2">
      <c r="A60435" s="258"/>
      <c r="Z60435" s="258"/>
    </row>
    <row r="60436" spans="1:26" ht="12.75" customHeight="1" x14ac:dyDescent="0.2">
      <c r="A60436" s="258"/>
      <c r="Z60436" s="258"/>
    </row>
    <row r="60437" spans="1:26" ht="12.75" customHeight="1" x14ac:dyDescent="0.2">
      <c r="A60437" s="258"/>
      <c r="Z60437" s="258"/>
    </row>
    <row r="60438" spans="1:26" ht="12.75" customHeight="1" x14ac:dyDescent="0.2">
      <c r="A60438" s="258"/>
      <c r="Z60438" s="258"/>
    </row>
    <row r="60439" spans="1:26" ht="12.75" customHeight="1" x14ac:dyDescent="0.2">
      <c r="A60439" s="258"/>
      <c r="Z60439" s="258"/>
    </row>
    <row r="60440" spans="1:26" ht="12.75" customHeight="1" x14ac:dyDescent="0.2">
      <c r="A60440" s="258"/>
      <c r="Z60440" s="258"/>
    </row>
    <row r="60441" spans="1:26" ht="12.75" customHeight="1" x14ac:dyDescent="0.2">
      <c r="A60441" s="258"/>
      <c r="Z60441" s="258"/>
    </row>
    <row r="60442" spans="1:26" ht="12.75" customHeight="1" x14ac:dyDescent="0.2">
      <c r="A60442" s="258"/>
      <c r="Z60442" s="258"/>
    </row>
    <row r="60443" spans="1:26" ht="12.75" customHeight="1" x14ac:dyDescent="0.2">
      <c r="A60443" s="258"/>
      <c r="Z60443" s="258"/>
    </row>
    <row r="60444" spans="1:26" ht="12.75" customHeight="1" x14ac:dyDescent="0.2">
      <c r="A60444" s="258"/>
      <c r="Z60444" s="258"/>
    </row>
    <row r="60445" spans="1:26" ht="12.75" customHeight="1" x14ac:dyDescent="0.2">
      <c r="A60445" s="258"/>
      <c r="Z60445" s="258"/>
    </row>
    <row r="60446" spans="1:26" ht="12.75" customHeight="1" x14ac:dyDescent="0.2">
      <c r="A60446" s="258"/>
      <c r="Z60446" s="258"/>
    </row>
    <row r="60447" spans="1:26" ht="12.75" customHeight="1" x14ac:dyDescent="0.2">
      <c r="A60447" s="258"/>
      <c r="Z60447" s="258"/>
    </row>
    <row r="60448" spans="1:26" ht="12.75" customHeight="1" x14ac:dyDescent="0.2">
      <c r="A60448" s="258"/>
      <c r="Z60448" s="258"/>
    </row>
    <row r="60449" spans="1:26" ht="12.75" customHeight="1" x14ac:dyDescent="0.2">
      <c r="A60449" s="258"/>
      <c r="Z60449" s="258"/>
    </row>
    <row r="60450" spans="1:26" ht="12.75" customHeight="1" x14ac:dyDescent="0.2">
      <c r="A60450" s="258"/>
      <c r="Z60450" s="258"/>
    </row>
    <row r="60451" spans="1:26" ht="12.75" customHeight="1" x14ac:dyDescent="0.2">
      <c r="A60451" s="258"/>
      <c r="Z60451" s="258"/>
    </row>
    <row r="60452" spans="1:26" ht="12.75" customHeight="1" x14ac:dyDescent="0.2">
      <c r="A60452" s="258"/>
      <c r="Z60452" s="258"/>
    </row>
    <row r="60453" spans="1:26" ht="12.75" customHeight="1" x14ac:dyDescent="0.2">
      <c r="A60453" s="258"/>
      <c r="Z60453" s="258"/>
    </row>
    <row r="60454" spans="1:26" ht="12.75" customHeight="1" x14ac:dyDescent="0.2">
      <c r="A60454" s="258"/>
      <c r="Z60454" s="258"/>
    </row>
    <row r="60455" spans="1:26" ht="12.75" customHeight="1" x14ac:dyDescent="0.2">
      <c r="A60455" s="258"/>
      <c r="Z60455" s="258"/>
    </row>
    <row r="60456" spans="1:26" ht="12.75" customHeight="1" x14ac:dyDescent="0.2">
      <c r="A60456" s="258"/>
      <c r="Z60456" s="258"/>
    </row>
    <row r="60457" spans="1:26" ht="12.75" customHeight="1" x14ac:dyDescent="0.2">
      <c r="A60457" s="258"/>
      <c r="Z60457" s="258"/>
    </row>
    <row r="60458" spans="1:26" ht="12.75" customHeight="1" x14ac:dyDescent="0.2">
      <c r="A60458" s="258"/>
      <c r="Z60458" s="258"/>
    </row>
    <row r="60459" spans="1:26" ht="12.75" customHeight="1" x14ac:dyDescent="0.2">
      <c r="A60459" s="258"/>
      <c r="Z60459" s="258"/>
    </row>
    <row r="60460" spans="1:26" ht="12.75" customHeight="1" x14ac:dyDescent="0.2">
      <c r="A60460" s="258"/>
      <c r="Z60460" s="258"/>
    </row>
    <row r="60461" spans="1:26" ht="12.75" customHeight="1" x14ac:dyDescent="0.2">
      <c r="A60461" s="258"/>
      <c r="Z60461" s="258"/>
    </row>
    <row r="60462" spans="1:26" ht="12.75" customHeight="1" x14ac:dyDescent="0.2">
      <c r="A60462" s="258"/>
      <c r="Z60462" s="258"/>
    </row>
    <row r="60463" spans="1:26" ht="12.75" customHeight="1" x14ac:dyDescent="0.2">
      <c r="A60463" s="258"/>
      <c r="Z60463" s="258"/>
    </row>
    <row r="60464" spans="1:26" ht="12.75" customHeight="1" x14ac:dyDescent="0.2">
      <c r="A60464" s="258"/>
      <c r="Z60464" s="258"/>
    </row>
    <row r="60465" spans="1:26" ht="12.75" customHeight="1" x14ac:dyDescent="0.2">
      <c r="A60465" s="258"/>
      <c r="Z60465" s="258"/>
    </row>
    <row r="60466" spans="1:26" ht="12.75" customHeight="1" x14ac:dyDescent="0.2">
      <c r="A60466" s="258"/>
      <c r="Z60466" s="258"/>
    </row>
    <row r="60467" spans="1:26" ht="12.75" customHeight="1" x14ac:dyDescent="0.2">
      <c r="A60467" s="258"/>
      <c r="Z60467" s="258"/>
    </row>
    <row r="60468" spans="1:26" ht="12.75" customHeight="1" x14ac:dyDescent="0.2">
      <c r="A60468" s="258"/>
      <c r="Z60468" s="258"/>
    </row>
    <row r="60469" spans="1:26" ht="12.75" customHeight="1" x14ac:dyDescent="0.2">
      <c r="A60469" s="258"/>
      <c r="Z60469" s="258"/>
    </row>
    <row r="60470" spans="1:26" ht="12.75" customHeight="1" x14ac:dyDescent="0.2">
      <c r="A60470" s="258"/>
      <c r="Z60470" s="258"/>
    </row>
    <row r="60471" spans="1:26" ht="12.75" customHeight="1" x14ac:dyDescent="0.2">
      <c r="A60471" s="258"/>
      <c r="Z60471" s="258"/>
    </row>
    <row r="60472" spans="1:26" ht="12.75" customHeight="1" x14ac:dyDescent="0.2">
      <c r="A60472" s="258"/>
      <c r="Z60472" s="258"/>
    </row>
    <row r="60473" spans="1:26" ht="12.75" customHeight="1" x14ac:dyDescent="0.2">
      <c r="A60473" s="258"/>
      <c r="Z60473" s="258"/>
    </row>
    <row r="60474" spans="1:26" ht="12.75" customHeight="1" x14ac:dyDescent="0.2">
      <c r="A60474" s="258"/>
      <c r="Z60474" s="258"/>
    </row>
    <row r="60475" spans="1:26" ht="12.75" customHeight="1" x14ac:dyDescent="0.2">
      <c r="A60475" s="258"/>
      <c r="Z60475" s="258"/>
    </row>
    <row r="60476" spans="1:26" ht="12.75" customHeight="1" x14ac:dyDescent="0.2">
      <c r="A60476" s="258"/>
      <c r="Z60476" s="258"/>
    </row>
    <row r="60477" spans="1:26" ht="12.75" customHeight="1" x14ac:dyDescent="0.2">
      <c r="A60477" s="258"/>
      <c r="Z60477" s="258"/>
    </row>
    <row r="60478" spans="1:26" ht="12.75" customHeight="1" x14ac:dyDescent="0.2">
      <c r="A60478" s="258"/>
      <c r="Z60478" s="258"/>
    </row>
    <row r="60479" spans="1:26" ht="12.75" customHeight="1" x14ac:dyDescent="0.2">
      <c r="A60479" s="258"/>
      <c r="Z60479" s="258"/>
    </row>
    <row r="60480" spans="1:26" ht="12.75" customHeight="1" x14ac:dyDescent="0.2">
      <c r="A60480" s="258"/>
      <c r="Z60480" s="258"/>
    </row>
    <row r="60481" spans="1:26" ht="12.75" customHeight="1" x14ac:dyDescent="0.2">
      <c r="A60481" s="258"/>
      <c r="Z60481" s="258"/>
    </row>
    <row r="60482" spans="1:26" ht="12.75" customHeight="1" x14ac:dyDescent="0.2">
      <c r="A60482" s="258"/>
      <c r="Z60482" s="258"/>
    </row>
    <row r="60483" spans="1:26" ht="12.75" customHeight="1" x14ac:dyDescent="0.2">
      <c r="A60483" s="258"/>
      <c r="Z60483" s="258"/>
    </row>
    <row r="60484" spans="1:26" ht="12.75" customHeight="1" x14ac:dyDescent="0.2">
      <c r="A60484" s="258"/>
      <c r="Z60484" s="258"/>
    </row>
    <row r="60485" spans="1:26" ht="12.75" customHeight="1" x14ac:dyDescent="0.2">
      <c r="A60485" s="258"/>
      <c r="Z60485" s="258"/>
    </row>
    <row r="60486" spans="1:26" ht="12.75" customHeight="1" x14ac:dyDescent="0.2">
      <c r="A60486" s="258"/>
      <c r="Z60486" s="258"/>
    </row>
    <row r="60487" spans="1:26" ht="12.75" customHeight="1" x14ac:dyDescent="0.2">
      <c r="A60487" s="258"/>
      <c r="Z60487" s="258"/>
    </row>
    <row r="60488" spans="1:26" ht="12.75" customHeight="1" x14ac:dyDescent="0.2">
      <c r="A60488" s="258"/>
      <c r="Z60488" s="258"/>
    </row>
    <row r="60489" spans="1:26" ht="12.75" customHeight="1" x14ac:dyDescent="0.2">
      <c r="A60489" s="258"/>
      <c r="Z60489" s="258"/>
    </row>
    <row r="60490" spans="1:26" ht="12.75" customHeight="1" x14ac:dyDescent="0.2">
      <c r="A60490" s="258"/>
      <c r="Z60490" s="258"/>
    </row>
    <row r="60491" spans="1:26" ht="12.75" customHeight="1" x14ac:dyDescent="0.2">
      <c r="A60491" s="258"/>
      <c r="Z60491" s="258"/>
    </row>
    <row r="60492" spans="1:26" ht="12.75" customHeight="1" x14ac:dyDescent="0.2">
      <c r="A60492" s="258"/>
      <c r="Z60492" s="258"/>
    </row>
    <row r="60493" spans="1:26" ht="12.75" customHeight="1" x14ac:dyDescent="0.2">
      <c r="A60493" s="258"/>
      <c r="Z60493" s="258"/>
    </row>
    <row r="60494" spans="1:26" ht="12.75" customHeight="1" x14ac:dyDescent="0.2">
      <c r="A60494" s="258"/>
      <c r="Z60494" s="258"/>
    </row>
    <row r="60495" spans="1:26" ht="12.75" customHeight="1" x14ac:dyDescent="0.2">
      <c r="A60495" s="258"/>
      <c r="Z60495" s="258"/>
    </row>
    <row r="60496" spans="1:26" ht="12.75" customHeight="1" x14ac:dyDescent="0.2">
      <c r="A60496" s="258"/>
      <c r="Z60496" s="258"/>
    </row>
    <row r="60497" spans="1:26" ht="12.75" customHeight="1" x14ac:dyDescent="0.2">
      <c r="A60497" s="258"/>
      <c r="Z60497" s="258"/>
    </row>
    <row r="60498" spans="1:26" ht="12.75" customHeight="1" x14ac:dyDescent="0.2">
      <c r="A60498" s="258"/>
      <c r="Z60498" s="258"/>
    </row>
    <row r="60499" spans="1:26" ht="12.75" customHeight="1" x14ac:dyDescent="0.2">
      <c r="A60499" s="258"/>
      <c r="Z60499" s="258"/>
    </row>
    <row r="60500" spans="1:26" ht="12.75" customHeight="1" x14ac:dyDescent="0.2">
      <c r="A60500" s="258"/>
      <c r="Z60500" s="258"/>
    </row>
    <row r="60501" spans="1:26" ht="12.75" customHeight="1" x14ac:dyDescent="0.2">
      <c r="A60501" s="258"/>
      <c r="Z60501" s="258"/>
    </row>
    <row r="60502" spans="1:26" ht="12.75" customHeight="1" x14ac:dyDescent="0.2">
      <c r="A60502" s="258"/>
      <c r="Z60502" s="258"/>
    </row>
    <row r="60503" spans="1:26" ht="12.75" customHeight="1" x14ac:dyDescent="0.2">
      <c r="A60503" s="258"/>
      <c r="Z60503" s="258"/>
    </row>
    <row r="60504" spans="1:26" ht="12.75" customHeight="1" x14ac:dyDescent="0.2">
      <c r="A60504" s="258"/>
      <c r="Z60504" s="258"/>
    </row>
    <row r="60505" spans="1:26" ht="12.75" customHeight="1" x14ac:dyDescent="0.2">
      <c r="A60505" s="258"/>
      <c r="Z60505" s="258"/>
    </row>
    <row r="60506" spans="1:26" ht="12.75" customHeight="1" x14ac:dyDescent="0.2">
      <c r="A60506" s="258"/>
      <c r="Z60506" s="258"/>
    </row>
    <row r="60507" spans="1:26" ht="12.75" customHeight="1" x14ac:dyDescent="0.2">
      <c r="A60507" s="258"/>
      <c r="Z60507" s="258"/>
    </row>
    <row r="60508" spans="1:26" ht="12.75" customHeight="1" x14ac:dyDescent="0.2">
      <c r="A60508" s="258"/>
      <c r="Z60508" s="258"/>
    </row>
    <row r="60509" spans="1:26" ht="12.75" customHeight="1" x14ac:dyDescent="0.2">
      <c r="A60509" s="258"/>
      <c r="Z60509" s="258"/>
    </row>
    <row r="60510" spans="1:26" ht="12.75" customHeight="1" x14ac:dyDescent="0.2">
      <c r="A60510" s="258"/>
      <c r="Z60510" s="258"/>
    </row>
    <row r="60511" spans="1:26" ht="12.75" customHeight="1" x14ac:dyDescent="0.2">
      <c r="A60511" s="258"/>
      <c r="Z60511" s="258"/>
    </row>
    <row r="60512" spans="1:26" ht="12.75" customHeight="1" x14ac:dyDescent="0.2">
      <c r="A60512" s="258"/>
      <c r="Z60512" s="258"/>
    </row>
    <row r="60513" spans="1:26" ht="12.75" customHeight="1" x14ac:dyDescent="0.2">
      <c r="A60513" s="258"/>
      <c r="Z60513" s="258"/>
    </row>
    <row r="60514" spans="1:26" ht="12.75" customHeight="1" x14ac:dyDescent="0.2">
      <c r="A60514" s="258"/>
      <c r="Z60514" s="258"/>
    </row>
    <row r="60515" spans="1:26" ht="12.75" customHeight="1" x14ac:dyDescent="0.2">
      <c r="A60515" s="258"/>
      <c r="Z60515" s="258"/>
    </row>
    <row r="60516" spans="1:26" ht="12.75" customHeight="1" x14ac:dyDescent="0.2">
      <c r="A60516" s="258"/>
      <c r="Z60516" s="258"/>
    </row>
    <row r="60517" spans="1:26" ht="12.75" customHeight="1" x14ac:dyDescent="0.2">
      <c r="A60517" s="258"/>
      <c r="Z60517" s="258"/>
    </row>
    <row r="60518" spans="1:26" ht="12.75" customHeight="1" x14ac:dyDescent="0.2">
      <c r="A60518" s="258"/>
      <c r="Z60518" s="258"/>
    </row>
    <row r="60519" spans="1:26" ht="12.75" customHeight="1" x14ac:dyDescent="0.2">
      <c r="A60519" s="258"/>
      <c r="Z60519" s="258"/>
    </row>
    <row r="60520" spans="1:26" ht="12.75" customHeight="1" x14ac:dyDescent="0.2">
      <c r="A60520" s="258"/>
      <c r="Z60520" s="258"/>
    </row>
    <row r="60521" spans="1:26" ht="12.75" customHeight="1" x14ac:dyDescent="0.2">
      <c r="A60521" s="258"/>
      <c r="Z60521" s="258"/>
    </row>
    <row r="60522" spans="1:26" ht="12.75" customHeight="1" x14ac:dyDescent="0.2">
      <c r="A60522" s="258"/>
      <c r="Z60522" s="258"/>
    </row>
    <row r="60523" spans="1:26" ht="12.75" customHeight="1" x14ac:dyDescent="0.2">
      <c r="A60523" s="258"/>
      <c r="Z60523" s="258"/>
    </row>
    <row r="60524" spans="1:26" ht="12.75" customHeight="1" x14ac:dyDescent="0.2">
      <c r="A60524" s="258"/>
      <c r="Z60524" s="258"/>
    </row>
    <row r="60525" spans="1:26" ht="12.75" customHeight="1" x14ac:dyDescent="0.2">
      <c r="A60525" s="258"/>
      <c r="Z60525" s="258"/>
    </row>
    <row r="60526" spans="1:26" ht="12.75" customHeight="1" x14ac:dyDescent="0.2">
      <c r="A60526" s="258"/>
      <c r="Z60526" s="258"/>
    </row>
    <row r="60527" spans="1:26" ht="12.75" customHeight="1" x14ac:dyDescent="0.2">
      <c r="A60527" s="258"/>
      <c r="Z60527" s="258"/>
    </row>
    <row r="60528" spans="1:26" ht="12.75" customHeight="1" x14ac:dyDescent="0.2">
      <c r="A60528" s="258"/>
      <c r="Z60528" s="258"/>
    </row>
    <row r="60529" spans="1:26" ht="12.75" customHeight="1" x14ac:dyDescent="0.2">
      <c r="A60529" s="258"/>
      <c r="Z60529" s="258"/>
    </row>
    <row r="60530" spans="1:26" ht="12.75" customHeight="1" x14ac:dyDescent="0.2">
      <c r="A60530" s="258"/>
      <c r="Z60530" s="258"/>
    </row>
    <row r="60531" spans="1:26" ht="12.75" customHeight="1" x14ac:dyDescent="0.2">
      <c r="A60531" s="258"/>
      <c r="Z60531" s="258"/>
    </row>
    <row r="60532" spans="1:26" ht="12.75" customHeight="1" x14ac:dyDescent="0.2">
      <c r="A60532" s="258"/>
      <c r="Z60532" s="258"/>
    </row>
    <row r="60533" spans="1:26" ht="12.75" customHeight="1" x14ac:dyDescent="0.2">
      <c r="A60533" s="258"/>
      <c r="Z60533" s="258"/>
    </row>
    <row r="60534" spans="1:26" ht="12.75" customHeight="1" x14ac:dyDescent="0.2">
      <c r="A60534" s="258"/>
      <c r="Z60534" s="258"/>
    </row>
    <row r="60535" spans="1:26" ht="12.75" customHeight="1" x14ac:dyDescent="0.2">
      <c r="A60535" s="258"/>
      <c r="Z60535" s="258"/>
    </row>
    <row r="60536" spans="1:26" ht="12.75" customHeight="1" x14ac:dyDescent="0.2">
      <c r="A60536" s="258"/>
      <c r="Z60536" s="258"/>
    </row>
    <row r="60537" spans="1:26" ht="12.75" customHeight="1" x14ac:dyDescent="0.2">
      <c r="A60537" s="258"/>
      <c r="Z60537" s="258"/>
    </row>
    <row r="60538" spans="1:26" ht="12.75" customHeight="1" x14ac:dyDescent="0.2">
      <c r="A60538" s="258"/>
      <c r="Z60538" s="258"/>
    </row>
    <row r="60539" spans="1:26" ht="12.75" customHeight="1" x14ac:dyDescent="0.2">
      <c r="A60539" s="258"/>
      <c r="Z60539" s="258"/>
    </row>
    <row r="60540" spans="1:26" ht="12.75" customHeight="1" x14ac:dyDescent="0.2">
      <c r="A60540" s="258"/>
      <c r="Z60540" s="258"/>
    </row>
    <row r="60541" spans="1:26" ht="12.75" customHeight="1" x14ac:dyDescent="0.2">
      <c r="A60541" s="258"/>
      <c r="Z60541" s="258"/>
    </row>
    <row r="60542" spans="1:26" ht="12.75" customHeight="1" x14ac:dyDescent="0.2">
      <c r="A60542" s="258"/>
      <c r="Z60542" s="258"/>
    </row>
    <row r="60543" spans="1:26" ht="12.75" customHeight="1" x14ac:dyDescent="0.2">
      <c r="A60543" s="258"/>
      <c r="Z60543" s="258"/>
    </row>
    <row r="60544" spans="1:26" ht="12.75" customHeight="1" x14ac:dyDescent="0.2">
      <c r="A60544" s="258"/>
      <c r="Z60544" s="258"/>
    </row>
    <row r="60545" spans="1:26" ht="12.75" customHeight="1" x14ac:dyDescent="0.2">
      <c r="A60545" s="258"/>
      <c r="Z60545" s="258"/>
    </row>
    <row r="60546" spans="1:26" ht="12.75" customHeight="1" x14ac:dyDescent="0.2">
      <c r="A60546" s="258"/>
      <c r="Z60546" s="258"/>
    </row>
    <row r="60547" spans="1:26" ht="12.75" customHeight="1" x14ac:dyDescent="0.2">
      <c r="A60547" s="258"/>
      <c r="Z60547" s="258"/>
    </row>
    <row r="60548" spans="1:26" ht="12.75" customHeight="1" x14ac:dyDescent="0.2">
      <c r="A60548" s="258"/>
      <c r="Z60548" s="258"/>
    </row>
    <row r="60549" spans="1:26" ht="12.75" customHeight="1" x14ac:dyDescent="0.2">
      <c r="A60549" s="258"/>
      <c r="Z60549" s="258"/>
    </row>
    <row r="60550" spans="1:26" ht="12.75" customHeight="1" x14ac:dyDescent="0.2">
      <c r="A60550" s="258"/>
      <c r="Z60550" s="258"/>
    </row>
    <row r="60551" spans="1:26" ht="12.75" customHeight="1" x14ac:dyDescent="0.2">
      <c r="A60551" s="258"/>
      <c r="Z60551" s="258"/>
    </row>
    <row r="60552" spans="1:26" ht="12.75" customHeight="1" x14ac:dyDescent="0.2">
      <c r="A60552" s="258"/>
      <c r="Z60552" s="258"/>
    </row>
    <row r="60553" spans="1:26" ht="12.75" customHeight="1" x14ac:dyDescent="0.2">
      <c r="A60553" s="258"/>
      <c r="Z60553" s="258"/>
    </row>
    <row r="60554" spans="1:26" ht="12.75" customHeight="1" x14ac:dyDescent="0.2">
      <c r="A60554" s="258"/>
      <c r="Z60554" s="258"/>
    </row>
    <row r="60555" spans="1:26" ht="12.75" customHeight="1" x14ac:dyDescent="0.2">
      <c r="A60555" s="258"/>
      <c r="Z60555" s="258"/>
    </row>
    <row r="60556" spans="1:26" ht="12.75" customHeight="1" x14ac:dyDescent="0.2">
      <c r="A60556" s="258"/>
      <c r="Z60556" s="258"/>
    </row>
    <row r="60557" spans="1:26" ht="12.75" customHeight="1" x14ac:dyDescent="0.2">
      <c r="A60557" s="258"/>
      <c r="Z60557" s="258"/>
    </row>
    <row r="60558" spans="1:26" ht="12.75" customHeight="1" x14ac:dyDescent="0.2">
      <c r="A60558" s="258"/>
      <c r="Z60558" s="258"/>
    </row>
    <row r="60559" spans="1:26" ht="12.75" customHeight="1" x14ac:dyDescent="0.2">
      <c r="A60559" s="258"/>
      <c r="Z60559" s="258"/>
    </row>
    <row r="60560" spans="1:26" ht="12.75" customHeight="1" x14ac:dyDescent="0.2">
      <c r="A60560" s="258"/>
      <c r="Z60560" s="258"/>
    </row>
    <row r="60561" spans="1:26" ht="12.75" customHeight="1" x14ac:dyDescent="0.2">
      <c r="A60561" s="258"/>
      <c r="Z60561" s="258"/>
    </row>
    <row r="60562" spans="1:26" ht="12.75" customHeight="1" x14ac:dyDescent="0.2">
      <c r="A60562" s="258"/>
      <c r="Z60562" s="258"/>
    </row>
    <row r="60563" spans="1:26" ht="12.75" customHeight="1" x14ac:dyDescent="0.2">
      <c r="A60563" s="258"/>
      <c r="Z60563" s="258"/>
    </row>
    <row r="60564" spans="1:26" ht="12.75" customHeight="1" x14ac:dyDescent="0.2">
      <c r="A60564" s="258"/>
      <c r="Z60564" s="258"/>
    </row>
    <row r="60565" spans="1:26" ht="12.75" customHeight="1" x14ac:dyDescent="0.2">
      <c r="A60565" s="258"/>
      <c r="Z60565" s="258"/>
    </row>
    <row r="60566" spans="1:26" ht="12.75" customHeight="1" x14ac:dyDescent="0.2">
      <c r="A60566" s="258"/>
      <c r="Z60566" s="258"/>
    </row>
    <row r="60567" spans="1:26" ht="12.75" customHeight="1" x14ac:dyDescent="0.2">
      <c r="A60567" s="258"/>
      <c r="Z60567" s="258"/>
    </row>
    <row r="60568" spans="1:26" ht="12.75" customHeight="1" x14ac:dyDescent="0.2">
      <c r="A60568" s="258"/>
      <c r="Z60568" s="258"/>
    </row>
    <row r="60569" spans="1:26" ht="12.75" customHeight="1" x14ac:dyDescent="0.2">
      <c r="A60569" s="258"/>
      <c r="Z60569" s="258"/>
    </row>
    <row r="60570" spans="1:26" ht="12.75" customHeight="1" x14ac:dyDescent="0.2">
      <c r="A60570" s="258"/>
      <c r="Z60570" s="258"/>
    </row>
    <row r="60571" spans="1:26" ht="12.75" customHeight="1" x14ac:dyDescent="0.2">
      <c r="A60571" s="258"/>
      <c r="Z60571" s="258"/>
    </row>
    <row r="60572" spans="1:26" ht="12.75" customHeight="1" x14ac:dyDescent="0.2">
      <c r="A60572" s="258"/>
      <c r="Z60572" s="258"/>
    </row>
    <row r="60573" spans="1:26" ht="12.75" customHeight="1" x14ac:dyDescent="0.2">
      <c r="A60573" s="258"/>
      <c r="Z60573" s="258"/>
    </row>
    <row r="60574" spans="1:26" ht="12.75" customHeight="1" x14ac:dyDescent="0.2">
      <c r="A60574" s="258"/>
      <c r="Z60574" s="258"/>
    </row>
    <row r="60575" spans="1:26" ht="12.75" customHeight="1" x14ac:dyDescent="0.2">
      <c r="A60575" s="258"/>
      <c r="Z60575" s="258"/>
    </row>
    <row r="60576" spans="1:26" ht="12.75" customHeight="1" x14ac:dyDescent="0.2">
      <c r="A60576" s="258"/>
      <c r="Z60576" s="258"/>
    </row>
    <row r="60577" spans="1:26" ht="12.75" customHeight="1" x14ac:dyDescent="0.2">
      <c r="A60577" s="258"/>
      <c r="Z60577" s="258"/>
    </row>
    <row r="60578" spans="1:26" ht="12.75" customHeight="1" x14ac:dyDescent="0.2">
      <c r="A60578" s="258"/>
      <c r="Z60578" s="258"/>
    </row>
    <row r="60579" spans="1:26" ht="12.75" customHeight="1" x14ac:dyDescent="0.2">
      <c r="A60579" s="258"/>
      <c r="Z60579" s="258"/>
    </row>
    <row r="60580" spans="1:26" ht="12.75" customHeight="1" x14ac:dyDescent="0.2">
      <c r="A60580" s="258"/>
      <c r="Z60580" s="258"/>
    </row>
    <row r="60581" spans="1:26" ht="12.75" customHeight="1" x14ac:dyDescent="0.2">
      <c r="A60581" s="258"/>
      <c r="Z60581" s="258"/>
    </row>
    <row r="60582" spans="1:26" ht="12.75" customHeight="1" x14ac:dyDescent="0.2">
      <c r="A60582" s="258"/>
      <c r="Z60582" s="258"/>
    </row>
    <row r="60583" spans="1:26" ht="12.75" customHeight="1" x14ac:dyDescent="0.2">
      <c r="A60583" s="258"/>
      <c r="Z60583" s="258"/>
    </row>
    <row r="60584" spans="1:26" ht="12.75" customHeight="1" x14ac:dyDescent="0.2">
      <c r="A60584" s="258"/>
      <c r="Z60584" s="258"/>
    </row>
    <row r="60585" spans="1:26" ht="12.75" customHeight="1" x14ac:dyDescent="0.2">
      <c r="A60585" s="258"/>
      <c r="Z60585" s="258"/>
    </row>
    <row r="60586" spans="1:26" ht="12.75" customHeight="1" x14ac:dyDescent="0.2">
      <c r="A60586" s="258"/>
      <c r="Z60586" s="258"/>
    </row>
    <row r="60587" spans="1:26" ht="12.75" customHeight="1" x14ac:dyDescent="0.2">
      <c r="A60587" s="258"/>
      <c r="Z60587" s="258"/>
    </row>
    <row r="60588" spans="1:26" ht="12.75" customHeight="1" x14ac:dyDescent="0.2">
      <c r="A60588" s="258"/>
      <c r="Z60588" s="258"/>
    </row>
    <row r="60589" spans="1:26" ht="12.75" customHeight="1" x14ac:dyDescent="0.2">
      <c r="A60589" s="258"/>
      <c r="Z60589" s="258"/>
    </row>
    <row r="60590" spans="1:26" ht="12.75" customHeight="1" x14ac:dyDescent="0.2">
      <c r="A60590" s="258"/>
      <c r="Z60590" s="258"/>
    </row>
    <row r="60591" spans="1:26" ht="12.75" customHeight="1" x14ac:dyDescent="0.2">
      <c r="A60591" s="258"/>
      <c r="Z60591" s="258"/>
    </row>
    <row r="60592" spans="1:26" ht="12.75" customHeight="1" x14ac:dyDescent="0.2">
      <c r="A60592" s="258"/>
      <c r="Z60592" s="258"/>
    </row>
    <row r="60593" spans="1:26" ht="12.75" customHeight="1" x14ac:dyDescent="0.2">
      <c r="A60593" s="258"/>
      <c r="Z60593" s="258"/>
    </row>
    <row r="60594" spans="1:26" ht="12.75" customHeight="1" x14ac:dyDescent="0.2">
      <c r="A60594" s="258"/>
      <c r="Z60594" s="258"/>
    </row>
    <row r="60595" spans="1:26" ht="12.75" customHeight="1" x14ac:dyDescent="0.2">
      <c r="A60595" s="258"/>
      <c r="Z60595" s="258"/>
    </row>
    <row r="60596" spans="1:26" ht="12.75" customHeight="1" x14ac:dyDescent="0.2">
      <c r="A60596" s="258"/>
      <c r="Z60596" s="258"/>
    </row>
    <row r="60597" spans="1:26" ht="12.75" customHeight="1" x14ac:dyDescent="0.2">
      <c r="A60597" s="258"/>
      <c r="Z60597" s="258"/>
    </row>
    <row r="60598" spans="1:26" ht="12.75" customHeight="1" x14ac:dyDescent="0.2">
      <c r="A60598" s="258"/>
      <c r="Z60598" s="258"/>
    </row>
    <row r="60599" spans="1:26" ht="12.75" customHeight="1" x14ac:dyDescent="0.2">
      <c r="A60599" s="258"/>
      <c r="Z60599" s="258"/>
    </row>
    <row r="60600" spans="1:26" ht="12.75" customHeight="1" x14ac:dyDescent="0.2">
      <c r="A60600" s="258"/>
      <c r="Z60600" s="258"/>
    </row>
    <row r="60601" spans="1:26" ht="12.75" customHeight="1" x14ac:dyDescent="0.2">
      <c r="A60601" s="258"/>
      <c r="Z60601" s="258"/>
    </row>
    <row r="60602" spans="1:26" ht="12.75" customHeight="1" x14ac:dyDescent="0.2">
      <c r="A60602" s="258"/>
      <c r="Z60602" s="258"/>
    </row>
    <row r="60603" spans="1:26" ht="12.75" customHeight="1" x14ac:dyDescent="0.2">
      <c r="A60603" s="258"/>
      <c r="Z60603" s="258"/>
    </row>
    <row r="60604" spans="1:26" ht="12.75" customHeight="1" x14ac:dyDescent="0.2">
      <c r="A60604" s="258"/>
      <c r="Z60604" s="258"/>
    </row>
    <row r="60605" spans="1:26" ht="12.75" customHeight="1" x14ac:dyDescent="0.2">
      <c r="A60605" s="258"/>
      <c r="Z60605" s="258"/>
    </row>
    <row r="60606" spans="1:26" ht="12.75" customHeight="1" x14ac:dyDescent="0.2">
      <c r="A60606" s="258"/>
      <c r="Z60606" s="258"/>
    </row>
    <row r="60607" spans="1:26" ht="12.75" customHeight="1" x14ac:dyDescent="0.2">
      <c r="A60607" s="258"/>
      <c r="Z60607" s="258"/>
    </row>
    <row r="60608" spans="1:26" ht="12.75" customHeight="1" x14ac:dyDescent="0.2">
      <c r="A60608" s="258"/>
      <c r="Z60608" s="258"/>
    </row>
    <row r="60609" spans="1:26" ht="12.75" customHeight="1" x14ac:dyDescent="0.2">
      <c r="A60609" s="258"/>
      <c r="Z60609" s="258"/>
    </row>
    <row r="60610" spans="1:26" ht="12.75" customHeight="1" x14ac:dyDescent="0.2">
      <c r="A60610" s="258"/>
      <c r="Z60610" s="258"/>
    </row>
    <row r="60611" spans="1:26" ht="12.75" customHeight="1" x14ac:dyDescent="0.2">
      <c r="A60611" s="258"/>
      <c r="Z60611" s="258"/>
    </row>
    <row r="60612" spans="1:26" ht="12.75" customHeight="1" x14ac:dyDescent="0.2">
      <c r="A60612" s="258"/>
      <c r="Z60612" s="258"/>
    </row>
    <row r="60613" spans="1:26" ht="12.75" customHeight="1" x14ac:dyDescent="0.2">
      <c r="A60613" s="258"/>
      <c r="Z60613" s="258"/>
    </row>
    <row r="60614" spans="1:26" ht="12.75" customHeight="1" x14ac:dyDescent="0.2">
      <c r="A60614" s="258"/>
      <c r="Z60614" s="258"/>
    </row>
    <row r="60615" spans="1:26" ht="12.75" customHeight="1" x14ac:dyDescent="0.2">
      <c r="A60615" s="258"/>
      <c r="Z60615" s="258"/>
    </row>
    <row r="60616" spans="1:26" ht="12.75" customHeight="1" x14ac:dyDescent="0.2">
      <c r="A60616" s="258"/>
      <c r="Z60616" s="258"/>
    </row>
    <row r="60617" spans="1:26" ht="12.75" customHeight="1" x14ac:dyDescent="0.2">
      <c r="A60617" s="258"/>
      <c r="Z60617" s="258"/>
    </row>
    <row r="60618" spans="1:26" ht="12.75" customHeight="1" x14ac:dyDescent="0.2">
      <c r="A60618" s="258"/>
      <c r="Z60618" s="258"/>
    </row>
    <row r="60619" spans="1:26" ht="12.75" customHeight="1" x14ac:dyDescent="0.2">
      <c r="A60619" s="258"/>
      <c r="Z60619" s="258"/>
    </row>
    <row r="60620" spans="1:26" ht="12.75" customHeight="1" x14ac:dyDescent="0.2">
      <c r="A60620" s="258"/>
      <c r="Z60620" s="258"/>
    </row>
    <row r="60621" spans="1:26" ht="12.75" customHeight="1" x14ac:dyDescent="0.2">
      <c r="A60621" s="258"/>
      <c r="Z60621" s="258"/>
    </row>
    <row r="60622" spans="1:26" ht="12.75" customHeight="1" x14ac:dyDescent="0.2">
      <c r="A60622" s="258"/>
      <c r="Z60622" s="258"/>
    </row>
    <row r="60623" spans="1:26" ht="12.75" customHeight="1" x14ac:dyDescent="0.2">
      <c r="A60623" s="258"/>
      <c r="Z60623" s="258"/>
    </row>
    <row r="60624" spans="1:26" ht="12.75" customHeight="1" x14ac:dyDescent="0.2">
      <c r="A60624" s="258"/>
      <c r="Z60624" s="258"/>
    </row>
    <row r="60625" spans="1:26" ht="12.75" customHeight="1" x14ac:dyDescent="0.2">
      <c r="A60625" s="258"/>
      <c r="Z60625" s="258"/>
    </row>
    <row r="60626" spans="1:26" ht="12.75" customHeight="1" x14ac:dyDescent="0.2">
      <c r="A60626" s="258"/>
      <c r="Z60626" s="258"/>
    </row>
    <row r="60627" spans="1:26" ht="12.75" customHeight="1" x14ac:dyDescent="0.2">
      <c r="A60627" s="258"/>
      <c r="Z60627" s="258"/>
    </row>
    <row r="60628" spans="1:26" ht="12.75" customHeight="1" x14ac:dyDescent="0.2">
      <c r="A60628" s="258"/>
      <c r="Z60628" s="258"/>
    </row>
    <row r="60629" spans="1:26" ht="12.75" customHeight="1" x14ac:dyDescent="0.2">
      <c r="A60629" s="258"/>
      <c r="Z60629" s="258"/>
    </row>
    <row r="60630" spans="1:26" ht="12.75" customHeight="1" x14ac:dyDescent="0.2">
      <c r="A60630" s="258"/>
      <c r="Z60630" s="258"/>
    </row>
    <row r="60631" spans="1:26" ht="12.75" customHeight="1" x14ac:dyDescent="0.2">
      <c r="A60631" s="258"/>
      <c r="Z60631" s="258"/>
    </row>
    <row r="60632" spans="1:26" ht="12.75" customHeight="1" x14ac:dyDescent="0.2">
      <c r="A60632" s="258"/>
      <c r="Z60632" s="258"/>
    </row>
    <row r="60633" spans="1:26" ht="12.75" customHeight="1" x14ac:dyDescent="0.2">
      <c r="A60633" s="258"/>
      <c r="Z60633" s="258"/>
    </row>
    <row r="60634" spans="1:26" ht="12.75" customHeight="1" x14ac:dyDescent="0.2">
      <c r="A60634" s="258"/>
      <c r="Z60634" s="258"/>
    </row>
    <row r="60635" spans="1:26" ht="12.75" customHeight="1" x14ac:dyDescent="0.2">
      <c r="A60635" s="258"/>
      <c r="Z60635" s="258"/>
    </row>
    <row r="60636" spans="1:26" ht="12.75" customHeight="1" x14ac:dyDescent="0.2">
      <c r="A60636" s="258"/>
      <c r="Z60636" s="258"/>
    </row>
    <row r="60637" spans="1:26" ht="12.75" customHeight="1" x14ac:dyDescent="0.2">
      <c r="A60637" s="258"/>
      <c r="Z60637" s="258"/>
    </row>
    <row r="60638" spans="1:26" ht="12.75" customHeight="1" x14ac:dyDescent="0.2">
      <c r="A60638" s="258"/>
      <c r="Z60638" s="258"/>
    </row>
    <row r="60639" spans="1:26" ht="12.75" customHeight="1" x14ac:dyDescent="0.2">
      <c r="A60639" s="258"/>
      <c r="Z60639" s="258"/>
    </row>
    <row r="60640" spans="1:26" ht="12.75" customHeight="1" x14ac:dyDescent="0.2">
      <c r="A60640" s="258"/>
      <c r="Z60640" s="258"/>
    </row>
    <row r="60641" spans="1:26" ht="12.75" customHeight="1" x14ac:dyDescent="0.2">
      <c r="A60641" s="258"/>
      <c r="Z60641" s="258"/>
    </row>
    <row r="60642" spans="1:26" ht="12.75" customHeight="1" x14ac:dyDescent="0.2">
      <c r="A60642" s="258"/>
      <c r="Z60642" s="258"/>
    </row>
    <row r="60643" spans="1:26" ht="12.75" customHeight="1" x14ac:dyDescent="0.2">
      <c r="A60643" s="258"/>
      <c r="Z60643" s="258"/>
    </row>
    <row r="60644" spans="1:26" ht="12.75" customHeight="1" x14ac:dyDescent="0.2">
      <c r="A60644" s="258"/>
      <c r="Z60644" s="258"/>
    </row>
    <row r="60645" spans="1:26" ht="12.75" customHeight="1" x14ac:dyDescent="0.2">
      <c r="A60645" s="258"/>
      <c r="Z60645" s="258"/>
    </row>
    <row r="60646" spans="1:26" ht="12.75" customHeight="1" x14ac:dyDescent="0.2">
      <c r="A60646" s="258"/>
      <c r="Z60646" s="258"/>
    </row>
    <row r="60647" spans="1:26" ht="12.75" customHeight="1" x14ac:dyDescent="0.2">
      <c r="A60647" s="258"/>
      <c r="Z60647" s="258"/>
    </row>
    <row r="60648" spans="1:26" ht="12.75" customHeight="1" x14ac:dyDescent="0.2">
      <c r="A60648" s="258"/>
      <c r="Z60648" s="258"/>
    </row>
    <row r="60649" spans="1:26" ht="12.75" customHeight="1" x14ac:dyDescent="0.2">
      <c r="A60649" s="258"/>
      <c r="Z60649" s="258"/>
    </row>
    <row r="60650" spans="1:26" ht="12.75" customHeight="1" x14ac:dyDescent="0.2">
      <c r="A60650" s="258"/>
      <c r="Z60650" s="258"/>
    </row>
    <row r="60651" spans="1:26" ht="12.75" customHeight="1" x14ac:dyDescent="0.2">
      <c r="A60651" s="258"/>
      <c r="Z60651" s="258"/>
    </row>
    <row r="60652" spans="1:26" ht="12.75" customHeight="1" x14ac:dyDescent="0.2">
      <c r="A60652" s="258"/>
      <c r="Z60652" s="258"/>
    </row>
    <row r="60653" spans="1:26" ht="12.75" customHeight="1" x14ac:dyDescent="0.2">
      <c r="A60653" s="258"/>
      <c r="Z60653" s="258"/>
    </row>
    <row r="60654" spans="1:26" ht="12.75" customHeight="1" x14ac:dyDescent="0.2">
      <c r="A60654" s="258"/>
      <c r="Z60654" s="258"/>
    </row>
    <row r="60655" spans="1:26" ht="12.75" customHeight="1" x14ac:dyDescent="0.2">
      <c r="A60655" s="258"/>
      <c r="Z60655" s="258"/>
    </row>
    <row r="60656" spans="1:26" ht="12.75" customHeight="1" x14ac:dyDescent="0.2">
      <c r="A60656" s="258"/>
      <c r="Z60656" s="258"/>
    </row>
    <row r="60657" spans="1:26" ht="12.75" customHeight="1" x14ac:dyDescent="0.2">
      <c r="A60657" s="258"/>
      <c r="Z60657" s="258"/>
    </row>
    <row r="60658" spans="1:26" ht="12.75" customHeight="1" x14ac:dyDescent="0.2">
      <c r="A60658" s="258"/>
      <c r="Z60658" s="258"/>
    </row>
    <row r="60659" spans="1:26" ht="12.75" customHeight="1" x14ac:dyDescent="0.2">
      <c r="A60659" s="258"/>
      <c r="Z60659" s="258"/>
    </row>
    <row r="60660" spans="1:26" ht="12.75" customHeight="1" x14ac:dyDescent="0.2">
      <c r="A60660" s="258"/>
      <c r="Z60660" s="258"/>
    </row>
    <row r="60661" spans="1:26" ht="12.75" customHeight="1" x14ac:dyDescent="0.2">
      <c r="A60661" s="258"/>
      <c r="Z60661" s="258"/>
    </row>
    <row r="60662" spans="1:26" ht="12.75" customHeight="1" x14ac:dyDescent="0.2">
      <c r="A60662" s="258"/>
      <c r="Z60662" s="258"/>
    </row>
    <row r="60663" spans="1:26" ht="12.75" customHeight="1" x14ac:dyDescent="0.2">
      <c r="A60663" s="258"/>
      <c r="Z60663" s="258"/>
    </row>
    <row r="60664" spans="1:26" ht="12.75" customHeight="1" x14ac:dyDescent="0.2">
      <c r="A60664" s="258"/>
      <c r="Z60664" s="258"/>
    </row>
    <row r="60665" spans="1:26" ht="12.75" customHeight="1" x14ac:dyDescent="0.2">
      <c r="A60665" s="258"/>
      <c r="Z60665" s="258"/>
    </row>
    <row r="60666" spans="1:26" ht="12.75" customHeight="1" x14ac:dyDescent="0.2">
      <c r="A60666" s="258"/>
      <c r="Z60666" s="258"/>
    </row>
    <row r="60667" spans="1:26" ht="12.75" customHeight="1" x14ac:dyDescent="0.2">
      <c r="A60667" s="258"/>
      <c r="Z60667" s="258"/>
    </row>
    <row r="60668" spans="1:26" ht="12.75" customHeight="1" x14ac:dyDescent="0.2">
      <c r="A60668" s="258"/>
      <c r="Z60668" s="258"/>
    </row>
    <row r="60669" spans="1:26" ht="12.75" customHeight="1" x14ac:dyDescent="0.2">
      <c r="A60669" s="258"/>
      <c r="Z60669" s="258"/>
    </row>
    <row r="60670" spans="1:26" ht="12.75" customHeight="1" x14ac:dyDescent="0.2">
      <c r="A60670" s="258"/>
      <c r="Z60670" s="258"/>
    </row>
    <row r="60671" spans="1:26" ht="12.75" customHeight="1" x14ac:dyDescent="0.2">
      <c r="A60671" s="258"/>
      <c r="Z60671" s="258"/>
    </row>
    <row r="60672" spans="1:26" ht="12.75" customHeight="1" x14ac:dyDescent="0.2">
      <c r="A60672" s="258"/>
      <c r="Z60672" s="258"/>
    </row>
    <row r="60673" spans="1:26" ht="12.75" customHeight="1" x14ac:dyDescent="0.2">
      <c r="A60673" s="258"/>
      <c r="Z60673" s="258"/>
    </row>
    <row r="60674" spans="1:26" ht="12.75" customHeight="1" x14ac:dyDescent="0.2">
      <c r="A60674" s="258"/>
      <c r="Z60674" s="258"/>
    </row>
    <row r="60675" spans="1:26" ht="12.75" customHeight="1" x14ac:dyDescent="0.2">
      <c r="A60675" s="258"/>
      <c r="Z60675" s="258"/>
    </row>
    <row r="60676" spans="1:26" ht="12.75" customHeight="1" x14ac:dyDescent="0.2">
      <c r="A60676" s="258"/>
      <c r="Z60676" s="258"/>
    </row>
    <row r="60677" spans="1:26" ht="12.75" customHeight="1" x14ac:dyDescent="0.2">
      <c r="A60677" s="258"/>
      <c r="Z60677" s="258"/>
    </row>
    <row r="60678" spans="1:26" ht="12.75" customHeight="1" x14ac:dyDescent="0.2">
      <c r="A60678" s="258"/>
      <c r="Z60678" s="258"/>
    </row>
    <row r="60679" spans="1:26" ht="12.75" customHeight="1" x14ac:dyDescent="0.2">
      <c r="A60679" s="258"/>
      <c r="Z60679" s="258"/>
    </row>
    <row r="60680" spans="1:26" ht="12.75" customHeight="1" x14ac:dyDescent="0.2">
      <c r="A60680" s="258"/>
      <c r="Z60680" s="258"/>
    </row>
    <row r="60681" spans="1:26" ht="12.75" customHeight="1" x14ac:dyDescent="0.2">
      <c r="A60681" s="258"/>
      <c r="Z60681" s="258"/>
    </row>
    <row r="60682" spans="1:26" ht="12.75" customHeight="1" x14ac:dyDescent="0.2">
      <c r="A60682" s="258"/>
      <c r="Z60682" s="258"/>
    </row>
    <row r="60683" spans="1:26" ht="12.75" customHeight="1" x14ac:dyDescent="0.2">
      <c r="A60683" s="258"/>
      <c r="Z60683" s="258"/>
    </row>
    <row r="60684" spans="1:26" ht="12.75" customHeight="1" x14ac:dyDescent="0.2">
      <c r="A60684" s="258"/>
      <c r="Z60684" s="258"/>
    </row>
    <row r="60685" spans="1:26" ht="12.75" customHeight="1" x14ac:dyDescent="0.2">
      <c r="A60685" s="258"/>
      <c r="Z60685" s="258"/>
    </row>
    <row r="60686" spans="1:26" ht="12.75" customHeight="1" x14ac:dyDescent="0.2">
      <c r="A60686" s="258"/>
      <c r="Z60686" s="258"/>
    </row>
    <row r="60687" spans="1:26" ht="12.75" customHeight="1" x14ac:dyDescent="0.2">
      <c r="A60687" s="258"/>
      <c r="Z60687" s="258"/>
    </row>
    <row r="60688" spans="1:26" ht="12.75" customHeight="1" x14ac:dyDescent="0.2">
      <c r="A60688" s="258"/>
      <c r="Z60688" s="258"/>
    </row>
    <row r="60689" spans="1:26" ht="12.75" customHeight="1" x14ac:dyDescent="0.2">
      <c r="A60689" s="258"/>
      <c r="Z60689" s="258"/>
    </row>
    <row r="60690" spans="1:26" ht="12.75" customHeight="1" x14ac:dyDescent="0.2">
      <c r="A60690" s="258"/>
      <c r="Z60690" s="258"/>
    </row>
    <row r="60691" spans="1:26" ht="12.75" customHeight="1" x14ac:dyDescent="0.2">
      <c r="A60691" s="258"/>
      <c r="Z60691" s="258"/>
    </row>
    <row r="60692" spans="1:26" ht="12.75" customHeight="1" x14ac:dyDescent="0.2">
      <c r="A60692" s="258"/>
      <c r="Z60692" s="258"/>
    </row>
    <row r="60693" spans="1:26" ht="12.75" customHeight="1" x14ac:dyDescent="0.2">
      <c r="A60693" s="258"/>
      <c r="Z60693" s="258"/>
    </row>
    <row r="60694" spans="1:26" ht="12.75" customHeight="1" x14ac:dyDescent="0.2">
      <c r="A60694" s="258"/>
      <c r="Z60694" s="258"/>
    </row>
    <row r="60695" spans="1:26" ht="12.75" customHeight="1" x14ac:dyDescent="0.2">
      <c r="A60695" s="258"/>
      <c r="Z60695" s="258"/>
    </row>
    <row r="60696" spans="1:26" ht="12.75" customHeight="1" x14ac:dyDescent="0.2">
      <c r="A60696" s="258"/>
      <c r="Z60696" s="258"/>
    </row>
    <row r="60697" spans="1:26" ht="12.75" customHeight="1" x14ac:dyDescent="0.2">
      <c r="A60697" s="258"/>
      <c r="Z60697" s="258"/>
    </row>
    <row r="60698" spans="1:26" ht="12.75" customHeight="1" x14ac:dyDescent="0.2">
      <c r="A60698" s="258"/>
      <c r="Z60698" s="258"/>
    </row>
    <row r="60699" spans="1:26" ht="12.75" customHeight="1" x14ac:dyDescent="0.2">
      <c r="A60699" s="258"/>
      <c r="Z60699" s="258"/>
    </row>
    <row r="60700" spans="1:26" ht="12.75" customHeight="1" x14ac:dyDescent="0.2">
      <c r="A60700" s="258"/>
      <c r="Z60700" s="258"/>
    </row>
    <row r="60701" spans="1:26" ht="12.75" customHeight="1" x14ac:dyDescent="0.2">
      <c r="A60701" s="258"/>
      <c r="Z60701" s="258"/>
    </row>
    <row r="60702" spans="1:26" ht="12.75" customHeight="1" x14ac:dyDescent="0.2">
      <c r="A60702" s="258"/>
      <c r="Z60702" s="258"/>
    </row>
    <row r="60703" spans="1:26" ht="12.75" customHeight="1" x14ac:dyDescent="0.2">
      <c r="A60703" s="258"/>
      <c r="Z60703" s="258"/>
    </row>
    <row r="60704" spans="1:26" ht="12.75" customHeight="1" x14ac:dyDescent="0.2">
      <c r="A60704" s="258"/>
      <c r="Z60704" s="258"/>
    </row>
    <row r="60705" spans="1:26" ht="12.75" customHeight="1" x14ac:dyDescent="0.2">
      <c r="A60705" s="258"/>
      <c r="Z60705" s="258"/>
    </row>
    <row r="60706" spans="1:26" ht="12.75" customHeight="1" x14ac:dyDescent="0.2">
      <c r="A60706" s="258"/>
      <c r="Z60706" s="258"/>
    </row>
    <row r="60707" spans="1:26" ht="12.75" customHeight="1" x14ac:dyDescent="0.2">
      <c r="A60707" s="258"/>
      <c r="Z60707" s="258"/>
    </row>
    <row r="60708" spans="1:26" ht="12.75" customHeight="1" x14ac:dyDescent="0.2">
      <c r="A60708" s="258"/>
      <c r="Z60708" s="258"/>
    </row>
    <row r="60709" spans="1:26" ht="12.75" customHeight="1" x14ac:dyDescent="0.2">
      <c r="A60709" s="258"/>
      <c r="Z60709" s="258"/>
    </row>
    <row r="60710" spans="1:26" ht="12.75" customHeight="1" x14ac:dyDescent="0.2">
      <c r="A60710" s="258"/>
      <c r="Z60710" s="258"/>
    </row>
    <row r="60711" spans="1:26" ht="12.75" customHeight="1" x14ac:dyDescent="0.2">
      <c r="A60711" s="258"/>
      <c r="Z60711" s="258"/>
    </row>
    <row r="60712" spans="1:26" ht="12.75" customHeight="1" x14ac:dyDescent="0.2">
      <c r="A60712" s="258"/>
      <c r="Z60712" s="258"/>
    </row>
    <row r="60713" spans="1:26" ht="12.75" customHeight="1" x14ac:dyDescent="0.2">
      <c r="A60713" s="258"/>
      <c r="Z60713" s="258"/>
    </row>
    <row r="60714" spans="1:26" ht="12.75" customHeight="1" x14ac:dyDescent="0.2">
      <c r="A60714" s="258"/>
      <c r="Z60714" s="258"/>
    </row>
    <row r="60715" spans="1:26" ht="12.75" customHeight="1" x14ac:dyDescent="0.2">
      <c r="A60715" s="258"/>
      <c r="Z60715" s="258"/>
    </row>
    <row r="60716" spans="1:26" ht="12.75" customHeight="1" x14ac:dyDescent="0.2">
      <c r="A60716" s="258"/>
      <c r="Z60716" s="258"/>
    </row>
    <row r="60717" spans="1:26" ht="12.75" customHeight="1" x14ac:dyDescent="0.2">
      <c r="A60717" s="258"/>
      <c r="Z60717" s="258"/>
    </row>
    <row r="60718" spans="1:26" ht="12.75" customHeight="1" x14ac:dyDescent="0.2">
      <c r="A60718" s="258"/>
      <c r="Z60718" s="258"/>
    </row>
    <row r="60719" spans="1:26" ht="12.75" customHeight="1" x14ac:dyDescent="0.2">
      <c r="A60719" s="258"/>
      <c r="Z60719" s="258"/>
    </row>
    <row r="60720" spans="1:26" ht="12.75" customHeight="1" x14ac:dyDescent="0.2">
      <c r="A60720" s="258"/>
      <c r="Z60720" s="258"/>
    </row>
    <row r="60721" spans="1:26" ht="12.75" customHeight="1" x14ac:dyDescent="0.2">
      <c r="A60721" s="258"/>
      <c r="Z60721" s="258"/>
    </row>
    <row r="60722" spans="1:26" ht="12.75" customHeight="1" x14ac:dyDescent="0.2">
      <c r="A60722" s="258"/>
      <c r="Z60722" s="258"/>
    </row>
    <row r="60723" spans="1:26" ht="12.75" customHeight="1" x14ac:dyDescent="0.2">
      <c r="A60723" s="258"/>
      <c r="Z60723" s="258"/>
    </row>
    <row r="60724" spans="1:26" ht="12.75" customHeight="1" x14ac:dyDescent="0.2">
      <c r="A60724" s="258"/>
      <c r="Z60724" s="258"/>
    </row>
    <row r="60725" spans="1:26" ht="12.75" customHeight="1" x14ac:dyDescent="0.2">
      <c r="A60725" s="258"/>
      <c r="Z60725" s="258"/>
    </row>
    <row r="60726" spans="1:26" ht="12.75" customHeight="1" x14ac:dyDescent="0.2">
      <c r="A60726" s="258"/>
      <c r="Z60726" s="258"/>
    </row>
    <row r="60727" spans="1:26" ht="12.75" customHeight="1" x14ac:dyDescent="0.2">
      <c r="A60727" s="258"/>
      <c r="Z60727" s="258"/>
    </row>
    <row r="60728" spans="1:26" ht="12.75" customHeight="1" x14ac:dyDescent="0.2">
      <c r="A60728" s="258"/>
      <c r="Z60728" s="258"/>
    </row>
    <row r="60729" spans="1:26" ht="12.75" customHeight="1" x14ac:dyDescent="0.2">
      <c r="A60729" s="258"/>
      <c r="Z60729" s="258"/>
    </row>
    <row r="60730" spans="1:26" ht="12.75" customHeight="1" x14ac:dyDescent="0.2">
      <c r="A60730" s="258"/>
      <c r="Z60730" s="258"/>
    </row>
    <row r="60731" spans="1:26" ht="12.75" customHeight="1" x14ac:dyDescent="0.2">
      <c r="A60731" s="258"/>
      <c r="Z60731" s="258"/>
    </row>
    <row r="60732" spans="1:26" ht="12.75" customHeight="1" x14ac:dyDescent="0.2">
      <c r="A60732" s="258"/>
      <c r="Z60732" s="258"/>
    </row>
    <row r="60733" spans="1:26" ht="12.75" customHeight="1" x14ac:dyDescent="0.2">
      <c r="A60733" s="258"/>
      <c r="Z60733" s="258"/>
    </row>
    <row r="60734" spans="1:26" ht="12.75" customHeight="1" x14ac:dyDescent="0.2">
      <c r="A60734" s="258"/>
      <c r="Z60734" s="258"/>
    </row>
    <row r="60735" spans="1:26" ht="12.75" customHeight="1" x14ac:dyDescent="0.2">
      <c r="A60735" s="258"/>
      <c r="Z60735" s="258"/>
    </row>
    <row r="60736" spans="1:26" ht="12.75" customHeight="1" x14ac:dyDescent="0.2">
      <c r="A60736" s="258"/>
      <c r="Z60736" s="258"/>
    </row>
    <row r="60737" spans="1:26" ht="12.75" customHeight="1" x14ac:dyDescent="0.2">
      <c r="A60737" s="258"/>
      <c r="Z60737" s="258"/>
    </row>
    <row r="60738" spans="1:26" ht="12.75" customHeight="1" x14ac:dyDescent="0.2">
      <c r="A60738" s="258"/>
      <c r="Z60738" s="258"/>
    </row>
    <row r="60739" spans="1:26" ht="12.75" customHeight="1" x14ac:dyDescent="0.2">
      <c r="A60739" s="258"/>
      <c r="Z60739" s="258"/>
    </row>
    <row r="60740" spans="1:26" ht="12.75" customHeight="1" x14ac:dyDescent="0.2">
      <c r="A60740" s="258"/>
      <c r="Z60740" s="258"/>
    </row>
    <row r="60741" spans="1:26" ht="12.75" customHeight="1" x14ac:dyDescent="0.2">
      <c r="A60741" s="258"/>
      <c r="Z60741" s="258"/>
    </row>
    <row r="60742" spans="1:26" ht="12.75" customHeight="1" x14ac:dyDescent="0.2">
      <c r="A60742" s="258"/>
      <c r="Z60742" s="258"/>
    </row>
    <row r="60743" spans="1:26" ht="12.75" customHeight="1" x14ac:dyDescent="0.2">
      <c r="A60743" s="258"/>
      <c r="Z60743" s="258"/>
    </row>
    <row r="60744" spans="1:26" ht="12.75" customHeight="1" x14ac:dyDescent="0.2">
      <c r="A60744" s="258"/>
      <c r="Z60744" s="258"/>
    </row>
    <row r="60745" spans="1:26" ht="12.75" customHeight="1" x14ac:dyDescent="0.2">
      <c r="A60745" s="258"/>
      <c r="Z60745" s="258"/>
    </row>
    <row r="60746" spans="1:26" ht="12.75" customHeight="1" x14ac:dyDescent="0.2">
      <c r="A60746" s="258"/>
      <c r="Z60746" s="258"/>
    </row>
    <row r="60747" spans="1:26" ht="12.75" customHeight="1" x14ac:dyDescent="0.2">
      <c r="A60747" s="258"/>
      <c r="Z60747" s="258"/>
    </row>
    <row r="60748" spans="1:26" ht="12.75" customHeight="1" x14ac:dyDescent="0.2">
      <c r="A60748" s="258"/>
      <c r="Z60748" s="258"/>
    </row>
    <row r="60749" spans="1:26" ht="12.75" customHeight="1" x14ac:dyDescent="0.2">
      <c r="A60749" s="258"/>
      <c r="Z60749" s="258"/>
    </row>
    <row r="60750" spans="1:26" ht="12.75" customHeight="1" x14ac:dyDescent="0.2">
      <c r="A60750" s="258"/>
      <c r="Z60750" s="258"/>
    </row>
    <row r="60751" spans="1:26" ht="12.75" customHeight="1" x14ac:dyDescent="0.2">
      <c r="A60751" s="258"/>
      <c r="Z60751" s="258"/>
    </row>
    <row r="60752" spans="1:26" ht="12.75" customHeight="1" x14ac:dyDescent="0.2">
      <c r="A60752" s="258"/>
      <c r="Z60752" s="258"/>
    </row>
    <row r="60753" spans="1:26" ht="12.75" customHeight="1" x14ac:dyDescent="0.2">
      <c r="A60753" s="258"/>
      <c r="Z60753" s="258"/>
    </row>
    <row r="60754" spans="1:26" ht="12.75" customHeight="1" x14ac:dyDescent="0.2">
      <c r="A60754" s="258"/>
      <c r="Z60754" s="258"/>
    </row>
    <row r="60755" spans="1:26" ht="12.75" customHeight="1" x14ac:dyDescent="0.2">
      <c r="A60755" s="258"/>
      <c r="Z60755" s="258"/>
    </row>
    <row r="60756" spans="1:26" ht="12.75" customHeight="1" x14ac:dyDescent="0.2">
      <c r="A60756" s="258"/>
      <c r="Z60756" s="258"/>
    </row>
    <row r="60757" spans="1:26" ht="12.75" customHeight="1" x14ac:dyDescent="0.2">
      <c r="A60757" s="258"/>
      <c r="Z60757" s="258"/>
    </row>
    <row r="60758" spans="1:26" ht="12.75" customHeight="1" x14ac:dyDescent="0.2">
      <c r="A60758" s="258"/>
      <c r="Z60758" s="258"/>
    </row>
    <row r="60759" spans="1:26" ht="12.75" customHeight="1" x14ac:dyDescent="0.2">
      <c r="A60759" s="258"/>
      <c r="Z60759" s="258"/>
    </row>
    <row r="60760" spans="1:26" ht="12.75" customHeight="1" x14ac:dyDescent="0.2">
      <c r="A60760" s="258"/>
      <c r="Z60760" s="258"/>
    </row>
    <row r="60761" spans="1:26" ht="12.75" customHeight="1" x14ac:dyDescent="0.2">
      <c r="A60761" s="258"/>
      <c r="Z60761" s="258"/>
    </row>
    <row r="60762" spans="1:26" ht="12.75" customHeight="1" x14ac:dyDescent="0.2">
      <c r="A60762" s="258"/>
      <c r="Z60762" s="258"/>
    </row>
    <row r="60763" spans="1:26" ht="12.75" customHeight="1" x14ac:dyDescent="0.2">
      <c r="A60763" s="258"/>
      <c r="Z60763" s="258"/>
    </row>
    <row r="60764" spans="1:26" ht="12.75" customHeight="1" x14ac:dyDescent="0.2">
      <c r="A60764" s="258"/>
      <c r="Z60764" s="258"/>
    </row>
    <row r="60765" spans="1:26" ht="12.75" customHeight="1" x14ac:dyDescent="0.2">
      <c r="A60765" s="258"/>
      <c r="Z60765" s="258"/>
    </row>
    <row r="60766" spans="1:26" ht="12.75" customHeight="1" x14ac:dyDescent="0.2">
      <c r="A60766" s="258"/>
      <c r="Z60766" s="258"/>
    </row>
    <row r="60767" spans="1:26" ht="12.75" customHeight="1" x14ac:dyDescent="0.2">
      <c r="A60767" s="258"/>
      <c r="Z60767" s="258"/>
    </row>
    <row r="60768" spans="1:26" ht="12.75" customHeight="1" x14ac:dyDescent="0.2">
      <c r="A60768" s="258"/>
      <c r="Z60768" s="258"/>
    </row>
    <row r="60769" spans="1:26" ht="12.75" customHeight="1" x14ac:dyDescent="0.2">
      <c r="A60769" s="258"/>
      <c r="Z60769" s="258"/>
    </row>
    <row r="60770" spans="1:26" ht="12.75" customHeight="1" x14ac:dyDescent="0.2">
      <c r="A60770" s="258"/>
      <c r="Z60770" s="258"/>
    </row>
    <row r="60771" spans="1:26" ht="12.75" customHeight="1" x14ac:dyDescent="0.2">
      <c r="A60771" s="258"/>
      <c r="Z60771" s="258"/>
    </row>
    <row r="60772" spans="1:26" ht="12.75" customHeight="1" x14ac:dyDescent="0.2">
      <c r="A60772" s="258"/>
      <c r="Z60772" s="258"/>
    </row>
    <row r="60773" spans="1:26" ht="12.75" customHeight="1" x14ac:dyDescent="0.2">
      <c r="A60773" s="258"/>
      <c r="Z60773" s="258"/>
    </row>
    <row r="60774" spans="1:26" ht="12.75" customHeight="1" x14ac:dyDescent="0.2">
      <c r="A60774" s="258"/>
      <c r="Z60774" s="258"/>
    </row>
    <row r="60775" spans="1:26" ht="12.75" customHeight="1" x14ac:dyDescent="0.2">
      <c r="A60775" s="258"/>
      <c r="Z60775" s="258"/>
    </row>
    <row r="60776" spans="1:26" ht="12.75" customHeight="1" x14ac:dyDescent="0.2">
      <c r="A60776" s="258"/>
      <c r="Z60776" s="258"/>
    </row>
    <row r="60777" spans="1:26" ht="12.75" customHeight="1" x14ac:dyDescent="0.2">
      <c r="A60777" s="258"/>
      <c r="Z60777" s="258"/>
    </row>
    <row r="60778" spans="1:26" ht="12.75" customHeight="1" x14ac:dyDescent="0.2">
      <c r="A60778" s="258"/>
      <c r="Z60778" s="258"/>
    </row>
    <row r="60779" spans="1:26" ht="12.75" customHeight="1" x14ac:dyDescent="0.2">
      <c r="A60779" s="258"/>
      <c r="Z60779" s="258"/>
    </row>
    <row r="60780" spans="1:26" ht="12.75" customHeight="1" x14ac:dyDescent="0.2">
      <c r="A60780" s="258"/>
      <c r="Z60780" s="258"/>
    </row>
    <row r="60781" spans="1:26" ht="12.75" customHeight="1" x14ac:dyDescent="0.2">
      <c r="A60781" s="258"/>
      <c r="Z60781" s="258"/>
    </row>
    <row r="60782" spans="1:26" ht="12.75" customHeight="1" x14ac:dyDescent="0.2">
      <c r="A60782" s="258"/>
      <c r="Z60782" s="258"/>
    </row>
    <row r="60783" spans="1:26" ht="12.75" customHeight="1" x14ac:dyDescent="0.2">
      <c r="A60783" s="258"/>
      <c r="Z60783" s="258"/>
    </row>
    <row r="60784" spans="1:26" ht="12.75" customHeight="1" x14ac:dyDescent="0.2">
      <c r="A60784" s="258"/>
      <c r="Z60784" s="258"/>
    </row>
    <row r="60785" spans="1:26" ht="12.75" customHeight="1" x14ac:dyDescent="0.2">
      <c r="A60785" s="258"/>
      <c r="Z60785" s="258"/>
    </row>
    <row r="60786" spans="1:26" ht="12.75" customHeight="1" x14ac:dyDescent="0.2">
      <c r="A60786" s="258"/>
      <c r="Z60786" s="258"/>
    </row>
    <row r="60787" spans="1:26" ht="12.75" customHeight="1" x14ac:dyDescent="0.2">
      <c r="A60787" s="258"/>
      <c r="Z60787" s="258"/>
    </row>
    <row r="60788" spans="1:26" ht="12.75" customHeight="1" x14ac:dyDescent="0.2">
      <c r="A60788" s="258"/>
      <c r="Z60788" s="258"/>
    </row>
    <row r="60789" spans="1:26" ht="12.75" customHeight="1" x14ac:dyDescent="0.2">
      <c r="A60789" s="258"/>
      <c r="Z60789" s="258"/>
    </row>
    <row r="60790" spans="1:26" ht="12.75" customHeight="1" x14ac:dyDescent="0.2">
      <c r="A60790" s="258"/>
      <c r="Z60790" s="258"/>
    </row>
    <row r="60791" spans="1:26" ht="12.75" customHeight="1" x14ac:dyDescent="0.2">
      <c r="A60791" s="258"/>
      <c r="Z60791" s="258"/>
    </row>
    <row r="60792" spans="1:26" ht="12.75" customHeight="1" x14ac:dyDescent="0.2">
      <c r="A60792" s="258"/>
      <c r="Z60792" s="258"/>
    </row>
    <row r="60793" spans="1:26" ht="12.75" customHeight="1" x14ac:dyDescent="0.2">
      <c r="A60793" s="258"/>
      <c r="Z60793" s="258"/>
    </row>
    <row r="60794" spans="1:26" ht="12.75" customHeight="1" x14ac:dyDescent="0.2">
      <c r="A60794" s="258"/>
      <c r="Z60794" s="258"/>
    </row>
    <row r="60795" spans="1:26" ht="12.75" customHeight="1" x14ac:dyDescent="0.2">
      <c r="A60795" s="258"/>
      <c r="Z60795" s="258"/>
    </row>
    <row r="60796" spans="1:26" ht="12.75" customHeight="1" x14ac:dyDescent="0.2">
      <c r="A60796" s="258"/>
      <c r="Z60796" s="258"/>
    </row>
    <row r="60797" spans="1:26" ht="12.75" customHeight="1" x14ac:dyDescent="0.2">
      <c r="A60797" s="258"/>
      <c r="Z60797" s="258"/>
    </row>
    <row r="60798" spans="1:26" ht="12.75" customHeight="1" x14ac:dyDescent="0.2">
      <c r="A60798" s="258"/>
      <c r="Z60798" s="258"/>
    </row>
    <row r="60799" spans="1:26" ht="12.75" customHeight="1" x14ac:dyDescent="0.2">
      <c r="A60799" s="258"/>
      <c r="Z60799" s="258"/>
    </row>
    <row r="60800" spans="1:26" ht="12.75" customHeight="1" x14ac:dyDescent="0.2">
      <c r="A60800" s="258"/>
      <c r="Z60800" s="258"/>
    </row>
    <row r="60801" spans="1:26" ht="12.75" customHeight="1" x14ac:dyDescent="0.2">
      <c r="A60801" s="258"/>
      <c r="Z60801" s="258"/>
    </row>
    <row r="60802" spans="1:26" ht="12.75" customHeight="1" x14ac:dyDescent="0.2">
      <c r="A60802" s="258"/>
      <c r="Z60802" s="258"/>
    </row>
    <row r="60803" spans="1:26" ht="12.75" customHeight="1" x14ac:dyDescent="0.2">
      <c r="A60803" s="258"/>
      <c r="Z60803" s="258"/>
    </row>
    <row r="60804" spans="1:26" ht="12.75" customHeight="1" x14ac:dyDescent="0.2">
      <c r="A60804" s="258"/>
      <c r="Z60804" s="258"/>
    </row>
    <row r="60805" spans="1:26" ht="12.75" customHeight="1" x14ac:dyDescent="0.2">
      <c r="A60805" s="258"/>
      <c r="Z60805" s="258"/>
    </row>
    <row r="60806" spans="1:26" ht="12.75" customHeight="1" x14ac:dyDescent="0.2">
      <c r="A60806" s="258"/>
      <c r="Z60806" s="258"/>
    </row>
    <row r="60807" spans="1:26" ht="12.75" customHeight="1" x14ac:dyDescent="0.2">
      <c r="A60807" s="258"/>
      <c r="Z60807" s="258"/>
    </row>
    <row r="60808" spans="1:26" ht="12.75" customHeight="1" x14ac:dyDescent="0.2">
      <c r="A60808" s="258"/>
      <c r="Z60808" s="258"/>
    </row>
    <row r="60809" spans="1:26" ht="12.75" customHeight="1" x14ac:dyDescent="0.2">
      <c r="A60809" s="258"/>
      <c r="Z60809" s="258"/>
    </row>
    <row r="60810" spans="1:26" ht="12.75" customHeight="1" x14ac:dyDescent="0.2">
      <c r="A60810" s="258"/>
      <c r="Z60810" s="258"/>
    </row>
    <row r="60811" spans="1:26" ht="12.75" customHeight="1" x14ac:dyDescent="0.2">
      <c r="A60811" s="258"/>
      <c r="Z60811" s="258"/>
    </row>
    <row r="60812" spans="1:26" ht="12.75" customHeight="1" x14ac:dyDescent="0.2">
      <c r="A60812" s="258"/>
      <c r="Z60812" s="258"/>
    </row>
    <row r="60813" spans="1:26" ht="12.75" customHeight="1" x14ac:dyDescent="0.2">
      <c r="A60813" s="258"/>
      <c r="Z60813" s="258"/>
    </row>
    <row r="60814" spans="1:26" ht="12.75" customHeight="1" x14ac:dyDescent="0.2">
      <c r="A60814" s="258"/>
      <c r="Z60814" s="258"/>
    </row>
    <row r="60815" spans="1:26" ht="12.75" customHeight="1" x14ac:dyDescent="0.2">
      <c r="A60815" s="258"/>
      <c r="Z60815" s="258"/>
    </row>
    <row r="60816" spans="1:26" ht="12.75" customHeight="1" x14ac:dyDescent="0.2">
      <c r="A60816" s="258"/>
      <c r="Z60816" s="258"/>
    </row>
    <row r="60817" spans="1:26" ht="12.75" customHeight="1" x14ac:dyDescent="0.2">
      <c r="A60817" s="258"/>
      <c r="Z60817" s="258"/>
    </row>
    <row r="60818" spans="1:26" ht="12.75" customHeight="1" x14ac:dyDescent="0.2">
      <c r="A60818" s="258"/>
      <c r="Z60818" s="258"/>
    </row>
    <row r="60819" spans="1:26" ht="12.75" customHeight="1" x14ac:dyDescent="0.2">
      <c r="A60819" s="258"/>
      <c r="Z60819" s="258"/>
    </row>
    <row r="60820" spans="1:26" ht="12.75" customHeight="1" x14ac:dyDescent="0.2">
      <c r="A60820" s="258"/>
      <c r="Z60820" s="258"/>
    </row>
    <row r="60821" spans="1:26" ht="12.75" customHeight="1" x14ac:dyDescent="0.2">
      <c r="A60821" s="258"/>
      <c r="Z60821" s="258"/>
    </row>
    <row r="60822" spans="1:26" ht="12.75" customHeight="1" x14ac:dyDescent="0.2">
      <c r="A60822" s="258"/>
      <c r="Z60822" s="258"/>
    </row>
    <row r="60823" spans="1:26" ht="12.75" customHeight="1" x14ac:dyDescent="0.2">
      <c r="A60823" s="258"/>
      <c r="Z60823" s="258"/>
    </row>
    <row r="60824" spans="1:26" ht="12.75" customHeight="1" x14ac:dyDescent="0.2">
      <c r="A60824" s="258"/>
      <c r="Z60824" s="258"/>
    </row>
    <row r="60825" spans="1:26" ht="12.75" customHeight="1" x14ac:dyDescent="0.2">
      <c r="A60825" s="258"/>
      <c r="Z60825" s="258"/>
    </row>
    <row r="60826" spans="1:26" ht="12.75" customHeight="1" x14ac:dyDescent="0.2">
      <c r="A60826" s="258"/>
      <c r="Z60826" s="258"/>
    </row>
    <row r="60827" spans="1:26" ht="12.75" customHeight="1" x14ac:dyDescent="0.2">
      <c r="A60827" s="258"/>
      <c r="Z60827" s="258"/>
    </row>
    <row r="60828" spans="1:26" ht="12.75" customHeight="1" x14ac:dyDescent="0.2">
      <c r="A60828" s="258"/>
      <c r="Z60828" s="258"/>
    </row>
    <row r="60829" spans="1:26" ht="12.75" customHeight="1" x14ac:dyDescent="0.2">
      <c r="A60829" s="258"/>
      <c r="Z60829" s="258"/>
    </row>
    <row r="60830" spans="1:26" ht="12.75" customHeight="1" x14ac:dyDescent="0.2">
      <c r="A60830" s="258"/>
      <c r="Z60830" s="258"/>
    </row>
    <row r="60831" spans="1:26" ht="12.75" customHeight="1" x14ac:dyDescent="0.2">
      <c r="A60831" s="258"/>
      <c r="Z60831" s="258"/>
    </row>
    <row r="60832" spans="1:26" ht="12.75" customHeight="1" x14ac:dyDescent="0.2">
      <c r="A60832" s="258"/>
      <c r="Z60832" s="258"/>
    </row>
    <row r="60833" spans="1:26" ht="12.75" customHeight="1" x14ac:dyDescent="0.2">
      <c r="A60833" s="258"/>
      <c r="Z60833" s="258"/>
    </row>
    <row r="60834" spans="1:26" ht="12.75" customHeight="1" x14ac:dyDescent="0.2">
      <c r="A60834" s="258"/>
      <c r="Z60834" s="258"/>
    </row>
    <row r="60835" spans="1:26" ht="12.75" customHeight="1" x14ac:dyDescent="0.2">
      <c r="A60835" s="258"/>
      <c r="Z60835" s="258"/>
    </row>
    <row r="60836" spans="1:26" ht="12.75" customHeight="1" x14ac:dyDescent="0.2">
      <c r="A60836" s="258"/>
      <c r="Z60836" s="258"/>
    </row>
    <row r="60837" spans="1:26" ht="12.75" customHeight="1" x14ac:dyDescent="0.2">
      <c r="A60837" s="258"/>
      <c r="Z60837" s="258"/>
    </row>
    <row r="60838" spans="1:26" ht="12.75" customHeight="1" x14ac:dyDescent="0.2">
      <c r="A60838" s="258"/>
      <c r="Z60838" s="258"/>
    </row>
    <row r="60839" spans="1:26" ht="12.75" customHeight="1" x14ac:dyDescent="0.2">
      <c r="A60839" s="258"/>
      <c r="Z60839" s="258"/>
    </row>
    <row r="60840" spans="1:26" ht="12.75" customHeight="1" x14ac:dyDescent="0.2">
      <c r="A60840" s="258"/>
      <c r="Z60840" s="258"/>
    </row>
    <row r="60841" spans="1:26" ht="12.75" customHeight="1" x14ac:dyDescent="0.2">
      <c r="A60841" s="258"/>
      <c r="Z60841" s="258"/>
    </row>
    <row r="60842" spans="1:26" ht="12.75" customHeight="1" x14ac:dyDescent="0.2">
      <c r="A60842" s="258"/>
      <c r="Z60842" s="258"/>
    </row>
    <row r="60843" spans="1:26" ht="12.75" customHeight="1" x14ac:dyDescent="0.2">
      <c r="A60843" s="258"/>
      <c r="Z60843" s="258"/>
    </row>
    <row r="60844" spans="1:26" ht="12.75" customHeight="1" x14ac:dyDescent="0.2">
      <c r="A60844" s="258"/>
      <c r="Z60844" s="258"/>
    </row>
    <row r="60845" spans="1:26" ht="12.75" customHeight="1" x14ac:dyDescent="0.2">
      <c r="A60845" s="258"/>
      <c r="Z60845" s="258"/>
    </row>
    <row r="60846" spans="1:26" ht="12.75" customHeight="1" x14ac:dyDescent="0.2">
      <c r="A60846" s="258"/>
      <c r="Z60846" s="258"/>
    </row>
    <row r="60847" spans="1:26" ht="12.75" customHeight="1" x14ac:dyDescent="0.2">
      <c r="A60847" s="258"/>
      <c r="Z60847" s="258"/>
    </row>
    <row r="60848" spans="1:26" ht="12.75" customHeight="1" x14ac:dyDescent="0.2">
      <c r="A60848" s="258"/>
      <c r="Z60848" s="258"/>
    </row>
    <row r="60849" spans="1:26" ht="12.75" customHeight="1" x14ac:dyDescent="0.2">
      <c r="A60849" s="258"/>
      <c r="Z60849" s="258"/>
    </row>
    <row r="60850" spans="1:26" ht="12.75" customHeight="1" x14ac:dyDescent="0.2">
      <c r="A60850" s="258"/>
      <c r="Z60850" s="258"/>
    </row>
    <row r="60851" spans="1:26" ht="12.75" customHeight="1" x14ac:dyDescent="0.2">
      <c r="A60851" s="258"/>
      <c r="Z60851" s="258"/>
    </row>
    <row r="60852" spans="1:26" ht="12.75" customHeight="1" x14ac:dyDescent="0.2">
      <c r="A60852" s="258"/>
      <c r="Z60852" s="258"/>
    </row>
    <row r="60853" spans="1:26" ht="12.75" customHeight="1" x14ac:dyDescent="0.2">
      <c r="A60853" s="258"/>
      <c r="Z60853" s="258"/>
    </row>
    <row r="60854" spans="1:26" ht="12.75" customHeight="1" x14ac:dyDescent="0.2">
      <c r="A60854" s="258"/>
      <c r="Z60854" s="258"/>
    </row>
    <row r="60855" spans="1:26" ht="12.75" customHeight="1" x14ac:dyDescent="0.2">
      <c r="A60855" s="258"/>
      <c r="Z60855" s="258"/>
    </row>
    <row r="60856" spans="1:26" ht="12.75" customHeight="1" x14ac:dyDescent="0.2">
      <c r="A60856" s="258"/>
      <c r="Z60856" s="258"/>
    </row>
    <row r="60857" spans="1:26" ht="12.75" customHeight="1" x14ac:dyDescent="0.2">
      <c r="A60857" s="258"/>
      <c r="Z60857" s="258"/>
    </row>
    <row r="60858" spans="1:26" ht="12.75" customHeight="1" x14ac:dyDescent="0.2">
      <c r="A60858" s="258"/>
      <c r="Z60858" s="258"/>
    </row>
    <row r="60859" spans="1:26" ht="12.75" customHeight="1" x14ac:dyDescent="0.2">
      <c r="A60859" s="258"/>
      <c r="Z60859" s="258"/>
    </row>
    <row r="60860" spans="1:26" ht="12.75" customHeight="1" x14ac:dyDescent="0.2">
      <c r="A60860" s="258"/>
      <c r="Z60860" s="258"/>
    </row>
    <row r="60861" spans="1:26" ht="12.75" customHeight="1" x14ac:dyDescent="0.2">
      <c r="A60861" s="258"/>
      <c r="Z60861" s="258"/>
    </row>
    <row r="60862" spans="1:26" ht="12.75" customHeight="1" x14ac:dyDescent="0.2">
      <c r="A60862" s="258"/>
      <c r="Z60862" s="258"/>
    </row>
    <row r="60863" spans="1:26" ht="12.75" customHeight="1" x14ac:dyDescent="0.2">
      <c r="A60863" s="258"/>
      <c r="Z60863" s="258"/>
    </row>
    <row r="60864" spans="1:26" ht="12.75" customHeight="1" x14ac:dyDescent="0.2">
      <c r="A60864" s="258"/>
      <c r="Z60864" s="258"/>
    </row>
    <row r="60865" spans="1:26" ht="12.75" customHeight="1" x14ac:dyDescent="0.2">
      <c r="A60865" s="258"/>
      <c r="Z60865" s="258"/>
    </row>
    <row r="60866" spans="1:26" ht="12.75" customHeight="1" x14ac:dyDescent="0.2">
      <c r="A60866" s="258"/>
      <c r="Z60866" s="258"/>
    </row>
    <row r="60867" spans="1:26" ht="12.75" customHeight="1" x14ac:dyDescent="0.2">
      <c r="A60867" s="258"/>
      <c r="Z60867" s="258"/>
    </row>
    <row r="60868" spans="1:26" ht="12.75" customHeight="1" x14ac:dyDescent="0.2">
      <c r="A60868" s="258"/>
      <c r="Z60868" s="258"/>
    </row>
    <row r="60869" spans="1:26" ht="12.75" customHeight="1" x14ac:dyDescent="0.2">
      <c r="A60869" s="258"/>
      <c r="Z60869" s="258"/>
    </row>
    <row r="60870" spans="1:26" ht="12.75" customHeight="1" x14ac:dyDescent="0.2">
      <c r="A60870" s="258"/>
      <c r="Z60870" s="258"/>
    </row>
    <row r="60871" spans="1:26" ht="12.75" customHeight="1" x14ac:dyDescent="0.2">
      <c r="A60871" s="258"/>
      <c r="Z60871" s="258"/>
    </row>
    <row r="60872" spans="1:26" ht="12.75" customHeight="1" x14ac:dyDescent="0.2">
      <c r="A60872" s="258"/>
      <c r="Z60872" s="258"/>
    </row>
    <row r="60873" spans="1:26" ht="12.75" customHeight="1" x14ac:dyDescent="0.2">
      <c r="A60873" s="258"/>
      <c r="Z60873" s="258"/>
    </row>
    <row r="60874" spans="1:26" ht="12.75" customHeight="1" x14ac:dyDescent="0.2">
      <c r="A60874" s="258"/>
      <c r="Z60874" s="258"/>
    </row>
    <row r="60875" spans="1:26" ht="12.75" customHeight="1" x14ac:dyDescent="0.2">
      <c r="A60875" s="258"/>
      <c r="Z60875" s="258"/>
    </row>
    <row r="60876" spans="1:26" ht="12.75" customHeight="1" x14ac:dyDescent="0.2">
      <c r="A60876" s="258"/>
      <c r="Z60876" s="258"/>
    </row>
    <row r="60877" spans="1:26" ht="12.75" customHeight="1" x14ac:dyDescent="0.2">
      <c r="A60877" s="258"/>
      <c r="Z60877" s="258"/>
    </row>
    <row r="60878" spans="1:26" ht="12.75" customHeight="1" x14ac:dyDescent="0.2">
      <c r="A60878" s="258"/>
      <c r="Z60878" s="258"/>
    </row>
    <row r="60879" spans="1:26" ht="12.75" customHeight="1" x14ac:dyDescent="0.2">
      <c r="A60879" s="258"/>
      <c r="Z60879" s="258"/>
    </row>
    <row r="60880" spans="1:26" ht="12.75" customHeight="1" x14ac:dyDescent="0.2">
      <c r="A60880" s="258"/>
      <c r="Z60880" s="258"/>
    </row>
    <row r="60881" spans="1:26" ht="12.75" customHeight="1" x14ac:dyDescent="0.2">
      <c r="A60881" s="258"/>
      <c r="Z60881" s="258"/>
    </row>
    <row r="60882" spans="1:26" ht="12.75" customHeight="1" x14ac:dyDescent="0.2">
      <c r="A60882" s="258"/>
      <c r="Z60882" s="258"/>
    </row>
    <row r="60883" spans="1:26" ht="12.75" customHeight="1" x14ac:dyDescent="0.2">
      <c r="A60883" s="258"/>
      <c r="Z60883" s="258"/>
    </row>
    <row r="60884" spans="1:26" ht="12.75" customHeight="1" x14ac:dyDescent="0.2">
      <c r="A60884" s="258"/>
      <c r="Z60884" s="258"/>
    </row>
    <row r="60885" spans="1:26" ht="12.75" customHeight="1" x14ac:dyDescent="0.2">
      <c r="A60885" s="258"/>
      <c r="Z60885" s="258"/>
    </row>
    <row r="60886" spans="1:26" ht="12.75" customHeight="1" x14ac:dyDescent="0.2">
      <c r="A60886" s="258"/>
      <c r="Z60886" s="258"/>
    </row>
    <row r="60887" spans="1:26" ht="12.75" customHeight="1" x14ac:dyDescent="0.2">
      <c r="A60887" s="258"/>
      <c r="Z60887" s="258"/>
    </row>
    <row r="60888" spans="1:26" ht="12.75" customHeight="1" x14ac:dyDescent="0.2">
      <c r="A60888" s="258"/>
      <c r="Z60888" s="258"/>
    </row>
    <row r="60889" spans="1:26" ht="12.75" customHeight="1" x14ac:dyDescent="0.2">
      <c r="A60889" s="258"/>
      <c r="Z60889" s="258"/>
    </row>
    <row r="60890" spans="1:26" ht="12.75" customHeight="1" x14ac:dyDescent="0.2">
      <c r="A60890" s="258"/>
      <c r="Z60890" s="258"/>
    </row>
    <row r="60891" spans="1:26" ht="12.75" customHeight="1" x14ac:dyDescent="0.2">
      <c r="A60891" s="258"/>
      <c r="Z60891" s="258"/>
    </row>
    <row r="60892" spans="1:26" ht="12.75" customHeight="1" x14ac:dyDescent="0.2">
      <c r="A60892" s="258"/>
      <c r="Z60892" s="258"/>
    </row>
    <row r="60893" spans="1:26" ht="12.75" customHeight="1" x14ac:dyDescent="0.2">
      <c r="A60893" s="258"/>
      <c r="Z60893" s="258"/>
    </row>
    <row r="60894" spans="1:26" ht="12.75" customHeight="1" x14ac:dyDescent="0.2">
      <c r="A60894" s="258"/>
      <c r="Z60894" s="258"/>
    </row>
    <row r="60895" spans="1:26" ht="12.75" customHeight="1" x14ac:dyDescent="0.2">
      <c r="A60895" s="258"/>
      <c r="Z60895" s="258"/>
    </row>
    <row r="60896" spans="1:26" ht="12.75" customHeight="1" x14ac:dyDescent="0.2">
      <c r="A60896" s="258"/>
      <c r="Z60896" s="258"/>
    </row>
    <row r="60897" spans="1:26" ht="12.75" customHeight="1" x14ac:dyDescent="0.2">
      <c r="A60897" s="258"/>
      <c r="Z60897" s="258"/>
    </row>
    <row r="60898" spans="1:26" ht="12.75" customHeight="1" x14ac:dyDescent="0.2">
      <c r="A60898" s="258"/>
      <c r="Z60898" s="258"/>
    </row>
    <row r="60899" spans="1:26" ht="12.75" customHeight="1" x14ac:dyDescent="0.2">
      <c r="A60899" s="258"/>
      <c r="Z60899" s="258"/>
    </row>
    <row r="60900" spans="1:26" ht="12.75" customHeight="1" x14ac:dyDescent="0.2">
      <c r="A60900" s="258"/>
      <c r="Z60900" s="258"/>
    </row>
    <row r="60901" spans="1:26" ht="12.75" customHeight="1" x14ac:dyDescent="0.2">
      <c r="A60901" s="258"/>
      <c r="Z60901" s="258"/>
    </row>
    <row r="60902" spans="1:26" ht="12.75" customHeight="1" x14ac:dyDescent="0.2">
      <c r="A60902" s="258"/>
      <c r="Z60902" s="258"/>
    </row>
    <row r="60903" spans="1:26" ht="12.75" customHeight="1" x14ac:dyDescent="0.2">
      <c r="A60903" s="258"/>
      <c r="Z60903" s="258"/>
    </row>
    <row r="60904" spans="1:26" ht="12.75" customHeight="1" x14ac:dyDescent="0.2">
      <c r="A60904" s="258"/>
      <c r="Z60904" s="258"/>
    </row>
    <row r="60905" spans="1:26" ht="12.75" customHeight="1" x14ac:dyDescent="0.2">
      <c r="A60905" s="258"/>
      <c r="Z60905" s="258"/>
    </row>
    <row r="60906" spans="1:26" ht="12.75" customHeight="1" x14ac:dyDescent="0.2">
      <c r="A60906" s="258"/>
      <c r="Z60906" s="258"/>
    </row>
    <row r="60907" spans="1:26" ht="12.75" customHeight="1" x14ac:dyDescent="0.2">
      <c r="A60907" s="258"/>
      <c r="Z60907" s="258"/>
    </row>
    <row r="60908" spans="1:26" ht="12.75" customHeight="1" x14ac:dyDescent="0.2">
      <c r="A60908" s="258"/>
      <c r="Z60908" s="258"/>
    </row>
    <row r="60909" spans="1:26" ht="12.75" customHeight="1" x14ac:dyDescent="0.2">
      <c r="A60909" s="258"/>
      <c r="Z60909" s="258"/>
    </row>
    <row r="60910" spans="1:26" ht="12.75" customHeight="1" x14ac:dyDescent="0.2">
      <c r="A60910" s="258"/>
      <c r="Z60910" s="258"/>
    </row>
    <row r="60911" spans="1:26" ht="12.75" customHeight="1" x14ac:dyDescent="0.2">
      <c r="A60911" s="258"/>
      <c r="Z60911" s="258"/>
    </row>
    <row r="60912" spans="1:26" ht="12.75" customHeight="1" x14ac:dyDescent="0.2">
      <c r="A60912" s="258"/>
      <c r="Z60912" s="258"/>
    </row>
    <row r="60913" spans="1:26" ht="12.75" customHeight="1" x14ac:dyDescent="0.2">
      <c r="A60913" s="258"/>
      <c r="Z60913" s="258"/>
    </row>
    <row r="60914" spans="1:26" ht="12.75" customHeight="1" x14ac:dyDescent="0.2">
      <c r="A60914" s="258"/>
      <c r="Z60914" s="258"/>
    </row>
    <row r="60915" spans="1:26" ht="12.75" customHeight="1" x14ac:dyDescent="0.2">
      <c r="A60915" s="258"/>
      <c r="Z60915" s="258"/>
    </row>
    <row r="60916" spans="1:26" ht="12.75" customHeight="1" x14ac:dyDescent="0.2">
      <c r="A60916" s="258"/>
      <c r="Z60916" s="258"/>
    </row>
    <row r="60917" spans="1:26" ht="12.75" customHeight="1" x14ac:dyDescent="0.2">
      <c r="A60917" s="258"/>
      <c r="Z60917" s="258"/>
    </row>
    <row r="60918" spans="1:26" ht="12.75" customHeight="1" x14ac:dyDescent="0.2">
      <c r="A60918" s="258"/>
      <c r="Z60918" s="258"/>
    </row>
    <row r="60919" spans="1:26" ht="12.75" customHeight="1" x14ac:dyDescent="0.2">
      <c r="A60919" s="258"/>
      <c r="Z60919" s="258"/>
    </row>
    <row r="60920" spans="1:26" ht="12.75" customHeight="1" x14ac:dyDescent="0.2">
      <c r="A60920" s="258"/>
      <c r="Z60920" s="258"/>
    </row>
    <row r="60921" spans="1:26" ht="12.75" customHeight="1" x14ac:dyDescent="0.2">
      <c r="A60921" s="258"/>
      <c r="Z60921" s="258"/>
    </row>
    <row r="60922" spans="1:26" ht="12.75" customHeight="1" x14ac:dyDescent="0.2">
      <c r="A60922" s="258"/>
      <c r="Z60922" s="258"/>
    </row>
    <row r="60923" spans="1:26" ht="12.75" customHeight="1" x14ac:dyDescent="0.2">
      <c r="A60923" s="258"/>
      <c r="Z60923" s="258"/>
    </row>
    <row r="60924" spans="1:26" ht="12.75" customHeight="1" x14ac:dyDescent="0.2">
      <c r="A60924" s="258"/>
      <c r="Z60924" s="258"/>
    </row>
    <row r="60925" spans="1:26" ht="12.75" customHeight="1" x14ac:dyDescent="0.2">
      <c r="A60925" s="258"/>
      <c r="Z60925" s="258"/>
    </row>
    <row r="60926" spans="1:26" ht="12.75" customHeight="1" x14ac:dyDescent="0.2">
      <c r="A60926" s="258"/>
      <c r="Z60926" s="258"/>
    </row>
    <row r="60927" spans="1:26" ht="12.75" customHeight="1" x14ac:dyDescent="0.2">
      <c r="A60927" s="258"/>
      <c r="Z60927" s="258"/>
    </row>
    <row r="60928" spans="1:26" ht="12.75" customHeight="1" x14ac:dyDescent="0.2">
      <c r="A60928" s="258"/>
      <c r="Z60928" s="258"/>
    </row>
    <row r="60929" spans="1:26" ht="12.75" customHeight="1" x14ac:dyDescent="0.2">
      <c r="A60929" s="258"/>
      <c r="Z60929" s="258"/>
    </row>
    <row r="60930" spans="1:26" ht="12.75" customHeight="1" x14ac:dyDescent="0.2">
      <c r="A60930" s="258"/>
      <c r="Z60930" s="258"/>
    </row>
    <row r="60931" spans="1:26" ht="12.75" customHeight="1" x14ac:dyDescent="0.2">
      <c r="A60931" s="258"/>
      <c r="Z60931" s="258"/>
    </row>
    <row r="60932" spans="1:26" ht="12.75" customHeight="1" x14ac:dyDescent="0.2">
      <c r="A60932" s="258"/>
      <c r="Z60932" s="258"/>
    </row>
    <row r="60933" spans="1:26" ht="12.75" customHeight="1" x14ac:dyDescent="0.2">
      <c r="A60933" s="258"/>
      <c r="Z60933" s="258"/>
    </row>
    <row r="60934" spans="1:26" ht="12.75" customHeight="1" x14ac:dyDescent="0.2">
      <c r="A60934" s="258"/>
      <c r="Z60934" s="258"/>
    </row>
    <row r="60935" spans="1:26" ht="12.75" customHeight="1" x14ac:dyDescent="0.2">
      <c r="A60935" s="258"/>
      <c r="Z60935" s="258"/>
    </row>
    <row r="60936" spans="1:26" ht="12.75" customHeight="1" x14ac:dyDescent="0.2">
      <c r="A60936" s="258"/>
      <c r="Z60936" s="258"/>
    </row>
    <row r="60937" spans="1:26" ht="12.75" customHeight="1" x14ac:dyDescent="0.2">
      <c r="A60937" s="258"/>
      <c r="Z60937" s="258"/>
    </row>
    <row r="60938" spans="1:26" ht="12.75" customHeight="1" x14ac:dyDescent="0.2">
      <c r="A60938" s="258"/>
      <c r="Z60938" s="258"/>
    </row>
    <row r="60939" spans="1:26" ht="12.75" customHeight="1" x14ac:dyDescent="0.2">
      <c r="A60939" s="258"/>
      <c r="Z60939" s="258"/>
    </row>
    <row r="60940" spans="1:26" ht="12.75" customHeight="1" x14ac:dyDescent="0.2">
      <c r="A60940" s="258"/>
      <c r="Z60940" s="258"/>
    </row>
    <row r="60941" spans="1:26" ht="12.75" customHeight="1" x14ac:dyDescent="0.2">
      <c r="A60941" s="258"/>
      <c r="Z60941" s="258"/>
    </row>
    <row r="60942" spans="1:26" ht="12.75" customHeight="1" x14ac:dyDescent="0.2">
      <c r="A60942" s="258"/>
      <c r="Z60942" s="258"/>
    </row>
    <row r="60943" spans="1:26" ht="12.75" customHeight="1" x14ac:dyDescent="0.2">
      <c r="A60943" s="258"/>
      <c r="Z60943" s="258"/>
    </row>
    <row r="60944" spans="1:26" ht="12.75" customHeight="1" x14ac:dyDescent="0.2">
      <c r="A60944" s="258"/>
      <c r="Z60944" s="258"/>
    </row>
    <row r="60945" spans="1:26" ht="12.75" customHeight="1" x14ac:dyDescent="0.2">
      <c r="A60945" s="258"/>
      <c r="Z60945" s="258"/>
    </row>
    <row r="60946" spans="1:26" ht="12.75" customHeight="1" x14ac:dyDescent="0.2">
      <c r="A60946" s="258"/>
      <c r="Z60946" s="258"/>
    </row>
    <row r="60947" spans="1:26" ht="12.75" customHeight="1" x14ac:dyDescent="0.2">
      <c r="A60947" s="258"/>
      <c r="Z60947" s="258"/>
    </row>
    <row r="60948" spans="1:26" ht="12.75" customHeight="1" x14ac:dyDescent="0.2">
      <c r="A60948" s="258"/>
      <c r="Z60948" s="258"/>
    </row>
    <row r="60949" spans="1:26" ht="12.75" customHeight="1" x14ac:dyDescent="0.2">
      <c r="A60949" s="258"/>
      <c r="Z60949" s="258"/>
    </row>
    <row r="60950" spans="1:26" ht="12.75" customHeight="1" x14ac:dyDescent="0.2">
      <c r="A60950" s="258"/>
      <c r="Z60950" s="258"/>
    </row>
    <row r="60951" spans="1:26" ht="12.75" customHeight="1" x14ac:dyDescent="0.2">
      <c r="A60951" s="258"/>
      <c r="Z60951" s="258"/>
    </row>
    <row r="60952" spans="1:26" ht="12.75" customHeight="1" x14ac:dyDescent="0.2">
      <c r="A60952" s="258"/>
      <c r="Z60952" s="258"/>
    </row>
    <row r="60953" spans="1:26" ht="12.75" customHeight="1" x14ac:dyDescent="0.2">
      <c r="A60953" s="258"/>
      <c r="Z60953" s="258"/>
    </row>
    <row r="60954" spans="1:26" ht="12.75" customHeight="1" x14ac:dyDescent="0.2">
      <c r="A60954" s="258"/>
      <c r="Z60954" s="258"/>
    </row>
    <row r="60955" spans="1:26" ht="12.75" customHeight="1" x14ac:dyDescent="0.2">
      <c r="A60955" s="258"/>
      <c r="Z60955" s="258"/>
    </row>
    <row r="60956" spans="1:26" ht="12.75" customHeight="1" x14ac:dyDescent="0.2">
      <c r="A60956" s="258"/>
      <c r="Z60956" s="258"/>
    </row>
    <row r="60957" spans="1:26" ht="12.75" customHeight="1" x14ac:dyDescent="0.2">
      <c r="A60957" s="258"/>
      <c r="Z60957" s="258"/>
    </row>
    <row r="60958" spans="1:26" ht="12.75" customHeight="1" x14ac:dyDescent="0.2">
      <c r="A60958" s="258"/>
      <c r="Z60958" s="258"/>
    </row>
    <row r="60959" spans="1:26" ht="12.75" customHeight="1" x14ac:dyDescent="0.2">
      <c r="A60959" s="258"/>
      <c r="Z60959" s="258"/>
    </row>
    <row r="60960" spans="1:26" ht="12.75" customHeight="1" x14ac:dyDescent="0.2">
      <c r="A60960" s="258"/>
      <c r="Z60960" s="258"/>
    </row>
    <row r="60961" spans="1:26" ht="12.75" customHeight="1" x14ac:dyDescent="0.2">
      <c r="A60961" s="258"/>
      <c r="Z60961" s="258"/>
    </row>
    <row r="60962" spans="1:26" ht="12.75" customHeight="1" x14ac:dyDescent="0.2">
      <c r="A60962" s="258"/>
      <c r="Z60962" s="258"/>
    </row>
    <row r="60963" spans="1:26" ht="12.75" customHeight="1" x14ac:dyDescent="0.2">
      <c r="A60963" s="258"/>
      <c r="Z60963" s="258"/>
    </row>
    <row r="60964" spans="1:26" ht="12.75" customHeight="1" x14ac:dyDescent="0.2">
      <c r="A60964" s="258"/>
      <c r="Z60964" s="258"/>
    </row>
    <row r="60965" spans="1:26" ht="12.75" customHeight="1" x14ac:dyDescent="0.2">
      <c r="A60965" s="258"/>
      <c r="Z60965" s="258"/>
    </row>
    <row r="60966" spans="1:26" ht="12.75" customHeight="1" x14ac:dyDescent="0.2">
      <c r="A60966" s="258"/>
      <c r="Z60966" s="258"/>
    </row>
    <row r="60967" spans="1:26" ht="12.75" customHeight="1" x14ac:dyDescent="0.2">
      <c r="A60967" s="258"/>
      <c r="Z60967" s="258"/>
    </row>
    <row r="60968" spans="1:26" ht="12.75" customHeight="1" x14ac:dyDescent="0.2">
      <c r="A60968" s="258"/>
      <c r="Z60968" s="258"/>
    </row>
    <row r="60969" spans="1:26" ht="12.75" customHeight="1" x14ac:dyDescent="0.2">
      <c r="A60969" s="258"/>
      <c r="Z60969" s="258"/>
    </row>
    <row r="60970" spans="1:26" ht="12.75" customHeight="1" x14ac:dyDescent="0.2">
      <c r="A60970" s="258"/>
      <c r="Z60970" s="258"/>
    </row>
    <row r="60971" spans="1:26" ht="12.75" customHeight="1" x14ac:dyDescent="0.2">
      <c r="A60971" s="258"/>
      <c r="Z60971" s="258"/>
    </row>
    <row r="60972" spans="1:26" ht="12.75" customHeight="1" x14ac:dyDescent="0.2">
      <c r="A60972" s="258"/>
      <c r="Z60972" s="258"/>
    </row>
    <row r="60973" spans="1:26" ht="12.75" customHeight="1" x14ac:dyDescent="0.2">
      <c r="A60973" s="258"/>
      <c r="Z60973" s="258"/>
    </row>
    <row r="60974" spans="1:26" ht="12.75" customHeight="1" x14ac:dyDescent="0.2">
      <c r="A60974" s="258"/>
      <c r="Z60974" s="258"/>
    </row>
    <row r="60975" spans="1:26" ht="12.75" customHeight="1" x14ac:dyDescent="0.2">
      <c r="A60975" s="258"/>
      <c r="Z60975" s="258"/>
    </row>
    <row r="60976" spans="1:26" ht="12.75" customHeight="1" x14ac:dyDescent="0.2">
      <c r="A60976" s="258"/>
      <c r="Z60976" s="258"/>
    </row>
    <row r="60977" spans="1:26" ht="12.75" customHeight="1" x14ac:dyDescent="0.2">
      <c r="A60977" s="258"/>
      <c r="Z60977" s="258"/>
    </row>
    <row r="60978" spans="1:26" ht="12.75" customHeight="1" x14ac:dyDescent="0.2">
      <c r="A60978" s="258"/>
      <c r="Z60978" s="258"/>
    </row>
    <row r="60979" spans="1:26" ht="12.75" customHeight="1" x14ac:dyDescent="0.2">
      <c r="A60979" s="258"/>
      <c r="Z60979" s="258"/>
    </row>
    <row r="60980" spans="1:26" ht="12.75" customHeight="1" x14ac:dyDescent="0.2">
      <c r="A60980" s="258"/>
      <c r="Z60980" s="258"/>
    </row>
    <row r="60981" spans="1:26" ht="12.75" customHeight="1" x14ac:dyDescent="0.2">
      <c r="A60981" s="258"/>
      <c r="Z60981" s="258"/>
    </row>
    <row r="60982" spans="1:26" ht="12.75" customHeight="1" x14ac:dyDescent="0.2">
      <c r="A60982" s="258"/>
      <c r="Z60982" s="258"/>
    </row>
    <row r="60983" spans="1:26" ht="12.75" customHeight="1" x14ac:dyDescent="0.2">
      <c r="A60983" s="258"/>
      <c r="Z60983" s="258"/>
    </row>
    <row r="60984" spans="1:26" ht="12.75" customHeight="1" x14ac:dyDescent="0.2">
      <c r="A60984" s="258"/>
      <c r="Z60984" s="258"/>
    </row>
    <row r="60985" spans="1:26" ht="12.75" customHeight="1" x14ac:dyDescent="0.2">
      <c r="A60985" s="258"/>
      <c r="Z60985" s="258"/>
    </row>
    <row r="60986" spans="1:26" ht="12.75" customHeight="1" x14ac:dyDescent="0.2">
      <c r="A60986" s="258"/>
      <c r="Z60986" s="258"/>
    </row>
    <row r="60987" spans="1:26" ht="12.75" customHeight="1" x14ac:dyDescent="0.2">
      <c r="A60987" s="258"/>
      <c r="Z60987" s="258"/>
    </row>
    <row r="60988" spans="1:26" ht="12.75" customHeight="1" x14ac:dyDescent="0.2">
      <c r="A60988" s="258"/>
      <c r="Z60988" s="258"/>
    </row>
    <row r="60989" spans="1:26" ht="12.75" customHeight="1" x14ac:dyDescent="0.2">
      <c r="A60989" s="258"/>
      <c r="Z60989" s="258"/>
    </row>
    <row r="60990" spans="1:26" ht="12.75" customHeight="1" x14ac:dyDescent="0.2">
      <c r="A60990" s="258"/>
      <c r="Z60990" s="258"/>
    </row>
    <row r="60991" spans="1:26" ht="12.75" customHeight="1" x14ac:dyDescent="0.2">
      <c r="A60991" s="258"/>
      <c r="Z60991" s="258"/>
    </row>
    <row r="60992" spans="1:26" ht="12.75" customHeight="1" x14ac:dyDescent="0.2">
      <c r="A60992" s="258"/>
      <c r="Z60992" s="258"/>
    </row>
    <row r="60993" spans="1:26" ht="12.75" customHeight="1" x14ac:dyDescent="0.2">
      <c r="A60993" s="258"/>
      <c r="Z60993" s="258"/>
    </row>
    <row r="60994" spans="1:26" ht="12.75" customHeight="1" x14ac:dyDescent="0.2">
      <c r="A60994" s="258"/>
      <c r="Z60994" s="258"/>
    </row>
    <row r="60995" spans="1:26" ht="12.75" customHeight="1" x14ac:dyDescent="0.2">
      <c r="A60995" s="258"/>
      <c r="Z60995" s="258"/>
    </row>
    <row r="60996" spans="1:26" ht="12.75" customHeight="1" x14ac:dyDescent="0.2">
      <c r="A60996" s="258"/>
      <c r="Z60996" s="258"/>
    </row>
    <row r="60997" spans="1:26" ht="12.75" customHeight="1" x14ac:dyDescent="0.2">
      <c r="A60997" s="258"/>
      <c r="Z60997" s="258"/>
    </row>
    <row r="60998" spans="1:26" ht="12.75" customHeight="1" x14ac:dyDescent="0.2">
      <c r="A60998" s="258"/>
      <c r="Z60998" s="258"/>
    </row>
    <row r="60999" spans="1:26" ht="12.75" customHeight="1" x14ac:dyDescent="0.2">
      <c r="A60999" s="258"/>
      <c r="Z60999" s="258"/>
    </row>
    <row r="61000" spans="1:26" ht="12.75" customHeight="1" x14ac:dyDescent="0.2">
      <c r="A61000" s="258"/>
      <c r="Z61000" s="258"/>
    </row>
    <row r="61001" spans="1:26" ht="12.75" customHeight="1" x14ac:dyDescent="0.2">
      <c r="A61001" s="258"/>
      <c r="Z61001" s="258"/>
    </row>
    <row r="61002" spans="1:26" ht="12.75" customHeight="1" x14ac:dyDescent="0.2">
      <c r="A61002" s="258"/>
      <c r="Z61002" s="258"/>
    </row>
    <row r="61003" spans="1:26" ht="12.75" customHeight="1" x14ac:dyDescent="0.2">
      <c r="A61003" s="258"/>
      <c r="Z61003" s="258"/>
    </row>
    <row r="61004" spans="1:26" ht="12.75" customHeight="1" x14ac:dyDescent="0.2">
      <c r="A61004" s="258"/>
      <c r="Z61004" s="258"/>
    </row>
    <row r="61005" spans="1:26" ht="12.75" customHeight="1" x14ac:dyDescent="0.2">
      <c r="A61005" s="258"/>
      <c r="Z61005" s="258"/>
    </row>
    <row r="61006" spans="1:26" ht="12.75" customHeight="1" x14ac:dyDescent="0.2">
      <c r="A61006" s="258"/>
      <c r="Z61006" s="258"/>
    </row>
    <row r="61007" spans="1:26" ht="12.75" customHeight="1" x14ac:dyDescent="0.2">
      <c r="A61007" s="258"/>
      <c r="Z61007" s="258"/>
    </row>
    <row r="61008" spans="1:26" ht="12.75" customHeight="1" x14ac:dyDescent="0.2">
      <c r="A61008" s="258"/>
      <c r="Z61008" s="258"/>
    </row>
    <row r="61009" spans="1:26" ht="12.75" customHeight="1" x14ac:dyDescent="0.2">
      <c r="A61009" s="258"/>
      <c r="Z61009" s="258"/>
    </row>
    <row r="61010" spans="1:26" ht="12.75" customHeight="1" x14ac:dyDescent="0.2">
      <c r="A61010" s="258"/>
      <c r="Z61010" s="258"/>
    </row>
    <row r="61011" spans="1:26" ht="12.75" customHeight="1" x14ac:dyDescent="0.2">
      <c r="A61011" s="258"/>
      <c r="Z61011" s="258"/>
    </row>
    <row r="61012" spans="1:26" ht="12.75" customHeight="1" x14ac:dyDescent="0.2">
      <c r="A61012" s="258"/>
      <c r="Z61012" s="258"/>
    </row>
    <row r="61013" spans="1:26" ht="12.75" customHeight="1" x14ac:dyDescent="0.2">
      <c r="A61013" s="258"/>
      <c r="Z61013" s="258"/>
    </row>
    <row r="61014" spans="1:26" ht="12.75" customHeight="1" x14ac:dyDescent="0.2">
      <c r="A61014" s="258"/>
      <c r="Z61014" s="258"/>
    </row>
    <row r="61015" spans="1:26" ht="12.75" customHeight="1" x14ac:dyDescent="0.2">
      <c r="A61015" s="258"/>
      <c r="Z61015" s="258"/>
    </row>
    <row r="61016" spans="1:26" ht="12.75" customHeight="1" x14ac:dyDescent="0.2">
      <c r="A61016" s="258"/>
      <c r="Z61016" s="258"/>
    </row>
    <row r="61017" spans="1:26" ht="12.75" customHeight="1" x14ac:dyDescent="0.2">
      <c r="A61017" s="258"/>
      <c r="Z61017" s="258"/>
    </row>
    <row r="61018" spans="1:26" ht="12.75" customHeight="1" x14ac:dyDescent="0.2">
      <c r="A61018" s="258"/>
      <c r="Z61018" s="258"/>
    </row>
    <row r="61019" spans="1:26" ht="12.75" customHeight="1" x14ac:dyDescent="0.2">
      <c r="A61019" s="258"/>
      <c r="Z61019" s="258"/>
    </row>
    <row r="61020" spans="1:26" ht="12.75" customHeight="1" x14ac:dyDescent="0.2">
      <c r="A61020" s="258"/>
      <c r="Z61020" s="258"/>
    </row>
    <row r="61021" spans="1:26" ht="12.75" customHeight="1" x14ac:dyDescent="0.2">
      <c r="A61021" s="258"/>
      <c r="Z61021" s="258"/>
    </row>
    <row r="61022" spans="1:26" ht="12.75" customHeight="1" x14ac:dyDescent="0.2">
      <c r="A61022" s="258"/>
      <c r="Z61022" s="258"/>
    </row>
    <row r="61023" spans="1:26" ht="12.75" customHeight="1" x14ac:dyDescent="0.2">
      <c r="A61023" s="258"/>
      <c r="Z61023" s="258"/>
    </row>
    <row r="61024" spans="1:26" ht="12.75" customHeight="1" x14ac:dyDescent="0.2">
      <c r="A61024" s="258"/>
      <c r="Z61024" s="258"/>
    </row>
    <row r="61025" spans="1:26" ht="12.75" customHeight="1" x14ac:dyDescent="0.2">
      <c r="A61025" s="258"/>
      <c r="Z61025" s="258"/>
    </row>
    <row r="61026" spans="1:26" ht="12.75" customHeight="1" x14ac:dyDescent="0.2">
      <c r="A61026" s="258"/>
      <c r="Z61026" s="258"/>
    </row>
    <row r="61027" spans="1:26" ht="12.75" customHeight="1" x14ac:dyDescent="0.2">
      <c r="A61027" s="258"/>
      <c r="Z61027" s="258"/>
    </row>
    <row r="61028" spans="1:26" ht="12.75" customHeight="1" x14ac:dyDescent="0.2">
      <c r="A61028" s="258"/>
      <c r="Z61028" s="258"/>
    </row>
    <row r="61029" spans="1:26" ht="12.75" customHeight="1" x14ac:dyDescent="0.2">
      <c r="A61029" s="258"/>
      <c r="Z61029" s="258"/>
    </row>
    <row r="61030" spans="1:26" ht="12.75" customHeight="1" x14ac:dyDescent="0.2">
      <c r="A61030" s="258"/>
      <c r="Z61030" s="258"/>
    </row>
    <row r="61031" spans="1:26" ht="12.75" customHeight="1" x14ac:dyDescent="0.2">
      <c r="A61031" s="258"/>
      <c r="Z61031" s="258"/>
    </row>
    <row r="61032" spans="1:26" ht="12.75" customHeight="1" x14ac:dyDescent="0.2">
      <c r="A61032" s="258"/>
      <c r="Z61032" s="258"/>
    </row>
    <row r="61033" spans="1:26" ht="12.75" customHeight="1" x14ac:dyDescent="0.2">
      <c r="A61033" s="258"/>
      <c r="Z61033" s="258"/>
    </row>
    <row r="61034" spans="1:26" ht="12.75" customHeight="1" x14ac:dyDescent="0.2">
      <c r="A61034" s="258"/>
      <c r="Z61034" s="258"/>
    </row>
    <row r="61035" spans="1:26" ht="12.75" customHeight="1" x14ac:dyDescent="0.2">
      <c r="A61035" s="258"/>
      <c r="Z61035" s="258"/>
    </row>
    <row r="61036" spans="1:26" ht="12.75" customHeight="1" x14ac:dyDescent="0.2">
      <c r="A61036" s="258"/>
      <c r="Z61036" s="258"/>
    </row>
    <row r="61037" spans="1:26" ht="12.75" customHeight="1" x14ac:dyDescent="0.2">
      <c r="A61037" s="258"/>
      <c r="Z61037" s="258"/>
    </row>
    <row r="61038" spans="1:26" ht="12.75" customHeight="1" x14ac:dyDescent="0.2">
      <c r="A61038" s="258"/>
      <c r="Z61038" s="258"/>
    </row>
    <row r="61039" spans="1:26" ht="12.75" customHeight="1" x14ac:dyDescent="0.2">
      <c r="A61039" s="258"/>
      <c r="Z61039" s="258"/>
    </row>
    <row r="61040" spans="1:26" ht="12.75" customHeight="1" x14ac:dyDescent="0.2">
      <c r="A61040" s="258"/>
      <c r="Z61040" s="258"/>
    </row>
    <row r="61041" spans="1:26" ht="12.75" customHeight="1" x14ac:dyDescent="0.2">
      <c r="A61041" s="258"/>
      <c r="Z61041" s="258"/>
    </row>
    <row r="61042" spans="1:26" ht="12.75" customHeight="1" x14ac:dyDescent="0.2">
      <c r="A61042" s="258"/>
      <c r="Z61042" s="258"/>
    </row>
    <row r="61043" spans="1:26" ht="12.75" customHeight="1" x14ac:dyDescent="0.2">
      <c r="A61043" s="258"/>
      <c r="Z61043" s="258"/>
    </row>
    <row r="61044" spans="1:26" ht="12.75" customHeight="1" x14ac:dyDescent="0.2">
      <c r="A61044" s="258"/>
      <c r="Z61044" s="258"/>
    </row>
    <row r="61045" spans="1:26" ht="12.75" customHeight="1" x14ac:dyDescent="0.2">
      <c r="A61045" s="258"/>
      <c r="Z61045" s="258"/>
    </row>
    <row r="61046" spans="1:26" ht="12.75" customHeight="1" x14ac:dyDescent="0.2">
      <c r="A61046" s="258"/>
      <c r="Z61046" s="258"/>
    </row>
    <row r="61047" spans="1:26" ht="12.75" customHeight="1" x14ac:dyDescent="0.2">
      <c r="A61047" s="258"/>
      <c r="Z61047" s="258"/>
    </row>
    <row r="61048" spans="1:26" ht="12.75" customHeight="1" x14ac:dyDescent="0.2">
      <c r="A61048" s="258"/>
      <c r="Z61048" s="258"/>
    </row>
    <row r="61049" spans="1:26" ht="12.75" customHeight="1" x14ac:dyDescent="0.2">
      <c r="A61049" s="258"/>
      <c r="Z61049" s="258"/>
    </row>
    <row r="61050" spans="1:26" ht="12.75" customHeight="1" x14ac:dyDescent="0.2">
      <c r="A61050" s="258"/>
      <c r="Z61050" s="258"/>
    </row>
    <row r="61051" spans="1:26" ht="12.75" customHeight="1" x14ac:dyDescent="0.2">
      <c r="A61051" s="258"/>
      <c r="Z61051" s="258"/>
    </row>
    <row r="61052" spans="1:26" ht="12.75" customHeight="1" x14ac:dyDescent="0.2">
      <c r="A61052" s="258"/>
      <c r="Z61052" s="258"/>
    </row>
    <row r="61053" spans="1:26" ht="12.75" customHeight="1" x14ac:dyDescent="0.2">
      <c r="A61053" s="258"/>
      <c r="Z61053" s="258"/>
    </row>
    <row r="61054" spans="1:26" ht="12.75" customHeight="1" x14ac:dyDescent="0.2">
      <c r="A61054" s="258"/>
      <c r="Z61054" s="258"/>
    </row>
    <row r="61055" spans="1:26" ht="12.75" customHeight="1" x14ac:dyDescent="0.2">
      <c r="A61055" s="258"/>
      <c r="Z61055" s="258"/>
    </row>
    <row r="61056" spans="1:26" ht="12.75" customHeight="1" x14ac:dyDescent="0.2">
      <c r="A61056" s="258"/>
      <c r="Z61056" s="258"/>
    </row>
    <row r="61057" spans="1:26" ht="12.75" customHeight="1" x14ac:dyDescent="0.2">
      <c r="A61057" s="258"/>
      <c r="Z61057" s="258"/>
    </row>
    <row r="61058" spans="1:26" ht="12.75" customHeight="1" x14ac:dyDescent="0.2">
      <c r="A61058" s="258"/>
      <c r="Z61058" s="258"/>
    </row>
    <row r="61059" spans="1:26" ht="12.75" customHeight="1" x14ac:dyDescent="0.2">
      <c r="A61059" s="258"/>
      <c r="Z61059" s="258"/>
    </row>
    <row r="61060" spans="1:26" ht="12.75" customHeight="1" x14ac:dyDescent="0.2">
      <c r="A61060" s="258"/>
      <c r="Z61060" s="258"/>
    </row>
    <row r="61061" spans="1:26" ht="12.75" customHeight="1" x14ac:dyDescent="0.2">
      <c r="A61061" s="258"/>
      <c r="Z61061" s="258"/>
    </row>
    <row r="61062" spans="1:26" ht="12.75" customHeight="1" x14ac:dyDescent="0.2">
      <c r="A61062" s="258"/>
      <c r="Z61062" s="258"/>
    </row>
    <row r="61063" spans="1:26" ht="12.75" customHeight="1" x14ac:dyDescent="0.2">
      <c r="A61063" s="258"/>
      <c r="Z61063" s="258"/>
    </row>
    <row r="61064" spans="1:26" ht="12.75" customHeight="1" x14ac:dyDescent="0.2">
      <c r="A61064" s="258"/>
      <c r="Z61064" s="258"/>
    </row>
    <row r="61065" spans="1:26" ht="12.75" customHeight="1" x14ac:dyDescent="0.2">
      <c r="A61065" s="258"/>
      <c r="Z61065" s="258"/>
    </row>
    <row r="61066" spans="1:26" ht="12.75" customHeight="1" x14ac:dyDescent="0.2">
      <c r="A61066" s="258"/>
      <c r="Z61066" s="258"/>
    </row>
    <row r="61067" spans="1:26" ht="12.75" customHeight="1" x14ac:dyDescent="0.2">
      <c r="A61067" s="258"/>
      <c r="Z61067" s="258"/>
    </row>
    <row r="61068" spans="1:26" ht="12.75" customHeight="1" x14ac:dyDescent="0.2">
      <c r="A61068" s="258"/>
      <c r="Z61068" s="258"/>
    </row>
    <row r="61069" spans="1:26" ht="12.75" customHeight="1" x14ac:dyDescent="0.2">
      <c r="A61069" s="258"/>
      <c r="Z61069" s="258"/>
    </row>
    <row r="61070" spans="1:26" ht="12.75" customHeight="1" x14ac:dyDescent="0.2">
      <c r="A61070" s="258"/>
      <c r="Z61070" s="258"/>
    </row>
    <row r="61071" spans="1:26" ht="12.75" customHeight="1" x14ac:dyDescent="0.2">
      <c r="A61071" s="258"/>
      <c r="Z61071" s="258"/>
    </row>
    <row r="61072" spans="1:26" ht="12.75" customHeight="1" x14ac:dyDescent="0.2">
      <c r="A61072" s="258"/>
      <c r="Z61072" s="258"/>
    </row>
    <row r="61073" spans="1:26" ht="12.75" customHeight="1" x14ac:dyDescent="0.2">
      <c r="A61073" s="258"/>
      <c r="Z61073" s="258"/>
    </row>
    <row r="61074" spans="1:26" ht="12.75" customHeight="1" x14ac:dyDescent="0.2">
      <c r="A61074" s="258"/>
      <c r="Z61074" s="258"/>
    </row>
    <row r="61075" spans="1:26" ht="12.75" customHeight="1" x14ac:dyDescent="0.2">
      <c r="A61075" s="258"/>
      <c r="Z61075" s="258"/>
    </row>
    <row r="61076" spans="1:26" ht="12.75" customHeight="1" x14ac:dyDescent="0.2">
      <c r="A61076" s="258"/>
      <c r="Z61076" s="258"/>
    </row>
    <row r="61077" spans="1:26" ht="12.75" customHeight="1" x14ac:dyDescent="0.2">
      <c r="A61077" s="258"/>
      <c r="Z61077" s="258"/>
    </row>
    <row r="61078" spans="1:26" ht="12.75" customHeight="1" x14ac:dyDescent="0.2">
      <c r="A61078" s="258"/>
      <c r="Z61078" s="258"/>
    </row>
    <row r="61079" spans="1:26" ht="12.75" customHeight="1" x14ac:dyDescent="0.2">
      <c r="A61079" s="258"/>
      <c r="Z61079" s="258"/>
    </row>
    <row r="61080" spans="1:26" ht="12.75" customHeight="1" x14ac:dyDescent="0.2">
      <c r="A61080" s="258"/>
      <c r="Z61080" s="258"/>
    </row>
    <row r="61081" spans="1:26" ht="12.75" customHeight="1" x14ac:dyDescent="0.2">
      <c r="A61081" s="258"/>
      <c r="Z61081" s="258"/>
    </row>
    <row r="61082" spans="1:26" ht="12.75" customHeight="1" x14ac:dyDescent="0.2">
      <c r="A61082" s="258"/>
      <c r="Z61082" s="258"/>
    </row>
    <row r="61083" spans="1:26" ht="12.75" customHeight="1" x14ac:dyDescent="0.2">
      <c r="A61083" s="258"/>
      <c r="Z61083" s="258"/>
    </row>
    <row r="61084" spans="1:26" ht="12.75" customHeight="1" x14ac:dyDescent="0.2">
      <c r="A61084" s="258"/>
      <c r="Z61084" s="258"/>
    </row>
    <row r="61085" spans="1:26" ht="12.75" customHeight="1" x14ac:dyDescent="0.2">
      <c r="A61085" s="258"/>
      <c r="Z61085" s="258"/>
    </row>
    <row r="61086" spans="1:26" ht="12.75" customHeight="1" x14ac:dyDescent="0.2">
      <c r="A61086" s="258"/>
      <c r="Z61086" s="258"/>
    </row>
    <row r="61087" spans="1:26" ht="12.75" customHeight="1" x14ac:dyDescent="0.2">
      <c r="A61087" s="258"/>
      <c r="Z61087" s="258"/>
    </row>
    <row r="61088" spans="1:26" ht="12.75" customHeight="1" x14ac:dyDescent="0.2">
      <c r="A61088" s="258"/>
      <c r="Z61088" s="258"/>
    </row>
    <row r="61089" spans="1:26" ht="12.75" customHeight="1" x14ac:dyDescent="0.2">
      <c r="A61089" s="258"/>
      <c r="Z61089" s="258"/>
    </row>
    <row r="61090" spans="1:26" ht="12.75" customHeight="1" x14ac:dyDescent="0.2">
      <c r="A61090" s="258"/>
      <c r="Z61090" s="258"/>
    </row>
    <row r="61091" spans="1:26" ht="12.75" customHeight="1" x14ac:dyDescent="0.2">
      <c r="A61091" s="258"/>
      <c r="Z61091" s="258"/>
    </row>
    <row r="61092" spans="1:26" ht="12.75" customHeight="1" x14ac:dyDescent="0.2">
      <c r="A61092" s="258"/>
      <c r="Z61092" s="258"/>
    </row>
    <row r="61093" spans="1:26" ht="12.75" customHeight="1" x14ac:dyDescent="0.2">
      <c r="A61093" s="258"/>
      <c r="Z61093" s="258"/>
    </row>
    <row r="61094" spans="1:26" ht="12.75" customHeight="1" x14ac:dyDescent="0.2">
      <c r="A61094" s="258"/>
      <c r="Z61094" s="258"/>
    </row>
    <row r="61095" spans="1:26" ht="12.75" customHeight="1" x14ac:dyDescent="0.2">
      <c r="A61095" s="258"/>
      <c r="Z61095" s="258"/>
    </row>
    <row r="61096" spans="1:26" ht="12.75" customHeight="1" x14ac:dyDescent="0.2">
      <c r="A61096" s="258"/>
      <c r="Z61096" s="258"/>
    </row>
    <row r="61097" spans="1:26" ht="12.75" customHeight="1" x14ac:dyDescent="0.2">
      <c r="A61097" s="258"/>
      <c r="Z61097" s="258"/>
    </row>
    <row r="61098" spans="1:26" ht="12.75" customHeight="1" x14ac:dyDescent="0.2">
      <c r="A61098" s="258"/>
      <c r="Z61098" s="258"/>
    </row>
    <row r="61099" spans="1:26" ht="12.75" customHeight="1" x14ac:dyDescent="0.2">
      <c r="A61099" s="258"/>
      <c r="Z61099" s="258"/>
    </row>
    <row r="61100" spans="1:26" ht="12.75" customHeight="1" x14ac:dyDescent="0.2">
      <c r="A61100" s="258"/>
      <c r="Z61100" s="258"/>
    </row>
    <row r="61101" spans="1:26" ht="12.75" customHeight="1" x14ac:dyDescent="0.2">
      <c r="A61101" s="258"/>
      <c r="Z61101" s="258"/>
    </row>
    <row r="61102" spans="1:26" ht="12.75" customHeight="1" x14ac:dyDescent="0.2">
      <c r="A61102" s="258"/>
      <c r="Z61102" s="258"/>
    </row>
    <row r="61103" spans="1:26" ht="12.75" customHeight="1" x14ac:dyDescent="0.2">
      <c r="A61103" s="258"/>
      <c r="Z61103" s="258"/>
    </row>
    <row r="61104" spans="1:26" ht="12.75" customHeight="1" x14ac:dyDescent="0.2">
      <c r="A61104" s="258"/>
      <c r="Z61104" s="258"/>
    </row>
    <row r="61105" spans="1:26" ht="12.75" customHeight="1" x14ac:dyDescent="0.2">
      <c r="A61105" s="258"/>
      <c r="Z61105" s="258"/>
    </row>
    <row r="61106" spans="1:26" ht="12.75" customHeight="1" x14ac:dyDescent="0.2">
      <c r="A61106" s="258"/>
      <c r="Z61106" s="258"/>
    </row>
    <row r="61107" spans="1:26" ht="12.75" customHeight="1" x14ac:dyDescent="0.2">
      <c r="A61107" s="258"/>
      <c r="Z61107" s="258"/>
    </row>
    <row r="61108" spans="1:26" ht="12.75" customHeight="1" x14ac:dyDescent="0.2">
      <c r="A61108" s="258"/>
      <c r="Z61108" s="258"/>
    </row>
    <row r="61109" spans="1:26" ht="12.75" customHeight="1" x14ac:dyDescent="0.2">
      <c r="A61109" s="258"/>
      <c r="Z61109" s="258"/>
    </row>
    <row r="61110" spans="1:26" ht="12.75" customHeight="1" x14ac:dyDescent="0.2">
      <c r="A61110" s="258"/>
      <c r="Z61110" s="258"/>
    </row>
    <row r="61111" spans="1:26" ht="12.75" customHeight="1" x14ac:dyDescent="0.2">
      <c r="A61111" s="258"/>
      <c r="Z61111" s="258"/>
    </row>
    <row r="61112" spans="1:26" ht="12.75" customHeight="1" x14ac:dyDescent="0.2">
      <c r="A61112" s="258"/>
      <c r="Z61112" s="258"/>
    </row>
    <row r="61113" spans="1:26" ht="12.75" customHeight="1" x14ac:dyDescent="0.2">
      <c r="A61113" s="258"/>
      <c r="Z61113" s="258"/>
    </row>
    <row r="61114" spans="1:26" ht="12.75" customHeight="1" x14ac:dyDescent="0.2">
      <c r="A61114" s="258"/>
      <c r="Z61114" s="258"/>
    </row>
    <row r="61115" spans="1:26" ht="12.75" customHeight="1" x14ac:dyDescent="0.2">
      <c r="A61115" s="258"/>
      <c r="Z61115" s="258"/>
    </row>
    <row r="61116" spans="1:26" ht="12.75" customHeight="1" x14ac:dyDescent="0.2">
      <c r="A61116" s="258"/>
      <c r="Z61116" s="258"/>
    </row>
    <row r="61117" spans="1:26" ht="12.75" customHeight="1" x14ac:dyDescent="0.2">
      <c r="A61117" s="258"/>
      <c r="Z61117" s="258"/>
    </row>
    <row r="61118" spans="1:26" ht="12.75" customHeight="1" x14ac:dyDescent="0.2">
      <c r="A61118" s="258"/>
      <c r="Z61118" s="258"/>
    </row>
    <row r="61119" spans="1:26" ht="12.75" customHeight="1" x14ac:dyDescent="0.2">
      <c r="A61119" s="258"/>
      <c r="Z61119" s="258"/>
    </row>
    <row r="61120" spans="1:26" ht="12.75" customHeight="1" x14ac:dyDescent="0.2">
      <c r="A61120" s="258"/>
      <c r="Z61120" s="258"/>
    </row>
    <row r="61121" spans="1:26" ht="12.75" customHeight="1" x14ac:dyDescent="0.2">
      <c r="A61121" s="258"/>
      <c r="Z61121" s="258"/>
    </row>
    <row r="61122" spans="1:26" ht="12.75" customHeight="1" x14ac:dyDescent="0.2">
      <c r="A61122" s="258"/>
      <c r="Z61122" s="258"/>
    </row>
    <row r="61123" spans="1:26" ht="12.75" customHeight="1" x14ac:dyDescent="0.2">
      <c r="A61123" s="258"/>
      <c r="Z61123" s="258"/>
    </row>
    <row r="61124" spans="1:26" ht="12.75" customHeight="1" x14ac:dyDescent="0.2">
      <c r="A61124" s="258"/>
      <c r="Z61124" s="258"/>
    </row>
    <row r="61125" spans="1:26" ht="12.75" customHeight="1" x14ac:dyDescent="0.2">
      <c r="A61125" s="258"/>
      <c r="Z61125" s="258"/>
    </row>
    <row r="61126" spans="1:26" ht="12.75" customHeight="1" x14ac:dyDescent="0.2">
      <c r="A61126" s="258"/>
      <c r="Z61126" s="258"/>
    </row>
    <row r="61127" spans="1:26" ht="12.75" customHeight="1" x14ac:dyDescent="0.2">
      <c r="A61127" s="258"/>
      <c r="Z61127" s="258"/>
    </row>
    <row r="61128" spans="1:26" ht="12.75" customHeight="1" x14ac:dyDescent="0.2">
      <c r="A61128" s="258"/>
      <c r="Z61128" s="258"/>
    </row>
    <row r="61129" spans="1:26" ht="12.75" customHeight="1" x14ac:dyDescent="0.2">
      <c r="A61129" s="258"/>
      <c r="Z61129" s="258"/>
    </row>
    <row r="61130" spans="1:26" ht="12.75" customHeight="1" x14ac:dyDescent="0.2">
      <c r="A61130" s="258"/>
      <c r="Z61130" s="258"/>
    </row>
    <row r="61131" spans="1:26" ht="12.75" customHeight="1" x14ac:dyDescent="0.2">
      <c r="A61131" s="258"/>
      <c r="Z61131" s="258"/>
    </row>
    <row r="61132" spans="1:26" ht="12.75" customHeight="1" x14ac:dyDescent="0.2">
      <c r="A61132" s="258"/>
      <c r="Z61132" s="258"/>
    </row>
    <row r="61133" spans="1:26" ht="12.75" customHeight="1" x14ac:dyDescent="0.2">
      <c r="A61133" s="258"/>
      <c r="Z61133" s="258"/>
    </row>
    <row r="61134" spans="1:26" ht="12.75" customHeight="1" x14ac:dyDescent="0.2">
      <c r="A61134" s="258"/>
      <c r="Z61134" s="258"/>
    </row>
    <row r="61135" spans="1:26" ht="12.75" customHeight="1" x14ac:dyDescent="0.2">
      <c r="A61135" s="258"/>
      <c r="Z61135" s="258"/>
    </row>
    <row r="61136" spans="1:26" ht="12.75" customHeight="1" x14ac:dyDescent="0.2">
      <c r="A61136" s="258"/>
      <c r="Z61136" s="258"/>
    </row>
    <row r="61137" spans="1:26" ht="12.75" customHeight="1" x14ac:dyDescent="0.2">
      <c r="A61137" s="258"/>
      <c r="Z61137" s="258"/>
    </row>
    <row r="61138" spans="1:26" ht="12.75" customHeight="1" x14ac:dyDescent="0.2">
      <c r="A61138" s="258"/>
      <c r="Z61138" s="258"/>
    </row>
    <row r="61139" spans="1:26" ht="12.75" customHeight="1" x14ac:dyDescent="0.2">
      <c r="A61139" s="258"/>
      <c r="Z61139" s="258"/>
    </row>
    <row r="61140" spans="1:26" ht="12.75" customHeight="1" x14ac:dyDescent="0.2">
      <c r="A61140" s="258"/>
      <c r="Z61140" s="258"/>
    </row>
    <row r="61141" spans="1:26" ht="12.75" customHeight="1" x14ac:dyDescent="0.2">
      <c r="A61141" s="258"/>
      <c r="Z61141" s="258"/>
    </row>
    <row r="61142" spans="1:26" ht="12.75" customHeight="1" x14ac:dyDescent="0.2">
      <c r="A61142" s="258"/>
      <c r="Z61142" s="258"/>
    </row>
    <row r="61143" spans="1:26" ht="12.75" customHeight="1" x14ac:dyDescent="0.2">
      <c r="A61143" s="258"/>
      <c r="Z61143" s="258"/>
    </row>
    <row r="61144" spans="1:26" ht="12.75" customHeight="1" x14ac:dyDescent="0.2">
      <c r="A61144" s="258"/>
      <c r="Z61144" s="258"/>
    </row>
    <row r="61145" spans="1:26" ht="12.75" customHeight="1" x14ac:dyDescent="0.2">
      <c r="A61145" s="258"/>
      <c r="Z61145" s="258"/>
    </row>
    <row r="61146" spans="1:26" ht="12.75" customHeight="1" x14ac:dyDescent="0.2">
      <c r="A61146" s="258"/>
      <c r="Z61146" s="258"/>
    </row>
    <row r="61147" spans="1:26" ht="12.75" customHeight="1" x14ac:dyDescent="0.2">
      <c r="A61147" s="258"/>
      <c r="Z61147" s="258"/>
    </row>
    <row r="61148" spans="1:26" ht="12.75" customHeight="1" x14ac:dyDescent="0.2">
      <c r="A61148" s="258"/>
      <c r="Z61148" s="258"/>
    </row>
    <row r="61149" spans="1:26" ht="12.75" customHeight="1" x14ac:dyDescent="0.2">
      <c r="A61149" s="258"/>
      <c r="Z61149" s="258"/>
    </row>
    <row r="61150" spans="1:26" ht="12.75" customHeight="1" x14ac:dyDescent="0.2">
      <c r="A61150" s="258"/>
      <c r="Z61150" s="258"/>
    </row>
    <row r="61151" spans="1:26" ht="12.75" customHeight="1" x14ac:dyDescent="0.2">
      <c r="A61151" s="258"/>
      <c r="Z61151" s="258"/>
    </row>
    <row r="61152" spans="1:26" ht="12.75" customHeight="1" x14ac:dyDescent="0.2">
      <c r="A61152" s="258"/>
      <c r="Z61152" s="258"/>
    </row>
    <row r="61153" spans="1:26" ht="12.75" customHeight="1" x14ac:dyDescent="0.2">
      <c r="A61153" s="258"/>
      <c r="Z61153" s="258"/>
    </row>
    <row r="61154" spans="1:26" ht="12.75" customHeight="1" x14ac:dyDescent="0.2">
      <c r="A61154" s="258"/>
      <c r="Z61154" s="258"/>
    </row>
    <row r="61155" spans="1:26" ht="12.75" customHeight="1" x14ac:dyDescent="0.2">
      <c r="A61155" s="258"/>
      <c r="Z61155" s="258"/>
    </row>
    <row r="61156" spans="1:26" ht="12.75" customHeight="1" x14ac:dyDescent="0.2">
      <c r="A61156" s="258"/>
      <c r="Z61156" s="258"/>
    </row>
    <row r="61157" spans="1:26" ht="12.75" customHeight="1" x14ac:dyDescent="0.2">
      <c r="A61157" s="258"/>
      <c r="Z61157" s="258"/>
    </row>
    <row r="61158" spans="1:26" ht="12.75" customHeight="1" x14ac:dyDescent="0.2">
      <c r="A61158" s="258"/>
      <c r="Z61158" s="258"/>
    </row>
    <row r="61159" spans="1:26" ht="12.75" customHeight="1" x14ac:dyDescent="0.2">
      <c r="A61159" s="258"/>
      <c r="Z61159" s="258"/>
    </row>
    <row r="61160" spans="1:26" ht="12.75" customHeight="1" x14ac:dyDescent="0.2">
      <c r="A61160" s="258"/>
      <c r="Z61160" s="258"/>
    </row>
    <row r="61161" spans="1:26" ht="12.75" customHeight="1" x14ac:dyDescent="0.2">
      <c r="A61161" s="258"/>
      <c r="Z61161" s="258"/>
    </row>
    <row r="61162" spans="1:26" ht="12.75" customHeight="1" x14ac:dyDescent="0.2">
      <c r="A61162" s="258"/>
      <c r="Z61162" s="258"/>
    </row>
    <row r="61163" spans="1:26" ht="12.75" customHeight="1" x14ac:dyDescent="0.2">
      <c r="A61163" s="258"/>
      <c r="Z61163" s="258"/>
    </row>
    <row r="61164" spans="1:26" ht="12.75" customHeight="1" x14ac:dyDescent="0.2">
      <c r="A61164" s="258"/>
      <c r="Z61164" s="258"/>
    </row>
    <row r="61165" spans="1:26" ht="12.75" customHeight="1" x14ac:dyDescent="0.2">
      <c r="A61165" s="258"/>
      <c r="Z61165" s="258"/>
    </row>
    <row r="61166" spans="1:26" ht="12.75" customHeight="1" x14ac:dyDescent="0.2">
      <c r="A61166" s="258"/>
      <c r="Z61166" s="258"/>
    </row>
    <row r="61167" spans="1:26" ht="12.75" customHeight="1" x14ac:dyDescent="0.2">
      <c r="A61167" s="258"/>
      <c r="Z61167" s="258"/>
    </row>
    <row r="61168" spans="1:26" ht="12.75" customHeight="1" x14ac:dyDescent="0.2">
      <c r="A61168" s="258"/>
      <c r="Z61168" s="258"/>
    </row>
    <row r="61169" spans="1:26" ht="12.75" customHeight="1" x14ac:dyDescent="0.2">
      <c r="A61169" s="258"/>
      <c r="Z61169" s="258"/>
    </row>
    <row r="61170" spans="1:26" ht="12.75" customHeight="1" x14ac:dyDescent="0.2">
      <c r="A61170" s="258"/>
      <c r="Z61170" s="258"/>
    </row>
    <row r="61171" spans="1:26" ht="12.75" customHeight="1" x14ac:dyDescent="0.2">
      <c r="A61171" s="258"/>
      <c r="Z61171" s="258"/>
    </row>
    <row r="61172" spans="1:26" ht="12.75" customHeight="1" x14ac:dyDescent="0.2">
      <c r="A61172" s="258"/>
      <c r="Z61172" s="258"/>
    </row>
    <row r="61173" spans="1:26" ht="12.75" customHeight="1" x14ac:dyDescent="0.2">
      <c r="A61173" s="258"/>
      <c r="Z61173" s="258"/>
    </row>
    <row r="61174" spans="1:26" ht="12.75" customHeight="1" x14ac:dyDescent="0.2">
      <c r="A61174" s="258"/>
      <c r="Z61174" s="258"/>
    </row>
    <row r="61175" spans="1:26" ht="12.75" customHeight="1" x14ac:dyDescent="0.2">
      <c r="A61175" s="258"/>
      <c r="Z61175" s="258"/>
    </row>
    <row r="61176" spans="1:26" ht="12.75" customHeight="1" x14ac:dyDescent="0.2">
      <c r="A61176" s="258"/>
      <c r="Z61176" s="258"/>
    </row>
    <row r="61177" spans="1:26" ht="12.75" customHeight="1" x14ac:dyDescent="0.2">
      <c r="A61177" s="258"/>
      <c r="Z61177" s="258"/>
    </row>
    <row r="61178" spans="1:26" ht="12.75" customHeight="1" x14ac:dyDescent="0.2">
      <c r="A61178" s="258"/>
      <c r="Z61178" s="258"/>
    </row>
    <row r="61179" spans="1:26" ht="12.75" customHeight="1" x14ac:dyDescent="0.2">
      <c r="A61179" s="258"/>
      <c r="Z61179" s="258"/>
    </row>
    <row r="61180" spans="1:26" ht="12.75" customHeight="1" x14ac:dyDescent="0.2">
      <c r="A61180" s="258"/>
      <c r="Z61180" s="258"/>
    </row>
    <row r="61181" spans="1:26" ht="12.75" customHeight="1" x14ac:dyDescent="0.2">
      <c r="A61181" s="258"/>
      <c r="Z61181" s="258"/>
    </row>
    <row r="61182" spans="1:26" ht="12.75" customHeight="1" x14ac:dyDescent="0.2">
      <c r="A61182" s="258"/>
      <c r="Z61182" s="258"/>
    </row>
    <row r="61183" spans="1:26" ht="12.75" customHeight="1" x14ac:dyDescent="0.2">
      <c r="A61183" s="258"/>
      <c r="Z61183" s="258"/>
    </row>
    <row r="61184" spans="1:26" ht="12.75" customHeight="1" x14ac:dyDescent="0.2">
      <c r="A61184" s="258"/>
      <c r="Z61184" s="258"/>
    </row>
    <row r="61185" spans="1:26" ht="12.75" customHeight="1" x14ac:dyDescent="0.2">
      <c r="A61185" s="258"/>
      <c r="Z61185" s="258"/>
    </row>
    <row r="61186" spans="1:26" ht="12.75" customHeight="1" x14ac:dyDescent="0.2">
      <c r="A61186" s="258"/>
      <c r="Z61186" s="258"/>
    </row>
    <row r="61187" spans="1:26" ht="12.75" customHeight="1" x14ac:dyDescent="0.2">
      <c r="A61187" s="258"/>
      <c r="Z61187" s="258"/>
    </row>
    <row r="61188" spans="1:26" ht="12.75" customHeight="1" x14ac:dyDescent="0.2">
      <c r="A61188" s="258"/>
      <c r="Z61188" s="258"/>
    </row>
    <row r="61189" spans="1:26" ht="12.75" customHeight="1" x14ac:dyDescent="0.2">
      <c r="A61189" s="258"/>
      <c r="Z61189" s="258"/>
    </row>
    <row r="61190" spans="1:26" ht="12.75" customHeight="1" x14ac:dyDescent="0.2">
      <c r="A61190" s="258"/>
      <c r="Z61190" s="258"/>
    </row>
    <row r="61191" spans="1:26" ht="12.75" customHeight="1" x14ac:dyDescent="0.2">
      <c r="A61191" s="258"/>
      <c r="Z61191" s="258"/>
    </row>
    <row r="61192" spans="1:26" ht="12.75" customHeight="1" x14ac:dyDescent="0.2">
      <c r="A61192" s="258"/>
      <c r="Z61192" s="258"/>
    </row>
    <row r="61193" spans="1:26" ht="12.75" customHeight="1" x14ac:dyDescent="0.2">
      <c r="A61193" s="258"/>
      <c r="Z61193" s="258"/>
    </row>
    <row r="61194" spans="1:26" ht="12.75" customHeight="1" x14ac:dyDescent="0.2">
      <c r="A61194" s="258"/>
      <c r="Z61194" s="258"/>
    </row>
    <row r="61195" spans="1:26" ht="12.75" customHeight="1" x14ac:dyDescent="0.2">
      <c r="A61195" s="258"/>
      <c r="Z61195" s="258"/>
    </row>
    <row r="61196" spans="1:26" ht="12.75" customHeight="1" x14ac:dyDescent="0.2">
      <c r="A61196" s="258"/>
      <c r="Z61196" s="258"/>
    </row>
    <row r="61197" spans="1:26" ht="12.75" customHeight="1" x14ac:dyDescent="0.2">
      <c r="A61197" s="258"/>
      <c r="Z61197" s="258"/>
    </row>
    <row r="61198" spans="1:26" ht="12.75" customHeight="1" x14ac:dyDescent="0.2">
      <c r="A61198" s="258"/>
      <c r="Z61198" s="258"/>
    </row>
    <row r="61199" spans="1:26" ht="12.75" customHeight="1" x14ac:dyDescent="0.2">
      <c r="A61199" s="258"/>
      <c r="Z61199" s="258"/>
    </row>
    <row r="61200" spans="1:26" ht="12.75" customHeight="1" x14ac:dyDescent="0.2">
      <c r="A61200" s="258"/>
      <c r="Z61200" s="258"/>
    </row>
    <row r="61201" spans="1:26" ht="12.75" customHeight="1" x14ac:dyDescent="0.2">
      <c r="A61201" s="258"/>
      <c r="Z61201" s="258"/>
    </row>
    <row r="61202" spans="1:26" ht="12.75" customHeight="1" x14ac:dyDescent="0.2">
      <c r="A61202" s="258"/>
      <c r="Z61202" s="258"/>
    </row>
    <row r="61203" spans="1:26" ht="12.75" customHeight="1" x14ac:dyDescent="0.2">
      <c r="A61203" s="258"/>
      <c r="Z61203" s="258"/>
    </row>
    <row r="61204" spans="1:26" ht="12.75" customHeight="1" x14ac:dyDescent="0.2">
      <c r="A61204" s="258"/>
      <c r="Z61204" s="258"/>
    </row>
    <row r="61205" spans="1:26" ht="12.75" customHeight="1" x14ac:dyDescent="0.2">
      <c r="A61205" s="258"/>
      <c r="Z61205" s="258"/>
    </row>
    <row r="61206" spans="1:26" ht="12.75" customHeight="1" x14ac:dyDescent="0.2">
      <c r="A61206" s="258"/>
      <c r="Z61206" s="258"/>
    </row>
    <row r="61207" spans="1:26" ht="12.75" customHeight="1" x14ac:dyDescent="0.2">
      <c r="A61207" s="258"/>
      <c r="Z61207" s="258"/>
    </row>
    <row r="61208" spans="1:26" ht="12.75" customHeight="1" x14ac:dyDescent="0.2">
      <c r="A61208" s="258"/>
      <c r="Z61208" s="258"/>
    </row>
    <row r="61209" spans="1:26" ht="12.75" customHeight="1" x14ac:dyDescent="0.2">
      <c r="A61209" s="258"/>
      <c r="Z61209" s="258"/>
    </row>
    <row r="61210" spans="1:26" ht="12.75" customHeight="1" x14ac:dyDescent="0.2">
      <c r="A61210" s="258"/>
      <c r="Z61210" s="258"/>
    </row>
    <row r="61211" spans="1:26" ht="12.75" customHeight="1" x14ac:dyDescent="0.2">
      <c r="A61211" s="258"/>
      <c r="Z61211" s="258"/>
    </row>
    <row r="61212" spans="1:26" ht="12.75" customHeight="1" x14ac:dyDescent="0.2">
      <c r="A61212" s="258"/>
      <c r="Z61212" s="258"/>
    </row>
    <row r="61213" spans="1:26" ht="12.75" customHeight="1" x14ac:dyDescent="0.2">
      <c r="A61213" s="258"/>
      <c r="Z61213" s="258"/>
    </row>
    <row r="61214" spans="1:26" ht="12.75" customHeight="1" x14ac:dyDescent="0.2">
      <c r="A61214" s="258"/>
      <c r="Z61214" s="258"/>
    </row>
    <row r="61215" spans="1:26" ht="12.75" customHeight="1" x14ac:dyDescent="0.2">
      <c r="A61215" s="258"/>
      <c r="Z61215" s="258"/>
    </row>
    <row r="61216" spans="1:26" ht="12.75" customHeight="1" x14ac:dyDescent="0.2">
      <c r="A61216" s="258"/>
      <c r="Z61216" s="258"/>
    </row>
    <row r="61217" spans="1:26" ht="12.75" customHeight="1" x14ac:dyDescent="0.2">
      <c r="A61217" s="258"/>
      <c r="Z61217" s="258"/>
    </row>
    <row r="61218" spans="1:26" ht="12.75" customHeight="1" x14ac:dyDescent="0.2">
      <c r="A61218" s="258"/>
      <c r="Z61218" s="258"/>
    </row>
    <row r="61219" spans="1:26" ht="12.75" customHeight="1" x14ac:dyDescent="0.2">
      <c r="A61219" s="258"/>
      <c r="Z61219" s="258"/>
    </row>
    <row r="61220" spans="1:26" ht="12.75" customHeight="1" x14ac:dyDescent="0.2">
      <c r="A61220" s="258"/>
      <c r="Z61220" s="258"/>
    </row>
    <row r="61221" spans="1:26" ht="12.75" customHeight="1" x14ac:dyDescent="0.2">
      <c r="A61221" s="258"/>
      <c r="Z61221" s="258"/>
    </row>
    <row r="61222" spans="1:26" ht="12.75" customHeight="1" x14ac:dyDescent="0.2">
      <c r="A61222" s="258"/>
      <c r="Z61222" s="258"/>
    </row>
    <row r="61223" spans="1:26" ht="12.75" customHeight="1" x14ac:dyDescent="0.2">
      <c r="A61223" s="258"/>
      <c r="Z61223" s="258"/>
    </row>
    <row r="61224" spans="1:26" ht="12.75" customHeight="1" x14ac:dyDescent="0.2">
      <c r="A61224" s="258"/>
      <c r="Z61224" s="258"/>
    </row>
    <row r="61225" spans="1:26" ht="12.75" customHeight="1" x14ac:dyDescent="0.2">
      <c r="A61225" s="258"/>
      <c r="Z61225" s="258"/>
    </row>
    <row r="61226" spans="1:26" ht="12.75" customHeight="1" x14ac:dyDescent="0.2">
      <c r="A61226" s="258"/>
      <c r="Z61226" s="258"/>
    </row>
    <row r="61227" spans="1:26" ht="12.75" customHeight="1" x14ac:dyDescent="0.2">
      <c r="A61227" s="258"/>
      <c r="Z61227" s="258"/>
    </row>
    <row r="61228" spans="1:26" ht="12.75" customHeight="1" x14ac:dyDescent="0.2">
      <c r="A61228" s="258"/>
      <c r="Z61228" s="258"/>
    </row>
    <row r="61229" spans="1:26" ht="12.75" customHeight="1" x14ac:dyDescent="0.2">
      <c r="A61229" s="258"/>
      <c r="Z61229" s="258"/>
    </row>
    <row r="61230" spans="1:26" ht="12.75" customHeight="1" x14ac:dyDescent="0.2">
      <c r="A61230" s="258"/>
      <c r="Z61230" s="258"/>
    </row>
    <row r="61231" spans="1:26" ht="12.75" customHeight="1" x14ac:dyDescent="0.2">
      <c r="A61231" s="258"/>
      <c r="Z61231" s="258"/>
    </row>
    <row r="61232" spans="1:26" ht="12.75" customHeight="1" x14ac:dyDescent="0.2">
      <c r="A61232" s="258"/>
      <c r="Z61232" s="258"/>
    </row>
    <row r="61233" spans="1:26" ht="12.75" customHeight="1" x14ac:dyDescent="0.2">
      <c r="A61233" s="258"/>
      <c r="Z61233" s="258"/>
    </row>
    <row r="61234" spans="1:26" ht="12.75" customHeight="1" x14ac:dyDescent="0.2">
      <c r="A61234" s="258"/>
      <c r="Z61234" s="258"/>
    </row>
    <row r="61235" spans="1:26" ht="12.75" customHeight="1" x14ac:dyDescent="0.2">
      <c r="A61235" s="258"/>
      <c r="Z61235" s="258"/>
    </row>
    <row r="61236" spans="1:26" ht="12.75" customHeight="1" x14ac:dyDescent="0.2">
      <c r="A61236" s="258"/>
      <c r="Z61236" s="258"/>
    </row>
    <row r="61237" spans="1:26" ht="12.75" customHeight="1" x14ac:dyDescent="0.2">
      <c r="A61237" s="258"/>
      <c r="Z61237" s="258"/>
    </row>
    <row r="61238" spans="1:26" ht="12.75" customHeight="1" x14ac:dyDescent="0.2">
      <c r="A61238" s="258"/>
      <c r="Z61238" s="258"/>
    </row>
    <row r="61239" spans="1:26" ht="12.75" customHeight="1" x14ac:dyDescent="0.2">
      <c r="A61239" s="258"/>
      <c r="Z61239" s="258"/>
    </row>
    <row r="61240" spans="1:26" ht="12.75" customHeight="1" x14ac:dyDescent="0.2">
      <c r="A61240" s="258"/>
      <c r="Z61240" s="258"/>
    </row>
    <row r="61241" spans="1:26" ht="12.75" customHeight="1" x14ac:dyDescent="0.2">
      <c r="A61241" s="258"/>
      <c r="Z61241" s="258"/>
    </row>
    <row r="61242" spans="1:26" ht="12.75" customHeight="1" x14ac:dyDescent="0.2">
      <c r="A61242" s="258"/>
      <c r="Z61242" s="258"/>
    </row>
    <row r="61243" spans="1:26" ht="12.75" customHeight="1" x14ac:dyDescent="0.2">
      <c r="A61243" s="258"/>
      <c r="Z61243" s="258"/>
    </row>
    <row r="61244" spans="1:26" ht="12.75" customHeight="1" x14ac:dyDescent="0.2">
      <c r="A61244" s="258"/>
      <c r="Z61244" s="258"/>
    </row>
    <row r="61245" spans="1:26" ht="12.75" customHeight="1" x14ac:dyDescent="0.2">
      <c r="A61245" s="258"/>
      <c r="Z61245" s="258"/>
    </row>
    <row r="61246" spans="1:26" ht="12.75" customHeight="1" x14ac:dyDescent="0.2">
      <c r="A61246" s="258"/>
      <c r="Z61246" s="258"/>
    </row>
    <row r="61247" spans="1:26" ht="12.75" customHeight="1" x14ac:dyDescent="0.2">
      <c r="A61247" s="258"/>
      <c r="Z61247" s="258"/>
    </row>
    <row r="61248" spans="1:26" ht="12.75" customHeight="1" x14ac:dyDescent="0.2">
      <c r="A61248" s="258"/>
      <c r="Z61248" s="258"/>
    </row>
    <row r="61249" spans="1:26" ht="12.75" customHeight="1" x14ac:dyDescent="0.2">
      <c r="A61249" s="258"/>
      <c r="Z61249" s="258"/>
    </row>
    <row r="61250" spans="1:26" ht="12.75" customHeight="1" x14ac:dyDescent="0.2">
      <c r="A61250" s="258"/>
      <c r="Z61250" s="258"/>
    </row>
    <row r="61251" spans="1:26" ht="12.75" customHeight="1" x14ac:dyDescent="0.2">
      <c r="A61251" s="258"/>
      <c r="Z61251" s="258"/>
    </row>
    <row r="61252" spans="1:26" ht="12.75" customHeight="1" x14ac:dyDescent="0.2">
      <c r="A61252" s="258"/>
      <c r="Z61252" s="258"/>
    </row>
    <row r="61253" spans="1:26" ht="12.75" customHeight="1" x14ac:dyDescent="0.2">
      <c r="A61253" s="258"/>
      <c r="Z61253" s="258"/>
    </row>
    <row r="61254" spans="1:26" ht="12.75" customHeight="1" x14ac:dyDescent="0.2">
      <c r="A61254" s="258"/>
      <c r="Z61254" s="258"/>
    </row>
    <row r="61255" spans="1:26" ht="12.75" customHeight="1" x14ac:dyDescent="0.2">
      <c r="A61255" s="258"/>
      <c r="Z61255" s="258"/>
    </row>
    <row r="61256" spans="1:26" ht="12.75" customHeight="1" x14ac:dyDescent="0.2">
      <c r="A61256" s="258"/>
      <c r="Z61256" s="258"/>
    </row>
    <row r="61257" spans="1:26" ht="12.75" customHeight="1" x14ac:dyDescent="0.2">
      <c r="A61257" s="258"/>
      <c r="Z61257" s="258"/>
    </row>
    <row r="61258" spans="1:26" ht="12.75" customHeight="1" x14ac:dyDescent="0.2">
      <c r="A61258" s="258"/>
      <c r="Z61258" s="258"/>
    </row>
    <row r="61259" spans="1:26" ht="12.75" customHeight="1" x14ac:dyDescent="0.2">
      <c r="A61259" s="258"/>
      <c r="Z61259" s="258"/>
    </row>
    <row r="61260" spans="1:26" ht="12.75" customHeight="1" x14ac:dyDescent="0.2">
      <c r="A61260" s="258"/>
      <c r="Z61260" s="258"/>
    </row>
    <row r="61261" spans="1:26" ht="12.75" customHeight="1" x14ac:dyDescent="0.2">
      <c r="A61261" s="258"/>
      <c r="Z61261" s="258"/>
    </row>
    <row r="61262" spans="1:26" ht="12.75" customHeight="1" x14ac:dyDescent="0.2">
      <c r="A61262" s="258"/>
      <c r="Z61262" s="258"/>
    </row>
    <row r="61263" spans="1:26" ht="12.75" customHeight="1" x14ac:dyDescent="0.2">
      <c r="A61263" s="258"/>
      <c r="Z61263" s="258"/>
    </row>
    <row r="61264" spans="1:26" ht="12.75" customHeight="1" x14ac:dyDescent="0.2">
      <c r="A61264" s="258"/>
      <c r="Z61264" s="258"/>
    </row>
    <row r="61265" spans="1:26" ht="12.75" customHeight="1" x14ac:dyDescent="0.2">
      <c r="A61265" s="258"/>
      <c r="Z61265" s="258"/>
    </row>
    <row r="61266" spans="1:26" ht="12.75" customHeight="1" x14ac:dyDescent="0.2">
      <c r="A61266" s="258"/>
      <c r="Z61266" s="258"/>
    </row>
    <row r="61267" spans="1:26" ht="12.75" customHeight="1" x14ac:dyDescent="0.2">
      <c r="A61267" s="258"/>
      <c r="Z61267" s="258"/>
    </row>
    <row r="61268" spans="1:26" ht="12.75" customHeight="1" x14ac:dyDescent="0.2">
      <c r="A61268" s="258"/>
      <c r="Z61268" s="258"/>
    </row>
    <row r="61269" spans="1:26" ht="12.75" customHeight="1" x14ac:dyDescent="0.2">
      <c r="A61269" s="258"/>
      <c r="Z61269" s="258"/>
    </row>
    <row r="61270" spans="1:26" ht="12.75" customHeight="1" x14ac:dyDescent="0.2">
      <c r="A61270" s="258"/>
      <c r="Z61270" s="258"/>
    </row>
    <row r="61271" spans="1:26" ht="12.75" customHeight="1" x14ac:dyDescent="0.2">
      <c r="A61271" s="258"/>
      <c r="Z61271" s="258"/>
    </row>
    <row r="61272" spans="1:26" ht="12.75" customHeight="1" x14ac:dyDescent="0.2">
      <c r="A61272" s="258"/>
      <c r="Z61272" s="258"/>
    </row>
    <row r="61273" spans="1:26" ht="12.75" customHeight="1" x14ac:dyDescent="0.2">
      <c r="A61273" s="258"/>
      <c r="Z61273" s="258"/>
    </row>
    <row r="61274" spans="1:26" ht="12.75" customHeight="1" x14ac:dyDescent="0.2">
      <c r="A61274" s="258"/>
      <c r="Z61274" s="258"/>
    </row>
    <row r="61275" spans="1:26" ht="12.75" customHeight="1" x14ac:dyDescent="0.2">
      <c r="A61275" s="258"/>
      <c r="Z61275" s="258"/>
    </row>
    <row r="61276" spans="1:26" ht="12.75" customHeight="1" x14ac:dyDescent="0.2">
      <c r="A61276" s="258"/>
      <c r="Z61276" s="258"/>
    </row>
    <row r="61277" spans="1:26" ht="12.75" customHeight="1" x14ac:dyDescent="0.2">
      <c r="A61277" s="258"/>
      <c r="Z61277" s="258"/>
    </row>
    <row r="61278" spans="1:26" ht="12.75" customHeight="1" x14ac:dyDescent="0.2">
      <c r="A61278" s="258"/>
      <c r="Z61278" s="258"/>
    </row>
    <row r="61279" spans="1:26" ht="12.75" customHeight="1" x14ac:dyDescent="0.2">
      <c r="A61279" s="258"/>
      <c r="Z61279" s="258"/>
    </row>
    <row r="61280" spans="1:26" ht="12.75" customHeight="1" x14ac:dyDescent="0.2">
      <c r="A61280" s="258"/>
      <c r="Z61280" s="258"/>
    </row>
    <row r="61281" spans="1:26" ht="12.75" customHeight="1" x14ac:dyDescent="0.2">
      <c r="A61281" s="258"/>
      <c r="Z61281" s="258"/>
    </row>
    <row r="61282" spans="1:26" ht="12.75" customHeight="1" x14ac:dyDescent="0.2">
      <c r="A61282" s="258"/>
      <c r="Z61282" s="258"/>
    </row>
    <row r="61283" spans="1:26" ht="12.75" customHeight="1" x14ac:dyDescent="0.2">
      <c r="A61283" s="258"/>
      <c r="Z61283" s="258"/>
    </row>
    <row r="61284" spans="1:26" ht="12.75" customHeight="1" x14ac:dyDescent="0.2">
      <c r="A61284" s="258"/>
      <c r="Z61284" s="258"/>
    </row>
    <row r="61285" spans="1:26" ht="12.75" customHeight="1" x14ac:dyDescent="0.2">
      <c r="A61285" s="258"/>
      <c r="Z61285" s="258"/>
    </row>
    <row r="61286" spans="1:26" ht="12.75" customHeight="1" x14ac:dyDescent="0.2">
      <c r="A61286" s="258"/>
      <c r="Z61286" s="258"/>
    </row>
    <row r="61287" spans="1:26" ht="12.75" customHeight="1" x14ac:dyDescent="0.2">
      <c r="A61287" s="258"/>
      <c r="Z61287" s="258"/>
    </row>
    <row r="61288" spans="1:26" ht="12.75" customHeight="1" x14ac:dyDescent="0.2">
      <c r="A61288" s="258"/>
      <c r="Z61288" s="258"/>
    </row>
    <row r="61289" spans="1:26" ht="12.75" customHeight="1" x14ac:dyDescent="0.2">
      <c r="A61289" s="258"/>
      <c r="Z61289" s="258"/>
    </row>
    <row r="61290" spans="1:26" ht="12.75" customHeight="1" x14ac:dyDescent="0.2">
      <c r="A61290" s="258"/>
      <c r="Z61290" s="258"/>
    </row>
    <row r="61291" spans="1:26" ht="12.75" customHeight="1" x14ac:dyDescent="0.2">
      <c r="A61291" s="258"/>
      <c r="Z61291" s="258"/>
    </row>
    <row r="61292" spans="1:26" ht="12.75" customHeight="1" x14ac:dyDescent="0.2">
      <c r="A61292" s="258"/>
      <c r="Z61292" s="258"/>
    </row>
    <row r="61293" spans="1:26" ht="12.75" customHeight="1" x14ac:dyDescent="0.2">
      <c r="A61293" s="258"/>
      <c r="Z61293" s="258"/>
    </row>
    <row r="61294" spans="1:26" ht="12.75" customHeight="1" x14ac:dyDescent="0.2">
      <c r="A61294" s="258"/>
      <c r="Z61294" s="258"/>
    </row>
    <row r="61295" spans="1:26" ht="12.75" customHeight="1" x14ac:dyDescent="0.2">
      <c r="A61295" s="258"/>
      <c r="Z61295" s="258"/>
    </row>
    <row r="61296" spans="1:26" ht="12.75" customHeight="1" x14ac:dyDescent="0.2">
      <c r="A61296" s="258"/>
      <c r="Z61296" s="258"/>
    </row>
    <row r="61297" spans="1:26" ht="12.75" customHeight="1" x14ac:dyDescent="0.2">
      <c r="A61297" s="258"/>
      <c r="Z61297" s="258"/>
    </row>
    <row r="61298" spans="1:26" ht="12.75" customHeight="1" x14ac:dyDescent="0.2">
      <c r="A61298" s="258"/>
      <c r="Z61298" s="258"/>
    </row>
    <row r="61299" spans="1:26" ht="12.75" customHeight="1" x14ac:dyDescent="0.2">
      <c r="A61299" s="258"/>
      <c r="Z61299" s="258"/>
    </row>
    <row r="61300" spans="1:26" ht="12.75" customHeight="1" x14ac:dyDescent="0.2">
      <c r="A61300" s="258"/>
      <c r="Z61300" s="258"/>
    </row>
    <row r="61301" spans="1:26" ht="12.75" customHeight="1" x14ac:dyDescent="0.2">
      <c r="A61301" s="258"/>
      <c r="Z61301" s="258"/>
    </row>
    <row r="61302" spans="1:26" ht="12.75" customHeight="1" x14ac:dyDescent="0.2">
      <c r="A61302" s="258"/>
      <c r="Z61302" s="258"/>
    </row>
    <row r="61303" spans="1:26" ht="12.75" customHeight="1" x14ac:dyDescent="0.2">
      <c r="A61303" s="258"/>
      <c r="Z61303" s="258"/>
    </row>
    <row r="61304" spans="1:26" ht="12.75" customHeight="1" x14ac:dyDescent="0.2">
      <c r="A61304" s="258"/>
      <c r="Z61304" s="258"/>
    </row>
    <row r="61305" spans="1:26" ht="12.75" customHeight="1" x14ac:dyDescent="0.2">
      <c r="A61305" s="258"/>
      <c r="Z61305" s="258"/>
    </row>
    <row r="61306" spans="1:26" ht="12.75" customHeight="1" x14ac:dyDescent="0.2">
      <c r="A61306" s="258"/>
      <c r="Z61306" s="258"/>
    </row>
    <row r="61307" spans="1:26" ht="12.75" customHeight="1" x14ac:dyDescent="0.2">
      <c r="A61307" s="258"/>
      <c r="Z61307" s="258"/>
    </row>
    <row r="61308" spans="1:26" ht="12.75" customHeight="1" x14ac:dyDescent="0.2">
      <c r="A61308" s="258"/>
      <c r="Z61308" s="258"/>
    </row>
    <row r="61309" spans="1:26" ht="12.75" customHeight="1" x14ac:dyDescent="0.2">
      <c r="A61309" s="258"/>
      <c r="Z61309" s="258"/>
    </row>
    <row r="61310" spans="1:26" ht="12.75" customHeight="1" x14ac:dyDescent="0.2">
      <c r="A61310" s="258"/>
      <c r="Z61310" s="258"/>
    </row>
    <row r="61311" spans="1:26" ht="12.75" customHeight="1" x14ac:dyDescent="0.2">
      <c r="A61311" s="258"/>
      <c r="Z61311" s="258"/>
    </row>
    <row r="61312" spans="1:26" ht="12.75" customHeight="1" x14ac:dyDescent="0.2">
      <c r="A61312" s="258"/>
      <c r="Z61312" s="258"/>
    </row>
    <row r="61313" spans="1:26" ht="12.75" customHeight="1" x14ac:dyDescent="0.2">
      <c r="A61313" s="258"/>
      <c r="Z61313" s="258"/>
    </row>
    <row r="61314" spans="1:26" ht="12.75" customHeight="1" x14ac:dyDescent="0.2">
      <c r="A61314" s="258"/>
      <c r="Z61314" s="258"/>
    </row>
    <row r="61315" spans="1:26" ht="12.75" customHeight="1" x14ac:dyDescent="0.2">
      <c r="A61315" s="258"/>
      <c r="Z61315" s="258"/>
    </row>
    <row r="61316" spans="1:26" ht="12.75" customHeight="1" x14ac:dyDescent="0.2">
      <c r="A61316" s="258"/>
      <c r="Z61316" s="258"/>
    </row>
    <row r="61317" spans="1:26" ht="12.75" customHeight="1" x14ac:dyDescent="0.2">
      <c r="A61317" s="258"/>
      <c r="Z61317" s="258"/>
    </row>
    <row r="61318" spans="1:26" ht="12.75" customHeight="1" x14ac:dyDescent="0.2">
      <c r="A61318" s="258"/>
      <c r="Z61318" s="258"/>
    </row>
    <row r="61319" spans="1:26" ht="12.75" customHeight="1" x14ac:dyDescent="0.2">
      <c r="A61319" s="258"/>
      <c r="Z61319" s="258"/>
    </row>
    <row r="61320" spans="1:26" ht="12.75" customHeight="1" x14ac:dyDescent="0.2">
      <c r="A61320" s="258"/>
      <c r="Z61320" s="258"/>
    </row>
    <row r="61321" spans="1:26" ht="12.75" customHeight="1" x14ac:dyDescent="0.2">
      <c r="A61321" s="258"/>
      <c r="Z61321" s="258"/>
    </row>
    <row r="61322" spans="1:26" ht="12.75" customHeight="1" x14ac:dyDescent="0.2">
      <c r="A61322" s="258"/>
      <c r="Z61322" s="258"/>
    </row>
    <row r="61323" spans="1:26" ht="12.75" customHeight="1" x14ac:dyDescent="0.2">
      <c r="A61323" s="258"/>
      <c r="Z61323" s="258"/>
    </row>
    <row r="61324" spans="1:26" ht="12.75" customHeight="1" x14ac:dyDescent="0.2">
      <c r="A61324" s="258"/>
      <c r="Z61324" s="258"/>
    </row>
    <row r="61325" spans="1:26" ht="12.75" customHeight="1" x14ac:dyDescent="0.2">
      <c r="A61325" s="258"/>
      <c r="Z61325" s="258"/>
    </row>
    <row r="61326" spans="1:26" ht="12.75" customHeight="1" x14ac:dyDescent="0.2">
      <c r="A61326" s="258"/>
      <c r="Z61326" s="258"/>
    </row>
    <row r="61327" spans="1:26" ht="12.75" customHeight="1" x14ac:dyDescent="0.2">
      <c r="A61327" s="258"/>
      <c r="Z61327" s="258"/>
    </row>
    <row r="61328" spans="1:26" ht="12.75" customHeight="1" x14ac:dyDescent="0.2">
      <c r="A61328" s="258"/>
      <c r="Z61328" s="258"/>
    </row>
    <row r="61329" spans="1:26" ht="12.75" customHeight="1" x14ac:dyDescent="0.2">
      <c r="A61329" s="258"/>
      <c r="Z61329" s="258"/>
    </row>
    <row r="61330" spans="1:26" ht="12.75" customHeight="1" x14ac:dyDescent="0.2">
      <c r="A61330" s="258"/>
      <c r="Z61330" s="258"/>
    </row>
    <row r="61331" spans="1:26" ht="12.75" customHeight="1" x14ac:dyDescent="0.2">
      <c r="A61331" s="258"/>
      <c r="Z61331" s="258"/>
    </row>
    <row r="61332" spans="1:26" ht="12.75" customHeight="1" x14ac:dyDescent="0.2">
      <c r="A61332" s="258"/>
      <c r="Z61332" s="258"/>
    </row>
    <row r="61333" spans="1:26" ht="12.75" customHeight="1" x14ac:dyDescent="0.2">
      <c r="A61333" s="258"/>
      <c r="Z61333" s="258"/>
    </row>
    <row r="61334" spans="1:26" ht="12.75" customHeight="1" x14ac:dyDescent="0.2">
      <c r="A61334" s="258"/>
      <c r="Z61334" s="258"/>
    </row>
    <row r="61335" spans="1:26" ht="12.75" customHeight="1" x14ac:dyDescent="0.2">
      <c r="A61335" s="258"/>
      <c r="Z61335" s="258"/>
    </row>
    <row r="61336" spans="1:26" ht="12.75" customHeight="1" x14ac:dyDescent="0.2">
      <c r="A61336" s="258"/>
      <c r="Z61336" s="258"/>
    </row>
    <row r="61337" spans="1:26" ht="12.75" customHeight="1" x14ac:dyDescent="0.2">
      <c r="A61337" s="258"/>
      <c r="Z61337" s="258"/>
    </row>
    <row r="61338" spans="1:26" ht="12.75" customHeight="1" x14ac:dyDescent="0.2">
      <c r="A61338" s="258"/>
      <c r="Z61338" s="258"/>
    </row>
    <row r="61339" spans="1:26" ht="12.75" customHeight="1" x14ac:dyDescent="0.2">
      <c r="A61339" s="258"/>
      <c r="Z61339" s="258"/>
    </row>
    <row r="61340" spans="1:26" ht="12.75" customHeight="1" x14ac:dyDescent="0.2">
      <c r="A61340" s="258"/>
      <c r="Z61340" s="258"/>
    </row>
    <row r="61341" spans="1:26" ht="12.75" customHeight="1" x14ac:dyDescent="0.2">
      <c r="A61341" s="258"/>
      <c r="Z61341" s="258"/>
    </row>
    <row r="61342" spans="1:26" ht="12.75" customHeight="1" x14ac:dyDescent="0.2">
      <c r="A61342" s="258"/>
      <c r="Z61342" s="258"/>
    </row>
    <row r="61343" spans="1:26" ht="12.75" customHeight="1" x14ac:dyDescent="0.2">
      <c r="A61343" s="258"/>
      <c r="Z61343" s="258"/>
    </row>
    <row r="61344" spans="1:26" ht="12.75" customHeight="1" x14ac:dyDescent="0.2">
      <c r="A61344" s="258"/>
      <c r="Z61344" s="258"/>
    </row>
    <row r="61345" spans="1:26" ht="12.75" customHeight="1" x14ac:dyDescent="0.2">
      <c r="A61345" s="258"/>
      <c r="Z61345" s="258"/>
    </row>
    <row r="61346" spans="1:26" ht="12.75" customHeight="1" x14ac:dyDescent="0.2">
      <c r="A61346" s="258"/>
      <c r="Z61346" s="258"/>
    </row>
    <row r="61347" spans="1:26" ht="12.75" customHeight="1" x14ac:dyDescent="0.2">
      <c r="A61347" s="258"/>
      <c r="Z61347" s="258"/>
    </row>
    <row r="61348" spans="1:26" ht="12.75" customHeight="1" x14ac:dyDescent="0.2">
      <c r="A61348" s="258"/>
      <c r="Z61348" s="258"/>
    </row>
    <row r="61349" spans="1:26" ht="12.75" customHeight="1" x14ac:dyDescent="0.2">
      <c r="A61349" s="258"/>
      <c r="Z61349" s="258"/>
    </row>
    <row r="61350" spans="1:26" ht="12.75" customHeight="1" x14ac:dyDescent="0.2">
      <c r="A61350" s="258"/>
      <c r="Z61350" s="258"/>
    </row>
    <row r="61351" spans="1:26" ht="12.75" customHeight="1" x14ac:dyDescent="0.2">
      <c r="A61351" s="258"/>
      <c r="Z61351" s="258"/>
    </row>
    <row r="61352" spans="1:26" ht="12.75" customHeight="1" x14ac:dyDescent="0.2">
      <c r="A61352" s="258"/>
      <c r="Z61352" s="258"/>
    </row>
    <row r="61353" spans="1:26" ht="12.75" customHeight="1" x14ac:dyDescent="0.2">
      <c r="A61353" s="258"/>
      <c r="Z61353" s="258"/>
    </row>
    <row r="61354" spans="1:26" ht="12.75" customHeight="1" x14ac:dyDescent="0.2">
      <c r="A61354" s="258"/>
      <c r="Z61354" s="258"/>
    </row>
    <row r="61355" spans="1:26" ht="12.75" customHeight="1" x14ac:dyDescent="0.2">
      <c r="A61355" s="258"/>
      <c r="Z61355" s="258"/>
    </row>
    <row r="61356" spans="1:26" ht="12.75" customHeight="1" x14ac:dyDescent="0.2">
      <c r="A61356" s="258"/>
      <c r="Z61356" s="258"/>
    </row>
    <row r="61357" spans="1:26" ht="12.75" customHeight="1" x14ac:dyDescent="0.2">
      <c r="A61357" s="258"/>
      <c r="Z61357" s="258"/>
    </row>
    <row r="61358" spans="1:26" ht="12.75" customHeight="1" x14ac:dyDescent="0.2">
      <c r="A61358" s="258"/>
      <c r="Z61358" s="258"/>
    </row>
    <row r="61359" spans="1:26" ht="12.75" customHeight="1" x14ac:dyDescent="0.2">
      <c r="A61359" s="258"/>
      <c r="Z61359" s="258"/>
    </row>
    <row r="61360" spans="1:26" ht="12.75" customHeight="1" x14ac:dyDescent="0.2">
      <c r="A61360" s="258"/>
      <c r="Z61360" s="258"/>
    </row>
    <row r="61361" spans="1:26" ht="12.75" customHeight="1" x14ac:dyDescent="0.2">
      <c r="A61361" s="258"/>
      <c r="Z61361" s="258"/>
    </row>
    <row r="61362" spans="1:26" ht="12.75" customHeight="1" x14ac:dyDescent="0.2">
      <c r="A61362" s="258"/>
      <c r="Z61362" s="258"/>
    </row>
    <row r="61363" spans="1:26" ht="12.75" customHeight="1" x14ac:dyDescent="0.2">
      <c r="A61363" s="258"/>
      <c r="Z61363" s="258"/>
    </row>
    <row r="61364" spans="1:26" ht="12.75" customHeight="1" x14ac:dyDescent="0.2">
      <c r="A61364" s="258"/>
      <c r="Z61364" s="258"/>
    </row>
    <row r="61365" spans="1:26" ht="12.75" customHeight="1" x14ac:dyDescent="0.2">
      <c r="A61365" s="258"/>
      <c r="Z61365" s="258"/>
    </row>
    <row r="61366" spans="1:26" ht="12.75" customHeight="1" x14ac:dyDescent="0.2">
      <c r="A61366" s="258"/>
      <c r="Z61366" s="258"/>
    </row>
    <row r="61367" spans="1:26" ht="12.75" customHeight="1" x14ac:dyDescent="0.2">
      <c r="A61367" s="258"/>
      <c r="Z61367" s="258"/>
    </row>
    <row r="61368" spans="1:26" ht="12.75" customHeight="1" x14ac:dyDescent="0.2">
      <c r="A61368" s="258"/>
      <c r="Z61368" s="258"/>
    </row>
    <row r="61369" spans="1:26" ht="12.75" customHeight="1" x14ac:dyDescent="0.2">
      <c r="A61369" s="258"/>
      <c r="Z61369" s="258"/>
    </row>
    <row r="61370" spans="1:26" ht="12.75" customHeight="1" x14ac:dyDescent="0.2">
      <c r="A61370" s="258"/>
      <c r="Z61370" s="258"/>
    </row>
    <row r="61371" spans="1:26" ht="12.75" customHeight="1" x14ac:dyDescent="0.2">
      <c r="A61371" s="258"/>
      <c r="Z61371" s="258"/>
    </row>
    <row r="61372" spans="1:26" ht="12.75" customHeight="1" x14ac:dyDescent="0.2">
      <c r="A61372" s="258"/>
      <c r="Z61372" s="258"/>
    </row>
    <row r="61373" spans="1:26" ht="12.75" customHeight="1" x14ac:dyDescent="0.2">
      <c r="A61373" s="258"/>
      <c r="Z61373" s="258"/>
    </row>
    <row r="61374" spans="1:26" ht="12.75" customHeight="1" x14ac:dyDescent="0.2">
      <c r="A61374" s="258"/>
      <c r="Z61374" s="258"/>
    </row>
    <row r="61375" spans="1:26" ht="12.75" customHeight="1" x14ac:dyDescent="0.2">
      <c r="A61375" s="258"/>
      <c r="Z61375" s="258"/>
    </row>
    <row r="61376" spans="1:26" ht="12.75" customHeight="1" x14ac:dyDescent="0.2">
      <c r="A61376" s="258"/>
      <c r="Z61376" s="258"/>
    </row>
    <row r="61377" spans="1:26" ht="12.75" customHeight="1" x14ac:dyDescent="0.2">
      <c r="A61377" s="258"/>
      <c r="Z61377" s="258"/>
    </row>
    <row r="61378" spans="1:26" ht="12.75" customHeight="1" x14ac:dyDescent="0.2">
      <c r="A61378" s="258"/>
      <c r="Z61378" s="258"/>
    </row>
    <row r="61379" spans="1:26" ht="12.75" customHeight="1" x14ac:dyDescent="0.2">
      <c r="A61379" s="258"/>
      <c r="Z61379" s="258"/>
    </row>
    <row r="61380" spans="1:26" ht="12.75" customHeight="1" x14ac:dyDescent="0.2">
      <c r="A61380" s="258"/>
      <c r="Z61380" s="258"/>
    </row>
    <row r="61381" spans="1:26" ht="12.75" customHeight="1" x14ac:dyDescent="0.2">
      <c r="A61381" s="258"/>
      <c r="Z61381" s="258"/>
    </row>
    <row r="61382" spans="1:26" ht="12.75" customHeight="1" x14ac:dyDescent="0.2">
      <c r="A61382" s="258"/>
      <c r="Z61382" s="258"/>
    </row>
    <row r="61383" spans="1:26" ht="12.75" customHeight="1" x14ac:dyDescent="0.2">
      <c r="A61383" s="258"/>
      <c r="Z61383" s="258"/>
    </row>
    <row r="61384" spans="1:26" ht="12.75" customHeight="1" x14ac:dyDescent="0.2">
      <c r="A61384" s="258"/>
      <c r="Z61384" s="258"/>
    </row>
    <row r="61385" spans="1:26" ht="12.75" customHeight="1" x14ac:dyDescent="0.2">
      <c r="A61385" s="258"/>
      <c r="Z61385" s="258"/>
    </row>
    <row r="61386" spans="1:26" ht="12.75" customHeight="1" x14ac:dyDescent="0.2">
      <c r="A61386" s="258"/>
      <c r="Z61386" s="258"/>
    </row>
    <row r="61387" spans="1:26" ht="12.75" customHeight="1" x14ac:dyDescent="0.2">
      <c r="A61387" s="258"/>
      <c r="Z61387" s="258"/>
    </row>
    <row r="61388" spans="1:26" ht="12.75" customHeight="1" x14ac:dyDescent="0.2">
      <c r="A61388" s="258"/>
      <c r="Z61388" s="258"/>
    </row>
    <row r="61389" spans="1:26" ht="12.75" customHeight="1" x14ac:dyDescent="0.2">
      <c r="A61389" s="258"/>
      <c r="Z61389" s="258"/>
    </row>
    <row r="61390" spans="1:26" ht="12.75" customHeight="1" x14ac:dyDescent="0.2">
      <c r="A61390" s="258"/>
      <c r="Z61390" s="258"/>
    </row>
    <row r="61391" spans="1:26" ht="12.75" customHeight="1" x14ac:dyDescent="0.2">
      <c r="A61391" s="258"/>
      <c r="Z61391" s="258"/>
    </row>
    <row r="61392" spans="1:26" ht="12.75" customHeight="1" x14ac:dyDescent="0.2">
      <c r="A61392" s="258"/>
      <c r="Z61392" s="258"/>
    </row>
    <row r="61393" spans="1:26" ht="12.75" customHeight="1" x14ac:dyDescent="0.2">
      <c r="A61393" s="258"/>
      <c r="Z61393" s="258"/>
    </row>
    <row r="61394" spans="1:26" ht="12.75" customHeight="1" x14ac:dyDescent="0.2">
      <c r="A61394" s="258"/>
      <c r="Z61394" s="258"/>
    </row>
    <row r="61395" spans="1:26" ht="12.75" customHeight="1" x14ac:dyDescent="0.2">
      <c r="A61395" s="258"/>
      <c r="Z61395" s="258"/>
    </row>
    <row r="61396" spans="1:26" ht="12.75" customHeight="1" x14ac:dyDescent="0.2">
      <c r="A61396" s="258"/>
      <c r="Z61396" s="258"/>
    </row>
    <row r="61397" spans="1:26" ht="12.75" customHeight="1" x14ac:dyDescent="0.2">
      <c r="A61397" s="258"/>
      <c r="Z61397" s="258"/>
    </row>
    <row r="61398" spans="1:26" ht="12.75" customHeight="1" x14ac:dyDescent="0.2">
      <c r="A61398" s="258"/>
      <c r="Z61398" s="258"/>
    </row>
    <row r="61399" spans="1:26" ht="12.75" customHeight="1" x14ac:dyDescent="0.2">
      <c r="A61399" s="258"/>
      <c r="Z61399" s="258"/>
    </row>
    <row r="61400" spans="1:26" ht="12.75" customHeight="1" x14ac:dyDescent="0.2">
      <c r="A61400" s="258"/>
      <c r="Z61400" s="258"/>
    </row>
    <row r="61401" spans="1:26" ht="12.75" customHeight="1" x14ac:dyDescent="0.2">
      <c r="A61401" s="258"/>
      <c r="Z61401" s="258"/>
    </row>
    <row r="61402" spans="1:26" ht="12.75" customHeight="1" x14ac:dyDescent="0.2">
      <c r="A61402" s="258"/>
      <c r="Z61402" s="258"/>
    </row>
    <row r="61403" spans="1:26" ht="12.75" customHeight="1" x14ac:dyDescent="0.2">
      <c r="A61403" s="258"/>
      <c r="Z61403" s="258"/>
    </row>
    <row r="61404" spans="1:26" ht="12.75" customHeight="1" x14ac:dyDescent="0.2">
      <c r="A61404" s="258"/>
      <c r="Z61404" s="258"/>
    </row>
    <row r="61405" spans="1:26" ht="12.75" customHeight="1" x14ac:dyDescent="0.2">
      <c r="A61405" s="258"/>
      <c r="Z61405" s="258"/>
    </row>
    <row r="61406" spans="1:26" ht="12.75" customHeight="1" x14ac:dyDescent="0.2">
      <c r="A61406" s="258"/>
      <c r="Z61406" s="258"/>
    </row>
    <row r="61407" spans="1:26" ht="12.75" customHeight="1" x14ac:dyDescent="0.2">
      <c r="A61407" s="258"/>
      <c r="Z61407" s="258"/>
    </row>
    <row r="61408" spans="1:26" ht="12.75" customHeight="1" x14ac:dyDescent="0.2">
      <c r="A61408" s="258"/>
      <c r="Z61408" s="258"/>
    </row>
    <row r="61409" spans="1:26" ht="12.75" customHeight="1" x14ac:dyDescent="0.2">
      <c r="A61409" s="258"/>
      <c r="Z61409" s="258"/>
    </row>
    <row r="61410" spans="1:26" ht="12.75" customHeight="1" x14ac:dyDescent="0.2">
      <c r="A61410" s="258"/>
      <c r="Z61410" s="258"/>
    </row>
    <row r="61411" spans="1:26" ht="12.75" customHeight="1" x14ac:dyDescent="0.2">
      <c r="A61411" s="258"/>
      <c r="Z61411" s="258"/>
    </row>
    <row r="61412" spans="1:26" ht="12.75" customHeight="1" x14ac:dyDescent="0.2">
      <c r="A61412" s="258"/>
      <c r="Z61412" s="258"/>
    </row>
    <row r="61413" spans="1:26" ht="12.75" customHeight="1" x14ac:dyDescent="0.2">
      <c r="A61413" s="258"/>
      <c r="Z61413" s="258"/>
    </row>
    <row r="61414" spans="1:26" ht="12.75" customHeight="1" x14ac:dyDescent="0.2">
      <c r="A61414" s="258"/>
      <c r="Z61414" s="258"/>
    </row>
    <row r="61415" spans="1:26" ht="12.75" customHeight="1" x14ac:dyDescent="0.2">
      <c r="A61415" s="258"/>
      <c r="Z61415" s="258"/>
    </row>
    <row r="61416" spans="1:26" ht="12.75" customHeight="1" x14ac:dyDescent="0.2">
      <c r="A61416" s="258"/>
      <c r="Z61416" s="258"/>
    </row>
    <row r="61417" spans="1:26" ht="12.75" customHeight="1" x14ac:dyDescent="0.2">
      <c r="A61417" s="258"/>
      <c r="Z61417" s="258"/>
    </row>
    <row r="61418" spans="1:26" ht="12.75" customHeight="1" x14ac:dyDescent="0.2">
      <c r="A61418" s="258"/>
      <c r="Z61418" s="258"/>
    </row>
    <row r="61419" spans="1:26" ht="12.75" customHeight="1" x14ac:dyDescent="0.2">
      <c r="A61419" s="258"/>
      <c r="Z61419" s="258"/>
    </row>
    <row r="61420" spans="1:26" ht="12.75" customHeight="1" x14ac:dyDescent="0.2">
      <c r="A61420" s="258"/>
      <c r="Z61420" s="258"/>
    </row>
    <row r="61421" spans="1:26" ht="12.75" customHeight="1" x14ac:dyDescent="0.2">
      <c r="A61421" s="258"/>
      <c r="Z61421" s="258"/>
    </row>
    <row r="61422" spans="1:26" ht="12.75" customHeight="1" x14ac:dyDescent="0.2">
      <c r="A61422" s="258"/>
      <c r="Z61422" s="258"/>
    </row>
    <row r="61423" spans="1:26" ht="12.75" customHeight="1" x14ac:dyDescent="0.2">
      <c r="A61423" s="258"/>
      <c r="Z61423" s="258"/>
    </row>
    <row r="61424" spans="1:26" ht="12.75" customHeight="1" x14ac:dyDescent="0.2">
      <c r="A61424" s="258"/>
      <c r="Z61424" s="258"/>
    </row>
    <row r="61425" spans="1:26" ht="12.75" customHeight="1" x14ac:dyDescent="0.2">
      <c r="A61425" s="258"/>
      <c r="Z61425" s="258"/>
    </row>
    <row r="61426" spans="1:26" ht="12.75" customHeight="1" x14ac:dyDescent="0.2">
      <c r="A61426" s="258"/>
      <c r="Z61426" s="258"/>
    </row>
    <row r="61427" spans="1:26" ht="12.75" customHeight="1" x14ac:dyDescent="0.2">
      <c r="A61427" s="258"/>
      <c r="Z61427" s="258"/>
    </row>
    <row r="61428" spans="1:26" ht="12.75" customHeight="1" x14ac:dyDescent="0.2">
      <c r="A61428" s="258"/>
      <c r="Z61428" s="258"/>
    </row>
    <row r="61429" spans="1:26" ht="12.75" customHeight="1" x14ac:dyDescent="0.2">
      <c r="A61429" s="258"/>
      <c r="Z61429" s="258"/>
    </row>
    <row r="61430" spans="1:26" ht="12.75" customHeight="1" x14ac:dyDescent="0.2">
      <c r="A61430" s="258"/>
      <c r="Z61430" s="258"/>
    </row>
    <row r="61431" spans="1:26" ht="12.75" customHeight="1" x14ac:dyDescent="0.2">
      <c r="A61431" s="258"/>
      <c r="Z61431" s="258"/>
    </row>
    <row r="61432" spans="1:26" ht="12.75" customHeight="1" x14ac:dyDescent="0.2">
      <c r="A61432" s="258"/>
      <c r="Z61432" s="258"/>
    </row>
    <row r="61433" spans="1:26" ht="12.75" customHeight="1" x14ac:dyDescent="0.2">
      <c r="A61433" s="258"/>
      <c r="Z61433" s="258"/>
    </row>
    <row r="61434" spans="1:26" ht="12.75" customHeight="1" x14ac:dyDescent="0.2">
      <c r="A61434" s="258"/>
      <c r="Z61434" s="258"/>
    </row>
    <row r="61435" spans="1:26" ht="12.75" customHeight="1" x14ac:dyDescent="0.2">
      <c r="A61435" s="258"/>
      <c r="Z61435" s="258"/>
    </row>
    <row r="61436" spans="1:26" ht="12.75" customHeight="1" x14ac:dyDescent="0.2">
      <c r="A61436" s="258"/>
      <c r="Z61436" s="258"/>
    </row>
    <row r="61437" spans="1:26" ht="12.75" customHeight="1" x14ac:dyDescent="0.2">
      <c r="A61437" s="258"/>
      <c r="Z61437" s="258"/>
    </row>
    <row r="61438" spans="1:26" ht="12.75" customHeight="1" x14ac:dyDescent="0.2">
      <c r="A61438" s="258"/>
      <c r="Z61438" s="258"/>
    </row>
    <row r="61439" spans="1:26" ht="12.75" customHeight="1" x14ac:dyDescent="0.2">
      <c r="A61439" s="258"/>
      <c r="Z61439" s="258"/>
    </row>
    <row r="61440" spans="1:26" ht="12.75" customHeight="1" x14ac:dyDescent="0.2">
      <c r="A61440" s="258"/>
      <c r="Z61440" s="258"/>
    </row>
    <row r="61441" spans="1:26" ht="12.75" customHeight="1" x14ac:dyDescent="0.2">
      <c r="A61441" s="258"/>
      <c r="Z61441" s="258"/>
    </row>
    <row r="61442" spans="1:26" ht="12.75" customHeight="1" x14ac:dyDescent="0.2">
      <c r="A61442" s="258"/>
      <c r="Z61442" s="258"/>
    </row>
    <row r="61443" spans="1:26" ht="12.75" customHeight="1" x14ac:dyDescent="0.2">
      <c r="A61443" s="258"/>
      <c r="Z61443" s="258"/>
    </row>
    <row r="61444" spans="1:26" ht="12.75" customHeight="1" x14ac:dyDescent="0.2">
      <c r="A61444" s="258"/>
      <c r="Z61444" s="258"/>
    </row>
    <row r="61445" spans="1:26" ht="12.75" customHeight="1" x14ac:dyDescent="0.2">
      <c r="A61445" s="258"/>
      <c r="Z61445" s="258"/>
    </row>
    <row r="61446" spans="1:26" ht="12.75" customHeight="1" x14ac:dyDescent="0.2">
      <c r="A61446" s="258"/>
      <c r="Z61446" s="258"/>
    </row>
    <row r="61447" spans="1:26" ht="12.75" customHeight="1" x14ac:dyDescent="0.2">
      <c r="A61447" s="258"/>
      <c r="Z61447" s="258"/>
    </row>
    <row r="61448" spans="1:26" ht="12.75" customHeight="1" x14ac:dyDescent="0.2">
      <c r="A61448" s="258"/>
      <c r="Z61448" s="258"/>
    </row>
    <row r="61449" spans="1:26" ht="12.75" customHeight="1" x14ac:dyDescent="0.2">
      <c r="A61449" s="258"/>
      <c r="Z61449" s="258"/>
    </row>
    <row r="61450" spans="1:26" ht="12.75" customHeight="1" x14ac:dyDescent="0.2">
      <c r="A61450" s="258"/>
      <c r="Z61450" s="258"/>
    </row>
    <row r="61451" spans="1:26" ht="12.75" customHeight="1" x14ac:dyDescent="0.2">
      <c r="A61451" s="258"/>
      <c r="Z61451" s="258"/>
    </row>
    <row r="61452" spans="1:26" ht="12.75" customHeight="1" x14ac:dyDescent="0.2">
      <c r="A61452" s="258"/>
      <c r="Z61452" s="258"/>
    </row>
    <row r="61453" spans="1:26" ht="12.75" customHeight="1" x14ac:dyDescent="0.2">
      <c r="A61453" s="258"/>
      <c r="Z61453" s="258"/>
    </row>
    <row r="61454" spans="1:26" ht="12.75" customHeight="1" x14ac:dyDescent="0.2">
      <c r="A61454" s="258"/>
      <c r="Z61454" s="258"/>
    </row>
    <row r="61455" spans="1:26" ht="12.75" customHeight="1" x14ac:dyDescent="0.2">
      <c r="A61455" s="258"/>
      <c r="Z61455" s="258"/>
    </row>
    <row r="61456" spans="1:26" ht="12.75" customHeight="1" x14ac:dyDescent="0.2">
      <c r="A61456" s="258"/>
      <c r="Z61456" s="258"/>
    </row>
    <row r="61457" spans="1:26" ht="12.75" customHeight="1" x14ac:dyDescent="0.2">
      <c r="A61457" s="258"/>
      <c r="Z61457" s="258"/>
    </row>
    <row r="61458" spans="1:26" ht="12.75" customHeight="1" x14ac:dyDescent="0.2">
      <c r="A61458" s="258"/>
      <c r="Z61458" s="258"/>
    </row>
    <row r="61459" spans="1:26" ht="12.75" customHeight="1" x14ac:dyDescent="0.2">
      <c r="A61459" s="258"/>
      <c r="Z61459" s="258"/>
    </row>
    <row r="61460" spans="1:26" ht="12.75" customHeight="1" x14ac:dyDescent="0.2">
      <c r="A61460" s="258"/>
      <c r="Z61460" s="258"/>
    </row>
    <row r="61461" spans="1:26" ht="12.75" customHeight="1" x14ac:dyDescent="0.2">
      <c r="A61461" s="258"/>
      <c r="Z61461" s="258"/>
    </row>
    <row r="61462" spans="1:26" ht="12.75" customHeight="1" x14ac:dyDescent="0.2">
      <c r="A61462" s="258"/>
      <c r="Z61462" s="258"/>
    </row>
    <row r="61463" spans="1:26" ht="12.75" customHeight="1" x14ac:dyDescent="0.2">
      <c r="A61463" s="258"/>
      <c r="Z61463" s="258"/>
    </row>
    <row r="61464" spans="1:26" ht="12.75" customHeight="1" x14ac:dyDescent="0.2">
      <c r="A61464" s="258"/>
      <c r="Z61464" s="258"/>
    </row>
    <row r="61465" spans="1:26" ht="12.75" customHeight="1" x14ac:dyDescent="0.2">
      <c r="A61465" s="258"/>
      <c r="Z61465" s="258"/>
    </row>
    <row r="61466" spans="1:26" ht="12.75" customHeight="1" x14ac:dyDescent="0.2">
      <c r="A61466" s="258"/>
      <c r="Z61466" s="258"/>
    </row>
    <row r="61467" spans="1:26" ht="12.75" customHeight="1" x14ac:dyDescent="0.2">
      <c r="A61467" s="258"/>
      <c r="Z61467" s="258"/>
    </row>
    <row r="61468" spans="1:26" ht="12.75" customHeight="1" x14ac:dyDescent="0.2">
      <c r="A61468" s="258"/>
      <c r="Z61468" s="258"/>
    </row>
    <row r="61469" spans="1:26" ht="12.75" customHeight="1" x14ac:dyDescent="0.2">
      <c r="A61469" s="258"/>
      <c r="Z61469" s="258"/>
    </row>
    <row r="61470" spans="1:26" ht="12.75" customHeight="1" x14ac:dyDescent="0.2">
      <c r="A61470" s="258"/>
      <c r="Z61470" s="258"/>
    </row>
    <row r="61471" spans="1:26" ht="12.75" customHeight="1" x14ac:dyDescent="0.2">
      <c r="A61471" s="258"/>
      <c r="Z61471" s="258"/>
    </row>
    <row r="61472" spans="1:26" ht="12.75" customHeight="1" x14ac:dyDescent="0.2">
      <c r="A61472" s="258"/>
      <c r="Z61472" s="258"/>
    </row>
    <row r="61473" spans="1:26" ht="12.75" customHeight="1" x14ac:dyDescent="0.2">
      <c r="A61473" s="258"/>
      <c r="Z61473" s="258"/>
    </row>
    <row r="61474" spans="1:26" ht="12.75" customHeight="1" x14ac:dyDescent="0.2">
      <c r="A61474" s="258"/>
      <c r="Z61474" s="258"/>
    </row>
    <row r="61475" spans="1:26" ht="12.75" customHeight="1" x14ac:dyDescent="0.2">
      <c r="A61475" s="258"/>
      <c r="Z61475" s="258"/>
    </row>
    <row r="61476" spans="1:26" ht="12.75" customHeight="1" x14ac:dyDescent="0.2">
      <c r="A61476" s="258"/>
      <c r="Z61476" s="258"/>
    </row>
    <row r="61477" spans="1:26" ht="12.75" customHeight="1" x14ac:dyDescent="0.2">
      <c r="A61477" s="258"/>
      <c r="Z61477" s="258"/>
    </row>
    <row r="61478" spans="1:26" ht="12.75" customHeight="1" x14ac:dyDescent="0.2">
      <c r="A61478" s="258"/>
      <c r="Z61478" s="258"/>
    </row>
    <row r="61479" spans="1:26" ht="12.75" customHeight="1" x14ac:dyDescent="0.2">
      <c r="A61479" s="258"/>
      <c r="Z61479" s="258"/>
    </row>
    <row r="61480" spans="1:26" ht="12.75" customHeight="1" x14ac:dyDescent="0.2">
      <c r="A61480" s="258"/>
      <c r="Z61480" s="258"/>
    </row>
    <row r="61481" spans="1:26" ht="12.75" customHeight="1" x14ac:dyDescent="0.2">
      <c r="A61481" s="258"/>
      <c r="Z61481" s="258"/>
    </row>
    <row r="61482" spans="1:26" ht="12.75" customHeight="1" x14ac:dyDescent="0.2">
      <c r="A61482" s="258"/>
      <c r="Z61482" s="258"/>
    </row>
    <row r="61483" spans="1:26" ht="12.75" customHeight="1" x14ac:dyDescent="0.2">
      <c r="A61483" s="258"/>
      <c r="Z61483" s="258"/>
    </row>
    <row r="61484" spans="1:26" ht="12.75" customHeight="1" x14ac:dyDescent="0.2">
      <c r="A61484" s="258"/>
      <c r="Z61484" s="258"/>
    </row>
    <row r="61485" spans="1:26" ht="12.75" customHeight="1" x14ac:dyDescent="0.2">
      <c r="A61485" s="258"/>
      <c r="Z61485" s="258"/>
    </row>
    <row r="61486" spans="1:26" ht="12.75" customHeight="1" x14ac:dyDescent="0.2">
      <c r="A61486" s="258"/>
      <c r="Z61486" s="258"/>
    </row>
    <row r="61487" spans="1:26" ht="12.75" customHeight="1" x14ac:dyDescent="0.2">
      <c r="A61487" s="258"/>
      <c r="Z61487" s="258"/>
    </row>
    <row r="61488" spans="1:26" ht="12.75" customHeight="1" x14ac:dyDescent="0.2">
      <c r="A61488" s="258"/>
      <c r="Z61488" s="258"/>
    </row>
    <row r="61489" spans="1:26" ht="12.75" customHeight="1" x14ac:dyDescent="0.2">
      <c r="A61489" s="258"/>
      <c r="Z61489" s="258"/>
    </row>
    <row r="61490" spans="1:26" ht="12.75" customHeight="1" x14ac:dyDescent="0.2">
      <c r="A61490" s="258"/>
      <c r="Z61490" s="258"/>
    </row>
    <row r="61491" spans="1:26" ht="12.75" customHeight="1" x14ac:dyDescent="0.2">
      <c r="A61491" s="258"/>
      <c r="Z61491" s="258"/>
    </row>
    <row r="61492" spans="1:26" ht="12.75" customHeight="1" x14ac:dyDescent="0.2">
      <c r="A61492" s="258"/>
      <c r="Z61492" s="258"/>
    </row>
    <row r="61493" spans="1:26" ht="12.75" customHeight="1" x14ac:dyDescent="0.2">
      <c r="A61493" s="258"/>
      <c r="Z61493" s="258"/>
    </row>
    <row r="61494" spans="1:26" ht="12.75" customHeight="1" x14ac:dyDescent="0.2">
      <c r="A61494" s="258"/>
      <c r="Z61494" s="258"/>
    </row>
    <row r="61495" spans="1:26" ht="12.75" customHeight="1" x14ac:dyDescent="0.2">
      <c r="A61495" s="258"/>
      <c r="Z61495" s="258"/>
    </row>
    <row r="61496" spans="1:26" ht="12.75" customHeight="1" x14ac:dyDescent="0.2">
      <c r="A61496" s="258"/>
      <c r="Z61496" s="258"/>
    </row>
    <row r="61497" spans="1:26" ht="12.75" customHeight="1" x14ac:dyDescent="0.2">
      <c r="A61497" s="258"/>
      <c r="Z61497" s="258"/>
    </row>
    <row r="61498" spans="1:26" ht="12.75" customHeight="1" x14ac:dyDescent="0.2">
      <c r="A61498" s="258"/>
      <c r="Z61498" s="258"/>
    </row>
    <row r="61499" spans="1:26" ht="12.75" customHeight="1" x14ac:dyDescent="0.2">
      <c r="A61499" s="258"/>
      <c r="Z61499" s="258"/>
    </row>
    <row r="61500" spans="1:26" ht="12.75" customHeight="1" x14ac:dyDescent="0.2">
      <c r="A61500" s="258"/>
      <c r="Z61500" s="258"/>
    </row>
    <row r="61501" spans="1:26" ht="12.75" customHeight="1" x14ac:dyDescent="0.2">
      <c r="A61501" s="258"/>
      <c r="Z61501" s="258"/>
    </row>
    <row r="61502" spans="1:26" ht="12.75" customHeight="1" x14ac:dyDescent="0.2">
      <c r="A61502" s="258"/>
      <c r="Z61502" s="258"/>
    </row>
    <row r="61503" spans="1:26" ht="12.75" customHeight="1" x14ac:dyDescent="0.2">
      <c r="A61503" s="258"/>
      <c r="Z61503" s="258"/>
    </row>
    <row r="61504" spans="1:26" ht="12.75" customHeight="1" x14ac:dyDescent="0.2">
      <c r="A61504" s="258"/>
      <c r="Z61504" s="258"/>
    </row>
    <row r="61505" spans="1:26" ht="12.75" customHeight="1" x14ac:dyDescent="0.2">
      <c r="A61505" s="258"/>
      <c r="Z61505" s="258"/>
    </row>
    <row r="61506" spans="1:26" ht="12.75" customHeight="1" x14ac:dyDescent="0.2">
      <c r="A61506" s="258"/>
      <c r="Z61506" s="258"/>
    </row>
    <row r="61507" spans="1:26" ht="12.75" customHeight="1" x14ac:dyDescent="0.2">
      <c r="A61507" s="258"/>
      <c r="Z61507" s="258"/>
    </row>
    <row r="61508" spans="1:26" ht="12.75" customHeight="1" x14ac:dyDescent="0.2">
      <c r="A61508" s="258"/>
      <c r="Z61508" s="258"/>
    </row>
    <row r="61509" spans="1:26" ht="12.75" customHeight="1" x14ac:dyDescent="0.2">
      <c r="A61509" s="258"/>
      <c r="Z61509" s="258"/>
    </row>
    <row r="61510" spans="1:26" ht="12.75" customHeight="1" x14ac:dyDescent="0.2">
      <c r="A61510" s="258"/>
      <c r="Z61510" s="258"/>
    </row>
    <row r="61511" spans="1:26" ht="12.75" customHeight="1" x14ac:dyDescent="0.2">
      <c r="A61511" s="258"/>
      <c r="Z61511" s="258"/>
    </row>
    <row r="61512" spans="1:26" ht="12.75" customHeight="1" x14ac:dyDescent="0.2">
      <c r="A61512" s="258"/>
      <c r="Z61512" s="258"/>
    </row>
    <row r="61513" spans="1:26" ht="12.75" customHeight="1" x14ac:dyDescent="0.2">
      <c r="A61513" s="258"/>
      <c r="Z61513" s="258"/>
    </row>
    <row r="61514" spans="1:26" ht="12.75" customHeight="1" x14ac:dyDescent="0.2">
      <c r="A61514" s="258"/>
      <c r="Z61514" s="258"/>
    </row>
    <row r="61515" spans="1:26" ht="12.75" customHeight="1" x14ac:dyDescent="0.2">
      <c r="A61515" s="258"/>
      <c r="Z61515" s="258"/>
    </row>
    <row r="61516" spans="1:26" ht="12.75" customHeight="1" x14ac:dyDescent="0.2">
      <c r="A61516" s="258"/>
      <c r="Z61516" s="258"/>
    </row>
    <row r="61517" spans="1:26" ht="12.75" customHeight="1" x14ac:dyDescent="0.2">
      <c r="A61517" s="258"/>
      <c r="Z61517" s="258"/>
    </row>
    <row r="61518" spans="1:26" ht="12.75" customHeight="1" x14ac:dyDescent="0.2">
      <c r="A61518" s="258"/>
      <c r="Z61518" s="258"/>
    </row>
    <row r="61519" spans="1:26" ht="12.75" customHeight="1" x14ac:dyDescent="0.2">
      <c r="A61519" s="258"/>
      <c r="Z61519" s="258"/>
    </row>
    <row r="61520" spans="1:26" ht="12.75" customHeight="1" x14ac:dyDescent="0.2">
      <c r="A61520" s="258"/>
      <c r="Z61520" s="258"/>
    </row>
    <row r="61521" spans="1:26" ht="12.75" customHeight="1" x14ac:dyDescent="0.2">
      <c r="A61521" s="258"/>
      <c r="Z61521" s="258"/>
    </row>
    <row r="61522" spans="1:26" ht="12.75" customHeight="1" x14ac:dyDescent="0.2">
      <c r="A61522" s="258"/>
      <c r="Z61522" s="258"/>
    </row>
    <row r="61523" spans="1:26" ht="12.75" customHeight="1" x14ac:dyDescent="0.2">
      <c r="A61523" s="258"/>
      <c r="Z61523" s="258"/>
    </row>
    <row r="61524" spans="1:26" ht="12.75" customHeight="1" x14ac:dyDescent="0.2">
      <c r="A61524" s="258"/>
      <c r="Z61524" s="258"/>
    </row>
    <row r="61525" spans="1:26" ht="12.75" customHeight="1" x14ac:dyDescent="0.2">
      <c r="A61525" s="258"/>
      <c r="Z61525" s="258"/>
    </row>
    <row r="61526" spans="1:26" ht="12.75" customHeight="1" x14ac:dyDescent="0.2">
      <c r="A61526" s="258"/>
      <c r="Z61526" s="258"/>
    </row>
    <row r="61527" spans="1:26" ht="12.75" customHeight="1" x14ac:dyDescent="0.2">
      <c r="A61527" s="258"/>
      <c r="Z61527" s="258"/>
    </row>
    <row r="61528" spans="1:26" ht="12.75" customHeight="1" x14ac:dyDescent="0.2">
      <c r="A61528" s="258"/>
      <c r="Z61528" s="258"/>
    </row>
    <row r="61529" spans="1:26" ht="12.75" customHeight="1" x14ac:dyDescent="0.2">
      <c r="A61529" s="258"/>
      <c r="Z61529" s="258"/>
    </row>
    <row r="61530" spans="1:26" ht="12.75" customHeight="1" x14ac:dyDescent="0.2">
      <c r="A61530" s="258"/>
      <c r="Z61530" s="258"/>
    </row>
    <row r="61531" spans="1:26" ht="12.75" customHeight="1" x14ac:dyDescent="0.2">
      <c r="A61531" s="258"/>
      <c r="Z61531" s="258"/>
    </row>
    <row r="61532" spans="1:26" ht="12.75" customHeight="1" x14ac:dyDescent="0.2">
      <c r="A61532" s="258"/>
      <c r="Z61532" s="258"/>
    </row>
    <row r="61533" spans="1:26" ht="12.75" customHeight="1" x14ac:dyDescent="0.2">
      <c r="A61533" s="258"/>
      <c r="Z61533" s="258"/>
    </row>
    <row r="61534" spans="1:26" ht="12.75" customHeight="1" x14ac:dyDescent="0.2">
      <c r="A61534" s="258"/>
      <c r="Z61534" s="258"/>
    </row>
    <row r="61535" spans="1:26" ht="12.75" customHeight="1" x14ac:dyDescent="0.2">
      <c r="A61535" s="258"/>
      <c r="Z61535" s="258"/>
    </row>
    <row r="61536" spans="1:26" ht="12.75" customHeight="1" x14ac:dyDescent="0.2">
      <c r="A61536" s="258"/>
      <c r="Z61536" s="258"/>
    </row>
    <row r="61537" spans="1:26" ht="12.75" customHeight="1" x14ac:dyDescent="0.2">
      <c r="A61537" s="258"/>
      <c r="Z61537" s="258"/>
    </row>
    <row r="61538" spans="1:26" ht="12.75" customHeight="1" x14ac:dyDescent="0.2">
      <c r="A61538" s="258"/>
      <c r="Z61538" s="258"/>
    </row>
    <row r="61539" spans="1:26" ht="12.75" customHeight="1" x14ac:dyDescent="0.2">
      <c r="A61539" s="258"/>
      <c r="Z61539" s="258"/>
    </row>
    <row r="61540" spans="1:26" ht="12.75" customHeight="1" x14ac:dyDescent="0.2">
      <c r="A61540" s="258"/>
      <c r="Z61540" s="258"/>
    </row>
    <row r="61541" spans="1:26" ht="12.75" customHeight="1" x14ac:dyDescent="0.2">
      <c r="A61541" s="258"/>
      <c r="Z61541" s="258"/>
    </row>
    <row r="61542" spans="1:26" ht="12.75" customHeight="1" x14ac:dyDescent="0.2">
      <c r="A61542" s="258"/>
      <c r="Z61542" s="258"/>
    </row>
    <row r="61543" spans="1:26" ht="12.75" customHeight="1" x14ac:dyDescent="0.2">
      <c r="A61543" s="258"/>
      <c r="Z61543" s="258"/>
    </row>
    <row r="61544" spans="1:26" ht="12.75" customHeight="1" x14ac:dyDescent="0.2">
      <c r="A61544" s="258"/>
      <c r="Z61544" s="258"/>
    </row>
    <row r="61545" spans="1:26" ht="12.75" customHeight="1" x14ac:dyDescent="0.2">
      <c r="A61545" s="258"/>
      <c r="Z61545" s="258"/>
    </row>
    <row r="61546" spans="1:26" ht="12.75" customHeight="1" x14ac:dyDescent="0.2">
      <c r="A61546" s="258"/>
      <c r="Z61546" s="258"/>
    </row>
    <row r="61547" spans="1:26" ht="12.75" customHeight="1" x14ac:dyDescent="0.2">
      <c r="A61547" s="258"/>
      <c r="Z61547" s="258"/>
    </row>
    <row r="61548" spans="1:26" ht="12.75" customHeight="1" x14ac:dyDescent="0.2">
      <c r="A61548" s="258"/>
      <c r="Z61548" s="258"/>
    </row>
    <row r="61549" spans="1:26" ht="12.75" customHeight="1" x14ac:dyDescent="0.2">
      <c r="A61549" s="258"/>
      <c r="Z61549" s="258"/>
    </row>
    <row r="61550" spans="1:26" ht="12.75" customHeight="1" x14ac:dyDescent="0.2">
      <c r="A61550" s="258"/>
      <c r="Z61550" s="258"/>
    </row>
    <row r="61551" spans="1:26" ht="12.75" customHeight="1" x14ac:dyDescent="0.2">
      <c r="A61551" s="258"/>
      <c r="Z61551" s="258"/>
    </row>
    <row r="61552" spans="1:26" ht="12.75" customHeight="1" x14ac:dyDescent="0.2">
      <c r="A61552" s="258"/>
      <c r="Z61552" s="258"/>
    </row>
    <row r="61553" spans="1:26" ht="12.75" customHeight="1" x14ac:dyDescent="0.2">
      <c r="A61553" s="258"/>
      <c r="Z61553" s="258"/>
    </row>
    <row r="61554" spans="1:26" ht="12.75" customHeight="1" x14ac:dyDescent="0.2">
      <c r="A61554" s="258"/>
      <c r="Z61554" s="258"/>
    </row>
    <row r="61555" spans="1:26" ht="12.75" customHeight="1" x14ac:dyDescent="0.2">
      <c r="A61555" s="258"/>
      <c r="Z61555" s="258"/>
    </row>
    <row r="61556" spans="1:26" ht="12.75" customHeight="1" x14ac:dyDescent="0.2">
      <c r="A61556" s="258"/>
      <c r="Z61556" s="258"/>
    </row>
    <row r="61557" spans="1:26" ht="12.75" customHeight="1" x14ac:dyDescent="0.2">
      <c r="A61557" s="258"/>
      <c r="Z61557" s="258"/>
    </row>
    <row r="61558" spans="1:26" ht="12.75" customHeight="1" x14ac:dyDescent="0.2">
      <c r="A61558" s="258"/>
      <c r="Z61558" s="258"/>
    </row>
    <row r="61559" spans="1:26" ht="12.75" customHeight="1" x14ac:dyDescent="0.2">
      <c r="A61559" s="258"/>
      <c r="Z61559" s="258"/>
    </row>
    <row r="61560" spans="1:26" ht="12.75" customHeight="1" x14ac:dyDescent="0.2">
      <c r="A61560" s="258"/>
      <c r="Z61560" s="258"/>
    </row>
    <row r="61561" spans="1:26" ht="12.75" customHeight="1" x14ac:dyDescent="0.2">
      <c r="A61561" s="258"/>
      <c r="Z61561" s="258"/>
    </row>
    <row r="61562" spans="1:26" ht="12.75" customHeight="1" x14ac:dyDescent="0.2">
      <c r="A61562" s="258"/>
      <c r="Z61562" s="258"/>
    </row>
    <row r="61563" spans="1:26" ht="12.75" customHeight="1" x14ac:dyDescent="0.2">
      <c r="A61563" s="258"/>
      <c r="Z61563" s="258"/>
    </row>
    <row r="61564" spans="1:26" ht="12.75" customHeight="1" x14ac:dyDescent="0.2">
      <c r="A61564" s="258"/>
      <c r="Z61564" s="258"/>
    </row>
    <row r="61565" spans="1:26" ht="12.75" customHeight="1" x14ac:dyDescent="0.2">
      <c r="A61565" s="258"/>
      <c r="Z61565" s="258"/>
    </row>
    <row r="61566" spans="1:26" ht="12.75" customHeight="1" x14ac:dyDescent="0.2">
      <c r="A61566" s="258"/>
      <c r="Z61566" s="258"/>
    </row>
    <row r="61567" spans="1:26" ht="12.75" customHeight="1" x14ac:dyDescent="0.2">
      <c r="A61567" s="258"/>
      <c r="Z61567" s="258"/>
    </row>
    <row r="61568" spans="1:26" ht="12.75" customHeight="1" x14ac:dyDescent="0.2">
      <c r="A61568" s="258"/>
      <c r="Z61568" s="258"/>
    </row>
    <row r="61569" spans="1:26" ht="12.75" customHeight="1" x14ac:dyDescent="0.2">
      <c r="A61569" s="258"/>
      <c r="Z61569" s="258"/>
    </row>
    <row r="61570" spans="1:26" ht="12.75" customHeight="1" x14ac:dyDescent="0.2">
      <c r="A61570" s="258"/>
      <c r="Z61570" s="258"/>
    </row>
    <row r="61571" spans="1:26" ht="12.75" customHeight="1" x14ac:dyDescent="0.2">
      <c r="A61571" s="258"/>
      <c r="Z61571" s="258"/>
    </row>
    <row r="61572" spans="1:26" ht="12.75" customHeight="1" x14ac:dyDescent="0.2">
      <c r="A61572" s="258"/>
      <c r="Z61572" s="258"/>
    </row>
    <row r="61573" spans="1:26" ht="12.75" customHeight="1" x14ac:dyDescent="0.2">
      <c r="A61573" s="258"/>
      <c r="Z61573" s="258"/>
    </row>
    <row r="61574" spans="1:26" ht="12.75" customHeight="1" x14ac:dyDescent="0.2">
      <c r="A61574" s="258"/>
      <c r="Z61574" s="258"/>
    </row>
    <row r="61575" spans="1:26" ht="12.75" customHeight="1" x14ac:dyDescent="0.2">
      <c r="A61575" s="258"/>
      <c r="Z61575" s="258"/>
    </row>
    <row r="61576" spans="1:26" ht="12.75" customHeight="1" x14ac:dyDescent="0.2">
      <c r="A61576" s="258"/>
      <c r="Z61576" s="258"/>
    </row>
    <row r="61577" spans="1:26" ht="12.75" customHeight="1" x14ac:dyDescent="0.2">
      <c r="A61577" s="258"/>
      <c r="Z61577" s="258"/>
    </row>
    <row r="61578" spans="1:26" ht="12.75" customHeight="1" x14ac:dyDescent="0.2">
      <c r="A61578" s="258"/>
      <c r="Z61578" s="258"/>
    </row>
    <row r="61579" spans="1:26" ht="12.75" customHeight="1" x14ac:dyDescent="0.2">
      <c r="A61579" s="258"/>
      <c r="Z61579" s="258"/>
    </row>
    <row r="61580" spans="1:26" ht="12.75" customHeight="1" x14ac:dyDescent="0.2">
      <c r="A61580" s="258"/>
      <c r="Z61580" s="258"/>
    </row>
    <row r="61581" spans="1:26" ht="12.75" customHeight="1" x14ac:dyDescent="0.2">
      <c r="A61581" s="258"/>
      <c r="Z61581" s="258"/>
    </row>
    <row r="61582" spans="1:26" ht="12.75" customHeight="1" x14ac:dyDescent="0.2">
      <c r="A61582" s="258"/>
      <c r="Z61582" s="258"/>
    </row>
    <row r="61583" spans="1:26" ht="12.75" customHeight="1" x14ac:dyDescent="0.2">
      <c r="A61583" s="258"/>
      <c r="Z61583" s="258"/>
    </row>
    <row r="61584" spans="1:26" ht="12.75" customHeight="1" x14ac:dyDescent="0.2">
      <c r="A61584" s="258"/>
      <c r="Z61584" s="258"/>
    </row>
    <row r="61585" spans="1:26" ht="12.75" customHeight="1" x14ac:dyDescent="0.2">
      <c r="A61585" s="258"/>
      <c r="Z61585" s="258"/>
    </row>
    <row r="61586" spans="1:26" ht="12.75" customHeight="1" x14ac:dyDescent="0.2">
      <c r="A61586" s="258"/>
      <c r="Z61586" s="258"/>
    </row>
    <row r="61587" spans="1:26" ht="12.75" customHeight="1" x14ac:dyDescent="0.2">
      <c r="A61587" s="258"/>
      <c r="Z61587" s="258"/>
    </row>
    <row r="61588" spans="1:26" ht="12.75" customHeight="1" x14ac:dyDescent="0.2">
      <c r="A61588" s="258"/>
      <c r="Z61588" s="258"/>
    </row>
    <row r="61589" spans="1:26" ht="12.75" customHeight="1" x14ac:dyDescent="0.2">
      <c r="A61589" s="258"/>
      <c r="Z61589" s="258"/>
    </row>
    <row r="61590" spans="1:26" ht="12.75" customHeight="1" x14ac:dyDescent="0.2">
      <c r="A61590" s="258"/>
      <c r="Z61590" s="258"/>
    </row>
    <row r="61591" spans="1:26" ht="12.75" customHeight="1" x14ac:dyDescent="0.2">
      <c r="A61591" s="258"/>
      <c r="Z61591" s="258"/>
    </row>
    <row r="61592" spans="1:26" ht="12.75" customHeight="1" x14ac:dyDescent="0.2">
      <c r="A61592" s="258"/>
      <c r="Z61592" s="258"/>
    </row>
    <row r="61593" spans="1:26" ht="12.75" customHeight="1" x14ac:dyDescent="0.2">
      <c r="A61593" s="258"/>
      <c r="Z61593" s="258"/>
    </row>
    <row r="61594" spans="1:26" ht="12.75" customHeight="1" x14ac:dyDescent="0.2">
      <c r="A61594" s="258"/>
      <c r="Z61594" s="258"/>
    </row>
    <row r="61595" spans="1:26" ht="12.75" customHeight="1" x14ac:dyDescent="0.2">
      <c r="A61595" s="258"/>
      <c r="Z61595" s="258"/>
    </row>
    <row r="61596" spans="1:26" ht="12.75" customHeight="1" x14ac:dyDescent="0.2">
      <c r="A61596" s="258"/>
      <c r="Z61596" s="258"/>
    </row>
    <row r="61597" spans="1:26" ht="12.75" customHeight="1" x14ac:dyDescent="0.2">
      <c r="A61597" s="258"/>
      <c r="Z61597" s="258"/>
    </row>
    <row r="61598" spans="1:26" ht="12.75" customHeight="1" x14ac:dyDescent="0.2">
      <c r="A61598" s="258"/>
      <c r="Z61598" s="258"/>
    </row>
    <row r="61599" spans="1:26" ht="12.75" customHeight="1" x14ac:dyDescent="0.2">
      <c r="A61599" s="258"/>
      <c r="Z61599" s="258"/>
    </row>
    <row r="61600" spans="1:26" ht="12.75" customHeight="1" x14ac:dyDescent="0.2">
      <c r="A61600" s="258"/>
      <c r="Z61600" s="258"/>
    </row>
    <row r="61601" spans="1:26" ht="12.75" customHeight="1" x14ac:dyDescent="0.2">
      <c r="A61601" s="258"/>
      <c r="Z61601" s="258"/>
    </row>
    <row r="61602" spans="1:26" ht="12.75" customHeight="1" x14ac:dyDescent="0.2">
      <c r="A61602" s="258"/>
      <c r="Z61602" s="258"/>
    </row>
    <row r="61603" spans="1:26" ht="12.75" customHeight="1" x14ac:dyDescent="0.2">
      <c r="A61603" s="258"/>
      <c r="Z61603" s="258"/>
    </row>
    <row r="61604" spans="1:26" ht="12.75" customHeight="1" x14ac:dyDescent="0.2">
      <c r="A61604" s="258"/>
      <c r="Z61604" s="258"/>
    </row>
    <row r="61605" spans="1:26" ht="12.75" customHeight="1" x14ac:dyDescent="0.2">
      <c r="A61605" s="258"/>
      <c r="Z61605" s="258"/>
    </row>
    <row r="61606" spans="1:26" ht="12.75" customHeight="1" x14ac:dyDescent="0.2">
      <c r="A61606" s="258"/>
      <c r="Z61606" s="258"/>
    </row>
    <row r="61607" spans="1:26" ht="12.75" customHeight="1" x14ac:dyDescent="0.2">
      <c r="A61607" s="258"/>
      <c r="Z61607" s="258"/>
    </row>
    <row r="61608" spans="1:26" ht="12.75" customHeight="1" x14ac:dyDescent="0.2">
      <c r="A61608" s="258"/>
      <c r="Z61608" s="258"/>
    </row>
    <row r="61609" spans="1:26" ht="12.75" customHeight="1" x14ac:dyDescent="0.2">
      <c r="A61609" s="258"/>
      <c r="Z61609" s="258"/>
    </row>
    <row r="61610" spans="1:26" ht="12.75" customHeight="1" x14ac:dyDescent="0.2">
      <c r="A61610" s="258"/>
      <c r="Z61610" s="258"/>
    </row>
    <row r="61611" spans="1:26" ht="12.75" customHeight="1" x14ac:dyDescent="0.2">
      <c r="A61611" s="258"/>
      <c r="Z61611" s="258"/>
    </row>
    <row r="61612" spans="1:26" ht="12.75" customHeight="1" x14ac:dyDescent="0.2">
      <c r="A61612" s="258"/>
      <c r="Z61612" s="258"/>
    </row>
    <row r="61613" spans="1:26" ht="12.75" customHeight="1" x14ac:dyDescent="0.2">
      <c r="A61613" s="258"/>
      <c r="Z61613" s="258"/>
    </row>
    <row r="61614" spans="1:26" ht="12.75" customHeight="1" x14ac:dyDescent="0.2">
      <c r="A61614" s="258"/>
      <c r="Z61614" s="258"/>
    </row>
    <row r="61615" spans="1:26" ht="12.75" customHeight="1" x14ac:dyDescent="0.2">
      <c r="A61615" s="258"/>
      <c r="Z61615" s="258"/>
    </row>
    <row r="61616" spans="1:26" ht="12.75" customHeight="1" x14ac:dyDescent="0.2">
      <c r="A61616" s="258"/>
      <c r="Z61616" s="258"/>
    </row>
    <row r="61617" spans="1:26" ht="12.75" customHeight="1" x14ac:dyDescent="0.2">
      <c r="A61617" s="258"/>
      <c r="Z61617" s="258"/>
    </row>
    <row r="61618" spans="1:26" ht="12.75" customHeight="1" x14ac:dyDescent="0.2">
      <c r="A61618" s="258"/>
      <c r="Z61618" s="258"/>
    </row>
    <row r="61619" spans="1:26" ht="12.75" customHeight="1" x14ac:dyDescent="0.2">
      <c r="A61619" s="258"/>
      <c r="Z61619" s="258"/>
    </row>
    <row r="61620" spans="1:26" ht="12.75" customHeight="1" x14ac:dyDescent="0.2">
      <c r="A61620" s="258"/>
      <c r="Z61620" s="258"/>
    </row>
    <row r="61621" spans="1:26" ht="12.75" customHeight="1" x14ac:dyDescent="0.2">
      <c r="A61621" s="258"/>
      <c r="Z61621" s="258"/>
    </row>
    <row r="61622" spans="1:26" ht="12.75" customHeight="1" x14ac:dyDescent="0.2">
      <c r="A61622" s="258"/>
      <c r="Z61622" s="258"/>
    </row>
    <row r="61623" spans="1:26" ht="12.75" customHeight="1" x14ac:dyDescent="0.2">
      <c r="A61623" s="258"/>
      <c r="Z61623" s="258"/>
    </row>
    <row r="61624" spans="1:26" ht="12.75" customHeight="1" x14ac:dyDescent="0.2">
      <c r="A61624" s="258"/>
      <c r="Z61624" s="258"/>
    </row>
    <row r="61625" spans="1:26" ht="12.75" customHeight="1" x14ac:dyDescent="0.2">
      <c r="A61625" s="258"/>
      <c r="Z61625" s="258"/>
    </row>
    <row r="61626" spans="1:26" ht="12.75" customHeight="1" x14ac:dyDescent="0.2">
      <c r="A61626" s="258"/>
      <c r="Z61626" s="258"/>
    </row>
    <row r="61627" spans="1:26" ht="12.75" customHeight="1" x14ac:dyDescent="0.2">
      <c r="A61627" s="258"/>
      <c r="Z61627" s="258"/>
    </row>
    <row r="61628" spans="1:26" ht="12.75" customHeight="1" x14ac:dyDescent="0.2">
      <c r="A61628" s="258"/>
      <c r="Z61628" s="258"/>
    </row>
    <row r="61629" spans="1:26" ht="12.75" customHeight="1" x14ac:dyDescent="0.2">
      <c r="A61629" s="258"/>
      <c r="Z61629" s="258"/>
    </row>
    <row r="61630" spans="1:26" ht="12.75" customHeight="1" x14ac:dyDescent="0.2">
      <c r="A61630" s="258"/>
      <c r="Z61630" s="258"/>
    </row>
    <row r="61631" spans="1:26" ht="12.75" customHeight="1" x14ac:dyDescent="0.2">
      <c r="A61631" s="258"/>
      <c r="Z61631" s="258"/>
    </row>
    <row r="61632" spans="1:26" ht="12.75" customHeight="1" x14ac:dyDescent="0.2">
      <c r="A61632" s="258"/>
      <c r="Z61632" s="258"/>
    </row>
    <row r="61633" spans="1:26" ht="12.75" customHeight="1" x14ac:dyDescent="0.2">
      <c r="A61633" s="258"/>
      <c r="Z61633" s="258"/>
    </row>
    <row r="61634" spans="1:26" ht="12.75" customHeight="1" x14ac:dyDescent="0.2">
      <c r="A61634" s="258"/>
      <c r="Z61634" s="258"/>
    </row>
    <row r="61635" spans="1:26" ht="12.75" customHeight="1" x14ac:dyDescent="0.2">
      <c r="A61635" s="258"/>
      <c r="Z61635" s="258"/>
    </row>
    <row r="61636" spans="1:26" ht="12.75" customHeight="1" x14ac:dyDescent="0.2">
      <c r="A61636" s="258"/>
      <c r="Z61636" s="258"/>
    </row>
    <row r="61637" spans="1:26" ht="12.75" customHeight="1" x14ac:dyDescent="0.2">
      <c r="A61637" s="258"/>
      <c r="Z61637" s="258"/>
    </row>
    <row r="61638" spans="1:26" ht="12.75" customHeight="1" x14ac:dyDescent="0.2">
      <c r="A61638" s="258"/>
      <c r="Z61638" s="258"/>
    </row>
    <row r="61639" spans="1:26" ht="12.75" customHeight="1" x14ac:dyDescent="0.2">
      <c r="A61639" s="258"/>
      <c r="Z61639" s="258"/>
    </row>
    <row r="61640" spans="1:26" ht="12.75" customHeight="1" x14ac:dyDescent="0.2">
      <c r="A61640" s="258"/>
      <c r="Z61640" s="258"/>
    </row>
    <row r="61641" spans="1:26" ht="12.75" customHeight="1" x14ac:dyDescent="0.2">
      <c r="A61641" s="258"/>
      <c r="Z61641" s="258"/>
    </row>
    <row r="61642" spans="1:26" ht="12.75" customHeight="1" x14ac:dyDescent="0.2">
      <c r="A61642" s="258"/>
      <c r="Z61642" s="258"/>
    </row>
    <row r="61643" spans="1:26" ht="12.75" customHeight="1" x14ac:dyDescent="0.2">
      <c r="A61643" s="258"/>
      <c r="Z61643" s="258"/>
    </row>
    <row r="61644" spans="1:26" ht="12.75" customHeight="1" x14ac:dyDescent="0.2">
      <c r="A61644" s="258"/>
      <c r="Z61644" s="258"/>
    </row>
    <row r="61645" spans="1:26" ht="12.75" customHeight="1" x14ac:dyDescent="0.2">
      <c r="A61645" s="258"/>
      <c r="Z61645" s="258"/>
    </row>
    <row r="61646" spans="1:26" ht="12.75" customHeight="1" x14ac:dyDescent="0.2">
      <c r="A61646" s="258"/>
      <c r="Z61646" s="258"/>
    </row>
    <row r="61647" spans="1:26" ht="12.75" customHeight="1" x14ac:dyDescent="0.2">
      <c r="A61647" s="258"/>
      <c r="Z61647" s="258"/>
    </row>
    <row r="61648" spans="1:26" ht="12.75" customHeight="1" x14ac:dyDescent="0.2">
      <c r="A61648" s="258"/>
      <c r="Z61648" s="258"/>
    </row>
    <row r="61649" spans="1:26" ht="12.75" customHeight="1" x14ac:dyDescent="0.2">
      <c r="A61649" s="258"/>
      <c r="Z61649" s="258"/>
    </row>
    <row r="61650" spans="1:26" ht="12.75" customHeight="1" x14ac:dyDescent="0.2">
      <c r="A61650" s="258"/>
      <c r="Z61650" s="258"/>
    </row>
    <row r="61651" spans="1:26" ht="12.75" customHeight="1" x14ac:dyDescent="0.2">
      <c r="A61651" s="258"/>
      <c r="Z61651" s="258"/>
    </row>
    <row r="61652" spans="1:26" ht="12.75" customHeight="1" x14ac:dyDescent="0.2">
      <c r="A61652" s="258"/>
      <c r="Z61652" s="258"/>
    </row>
    <row r="61653" spans="1:26" ht="12.75" customHeight="1" x14ac:dyDescent="0.2">
      <c r="A61653" s="258"/>
      <c r="Z61653" s="258"/>
    </row>
    <row r="61654" spans="1:26" ht="12.75" customHeight="1" x14ac:dyDescent="0.2">
      <c r="A61654" s="258"/>
      <c r="Z61654" s="258"/>
    </row>
    <row r="61655" spans="1:26" ht="12.75" customHeight="1" x14ac:dyDescent="0.2">
      <c r="A61655" s="258"/>
      <c r="Z61655" s="258"/>
    </row>
    <row r="61656" spans="1:26" ht="12.75" customHeight="1" x14ac:dyDescent="0.2">
      <c r="A61656" s="258"/>
      <c r="Z61656" s="258"/>
    </row>
    <row r="61657" spans="1:26" ht="12.75" customHeight="1" x14ac:dyDescent="0.2">
      <c r="A61657" s="258"/>
      <c r="Z61657" s="258"/>
    </row>
    <row r="61658" spans="1:26" ht="12.75" customHeight="1" x14ac:dyDescent="0.2">
      <c r="A61658" s="258"/>
      <c r="Z61658" s="258"/>
    </row>
    <row r="61659" spans="1:26" ht="12.75" customHeight="1" x14ac:dyDescent="0.2">
      <c r="A61659" s="258"/>
      <c r="Z61659" s="258"/>
    </row>
    <row r="61660" spans="1:26" ht="12.75" customHeight="1" x14ac:dyDescent="0.2">
      <c r="A61660" s="258"/>
      <c r="Z61660" s="258"/>
    </row>
    <row r="61661" spans="1:26" ht="12.75" customHeight="1" x14ac:dyDescent="0.2">
      <c r="A61661" s="258"/>
      <c r="Z61661" s="258"/>
    </row>
    <row r="61662" spans="1:26" ht="12.75" customHeight="1" x14ac:dyDescent="0.2">
      <c r="A61662" s="258"/>
      <c r="Z61662" s="258"/>
    </row>
    <row r="61663" spans="1:26" ht="12.75" customHeight="1" x14ac:dyDescent="0.2">
      <c r="A61663" s="258"/>
      <c r="Z61663" s="258"/>
    </row>
    <row r="61664" spans="1:26" ht="12.75" customHeight="1" x14ac:dyDescent="0.2">
      <c r="A61664" s="258"/>
      <c r="Z61664" s="258"/>
    </row>
    <row r="61665" spans="1:26" ht="12.75" customHeight="1" x14ac:dyDescent="0.2">
      <c r="A61665" s="258"/>
      <c r="Z61665" s="258"/>
    </row>
    <row r="61666" spans="1:26" ht="12.75" customHeight="1" x14ac:dyDescent="0.2">
      <c r="A61666" s="258"/>
      <c r="Z61666" s="258"/>
    </row>
    <row r="61667" spans="1:26" ht="12.75" customHeight="1" x14ac:dyDescent="0.2">
      <c r="A61667" s="258"/>
      <c r="Z61667" s="258"/>
    </row>
    <row r="61668" spans="1:26" ht="12.75" customHeight="1" x14ac:dyDescent="0.2">
      <c r="A61668" s="258"/>
      <c r="Z61668" s="258"/>
    </row>
    <row r="61669" spans="1:26" ht="12.75" customHeight="1" x14ac:dyDescent="0.2">
      <c r="A61669" s="258"/>
      <c r="Z61669" s="258"/>
    </row>
    <row r="61670" spans="1:26" ht="12.75" customHeight="1" x14ac:dyDescent="0.2">
      <c r="A61670" s="258"/>
      <c r="Z61670" s="258"/>
    </row>
    <row r="61671" spans="1:26" ht="12.75" customHeight="1" x14ac:dyDescent="0.2">
      <c r="A61671" s="258"/>
      <c r="Z61671" s="258"/>
    </row>
    <row r="61672" spans="1:26" ht="12.75" customHeight="1" x14ac:dyDescent="0.2">
      <c r="A61672" s="258"/>
      <c r="Z61672" s="258"/>
    </row>
    <row r="61673" spans="1:26" ht="12.75" customHeight="1" x14ac:dyDescent="0.2">
      <c r="A61673" s="258"/>
      <c r="Z61673" s="258"/>
    </row>
    <row r="61674" spans="1:26" ht="12.75" customHeight="1" x14ac:dyDescent="0.2">
      <c r="A61674" s="258"/>
      <c r="Z61674" s="258"/>
    </row>
    <row r="61675" spans="1:26" ht="12.75" customHeight="1" x14ac:dyDescent="0.2">
      <c r="A61675" s="258"/>
      <c r="Z61675" s="258"/>
    </row>
    <row r="61676" spans="1:26" ht="12.75" customHeight="1" x14ac:dyDescent="0.2">
      <c r="A61676" s="258"/>
      <c r="Z61676" s="258"/>
    </row>
    <row r="61677" spans="1:26" ht="12.75" customHeight="1" x14ac:dyDescent="0.2">
      <c r="A61677" s="258"/>
      <c r="Z61677" s="258"/>
    </row>
    <row r="61678" spans="1:26" ht="12.75" customHeight="1" x14ac:dyDescent="0.2">
      <c r="A61678" s="258"/>
      <c r="Z61678" s="258"/>
    </row>
    <row r="61679" spans="1:26" ht="12.75" customHeight="1" x14ac:dyDescent="0.2">
      <c r="A61679" s="258"/>
      <c r="Z61679" s="258"/>
    </row>
    <row r="61680" spans="1:26" ht="12.75" customHeight="1" x14ac:dyDescent="0.2">
      <c r="A61680" s="258"/>
      <c r="Z61680" s="258"/>
    </row>
    <row r="61681" spans="1:26" ht="12.75" customHeight="1" x14ac:dyDescent="0.2">
      <c r="A61681" s="258"/>
      <c r="Z61681" s="258"/>
    </row>
    <row r="61682" spans="1:26" ht="12.75" customHeight="1" x14ac:dyDescent="0.2">
      <c r="A61682" s="258"/>
      <c r="Z61682" s="258"/>
    </row>
    <row r="61683" spans="1:26" ht="12.75" customHeight="1" x14ac:dyDescent="0.2">
      <c r="A61683" s="258"/>
      <c r="Z61683" s="258"/>
    </row>
    <row r="61684" spans="1:26" ht="12.75" customHeight="1" x14ac:dyDescent="0.2">
      <c r="A61684" s="258"/>
      <c r="Z61684" s="258"/>
    </row>
    <row r="61685" spans="1:26" ht="12.75" customHeight="1" x14ac:dyDescent="0.2">
      <c r="A61685" s="258"/>
      <c r="Z61685" s="258"/>
    </row>
    <row r="61686" spans="1:26" ht="12.75" customHeight="1" x14ac:dyDescent="0.2">
      <c r="A61686" s="258"/>
      <c r="Z61686" s="258"/>
    </row>
    <row r="61687" spans="1:26" ht="12.75" customHeight="1" x14ac:dyDescent="0.2">
      <c r="A61687" s="258"/>
      <c r="Z61687" s="258"/>
    </row>
    <row r="61688" spans="1:26" ht="12.75" customHeight="1" x14ac:dyDescent="0.2">
      <c r="A61688" s="258"/>
      <c r="Z61688" s="258"/>
    </row>
    <row r="61689" spans="1:26" ht="12.75" customHeight="1" x14ac:dyDescent="0.2">
      <c r="A61689" s="258"/>
      <c r="Z61689" s="258"/>
    </row>
    <row r="61690" spans="1:26" ht="12.75" customHeight="1" x14ac:dyDescent="0.2">
      <c r="A61690" s="258"/>
      <c r="Z61690" s="258"/>
    </row>
    <row r="61691" spans="1:26" ht="12.75" customHeight="1" x14ac:dyDescent="0.2">
      <c r="A61691" s="258"/>
      <c r="Z61691" s="258"/>
    </row>
    <row r="61692" spans="1:26" ht="12.75" customHeight="1" x14ac:dyDescent="0.2">
      <c r="A61692" s="258"/>
      <c r="Z61692" s="258"/>
    </row>
    <row r="61693" spans="1:26" ht="12.75" customHeight="1" x14ac:dyDescent="0.2">
      <c r="A61693" s="258"/>
      <c r="Z61693" s="258"/>
    </row>
    <row r="61694" spans="1:26" ht="12.75" customHeight="1" x14ac:dyDescent="0.2">
      <c r="A61694" s="258"/>
      <c r="Z61694" s="258"/>
    </row>
    <row r="61695" spans="1:26" ht="12.75" customHeight="1" x14ac:dyDescent="0.2">
      <c r="A61695" s="258"/>
      <c r="Z61695" s="258"/>
    </row>
    <row r="61696" spans="1:26" ht="12.75" customHeight="1" x14ac:dyDescent="0.2">
      <c r="A61696" s="258"/>
      <c r="Z61696" s="258"/>
    </row>
    <row r="61697" spans="1:26" ht="12.75" customHeight="1" x14ac:dyDescent="0.2">
      <c r="A61697" s="258"/>
      <c r="Z61697" s="258"/>
    </row>
    <row r="61698" spans="1:26" ht="12.75" customHeight="1" x14ac:dyDescent="0.2">
      <c r="A61698" s="258"/>
      <c r="Z61698" s="258"/>
    </row>
    <row r="61699" spans="1:26" ht="12.75" customHeight="1" x14ac:dyDescent="0.2">
      <c r="A61699" s="258"/>
      <c r="Z61699" s="258"/>
    </row>
    <row r="61700" spans="1:26" ht="12.75" customHeight="1" x14ac:dyDescent="0.2">
      <c r="A61700" s="258"/>
      <c r="Z61700" s="258"/>
    </row>
    <row r="61701" spans="1:26" ht="12.75" customHeight="1" x14ac:dyDescent="0.2">
      <c r="A61701" s="258"/>
      <c r="Z61701" s="258"/>
    </row>
    <row r="61702" spans="1:26" ht="12.75" customHeight="1" x14ac:dyDescent="0.2">
      <c r="A61702" s="258"/>
      <c r="Z61702" s="258"/>
    </row>
    <row r="61703" spans="1:26" ht="12.75" customHeight="1" x14ac:dyDescent="0.2">
      <c r="A61703" s="258"/>
      <c r="Z61703" s="258"/>
    </row>
    <row r="61704" spans="1:26" ht="12.75" customHeight="1" x14ac:dyDescent="0.2">
      <c r="A61704" s="258"/>
      <c r="Z61704" s="258"/>
    </row>
    <row r="61705" spans="1:26" ht="12.75" customHeight="1" x14ac:dyDescent="0.2">
      <c r="A61705" s="258"/>
      <c r="Z61705" s="258"/>
    </row>
    <row r="61706" spans="1:26" ht="12.75" customHeight="1" x14ac:dyDescent="0.2">
      <c r="A61706" s="258"/>
      <c r="Z61706" s="258"/>
    </row>
    <row r="61707" spans="1:26" ht="12.75" customHeight="1" x14ac:dyDescent="0.2">
      <c r="A61707" s="258"/>
      <c r="Z61707" s="258"/>
    </row>
    <row r="61708" spans="1:26" ht="12.75" customHeight="1" x14ac:dyDescent="0.2">
      <c r="A61708" s="258"/>
      <c r="Z61708" s="258"/>
    </row>
    <row r="61709" spans="1:26" ht="12.75" customHeight="1" x14ac:dyDescent="0.2">
      <c r="A61709" s="258"/>
      <c r="Z61709" s="258"/>
    </row>
    <row r="61710" spans="1:26" ht="12.75" customHeight="1" x14ac:dyDescent="0.2">
      <c r="A61710" s="258"/>
      <c r="Z61710" s="258"/>
    </row>
    <row r="61711" spans="1:26" ht="12.75" customHeight="1" x14ac:dyDescent="0.2">
      <c r="A61711" s="258"/>
      <c r="Z61711" s="258"/>
    </row>
    <row r="61712" spans="1:26" ht="12.75" customHeight="1" x14ac:dyDescent="0.2">
      <c r="A61712" s="258"/>
      <c r="Z61712" s="258"/>
    </row>
    <row r="61713" spans="1:26" ht="12.75" customHeight="1" x14ac:dyDescent="0.2">
      <c r="A61713" s="258"/>
      <c r="Z61713" s="258"/>
    </row>
    <row r="61714" spans="1:26" ht="12.75" customHeight="1" x14ac:dyDescent="0.2">
      <c r="A61714" s="258"/>
      <c r="Z61714" s="258"/>
    </row>
    <row r="61715" spans="1:26" ht="12.75" customHeight="1" x14ac:dyDescent="0.2">
      <c r="A61715" s="258"/>
      <c r="Z61715" s="258"/>
    </row>
    <row r="61716" spans="1:26" ht="12.75" customHeight="1" x14ac:dyDescent="0.2">
      <c r="A61716" s="258"/>
      <c r="Z61716" s="258"/>
    </row>
    <row r="61717" spans="1:26" ht="12.75" customHeight="1" x14ac:dyDescent="0.2">
      <c r="A61717" s="258"/>
      <c r="Z61717" s="258"/>
    </row>
    <row r="61718" spans="1:26" ht="12.75" customHeight="1" x14ac:dyDescent="0.2">
      <c r="A61718" s="258"/>
      <c r="Z61718" s="258"/>
    </row>
    <row r="61719" spans="1:26" ht="12.75" customHeight="1" x14ac:dyDescent="0.2">
      <c r="A61719" s="258"/>
      <c r="Z61719" s="258"/>
    </row>
    <row r="61720" spans="1:26" ht="12.75" customHeight="1" x14ac:dyDescent="0.2">
      <c r="A61720" s="258"/>
      <c r="Z61720" s="258"/>
    </row>
    <row r="61721" spans="1:26" ht="12.75" customHeight="1" x14ac:dyDescent="0.2">
      <c r="A61721" s="258"/>
      <c r="Z61721" s="258"/>
    </row>
    <row r="61722" spans="1:26" ht="12.75" customHeight="1" x14ac:dyDescent="0.2">
      <c r="A61722" s="258"/>
      <c r="Z61722" s="258"/>
    </row>
    <row r="61723" spans="1:26" ht="12.75" customHeight="1" x14ac:dyDescent="0.2">
      <c r="A61723" s="258"/>
      <c r="Z61723" s="258"/>
    </row>
    <row r="61724" spans="1:26" ht="12.75" customHeight="1" x14ac:dyDescent="0.2">
      <c r="A61724" s="258"/>
      <c r="Z61724" s="258"/>
    </row>
    <row r="61725" spans="1:26" ht="12.75" customHeight="1" x14ac:dyDescent="0.2">
      <c r="A61725" s="258"/>
      <c r="Z61725" s="258"/>
    </row>
    <row r="61726" spans="1:26" ht="12.75" customHeight="1" x14ac:dyDescent="0.2">
      <c r="A61726" s="258"/>
      <c r="Z61726" s="258"/>
    </row>
    <row r="61727" spans="1:26" ht="12.75" customHeight="1" x14ac:dyDescent="0.2">
      <c r="A61727" s="258"/>
      <c r="Z61727" s="258"/>
    </row>
    <row r="61728" spans="1:26" ht="12.75" customHeight="1" x14ac:dyDescent="0.2">
      <c r="A61728" s="258"/>
      <c r="Z61728" s="258"/>
    </row>
    <row r="61729" spans="1:26" ht="12.75" customHeight="1" x14ac:dyDescent="0.2">
      <c r="A61729" s="258"/>
      <c r="Z61729" s="258"/>
    </row>
    <row r="61730" spans="1:26" ht="12.75" customHeight="1" x14ac:dyDescent="0.2">
      <c r="A61730" s="258"/>
      <c r="Z61730" s="258"/>
    </row>
    <row r="61731" spans="1:26" ht="12.75" customHeight="1" x14ac:dyDescent="0.2">
      <c r="A61731" s="258"/>
      <c r="Z61731" s="258"/>
    </row>
    <row r="61732" spans="1:26" ht="12.75" customHeight="1" x14ac:dyDescent="0.2">
      <c r="A61732" s="258"/>
      <c r="Z61732" s="258"/>
    </row>
    <row r="61733" spans="1:26" ht="12.75" customHeight="1" x14ac:dyDescent="0.2">
      <c r="A61733" s="258"/>
      <c r="Z61733" s="258"/>
    </row>
    <row r="61734" spans="1:26" ht="12.75" customHeight="1" x14ac:dyDescent="0.2">
      <c r="A61734" s="258"/>
      <c r="Z61734" s="258"/>
    </row>
    <row r="61735" spans="1:26" ht="12.75" customHeight="1" x14ac:dyDescent="0.2">
      <c r="A61735" s="258"/>
      <c r="Z61735" s="258"/>
    </row>
    <row r="61736" spans="1:26" ht="12.75" customHeight="1" x14ac:dyDescent="0.2">
      <c r="A61736" s="258"/>
      <c r="Z61736" s="258"/>
    </row>
    <row r="61737" spans="1:26" ht="12.75" customHeight="1" x14ac:dyDescent="0.2">
      <c r="A61737" s="258"/>
      <c r="Z61737" s="258"/>
    </row>
    <row r="61738" spans="1:26" ht="12.75" customHeight="1" x14ac:dyDescent="0.2">
      <c r="A61738" s="258"/>
      <c r="Z61738" s="258"/>
    </row>
    <row r="61739" spans="1:26" ht="12.75" customHeight="1" x14ac:dyDescent="0.2">
      <c r="A61739" s="258"/>
      <c r="Z61739" s="258"/>
    </row>
    <row r="61740" spans="1:26" ht="12.75" customHeight="1" x14ac:dyDescent="0.2">
      <c r="A61740" s="258"/>
      <c r="Z61740" s="258"/>
    </row>
    <row r="61741" spans="1:26" ht="12.75" customHeight="1" x14ac:dyDescent="0.2">
      <c r="A61741" s="258"/>
      <c r="Z61741" s="258"/>
    </row>
    <row r="61742" spans="1:26" ht="12.75" customHeight="1" x14ac:dyDescent="0.2">
      <c r="A61742" s="258"/>
      <c r="Z61742" s="258"/>
    </row>
    <row r="61743" spans="1:26" ht="12.75" customHeight="1" x14ac:dyDescent="0.2">
      <c r="A61743" s="258"/>
      <c r="Z61743" s="258"/>
    </row>
    <row r="61744" spans="1:26" ht="12.75" customHeight="1" x14ac:dyDescent="0.2">
      <c r="A61744" s="258"/>
      <c r="Z61744" s="258"/>
    </row>
    <row r="61745" spans="1:26" ht="12.75" customHeight="1" x14ac:dyDescent="0.2">
      <c r="A61745" s="258"/>
      <c r="Z61745" s="258"/>
    </row>
    <row r="61746" spans="1:26" ht="12.75" customHeight="1" x14ac:dyDescent="0.2">
      <c r="A61746" s="258"/>
      <c r="Z61746" s="258"/>
    </row>
    <row r="61747" spans="1:26" ht="12.75" customHeight="1" x14ac:dyDescent="0.2">
      <c r="A61747" s="258"/>
      <c r="Z61747" s="258"/>
    </row>
    <row r="61748" spans="1:26" ht="12.75" customHeight="1" x14ac:dyDescent="0.2">
      <c r="A61748" s="258"/>
      <c r="Z61748" s="258"/>
    </row>
    <row r="61749" spans="1:26" ht="12.75" customHeight="1" x14ac:dyDescent="0.2">
      <c r="A61749" s="258"/>
      <c r="Z61749" s="258"/>
    </row>
    <row r="61750" spans="1:26" ht="12.75" customHeight="1" x14ac:dyDescent="0.2">
      <c r="A61750" s="258"/>
      <c r="Z61750" s="258"/>
    </row>
    <row r="61751" spans="1:26" ht="12.75" customHeight="1" x14ac:dyDescent="0.2">
      <c r="A61751" s="258"/>
      <c r="Z61751" s="258"/>
    </row>
    <row r="61752" spans="1:26" ht="12.75" customHeight="1" x14ac:dyDescent="0.2">
      <c r="A61752" s="258"/>
      <c r="Z61752" s="258"/>
    </row>
    <row r="61753" spans="1:26" ht="12.75" customHeight="1" x14ac:dyDescent="0.2">
      <c r="A61753" s="258"/>
      <c r="Z61753" s="258"/>
    </row>
    <row r="61754" spans="1:26" ht="12.75" customHeight="1" x14ac:dyDescent="0.2">
      <c r="A61754" s="258"/>
      <c r="Z61754" s="258"/>
    </row>
    <row r="61755" spans="1:26" ht="12.75" customHeight="1" x14ac:dyDescent="0.2">
      <c r="A61755" s="258"/>
      <c r="Z61755" s="258"/>
    </row>
    <row r="61756" spans="1:26" ht="12.75" customHeight="1" x14ac:dyDescent="0.2">
      <c r="A61756" s="258"/>
      <c r="Z61756" s="258"/>
    </row>
    <row r="61757" spans="1:26" ht="12.75" customHeight="1" x14ac:dyDescent="0.2">
      <c r="A61757" s="258"/>
      <c r="Z61757" s="258"/>
    </row>
    <row r="61758" spans="1:26" ht="12.75" customHeight="1" x14ac:dyDescent="0.2">
      <c r="A61758" s="258"/>
      <c r="Z61758" s="258"/>
    </row>
    <row r="61759" spans="1:26" ht="12.75" customHeight="1" x14ac:dyDescent="0.2">
      <c r="A61759" s="258"/>
      <c r="Z61759" s="258"/>
    </row>
    <row r="61760" spans="1:26" ht="12.75" customHeight="1" x14ac:dyDescent="0.2">
      <c r="A61760" s="258"/>
      <c r="Z61760" s="258"/>
    </row>
    <row r="61761" spans="1:26" ht="12.75" customHeight="1" x14ac:dyDescent="0.2">
      <c r="A61761" s="258"/>
      <c r="Z61761" s="258"/>
    </row>
    <row r="61762" spans="1:26" ht="12.75" customHeight="1" x14ac:dyDescent="0.2">
      <c r="A61762" s="258"/>
      <c r="Z61762" s="258"/>
    </row>
    <row r="61763" spans="1:26" ht="12.75" customHeight="1" x14ac:dyDescent="0.2">
      <c r="A61763" s="258"/>
      <c r="Z61763" s="258"/>
    </row>
    <row r="61764" spans="1:26" ht="12.75" customHeight="1" x14ac:dyDescent="0.2">
      <c r="A61764" s="258"/>
      <c r="Z61764" s="258"/>
    </row>
    <row r="61765" spans="1:26" ht="12.75" customHeight="1" x14ac:dyDescent="0.2">
      <c r="A61765" s="258"/>
      <c r="Z61765" s="258"/>
    </row>
    <row r="61766" spans="1:26" ht="12.75" customHeight="1" x14ac:dyDescent="0.2">
      <c r="A61766" s="258"/>
      <c r="Z61766" s="258"/>
    </row>
    <row r="61767" spans="1:26" ht="12.75" customHeight="1" x14ac:dyDescent="0.2">
      <c r="A61767" s="258"/>
      <c r="Z61767" s="258"/>
    </row>
    <row r="61768" spans="1:26" ht="12.75" customHeight="1" x14ac:dyDescent="0.2">
      <c r="A61768" s="258"/>
      <c r="Z61768" s="258"/>
    </row>
    <row r="61769" spans="1:26" ht="12.75" customHeight="1" x14ac:dyDescent="0.2">
      <c r="A61769" s="258"/>
      <c r="Z61769" s="258"/>
    </row>
    <row r="61770" spans="1:26" ht="12.75" customHeight="1" x14ac:dyDescent="0.2">
      <c r="A61770" s="258"/>
      <c r="Z61770" s="258"/>
    </row>
    <row r="61771" spans="1:26" ht="12.75" customHeight="1" x14ac:dyDescent="0.2">
      <c r="A61771" s="258"/>
      <c r="Z61771" s="258"/>
    </row>
    <row r="61772" spans="1:26" ht="12.75" customHeight="1" x14ac:dyDescent="0.2">
      <c r="A61772" s="258"/>
      <c r="Z61772" s="258"/>
    </row>
    <row r="61773" spans="1:26" ht="12.75" customHeight="1" x14ac:dyDescent="0.2">
      <c r="A61773" s="258"/>
      <c r="Z61773" s="258"/>
    </row>
    <row r="61774" spans="1:26" ht="12.75" customHeight="1" x14ac:dyDescent="0.2">
      <c r="A61774" s="258"/>
      <c r="Z61774" s="258"/>
    </row>
    <row r="61775" spans="1:26" ht="12.75" customHeight="1" x14ac:dyDescent="0.2">
      <c r="A61775" s="258"/>
      <c r="Z61775" s="258"/>
    </row>
    <row r="61776" spans="1:26" ht="12.75" customHeight="1" x14ac:dyDescent="0.2">
      <c r="A61776" s="258"/>
      <c r="Z61776" s="258"/>
    </row>
    <row r="61777" spans="1:26" ht="12.75" customHeight="1" x14ac:dyDescent="0.2">
      <c r="A61777" s="258"/>
      <c r="Z61777" s="258"/>
    </row>
    <row r="61778" spans="1:26" ht="12.75" customHeight="1" x14ac:dyDescent="0.2">
      <c r="A61778" s="258"/>
      <c r="Z61778" s="258"/>
    </row>
    <row r="61779" spans="1:26" ht="12.75" customHeight="1" x14ac:dyDescent="0.2">
      <c r="A61779" s="258"/>
      <c r="Z61779" s="258"/>
    </row>
    <row r="61780" spans="1:26" ht="12.75" customHeight="1" x14ac:dyDescent="0.2">
      <c r="A61780" s="258"/>
      <c r="Z61780" s="258"/>
    </row>
    <row r="61781" spans="1:26" ht="12.75" customHeight="1" x14ac:dyDescent="0.2">
      <c r="A61781" s="258"/>
      <c r="Z61781" s="258"/>
    </row>
    <row r="61782" spans="1:26" ht="12.75" customHeight="1" x14ac:dyDescent="0.2">
      <c r="A61782" s="258"/>
      <c r="Z61782" s="258"/>
    </row>
    <row r="61783" spans="1:26" ht="12.75" customHeight="1" x14ac:dyDescent="0.2">
      <c r="A61783" s="258"/>
      <c r="Z61783" s="258"/>
    </row>
    <row r="61784" spans="1:26" ht="12.75" customHeight="1" x14ac:dyDescent="0.2">
      <c r="A61784" s="258"/>
      <c r="Z61784" s="258"/>
    </row>
    <row r="61785" spans="1:26" ht="12.75" customHeight="1" x14ac:dyDescent="0.2">
      <c r="A61785" s="258"/>
      <c r="Z61785" s="258"/>
    </row>
    <row r="61786" spans="1:26" ht="12.75" customHeight="1" x14ac:dyDescent="0.2">
      <c r="A61786" s="258"/>
      <c r="Z61786" s="258"/>
    </row>
    <row r="61787" spans="1:26" ht="12.75" customHeight="1" x14ac:dyDescent="0.2">
      <c r="A61787" s="258"/>
      <c r="Z61787" s="258"/>
    </row>
    <row r="61788" spans="1:26" ht="12.75" customHeight="1" x14ac:dyDescent="0.2">
      <c r="A61788" s="258"/>
      <c r="Z61788" s="258"/>
    </row>
    <row r="61789" spans="1:26" ht="12.75" customHeight="1" x14ac:dyDescent="0.2">
      <c r="A61789" s="258"/>
      <c r="Z61789" s="258"/>
    </row>
    <row r="61790" spans="1:26" ht="12.75" customHeight="1" x14ac:dyDescent="0.2">
      <c r="A61790" s="258"/>
      <c r="Z61790" s="258"/>
    </row>
    <row r="61791" spans="1:26" ht="12.75" customHeight="1" x14ac:dyDescent="0.2">
      <c r="A61791" s="258"/>
      <c r="Z61791" s="258"/>
    </row>
    <row r="61792" spans="1:26" ht="12.75" customHeight="1" x14ac:dyDescent="0.2">
      <c r="A61792" s="258"/>
      <c r="Z61792" s="258"/>
    </row>
    <row r="61793" spans="1:26" ht="12.75" customHeight="1" x14ac:dyDescent="0.2">
      <c r="A61793" s="258"/>
      <c r="Z61793" s="258"/>
    </row>
    <row r="61794" spans="1:26" ht="12.75" customHeight="1" x14ac:dyDescent="0.2">
      <c r="A61794" s="258"/>
      <c r="Z61794" s="258"/>
    </row>
    <row r="61795" spans="1:26" ht="12.75" customHeight="1" x14ac:dyDescent="0.2">
      <c r="A61795" s="258"/>
      <c r="Z61795" s="258"/>
    </row>
    <row r="61796" spans="1:26" ht="12.75" customHeight="1" x14ac:dyDescent="0.2">
      <c r="A61796" s="258"/>
      <c r="Z61796" s="258"/>
    </row>
    <row r="61797" spans="1:26" ht="12.75" customHeight="1" x14ac:dyDescent="0.2">
      <c r="A61797" s="258"/>
      <c r="Z61797" s="258"/>
    </row>
    <row r="61798" spans="1:26" ht="12.75" customHeight="1" x14ac:dyDescent="0.2">
      <c r="A61798" s="258"/>
      <c r="Z61798" s="258"/>
    </row>
    <row r="61799" spans="1:26" ht="12.75" customHeight="1" x14ac:dyDescent="0.2">
      <c r="A61799" s="258"/>
      <c r="Z61799" s="258"/>
    </row>
    <row r="61800" spans="1:26" ht="12.75" customHeight="1" x14ac:dyDescent="0.2">
      <c r="A61800" s="258"/>
      <c r="Z61800" s="258"/>
    </row>
    <row r="61801" spans="1:26" ht="12.75" customHeight="1" x14ac:dyDescent="0.2">
      <c r="A61801" s="258"/>
      <c r="Z61801" s="258"/>
    </row>
    <row r="61802" spans="1:26" ht="12.75" customHeight="1" x14ac:dyDescent="0.2">
      <c r="A61802" s="258"/>
      <c r="Z61802" s="258"/>
    </row>
    <row r="61803" spans="1:26" ht="12.75" customHeight="1" x14ac:dyDescent="0.2">
      <c r="A61803" s="258"/>
      <c r="Z61803" s="258"/>
    </row>
    <row r="61804" spans="1:26" ht="12.75" customHeight="1" x14ac:dyDescent="0.2">
      <c r="A61804" s="258"/>
      <c r="Z61804" s="258"/>
    </row>
    <row r="61805" spans="1:26" ht="12.75" customHeight="1" x14ac:dyDescent="0.2">
      <c r="A61805" s="258"/>
      <c r="Z61805" s="258"/>
    </row>
    <row r="61806" spans="1:26" ht="12.75" customHeight="1" x14ac:dyDescent="0.2">
      <c r="A61806" s="258"/>
      <c r="Z61806" s="258"/>
    </row>
    <row r="61807" spans="1:26" ht="12.75" customHeight="1" x14ac:dyDescent="0.2">
      <c r="A61807" s="258"/>
      <c r="Z61807" s="258"/>
    </row>
    <row r="61808" spans="1:26" ht="12.75" customHeight="1" x14ac:dyDescent="0.2">
      <c r="A61808" s="258"/>
      <c r="Z61808" s="258"/>
    </row>
    <row r="61809" spans="1:26" ht="12.75" customHeight="1" x14ac:dyDescent="0.2">
      <c r="A61809" s="258"/>
      <c r="Z61809" s="258"/>
    </row>
    <row r="61810" spans="1:26" ht="12.75" customHeight="1" x14ac:dyDescent="0.2">
      <c r="A61810" s="258"/>
      <c r="Z61810" s="258"/>
    </row>
    <row r="61811" spans="1:26" ht="12.75" customHeight="1" x14ac:dyDescent="0.2">
      <c r="A61811" s="258"/>
      <c r="Z61811" s="258"/>
    </row>
    <row r="61812" spans="1:26" ht="12.75" customHeight="1" x14ac:dyDescent="0.2">
      <c r="A61812" s="258"/>
      <c r="Z61812" s="258"/>
    </row>
    <row r="61813" spans="1:26" ht="12.75" customHeight="1" x14ac:dyDescent="0.2">
      <c r="A61813" s="258"/>
      <c r="Z61813" s="258"/>
    </row>
    <row r="61814" spans="1:26" ht="12.75" customHeight="1" x14ac:dyDescent="0.2">
      <c r="A61814" s="258"/>
      <c r="Z61814" s="258"/>
    </row>
    <row r="61815" spans="1:26" ht="12.75" customHeight="1" x14ac:dyDescent="0.2">
      <c r="A61815" s="258"/>
      <c r="Z61815" s="258"/>
    </row>
    <row r="61816" spans="1:26" ht="12.75" customHeight="1" x14ac:dyDescent="0.2">
      <c r="A61816" s="258"/>
      <c r="Z61816" s="258"/>
    </row>
    <row r="61817" spans="1:26" ht="12.75" customHeight="1" x14ac:dyDescent="0.2">
      <c r="A61817" s="258"/>
      <c r="Z61817" s="258"/>
    </row>
    <row r="61818" spans="1:26" ht="12.75" customHeight="1" x14ac:dyDescent="0.2">
      <c r="A61818" s="258"/>
      <c r="Z61818" s="258"/>
    </row>
    <row r="61819" spans="1:26" ht="12.75" customHeight="1" x14ac:dyDescent="0.2">
      <c r="A61819" s="258"/>
      <c r="Z61819" s="258"/>
    </row>
    <row r="61820" spans="1:26" ht="12.75" customHeight="1" x14ac:dyDescent="0.2">
      <c r="A61820" s="258"/>
      <c r="Z61820" s="258"/>
    </row>
    <row r="61821" spans="1:26" ht="12.75" customHeight="1" x14ac:dyDescent="0.2">
      <c r="A61821" s="258"/>
      <c r="Z61821" s="258"/>
    </row>
    <row r="61822" spans="1:26" ht="12.75" customHeight="1" x14ac:dyDescent="0.2">
      <c r="A61822" s="258"/>
      <c r="Z61822" s="258"/>
    </row>
    <row r="61823" spans="1:26" ht="12.75" customHeight="1" x14ac:dyDescent="0.2">
      <c r="A61823" s="258"/>
      <c r="Z61823" s="258"/>
    </row>
    <row r="61824" spans="1:26" ht="12.75" customHeight="1" x14ac:dyDescent="0.2">
      <c r="A61824" s="258"/>
      <c r="Z61824" s="258"/>
    </row>
    <row r="61825" spans="1:26" ht="12.75" customHeight="1" x14ac:dyDescent="0.2">
      <c r="A61825" s="258"/>
      <c r="Z61825" s="258"/>
    </row>
    <row r="61826" spans="1:26" ht="12.75" customHeight="1" x14ac:dyDescent="0.2">
      <c r="A61826" s="258"/>
      <c r="Z61826" s="258"/>
    </row>
    <row r="61827" spans="1:26" ht="12.75" customHeight="1" x14ac:dyDescent="0.2">
      <c r="A61827" s="258"/>
      <c r="Z61827" s="258"/>
    </row>
    <row r="61828" spans="1:26" ht="12.75" customHeight="1" x14ac:dyDescent="0.2">
      <c r="A61828" s="258"/>
      <c r="Z61828" s="258"/>
    </row>
    <row r="61829" spans="1:26" ht="12.75" customHeight="1" x14ac:dyDescent="0.2">
      <c r="A61829" s="258"/>
      <c r="Z61829" s="258"/>
    </row>
    <row r="61830" spans="1:26" ht="12.75" customHeight="1" x14ac:dyDescent="0.2">
      <c r="A61830" s="258"/>
      <c r="Z61830" s="258"/>
    </row>
    <row r="61831" spans="1:26" ht="12.75" customHeight="1" x14ac:dyDescent="0.2">
      <c r="A61831" s="258"/>
      <c r="Z61831" s="258"/>
    </row>
    <row r="61832" spans="1:26" ht="12.75" customHeight="1" x14ac:dyDescent="0.2">
      <c r="A61832" s="258"/>
      <c r="Z61832" s="258"/>
    </row>
    <row r="61833" spans="1:26" ht="12.75" customHeight="1" x14ac:dyDescent="0.2">
      <c r="A61833" s="258"/>
      <c r="Z61833" s="258"/>
    </row>
    <row r="61834" spans="1:26" ht="12.75" customHeight="1" x14ac:dyDescent="0.2">
      <c r="A61834" s="258"/>
      <c r="Z61834" s="258"/>
    </row>
    <row r="61835" spans="1:26" ht="12.75" customHeight="1" x14ac:dyDescent="0.2">
      <c r="A61835" s="258"/>
      <c r="Z61835" s="258"/>
    </row>
    <row r="61836" spans="1:26" ht="12.75" customHeight="1" x14ac:dyDescent="0.2">
      <c r="A61836" s="258"/>
      <c r="Z61836" s="258"/>
    </row>
    <row r="61837" spans="1:26" ht="12.75" customHeight="1" x14ac:dyDescent="0.2">
      <c r="A61837" s="258"/>
      <c r="Z61837" s="258"/>
    </row>
    <row r="61838" spans="1:26" ht="12.75" customHeight="1" x14ac:dyDescent="0.2">
      <c r="A61838" s="258"/>
      <c r="Z61838" s="258"/>
    </row>
    <row r="61839" spans="1:26" ht="12.75" customHeight="1" x14ac:dyDescent="0.2">
      <c r="A61839" s="258"/>
      <c r="Z61839" s="258"/>
    </row>
    <row r="61840" spans="1:26" ht="12.75" customHeight="1" x14ac:dyDescent="0.2">
      <c r="A61840" s="258"/>
      <c r="Z61840" s="258"/>
    </row>
    <row r="61841" spans="1:26" ht="12.75" customHeight="1" x14ac:dyDescent="0.2">
      <c r="A61841" s="258"/>
      <c r="Z61841" s="258"/>
    </row>
    <row r="61842" spans="1:26" ht="12.75" customHeight="1" x14ac:dyDescent="0.2">
      <c r="A61842" s="258"/>
      <c r="Z61842" s="258"/>
    </row>
    <row r="61843" spans="1:26" ht="12.75" customHeight="1" x14ac:dyDescent="0.2">
      <c r="A61843" s="258"/>
      <c r="Z61843" s="258"/>
    </row>
    <row r="61844" spans="1:26" ht="12.75" customHeight="1" x14ac:dyDescent="0.2">
      <c r="A61844" s="258"/>
      <c r="Z61844" s="258"/>
    </row>
    <row r="61845" spans="1:26" ht="12.75" customHeight="1" x14ac:dyDescent="0.2">
      <c r="A61845" s="258"/>
      <c r="Z61845" s="258"/>
    </row>
    <row r="61846" spans="1:26" ht="12.75" customHeight="1" x14ac:dyDescent="0.2">
      <c r="A61846" s="258"/>
      <c r="Z61846" s="258"/>
    </row>
    <row r="61847" spans="1:26" ht="12.75" customHeight="1" x14ac:dyDescent="0.2">
      <c r="A61847" s="258"/>
      <c r="Z61847" s="258"/>
    </row>
    <row r="61848" spans="1:26" ht="12.75" customHeight="1" x14ac:dyDescent="0.2">
      <c r="A61848" s="258"/>
      <c r="Z61848" s="258"/>
    </row>
    <row r="61849" spans="1:26" ht="12.75" customHeight="1" x14ac:dyDescent="0.2">
      <c r="A61849" s="258"/>
      <c r="Z61849" s="258"/>
    </row>
    <row r="61850" spans="1:26" ht="12.75" customHeight="1" x14ac:dyDescent="0.2">
      <c r="A61850" s="258"/>
      <c r="Z61850" s="258"/>
    </row>
    <row r="61851" spans="1:26" ht="12.75" customHeight="1" x14ac:dyDescent="0.2">
      <c r="A61851" s="258"/>
      <c r="Z61851" s="258"/>
    </row>
    <row r="61852" spans="1:26" ht="12.75" customHeight="1" x14ac:dyDescent="0.2">
      <c r="A61852" s="258"/>
      <c r="Z61852" s="258"/>
    </row>
    <row r="61853" spans="1:26" ht="12.75" customHeight="1" x14ac:dyDescent="0.2">
      <c r="A61853" s="258"/>
      <c r="Z61853" s="258"/>
    </row>
    <row r="61854" spans="1:26" ht="12.75" customHeight="1" x14ac:dyDescent="0.2">
      <c r="A61854" s="258"/>
      <c r="Z61854" s="258"/>
    </row>
    <row r="61855" spans="1:26" ht="12.75" customHeight="1" x14ac:dyDescent="0.2">
      <c r="A61855" s="258"/>
      <c r="Z61855" s="258"/>
    </row>
    <row r="61856" spans="1:26" ht="12.75" customHeight="1" x14ac:dyDescent="0.2">
      <c r="A61856" s="258"/>
      <c r="Z61856" s="258"/>
    </row>
    <row r="61857" spans="1:26" ht="12.75" customHeight="1" x14ac:dyDescent="0.2">
      <c r="A61857" s="258"/>
      <c r="Z61857" s="258"/>
    </row>
    <row r="61858" spans="1:26" ht="12.75" customHeight="1" x14ac:dyDescent="0.2">
      <c r="A61858" s="258"/>
      <c r="Z61858" s="258"/>
    </row>
    <row r="61859" spans="1:26" ht="12.75" customHeight="1" x14ac:dyDescent="0.2">
      <c r="A61859" s="258"/>
      <c r="Z61859" s="258"/>
    </row>
    <row r="61860" spans="1:26" ht="12.75" customHeight="1" x14ac:dyDescent="0.2">
      <c r="A61860" s="258"/>
      <c r="Z61860" s="258"/>
    </row>
    <row r="61861" spans="1:26" ht="12.75" customHeight="1" x14ac:dyDescent="0.2">
      <c r="A61861" s="258"/>
      <c r="Z61861" s="258"/>
    </row>
    <row r="61862" spans="1:26" ht="12.75" customHeight="1" x14ac:dyDescent="0.2">
      <c r="A61862" s="258"/>
      <c r="Z61862" s="258"/>
    </row>
    <row r="61863" spans="1:26" ht="12.75" customHeight="1" x14ac:dyDescent="0.2">
      <c r="A61863" s="258"/>
      <c r="Z61863" s="258"/>
    </row>
    <row r="61864" spans="1:26" ht="12.75" customHeight="1" x14ac:dyDescent="0.2">
      <c r="A61864" s="258"/>
      <c r="Z61864" s="258"/>
    </row>
    <row r="61865" spans="1:26" ht="12.75" customHeight="1" x14ac:dyDescent="0.2">
      <c r="A61865" s="258"/>
      <c r="Z61865" s="258"/>
    </row>
    <row r="61866" spans="1:26" ht="12.75" customHeight="1" x14ac:dyDescent="0.2">
      <c r="A61866" s="258"/>
      <c r="Z61866" s="258"/>
    </row>
    <row r="61867" spans="1:26" ht="12.75" customHeight="1" x14ac:dyDescent="0.2">
      <c r="A61867" s="258"/>
      <c r="Z61867" s="258"/>
    </row>
    <row r="61868" spans="1:26" ht="12.75" customHeight="1" x14ac:dyDescent="0.2">
      <c r="A61868" s="258"/>
      <c r="Z61868" s="258"/>
    </row>
    <row r="61869" spans="1:26" ht="12.75" customHeight="1" x14ac:dyDescent="0.2">
      <c r="A61869" s="258"/>
      <c r="Z61869" s="258"/>
    </row>
    <row r="61870" spans="1:26" ht="12.75" customHeight="1" x14ac:dyDescent="0.2">
      <c r="A61870" s="258"/>
      <c r="Z61870" s="258"/>
    </row>
    <row r="61871" spans="1:26" ht="12.75" customHeight="1" x14ac:dyDescent="0.2">
      <c r="A61871" s="258"/>
      <c r="Z61871" s="258"/>
    </row>
    <row r="61872" spans="1:26" ht="12.75" customHeight="1" x14ac:dyDescent="0.2">
      <c r="A61872" s="258"/>
      <c r="Z61872" s="258"/>
    </row>
    <row r="61873" spans="1:26" ht="12.75" customHeight="1" x14ac:dyDescent="0.2">
      <c r="A61873" s="258"/>
      <c r="Z61873" s="258"/>
    </row>
    <row r="61874" spans="1:26" ht="12.75" customHeight="1" x14ac:dyDescent="0.2">
      <c r="A61874" s="258"/>
      <c r="Z61874" s="258"/>
    </row>
    <row r="61875" spans="1:26" ht="12.75" customHeight="1" x14ac:dyDescent="0.2">
      <c r="A61875" s="258"/>
      <c r="Z61875" s="258"/>
    </row>
    <row r="61876" spans="1:26" ht="12.75" customHeight="1" x14ac:dyDescent="0.2">
      <c r="A61876" s="258"/>
      <c r="Z61876" s="258"/>
    </row>
    <row r="61877" spans="1:26" ht="12.75" customHeight="1" x14ac:dyDescent="0.2">
      <c r="A61877" s="258"/>
      <c r="Z61877" s="258"/>
    </row>
    <row r="61878" spans="1:26" ht="12.75" customHeight="1" x14ac:dyDescent="0.2">
      <c r="A61878" s="258"/>
      <c r="Z61878" s="258"/>
    </row>
    <row r="61879" spans="1:26" ht="12.75" customHeight="1" x14ac:dyDescent="0.2">
      <c r="A61879" s="258"/>
      <c r="Z61879" s="258"/>
    </row>
    <row r="61880" spans="1:26" ht="12.75" customHeight="1" x14ac:dyDescent="0.2">
      <c r="A61880" s="258"/>
      <c r="Z61880" s="258"/>
    </row>
    <row r="61881" spans="1:26" ht="12.75" customHeight="1" x14ac:dyDescent="0.2">
      <c r="A61881" s="258"/>
      <c r="Z61881" s="258"/>
    </row>
    <row r="61882" spans="1:26" ht="12.75" customHeight="1" x14ac:dyDescent="0.2">
      <c r="A61882" s="258"/>
      <c r="Z61882" s="258"/>
    </row>
    <row r="61883" spans="1:26" ht="12.75" customHeight="1" x14ac:dyDescent="0.2">
      <c r="A61883" s="258"/>
      <c r="Z61883" s="258"/>
    </row>
    <row r="61884" spans="1:26" ht="12.75" customHeight="1" x14ac:dyDescent="0.2">
      <c r="A61884" s="258"/>
      <c r="Z61884" s="258"/>
    </row>
    <row r="61885" spans="1:26" ht="12.75" customHeight="1" x14ac:dyDescent="0.2">
      <c r="A61885" s="258"/>
      <c r="Z61885" s="258"/>
    </row>
    <row r="61886" spans="1:26" ht="12.75" customHeight="1" x14ac:dyDescent="0.2">
      <c r="A61886" s="258"/>
      <c r="Z61886" s="258"/>
    </row>
    <row r="61887" spans="1:26" ht="12.75" customHeight="1" x14ac:dyDescent="0.2">
      <c r="A61887" s="258"/>
      <c r="Z61887" s="258"/>
    </row>
    <row r="61888" spans="1:26" ht="12.75" customHeight="1" x14ac:dyDescent="0.2">
      <c r="A61888" s="258"/>
      <c r="Z61888" s="258"/>
    </row>
    <row r="61889" spans="1:26" ht="12.75" customHeight="1" x14ac:dyDescent="0.2">
      <c r="A61889" s="258"/>
      <c r="Z61889" s="258"/>
    </row>
    <row r="61890" spans="1:26" ht="12.75" customHeight="1" x14ac:dyDescent="0.2">
      <c r="A61890" s="258"/>
      <c r="Z61890" s="258"/>
    </row>
    <row r="61891" spans="1:26" ht="12.75" customHeight="1" x14ac:dyDescent="0.2">
      <c r="A61891" s="258"/>
      <c r="Z61891" s="258"/>
    </row>
    <row r="61892" spans="1:26" ht="12.75" customHeight="1" x14ac:dyDescent="0.2">
      <c r="A61892" s="258"/>
      <c r="Z61892" s="258"/>
    </row>
    <row r="61893" spans="1:26" ht="12.75" customHeight="1" x14ac:dyDescent="0.2">
      <c r="A61893" s="258"/>
      <c r="Z61893" s="258"/>
    </row>
    <row r="61894" spans="1:26" ht="12.75" customHeight="1" x14ac:dyDescent="0.2">
      <c r="A61894" s="258"/>
      <c r="Z61894" s="258"/>
    </row>
    <row r="61895" spans="1:26" ht="12.75" customHeight="1" x14ac:dyDescent="0.2">
      <c r="A61895" s="258"/>
      <c r="Z61895" s="258"/>
    </row>
    <row r="61896" spans="1:26" ht="12.75" customHeight="1" x14ac:dyDescent="0.2">
      <c r="A61896" s="258"/>
      <c r="Z61896" s="258"/>
    </row>
    <row r="61897" spans="1:26" ht="12.75" customHeight="1" x14ac:dyDescent="0.2">
      <c r="A61897" s="258"/>
      <c r="Z61897" s="258"/>
    </row>
    <row r="61898" spans="1:26" ht="12.75" customHeight="1" x14ac:dyDescent="0.2">
      <c r="A61898" s="258"/>
      <c r="Z61898" s="258"/>
    </row>
    <row r="61899" spans="1:26" ht="12.75" customHeight="1" x14ac:dyDescent="0.2">
      <c r="A61899" s="258"/>
      <c r="Z61899" s="258"/>
    </row>
    <row r="61900" spans="1:26" ht="12.75" customHeight="1" x14ac:dyDescent="0.2">
      <c r="A61900" s="258"/>
      <c r="Z61900" s="258"/>
    </row>
    <row r="61901" spans="1:26" ht="12.75" customHeight="1" x14ac:dyDescent="0.2">
      <c r="A61901" s="258"/>
      <c r="Z61901" s="258"/>
    </row>
    <row r="61902" spans="1:26" ht="12.75" customHeight="1" x14ac:dyDescent="0.2">
      <c r="A61902" s="258"/>
      <c r="Z61902" s="258"/>
    </row>
    <row r="61903" spans="1:26" ht="12.75" customHeight="1" x14ac:dyDescent="0.2">
      <c r="A61903" s="258"/>
      <c r="Z61903" s="258"/>
    </row>
    <row r="61904" spans="1:26" ht="12.75" customHeight="1" x14ac:dyDescent="0.2">
      <c r="A61904" s="258"/>
      <c r="Z61904" s="258"/>
    </row>
    <row r="61905" spans="1:26" ht="12.75" customHeight="1" x14ac:dyDescent="0.2">
      <c r="A61905" s="258"/>
      <c r="Z61905" s="258"/>
    </row>
    <row r="61906" spans="1:26" ht="12.75" customHeight="1" x14ac:dyDescent="0.2">
      <c r="A61906" s="258"/>
      <c r="Z61906" s="258"/>
    </row>
    <row r="61907" spans="1:26" ht="12.75" customHeight="1" x14ac:dyDescent="0.2">
      <c r="A61907" s="258"/>
      <c r="Z61907" s="258"/>
    </row>
    <row r="61908" spans="1:26" ht="12.75" customHeight="1" x14ac:dyDescent="0.2">
      <c r="A61908" s="258"/>
      <c r="Z61908" s="258"/>
    </row>
    <row r="61909" spans="1:26" ht="12.75" customHeight="1" x14ac:dyDescent="0.2">
      <c r="A61909" s="258"/>
      <c r="Z61909" s="258"/>
    </row>
    <row r="61910" spans="1:26" ht="12.75" customHeight="1" x14ac:dyDescent="0.2">
      <c r="A61910" s="258"/>
      <c r="Z61910" s="258"/>
    </row>
    <row r="61911" spans="1:26" ht="12.75" customHeight="1" x14ac:dyDescent="0.2">
      <c r="A61911" s="258"/>
      <c r="Z61911" s="258"/>
    </row>
    <row r="61912" spans="1:26" ht="12.75" customHeight="1" x14ac:dyDescent="0.2">
      <c r="A61912" s="258"/>
      <c r="Z61912" s="258"/>
    </row>
    <row r="61913" spans="1:26" ht="12.75" customHeight="1" x14ac:dyDescent="0.2">
      <c r="A61913" s="258"/>
      <c r="Z61913" s="258"/>
    </row>
    <row r="61914" spans="1:26" ht="12.75" customHeight="1" x14ac:dyDescent="0.2">
      <c r="A61914" s="258"/>
      <c r="Z61914" s="258"/>
    </row>
    <row r="61915" spans="1:26" ht="12.75" customHeight="1" x14ac:dyDescent="0.2">
      <c r="A61915" s="258"/>
      <c r="Z61915" s="258"/>
    </row>
    <row r="61916" spans="1:26" ht="12.75" customHeight="1" x14ac:dyDescent="0.2">
      <c r="A61916" s="258"/>
      <c r="Z61916" s="258"/>
    </row>
    <row r="61917" spans="1:26" ht="12.75" customHeight="1" x14ac:dyDescent="0.2">
      <c r="A61917" s="258"/>
      <c r="Z61917" s="258"/>
    </row>
    <row r="61918" spans="1:26" ht="12.75" customHeight="1" x14ac:dyDescent="0.2">
      <c r="A61918" s="258"/>
      <c r="Z61918" s="258"/>
    </row>
    <row r="61919" spans="1:26" ht="12.75" customHeight="1" x14ac:dyDescent="0.2">
      <c r="A61919" s="258"/>
      <c r="Z61919" s="258"/>
    </row>
    <row r="61920" spans="1:26" ht="12.75" customHeight="1" x14ac:dyDescent="0.2">
      <c r="A61920" s="258"/>
      <c r="Z61920" s="258"/>
    </row>
    <row r="61921" spans="1:26" ht="12.75" customHeight="1" x14ac:dyDescent="0.2">
      <c r="A61921" s="258"/>
      <c r="Z61921" s="258"/>
    </row>
    <row r="61922" spans="1:26" ht="12.75" customHeight="1" x14ac:dyDescent="0.2">
      <c r="A61922" s="258"/>
      <c r="Z61922" s="258"/>
    </row>
    <row r="61923" spans="1:26" ht="12.75" customHeight="1" x14ac:dyDescent="0.2">
      <c r="A61923" s="258"/>
      <c r="Z61923" s="258"/>
    </row>
    <row r="61924" spans="1:26" ht="12.75" customHeight="1" x14ac:dyDescent="0.2">
      <c r="A61924" s="258"/>
      <c r="Z61924" s="258"/>
    </row>
    <row r="61925" spans="1:26" ht="12.75" customHeight="1" x14ac:dyDescent="0.2">
      <c r="A61925" s="258"/>
      <c r="Z61925" s="258"/>
    </row>
    <row r="61926" spans="1:26" ht="12.75" customHeight="1" x14ac:dyDescent="0.2">
      <c r="A61926" s="258"/>
      <c r="Z61926" s="258"/>
    </row>
    <row r="61927" spans="1:26" ht="12.75" customHeight="1" x14ac:dyDescent="0.2">
      <c r="A61927" s="258"/>
      <c r="Z61927" s="258"/>
    </row>
    <row r="61928" spans="1:26" ht="12.75" customHeight="1" x14ac:dyDescent="0.2">
      <c r="A61928" s="258"/>
      <c r="Z61928" s="258"/>
    </row>
    <row r="61929" spans="1:26" ht="12.75" customHeight="1" x14ac:dyDescent="0.2">
      <c r="A61929" s="258"/>
      <c r="Z61929" s="258"/>
    </row>
    <row r="61930" spans="1:26" ht="12.75" customHeight="1" x14ac:dyDescent="0.2">
      <c r="A61930" s="258"/>
      <c r="Z61930" s="258"/>
    </row>
    <row r="61931" spans="1:26" ht="12.75" customHeight="1" x14ac:dyDescent="0.2">
      <c r="A61931" s="258"/>
      <c r="Z61931" s="258"/>
    </row>
    <row r="61932" spans="1:26" ht="12.75" customHeight="1" x14ac:dyDescent="0.2">
      <c r="A61932" s="258"/>
      <c r="Z61932" s="258"/>
    </row>
    <row r="61933" spans="1:26" ht="12.75" customHeight="1" x14ac:dyDescent="0.2">
      <c r="A61933" s="258"/>
      <c r="Z61933" s="258"/>
    </row>
    <row r="61934" spans="1:26" ht="12.75" customHeight="1" x14ac:dyDescent="0.2">
      <c r="A61934" s="258"/>
      <c r="Z61934" s="258"/>
    </row>
    <row r="61935" spans="1:26" ht="12.75" customHeight="1" x14ac:dyDescent="0.2">
      <c r="A61935" s="258"/>
      <c r="Z61935" s="258"/>
    </row>
    <row r="61936" spans="1:26" ht="12.75" customHeight="1" x14ac:dyDescent="0.2">
      <c r="A61936" s="258"/>
      <c r="Z61936" s="258"/>
    </row>
    <row r="61937" spans="1:26" ht="12.75" customHeight="1" x14ac:dyDescent="0.2">
      <c r="A61937" s="258"/>
      <c r="Z61937" s="258"/>
    </row>
    <row r="61938" spans="1:26" ht="12.75" customHeight="1" x14ac:dyDescent="0.2">
      <c r="A61938" s="258"/>
      <c r="Z61938" s="258"/>
    </row>
    <row r="61939" spans="1:26" ht="12.75" customHeight="1" x14ac:dyDescent="0.2">
      <c r="A61939" s="258"/>
      <c r="Z61939" s="258"/>
    </row>
    <row r="61940" spans="1:26" ht="12.75" customHeight="1" x14ac:dyDescent="0.2">
      <c r="A61940" s="258"/>
      <c r="Z61940" s="258"/>
    </row>
    <row r="61941" spans="1:26" ht="12.75" customHeight="1" x14ac:dyDescent="0.2">
      <c r="A61941" s="258"/>
      <c r="Z61941" s="258"/>
    </row>
    <row r="61942" spans="1:26" ht="12.75" customHeight="1" x14ac:dyDescent="0.2">
      <c r="A61942" s="258"/>
      <c r="Z61942" s="258"/>
    </row>
    <row r="61943" spans="1:26" ht="12.75" customHeight="1" x14ac:dyDescent="0.2">
      <c r="A61943" s="258"/>
      <c r="Z61943" s="258"/>
    </row>
    <row r="61944" spans="1:26" ht="12.75" customHeight="1" x14ac:dyDescent="0.2">
      <c r="A61944" s="258"/>
      <c r="Z61944" s="258"/>
    </row>
    <row r="61945" spans="1:26" ht="12.75" customHeight="1" x14ac:dyDescent="0.2">
      <c r="A61945" s="258"/>
      <c r="Z61945" s="258"/>
    </row>
    <row r="61946" spans="1:26" ht="12.75" customHeight="1" x14ac:dyDescent="0.2">
      <c r="A61946" s="258"/>
      <c r="Z61946" s="258"/>
    </row>
    <row r="61947" spans="1:26" ht="12.75" customHeight="1" x14ac:dyDescent="0.2">
      <c r="A61947" s="258"/>
      <c r="Z61947" s="258"/>
    </row>
    <row r="61948" spans="1:26" ht="12.75" customHeight="1" x14ac:dyDescent="0.2">
      <c r="A61948" s="258"/>
      <c r="Z61948" s="258"/>
    </row>
    <row r="61949" spans="1:26" ht="12.75" customHeight="1" x14ac:dyDescent="0.2">
      <c r="A61949" s="258"/>
      <c r="Z61949" s="258"/>
    </row>
    <row r="61950" spans="1:26" ht="12.75" customHeight="1" x14ac:dyDescent="0.2">
      <c r="A61950" s="258"/>
      <c r="Z61950" s="258"/>
    </row>
    <row r="61951" spans="1:26" ht="12.75" customHeight="1" x14ac:dyDescent="0.2">
      <c r="A61951" s="258"/>
      <c r="Z61951" s="258"/>
    </row>
    <row r="61952" spans="1:26" ht="12.75" customHeight="1" x14ac:dyDescent="0.2">
      <c r="A61952" s="258"/>
      <c r="Z61952" s="258"/>
    </row>
    <row r="61953" spans="1:26" ht="12.75" customHeight="1" x14ac:dyDescent="0.2">
      <c r="A61953" s="258"/>
      <c r="Z61953" s="258"/>
    </row>
    <row r="61954" spans="1:26" ht="12.75" customHeight="1" x14ac:dyDescent="0.2">
      <c r="A61954" s="258"/>
      <c r="Z61954" s="258"/>
    </row>
    <row r="61955" spans="1:26" ht="12.75" customHeight="1" x14ac:dyDescent="0.2">
      <c r="A61955" s="258"/>
      <c r="Z61955" s="258"/>
    </row>
    <row r="61956" spans="1:26" ht="12.75" customHeight="1" x14ac:dyDescent="0.2">
      <c r="A61956" s="258"/>
      <c r="Z61956" s="258"/>
    </row>
    <row r="61957" spans="1:26" ht="12.75" customHeight="1" x14ac:dyDescent="0.2">
      <c r="A61957" s="258"/>
      <c r="Z61957" s="258"/>
    </row>
    <row r="61958" spans="1:26" ht="12.75" customHeight="1" x14ac:dyDescent="0.2">
      <c r="A61958" s="258"/>
      <c r="Z61958" s="258"/>
    </row>
    <row r="61959" spans="1:26" ht="12.75" customHeight="1" x14ac:dyDescent="0.2">
      <c r="A61959" s="258"/>
      <c r="Z61959" s="258"/>
    </row>
    <row r="61960" spans="1:26" ht="12.75" customHeight="1" x14ac:dyDescent="0.2">
      <c r="A61960" s="258"/>
      <c r="Z61960" s="258"/>
    </row>
    <row r="61961" spans="1:26" ht="12.75" customHeight="1" x14ac:dyDescent="0.2">
      <c r="A61961" s="258"/>
      <c r="Z61961" s="258"/>
    </row>
    <row r="61962" spans="1:26" ht="12.75" customHeight="1" x14ac:dyDescent="0.2">
      <c r="A61962" s="258"/>
      <c r="Z61962" s="258"/>
    </row>
    <row r="61963" spans="1:26" ht="12.75" customHeight="1" x14ac:dyDescent="0.2">
      <c r="A61963" s="258"/>
      <c r="Z61963" s="258"/>
    </row>
    <row r="61964" spans="1:26" ht="12.75" customHeight="1" x14ac:dyDescent="0.2">
      <c r="A61964" s="258"/>
      <c r="Z61964" s="258"/>
    </row>
    <row r="61965" spans="1:26" ht="12.75" customHeight="1" x14ac:dyDescent="0.2">
      <c r="A61965" s="258"/>
      <c r="Z61965" s="258"/>
    </row>
    <row r="61966" spans="1:26" ht="12.75" customHeight="1" x14ac:dyDescent="0.2">
      <c r="A61966" s="258"/>
      <c r="Z61966" s="258"/>
    </row>
    <row r="61967" spans="1:26" ht="12.75" customHeight="1" x14ac:dyDescent="0.2">
      <c r="A61967" s="258"/>
      <c r="Z61967" s="258"/>
    </row>
    <row r="61968" spans="1:26" ht="12.75" customHeight="1" x14ac:dyDescent="0.2">
      <c r="A61968" s="258"/>
      <c r="Z61968" s="258"/>
    </row>
    <row r="61969" spans="1:26" ht="12.75" customHeight="1" x14ac:dyDescent="0.2">
      <c r="A61969" s="258"/>
      <c r="Z61969" s="258"/>
    </row>
    <row r="61970" spans="1:26" ht="12.75" customHeight="1" x14ac:dyDescent="0.2">
      <c r="A61970" s="258"/>
      <c r="Z61970" s="258"/>
    </row>
    <row r="61971" spans="1:26" ht="12.75" customHeight="1" x14ac:dyDescent="0.2">
      <c r="A61971" s="258"/>
      <c r="Z61971" s="258"/>
    </row>
    <row r="61972" spans="1:26" ht="12.75" customHeight="1" x14ac:dyDescent="0.2">
      <c r="A61972" s="258"/>
      <c r="Z61972" s="258"/>
    </row>
    <row r="61973" spans="1:26" ht="12.75" customHeight="1" x14ac:dyDescent="0.2">
      <c r="A61973" s="258"/>
      <c r="Z61973" s="258"/>
    </row>
    <row r="61974" spans="1:26" ht="12.75" customHeight="1" x14ac:dyDescent="0.2">
      <c r="A61974" s="258"/>
      <c r="Z61974" s="258"/>
    </row>
    <row r="61975" spans="1:26" ht="12.75" customHeight="1" x14ac:dyDescent="0.2">
      <c r="A61975" s="258"/>
      <c r="Z61975" s="258"/>
    </row>
    <row r="61976" spans="1:26" ht="12.75" customHeight="1" x14ac:dyDescent="0.2">
      <c r="A61976" s="258"/>
      <c r="Z61976" s="258"/>
    </row>
    <row r="61977" spans="1:26" ht="12.75" customHeight="1" x14ac:dyDescent="0.2">
      <c r="A61977" s="258"/>
      <c r="Z61977" s="258"/>
    </row>
    <row r="61978" spans="1:26" ht="12.75" customHeight="1" x14ac:dyDescent="0.2">
      <c r="A61978" s="258"/>
      <c r="Z61978" s="258"/>
    </row>
    <row r="61979" spans="1:26" ht="12.75" customHeight="1" x14ac:dyDescent="0.2">
      <c r="A61979" s="258"/>
      <c r="Z61979" s="258"/>
    </row>
    <row r="61980" spans="1:26" ht="12.75" customHeight="1" x14ac:dyDescent="0.2">
      <c r="A61980" s="258"/>
      <c r="Z61980" s="258"/>
    </row>
    <row r="61981" spans="1:26" ht="12.75" customHeight="1" x14ac:dyDescent="0.2">
      <c r="A61981" s="258"/>
      <c r="Z61981" s="258"/>
    </row>
    <row r="61982" spans="1:26" ht="12.75" customHeight="1" x14ac:dyDescent="0.2">
      <c r="A61982" s="258"/>
      <c r="Z61982" s="258"/>
    </row>
    <row r="61983" spans="1:26" ht="12.75" customHeight="1" x14ac:dyDescent="0.2">
      <c r="A61983" s="258"/>
      <c r="Z61983" s="258"/>
    </row>
    <row r="61984" spans="1:26" ht="12.75" customHeight="1" x14ac:dyDescent="0.2">
      <c r="A61984" s="258"/>
      <c r="Z61984" s="258"/>
    </row>
    <row r="61985" spans="1:26" ht="12.75" customHeight="1" x14ac:dyDescent="0.2">
      <c r="A61985" s="258"/>
      <c r="Z61985" s="258"/>
    </row>
    <row r="61986" spans="1:26" ht="12.75" customHeight="1" x14ac:dyDescent="0.2">
      <c r="A61986" s="258"/>
      <c r="Z61986" s="258"/>
    </row>
    <row r="61987" spans="1:26" ht="12.75" customHeight="1" x14ac:dyDescent="0.2">
      <c r="A61987" s="258"/>
      <c r="Z61987" s="258"/>
    </row>
    <row r="61988" spans="1:26" ht="12.75" customHeight="1" x14ac:dyDescent="0.2">
      <c r="A61988" s="258"/>
      <c r="Z61988" s="258"/>
    </row>
    <row r="61989" spans="1:26" ht="12.75" customHeight="1" x14ac:dyDescent="0.2">
      <c r="A61989" s="258"/>
      <c r="Z61989" s="258"/>
    </row>
    <row r="61990" spans="1:26" ht="12.75" customHeight="1" x14ac:dyDescent="0.2">
      <c r="A61990" s="258"/>
      <c r="Z61990" s="258"/>
    </row>
    <row r="61991" spans="1:26" ht="12.75" customHeight="1" x14ac:dyDescent="0.2">
      <c r="A61991" s="258"/>
      <c r="Z61991" s="258"/>
    </row>
    <row r="61992" spans="1:26" ht="12.75" customHeight="1" x14ac:dyDescent="0.2">
      <c r="A61992" s="258"/>
      <c r="Z61992" s="258"/>
    </row>
    <row r="61993" spans="1:26" ht="12.75" customHeight="1" x14ac:dyDescent="0.2">
      <c r="A61993" s="258"/>
      <c r="Z61993" s="258"/>
    </row>
    <row r="61994" spans="1:26" ht="12.75" customHeight="1" x14ac:dyDescent="0.2">
      <c r="A61994" s="258"/>
      <c r="Z61994" s="258"/>
    </row>
    <row r="61995" spans="1:26" ht="12.75" customHeight="1" x14ac:dyDescent="0.2">
      <c r="A61995" s="258"/>
      <c r="Z61995" s="258"/>
    </row>
    <row r="61996" spans="1:26" ht="12.75" customHeight="1" x14ac:dyDescent="0.2">
      <c r="A61996" s="258"/>
      <c r="Z61996" s="258"/>
    </row>
    <row r="61997" spans="1:26" ht="12.75" customHeight="1" x14ac:dyDescent="0.2">
      <c r="A61997" s="258"/>
      <c r="Z61997" s="258"/>
    </row>
    <row r="61998" spans="1:26" ht="12.75" customHeight="1" x14ac:dyDescent="0.2">
      <c r="A61998" s="258"/>
      <c r="Z61998" s="258"/>
    </row>
    <row r="61999" spans="1:26" ht="12.75" customHeight="1" x14ac:dyDescent="0.2">
      <c r="A61999" s="258"/>
      <c r="Z61999" s="258"/>
    </row>
    <row r="62000" spans="1:26" ht="12.75" customHeight="1" x14ac:dyDescent="0.2">
      <c r="A62000" s="258"/>
      <c r="Z62000" s="258"/>
    </row>
    <row r="62001" spans="1:26" ht="12.75" customHeight="1" x14ac:dyDescent="0.2">
      <c r="A62001" s="258"/>
      <c r="Z62001" s="258"/>
    </row>
    <row r="62002" spans="1:26" ht="12.75" customHeight="1" x14ac:dyDescent="0.2">
      <c r="A62002" s="258"/>
      <c r="Z62002" s="258"/>
    </row>
    <row r="62003" spans="1:26" ht="12.75" customHeight="1" x14ac:dyDescent="0.2">
      <c r="A62003" s="258"/>
      <c r="Z62003" s="258"/>
    </row>
    <row r="62004" spans="1:26" ht="12.75" customHeight="1" x14ac:dyDescent="0.2">
      <c r="A62004" s="258"/>
      <c r="Z62004" s="258"/>
    </row>
    <row r="62005" spans="1:26" ht="12.75" customHeight="1" x14ac:dyDescent="0.2">
      <c r="A62005" s="258"/>
      <c r="Z62005" s="258"/>
    </row>
    <row r="62006" spans="1:26" ht="12.75" customHeight="1" x14ac:dyDescent="0.2">
      <c r="A62006" s="258"/>
      <c r="Z62006" s="258"/>
    </row>
    <row r="62007" spans="1:26" ht="12.75" customHeight="1" x14ac:dyDescent="0.2">
      <c r="A62007" s="258"/>
      <c r="Z62007" s="258"/>
    </row>
    <row r="62008" spans="1:26" ht="12.75" customHeight="1" x14ac:dyDescent="0.2">
      <c r="A62008" s="258"/>
      <c r="Z62008" s="258"/>
    </row>
    <row r="62009" spans="1:26" ht="12.75" customHeight="1" x14ac:dyDescent="0.2">
      <c r="A62009" s="258"/>
      <c r="Z62009" s="258"/>
    </row>
    <row r="62010" spans="1:26" ht="12.75" customHeight="1" x14ac:dyDescent="0.2">
      <c r="A62010" s="258"/>
      <c r="Z62010" s="258"/>
    </row>
    <row r="62011" spans="1:26" ht="12.75" customHeight="1" x14ac:dyDescent="0.2">
      <c r="A62011" s="258"/>
      <c r="Z62011" s="258"/>
    </row>
    <row r="62012" spans="1:26" ht="12.75" customHeight="1" x14ac:dyDescent="0.2">
      <c r="A62012" s="258"/>
      <c r="Z62012" s="258"/>
    </row>
    <row r="62013" spans="1:26" ht="12.75" customHeight="1" x14ac:dyDescent="0.2">
      <c r="A62013" s="258"/>
      <c r="Z62013" s="258"/>
    </row>
    <row r="62014" spans="1:26" ht="12.75" customHeight="1" x14ac:dyDescent="0.2">
      <c r="A62014" s="258"/>
      <c r="Z62014" s="258"/>
    </row>
    <row r="62015" spans="1:26" ht="12.75" customHeight="1" x14ac:dyDescent="0.2">
      <c r="A62015" s="258"/>
      <c r="Z62015" s="258"/>
    </row>
    <row r="62016" spans="1:26" ht="12.75" customHeight="1" x14ac:dyDescent="0.2">
      <c r="A62016" s="258"/>
      <c r="Z62016" s="258"/>
    </row>
    <row r="62017" spans="1:26" ht="12.75" customHeight="1" x14ac:dyDescent="0.2">
      <c r="A62017" s="258"/>
      <c r="Z62017" s="258"/>
    </row>
    <row r="62018" spans="1:26" ht="12.75" customHeight="1" x14ac:dyDescent="0.2">
      <c r="A62018" s="258"/>
      <c r="Z62018" s="258"/>
    </row>
    <row r="62019" spans="1:26" ht="12.75" customHeight="1" x14ac:dyDescent="0.2">
      <c r="A62019" s="258"/>
      <c r="Z62019" s="258"/>
    </row>
    <row r="62020" spans="1:26" ht="12.75" customHeight="1" x14ac:dyDescent="0.2">
      <c r="A62020" s="258"/>
      <c r="Z62020" s="258"/>
    </row>
    <row r="62021" spans="1:26" ht="12.75" customHeight="1" x14ac:dyDescent="0.2">
      <c r="A62021" s="258"/>
      <c r="Z62021" s="258"/>
    </row>
    <row r="62022" spans="1:26" ht="12.75" customHeight="1" x14ac:dyDescent="0.2">
      <c r="A62022" s="258"/>
      <c r="Z62022" s="258"/>
    </row>
    <row r="62023" spans="1:26" ht="12.75" customHeight="1" x14ac:dyDescent="0.2">
      <c r="A62023" s="258"/>
      <c r="Z62023" s="258"/>
    </row>
    <row r="62024" spans="1:26" ht="12.75" customHeight="1" x14ac:dyDescent="0.2">
      <c r="A62024" s="258"/>
      <c r="Z62024" s="258"/>
    </row>
    <row r="62025" spans="1:26" ht="12.75" customHeight="1" x14ac:dyDescent="0.2">
      <c r="A62025" s="258"/>
      <c r="Z62025" s="258"/>
    </row>
    <row r="62026" spans="1:26" ht="12.75" customHeight="1" x14ac:dyDescent="0.2">
      <c r="A62026" s="258"/>
      <c r="Z62026" s="258"/>
    </row>
    <row r="62027" spans="1:26" ht="12.75" customHeight="1" x14ac:dyDescent="0.2">
      <c r="A62027" s="258"/>
      <c r="Z62027" s="258"/>
    </row>
    <row r="62028" spans="1:26" ht="12.75" customHeight="1" x14ac:dyDescent="0.2">
      <c r="A62028" s="258"/>
      <c r="Z62028" s="258"/>
    </row>
    <row r="62029" spans="1:26" ht="12.75" customHeight="1" x14ac:dyDescent="0.2">
      <c r="A62029" s="258"/>
      <c r="Z62029" s="258"/>
    </row>
    <row r="62030" spans="1:26" ht="12.75" customHeight="1" x14ac:dyDescent="0.2">
      <c r="A62030" s="258"/>
      <c r="Z62030" s="258"/>
    </row>
    <row r="62031" spans="1:26" ht="12.75" customHeight="1" x14ac:dyDescent="0.2">
      <c r="A62031" s="258"/>
      <c r="Z62031" s="258"/>
    </row>
    <row r="62032" spans="1:26" ht="12.75" customHeight="1" x14ac:dyDescent="0.2">
      <c r="A62032" s="258"/>
      <c r="Z62032" s="258"/>
    </row>
    <row r="62033" spans="1:26" ht="12.75" customHeight="1" x14ac:dyDescent="0.2">
      <c r="A62033" s="258"/>
      <c r="Z62033" s="258"/>
    </row>
    <row r="62034" spans="1:26" ht="12.75" customHeight="1" x14ac:dyDescent="0.2">
      <c r="A62034" s="258"/>
      <c r="Z62034" s="258"/>
    </row>
    <row r="62035" spans="1:26" ht="12.75" customHeight="1" x14ac:dyDescent="0.2">
      <c r="A62035" s="258"/>
      <c r="Z62035" s="258"/>
    </row>
    <row r="62036" spans="1:26" ht="12.75" customHeight="1" x14ac:dyDescent="0.2">
      <c r="A62036" s="258"/>
      <c r="Z62036" s="258"/>
    </row>
    <row r="62037" spans="1:26" ht="12.75" customHeight="1" x14ac:dyDescent="0.2">
      <c r="A62037" s="258"/>
      <c r="Z62037" s="258"/>
    </row>
    <row r="62038" spans="1:26" ht="12.75" customHeight="1" x14ac:dyDescent="0.2">
      <c r="A62038" s="258"/>
      <c r="Z62038" s="258"/>
    </row>
    <row r="62039" spans="1:26" ht="12.75" customHeight="1" x14ac:dyDescent="0.2">
      <c r="A62039" s="258"/>
      <c r="Z62039" s="258"/>
    </row>
    <row r="62040" spans="1:26" ht="12.75" customHeight="1" x14ac:dyDescent="0.2">
      <c r="A62040" s="258"/>
      <c r="Z62040" s="258"/>
    </row>
    <row r="62041" spans="1:26" ht="12.75" customHeight="1" x14ac:dyDescent="0.2">
      <c r="A62041" s="258"/>
      <c r="Z62041" s="258"/>
    </row>
    <row r="62042" spans="1:26" ht="12.75" customHeight="1" x14ac:dyDescent="0.2">
      <c r="A62042" s="258"/>
      <c r="Z62042" s="258"/>
    </row>
    <row r="62043" spans="1:26" ht="12.75" customHeight="1" x14ac:dyDescent="0.2">
      <c r="A62043" s="258"/>
      <c r="Z62043" s="258"/>
    </row>
    <row r="62044" spans="1:26" ht="12.75" customHeight="1" x14ac:dyDescent="0.2">
      <c r="A62044" s="258"/>
      <c r="Z62044" s="258"/>
    </row>
    <row r="62045" spans="1:26" ht="12.75" customHeight="1" x14ac:dyDescent="0.2">
      <c r="A62045" s="258"/>
      <c r="Z62045" s="258"/>
    </row>
    <row r="62046" spans="1:26" ht="12.75" customHeight="1" x14ac:dyDescent="0.2">
      <c r="A62046" s="258"/>
      <c r="Z62046" s="258"/>
    </row>
    <row r="62047" spans="1:26" ht="12.75" customHeight="1" x14ac:dyDescent="0.2">
      <c r="A62047" s="258"/>
      <c r="Z62047" s="258"/>
    </row>
    <row r="62048" spans="1:26" ht="12.75" customHeight="1" x14ac:dyDescent="0.2">
      <c r="A62048" s="258"/>
      <c r="Z62048" s="258"/>
    </row>
    <row r="62049" spans="1:26" ht="12.75" customHeight="1" x14ac:dyDescent="0.2">
      <c r="A62049" s="258"/>
      <c r="Z62049" s="258"/>
    </row>
    <row r="62050" spans="1:26" ht="12.75" customHeight="1" x14ac:dyDescent="0.2">
      <c r="A62050" s="258"/>
      <c r="Z62050" s="258"/>
    </row>
    <row r="62051" spans="1:26" ht="12.75" customHeight="1" x14ac:dyDescent="0.2">
      <c r="A62051" s="258"/>
      <c r="Z62051" s="258"/>
    </row>
    <row r="62052" spans="1:26" ht="12.75" customHeight="1" x14ac:dyDescent="0.2">
      <c r="A62052" s="258"/>
      <c r="Z62052" s="258"/>
    </row>
    <row r="62053" spans="1:26" ht="12.75" customHeight="1" x14ac:dyDescent="0.2">
      <c r="A62053" s="258"/>
      <c r="Z62053" s="258"/>
    </row>
    <row r="62054" spans="1:26" ht="12.75" customHeight="1" x14ac:dyDescent="0.2">
      <c r="A62054" s="258"/>
      <c r="Z62054" s="258"/>
    </row>
    <row r="62055" spans="1:26" ht="12.75" customHeight="1" x14ac:dyDescent="0.2">
      <c r="A62055" s="258"/>
      <c r="Z62055" s="258"/>
    </row>
    <row r="62056" spans="1:26" ht="12.75" customHeight="1" x14ac:dyDescent="0.2">
      <c r="A62056" s="258"/>
      <c r="Z62056" s="258"/>
    </row>
    <row r="62057" spans="1:26" ht="12.75" customHeight="1" x14ac:dyDescent="0.2">
      <c r="A62057" s="258"/>
      <c r="Z62057" s="258"/>
    </row>
    <row r="62058" spans="1:26" ht="12.75" customHeight="1" x14ac:dyDescent="0.2">
      <c r="A62058" s="258"/>
      <c r="Z62058" s="258"/>
    </row>
    <row r="62059" spans="1:26" ht="12.75" customHeight="1" x14ac:dyDescent="0.2">
      <c r="A62059" s="258"/>
      <c r="Z62059" s="258"/>
    </row>
    <row r="62060" spans="1:26" ht="12.75" customHeight="1" x14ac:dyDescent="0.2">
      <c r="A62060" s="258"/>
      <c r="Z62060" s="258"/>
    </row>
    <row r="62061" spans="1:26" ht="12.75" customHeight="1" x14ac:dyDescent="0.2">
      <c r="A62061" s="258"/>
      <c r="Z62061" s="258"/>
    </row>
    <row r="62062" spans="1:26" ht="12.75" customHeight="1" x14ac:dyDescent="0.2">
      <c r="A62062" s="258"/>
      <c r="Z62062" s="258"/>
    </row>
    <row r="62063" spans="1:26" ht="12.75" customHeight="1" x14ac:dyDescent="0.2">
      <c r="A62063" s="258"/>
      <c r="Z62063" s="258"/>
    </row>
    <row r="62064" spans="1:26" ht="12.75" customHeight="1" x14ac:dyDescent="0.2">
      <c r="A62064" s="258"/>
      <c r="Z62064" s="258"/>
    </row>
    <row r="62065" spans="1:26" ht="12.75" customHeight="1" x14ac:dyDescent="0.2">
      <c r="A62065" s="258"/>
      <c r="Z62065" s="258"/>
    </row>
    <row r="62066" spans="1:26" ht="12.75" customHeight="1" x14ac:dyDescent="0.2">
      <c r="A62066" s="258"/>
      <c r="Z62066" s="258"/>
    </row>
    <row r="62067" spans="1:26" ht="12.75" customHeight="1" x14ac:dyDescent="0.2">
      <c r="A62067" s="258"/>
      <c r="Z62067" s="258"/>
    </row>
    <row r="62068" spans="1:26" ht="12.75" customHeight="1" x14ac:dyDescent="0.2">
      <c r="A62068" s="258"/>
      <c r="Z62068" s="258"/>
    </row>
    <row r="62069" spans="1:26" ht="12.75" customHeight="1" x14ac:dyDescent="0.2">
      <c r="A62069" s="258"/>
      <c r="Z62069" s="258"/>
    </row>
    <row r="62070" spans="1:26" ht="12.75" customHeight="1" x14ac:dyDescent="0.2">
      <c r="A62070" s="258"/>
      <c r="Z62070" s="258"/>
    </row>
    <row r="62071" spans="1:26" ht="12.75" customHeight="1" x14ac:dyDescent="0.2">
      <c r="A62071" s="258"/>
      <c r="Z62071" s="258"/>
    </row>
    <row r="62072" spans="1:26" ht="12.75" customHeight="1" x14ac:dyDescent="0.2">
      <c r="A62072" s="258"/>
      <c r="Z62072" s="258"/>
    </row>
    <row r="62073" spans="1:26" ht="12.75" customHeight="1" x14ac:dyDescent="0.2">
      <c r="A62073" s="258"/>
      <c r="Z62073" s="258"/>
    </row>
    <row r="62074" spans="1:26" ht="12.75" customHeight="1" x14ac:dyDescent="0.2">
      <c r="A62074" s="258"/>
      <c r="Z62074" s="258"/>
    </row>
    <row r="62075" spans="1:26" ht="12.75" customHeight="1" x14ac:dyDescent="0.2">
      <c r="A62075" s="258"/>
      <c r="Z62075" s="258"/>
    </row>
    <row r="62076" spans="1:26" ht="12.75" customHeight="1" x14ac:dyDescent="0.2">
      <c r="A62076" s="258"/>
      <c r="Z62076" s="258"/>
    </row>
    <row r="62077" spans="1:26" ht="12.75" customHeight="1" x14ac:dyDescent="0.2">
      <c r="A62077" s="258"/>
      <c r="Z62077" s="258"/>
    </row>
    <row r="62078" spans="1:26" ht="12.75" customHeight="1" x14ac:dyDescent="0.2">
      <c r="A62078" s="258"/>
      <c r="Z62078" s="258"/>
    </row>
    <row r="62079" spans="1:26" ht="12.75" customHeight="1" x14ac:dyDescent="0.2">
      <c r="A62079" s="258"/>
      <c r="Z62079" s="258"/>
    </row>
    <row r="62080" spans="1:26" ht="12.75" customHeight="1" x14ac:dyDescent="0.2">
      <c r="A62080" s="258"/>
      <c r="Z62080" s="258"/>
    </row>
    <row r="62081" spans="1:26" ht="12.75" customHeight="1" x14ac:dyDescent="0.2">
      <c r="A62081" s="258"/>
      <c r="Z62081" s="258"/>
    </row>
    <row r="62082" spans="1:26" ht="12.75" customHeight="1" x14ac:dyDescent="0.2">
      <c r="A62082" s="258"/>
      <c r="Z62082" s="258"/>
    </row>
    <row r="62083" spans="1:26" ht="12.75" customHeight="1" x14ac:dyDescent="0.2">
      <c r="A62083" s="258"/>
      <c r="Z62083" s="258"/>
    </row>
    <row r="62084" spans="1:26" ht="12.75" customHeight="1" x14ac:dyDescent="0.2">
      <c r="A62084" s="258"/>
      <c r="Z62084" s="258"/>
    </row>
    <row r="62085" spans="1:26" ht="12.75" customHeight="1" x14ac:dyDescent="0.2">
      <c r="A62085" s="258"/>
      <c r="Z62085" s="258"/>
    </row>
    <row r="62086" spans="1:26" ht="12.75" customHeight="1" x14ac:dyDescent="0.2">
      <c r="A62086" s="258"/>
      <c r="Z62086" s="258"/>
    </row>
    <row r="62087" spans="1:26" ht="12.75" customHeight="1" x14ac:dyDescent="0.2">
      <c r="A62087" s="258"/>
      <c r="Z62087" s="258"/>
    </row>
    <row r="62088" spans="1:26" ht="12.75" customHeight="1" x14ac:dyDescent="0.2">
      <c r="A62088" s="258"/>
      <c r="Z62088" s="258"/>
    </row>
    <row r="62089" spans="1:26" ht="12.75" customHeight="1" x14ac:dyDescent="0.2">
      <c r="A62089" s="258"/>
      <c r="Z62089" s="258"/>
    </row>
    <row r="62090" spans="1:26" ht="12.75" customHeight="1" x14ac:dyDescent="0.2">
      <c r="A62090" s="258"/>
      <c r="Z62090" s="258"/>
    </row>
    <row r="62091" spans="1:26" ht="12.75" customHeight="1" x14ac:dyDescent="0.2">
      <c r="A62091" s="258"/>
      <c r="Z62091" s="258"/>
    </row>
    <row r="62092" spans="1:26" ht="12.75" customHeight="1" x14ac:dyDescent="0.2">
      <c r="A62092" s="258"/>
      <c r="Z62092" s="258"/>
    </row>
    <row r="62093" spans="1:26" ht="12.75" customHeight="1" x14ac:dyDescent="0.2">
      <c r="A62093" s="258"/>
      <c r="Z62093" s="258"/>
    </row>
    <row r="62094" spans="1:26" ht="12.75" customHeight="1" x14ac:dyDescent="0.2">
      <c r="A62094" s="258"/>
      <c r="Z62094" s="258"/>
    </row>
    <row r="62095" spans="1:26" ht="12.75" customHeight="1" x14ac:dyDescent="0.2">
      <c r="A62095" s="258"/>
      <c r="Z62095" s="258"/>
    </row>
    <row r="62096" spans="1:26" ht="12.75" customHeight="1" x14ac:dyDescent="0.2">
      <c r="A62096" s="258"/>
      <c r="Z62096" s="258"/>
    </row>
    <row r="62097" spans="1:26" ht="12.75" customHeight="1" x14ac:dyDescent="0.2">
      <c r="A62097" s="258"/>
      <c r="Z62097" s="258"/>
    </row>
    <row r="62098" spans="1:26" ht="12.75" customHeight="1" x14ac:dyDescent="0.2">
      <c r="A62098" s="258"/>
      <c r="Z62098" s="258"/>
    </row>
    <row r="62099" spans="1:26" ht="12.75" customHeight="1" x14ac:dyDescent="0.2">
      <c r="A62099" s="258"/>
      <c r="Z62099" s="258"/>
    </row>
    <row r="62100" spans="1:26" ht="12.75" customHeight="1" x14ac:dyDescent="0.2">
      <c r="A62100" s="258"/>
      <c r="Z62100" s="258"/>
    </row>
    <row r="62101" spans="1:26" ht="12.75" customHeight="1" x14ac:dyDescent="0.2">
      <c r="A62101" s="258"/>
      <c r="Z62101" s="258"/>
    </row>
    <row r="62102" spans="1:26" ht="12.75" customHeight="1" x14ac:dyDescent="0.2">
      <c r="A62102" s="258"/>
      <c r="Z62102" s="258"/>
    </row>
    <row r="62103" spans="1:26" ht="12.75" customHeight="1" x14ac:dyDescent="0.2">
      <c r="A62103" s="258"/>
      <c r="Z62103" s="258"/>
    </row>
    <row r="62104" spans="1:26" ht="12.75" customHeight="1" x14ac:dyDescent="0.2">
      <c r="A62104" s="258"/>
      <c r="Z62104" s="258"/>
    </row>
    <row r="62105" spans="1:26" ht="12.75" customHeight="1" x14ac:dyDescent="0.2">
      <c r="A62105" s="258"/>
      <c r="Z62105" s="258"/>
    </row>
    <row r="62106" spans="1:26" ht="12.75" customHeight="1" x14ac:dyDescent="0.2">
      <c r="A62106" s="258"/>
      <c r="Z62106" s="258"/>
    </row>
    <row r="62107" spans="1:26" ht="12.75" customHeight="1" x14ac:dyDescent="0.2">
      <c r="A62107" s="258"/>
      <c r="Z62107" s="258"/>
    </row>
    <row r="62108" spans="1:26" ht="12.75" customHeight="1" x14ac:dyDescent="0.2">
      <c r="A62108" s="258"/>
      <c r="Z62108" s="258"/>
    </row>
    <row r="62109" spans="1:26" ht="12.75" customHeight="1" x14ac:dyDescent="0.2">
      <c r="A62109" s="258"/>
      <c r="Z62109" s="258"/>
    </row>
    <row r="62110" spans="1:26" ht="12.75" customHeight="1" x14ac:dyDescent="0.2">
      <c r="A62110" s="258"/>
      <c r="Z62110" s="258"/>
    </row>
    <row r="62111" spans="1:26" ht="12.75" customHeight="1" x14ac:dyDescent="0.2">
      <c r="A62111" s="258"/>
      <c r="Z62111" s="258"/>
    </row>
    <row r="62112" spans="1:26" ht="12.75" customHeight="1" x14ac:dyDescent="0.2">
      <c r="A62112" s="258"/>
      <c r="Z62112" s="258"/>
    </row>
    <row r="62113" spans="1:26" ht="12.75" customHeight="1" x14ac:dyDescent="0.2">
      <c r="A62113" s="258"/>
      <c r="Z62113" s="258"/>
    </row>
    <row r="62114" spans="1:26" ht="12.75" customHeight="1" x14ac:dyDescent="0.2">
      <c r="A62114" s="258"/>
      <c r="Z62114" s="258"/>
    </row>
    <row r="62115" spans="1:26" ht="12.75" customHeight="1" x14ac:dyDescent="0.2">
      <c r="A62115" s="258"/>
      <c r="Z62115" s="258"/>
    </row>
    <row r="62116" spans="1:26" ht="12.75" customHeight="1" x14ac:dyDescent="0.2">
      <c r="A62116" s="258"/>
      <c r="Z62116" s="258"/>
    </row>
    <row r="62117" spans="1:26" ht="12.75" customHeight="1" x14ac:dyDescent="0.2">
      <c r="A62117" s="258"/>
      <c r="Z62117" s="258"/>
    </row>
    <row r="62118" spans="1:26" ht="12.75" customHeight="1" x14ac:dyDescent="0.2">
      <c r="A62118" s="258"/>
      <c r="Z62118" s="258"/>
    </row>
    <row r="62119" spans="1:26" ht="12.75" customHeight="1" x14ac:dyDescent="0.2">
      <c r="A62119" s="258"/>
      <c r="Z62119" s="258"/>
    </row>
    <row r="62120" spans="1:26" ht="12.75" customHeight="1" x14ac:dyDescent="0.2">
      <c r="A62120" s="258"/>
      <c r="Z62120" s="258"/>
    </row>
    <row r="62121" spans="1:26" ht="12.75" customHeight="1" x14ac:dyDescent="0.2">
      <c r="A62121" s="258"/>
      <c r="Z62121" s="258"/>
    </row>
    <row r="62122" spans="1:26" ht="12.75" customHeight="1" x14ac:dyDescent="0.2">
      <c r="A62122" s="258"/>
      <c r="Z62122" s="258"/>
    </row>
    <row r="62123" spans="1:26" ht="12.75" customHeight="1" x14ac:dyDescent="0.2">
      <c r="A62123" s="258"/>
      <c r="Z62123" s="258"/>
    </row>
    <row r="62124" spans="1:26" ht="12.75" customHeight="1" x14ac:dyDescent="0.2">
      <c r="A62124" s="258"/>
      <c r="Z62124" s="258"/>
    </row>
    <row r="62125" spans="1:26" ht="12.75" customHeight="1" x14ac:dyDescent="0.2">
      <c r="A62125" s="258"/>
      <c r="Z62125" s="258"/>
    </row>
    <row r="62126" spans="1:26" ht="12.75" customHeight="1" x14ac:dyDescent="0.2">
      <c r="A62126" s="258"/>
      <c r="Z62126" s="258"/>
    </row>
    <row r="62127" spans="1:26" ht="12.75" customHeight="1" x14ac:dyDescent="0.2">
      <c r="A62127" s="258"/>
      <c r="Z62127" s="258"/>
    </row>
    <row r="62128" spans="1:26" ht="12.75" customHeight="1" x14ac:dyDescent="0.2">
      <c r="A62128" s="258"/>
      <c r="Z62128" s="258"/>
    </row>
    <row r="62129" spans="1:26" ht="12.75" customHeight="1" x14ac:dyDescent="0.2">
      <c r="A62129" s="258"/>
      <c r="Z62129" s="258"/>
    </row>
    <row r="62130" spans="1:26" ht="12.75" customHeight="1" x14ac:dyDescent="0.2">
      <c r="A62130" s="258"/>
      <c r="Z62130" s="258"/>
    </row>
    <row r="62131" spans="1:26" ht="12.75" customHeight="1" x14ac:dyDescent="0.2">
      <c r="A62131" s="258"/>
      <c r="Z62131" s="258"/>
    </row>
    <row r="62132" spans="1:26" ht="12.75" customHeight="1" x14ac:dyDescent="0.2">
      <c r="A62132" s="258"/>
      <c r="Z62132" s="258"/>
    </row>
    <row r="62133" spans="1:26" ht="12.75" customHeight="1" x14ac:dyDescent="0.2">
      <c r="A62133" s="258"/>
      <c r="Z62133" s="258"/>
    </row>
    <row r="62134" spans="1:26" ht="12.75" customHeight="1" x14ac:dyDescent="0.2">
      <c r="A62134" s="258"/>
      <c r="Z62134" s="258"/>
    </row>
    <row r="62135" spans="1:26" ht="12.75" customHeight="1" x14ac:dyDescent="0.2">
      <c r="A62135" s="258"/>
      <c r="Z62135" s="258"/>
    </row>
    <row r="62136" spans="1:26" ht="12.75" customHeight="1" x14ac:dyDescent="0.2">
      <c r="A62136" s="258"/>
      <c r="Z62136" s="258"/>
    </row>
    <row r="62137" spans="1:26" ht="12.75" customHeight="1" x14ac:dyDescent="0.2">
      <c r="A62137" s="258"/>
      <c r="Z62137" s="258"/>
    </row>
    <row r="62138" spans="1:26" ht="12.75" customHeight="1" x14ac:dyDescent="0.2">
      <c r="A62138" s="258"/>
      <c r="Z62138" s="258"/>
    </row>
    <row r="62139" spans="1:26" ht="12.75" customHeight="1" x14ac:dyDescent="0.2">
      <c r="A62139" s="258"/>
      <c r="Z62139" s="258"/>
    </row>
    <row r="62140" spans="1:26" ht="12.75" customHeight="1" x14ac:dyDescent="0.2">
      <c r="A62140" s="258"/>
      <c r="Z62140" s="258"/>
    </row>
    <row r="62141" spans="1:26" ht="12.75" customHeight="1" x14ac:dyDescent="0.2">
      <c r="A62141" s="258"/>
      <c r="Z62141" s="258"/>
    </row>
    <row r="62142" spans="1:26" ht="12.75" customHeight="1" x14ac:dyDescent="0.2">
      <c r="A62142" s="258"/>
      <c r="Z62142" s="258"/>
    </row>
    <row r="62143" spans="1:26" ht="12.75" customHeight="1" x14ac:dyDescent="0.2">
      <c r="A62143" s="258"/>
      <c r="Z62143" s="258"/>
    </row>
    <row r="62144" spans="1:26" ht="12.75" customHeight="1" x14ac:dyDescent="0.2">
      <c r="A62144" s="258"/>
      <c r="Z62144" s="258"/>
    </row>
    <row r="62145" spans="1:26" ht="12.75" customHeight="1" x14ac:dyDescent="0.2">
      <c r="A62145" s="258"/>
      <c r="Z62145" s="258"/>
    </row>
    <row r="62146" spans="1:26" ht="12.75" customHeight="1" x14ac:dyDescent="0.2">
      <c r="A62146" s="258"/>
      <c r="Z62146" s="258"/>
    </row>
    <row r="62147" spans="1:26" ht="12.75" customHeight="1" x14ac:dyDescent="0.2">
      <c r="A62147" s="258"/>
      <c r="Z62147" s="258"/>
    </row>
    <row r="62148" spans="1:26" ht="12.75" customHeight="1" x14ac:dyDescent="0.2">
      <c r="A62148" s="258"/>
      <c r="Z62148" s="258"/>
    </row>
    <row r="62149" spans="1:26" ht="12.75" customHeight="1" x14ac:dyDescent="0.2">
      <c r="A62149" s="258"/>
      <c r="Z62149" s="258"/>
    </row>
    <row r="62150" spans="1:26" ht="12.75" customHeight="1" x14ac:dyDescent="0.2">
      <c r="A62150" s="258"/>
      <c r="Z62150" s="258"/>
    </row>
    <row r="62151" spans="1:26" ht="12.75" customHeight="1" x14ac:dyDescent="0.2">
      <c r="A62151" s="258"/>
      <c r="Z62151" s="258"/>
    </row>
    <row r="62152" spans="1:26" ht="12.75" customHeight="1" x14ac:dyDescent="0.2">
      <c r="A62152" s="258"/>
      <c r="Z62152" s="258"/>
    </row>
    <row r="62153" spans="1:26" ht="12.75" customHeight="1" x14ac:dyDescent="0.2">
      <c r="A62153" s="258"/>
      <c r="Z62153" s="258"/>
    </row>
    <row r="62154" spans="1:26" ht="12.75" customHeight="1" x14ac:dyDescent="0.2">
      <c r="A62154" s="258"/>
      <c r="Z62154" s="258"/>
    </row>
    <row r="62155" spans="1:26" ht="12.75" customHeight="1" x14ac:dyDescent="0.2">
      <c r="A62155" s="258"/>
      <c r="Z62155" s="258"/>
    </row>
    <row r="62156" spans="1:26" ht="12.75" customHeight="1" x14ac:dyDescent="0.2">
      <c r="A62156" s="258"/>
      <c r="Z62156" s="258"/>
    </row>
    <row r="62157" spans="1:26" ht="12.75" customHeight="1" x14ac:dyDescent="0.2">
      <c r="A62157" s="258"/>
      <c r="Z62157" s="258"/>
    </row>
    <row r="62158" spans="1:26" ht="12.75" customHeight="1" x14ac:dyDescent="0.2">
      <c r="A62158" s="258"/>
      <c r="Z62158" s="258"/>
    </row>
    <row r="62159" spans="1:26" ht="12.75" customHeight="1" x14ac:dyDescent="0.2">
      <c r="A62159" s="258"/>
      <c r="Z62159" s="258"/>
    </row>
    <row r="62160" spans="1:26" ht="12.75" customHeight="1" x14ac:dyDescent="0.2">
      <c r="A62160" s="258"/>
      <c r="Z62160" s="258"/>
    </row>
    <row r="62161" spans="1:26" ht="12.75" customHeight="1" x14ac:dyDescent="0.2">
      <c r="A62161" s="258"/>
      <c r="Z62161" s="258"/>
    </row>
    <row r="62162" spans="1:26" ht="12.75" customHeight="1" x14ac:dyDescent="0.2">
      <c r="A62162" s="258"/>
      <c r="Z62162" s="258"/>
    </row>
    <row r="62163" spans="1:26" ht="12.75" customHeight="1" x14ac:dyDescent="0.2">
      <c r="A62163" s="258"/>
      <c r="Z62163" s="258"/>
    </row>
    <row r="62164" spans="1:26" ht="12.75" customHeight="1" x14ac:dyDescent="0.2">
      <c r="A62164" s="258"/>
      <c r="Z62164" s="258"/>
    </row>
    <row r="62165" spans="1:26" ht="12.75" customHeight="1" x14ac:dyDescent="0.2">
      <c r="A62165" s="258"/>
      <c r="Z62165" s="258"/>
    </row>
    <row r="62166" spans="1:26" ht="12.75" customHeight="1" x14ac:dyDescent="0.2">
      <c r="A62166" s="258"/>
      <c r="Z62166" s="258"/>
    </row>
    <row r="62167" spans="1:26" ht="12.75" customHeight="1" x14ac:dyDescent="0.2">
      <c r="A62167" s="258"/>
      <c r="Z62167" s="258"/>
    </row>
    <row r="62168" spans="1:26" ht="12.75" customHeight="1" x14ac:dyDescent="0.2">
      <c r="A62168" s="258"/>
      <c r="Z62168" s="258"/>
    </row>
    <row r="62169" spans="1:26" ht="12.75" customHeight="1" x14ac:dyDescent="0.2">
      <c r="A62169" s="258"/>
      <c r="Z62169" s="258"/>
    </row>
    <row r="62170" spans="1:26" ht="12.75" customHeight="1" x14ac:dyDescent="0.2">
      <c r="A62170" s="258"/>
      <c r="Z62170" s="258"/>
    </row>
    <row r="62171" spans="1:26" ht="12.75" customHeight="1" x14ac:dyDescent="0.2">
      <c r="A62171" s="258"/>
      <c r="Z62171" s="258"/>
    </row>
    <row r="62172" spans="1:26" ht="12.75" customHeight="1" x14ac:dyDescent="0.2">
      <c r="A62172" s="258"/>
      <c r="Z62172" s="258"/>
    </row>
    <row r="62173" spans="1:26" ht="12.75" customHeight="1" x14ac:dyDescent="0.2">
      <c r="A62173" s="258"/>
      <c r="Z62173" s="258"/>
    </row>
    <row r="62174" spans="1:26" ht="12.75" customHeight="1" x14ac:dyDescent="0.2">
      <c r="A62174" s="258"/>
      <c r="Z62174" s="258"/>
    </row>
    <row r="62175" spans="1:26" ht="12.75" customHeight="1" x14ac:dyDescent="0.2">
      <c r="A62175" s="258"/>
      <c r="Z62175" s="258"/>
    </row>
    <row r="62176" spans="1:26" ht="12.75" customHeight="1" x14ac:dyDescent="0.2">
      <c r="A62176" s="258"/>
      <c r="Z62176" s="258"/>
    </row>
    <row r="62177" spans="1:26" ht="12.75" customHeight="1" x14ac:dyDescent="0.2">
      <c r="A62177" s="258"/>
      <c r="Z62177" s="258"/>
    </row>
    <row r="62178" spans="1:26" ht="12.75" customHeight="1" x14ac:dyDescent="0.2">
      <c r="A62178" s="258"/>
      <c r="Z62178" s="258"/>
    </row>
    <row r="62179" spans="1:26" ht="12.75" customHeight="1" x14ac:dyDescent="0.2">
      <c r="A62179" s="258"/>
      <c r="Z62179" s="258"/>
    </row>
    <row r="62180" spans="1:26" ht="12.75" customHeight="1" x14ac:dyDescent="0.2">
      <c r="A62180" s="258"/>
      <c r="Z62180" s="258"/>
    </row>
    <row r="62181" spans="1:26" ht="12.75" customHeight="1" x14ac:dyDescent="0.2">
      <c r="A62181" s="258"/>
      <c r="Z62181" s="258"/>
    </row>
    <row r="62182" spans="1:26" ht="12.75" customHeight="1" x14ac:dyDescent="0.2">
      <c r="A62182" s="258"/>
      <c r="Z62182" s="258"/>
    </row>
    <row r="62183" spans="1:26" ht="12.75" customHeight="1" x14ac:dyDescent="0.2">
      <c r="A62183" s="258"/>
      <c r="Z62183" s="258"/>
    </row>
    <row r="62184" spans="1:26" ht="12.75" customHeight="1" x14ac:dyDescent="0.2">
      <c r="A62184" s="258"/>
      <c r="Z62184" s="258"/>
    </row>
    <row r="62185" spans="1:26" ht="12.75" customHeight="1" x14ac:dyDescent="0.2">
      <c r="A62185" s="258"/>
      <c r="Z62185" s="258"/>
    </row>
    <row r="62186" spans="1:26" ht="12.75" customHeight="1" x14ac:dyDescent="0.2">
      <c r="A62186" s="258"/>
      <c r="Z62186" s="258"/>
    </row>
    <row r="62187" spans="1:26" ht="12.75" customHeight="1" x14ac:dyDescent="0.2">
      <c r="A62187" s="258"/>
      <c r="Z62187" s="258"/>
    </row>
    <row r="62188" spans="1:26" ht="12.75" customHeight="1" x14ac:dyDescent="0.2">
      <c r="A62188" s="258"/>
      <c r="Z62188" s="258"/>
    </row>
    <row r="62189" spans="1:26" ht="12.75" customHeight="1" x14ac:dyDescent="0.2">
      <c r="A62189" s="258"/>
      <c r="Z62189" s="258"/>
    </row>
    <row r="62190" spans="1:26" ht="12.75" customHeight="1" x14ac:dyDescent="0.2">
      <c r="A62190" s="258"/>
      <c r="Z62190" s="258"/>
    </row>
    <row r="62191" spans="1:26" ht="12.75" customHeight="1" x14ac:dyDescent="0.2">
      <c r="A62191" s="258"/>
      <c r="Z62191" s="258"/>
    </row>
    <row r="62192" spans="1:26" ht="12.75" customHeight="1" x14ac:dyDescent="0.2">
      <c r="A62192" s="258"/>
      <c r="Z62192" s="258"/>
    </row>
    <row r="62193" spans="1:26" ht="12.75" customHeight="1" x14ac:dyDescent="0.2">
      <c r="A62193" s="258"/>
      <c r="Z62193" s="258"/>
    </row>
    <row r="62194" spans="1:26" ht="12.75" customHeight="1" x14ac:dyDescent="0.2">
      <c r="A62194" s="258"/>
      <c r="Z62194" s="258"/>
    </row>
    <row r="62195" spans="1:26" ht="12.75" customHeight="1" x14ac:dyDescent="0.2">
      <c r="A62195" s="258"/>
      <c r="Z62195" s="258"/>
    </row>
    <row r="62196" spans="1:26" ht="12.75" customHeight="1" x14ac:dyDescent="0.2">
      <c r="A62196" s="258"/>
      <c r="Z62196" s="258"/>
    </row>
    <row r="62197" spans="1:26" ht="12.75" customHeight="1" x14ac:dyDescent="0.2">
      <c r="A62197" s="258"/>
      <c r="Z62197" s="258"/>
    </row>
    <row r="62198" spans="1:26" ht="12.75" customHeight="1" x14ac:dyDescent="0.2">
      <c r="A62198" s="258"/>
      <c r="Z62198" s="258"/>
    </row>
    <row r="62199" spans="1:26" ht="12.75" customHeight="1" x14ac:dyDescent="0.2">
      <c r="A62199" s="258"/>
      <c r="Z62199" s="258"/>
    </row>
    <row r="62200" spans="1:26" ht="12.75" customHeight="1" x14ac:dyDescent="0.2">
      <c r="A62200" s="258"/>
      <c r="Z62200" s="258"/>
    </row>
    <row r="62201" spans="1:26" ht="12.75" customHeight="1" x14ac:dyDescent="0.2">
      <c r="A62201" s="258"/>
      <c r="Z62201" s="258"/>
    </row>
    <row r="62202" spans="1:26" ht="12.75" customHeight="1" x14ac:dyDescent="0.2">
      <c r="A62202" s="258"/>
      <c r="Z62202" s="258"/>
    </row>
    <row r="62203" spans="1:26" ht="12.75" customHeight="1" x14ac:dyDescent="0.2">
      <c r="A62203" s="258"/>
      <c r="Z62203" s="258"/>
    </row>
    <row r="62204" spans="1:26" ht="12.75" customHeight="1" x14ac:dyDescent="0.2">
      <c r="A62204" s="258"/>
      <c r="Z62204" s="258"/>
    </row>
    <row r="62205" spans="1:26" ht="12.75" customHeight="1" x14ac:dyDescent="0.2">
      <c r="A62205" s="258"/>
      <c r="Z62205" s="258"/>
    </row>
    <row r="62206" spans="1:26" ht="12.75" customHeight="1" x14ac:dyDescent="0.2">
      <c r="A62206" s="258"/>
      <c r="Z62206" s="258"/>
    </row>
    <row r="62207" spans="1:26" ht="12.75" customHeight="1" x14ac:dyDescent="0.2">
      <c r="A62207" s="258"/>
      <c r="Z62207" s="258"/>
    </row>
    <row r="62208" spans="1:26" ht="12.75" customHeight="1" x14ac:dyDescent="0.2">
      <c r="A62208" s="258"/>
      <c r="Z62208" s="258"/>
    </row>
    <row r="62209" spans="1:26" ht="12.75" customHeight="1" x14ac:dyDescent="0.2">
      <c r="A62209" s="258"/>
      <c r="Z62209" s="258"/>
    </row>
    <row r="62210" spans="1:26" ht="12.75" customHeight="1" x14ac:dyDescent="0.2">
      <c r="A62210" s="258"/>
      <c r="Z62210" s="258"/>
    </row>
    <row r="62211" spans="1:26" ht="12.75" customHeight="1" x14ac:dyDescent="0.2">
      <c r="A62211" s="258"/>
      <c r="Z62211" s="258"/>
    </row>
    <row r="62212" spans="1:26" ht="12.75" customHeight="1" x14ac:dyDescent="0.2">
      <c r="A62212" s="258"/>
      <c r="Z62212" s="258"/>
    </row>
    <row r="62213" spans="1:26" ht="12.75" customHeight="1" x14ac:dyDescent="0.2">
      <c r="A62213" s="258"/>
      <c r="Z62213" s="258"/>
    </row>
    <row r="62214" spans="1:26" ht="12.75" customHeight="1" x14ac:dyDescent="0.2">
      <c r="A62214" s="258"/>
      <c r="Z62214" s="258"/>
    </row>
    <row r="62215" spans="1:26" ht="12.75" customHeight="1" x14ac:dyDescent="0.2">
      <c r="A62215" s="258"/>
      <c r="Z62215" s="258"/>
    </row>
    <row r="62216" spans="1:26" ht="12.75" customHeight="1" x14ac:dyDescent="0.2">
      <c r="A62216" s="258"/>
      <c r="Z62216" s="258"/>
    </row>
    <row r="62217" spans="1:26" ht="12.75" customHeight="1" x14ac:dyDescent="0.2">
      <c r="A62217" s="258"/>
      <c r="Z62217" s="258"/>
    </row>
    <row r="62218" spans="1:26" ht="12.75" customHeight="1" x14ac:dyDescent="0.2">
      <c r="A62218" s="258"/>
      <c r="Z62218" s="258"/>
    </row>
    <row r="62219" spans="1:26" ht="12.75" customHeight="1" x14ac:dyDescent="0.2">
      <c r="A62219" s="258"/>
      <c r="Z62219" s="258"/>
    </row>
    <row r="62220" spans="1:26" ht="12.75" customHeight="1" x14ac:dyDescent="0.2">
      <c r="A62220" s="258"/>
      <c r="Z62220" s="258"/>
    </row>
    <row r="62221" spans="1:26" ht="12.75" customHeight="1" x14ac:dyDescent="0.2">
      <c r="A62221" s="258"/>
      <c r="Z62221" s="258"/>
    </row>
    <row r="62222" spans="1:26" ht="12.75" customHeight="1" x14ac:dyDescent="0.2">
      <c r="A62222" s="258"/>
      <c r="Z62222" s="258"/>
    </row>
    <row r="62223" spans="1:26" ht="12.75" customHeight="1" x14ac:dyDescent="0.2">
      <c r="A62223" s="258"/>
      <c r="Z62223" s="258"/>
    </row>
    <row r="62224" spans="1:26" ht="12.75" customHeight="1" x14ac:dyDescent="0.2">
      <c r="A62224" s="258"/>
      <c r="Z62224" s="258"/>
    </row>
    <row r="62225" spans="1:26" ht="12.75" customHeight="1" x14ac:dyDescent="0.2">
      <c r="A62225" s="258"/>
      <c r="Z62225" s="258"/>
    </row>
    <row r="62226" spans="1:26" ht="12.75" customHeight="1" x14ac:dyDescent="0.2">
      <c r="A62226" s="258"/>
      <c r="Z62226" s="258"/>
    </row>
    <row r="62227" spans="1:26" ht="12.75" customHeight="1" x14ac:dyDescent="0.2">
      <c r="A62227" s="258"/>
      <c r="Z62227" s="258"/>
    </row>
    <row r="62228" spans="1:26" ht="12.75" customHeight="1" x14ac:dyDescent="0.2">
      <c r="A62228" s="258"/>
      <c r="Z62228" s="258"/>
    </row>
    <row r="62229" spans="1:26" ht="12.75" customHeight="1" x14ac:dyDescent="0.2">
      <c r="A62229" s="258"/>
      <c r="Z62229" s="258"/>
    </row>
    <row r="62230" spans="1:26" ht="12.75" customHeight="1" x14ac:dyDescent="0.2">
      <c r="A62230" s="258"/>
      <c r="Z62230" s="258"/>
    </row>
    <row r="62231" spans="1:26" ht="12.75" customHeight="1" x14ac:dyDescent="0.2">
      <c r="A62231" s="258"/>
      <c r="Z62231" s="258"/>
    </row>
    <row r="62232" spans="1:26" ht="12.75" customHeight="1" x14ac:dyDescent="0.2">
      <c r="A62232" s="258"/>
      <c r="Z62232" s="258"/>
    </row>
    <row r="62233" spans="1:26" ht="12.75" customHeight="1" x14ac:dyDescent="0.2">
      <c r="A62233" s="258"/>
      <c r="Z62233" s="258"/>
    </row>
    <row r="62234" spans="1:26" ht="12.75" customHeight="1" x14ac:dyDescent="0.2">
      <c r="A62234" s="258"/>
      <c r="Z62234" s="258"/>
    </row>
    <row r="62235" spans="1:26" ht="12.75" customHeight="1" x14ac:dyDescent="0.2">
      <c r="A62235" s="258"/>
      <c r="Z62235" s="258"/>
    </row>
    <row r="62236" spans="1:26" ht="12.75" customHeight="1" x14ac:dyDescent="0.2">
      <c r="A62236" s="258"/>
      <c r="Z62236" s="258"/>
    </row>
    <row r="62237" spans="1:26" ht="12.75" customHeight="1" x14ac:dyDescent="0.2">
      <c r="A62237" s="258"/>
      <c r="Z62237" s="258"/>
    </row>
    <row r="62238" spans="1:26" ht="12.75" customHeight="1" x14ac:dyDescent="0.2">
      <c r="A62238" s="258"/>
      <c r="Z62238" s="258"/>
    </row>
    <row r="62239" spans="1:26" ht="12.75" customHeight="1" x14ac:dyDescent="0.2">
      <c r="A62239" s="258"/>
      <c r="Z62239" s="258"/>
    </row>
    <row r="62240" spans="1:26" ht="12.75" customHeight="1" x14ac:dyDescent="0.2">
      <c r="A62240" s="258"/>
      <c r="Z62240" s="258"/>
    </row>
    <row r="62241" spans="1:26" ht="12.75" customHeight="1" x14ac:dyDescent="0.2">
      <c r="A62241" s="258"/>
      <c r="Z62241" s="258"/>
    </row>
    <row r="62242" spans="1:26" ht="12.75" customHeight="1" x14ac:dyDescent="0.2">
      <c r="A62242" s="258"/>
      <c r="Z62242" s="258"/>
    </row>
    <row r="62243" spans="1:26" ht="12.75" customHeight="1" x14ac:dyDescent="0.2">
      <c r="A62243" s="258"/>
      <c r="Z62243" s="258"/>
    </row>
    <row r="62244" spans="1:26" ht="12.75" customHeight="1" x14ac:dyDescent="0.2">
      <c r="A62244" s="258"/>
      <c r="Z62244" s="258"/>
    </row>
    <row r="62245" spans="1:26" ht="12.75" customHeight="1" x14ac:dyDescent="0.2">
      <c r="A62245" s="258"/>
      <c r="Z62245" s="258"/>
    </row>
    <row r="62246" spans="1:26" ht="12.75" customHeight="1" x14ac:dyDescent="0.2">
      <c r="A62246" s="258"/>
      <c r="Z62246" s="258"/>
    </row>
    <row r="62247" spans="1:26" ht="12.75" customHeight="1" x14ac:dyDescent="0.2">
      <c r="A62247" s="258"/>
      <c r="Z62247" s="258"/>
    </row>
    <row r="62248" spans="1:26" ht="12.75" customHeight="1" x14ac:dyDescent="0.2">
      <c r="A62248" s="258"/>
      <c r="Z62248" s="258"/>
    </row>
    <row r="62249" spans="1:26" ht="12.75" customHeight="1" x14ac:dyDescent="0.2">
      <c r="A62249" s="258"/>
      <c r="Z62249" s="258"/>
    </row>
    <row r="62250" spans="1:26" ht="12.75" customHeight="1" x14ac:dyDescent="0.2">
      <c r="A62250" s="258"/>
      <c r="Z62250" s="258"/>
    </row>
    <row r="62251" spans="1:26" ht="12.75" customHeight="1" x14ac:dyDescent="0.2">
      <c r="A62251" s="258"/>
      <c r="Z62251" s="258"/>
    </row>
    <row r="62252" spans="1:26" ht="12.75" customHeight="1" x14ac:dyDescent="0.2">
      <c r="A62252" s="258"/>
      <c r="Z62252" s="258"/>
    </row>
    <row r="62253" spans="1:26" ht="12.75" customHeight="1" x14ac:dyDescent="0.2">
      <c r="A62253" s="258"/>
      <c r="Z62253" s="258"/>
    </row>
    <row r="62254" spans="1:26" ht="12.75" customHeight="1" x14ac:dyDescent="0.2">
      <c r="A62254" s="258"/>
      <c r="Z62254" s="258"/>
    </row>
    <row r="62255" spans="1:26" ht="12.75" customHeight="1" x14ac:dyDescent="0.2">
      <c r="A62255" s="258"/>
      <c r="Z62255" s="258"/>
    </row>
    <row r="62256" spans="1:26" ht="12.75" customHeight="1" x14ac:dyDescent="0.2">
      <c r="A62256" s="258"/>
      <c r="Z62256" s="258"/>
    </row>
    <row r="62257" spans="1:26" ht="12.75" customHeight="1" x14ac:dyDescent="0.2">
      <c r="A62257" s="258"/>
      <c r="Z62257" s="258"/>
    </row>
    <row r="62258" spans="1:26" ht="12.75" customHeight="1" x14ac:dyDescent="0.2">
      <c r="A62258" s="258"/>
      <c r="Z62258" s="258"/>
    </row>
    <row r="62259" spans="1:26" ht="12.75" customHeight="1" x14ac:dyDescent="0.2">
      <c r="A62259" s="258"/>
      <c r="Z62259" s="258"/>
    </row>
    <row r="62260" spans="1:26" ht="12.75" customHeight="1" x14ac:dyDescent="0.2">
      <c r="A62260" s="258"/>
      <c r="Z62260" s="258"/>
    </row>
    <row r="62261" spans="1:26" ht="12.75" customHeight="1" x14ac:dyDescent="0.2">
      <c r="A62261" s="258"/>
      <c r="Z62261" s="258"/>
    </row>
    <row r="62262" spans="1:26" ht="12.75" customHeight="1" x14ac:dyDescent="0.2">
      <c r="A62262" s="258"/>
      <c r="Z62262" s="258"/>
    </row>
    <row r="62263" spans="1:26" ht="12.75" customHeight="1" x14ac:dyDescent="0.2">
      <c r="A62263" s="258"/>
      <c r="Z62263" s="258"/>
    </row>
    <row r="62264" spans="1:26" ht="12.75" customHeight="1" x14ac:dyDescent="0.2">
      <c r="A62264" s="258"/>
      <c r="Z62264" s="258"/>
    </row>
    <row r="62265" spans="1:26" ht="12.75" customHeight="1" x14ac:dyDescent="0.2">
      <c r="A62265" s="258"/>
      <c r="Z62265" s="258"/>
    </row>
    <row r="62266" spans="1:26" ht="12.75" customHeight="1" x14ac:dyDescent="0.2">
      <c r="A62266" s="258"/>
      <c r="Z62266" s="258"/>
    </row>
    <row r="62267" spans="1:26" ht="12.75" customHeight="1" x14ac:dyDescent="0.2">
      <c r="A62267" s="258"/>
      <c r="Z62267" s="258"/>
    </row>
    <row r="62268" spans="1:26" ht="12.75" customHeight="1" x14ac:dyDescent="0.2">
      <c r="A62268" s="258"/>
      <c r="Z62268" s="258"/>
    </row>
    <row r="62269" spans="1:26" ht="12.75" customHeight="1" x14ac:dyDescent="0.2">
      <c r="A62269" s="258"/>
      <c r="Z62269" s="258"/>
    </row>
    <row r="62270" spans="1:26" ht="12.75" customHeight="1" x14ac:dyDescent="0.2">
      <c r="A62270" s="258"/>
      <c r="Z62270" s="258"/>
    </row>
    <row r="62271" spans="1:26" ht="12.75" customHeight="1" x14ac:dyDescent="0.2">
      <c r="A62271" s="258"/>
      <c r="Z62271" s="258"/>
    </row>
    <row r="62272" spans="1:26" ht="12.75" customHeight="1" x14ac:dyDescent="0.2">
      <c r="A62272" s="258"/>
      <c r="Z62272" s="258"/>
    </row>
    <row r="62273" spans="1:26" ht="12.75" customHeight="1" x14ac:dyDescent="0.2">
      <c r="A62273" s="258"/>
      <c r="Z62273" s="258"/>
    </row>
    <row r="62274" spans="1:26" ht="12.75" customHeight="1" x14ac:dyDescent="0.2">
      <c r="A62274" s="258"/>
      <c r="Z62274" s="258"/>
    </row>
    <row r="62275" spans="1:26" ht="12.75" customHeight="1" x14ac:dyDescent="0.2">
      <c r="A62275" s="258"/>
      <c r="Z62275" s="258"/>
    </row>
    <row r="62276" spans="1:26" ht="12.75" customHeight="1" x14ac:dyDescent="0.2">
      <c r="A62276" s="258"/>
      <c r="Z62276" s="258"/>
    </row>
    <row r="62277" spans="1:26" ht="12.75" customHeight="1" x14ac:dyDescent="0.2">
      <c r="A62277" s="258"/>
      <c r="Z62277" s="258"/>
    </row>
    <row r="62278" spans="1:26" ht="12.75" customHeight="1" x14ac:dyDescent="0.2">
      <c r="A62278" s="258"/>
      <c r="Z62278" s="258"/>
    </row>
    <row r="62279" spans="1:26" ht="12.75" customHeight="1" x14ac:dyDescent="0.2">
      <c r="A62279" s="258"/>
      <c r="Z62279" s="258"/>
    </row>
    <row r="62280" spans="1:26" ht="12.75" customHeight="1" x14ac:dyDescent="0.2">
      <c r="A62280" s="258"/>
      <c r="Z62280" s="258"/>
    </row>
    <row r="62281" spans="1:26" ht="12.75" customHeight="1" x14ac:dyDescent="0.2">
      <c r="A62281" s="258"/>
      <c r="Z62281" s="258"/>
    </row>
    <row r="62282" spans="1:26" ht="12.75" customHeight="1" x14ac:dyDescent="0.2">
      <c r="A62282" s="258"/>
      <c r="Z62282" s="258"/>
    </row>
    <row r="62283" spans="1:26" ht="12.75" customHeight="1" x14ac:dyDescent="0.2">
      <c r="A62283" s="258"/>
      <c r="Z62283" s="258"/>
    </row>
    <row r="62284" spans="1:26" ht="12.75" customHeight="1" x14ac:dyDescent="0.2">
      <c r="A62284" s="258"/>
      <c r="Z62284" s="258"/>
    </row>
    <row r="62285" spans="1:26" ht="12.75" customHeight="1" x14ac:dyDescent="0.2">
      <c r="A62285" s="258"/>
      <c r="Z62285" s="258"/>
    </row>
    <row r="62286" spans="1:26" ht="12.75" customHeight="1" x14ac:dyDescent="0.2">
      <c r="A62286" s="258"/>
      <c r="Z62286" s="258"/>
    </row>
    <row r="62287" spans="1:26" ht="12.75" customHeight="1" x14ac:dyDescent="0.2">
      <c r="A62287" s="258"/>
      <c r="Z62287" s="258"/>
    </row>
    <row r="62288" spans="1:26" ht="12.75" customHeight="1" x14ac:dyDescent="0.2">
      <c r="A62288" s="258"/>
      <c r="Z62288" s="258"/>
    </row>
    <row r="62289" spans="1:26" ht="12.75" customHeight="1" x14ac:dyDescent="0.2">
      <c r="A62289" s="258"/>
      <c r="Z62289" s="258"/>
    </row>
    <row r="62290" spans="1:26" ht="12.75" customHeight="1" x14ac:dyDescent="0.2">
      <c r="A62290" s="258"/>
      <c r="Z62290" s="258"/>
    </row>
    <row r="62291" spans="1:26" ht="12.75" customHeight="1" x14ac:dyDescent="0.2">
      <c r="A62291" s="258"/>
      <c r="Z62291" s="258"/>
    </row>
    <row r="62292" spans="1:26" ht="12.75" customHeight="1" x14ac:dyDescent="0.2">
      <c r="A62292" s="258"/>
      <c r="Z62292" s="258"/>
    </row>
    <row r="62293" spans="1:26" ht="12.75" customHeight="1" x14ac:dyDescent="0.2">
      <c r="A62293" s="258"/>
      <c r="Z62293" s="258"/>
    </row>
    <row r="62294" spans="1:26" ht="12.75" customHeight="1" x14ac:dyDescent="0.2">
      <c r="A62294" s="258"/>
      <c r="Z62294" s="258"/>
    </row>
    <row r="62295" spans="1:26" ht="12.75" customHeight="1" x14ac:dyDescent="0.2">
      <c r="A62295" s="258"/>
      <c r="Z62295" s="258"/>
    </row>
    <row r="62296" spans="1:26" ht="12.75" customHeight="1" x14ac:dyDescent="0.2">
      <c r="A62296" s="258"/>
      <c r="Z62296" s="258"/>
    </row>
    <row r="62297" spans="1:26" ht="12.75" customHeight="1" x14ac:dyDescent="0.2">
      <c r="A62297" s="258"/>
      <c r="Z62297" s="258"/>
    </row>
    <row r="62298" spans="1:26" ht="12.75" customHeight="1" x14ac:dyDescent="0.2">
      <c r="A62298" s="258"/>
      <c r="Z62298" s="258"/>
    </row>
    <row r="62299" spans="1:26" ht="12.75" customHeight="1" x14ac:dyDescent="0.2">
      <c r="A62299" s="258"/>
      <c r="Z62299" s="258"/>
    </row>
    <row r="62300" spans="1:26" ht="12.75" customHeight="1" x14ac:dyDescent="0.2">
      <c r="A62300" s="258"/>
      <c r="Z62300" s="258"/>
    </row>
    <row r="62301" spans="1:26" ht="12.75" customHeight="1" x14ac:dyDescent="0.2">
      <c r="A62301" s="258"/>
      <c r="Z62301" s="258"/>
    </row>
    <row r="62302" spans="1:26" ht="12.75" customHeight="1" x14ac:dyDescent="0.2">
      <c r="A62302" s="258"/>
      <c r="Z62302" s="258"/>
    </row>
    <row r="62303" spans="1:26" ht="12.75" customHeight="1" x14ac:dyDescent="0.2">
      <c r="A62303" s="258"/>
      <c r="Z62303" s="258"/>
    </row>
    <row r="62304" spans="1:26" ht="12.75" customHeight="1" x14ac:dyDescent="0.2">
      <c r="A62304" s="258"/>
      <c r="Z62304" s="258"/>
    </row>
    <row r="62305" spans="1:26" ht="12.75" customHeight="1" x14ac:dyDescent="0.2">
      <c r="A62305" s="258"/>
      <c r="Z62305" s="258"/>
    </row>
    <row r="62306" spans="1:26" ht="12.75" customHeight="1" x14ac:dyDescent="0.2">
      <c r="A62306" s="258"/>
      <c r="Z62306" s="258"/>
    </row>
    <row r="62307" spans="1:26" ht="12.75" customHeight="1" x14ac:dyDescent="0.2">
      <c r="A62307" s="258"/>
      <c r="Z62307" s="258"/>
    </row>
    <row r="62308" spans="1:26" ht="12.75" customHeight="1" x14ac:dyDescent="0.2">
      <c r="A62308" s="258"/>
      <c r="Z62308" s="258"/>
    </row>
    <row r="62309" spans="1:26" ht="12.75" customHeight="1" x14ac:dyDescent="0.2">
      <c r="A62309" s="258"/>
      <c r="Z62309" s="258"/>
    </row>
    <row r="62310" spans="1:26" ht="12.75" customHeight="1" x14ac:dyDescent="0.2">
      <c r="A62310" s="258"/>
      <c r="Z62310" s="258"/>
    </row>
    <row r="62311" spans="1:26" ht="12.75" customHeight="1" x14ac:dyDescent="0.2">
      <c r="A62311" s="258"/>
      <c r="Z62311" s="258"/>
    </row>
    <row r="62312" spans="1:26" ht="12.75" customHeight="1" x14ac:dyDescent="0.2">
      <c r="A62312" s="258"/>
      <c r="Z62312" s="258"/>
    </row>
    <row r="62313" spans="1:26" ht="12.75" customHeight="1" x14ac:dyDescent="0.2">
      <c r="A62313" s="258"/>
      <c r="Z62313" s="258"/>
    </row>
    <row r="62314" spans="1:26" ht="12.75" customHeight="1" x14ac:dyDescent="0.2">
      <c r="A62314" s="258"/>
      <c r="Z62314" s="258"/>
    </row>
    <row r="62315" spans="1:26" ht="12.75" customHeight="1" x14ac:dyDescent="0.2">
      <c r="A62315" s="258"/>
      <c r="Z62315" s="258"/>
    </row>
    <row r="62316" spans="1:26" ht="12.75" customHeight="1" x14ac:dyDescent="0.2">
      <c r="A62316" s="258"/>
      <c r="Z62316" s="258"/>
    </row>
    <row r="62317" spans="1:26" ht="12.75" customHeight="1" x14ac:dyDescent="0.2">
      <c r="A62317" s="258"/>
      <c r="Z62317" s="258"/>
    </row>
    <row r="62318" spans="1:26" ht="12.75" customHeight="1" x14ac:dyDescent="0.2">
      <c r="A62318" s="258"/>
      <c r="Z62318" s="258"/>
    </row>
    <row r="62319" spans="1:26" ht="12.75" customHeight="1" x14ac:dyDescent="0.2">
      <c r="A62319" s="258"/>
      <c r="Z62319" s="258"/>
    </row>
    <row r="62320" spans="1:26" ht="12.75" customHeight="1" x14ac:dyDescent="0.2">
      <c r="A62320" s="258"/>
      <c r="Z62320" s="258"/>
    </row>
    <row r="62321" spans="1:26" ht="12.75" customHeight="1" x14ac:dyDescent="0.2">
      <c r="A62321" s="258"/>
      <c r="Z62321" s="258"/>
    </row>
    <row r="62322" spans="1:26" ht="12.75" customHeight="1" x14ac:dyDescent="0.2">
      <c r="A62322" s="258"/>
      <c r="Z62322" s="258"/>
    </row>
    <row r="62323" spans="1:26" ht="12.75" customHeight="1" x14ac:dyDescent="0.2">
      <c r="A62323" s="258"/>
      <c r="Z62323" s="258"/>
    </row>
    <row r="62324" spans="1:26" ht="12.75" customHeight="1" x14ac:dyDescent="0.2">
      <c r="A62324" s="258"/>
      <c r="Z62324" s="258"/>
    </row>
    <row r="62325" spans="1:26" ht="12.75" customHeight="1" x14ac:dyDescent="0.2">
      <c r="A62325" s="258"/>
      <c r="Z62325" s="258"/>
    </row>
    <row r="62326" spans="1:26" ht="12.75" customHeight="1" x14ac:dyDescent="0.2">
      <c r="A62326" s="258"/>
      <c r="Z62326" s="258"/>
    </row>
    <row r="62327" spans="1:26" ht="12.75" customHeight="1" x14ac:dyDescent="0.2">
      <c r="A62327" s="258"/>
      <c r="Z62327" s="258"/>
    </row>
    <row r="62328" spans="1:26" ht="12.75" customHeight="1" x14ac:dyDescent="0.2">
      <c r="A62328" s="258"/>
      <c r="Z62328" s="258"/>
    </row>
    <row r="62329" spans="1:26" ht="12.75" customHeight="1" x14ac:dyDescent="0.2">
      <c r="A62329" s="258"/>
      <c r="Z62329" s="258"/>
    </row>
    <row r="62330" spans="1:26" ht="12.75" customHeight="1" x14ac:dyDescent="0.2">
      <c r="A62330" s="258"/>
      <c r="Z62330" s="258"/>
    </row>
    <row r="62331" spans="1:26" ht="12.75" customHeight="1" x14ac:dyDescent="0.2">
      <c r="A62331" s="258"/>
      <c r="Z62331" s="258"/>
    </row>
    <row r="62332" spans="1:26" ht="12.75" customHeight="1" x14ac:dyDescent="0.2">
      <c r="A62332" s="258"/>
      <c r="Z62332" s="258"/>
    </row>
    <row r="62333" spans="1:26" ht="12.75" customHeight="1" x14ac:dyDescent="0.2">
      <c r="A62333" s="258"/>
      <c r="Z62333" s="258"/>
    </row>
    <row r="62334" spans="1:26" ht="12.75" customHeight="1" x14ac:dyDescent="0.2">
      <c r="A62334" s="258"/>
      <c r="Z62334" s="258"/>
    </row>
    <row r="62335" spans="1:26" ht="12.75" customHeight="1" x14ac:dyDescent="0.2">
      <c r="A62335" s="258"/>
      <c r="Z62335" s="258"/>
    </row>
    <row r="62336" spans="1:26" ht="12.75" customHeight="1" x14ac:dyDescent="0.2">
      <c r="A62336" s="258"/>
      <c r="Z62336" s="258"/>
    </row>
    <row r="62337" spans="1:26" ht="12.75" customHeight="1" x14ac:dyDescent="0.2">
      <c r="A62337" s="258"/>
      <c r="Z62337" s="258"/>
    </row>
    <row r="62338" spans="1:26" ht="12.75" customHeight="1" x14ac:dyDescent="0.2">
      <c r="A62338" s="258"/>
      <c r="Z62338" s="258"/>
    </row>
    <row r="62339" spans="1:26" ht="12.75" customHeight="1" x14ac:dyDescent="0.2">
      <c r="A62339" s="258"/>
      <c r="Z62339" s="258"/>
    </row>
    <row r="62340" spans="1:26" ht="12.75" customHeight="1" x14ac:dyDescent="0.2">
      <c r="A62340" s="258"/>
      <c r="Z62340" s="258"/>
    </row>
    <row r="62341" spans="1:26" ht="12.75" customHeight="1" x14ac:dyDescent="0.2">
      <c r="A62341" s="258"/>
      <c r="Z62341" s="258"/>
    </row>
    <row r="62342" spans="1:26" ht="12.75" customHeight="1" x14ac:dyDescent="0.2">
      <c r="A62342" s="258"/>
      <c r="Z62342" s="258"/>
    </row>
    <row r="62343" spans="1:26" ht="12.75" customHeight="1" x14ac:dyDescent="0.2">
      <c r="A62343" s="258"/>
      <c r="Z62343" s="258"/>
    </row>
    <row r="62344" spans="1:26" ht="12.75" customHeight="1" x14ac:dyDescent="0.2">
      <c r="A62344" s="258"/>
      <c r="Z62344" s="258"/>
    </row>
    <row r="62345" spans="1:26" ht="12.75" customHeight="1" x14ac:dyDescent="0.2">
      <c r="A62345" s="258"/>
      <c r="Z62345" s="258"/>
    </row>
    <row r="62346" spans="1:26" ht="12.75" customHeight="1" x14ac:dyDescent="0.2">
      <c r="A62346" s="258"/>
      <c r="Z62346" s="258"/>
    </row>
    <row r="62347" spans="1:26" ht="12.75" customHeight="1" x14ac:dyDescent="0.2">
      <c r="A62347" s="258"/>
      <c r="Z62347" s="258"/>
    </row>
    <row r="62348" spans="1:26" ht="12.75" customHeight="1" x14ac:dyDescent="0.2">
      <c r="A62348" s="258"/>
      <c r="Z62348" s="258"/>
    </row>
    <row r="62349" spans="1:26" ht="12.75" customHeight="1" x14ac:dyDescent="0.2">
      <c r="A62349" s="258"/>
      <c r="Z62349" s="258"/>
    </row>
    <row r="62350" spans="1:26" ht="12.75" customHeight="1" x14ac:dyDescent="0.2">
      <c r="A62350" s="258"/>
      <c r="Z62350" s="258"/>
    </row>
    <row r="62351" spans="1:26" ht="12.75" customHeight="1" x14ac:dyDescent="0.2">
      <c r="A62351" s="258"/>
      <c r="Z62351" s="258"/>
    </row>
    <row r="62352" spans="1:26" ht="12.75" customHeight="1" x14ac:dyDescent="0.2">
      <c r="A62352" s="258"/>
      <c r="Z62352" s="258"/>
    </row>
    <row r="62353" spans="1:26" ht="12.75" customHeight="1" x14ac:dyDescent="0.2">
      <c r="A62353" s="258"/>
      <c r="Z62353" s="258"/>
    </row>
    <row r="62354" spans="1:26" ht="12.75" customHeight="1" x14ac:dyDescent="0.2">
      <c r="A62354" s="258"/>
      <c r="Z62354" s="258"/>
    </row>
    <row r="62355" spans="1:26" ht="12.75" customHeight="1" x14ac:dyDescent="0.2">
      <c r="A62355" s="258"/>
      <c r="Z62355" s="258"/>
    </row>
    <row r="62356" spans="1:26" ht="12.75" customHeight="1" x14ac:dyDescent="0.2">
      <c r="A62356" s="258"/>
      <c r="Z62356" s="258"/>
    </row>
    <row r="62357" spans="1:26" ht="12.75" customHeight="1" x14ac:dyDescent="0.2">
      <c r="A62357" s="258"/>
      <c r="Z62357" s="258"/>
    </row>
    <row r="62358" spans="1:26" ht="12.75" customHeight="1" x14ac:dyDescent="0.2">
      <c r="A62358" s="258"/>
      <c r="Z62358" s="258"/>
    </row>
    <row r="62359" spans="1:26" ht="12.75" customHeight="1" x14ac:dyDescent="0.2">
      <c r="A62359" s="258"/>
      <c r="Z62359" s="258"/>
    </row>
    <row r="62360" spans="1:26" ht="12.75" customHeight="1" x14ac:dyDescent="0.2">
      <c r="A62360" s="258"/>
      <c r="Z62360" s="258"/>
    </row>
    <row r="62361" spans="1:26" ht="12.75" customHeight="1" x14ac:dyDescent="0.2">
      <c r="A62361" s="258"/>
      <c r="Z62361" s="258"/>
    </row>
    <row r="62362" spans="1:26" ht="12.75" customHeight="1" x14ac:dyDescent="0.2">
      <c r="A62362" s="258"/>
      <c r="Z62362" s="258"/>
    </row>
    <row r="62363" spans="1:26" ht="12.75" customHeight="1" x14ac:dyDescent="0.2">
      <c r="A62363" s="258"/>
      <c r="Z62363" s="258"/>
    </row>
    <row r="62364" spans="1:26" ht="12.75" customHeight="1" x14ac:dyDescent="0.2">
      <c r="A62364" s="258"/>
      <c r="Z62364" s="258"/>
    </row>
    <row r="62365" spans="1:26" ht="12.75" customHeight="1" x14ac:dyDescent="0.2">
      <c r="A62365" s="258"/>
      <c r="Z62365" s="258"/>
    </row>
    <row r="62366" spans="1:26" ht="12.75" customHeight="1" x14ac:dyDescent="0.2">
      <c r="A62366" s="258"/>
      <c r="Z62366" s="258"/>
    </row>
    <row r="62367" spans="1:26" ht="12.75" customHeight="1" x14ac:dyDescent="0.2">
      <c r="A62367" s="258"/>
      <c r="Z62367" s="258"/>
    </row>
    <row r="62368" spans="1:26" ht="12.75" customHeight="1" x14ac:dyDescent="0.2">
      <c r="A62368" s="258"/>
      <c r="Z62368" s="258"/>
    </row>
    <row r="62369" spans="1:26" ht="12.75" customHeight="1" x14ac:dyDescent="0.2">
      <c r="A62369" s="258"/>
      <c r="Z62369" s="258"/>
    </row>
    <row r="62370" spans="1:26" ht="12.75" customHeight="1" x14ac:dyDescent="0.2">
      <c r="A62370" s="258"/>
      <c r="Z62370" s="258"/>
    </row>
    <row r="62371" spans="1:26" ht="12.75" customHeight="1" x14ac:dyDescent="0.2">
      <c r="A62371" s="258"/>
      <c r="Z62371" s="258"/>
    </row>
    <row r="62372" spans="1:26" ht="12.75" customHeight="1" x14ac:dyDescent="0.2">
      <c r="A62372" s="258"/>
      <c r="Z62372" s="258"/>
    </row>
    <row r="62373" spans="1:26" ht="12.75" customHeight="1" x14ac:dyDescent="0.2">
      <c r="A62373" s="258"/>
      <c r="Z62373" s="258"/>
    </row>
    <row r="62374" spans="1:26" ht="12.75" customHeight="1" x14ac:dyDescent="0.2">
      <c r="A62374" s="258"/>
      <c r="Z62374" s="258"/>
    </row>
    <row r="62375" spans="1:26" ht="12.75" customHeight="1" x14ac:dyDescent="0.2">
      <c r="A62375" s="258"/>
      <c r="Z62375" s="258"/>
    </row>
    <row r="62376" spans="1:26" ht="12.75" customHeight="1" x14ac:dyDescent="0.2">
      <c r="A62376" s="258"/>
      <c r="Z62376" s="258"/>
    </row>
    <row r="62377" spans="1:26" ht="12.75" customHeight="1" x14ac:dyDescent="0.2">
      <c r="A62377" s="258"/>
      <c r="Z62377" s="258"/>
    </row>
    <row r="62378" spans="1:26" ht="12.75" customHeight="1" x14ac:dyDescent="0.2">
      <c r="A62378" s="258"/>
      <c r="Z62378" s="258"/>
    </row>
    <row r="62379" spans="1:26" ht="12.75" customHeight="1" x14ac:dyDescent="0.2">
      <c r="A62379" s="258"/>
      <c r="Z62379" s="258"/>
    </row>
    <row r="62380" spans="1:26" ht="12.75" customHeight="1" x14ac:dyDescent="0.2">
      <c r="A62380" s="258"/>
      <c r="Z62380" s="258"/>
    </row>
    <row r="62381" spans="1:26" ht="12.75" customHeight="1" x14ac:dyDescent="0.2">
      <c r="A62381" s="258"/>
      <c r="Z62381" s="258"/>
    </row>
    <row r="62382" spans="1:26" ht="12.75" customHeight="1" x14ac:dyDescent="0.2">
      <c r="A62382" s="258"/>
      <c r="Z62382" s="258"/>
    </row>
    <row r="62383" spans="1:26" ht="12.75" customHeight="1" x14ac:dyDescent="0.2">
      <c r="A62383" s="258"/>
      <c r="Z62383" s="258"/>
    </row>
    <row r="62384" spans="1:26" ht="12.75" customHeight="1" x14ac:dyDescent="0.2">
      <c r="A62384" s="258"/>
      <c r="Z62384" s="258"/>
    </row>
    <row r="62385" spans="1:26" ht="12.75" customHeight="1" x14ac:dyDescent="0.2">
      <c r="A62385" s="258"/>
      <c r="Z62385" s="258"/>
    </row>
    <row r="62386" spans="1:26" ht="12.75" customHeight="1" x14ac:dyDescent="0.2">
      <c r="A62386" s="258"/>
      <c r="Z62386" s="258"/>
    </row>
    <row r="62387" spans="1:26" ht="12.75" customHeight="1" x14ac:dyDescent="0.2">
      <c r="A62387" s="258"/>
      <c r="Z62387" s="258"/>
    </row>
    <row r="62388" spans="1:26" ht="12.75" customHeight="1" x14ac:dyDescent="0.2">
      <c r="A62388" s="258"/>
      <c r="Z62388" s="258"/>
    </row>
    <row r="62389" spans="1:26" ht="12.75" customHeight="1" x14ac:dyDescent="0.2">
      <c r="A62389" s="258"/>
      <c r="Z62389" s="258"/>
    </row>
    <row r="62390" spans="1:26" ht="12.75" customHeight="1" x14ac:dyDescent="0.2">
      <c r="A62390" s="258"/>
      <c r="Z62390" s="258"/>
    </row>
    <row r="62391" spans="1:26" ht="12.75" customHeight="1" x14ac:dyDescent="0.2">
      <c r="A62391" s="258"/>
      <c r="Z62391" s="258"/>
    </row>
    <row r="62392" spans="1:26" ht="12.75" customHeight="1" x14ac:dyDescent="0.2">
      <c r="A62392" s="258"/>
      <c r="Z62392" s="258"/>
    </row>
    <row r="62393" spans="1:26" ht="12.75" customHeight="1" x14ac:dyDescent="0.2">
      <c r="A62393" s="258"/>
      <c r="Z62393" s="258"/>
    </row>
    <row r="62394" spans="1:26" ht="12.75" customHeight="1" x14ac:dyDescent="0.2">
      <c r="A62394" s="258"/>
      <c r="Z62394" s="258"/>
    </row>
    <row r="62395" spans="1:26" ht="12.75" customHeight="1" x14ac:dyDescent="0.2">
      <c r="A62395" s="258"/>
      <c r="Z62395" s="258"/>
    </row>
    <row r="62396" spans="1:26" ht="12.75" customHeight="1" x14ac:dyDescent="0.2">
      <c r="A62396" s="258"/>
      <c r="Z62396" s="258"/>
    </row>
    <row r="62397" spans="1:26" ht="12.75" customHeight="1" x14ac:dyDescent="0.2">
      <c r="A62397" s="258"/>
      <c r="Z62397" s="258"/>
    </row>
    <row r="62398" spans="1:26" ht="12.75" customHeight="1" x14ac:dyDescent="0.2">
      <c r="A62398" s="258"/>
      <c r="Z62398" s="258"/>
    </row>
    <row r="62399" spans="1:26" ht="12.75" customHeight="1" x14ac:dyDescent="0.2">
      <c r="A62399" s="258"/>
      <c r="Z62399" s="258"/>
    </row>
    <row r="62400" spans="1:26" ht="12.75" customHeight="1" x14ac:dyDescent="0.2">
      <c r="A62400" s="258"/>
      <c r="Z62400" s="258"/>
    </row>
    <row r="62401" spans="1:26" ht="12.75" customHeight="1" x14ac:dyDescent="0.2">
      <c r="A62401" s="258"/>
      <c r="Z62401" s="258"/>
    </row>
    <row r="62402" spans="1:26" ht="12.75" customHeight="1" x14ac:dyDescent="0.2">
      <c r="A62402" s="258"/>
      <c r="Z62402" s="258"/>
    </row>
    <row r="62403" spans="1:26" ht="12.75" customHeight="1" x14ac:dyDescent="0.2">
      <c r="A62403" s="258"/>
      <c r="Z62403" s="258"/>
    </row>
    <row r="62404" spans="1:26" ht="12.75" customHeight="1" x14ac:dyDescent="0.2">
      <c r="A62404" s="258"/>
      <c r="Z62404" s="258"/>
    </row>
    <row r="62405" spans="1:26" ht="12.75" customHeight="1" x14ac:dyDescent="0.2">
      <c r="A62405" s="258"/>
      <c r="Z62405" s="258"/>
    </row>
    <row r="62406" spans="1:26" ht="12.75" customHeight="1" x14ac:dyDescent="0.2">
      <c r="A62406" s="258"/>
      <c r="Z62406" s="258"/>
    </row>
    <row r="62407" spans="1:26" ht="12.75" customHeight="1" x14ac:dyDescent="0.2">
      <c r="A62407" s="258"/>
      <c r="Z62407" s="258"/>
    </row>
    <row r="62408" spans="1:26" ht="12.75" customHeight="1" x14ac:dyDescent="0.2">
      <c r="A62408" s="258"/>
      <c r="Z62408" s="258"/>
    </row>
    <row r="62409" spans="1:26" ht="12.75" customHeight="1" x14ac:dyDescent="0.2">
      <c r="A62409" s="258"/>
      <c r="Z62409" s="258"/>
    </row>
    <row r="62410" spans="1:26" ht="12.75" customHeight="1" x14ac:dyDescent="0.2">
      <c r="A62410" s="258"/>
      <c r="Z62410" s="258"/>
    </row>
    <row r="62411" spans="1:26" ht="12.75" customHeight="1" x14ac:dyDescent="0.2">
      <c r="A62411" s="258"/>
      <c r="Z62411" s="258"/>
    </row>
    <row r="62412" spans="1:26" ht="12.75" customHeight="1" x14ac:dyDescent="0.2">
      <c r="A62412" s="258"/>
      <c r="Z62412" s="258"/>
    </row>
    <row r="62413" spans="1:26" ht="12.75" customHeight="1" x14ac:dyDescent="0.2">
      <c r="A62413" s="258"/>
      <c r="Z62413" s="258"/>
    </row>
    <row r="62414" spans="1:26" ht="12.75" customHeight="1" x14ac:dyDescent="0.2">
      <c r="A62414" s="258"/>
      <c r="Z62414" s="258"/>
    </row>
    <row r="62415" spans="1:26" ht="12.75" customHeight="1" x14ac:dyDescent="0.2">
      <c r="A62415" s="258"/>
      <c r="Z62415" s="258"/>
    </row>
    <row r="62416" spans="1:26" ht="12.75" customHeight="1" x14ac:dyDescent="0.2">
      <c r="A62416" s="258"/>
      <c r="Z62416" s="258"/>
    </row>
    <row r="62417" spans="1:26" ht="12.75" customHeight="1" x14ac:dyDescent="0.2">
      <c r="A62417" s="258"/>
      <c r="Z62417" s="258"/>
    </row>
    <row r="62418" spans="1:26" ht="12.75" customHeight="1" x14ac:dyDescent="0.2">
      <c r="A62418" s="258"/>
      <c r="Z62418" s="258"/>
    </row>
    <row r="62419" spans="1:26" ht="12.75" customHeight="1" x14ac:dyDescent="0.2">
      <c r="A62419" s="258"/>
      <c r="Z62419" s="258"/>
    </row>
    <row r="62420" spans="1:26" ht="12.75" customHeight="1" x14ac:dyDescent="0.2">
      <c r="A62420" s="258"/>
      <c r="Z62420" s="258"/>
    </row>
    <row r="62421" spans="1:26" ht="12.75" customHeight="1" x14ac:dyDescent="0.2">
      <c r="A62421" s="258"/>
      <c r="Z62421" s="258"/>
    </row>
    <row r="62422" spans="1:26" ht="12.75" customHeight="1" x14ac:dyDescent="0.2">
      <c r="A62422" s="258"/>
      <c r="Z62422" s="258"/>
    </row>
    <row r="62423" spans="1:26" ht="12.75" customHeight="1" x14ac:dyDescent="0.2">
      <c r="A62423" s="258"/>
      <c r="Z62423" s="258"/>
    </row>
    <row r="62424" spans="1:26" ht="12.75" customHeight="1" x14ac:dyDescent="0.2">
      <c r="A62424" s="258"/>
      <c r="Z62424" s="258"/>
    </row>
    <row r="62425" spans="1:26" ht="12.75" customHeight="1" x14ac:dyDescent="0.2">
      <c r="A62425" s="258"/>
      <c r="Z62425" s="258"/>
    </row>
    <row r="62426" spans="1:26" ht="12.75" customHeight="1" x14ac:dyDescent="0.2">
      <c r="A62426" s="258"/>
      <c r="Z62426" s="258"/>
    </row>
    <row r="62427" spans="1:26" ht="12.75" customHeight="1" x14ac:dyDescent="0.2">
      <c r="A62427" s="258"/>
      <c r="Z62427" s="258"/>
    </row>
    <row r="62428" spans="1:26" ht="12.75" customHeight="1" x14ac:dyDescent="0.2">
      <c r="A62428" s="258"/>
      <c r="Z62428" s="258"/>
    </row>
    <row r="62429" spans="1:26" ht="12.75" customHeight="1" x14ac:dyDescent="0.2">
      <c r="A62429" s="258"/>
      <c r="Z62429" s="258"/>
    </row>
    <row r="62430" spans="1:26" ht="12.75" customHeight="1" x14ac:dyDescent="0.2">
      <c r="A62430" s="258"/>
      <c r="Z62430" s="258"/>
    </row>
    <row r="62431" spans="1:26" ht="12.75" customHeight="1" x14ac:dyDescent="0.2">
      <c r="A62431" s="258"/>
      <c r="Z62431" s="258"/>
    </row>
    <row r="62432" spans="1:26" ht="12.75" customHeight="1" x14ac:dyDescent="0.2">
      <c r="A62432" s="258"/>
      <c r="Z62432" s="258"/>
    </row>
    <row r="62433" spans="1:26" ht="12.75" customHeight="1" x14ac:dyDescent="0.2">
      <c r="A62433" s="258"/>
      <c r="Z62433" s="258"/>
    </row>
    <row r="62434" spans="1:26" ht="12.75" customHeight="1" x14ac:dyDescent="0.2">
      <c r="A62434" s="258"/>
      <c r="Z62434" s="258"/>
    </row>
    <row r="62435" spans="1:26" ht="12.75" customHeight="1" x14ac:dyDescent="0.2">
      <c r="A62435" s="258"/>
      <c r="Z62435" s="258"/>
    </row>
    <row r="62436" spans="1:26" ht="12.75" customHeight="1" x14ac:dyDescent="0.2">
      <c r="A62436" s="258"/>
      <c r="Z62436" s="258"/>
    </row>
    <row r="62437" spans="1:26" ht="12.75" customHeight="1" x14ac:dyDescent="0.2">
      <c r="A62437" s="258"/>
      <c r="Z62437" s="258"/>
    </row>
    <row r="62438" spans="1:26" ht="12.75" customHeight="1" x14ac:dyDescent="0.2">
      <c r="A62438" s="258"/>
      <c r="Z62438" s="258"/>
    </row>
    <row r="62439" spans="1:26" ht="12.75" customHeight="1" x14ac:dyDescent="0.2">
      <c r="A62439" s="258"/>
      <c r="Z62439" s="258"/>
    </row>
    <row r="62440" spans="1:26" ht="12.75" customHeight="1" x14ac:dyDescent="0.2">
      <c r="A62440" s="258"/>
      <c r="Z62440" s="258"/>
    </row>
    <row r="62441" spans="1:26" ht="12.75" customHeight="1" x14ac:dyDescent="0.2">
      <c r="A62441" s="258"/>
      <c r="Z62441" s="258"/>
    </row>
    <row r="62442" spans="1:26" ht="12.75" customHeight="1" x14ac:dyDescent="0.2">
      <c r="A62442" s="258"/>
      <c r="Z62442" s="258"/>
    </row>
    <row r="62443" spans="1:26" ht="12.75" customHeight="1" x14ac:dyDescent="0.2">
      <c r="A62443" s="258"/>
      <c r="Z62443" s="258"/>
    </row>
    <row r="62444" spans="1:26" ht="12.75" customHeight="1" x14ac:dyDescent="0.2">
      <c r="A62444" s="258"/>
      <c r="Z62444" s="258"/>
    </row>
    <row r="62445" spans="1:26" ht="12.75" customHeight="1" x14ac:dyDescent="0.2">
      <c r="A62445" s="258"/>
      <c r="Z62445" s="258"/>
    </row>
    <row r="62446" spans="1:26" ht="12.75" customHeight="1" x14ac:dyDescent="0.2">
      <c r="A62446" s="258"/>
      <c r="Z62446" s="258"/>
    </row>
    <row r="62447" spans="1:26" ht="12.75" customHeight="1" x14ac:dyDescent="0.2">
      <c r="A62447" s="258"/>
      <c r="Z62447" s="258"/>
    </row>
    <row r="62448" spans="1:26" ht="12.75" customHeight="1" x14ac:dyDescent="0.2">
      <c r="A62448" s="258"/>
      <c r="Z62448" s="258"/>
    </row>
    <row r="62449" spans="1:26" ht="12.75" customHeight="1" x14ac:dyDescent="0.2">
      <c r="A62449" s="258"/>
      <c r="Z62449" s="258"/>
    </row>
    <row r="62450" spans="1:26" ht="12.75" customHeight="1" x14ac:dyDescent="0.2">
      <c r="A62450" s="258"/>
      <c r="Z62450" s="258"/>
    </row>
    <row r="62451" spans="1:26" ht="12.75" customHeight="1" x14ac:dyDescent="0.2">
      <c r="A62451" s="258"/>
      <c r="Z62451" s="258"/>
    </row>
    <row r="62452" spans="1:26" ht="12.75" customHeight="1" x14ac:dyDescent="0.2">
      <c r="A62452" s="258"/>
      <c r="Z62452" s="258"/>
    </row>
    <row r="62453" spans="1:26" ht="12.75" customHeight="1" x14ac:dyDescent="0.2">
      <c r="A62453" s="258"/>
      <c r="Z62453" s="258"/>
    </row>
    <row r="62454" spans="1:26" ht="12.75" customHeight="1" x14ac:dyDescent="0.2">
      <c r="A62454" s="258"/>
      <c r="Z62454" s="258"/>
    </row>
    <row r="62455" spans="1:26" ht="12.75" customHeight="1" x14ac:dyDescent="0.2">
      <c r="A62455" s="258"/>
      <c r="Z62455" s="258"/>
    </row>
    <row r="62456" spans="1:26" ht="12.75" customHeight="1" x14ac:dyDescent="0.2">
      <c r="A62456" s="258"/>
      <c r="Z62456" s="258"/>
    </row>
    <row r="62457" spans="1:26" ht="12.75" customHeight="1" x14ac:dyDescent="0.2">
      <c r="A62457" s="258"/>
      <c r="Z62457" s="258"/>
    </row>
    <row r="62458" spans="1:26" ht="12.75" customHeight="1" x14ac:dyDescent="0.2">
      <c r="A62458" s="258"/>
      <c r="Z62458" s="258"/>
    </row>
    <row r="62459" spans="1:26" ht="12.75" customHeight="1" x14ac:dyDescent="0.2">
      <c r="A62459" s="258"/>
      <c r="Z62459" s="258"/>
    </row>
    <row r="62460" spans="1:26" ht="12.75" customHeight="1" x14ac:dyDescent="0.2">
      <c r="A62460" s="258"/>
      <c r="Z62460" s="258"/>
    </row>
    <row r="62461" spans="1:26" ht="12.75" customHeight="1" x14ac:dyDescent="0.2">
      <c r="A62461" s="258"/>
      <c r="Z62461" s="258"/>
    </row>
    <row r="62462" spans="1:26" ht="12.75" customHeight="1" x14ac:dyDescent="0.2">
      <c r="A62462" s="258"/>
      <c r="Z62462" s="258"/>
    </row>
    <row r="62463" spans="1:26" ht="12.75" customHeight="1" x14ac:dyDescent="0.2">
      <c r="A62463" s="258"/>
      <c r="Z62463" s="258"/>
    </row>
    <row r="62464" spans="1:26" ht="12.75" customHeight="1" x14ac:dyDescent="0.2">
      <c r="A62464" s="258"/>
      <c r="Z62464" s="258"/>
    </row>
    <row r="62465" spans="1:26" ht="12.75" customHeight="1" x14ac:dyDescent="0.2">
      <c r="A62465" s="258"/>
      <c r="Z62465" s="258"/>
    </row>
    <row r="62466" spans="1:26" ht="12.75" customHeight="1" x14ac:dyDescent="0.2">
      <c r="A62466" s="258"/>
      <c r="Z62466" s="258"/>
    </row>
    <row r="62467" spans="1:26" ht="12.75" customHeight="1" x14ac:dyDescent="0.2">
      <c r="A62467" s="258"/>
      <c r="Z62467" s="258"/>
    </row>
    <row r="62468" spans="1:26" ht="12.75" customHeight="1" x14ac:dyDescent="0.2">
      <c r="A62468" s="258"/>
      <c r="Z62468" s="258"/>
    </row>
    <row r="62469" spans="1:26" ht="12.75" customHeight="1" x14ac:dyDescent="0.2">
      <c r="A62469" s="258"/>
      <c r="Z62469" s="258"/>
    </row>
    <row r="62470" spans="1:26" ht="12.75" customHeight="1" x14ac:dyDescent="0.2">
      <c r="A62470" s="258"/>
      <c r="Z62470" s="258"/>
    </row>
    <row r="62471" spans="1:26" ht="12.75" customHeight="1" x14ac:dyDescent="0.2">
      <c r="A62471" s="258"/>
      <c r="Z62471" s="258"/>
    </row>
    <row r="62472" spans="1:26" ht="12.75" customHeight="1" x14ac:dyDescent="0.2">
      <c r="A62472" s="258"/>
      <c r="Z62472" s="258"/>
    </row>
    <row r="62473" spans="1:26" ht="12.75" customHeight="1" x14ac:dyDescent="0.2">
      <c r="A62473" s="258"/>
      <c r="Z62473" s="258"/>
    </row>
    <row r="62474" spans="1:26" ht="12.75" customHeight="1" x14ac:dyDescent="0.2">
      <c r="A62474" s="258"/>
      <c r="Z62474" s="258"/>
    </row>
    <row r="62475" spans="1:26" ht="12.75" customHeight="1" x14ac:dyDescent="0.2">
      <c r="A62475" s="258"/>
      <c r="Z62475" s="258"/>
    </row>
    <row r="62476" spans="1:26" ht="12.75" customHeight="1" x14ac:dyDescent="0.2">
      <c r="A62476" s="258"/>
      <c r="Z62476" s="258"/>
    </row>
    <row r="62477" spans="1:26" ht="12.75" customHeight="1" x14ac:dyDescent="0.2">
      <c r="A62477" s="258"/>
      <c r="Z62477" s="258"/>
    </row>
    <row r="62478" spans="1:26" ht="12.75" customHeight="1" x14ac:dyDescent="0.2">
      <c r="A62478" s="258"/>
      <c r="Z62478" s="258"/>
    </row>
    <row r="62479" spans="1:26" ht="12.75" customHeight="1" x14ac:dyDescent="0.2">
      <c r="A62479" s="258"/>
      <c r="Z62479" s="258"/>
    </row>
    <row r="62480" spans="1:26" ht="12.75" customHeight="1" x14ac:dyDescent="0.2">
      <c r="A62480" s="258"/>
      <c r="Z62480" s="258"/>
    </row>
    <row r="62481" spans="1:26" ht="12.75" customHeight="1" x14ac:dyDescent="0.2">
      <c r="A62481" s="258"/>
      <c r="Z62481" s="258"/>
    </row>
    <row r="62482" spans="1:26" ht="12.75" customHeight="1" x14ac:dyDescent="0.2">
      <c r="A62482" s="258"/>
      <c r="Z62482" s="258"/>
    </row>
    <row r="62483" spans="1:26" ht="12.75" customHeight="1" x14ac:dyDescent="0.2">
      <c r="A62483" s="258"/>
      <c r="Z62483" s="258"/>
    </row>
    <row r="62484" spans="1:26" ht="12.75" customHeight="1" x14ac:dyDescent="0.2">
      <c r="A62484" s="258"/>
      <c r="Z62484" s="258"/>
    </row>
    <row r="62485" spans="1:26" ht="12.75" customHeight="1" x14ac:dyDescent="0.2">
      <c r="A62485" s="258"/>
      <c r="Z62485" s="258"/>
    </row>
    <row r="62486" spans="1:26" ht="12.75" customHeight="1" x14ac:dyDescent="0.2">
      <c r="A62486" s="258"/>
      <c r="Z62486" s="258"/>
    </row>
    <row r="62487" spans="1:26" ht="12.75" customHeight="1" x14ac:dyDescent="0.2">
      <c r="A62487" s="258"/>
      <c r="Z62487" s="258"/>
    </row>
    <row r="62488" spans="1:26" ht="12.75" customHeight="1" x14ac:dyDescent="0.2">
      <c r="A62488" s="258"/>
      <c r="Z62488" s="258"/>
    </row>
    <row r="62489" spans="1:26" ht="12.75" customHeight="1" x14ac:dyDescent="0.2">
      <c r="A62489" s="258"/>
      <c r="Z62489" s="258"/>
    </row>
    <row r="62490" spans="1:26" ht="12.75" customHeight="1" x14ac:dyDescent="0.2">
      <c r="A62490" s="258"/>
      <c r="Z62490" s="258"/>
    </row>
    <row r="62491" spans="1:26" ht="12.75" customHeight="1" x14ac:dyDescent="0.2">
      <c r="A62491" s="258"/>
      <c r="Z62491" s="258"/>
    </row>
    <row r="62492" spans="1:26" ht="12.75" customHeight="1" x14ac:dyDescent="0.2">
      <c r="A62492" s="258"/>
      <c r="Z62492" s="258"/>
    </row>
    <row r="62493" spans="1:26" ht="12.75" customHeight="1" x14ac:dyDescent="0.2">
      <c r="A62493" s="258"/>
      <c r="Z62493" s="258"/>
    </row>
    <row r="62494" spans="1:26" ht="12.75" customHeight="1" x14ac:dyDescent="0.2">
      <c r="A62494" s="258"/>
      <c r="Z62494" s="258"/>
    </row>
    <row r="62495" spans="1:26" ht="12.75" customHeight="1" x14ac:dyDescent="0.2">
      <c r="A62495" s="258"/>
      <c r="Z62495" s="258"/>
    </row>
    <row r="62496" spans="1:26" ht="12.75" customHeight="1" x14ac:dyDescent="0.2">
      <c r="A62496" s="258"/>
      <c r="Z62496" s="258"/>
    </row>
    <row r="62497" spans="1:26" ht="12.75" customHeight="1" x14ac:dyDescent="0.2">
      <c r="A62497" s="258"/>
      <c r="Z62497" s="258"/>
    </row>
    <row r="62498" spans="1:26" ht="12.75" customHeight="1" x14ac:dyDescent="0.2">
      <c r="A62498" s="258"/>
      <c r="Z62498" s="258"/>
    </row>
    <row r="62499" spans="1:26" ht="12.75" customHeight="1" x14ac:dyDescent="0.2">
      <c r="A62499" s="258"/>
      <c r="Z62499" s="258"/>
    </row>
    <row r="62500" spans="1:26" ht="12.75" customHeight="1" x14ac:dyDescent="0.2">
      <c r="A62500" s="258"/>
      <c r="Z62500" s="258"/>
    </row>
    <row r="62501" spans="1:26" ht="12.75" customHeight="1" x14ac:dyDescent="0.2">
      <c r="A62501" s="258"/>
      <c r="Z62501" s="258"/>
    </row>
    <row r="62502" spans="1:26" ht="12.75" customHeight="1" x14ac:dyDescent="0.2">
      <c r="A62502" s="258"/>
      <c r="Z62502" s="258"/>
    </row>
    <row r="62503" spans="1:26" ht="12.75" customHeight="1" x14ac:dyDescent="0.2">
      <c r="A62503" s="258"/>
      <c r="Z62503" s="258"/>
    </row>
    <row r="62504" spans="1:26" ht="12.75" customHeight="1" x14ac:dyDescent="0.2">
      <c r="A62504" s="258"/>
      <c r="Z62504" s="258"/>
    </row>
    <row r="62505" spans="1:26" ht="12.75" customHeight="1" x14ac:dyDescent="0.2">
      <c r="A62505" s="258"/>
      <c r="Z62505" s="258"/>
    </row>
    <row r="62506" spans="1:26" ht="12.75" customHeight="1" x14ac:dyDescent="0.2">
      <c r="A62506" s="258"/>
      <c r="Z62506" s="258"/>
    </row>
    <row r="62507" spans="1:26" ht="12.75" customHeight="1" x14ac:dyDescent="0.2">
      <c r="A62507" s="258"/>
      <c r="Z62507" s="258"/>
    </row>
    <row r="62508" spans="1:26" ht="12.75" customHeight="1" x14ac:dyDescent="0.2">
      <c r="A62508" s="258"/>
      <c r="Z62508" s="258"/>
    </row>
    <row r="62509" spans="1:26" ht="12.75" customHeight="1" x14ac:dyDescent="0.2">
      <c r="A62509" s="258"/>
      <c r="Z62509" s="258"/>
    </row>
    <row r="62510" spans="1:26" ht="12.75" customHeight="1" x14ac:dyDescent="0.2">
      <c r="A62510" s="258"/>
      <c r="Z62510" s="258"/>
    </row>
    <row r="62511" spans="1:26" ht="12.75" customHeight="1" x14ac:dyDescent="0.2">
      <c r="A62511" s="258"/>
      <c r="Z62511" s="258"/>
    </row>
    <row r="62512" spans="1:26" ht="12.75" customHeight="1" x14ac:dyDescent="0.2">
      <c r="A62512" s="258"/>
      <c r="Z62512" s="258"/>
    </row>
    <row r="62513" spans="1:26" ht="12.75" customHeight="1" x14ac:dyDescent="0.2">
      <c r="A62513" s="258"/>
      <c r="Z62513" s="258"/>
    </row>
    <row r="62514" spans="1:26" ht="12.75" customHeight="1" x14ac:dyDescent="0.2">
      <c r="A62514" s="258"/>
      <c r="Z62514" s="258"/>
    </row>
    <row r="62515" spans="1:26" ht="12.75" customHeight="1" x14ac:dyDescent="0.2">
      <c r="A62515" s="258"/>
      <c r="Z62515" s="258"/>
    </row>
    <row r="62516" spans="1:26" ht="12.75" customHeight="1" x14ac:dyDescent="0.2">
      <c r="A62516" s="258"/>
      <c r="Z62516" s="258"/>
    </row>
    <row r="62517" spans="1:26" ht="12.75" customHeight="1" x14ac:dyDescent="0.2">
      <c r="A62517" s="258"/>
      <c r="Z62517" s="258"/>
    </row>
    <row r="62518" spans="1:26" ht="12.75" customHeight="1" x14ac:dyDescent="0.2">
      <c r="A62518" s="258"/>
      <c r="Z62518" s="258"/>
    </row>
    <row r="62519" spans="1:26" ht="12.75" customHeight="1" x14ac:dyDescent="0.2">
      <c r="A62519" s="258"/>
      <c r="Z62519" s="258"/>
    </row>
    <row r="62520" spans="1:26" ht="12.75" customHeight="1" x14ac:dyDescent="0.2">
      <c r="A62520" s="258"/>
      <c r="Z62520" s="258"/>
    </row>
    <row r="62521" spans="1:26" ht="12.75" customHeight="1" x14ac:dyDescent="0.2">
      <c r="A62521" s="258"/>
      <c r="Z62521" s="258"/>
    </row>
    <row r="62522" spans="1:26" ht="12.75" customHeight="1" x14ac:dyDescent="0.2">
      <c r="A62522" s="258"/>
      <c r="Z62522" s="258"/>
    </row>
    <row r="62523" spans="1:26" ht="12.75" customHeight="1" x14ac:dyDescent="0.2">
      <c r="A62523" s="258"/>
      <c r="Z62523" s="258"/>
    </row>
    <row r="62524" spans="1:26" ht="12.75" customHeight="1" x14ac:dyDescent="0.2">
      <c r="A62524" s="258"/>
      <c r="Z62524" s="258"/>
    </row>
    <row r="62525" spans="1:26" ht="12.75" customHeight="1" x14ac:dyDescent="0.2">
      <c r="A62525" s="258"/>
      <c r="Z62525" s="258"/>
    </row>
    <row r="62526" spans="1:26" ht="12.75" customHeight="1" x14ac:dyDescent="0.2">
      <c r="A62526" s="258"/>
      <c r="Z62526" s="258"/>
    </row>
    <row r="62527" spans="1:26" ht="12.75" customHeight="1" x14ac:dyDescent="0.2">
      <c r="A62527" s="258"/>
      <c r="Z62527" s="258"/>
    </row>
    <row r="62528" spans="1:26" ht="12.75" customHeight="1" x14ac:dyDescent="0.2">
      <c r="A62528" s="258"/>
      <c r="Z62528" s="258"/>
    </row>
    <row r="62529" spans="1:26" ht="12.75" customHeight="1" x14ac:dyDescent="0.2">
      <c r="A62529" s="258"/>
      <c r="Z62529" s="258"/>
    </row>
    <row r="62530" spans="1:26" ht="12.75" customHeight="1" x14ac:dyDescent="0.2">
      <c r="A62530" s="258"/>
      <c r="Z62530" s="258"/>
    </row>
    <row r="62531" spans="1:26" ht="12.75" customHeight="1" x14ac:dyDescent="0.2">
      <c r="A62531" s="258"/>
      <c r="Z62531" s="258"/>
    </row>
    <row r="62532" spans="1:26" ht="12.75" customHeight="1" x14ac:dyDescent="0.2">
      <c r="A62532" s="258"/>
      <c r="Z62532" s="258"/>
    </row>
    <row r="62533" spans="1:26" ht="12.75" customHeight="1" x14ac:dyDescent="0.2">
      <c r="A62533" s="258"/>
      <c r="Z62533" s="258"/>
    </row>
    <row r="62534" spans="1:26" ht="12.75" customHeight="1" x14ac:dyDescent="0.2">
      <c r="A62534" s="258"/>
      <c r="Z62534" s="258"/>
    </row>
    <row r="62535" spans="1:26" ht="12.75" customHeight="1" x14ac:dyDescent="0.2">
      <c r="A62535" s="258"/>
      <c r="Z62535" s="258"/>
    </row>
    <row r="62536" spans="1:26" ht="12.75" customHeight="1" x14ac:dyDescent="0.2">
      <c r="A62536" s="258"/>
      <c r="Z62536" s="258"/>
    </row>
    <row r="62537" spans="1:26" ht="12.75" customHeight="1" x14ac:dyDescent="0.2">
      <c r="A62537" s="258"/>
      <c r="Z62537" s="258"/>
    </row>
    <row r="62538" spans="1:26" ht="12.75" customHeight="1" x14ac:dyDescent="0.2">
      <c r="A62538" s="258"/>
      <c r="Z62538" s="258"/>
    </row>
    <row r="62539" spans="1:26" ht="12.75" customHeight="1" x14ac:dyDescent="0.2">
      <c r="A62539" s="258"/>
      <c r="Z62539" s="258"/>
    </row>
    <row r="62540" spans="1:26" ht="12.75" customHeight="1" x14ac:dyDescent="0.2">
      <c r="A62540" s="258"/>
      <c r="Z62540" s="258"/>
    </row>
    <row r="62541" spans="1:26" ht="12.75" customHeight="1" x14ac:dyDescent="0.2">
      <c r="A62541" s="258"/>
      <c r="Z62541" s="258"/>
    </row>
    <row r="62542" spans="1:26" ht="12.75" customHeight="1" x14ac:dyDescent="0.2">
      <c r="A62542" s="258"/>
      <c r="Z62542" s="258"/>
    </row>
    <row r="62543" spans="1:26" ht="12.75" customHeight="1" x14ac:dyDescent="0.2">
      <c r="A62543" s="258"/>
      <c r="Z62543" s="258"/>
    </row>
    <row r="62544" spans="1:26" ht="12.75" customHeight="1" x14ac:dyDescent="0.2">
      <c r="A62544" s="258"/>
      <c r="Z62544" s="258"/>
    </row>
    <row r="62545" spans="1:26" ht="12.75" customHeight="1" x14ac:dyDescent="0.2">
      <c r="A62545" s="258"/>
      <c r="Z62545" s="258"/>
    </row>
    <row r="62546" spans="1:26" ht="12.75" customHeight="1" x14ac:dyDescent="0.2">
      <c r="A62546" s="258"/>
      <c r="Z62546" s="258"/>
    </row>
    <row r="62547" spans="1:26" ht="12.75" customHeight="1" x14ac:dyDescent="0.2">
      <c r="A62547" s="258"/>
      <c r="Z62547" s="258"/>
    </row>
    <row r="62548" spans="1:26" ht="12.75" customHeight="1" x14ac:dyDescent="0.2">
      <c r="A62548" s="258"/>
      <c r="Z62548" s="258"/>
    </row>
    <row r="62549" spans="1:26" ht="12.75" customHeight="1" x14ac:dyDescent="0.2">
      <c r="A62549" s="258"/>
      <c r="Z62549" s="258"/>
    </row>
    <row r="62550" spans="1:26" ht="12.75" customHeight="1" x14ac:dyDescent="0.2">
      <c r="A62550" s="258"/>
      <c r="Z62550" s="258"/>
    </row>
    <row r="62551" spans="1:26" ht="12.75" customHeight="1" x14ac:dyDescent="0.2">
      <c r="A62551" s="258"/>
      <c r="Z62551" s="258"/>
    </row>
    <row r="62552" spans="1:26" ht="12.75" customHeight="1" x14ac:dyDescent="0.2">
      <c r="A62552" s="258"/>
      <c r="Z62552" s="258"/>
    </row>
    <row r="62553" spans="1:26" ht="12.75" customHeight="1" x14ac:dyDescent="0.2">
      <c r="A62553" s="258"/>
      <c r="Z62553" s="258"/>
    </row>
    <row r="62554" spans="1:26" ht="12.75" customHeight="1" x14ac:dyDescent="0.2">
      <c r="A62554" s="258"/>
      <c r="Z62554" s="258"/>
    </row>
    <row r="62555" spans="1:26" ht="12.75" customHeight="1" x14ac:dyDescent="0.2">
      <c r="A62555" s="258"/>
      <c r="Z62555" s="258"/>
    </row>
    <row r="62556" spans="1:26" ht="12.75" customHeight="1" x14ac:dyDescent="0.2">
      <c r="A62556" s="258"/>
      <c r="Z62556" s="258"/>
    </row>
    <row r="62557" spans="1:26" ht="12.75" customHeight="1" x14ac:dyDescent="0.2">
      <c r="A62557" s="258"/>
      <c r="Z62557" s="258"/>
    </row>
    <row r="62558" spans="1:26" ht="12.75" customHeight="1" x14ac:dyDescent="0.2">
      <c r="A62558" s="258"/>
      <c r="Z62558" s="258"/>
    </row>
    <row r="62559" spans="1:26" ht="12.75" customHeight="1" x14ac:dyDescent="0.2">
      <c r="A62559" s="258"/>
      <c r="Z62559" s="258"/>
    </row>
    <row r="62560" spans="1:26" ht="12.75" customHeight="1" x14ac:dyDescent="0.2">
      <c r="A62560" s="258"/>
      <c r="Z62560" s="258"/>
    </row>
    <row r="62561" spans="1:26" ht="12.75" customHeight="1" x14ac:dyDescent="0.2">
      <c r="A62561" s="258"/>
      <c r="Z62561" s="258"/>
    </row>
    <row r="62562" spans="1:26" ht="12.75" customHeight="1" x14ac:dyDescent="0.2">
      <c r="A62562" s="258"/>
      <c r="Z62562" s="258"/>
    </row>
    <row r="62563" spans="1:26" ht="12.75" customHeight="1" x14ac:dyDescent="0.2">
      <c r="A62563" s="258"/>
      <c r="Z62563" s="258"/>
    </row>
    <row r="62564" spans="1:26" ht="12.75" customHeight="1" x14ac:dyDescent="0.2">
      <c r="A62564" s="258"/>
      <c r="Z62564" s="258"/>
    </row>
    <row r="62565" spans="1:26" ht="12.75" customHeight="1" x14ac:dyDescent="0.2">
      <c r="A62565" s="258"/>
      <c r="Z62565" s="258"/>
    </row>
    <row r="62566" spans="1:26" ht="12.75" customHeight="1" x14ac:dyDescent="0.2">
      <c r="A62566" s="258"/>
      <c r="Z62566" s="258"/>
    </row>
    <row r="62567" spans="1:26" ht="12.75" customHeight="1" x14ac:dyDescent="0.2">
      <c r="A62567" s="258"/>
      <c r="Z62567" s="258"/>
    </row>
    <row r="62568" spans="1:26" ht="12.75" customHeight="1" x14ac:dyDescent="0.2">
      <c r="A62568" s="258"/>
      <c r="Z62568" s="258"/>
    </row>
    <row r="62569" spans="1:26" ht="12.75" customHeight="1" x14ac:dyDescent="0.2">
      <c r="A62569" s="258"/>
      <c r="Z62569" s="258"/>
    </row>
    <row r="62570" spans="1:26" ht="12.75" customHeight="1" x14ac:dyDescent="0.2">
      <c r="A62570" s="258"/>
      <c r="Z62570" s="258"/>
    </row>
    <row r="62571" spans="1:26" ht="12.75" customHeight="1" x14ac:dyDescent="0.2">
      <c r="A62571" s="258"/>
      <c r="Z62571" s="258"/>
    </row>
    <row r="62572" spans="1:26" ht="12.75" customHeight="1" x14ac:dyDescent="0.2">
      <c r="A62572" s="258"/>
      <c r="Z62572" s="258"/>
    </row>
    <row r="62573" spans="1:26" ht="12.75" customHeight="1" x14ac:dyDescent="0.2">
      <c r="A62573" s="258"/>
      <c r="Z62573" s="258"/>
    </row>
    <row r="62574" spans="1:26" ht="12.75" customHeight="1" x14ac:dyDescent="0.2">
      <c r="A62574" s="258"/>
      <c r="Z62574" s="258"/>
    </row>
    <row r="62575" spans="1:26" ht="12.75" customHeight="1" x14ac:dyDescent="0.2">
      <c r="A62575" s="258"/>
      <c r="Z62575" s="258"/>
    </row>
    <row r="62576" spans="1:26" ht="12.75" customHeight="1" x14ac:dyDescent="0.2">
      <c r="A62576" s="258"/>
      <c r="Z62576" s="258"/>
    </row>
    <row r="62577" spans="1:26" ht="12.75" customHeight="1" x14ac:dyDescent="0.2">
      <c r="A62577" s="258"/>
      <c r="Z62577" s="258"/>
    </row>
    <row r="62578" spans="1:26" ht="12.75" customHeight="1" x14ac:dyDescent="0.2">
      <c r="A62578" s="258"/>
      <c r="Z62578" s="258"/>
    </row>
    <row r="62579" spans="1:26" ht="12.75" customHeight="1" x14ac:dyDescent="0.2">
      <c r="A62579" s="258"/>
      <c r="Z62579" s="258"/>
    </row>
    <row r="62580" spans="1:26" ht="12.75" customHeight="1" x14ac:dyDescent="0.2">
      <c r="A62580" s="258"/>
      <c r="Z62580" s="258"/>
    </row>
    <row r="62581" spans="1:26" ht="12.75" customHeight="1" x14ac:dyDescent="0.2">
      <c r="A62581" s="258"/>
      <c r="Z62581" s="258"/>
    </row>
    <row r="62582" spans="1:26" ht="12.75" customHeight="1" x14ac:dyDescent="0.2">
      <c r="A62582" s="258"/>
      <c r="Z62582" s="258"/>
    </row>
    <row r="62583" spans="1:26" ht="12.75" customHeight="1" x14ac:dyDescent="0.2">
      <c r="A62583" s="258"/>
      <c r="Z62583" s="258"/>
    </row>
    <row r="62584" spans="1:26" ht="12.75" customHeight="1" x14ac:dyDescent="0.2">
      <c r="A62584" s="258"/>
      <c r="Z62584" s="258"/>
    </row>
    <row r="62585" spans="1:26" ht="12.75" customHeight="1" x14ac:dyDescent="0.2">
      <c r="A62585" s="258"/>
      <c r="Z62585" s="258"/>
    </row>
    <row r="62586" spans="1:26" ht="12.75" customHeight="1" x14ac:dyDescent="0.2">
      <c r="A62586" s="258"/>
      <c r="Z62586" s="258"/>
    </row>
    <row r="62587" spans="1:26" ht="12.75" customHeight="1" x14ac:dyDescent="0.2">
      <c r="A62587" s="258"/>
      <c r="Z62587" s="258"/>
    </row>
    <row r="62588" spans="1:26" ht="12.75" customHeight="1" x14ac:dyDescent="0.2">
      <c r="A62588" s="258"/>
      <c r="Z62588" s="258"/>
    </row>
    <row r="62589" spans="1:26" ht="12.75" customHeight="1" x14ac:dyDescent="0.2">
      <c r="A62589" s="258"/>
      <c r="Z62589" s="258"/>
    </row>
    <row r="62590" spans="1:26" ht="12.75" customHeight="1" x14ac:dyDescent="0.2">
      <c r="A62590" s="258"/>
      <c r="Z62590" s="258"/>
    </row>
    <row r="62591" spans="1:26" ht="12.75" customHeight="1" x14ac:dyDescent="0.2">
      <c r="A62591" s="258"/>
      <c r="Z62591" s="258"/>
    </row>
    <row r="62592" spans="1:26" ht="12.75" customHeight="1" x14ac:dyDescent="0.2">
      <c r="A62592" s="258"/>
      <c r="Z62592" s="258"/>
    </row>
    <row r="62593" spans="1:26" ht="12.75" customHeight="1" x14ac:dyDescent="0.2">
      <c r="A62593" s="258"/>
      <c r="Z62593" s="258"/>
    </row>
    <row r="62594" spans="1:26" ht="12.75" customHeight="1" x14ac:dyDescent="0.2">
      <c r="A62594" s="258"/>
      <c r="Z62594" s="258"/>
    </row>
    <row r="62595" spans="1:26" ht="12.75" customHeight="1" x14ac:dyDescent="0.2">
      <c r="A62595" s="258"/>
      <c r="Z62595" s="258"/>
    </row>
    <row r="62596" spans="1:26" ht="12.75" customHeight="1" x14ac:dyDescent="0.2">
      <c r="A62596" s="258"/>
      <c r="Z62596" s="258"/>
    </row>
    <row r="62597" spans="1:26" ht="12.75" customHeight="1" x14ac:dyDescent="0.2">
      <c r="A62597" s="258"/>
      <c r="Z62597" s="258"/>
    </row>
    <row r="62598" spans="1:26" ht="12.75" customHeight="1" x14ac:dyDescent="0.2">
      <c r="A62598" s="258"/>
      <c r="Z62598" s="258"/>
    </row>
    <row r="62599" spans="1:26" ht="12.75" customHeight="1" x14ac:dyDescent="0.2">
      <c r="A62599" s="258"/>
      <c r="Z62599" s="258"/>
    </row>
    <row r="62600" spans="1:26" ht="12.75" customHeight="1" x14ac:dyDescent="0.2">
      <c r="A62600" s="258"/>
      <c r="Z62600" s="258"/>
    </row>
    <row r="62601" spans="1:26" ht="12.75" customHeight="1" x14ac:dyDescent="0.2">
      <c r="A62601" s="258"/>
      <c r="Z62601" s="258"/>
    </row>
    <row r="62602" spans="1:26" ht="12.75" customHeight="1" x14ac:dyDescent="0.2">
      <c r="A62602" s="258"/>
      <c r="Z62602" s="258"/>
    </row>
    <row r="62603" spans="1:26" ht="12.75" customHeight="1" x14ac:dyDescent="0.2">
      <c r="A62603" s="258"/>
      <c r="Z62603" s="258"/>
    </row>
    <row r="62604" spans="1:26" ht="12.75" customHeight="1" x14ac:dyDescent="0.2">
      <c r="A62604" s="258"/>
      <c r="Z62604" s="258"/>
    </row>
    <row r="62605" spans="1:26" ht="12.75" customHeight="1" x14ac:dyDescent="0.2">
      <c r="A62605" s="258"/>
      <c r="Z62605" s="258"/>
    </row>
    <row r="62606" spans="1:26" ht="12.75" customHeight="1" x14ac:dyDescent="0.2">
      <c r="A62606" s="258"/>
      <c r="Z62606" s="258"/>
    </row>
    <row r="62607" spans="1:26" ht="12.75" customHeight="1" x14ac:dyDescent="0.2">
      <c r="A62607" s="258"/>
      <c r="Z62607" s="258"/>
    </row>
    <row r="62608" spans="1:26" ht="12.75" customHeight="1" x14ac:dyDescent="0.2">
      <c r="A62608" s="258"/>
      <c r="Z62608" s="258"/>
    </row>
    <row r="62609" spans="1:26" ht="12.75" customHeight="1" x14ac:dyDescent="0.2">
      <c r="A62609" s="258"/>
      <c r="Z62609" s="258"/>
    </row>
    <row r="62610" spans="1:26" ht="12.75" customHeight="1" x14ac:dyDescent="0.2">
      <c r="A62610" s="258"/>
      <c r="Z62610" s="258"/>
    </row>
    <row r="62611" spans="1:26" ht="12.75" customHeight="1" x14ac:dyDescent="0.2">
      <c r="A62611" s="258"/>
      <c r="Z62611" s="258"/>
    </row>
    <row r="62612" spans="1:26" ht="12.75" customHeight="1" x14ac:dyDescent="0.2">
      <c r="A62612" s="258"/>
      <c r="Z62612" s="258"/>
    </row>
    <row r="62613" spans="1:26" ht="12.75" customHeight="1" x14ac:dyDescent="0.2">
      <c r="A62613" s="258"/>
      <c r="Z62613" s="258"/>
    </row>
    <row r="62614" spans="1:26" ht="12.75" customHeight="1" x14ac:dyDescent="0.2">
      <c r="A62614" s="258"/>
      <c r="Z62614" s="258"/>
    </row>
    <row r="62615" spans="1:26" ht="12.75" customHeight="1" x14ac:dyDescent="0.2">
      <c r="A62615" s="258"/>
      <c r="Z62615" s="258"/>
    </row>
    <row r="62616" spans="1:26" ht="12.75" customHeight="1" x14ac:dyDescent="0.2">
      <c r="A62616" s="258"/>
      <c r="Z62616" s="258"/>
    </row>
    <row r="62617" spans="1:26" ht="12.75" customHeight="1" x14ac:dyDescent="0.2">
      <c r="A62617" s="258"/>
      <c r="Z62617" s="258"/>
    </row>
    <row r="62618" spans="1:26" ht="12.75" customHeight="1" x14ac:dyDescent="0.2">
      <c r="A62618" s="258"/>
      <c r="Z62618" s="258"/>
    </row>
    <row r="62619" spans="1:26" ht="12.75" customHeight="1" x14ac:dyDescent="0.2">
      <c r="A62619" s="258"/>
      <c r="Z62619" s="258"/>
    </row>
    <row r="62620" spans="1:26" ht="12.75" customHeight="1" x14ac:dyDescent="0.2">
      <c r="A62620" s="258"/>
      <c r="Z62620" s="258"/>
    </row>
    <row r="62621" spans="1:26" ht="12.75" customHeight="1" x14ac:dyDescent="0.2">
      <c r="A62621" s="258"/>
      <c r="Z62621" s="258"/>
    </row>
    <row r="62622" spans="1:26" ht="12.75" customHeight="1" x14ac:dyDescent="0.2">
      <c r="A62622" s="258"/>
      <c r="Z62622" s="258"/>
    </row>
    <row r="62623" spans="1:26" ht="12.75" customHeight="1" x14ac:dyDescent="0.2">
      <c r="A62623" s="258"/>
      <c r="Z62623" s="258"/>
    </row>
    <row r="62624" spans="1:26" ht="12.75" customHeight="1" x14ac:dyDescent="0.2">
      <c r="A62624" s="258"/>
      <c r="Z62624" s="258"/>
    </row>
    <row r="62625" spans="1:26" ht="12.75" customHeight="1" x14ac:dyDescent="0.2">
      <c r="A62625" s="258"/>
      <c r="Z62625" s="258"/>
    </row>
    <row r="62626" spans="1:26" ht="12.75" customHeight="1" x14ac:dyDescent="0.2">
      <c r="A62626" s="258"/>
      <c r="Z62626" s="258"/>
    </row>
    <row r="62627" spans="1:26" ht="12.75" customHeight="1" x14ac:dyDescent="0.2">
      <c r="A62627" s="258"/>
      <c r="Z62627" s="258"/>
    </row>
    <row r="62628" spans="1:26" ht="12.75" customHeight="1" x14ac:dyDescent="0.2">
      <c r="A62628" s="258"/>
      <c r="Z62628" s="258"/>
    </row>
    <row r="62629" spans="1:26" ht="12.75" customHeight="1" x14ac:dyDescent="0.2">
      <c r="A62629" s="258"/>
      <c r="Z62629" s="258"/>
    </row>
    <row r="62630" spans="1:26" ht="12.75" customHeight="1" x14ac:dyDescent="0.2">
      <c r="A62630" s="258"/>
      <c r="Z62630" s="258"/>
    </row>
    <row r="62631" spans="1:26" ht="12.75" customHeight="1" x14ac:dyDescent="0.2">
      <c r="A62631" s="258"/>
      <c r="Z62631" s="258"/>
    </row>
    <row r="62632" spans="1:26" ht="12.75" customHeight="1" x14ac:dyDescent="0.2">
      <c r="A62632" s="258"/>
      <c r="Z62632" s="258"/>
    </row>
    <row r="62633" spans="1:26" ht="12.75" customHeight="1" x14ac:dyDescent="0.2">
      <c r="A62633" s="258"/>
      <c r="Z62633" s="258"/>
    </row>
    <row r="62634" spans="1:26" ht="12.75" customHeight="1" x14ac:dyDescent="0.2">
      <c r="A62634" s="258"/>
      <c r="Z62634" s="258"/>
    </row>
    <row r="62635" spans="1:26" ht="12.75" customHeight="1" x14ac:dyDescent="0.2">
      <c r="A62635" s="258"/>
      <c r="Z62635" s="258"/>
    </row>
    <row r="62636" spans="1:26" ht="12.75" customHeight="1" x14ac:dyDescent="0.2">
      <c r="A62636" s="258"/>
      <c r="Z62636" s="258"/>
    </row>
    <row r="62637" spans="1:26" ht="12.75" customHeight="1" x14ac:dyDescent="0.2">
      <c r="A62637" s="258"/>
      <c r="Z62637" s="258"/>
    </row>
    <row r="62638" spans="1:26" ht="12.75" customHeight="1" x14ac:dyDescent="0.2">
      <c r="A62638" s="258"/>
      <c r="Z62638" s="258"/>
    </row>
    <row r="62639" spans="1:26" ht="12.75" customHeight="1" x14ac:dyDescent="0.2">
      <c r="A62639" s="258"/>
      <c r="Z62639" s="258"/>
    </row>
    <row r="62640" spans="1:26" ht="12.75" customHeight="1" x14ac:dyDescent="0.2">
      <c r="A62640" s="258"/>
      <c r="Z62640" s="258"/>
    </row>
    <row r="62641" spans="1:26" ht="12.75" customHeight="1" x14ac:dyDescent="0.2">
      <c r="A62641" s="258"/>
      <c r="Z62641" s="258"/>
    </row>
    <row r="62642" spans="1:26" ht="12.75" customHeight="1" x14ac:dyDescent="0.2">
      <c r="A62642" s="258"/>
      <c r="Z62642" s="258"/>
    </row>
    <row r="62643" spans="1:26" ht="12.75" customHeight="1" x14ac:dyDescent="0.2">
      <c r="A62643" s="258"/>
      <c r="Z62643" s="258"/>
    </row>
    <row r="62644" spans="1:26" ht="12.75" customHeight="1" x14ac:dyDescent="0.2">
      <c r="A62644" s="258"/>
      <c r="Z62644" s="258"/>
    </row>
    <row r="62645" spans="1:26" ht="12.75" customHeight="1" x14ac:dyDescent="0.2">
      <c r="A62645" s="258"/>
      <c r="Z62645" s="258"/>
    </row>
    <row r="62646" spans="1:26" ht="12.75" customHeight="1" x14ac:dyDescent="0.2">
      <c r="A62646" s="258"/>
      <c r="Z62646" s="258"/>
    </row>
    <row r="62647" spans="1:26" ht="12.75" customHeight="1" x14ac:dyDescent="0.2">
      <c r="A62647" s="258"/>
      <c r="Z62647" s="258"/>
    </row>
    <row r="62648" spans="1:26" ht="12.75" customHeight="1" x14ac:dyDescent="0.2">
      <c r="A62648" s="258"/>
      <c r="Z62648" s="258"/>
    </row>
    <row r="62649" spans="1:26" ht="12.75" customHeight="1" x14ac:dyDescent="0.2">
      <c r="A62649" s="258"/>
      <c r="Z62649" s="258"/>
    </row>
    <row r="62650" spans="1:26" ht="12.75" customHeight="1" x14ac:dyDescent="0.2">
      <c r="A62650" s="258"/>
      <c r="Z62650" s="258"/>
    </row>
    <row r="62651" spans="1:26" ht="12.75" customHeight="1" x14ac:dyDescent="0.2">
      <c r="A62651" s="258"/>
      <c r="Z62651" s="258"/>
    </row>
    <row r="62652" spans="1:26" ht="12.75" customHeight="1" x14ac:dyDescent="0.2">
      <c r="A62652" s="258"/>
      <c r="Z62652" s="258"/>
    </row>
    <row r="62653" spans="1:26" ht="12.75" customHeight="1" x14ac:dyDescent="0.2">
      <c r="A62653" s="258"/>
      <c r="Z62653" s="258"/>
    </row>
    <row r="62654" spans="1:26" ht="12.75" customHeight="1" x14ac:dyDescent="0.2">
      <c r="A62654" s="258"/>
      <c r="Z62654" s="258"/>
    </row>
    <row r="62655" spans="1:26" ht="12.75" customHeight="1" x14ac:dyDescent="0.2">
      <c r="A62655" s="258"/>
      <c r="Z62655" s="258"/>
    </row>
    <row r="62656" spans="1:26" ht="12.75" customHeight="1" x14ac:dyDescent="0.2">
      <c r="A62656" s="258"/>
      <c r="Z62656" s="258"/>
    </row>
    <row r="62657" spans="1:26" ht="12.75" customHeight="1" x14ac:dyDescent="0.2">
      <c r="A62657" s="258"/>
      <c r="Z62657" s="258"/>
    </row>
    <row r="62658" spans="1:26" ht="12.75" customHeight="1" x14ac:dyDescent="0.2">
      <c r="A62658" s="258"/>
      <c r="Z62658" s="258"/>
    </row>
    <row r="62659" spans="1:26" ht="12.75" customHeight="1" x14ac:dyDescent="0.2">
      <c r="A62659" s="258"/>
      <c r="Z62659" s="258"/>
    </row>
    <row r="62660" spans="1:26" ht="12.75" customHeight="1" x14ac:dyDescent="0.2">
      <c r="A62660" s="258"/>
      <c r="Z62660" s="258"/>
    </row>
    <row r="62661" spans="1:26" ht="12.75" customHeight="1" x14ac:dyDescent="0.2">
      <c r="A62661" s="258"/>
      <c r="Z62661" s="258"/>
    </row>
    <row r="62662" spans="1:26" ht="12.75" customHeight="1" x14ac:dyDescent="0.2">
      <c r="A62662" s="258"/>
      <c r="Z62662" s="258"/>
    </row>
    <row r="62663" spans="1:26" ht="12.75" customHeight="1" x14ac:dyDescent="0.2">
      <c r="A62663" s="258"/>
      <c r="Z62663" s="258"/>
    </row>
    <row r="62664" spans="1:26" ht="12.75" customHeight="1" x14ac:dyDescent="0.2">
      <c r="A62664" s="258"/>
      <c r="Z62664" s="258"/>
    </row>
    <row r="62665" spans="1:26" ht="12.75" customHeight="1" x14ac:dyDescent="0.2">
      <c r="A62665" s="258"/>
      <c r="Z62665" s="258"/>
    </row>
    <row r="62666" spans="1:26" ht="12.75" customHeight="1" x14ac:dyDescent="0.2">
      <c r="A62666" s="258"/>
      <c r="Z62666" s="258"/>
    </row>
    <row r="62667" spans="1:26" ht="12.75" customHeight="1" x14ac:dyDescent="0.2">
      <c r="A62667" s="258"/>
      <c r="Z62667" s="258"/>
    </row>
    <row r="62668" spans="1:26" ht="12.75" customHeight="1" x14ac:dyDescent="0.2">
      <c r="A62668" s="258"/>
      <c r="Z62668" s="258"/>
    </row>
    <row r="62669" spans="1:26" ht="12.75" customHeight="1" x14ac:dyDescent="0.2">
      <c r="A62669" s="258"/>
      <c r="Z62669" s="258"/>
    </row>
    <row r="62670" spans="1:26" ht="12.75" customHeight="1" x14ac:dyDescent="0.2">
      <c r="A62670" s="258"/>
      <c r="Z62670" s="258"/>
    </row>
    <row r="62671" spans="1:26" ht="12.75" customHeight="1" x14ac:dyDescent="0.2">
      <c r="A62671" s="258"/>
      <c r="Z62671" s="258"/>
    </row>
    <row r="62672" spans="1:26" ht="12.75" customHeight="1" x14ac:dyDescent="0.2">
      <c r="A62672" s="258"/>
      <c r="Z62672" s="258"/>
    </row>
    <row r="62673" spans="1:26" ht="12.75" customHeight="1" x14ac:dyDescent="0.2">
      <c r="A62673" s="258"/>
      <c r="Z62673" s="258"/>
    </row>
    <row r="62674" spans="1:26" ht="12.75" customHeight="1" x14ac:dyDescent="0.2">
      <c r="A62674" s="258"/>
      <c r="Z62674" s="258"/>
    </row>
    <row r="62675" spans="1:26" ht="12.75" customHeight="1" x14ac:dyDescent="0.2">
      <c r="A62675" s="258"/>
      <c r="Z62675" s="258"/>
    </row>
    <row r="62676" spans="1:26" ht="12.75" customHeight="1" x14ac:dyDescent="0.2">
      <c r="A62676" s="258"/>
      <c r="Z62676" s="258"/>
    </row>
    <row r="62677" spans="1:26" ht="12.75" customHeight="1" x14ac:dyDescent="0.2">
      <c r="A62677" s="258"/>
      <c r="Z62677" s="258"/>
    </row>
    <row r="62678" spans="1:26" ht="12.75" customHeight="1" x14ac:dyDescent="0.2">
      <c r="A62678" s="258"/>
      <c r="Z62678" s="258"/>
    </row>
    <row r="62679" spans="1:26" ht="12.75" customHeight="1" x14ac:dyDescent="0.2">
      <c r="A62679" s="258"/>
      <c r="Z62679" s="258"/>
    </row>
    <row r="62680" spans="1:26" ht="12.75" customHeight="1" x14ac:dyDescent="0.2">
      <c r="A62680" s="258"/>
      <c r="Z62680" s="258"/>
    </row>
    <row r="62681" spans="1:26" ht="12.75" customHeight="1" x14ac:dyDescent="0.2">
      <c r="A62681" s="258"/>
      <c r="Z62681" s="258"/>
    </row>
    <row r="62682" spans="1:26" ht="12.75" customHeight="1" x14ac:dyDescent="0.2">
      <c r="A62682" s="258"/>
      <c r="Z62682" s="258"/>
    </row>
    <row r="62683" spans="1:26" ht="12.75" customHeight="1" x14ac:dyDescent="0.2">
      <c r="A62683" s="258"/>
      <c r="Z62683" s="258"/>
    </row>
    <row r="62684" spans="1:26" ht="12.75" customHeight="1" x14ac:dyDescent="0.2">
      <c r="A62684" s="258"/>
      <c r="Z62684" s="258"/>
    </row>
    <row r="62685" spans="1:26" ht="12.75" customHeight="1" x14ac:dyDescent="0.2">
      <c r="A62685" s="258"/>
      <c r="Z62685" s="258"/>
    </row>
    <row r="62686" spans="1:26" ht="12.75" customHeight="1" x14ac:dyDescent="0.2">
      <c r="A62686" s="258"/>
      <c r="Z62686" s="258"/>
    </row>
    <row r="62687" spans="1:26" ht="12.75" customHeight="1" x14ac:dyDescent="0.2">
      <c r="A62687" s="258"/>
      <c r="Z62687" s="258"/>
    </row>
    <row r="62688" spans="1:26" ht="12.75" customHeight="1" x14ac:dyDescent="0.2">
      <c r="A62688" s="258"/>
      <c r="Z62688" s="258"/>
    </row>
    <row r="62689" spans="1:26" ht="12.75" customHeight="1" x14ac:dyDescent="0.2">
      <c r="A62689" s="258"/>
      <c r="Z62689" s="258"/>
    </row>
    <row r="62690" spans="1:26" ht="12.75" customHeight="1" x14ac:dyDescent="0.2">
      <c r="A62690" s="258"/>
      <c r="Z62690" s="258"/>
    </row>
    <row r="62691" spans="1:26" ht="12.75" customHeight="1" x14ac:dyDescent="0.2">
      <c r="A62691" s="258"/>
      <c r="Z62691" s="258"/>
    </row>
    <row r="62692" spans="1:26" ht="12.75" customHeight="1" x14ac:dyDescent="0.2">
      <c r="A62692" s="258"/>
      <c r="Z62692" s="258"/>
    </row>
    <row r="62693" spans="1:26" ht="12.75" customHeight="1" x14ac:dyDescent="0.2">
      <c r="A62693" s="258"/>
      <c r="Z62693" s="258"/>
    </row>
    <row r="62694" spans="1:26" ht="12.75" customHeight="1" x14ac:dyDescent="0.2">
      <c r="A62694" s="258"/>
      <c r="Z62694" s="258"/>
    </row>
    <row r="62695" spans="1:26" ht="12.75" customHeight="1" x14ac:dyDescent="0.2">
      <c r="A62695" s="258"/>
      <c r="Z62695" s="258"/>
    </row>
    <row r="62696" spans="1:26" ht="12.75" customHeight="1" x14ac:dyDescent="0.2">
      <c r="A62696" s="258"/>
      <c r="Z62696" s="258"/>
    </row>
    <row r="62697" spans="1:26" ht="12.75" customHeight="1" x14ac:dyDescent="0.2">
      <c r="A62697" s="258"/>
      <c r="Z62697" s="258"/>
    </row>
    <row r="62698" spans="1:26" ht="12.75" customHeight="1" x14ac:dyDescent="0.2">
      <c r="A62698" s="258"/>
      <c r="Z62698" s="258"/>
    </row>
    <row r="62699" spans="1:26" ht="12.75" customHeight="1" x14ac:dyDescent="0.2">
      <c r="A62699" s="258"/>
      <c r="Z62699" s="258"/>
    </row>
    <row r="62700" spans="1:26" ht="12.75" customHeight="1" x14ac:dyDescent="0.2">
      <c r="A62700" s="258"/>
      <c r="Z62700" s="258"/>
    </row>
    <row r="62701" spans="1:26" ht="12.75" customHeight="1" x14ac:dyDescent="0.2">
      <c r="A62701" s="258"/>
      <c r="Z62701" s="258"/>
    </row>
    <row r="62702" spans="1:26" ht="12.75" customHeight="1" x14ac:dyDescent="0.2">
      <c r="A62702" s="258"/>
      <c r="Z62702" s="258"/>
    </row>
    <row r="62703" spans="1:26" ht="12.75" customHeight="1" x14ac:dyDescent="0.2">
      <c r="A62703" s="258"/>
      <c r="Z62703" s="258"/>
    </row>
    <row r="62704" spans="1:26" ht="12.75" customHeight="1" x14ac:dyDescent="0.2">
      <c r="A62704" s="258"/>
      <c r="Z62704" s="258"/>
    </row>
    <row r="62705" spans="1:26" ht="12.75" customHeight="1" x14ac:dyDescent="0.2">
      <c r="A62705" s="258"/>
      <c r="Z62705" s="258"/>
    </row>
    <row r="62706" spans="1:26" ht="12.75" customHeight="1" x14ac:dyDescent="0.2">
      <c r="A62706" s="258"/>
      <c r="Z62706" s="258"/>
    </row>
    <row r="62707" spans="1:26" ht="12.75" customHeight="1" x14ac:dyDescent="0.2">
      <c r="A62707" s="258"/>
      <c r="Z62707" s="258"/>
    </row>
    <row r="62708" spans="1:26" ht="12.75" customHeight="1" x14ac:dyDescent="0.2">
      <c r="A62708" s="258"/>
      <c r="Z62708" s="258"/>
    </row>
    <row r="62709" spans="1:26" ht="12.75" customHeight="1" x14ac:dyDescent="0.2">
      <c r="A62709" s="258"/>
      <c r="Z62709" s="258"/>
    </row>
    <row r="62710" spans="1:26" ht="12.75" customHeight="1" x14ac:dyDescent="0.2">
      <c r="A62710" s="258"/>
      <c r="Z62710" s="258"/>
    </row>
    <row r="62711" spans="1:26" ht="12.75" customHeight="1" x14ac:dyDescent="0.2">
      <c r="A62711" s="258"/>
      <c r="Z62711" s="258"/>
    </row>
    <row r="62712" spans="1:26" ht="12.75" customHeight="1" x14ac:dyDescent="0.2">
      <c r="A62712" s="258"/>
      <c r="Z62712" s="258"/>
    </row>
    <row r="62713" spans="1:26" ht="12.75" customHeight="1" x14ac:dyDescent="0.2">
      <c r="A62713" s="258"/>
      <c r="Z62713" s="258"/>
    </row>
    <row r="62714" spans="1:26" ht="12.75" customHeight="1" x14ac:dyDescent="0.2">
      <c r="A62714" s="258"/>
      <c r="Z62714" s="258"/>
    </row>
    <row r="62715" spans="1:26" ht="12.75" customHeight="1" x14ac:dyDescent="0.2">
      <c r="A62715" s="258"/>
      <c r="Z62715" s="258"/>
    </row>
    <row r="62716" spans="1:26" ht="12.75" customHeight="1" x14ac:dyDescent="0.2">
      <c r="A62716" s="258"/>
      <c r="Z62716" s="258"/>
    </row>
    <row r="62717" spans="1:26" ht="12.75" customHeight="1" x14ac:dyDescent="0.2">
      <c r="A62717" s="258"/>
      <c r="Z62717" s="258"/>
    </row>
    <row r="62718" spans="1:26" ht="12.75" customHeight="1" x14ac:dyDescent="0.2">
      <c r="A62718" s="258"/>
      <c r="Z62718" s="258"/>
    </row>
    <row r="62719" spans="1:26" ht="12.75" customHeight="1" x14ac:dyDescent="0.2">
      <c r="A62719" s="258"/>
      <c r="Z62719" s="258"/>
    </row>
    <row r="62720" spans="1:26" ht="12.75" customHeight="1" x14ac:dyDescent="0.2">
      <c r="A62720" s="258"/>
      <c r="Z62720" s="258"/>
    </row>
    <row r="62721" spans="1:26" ht="12.75" customHeight="1" x14ac:dyDescent="0.2">
      <c r="A62721" s="258"/>
      <c r="Z62721" s="258"/>
    </row>
    <row r="62722" spans="1:26" ht="12.75" customHeight="1" x14ac:dyDescent="0.2">
      <c r="A62722" s="258"/>
      <c r="Z62722" s="258"/>
    </row>
    <row r="62723" spans="1:26" ht="12.75" customHeight="1" x14ac:dyDescent="0.2">
      <c r="A62723" s="258"/>
      <c r="Z62723" s="258"/>
    </row>
    <row r="62724" spans="1:26" ht="12.75" customHeight="1" x14ac:dyDescent="0.2">
      <c r="A62724" s="258"/>
      <c r="Z62724" s="258"/>
    </row>
    <row r="62725" spans="1:26" ht="12.75" customHeight="1" x14ac:dyDescent="0.2">
      <c r="A62725" s="258"/>
      <c r="Z62725" s="258"/>
    </row>
    <row r="62726" spans="1:26" ht="12.75" customHeight="1" x14ac:dyDescent="0.2">
      <c r="A62726" s="258"/>
      <c r="Z62726" s="258"/>
    </row>
    <row r="62727" spans="1:26" ht="12.75" customHeight="1" x14ac:dyDescent="0.2">
      <c r="A62727" s="258"/>
      <c r="Z62727" s="258"/>
    </row>
    <row r="62728" spans="1:26" ht="12.75" customHeight="1" x14ac:dyDescent="0.2">
      <c r="A62728" s="258"/>
      <c r="Z62728" s="258"/>
    </row>
    <row r="62729" spans="1:26" ht="12.75" customHeight="1" x14ac:dyDescent="0.2">
      <c r="A62729" s="258"/>
      <c r="Z62729" s="258"/>
    </row>
    <row r="62730" spans="1:26" ht="12.75" customHeight="1" x14ac:dyDescent="0.2">
      <c r="A62730" s="258"/>
      <c r="Z62730" s="258"/>
    </row>
    <row r="62731" spans="1:26" ht="12.75" customHeight="1" x14ac:dyDescent="0.2">
      <c r="A62731" s="258"/>
      <c r="Z62731" s="258"/>
    </row>
    <row r="62732" spans="1:26" ht="12.75" customHeight="1" x14ac:dyDescent="0.2">
      <c r="A62732" s="258"/>
      <c r="Z62732" s="258"/>
    </row>
    <row r="62733" spans="1:26" ht="12.75" customHeight="1" x14ac:dyDescent="0.2">
      <c r="A62733" s="258"/>
      <c r="Z62733" s="258"/>
    </row>
    <row r="62734" spans="1:26" ht="12.75" customHeight="1" x14ac:dyDescent="0.2">
      <c r="A62734" s="258"/>
      <c r="Z62734" s="258"/>
    </row>
    <row r="62735" spans="1:26" ht="12.75" customHeight="1" x14ac:dyDescent="0.2">
      <c r="A62735" s="258"/>
      <c r="Z62735" s="258"/>
    </row>
    <row r="62736" spans="1:26" ht="12.75" customHeight="1" x14ac:dyDescent="0.2">
      <c r="A62736" s="258"/>
      <c r="Z62736" s="258"/>
    </row>
    <row r="62737" spans="1:26" ht="12.75" customHeight="1" x14ac:dyDescent="0.2">
      <c r="A62737" s="258"/>
      <c r="Z62737" s="258"/>
    </row>
    <row r="62738" spans="1:26" ht="12.75" customHeight="1" x14ac:dyDescent="0.2">
      <c r="A62738" s="258"/>
      <c r="Z62738" s="258"/>
    </row>
    <row r="62739" spans="1:26" ht="12.75" customHeight="1" x14ac:dyDescent="0.2">
      <c r="A62739" s="258"/>
      <c r="Z62739" s="258"/>
    </row>
    <row r="62740" spans="1:26" ht="12.75" customHeight="1" x14ac:dyDescent="0.2">
      <c r="A62740" s="258"/>
      <c r="Z62740" s="258"/>
    </row>
    <row r="62741" spans="1:26" ht="12.75" customHeight="1" x14ac:dyDescent="0.2">
      <c r="A62741" s="258"/>
      <c r="Z62741" s="258"/>
    </row>
    <row r="62742" spans="1:26" ht="12.75" customHeight="1" x14ac:dyDescent="0.2">
      <c r="A62742" s="258"/>
      <c r="Z62742" s="258"/>
    </row>
    <row r="62743" spans="1:26" ht="12.75" customHeight="1" x14ac:dyDescent="0.2">
      <c r="A62743" s="258"/>
      <c r="Z62743" s="258"/>
    </row>
    <row r="62744" spans="1:26" ht="12.75" customHeight="1" x14ac:dyDescent="0.2">
      <c r="A62744" s="258"/>
      <c r="Z62744" s="258"/>
    </row>
    <row r="62745" spans="1:26" ht="12.75" customHeight="1" x14ac:dyDescent="0.2">
      <c r="A62745" s="258"/>
      <c r="Z62745" s="258"/>
    </row>
    <row r="62746" spans="1:26" ht="12.75" customHeight="1" x14ac:dyDescent="0.2">
      <c r="A62746" s="258"/>
      <c r="Z62746" s="258"/>
    </row>
    <row r="62747" spans="1:26" ht="12.75" customHeight="1" x14ac:dyDescent="0.2">
      <c r="A62747" s="258"/>
      <c r="Z62747" s="258"/>
    </row>
    <row r="62748" spans="1:26" ht="12.75" customHeight="1" x14ac:dyDescent="0.2">
      <c r="A62748" s="258"/>
      <c r="Z62748" s="258"/>
    </row>
    <row r="62749" spans="1:26" ht="12.75" customHeight="1" x14ac:dyDescent="0.2">
      <c r="A62749" s="258"/>
      <c r="Z62749" s="258"/>
    </row>
    <row r="62750" spans="1:26" ht="12.75" customHeight="1" x14ac:dyDescent="0.2">
      <c r="A62750" s="258"/>
      <c r="Z62750" s="258"/>
    </row>
    <row r="62751" spans="1:26" ht="12.75" customHeight="1" x14ac:dyDescent="0.2">
      <c r="A62751" s="258"/>
      <c r="Z62751" s="258"/>
    </row>
    <row r="62752" spans="1:26" ht="12.75" customHeight="1" x14ac:dyDescent="0.2">
      <c r="A62752" s="258"/>
      <c r="Z62752" s="258"/>
    </row>
    <row r="62753" spans="1:26" ht="12.75" customHeight="1" x14ac:dyDescent="0.2">
      <c r="A62753" s="258"/>
      <c r="Z62753" s="258"/>
    </row>
    <row r="62754" spans="1:26" ht="12.75" customHeight="1" x14ac:dyDescent="0.2">
      <c r="A62754" s="258"/>
      <c r="Z62754" s="258"/>
    </row>
    <row r="62755" spans="1:26" ht="12.75" customHeight="1" x14ac:dyDescent="0.2">
      <c r="A62755" s="258"/>
      <c r="Z62755" s="258"/>
    </row>
    <row r="62756" spans="1:26" ht="12.75" customHeight="1" x14ac:dyDescent="0.2">
      <c r="A62756" s="258"/>
      <c r="Z62756" s="258"/>
    </row>
    <row r="62757" spans="1:26" ht="12.75" customHeight="1" x14ac:dyDescent="0.2">
      <c r="A62757" s="258"/>
      <c r="Z62757" s="258"/>
    </row>
    <row r="62758" spans="1:26" ht="12.75" customHeight="1" x14ac:dyDescent="0.2">
      <c r="A62758" s="258"/>
      <c r="Z62758" s="258"/>
    </row>
    <row r="62759" spans="1:26" ht="12.75" customHeight="1" x14ac:dyDescent="0.2">
      <c r="A62759" s="258"/>
      <c r="Z62759" s="258"/>
    </row>
    <row r="62760" spans="1:26" ht="12.75" customHeight="1" x14ac:dyDescent="0.2">
      <c r="A62760" s="258"/>
      <c r="Z62760" s="258"/>
    </row>
    <row r="62761" spans="1:26" ht="12.75" customHeight="1" x14ac:dyDescent="0.2">
      <c r="A62761" s="258"/>
      <c r="Z62761" s="258"/>
    </row>
    <row r="62762" spans="1:26" ht="12.75" customHeight="1" x14ac:dyDescent="0.2">
      <c r="A62762" s="258"/>
      <c r="Z62762" s="258"/>
    </row>
    <row r="62763" spans="1:26" ht="12.75" customHeight="1" x14ac:dyDescent="0.2">
      <c r="A62763" s="258"/>
      <c r="Z62763" s="258"/>
    </row>
    <row r="62764" spans="1:26" ht="12.75" customHeight="1" x14ac:dyDescent="0.2">
      <c r="A62764" s="258"/>
      <c r="Z62764" s="258"/>
    </row>
    <row r="62765" spans="1:26" ht="12.75" customHeight="1" x14ac:dyDescent="0.2">
      <c r="A62765" s="258"/>
      <c r="Z62765" s="258"/>
    </row>
    <row r="62766" spans="1:26" ht="12.75" customHeight="1" x14ac:dyDescent="0.2">
      <c r="A62766" s="258"/>
      <c r="Z62766" s="258"/>
    </row>
    <row r="62767" spans="1:26" ht="12.75" customHeight="1" x14ac:dyDescent="0.2">
      <c r="A62767" s="258"/>
      <c r="Z62767" s="258"/>
    </row>
    <row r="62768" spans="1:26" ht="12.75" customHeight="1" x14ac:dyDescent="0.2">
      <c r="A62768" s="258"/>
      <c r="Z62768" s="258"/>
    </row>
    <row r="62769" spans="1:26" ht="12.75" customHeight="1" x14ac:dyDescent="0.2">
      <c r="A62769" s="258"/>
      <c r="Z62769" s="258"/>
    </row>
    <row r="62770" spans="1:26" ht="12.75" customHeight="1" x14ac:dyDescent="0.2">
      <c r="A62770" s="258"/>
      <c r="Z62770" s="258"/>
    </row>
    <row r="62771" spans="1:26" ht="12.75" customHeight="1" x14ac:dyDescent="0.2">
      <c r="A62771" s="258"/>
      <c r="Z62771" s="258"/>
    </row>
    <row r="62772" spans="1:26" ht="12.75" customHeight="1" x14ac:dyDescent="0.2">
      <c r="A62772" s="258"/>
      <c r="Z62772" s="258"/>
    </row>
    <row r="62773" spans="1:26" ht="12.75" customHeight="1" x14ac:dyDescent="0.2">
      <c r="A62773" s="258"/>
      <c r="Z62773" s="258"/>
    </row>
    <row r="62774" spans="1:26" ht="12.75" customHeight="1" x14ac:dyDescent="0.2">
      <c r="A62774" s="258"/>
      <c r="Z62774" s="258"/>
    </row>
    <row r="62775" spans="1:26" ht="12.75" customHeight="1" x14ac:dyDescent="0.2">
      <c r="A62775" s="258"/>
      <c r="Z62775" s="258"/>
    </row>
    <row r="62776" spans="1:26" ht="12.75" customHeight="1" x14ac:dyDescent="0.2">
      <c r="A62776" s="258"/>
      <c r="Z62776" s="258"/>
    </row>
    <row r="62777" spans="1:26" ht="12.75" customHeight="1" x14ac:dyDescent="0.2">
      <c r="A62777" s="258"/>
      <c r="Z62777" s="258"/>
    </row>
    <row r="62778" spans="1:26" ht="12.75" customHeight="1" x14ac:dyDescent="0.2">
      <c r="A62778" s="258"/>
      <c r="Z62778" s="258"/>
    </row>
    <row r="62779" spans="1:26" ht="12.75" customHeight="1" x14ac:dyDescent="0.2">
      <c r="A62779" s="258"/>
      <c r="Z62779" s="258"/>
    </row>
    <row r="62780" spans="1:26" ht="12.75" customHeight="1" x14ac:dyDescent="0.2">
      <c r="A62780" s="258"/>
      <c r="Z62780" s="258"/>
    </row>
    <row r="62781" spans="1:26" ht="12.75" customHeight="1" x14ac:dyDescent="0.2">
      <c r="A62781" s="258"/>
      <c r="Z62781" s="258"/>
    </row>
    <row r="62782" spans="1:26" ht="12.75" customHeight="1" x14ac:dyDescent="0.2">
      <c r="A62782" s="258"/>
      <c r="Z62782" s="258"/>
    </row>
    <row r="62783" spans="1:26" ht="12.75" customHeight="1" x14ac:dyDescent="0.2">
      <c r="A62783" s="258"/>
      <c r="Z62783" s="258"/>
    </row>
    <row r="62784" spans="1:26" ht="12.75" customHeight="1" x14ac:dyDescent="0.2">
      <c r="A62784" s="258"/>
      <c r="Z62784" s="258"/>
    </row>
    <row r="62785" spans="1:26" ht="12.75" customHeight="1" x14ac:dyDescent="0.2">
      <c r="A62785" s="258"/>
      <c r="Z62785" s="258"/>
    </row>
    <row r="62786" spans="1:26" ht="12.75" customHeight="1" x14ac:dyDescent="0.2">
      <c r="A62786" s="258"/>
      <c r="Z62786" s="258"/>
    </row>
    <row r="62787" spans="1:26" ht="12.75" customHeight="1" x14ac:dyDescent="0.2">
      <c r="A62787" s="258"/>
      <c r="Z62787" s="258"/>
    </row>
    <row r="62788" spans="1:26" ht="12.75" customHeight="1" x14ac:dyDescent="0.2">
      <c r="A62788" s="258"/>
      <c r="Z62788" s="258"/>
    </row>
    <row r="62789" spans="1:26" ht="12.75" customHeight="1" x14ac:dyDescent="0.2">
      <c r="A62789" s="258"/>
      <c r="Z62789" s="258"/>
    </row>
    <row r="62790" spans="1:26" ht="12.75" customHeight="1" x14ac:dyDescent="0.2">
      <c r="A62790" s="258"/>
      <c r="Z62790" s="258"/>
    </row>
    <row r="62791" spans="1:26" ht="12.75" customHeight="1" x14ac:dyDescent="0.2">
      <c r="A62791" s="258"/>
      <c r="Z62791" s="258"/>
    </row>
    <row r="62792" spans="1:26" ht="12.75" customHeight="1" x14ac:dyDescent="0.2">
      <c r="A62792" s="258"/>
      <c r="Z62792" s="258"/>
    </row>
    <row r="62793" spans="1:26" ht="12.75" customHeight="1" x14ac:dyDescent="0.2">
      <c r="A62793" s="258"/>
      <c r="Z62793" s="258"/>
    </row>
    <row r="62794" spans="1:26" ht="12.75" customHeight="1" x14ac:dyDescent="0.2">
      <c r="A62794" s="258"/>
      <c r="Z62794" s="258"/>
    </row>
    <row r="62795" spans="1:26" ht="12.75" customHeight="1" x14ac:dyDescent="0.2">
      <c r="A62795" s="258"/>
      <c r="Z62795" s="258"/>
    </row>
    <row r="62796" spans="1:26" ht="12.75" customHeight="1" x14ac:dyDescent="0.2">
      <c r="A62796" s="258"/>
      <c r="Z62796" s="258"/>
    </row>
    <row r="62797" spans="1:26" ht="12.75" customHeight="1" x14ac:dyDescent="0.2">
      <c r="A62797" s="258"/>
      <c r="Z62797" s="258"/>
    </row>
    <row r="62798" spans="1:26" ht="12.75" customHeight="1" x14ac:dyDescent="0.2">
      <c r="A62798" s="258"/>
      <c r="Z62798" s="258"/>
    </row>
    <row r="62799" spans="1:26" ht="12.75" customHeight="1" x14ac:dyDescent="0.2">
      <c r="A62799" s="258"/>
      <c r="Z62799" s="258"/>
    </row>
    <row r="62800" spans="1:26" ht="12.75" customHeight="1" x14ac:dyDescent="0.2">
      <c r="A62800" s="258"/>
      <c r="Z62800" s="258"/>
    </row>
    <row r="62801" spans="1:26" ht="12.75" customHeight="1" x14ac:dyDescent="0.2">
      <c r="A62801" s="258"/>
      <c r="Z62801" s="258"/>
    </row>
    <row r="62802" spans="1:26" ht="12.75" customHeight="1" x14ac:dyDescent="0.2">
      <c r="A62802" s="258"/>
      <c r="Z62802" s="258"/>
    </row>
    <row r="62803" spans="1:26" ht="12.75" customHeight="1" x14ac:dyDescent="0.2">
      <c r="A62803" s="258"/>
      <c r="Z62803" s="258"/>
    </row>
    <row r="62804" spans="1:26" ht="12.75" customHeight="1" x14ac:dyDescent="0.2">
      <c r="A62804" s="258"/>
      <c r="Z62804" s="258"/>
    </row>
    <row r="62805" spans="1:26" ht="12.75" customHeight="1" x14ac:dyDescent="0.2">
      <c r="A62805" s="258"/>
      <c r="Z62805" s="258"/>
    </row>
    <row r="62806" spans="1:26" ht="12.75" customHeight="1" x14ac:dyDescent="0.2">
      <c r="A62806" s="258"/>
      <c r="Z62806" s="258"/>
    </row>
    <row r="62807" spans="1:26" ht="12.75" customHeight="1" x14ac:dyDescent="0.2">
      <c r="A62807" s="258"/>
      <c r="Z62807" s="258"/>
    </row>
    <row r="62808" spans="1:26" ht="12.75" customHeight="1" x14ac:dyDescent="0.2">
      <c r="A62808" s="258"/>
      <c r="Z62808" s="258"/>
    </row>
    <row r="62809" spans="1:26" ht="12.75" customHeight="1" x14ac:dyDescent="0.2">
      <c r="A62809" s="258"/>
      <c r="Z62809" s="258"/>
    </row>
    <row r="62810" spans="1:26" ht="12.75" customHeight="1" x14ac:dyDescent="0.2">
      <c r="A62810" s="258"/>
      <c r="Z62810" s="258"/>
    </row>
    <row r="62811" spans="1:26" ht="12.75" customHeight="1" x14ac:dyDescent="0.2">
      <c r="A62811" s="258"/>
      <c r="Z62811" s="258"/>
    </row>
    <row r="62812" spans="1:26" ht="12.75" customHeight="1" x14ac:dyDescent="0.2">
      <c r="A62812" s="258"/>
      <c r="Z62812" s="258"/>
    </row>
    <row r="62813" spans="1:26" ht="12.75" customHeight="1" x14ac:dyDescent="0.2">
      <c r="A62813" s="258"/>
      <c r="Z62813" s="258"/>
    </row>
    <row r="62814" spans="1:26" ht="12.75" customHeight="1" x14ac:dyDescent="0.2">
      <c r="A62814" s="258"/>
      <c r="Z62814" s="258"/>
    </row>
    <row r="62815" spans="1:26" ht="12.75" customHeight="1" x14ac:dyDescent="0.2">
      <c r="A62815" s="258"/>
      <c r="Z62815" s="258"/>
    </row>
    <row r="62816" spans="1:26" ht="12.75" customHeight="1" x14ac:dyDescent="0.2">
      <c r="A62816" s="258"/>
      <c r="Z62816" s="258"/>
    </row>
    <row r="62817" spans="1:26" ht="12.75" customHeight="1" x14ac:dyDescent="0.2">
      <c r="A62817" s="258"/>
      <c r="Z62817" s="258"/>
    </row>
    <row r="62818" spans="1:26" ht="12.75" customHeight="1" x14ac:dyDescent="0.2">
      <c r="A62818" s="258"/>
      <c r="Z62818" s="258"/>
    </row>
    <row r="62819" spans="1:26" ht="12.75" customHeight="1" x14ac:dyDescent="0.2">
      <c r="A62819" s="258"/>
      <c r="Z62819" s="258"/>
    </row>
    <row r="62820" spans="1:26" ht="12.75" customHeight="1" x14ac:dyDescent="0.2">
      <c r="A62820" s="258"/>
      <c r="Z62820" s="258"/>
    </row>
    <row r="62821" spans="1:26" ht="12.75" customHeight="1" x14ac:dyDescent="0.2">
      <c r="A62821" s="258"/>
      <c r="Z62821" s="258"/>
    </row>
    <row r="62822" spans="1:26" ht="12.75" customHeight="1" x14ac:dyDescent="0.2">
      <c r="A62822" s="258"/>
      <c r="Z62822" s="258"/>
    </row>
    <row r="62823" spans="1:26" ht="12.75" customHeight="1" x14ac:dyDescent="0.2">
      <c r="A62823" s="258"/>
      <c r="Z62823" s="258"/>
    </row>
    <row r="62824" spans="1:26" ht="12.75" customHeight="1" x14ac:dyDescent="0.2">
      <c r="A62824" s="258"/>
      <c r="Z62824" s="258"/>
    </row>
    <row r="62825" spans="1:26" ht="12.75" customHeight="1" x14ac:dyDescent="0.2">
      <c r="A62825" s="258"/>
      <c r="Z62825" s="258"/>
    </row>
    <row r="62826" spans="1:26" ht="12.75" customHeight="1" x14ac:dyDescent="0.2">
      <c r="A62826" s="258"/>
      <c r="Z62826" s="258"/>
    </row>
    <row r="62827" spans="1:26" ht="12.75" customHeight="1" x14ac:dyDescent="0.2">
      <c r="A62827" s="258"/>
      <c r="Z62827" s="258"/>
    </row>
    <row r="62828" spans="1:26" ht="12.75" customHeight="1" x14ac:dyDescent="0.2">
      <c r="A62828" s="258"/>
      <c r="Z62828" s="258"/>
    </row>
    <row r="62829" spans="1:26" ht="12.75" customHeight="1" x14ac:dyDescent="0.2">
      <c r="A62829" s="258"/>
      <c r="Z62829" s="258"/>
    </row>
    <row r="62830" spans="1:26" ht="12.75" customHeight="1" x14ac:dyDescent="0.2">
      <c r="A62830" s="258"/>
      <c r="Z62830" s="258"/>
    </row>
    <row r="62831" spans="1:26" ht="12.75" customHeight="1" x14ac:dyDescent="0.2">
      <c r="A62831" s="258"/>
      <c r="Z62831" s="258"/>
    </row>
    <row r="62832" spans="1:26" ht="12.75" customHeight="1" x14ac:dyDescent="0.2">
      <c r="A62832" s="258"/>
      <c r="Z62832" s="258"/>
    </row>
    <row r="62833" spans="1:26" ht="12.75" customHeight="1" x14ac:dyDescent="0.2">
      <c r="A62833" s="258"/>
      <c r="Z62833" s="258"/>
    </row>
    <row r="62834" spans="1:26" ht="12.75" customHeight="1" x14ac:dyDescent="0.2">
      <c r="A62834" s="258"/>
      <c r="Z62834" s="258"/>
    </row>
    <row r="62835" spans="1:26" ht="12.75" customHeight="1" x14ac:dyDescent="0.2">
      <c r="A62835" s="258"/>
      <c r="Z62835" s="258"/>
    </row>
    <row r="62836" spans="1:26" ht="12.75" customHeight="1" x14ac:dyDescent="0.2">
      <c r="A62836" s="258"/>
      <c r="Z62836" s="258"/>
    </row>
    <row r="62837" spans="1:26" ht="12.75" customHeight="1" x14ac:dyDescent="0.2">
      <c r="A62837" s="258"/>
      <c r="Z62837" s="258"/>
    </row>
    <row r="62838" spans="1:26" ht="12.75" customHeight="1" x14ac:dyDescent="0.2">
      <c r="A62838" s="258"/>
      <c r="Z62838" s="258"/>
    </row>
    <row r="62839" spans="1:26" ht="12.75" customHeight="1" x14ac:dyDescent="0.2">
      <c r="A62839" s="258"/>
      <c r="Z62839" s="258"/>
    </row>
    <row r="62840" spans="1:26" ht="12.75" customHeight="1" x14ac:dyDescent="0.2">
      <c r="A62840" s="258"/>
      <c r="Z62840" s="258"/>
    </row>
    <row r="62841" spans="1:26" ht="12.75" customHeight="1" x14ac:dyDescent="0.2">
      <c r="A62841" s="258"/>
      <c r="Z62841" s="258"/>
    </row>
    <row r="62842" spans="1:26" ht="12.75" customHeight="1" x14ac:dyDescent="0.2">
      <c r="A62842" s="258"/>
      <c r="Z62842" s="258"/>
    </row>
    <row r="62843" spans="1:26" ht="12.75" customHeight="1" x14ac:dyDescent="0.2">
      <c r="A62843" s="258"/>
      <c r="Z62843" s="258"/>
    </row>
    <row r="62844" spans="1:26" ht="12.75" customHeight="1" x14ac:dyDescent="0.2">
      <c r="A62844" s="258"/>
      <c r="Z62844" s="258"/>
    </row>
    <row r="62845" spans="1:26" ht="12.75" customHeight="1" x14ac:dyDescent="0.2">
      <c r="A62845" s="258"/>
      <c r="Z62845" s="258"/>
    </row>
    <row r="62846" spans="1:26" ht="12.75" customHeight="1" x14ac:dyDescent="0.2">
      <c r="A62846" s="258"/>
      <c r="Z62846" s="258"/>
    </row>
    <row r="62847" spans="1:26" ht="12.75" customHeight="1" x14ac:dyDescent="0.2">
      <c r="A62847" s="258"/>
      <c r="Z62847" s="258"/>
    </row>
    <row r="62848" spans="1:26" ht="12.75" customHeight="1" x14ac:dyDescent="0.2">
      <c r="A62848" s="258"/>
      <c r="Z62848" s="258"/>
    </row>
    <row r="62849" spans="1:26" ht="12.75" customHeight="1" x14ac:dyDescent="0.2">
      <c r="A62849" s="258"/>
      <c r="Z62849" s="258"/>
    </row>
    <row r="62850" spans="1:26" ht="12.75" customHeight="1" x14ac:dyDescent="0.2">
      <c r="A62850" s="258"/>
      <c r="Z62850" s="258"/>
    </row>
    <row r="62851" spans="1:26" ht="12.75" customHeight="1" x14ac:dyDescent="0.2">
      <c r="A62851" s="258"/>
      <c r="Z62851" s="258"/>
    </row>
    <row r="62852" spans="1:26" ht="12.75" customHeight="1" x14ac:dyDescent="0.2">
      <c r="A62852" s="258"/>
      <c r="Z62852" s="258"/>
    </row>
    <row r="62853" spans="1:26" ht="12.75" customHeight="1" x14ac:dyDescent="0.2">
      <c r="A62853" s="258"/>
      <c r="Z62853" s="258"/>
    </row>
    <row r="62854" spans="1:26" ht="12.75" customHeight="1" x14ac:dyDescent="0.2">
      <c r="A62854" s="258"/>
      <c r="Z62854" s="258"/>
    </row>
    <row r="62855" spans="1:26" ht="12.75" customHeight="1" x14ac:dyDescent="0.2">
      <c r="A62855" s="258"/>
      <c r="Z62855" s="258"/>
    </row>
    <row r="62856" spans="1:26" ht="12.75" customHeight="1" x14ac:dyDescent="0.2">
      <c r="A62856" s="258"/>
      <c r="Z62856" s="258"/>
    </row>
    <row r="62857" spans="1:26" ht="12.75" customHeight="1" x14ac:dyDescent="0.2">
      <c r="A62857" s="258"/>
      <c r="Z62857" s="258"/>
    </row>
    <row r="62858" spans="1:26" ht="12.75" customHeight="1" x14ac:dyDescent="0.2">
      <c r="A62858" s="258"/>
      <c r="Z62858" s="258"/>
    </row>
    <row r="62859" spans="1:26" ht="12.75" customHeight="1" x14ac:dyDescent="0.2">
      <c r="A62859" s="258"/>
      <c r="Z62859" s="258"/>
    </row>
    <row r="62860" spans="1:26" ht="12.75" customHeight="1" x14ac:dyDescent="0.2">
      <c r="A62860" s="258"/>
      <c r="Z62860" s="258"/>
    </row>
    <row r="62861" spans="1:26" ht="12.75" customHeight="1" x14ac:dyDescent="0.2">
      <c r="A62861" s="258"/>
      <c r="Z62861" s="258"/>
    </row>
    <row r="62862" spans="1:26" ht="12.75" customHeight="1" x14ac:dyDescent="0.2">
      <c r="A62862" s="258"/>
      <c r="Z62862" s="258"/>
    </row>
    <row r="62863" spans="1:26" ht="12.75" customHeight="1" x14ac:dyDescent="0.2">
      <c r="A62863" s="258"/>
      <c r="Z62863" s="258"/>
    </row>
    <row r="62864" spans="1:26" ht="12.75" customHeight="1" x14ac:dyDescent="0.2">
      <c r="A62864" s="258"/>
      <c r="Z62864" s="258"/>
    </row>
    <row r="62865" spans="1:26" ht="12.75" customHeight="1" x14ac:dyDescent="0.2">
      <c r="A62865" s="258"/>
      <c r="Z62865" s="258"/>
    </row>
    <row r="62866" spans="1:26" ht="12.75" customHeight="1" x14ac:dyDescent="0.2">
      <c r="A62866" s="258"/>
      <c r="Z62866" s="258"/>
    </row>
    <row r="62867" spans="1:26" ht="12.75" customHeight="1" x14ac:dyDescent="0.2">
      <c r="A62867" s="258"/>
      <c r="Z62867" s="258"/>
    </row>
    <row r="62868" spans="1:26" ht="12.75" customHeight="1" x14ac:dyDescent="0.2">
      <c r="A62868" s="258"/>
      <c r="Z62868" s="258"/>
    </row>
    <row r="62869" spans="1:26" ht="12.75" customHeight="1" x14ac:dyDescent="0.2">
      <c r="A62869" s="258"/>
      <c r="Z62869" s="258"/>
    </row>
    <row r="62870" spans="1:26" ht="12.75" customHeight="1" x14ac:dyDescent="0.2">
      <c r="A62870" s="258"/>
      <c r="Z62870" s="258"/>
    </row>
    <row r="62871" spans="1:26" ht="12.75" customHeight="1" x14ac:dyDescent="0.2">
      <c r="A62871" s="258"/>
      <c r="Z62871" s="258"/>
    </row>
    <row r="62872" spans="1:26" ht="12.75" customHeight="1" x14ac:dyDescent="0.2">
      <c r="A62872" s="258"/>
      <c r="Z62872" s="258"/>
    </row>
    <row r="62873" spans="1:26" ht="12.75" customHeight="1" x14ac:dyDescent="0.2">
      <c r="A62873" s="258"/>
      <c r="Z62873" s="258"/>
    </row>
    <row r="62874" spans="1:26" ht="12.75" customHeight="1" x14ac:dyDescent="0.2">
      <c r="A62874" s="258"/>
      <c r="Z62874" s="258"/>
    </row>
    <row r="62875" spans="1:26" ht="12.75" customHeight="1" x14ac:dyDescent="0.2">
      <c r="A62875" s="258"/>
      <c r="Z62875" s="258"/>
    </row>
    <row r="62876" spans="1:26" ht="12.75" customHeight="1" x14ac:dyDescent="0.2">
      <c r="A62876" s="258"/>
      <c r="Z62876" s="258"/>
    </row>
    <row r="62877" spans="1:26" ht="12.75" customHeight="1" x14ac:dyDescent="0.2">
      <c r="A62877" s="258"/>
      <c r="Z62877" s="258"/>
    </row>
    <row r="62878" spans="1:26" ht="12.75" customHeight="1" x14ac:dyDescent="0.2">
      <c r="A62878" s="258"/>
      <c r="Z62878" s="258"/>
    </row>
    <row r="62879" spans="1:26" ht="12.75" customHeight="1" x14ac:dyDescent="0.2">
      <c r="A62879" s="258"/>
      <c r="Z62879" s="258"/>
    </row>
    <row r="62880" spans="1:26" ht="12.75" customHeight="1" x14ac:dyDescent="0.2">
      <c r="A62880" s="258"/>
      <c r="Z62880" s="258"/>
    </row>
    <row r="62881" spans="1:26" ht="12.75" customHeight="1" x14ac:dyDescent="0.2">
      <c r="A62881" s="258"/>
      <c r="Z62881" s="258"/>
    </row>
    <row r="62882" spans="1:26" ht="12.75" customHeight="1" x14ac:dyDescent="0.2">
      <c r="A62882" s="258"/>
      <c r="Z62882" s="258"/>
    </row>
    <row r="62883" spans="1:26" ht="12.75" customHeight="1" x14ac:dyDescent="0.2">
      <c r="A62883" s="258"/>
      <c r="Z62883" s="258"/>
    </row>
    <row r="62884" spans="1:26" ht="12.75" customHeight="1" x14ac:dyDescent="0.2">
      <c r="A62884" s="258"/>
      <c r="Z62884" s="258"/>
    </row>
    <row r="62885" spans="1:26" ht="12.75" customHeight="1" x14ac:dyDescent="0.2">
      <c r="A62885" s="258"/>
      <c r="Z62885" s="258"/>
    </row>
    <row r="62886" spans="1:26" ht="12.75" customHeight="1" x14ac:dyDescent="0.2">
      <c r="A62886" s="258"/>
      <c r="Z62886" s="258"/>
    </row>
    <row r="62887" spans="1:26" ht="12.75" customHeight="1" x14ac:dyDescent="0.2">
      <c r="A62887" s="258"/>
      <c r="Z62887" s="258"/>
    </row>
    <row r="62888" spans="1:26" ht="12.75" customHeight="1" x14ac:dyDescent="0.2">
      <c r="A62888" s="258"/>
      <c r="Z62888" s="258"/>
    </row>
    <row r="62889" spans="1:26" ht="12.75" customHeight="1" x14ac:dyDescent="0.2">
      <c r="A62889" s="258"/>
      <c r="Z62889" s="258"/>
    </row>
    <row r="62890" spans="1:26" ht="12.75" customHeight="1" x14ac:dyDescent="0.2">
      <c r="A62890" s="258"/>
      <c r="Z62890" s="258"/>
    </row>
    <row r="62891" spans="1:26" ht="12.75" customHeight="1" x14ac:dyDescent="0.2">
      <c r="A62891" s="258"/>
      <c r="Z62891" s="258"/>
    </row>
    <row r="62892" spans="1:26" ht="12.75" customHeight="1" x14ac:dyDescent="0.2">
      <c r="A62892" s="258"/>
      <c r="Z62892" s="258"/>
    </row>
    <row r="62893" spans="1:26" ht="12.75" customHeight="1" x14ac:dyDescent="0.2">
      <c r="A62893" s="258"/>
      <c r="Z62893" s="258"/>
    </row>
    <row r="62894" spans="1:26" ht="12.75" customHeight="1" x14ac:dyDescent="0.2">
      <c r="A62894" s="258"/>
      <c r="Z62894" s="258"/>
    </row>
    <row r="62895" spans="1:26" ht="12.75" customHeight="1" x14ac:dyDescent="0.2">
      <c r="A62895" s="258"/>
      <c r="Z62895" s="258"/>
    </row>
    <row r="62896" spans="1:26" ht="12.75" customHeight="1" x14ac:dyDescent="0.2">
      <c r="A62896" s="258"/>
      <c r="Z62896" s="258"/>
    </row>
    <row r="62897" spans="1:26" ht="12.75" customHeight="1" x14ac:dyDescent="0.2">
      <c r="A62897" s="258"/>
      <c r="Z62897" s="258"/>
    </row>
    <row r="62898" spans="1:26" ht="12.75" customHeight="1" x14ac:dyDescent="0.2">
      <c r="A62898" s="258"/>
      <c r="Z62898" s="258"/>
    </row>
    <row r="62899" spans="1:26" ht="12.75" customHeight="1" x14ac:dyDescent="0.2">
      <c r="A62899" s="258"/>
      <c r="Z62899" s="258"/>
    </row>
    <row r="62900" spans="1:26" ht="12.75" customHeight="1" x14ac:dyDescent="0.2">
      <c r="A62900" s="258"/>
      <c r="Z62900" s="258"/>
    </row>
    <row r="62901" spans="1:26" ht="12.75" customHeight="1" x14ac:dyDescent="0.2">
      <c r="A62901" s="258"/>
      <c r="Z62901" s="258"/>
    </row>
    <row r="62902" spans="1:26" ht="12.75" customHeight="1" x14ac:dyDescent="0.2">
      <c r="A62902" s="258"/>
      <c r="Z62902" s="258"/>
    </row>
    <row r="62903" spans="1:26" ht="12.75" customHeight="1" x14ac:dyDescent="0.2">
      <c r="A62903" s="258"/>
      <c r="Z62903" s="258"/>
    </row>
    <row r="62904" spans="1:26" ht="12.75" customHeight="1" x14ac:dyDescent="0.2">
      <c r="A62904" s="258"/>
      <c r="Z62904" s="258"/>
    </row>
    <row r="62905" spans="1:26" ht="12.75" customHeight="1" x14ac:dyDescent="0.2">
      <c r="A62905" s="258"/>
      <c r="Z62905" s="258"/>
    </row>
    <row r="62906" spans="1:26" ht="12.75" customHeight="1" x14ac:dyDescent="0.2">
      <c r="A62906" s="258"/>
      <c r="Z62906" s="258"/>
    </row>
    <row r="62907" spans="1:26" ht="12.75" customHeight="1" x14ac:dyDescent="0.2">
      <c r="A62907" s="258"/>
      <c r="Z62907" s="258"/>
    </row>
    <row r="62908" spans="1:26" ht="12.75" customHeight="1" x14ac:dyDescent="0.2">
      <c r="A62908" s="258"/>
      <c r="Z62908" s="258"/>
    </row>
    <row r="62909" spans="1:26" ht="12.75" customHeight="1" x14ac:dyDescent="0.2">
      <c r="A62909" s="258"/>
      <c r="Z62909" s="258"/>
    </row>
    <row r="62910" spans="1:26" ht="12.75" customHeight="1" x14ac:dyDescent="0.2">
      <c r="A62910" s="258"/>
      <c r="Z62910" s="258"/>
    </row>
    <row r="62911" spans="1:26" ht="12.75" customHeight="1" x14ac:dyDescent="0.2">
      <c r="A62911" s="258"/>
      <c r="Z62911" s="258"/>
    </row>
    <row r="62912" spans="1:26" ht="12.75" customHeight="1" x14ac:dyDescent="0.2">
      <c r="A62912" s="258"/>
      <c r="Z62912" s="258"/>
    </row>
    <row r="62913" spans="1:26" ht="12.75" customHeight="1" x14ac:dyDescent="0.2">
      <c r="A62913" s="258"/>
      <c r="Z62913" s="258"/>
    </row>
    <row r="62914" spans="1:26" ht="12.75" customHeight="1" x14ac:dyDescent="0.2">
      <c r="A62914" s="258"/>
      <c r="Z62914" s="258"/>
    </row>
    <row r="62915" spans="1:26" ht="12.75" customHeight="1" x14ac:dyDescent="0.2">
      <c r="A62915" s="258"/>
      <c r="Z62915" s="258"/>
    </row>
    <row r="62916" spans="1:26" ht="12.75" customHeight="1" x14ac:dyDescent="0.2">
      <c r="A62916" s="258"/>
      <c r="Z62916" s="258"/>
    </row>
    <row r="62917" spans="1:26" ht="12.75" customHeight="1" x14ac:dyDescent="0.2">
      <c r="A62917" s="258"/>
      <c r="Z62917" s="258"/>
    </row>
    <row r="62918" spans="1:26" ht="12.75" customHeight="1" x14ac:dyDescent="0.2">
      <c r="A62918" s="258"/>
      <c r="Z62918" s="258"/>
    </row>
    <row r="62919" spans="1:26" ht="12.75" customHeight="1" x14ac:dyDescent="0.2">
      <c r="A62919" s="258"/>
      <c r="Z62919" s="258"/>
    </row>
    <row r="62920" spans="1:26" ht="12.75" customHeight="1" x14ac:dyDescent="0.2">
      <c r="A62920" s="258"/>
      <c r="Z62920" s="258"/>
    </row>
    <row r="62921" spans="1:26" ht="12.75" customHeight="1" x14ac:dyDescent="0.2">
      <c r="A62921" s="258"/>
      <c r="Z62921" s="258"/>
    </row>
    <row r="62922" spans="1:26" ht="12.75" customHeight="1" x14ac:dyDescent="0.2">
      <c r="A62922" s="258"/>
      <c r="Z62922" s="258"/>
    </row>
    <row r="62923" spans="1:26" ht="12.75" customHeight="1" x14ac:dyDescent="0.2">
      <c r="A62923" s="258"/>
      <c r="Z62923" s="258"/>
    </row>
    <row r="62924" spans="1:26" ht="12.75" customHeight="1" x14ac:dyDescent="0.2">
      <c r="A62924" s="258"/>
      <c r="Z62924" s="258"/>
    </row>
    <row r="62925" spans="1:26" ht="12.75" customHeight="1" x14ac:dyDescent="0.2">
      <c r="A62925" s="258"/>
      <c r="Z62925" s="258"/>
    </row>
    <row r="62926" spans="1:26" ht="12.75" customHeight="1" x14ac:dyDescent="0.2">
      <c r="A62926" s="258"/>
      <c r="Z62926" s="258"/>
    </row>
    <row r="62927" spans="1:26" ht="12.75" customHeight="1" x14ac:dyDescent="0.2">
      <c r="A62927" s="258"/>
      <c r="Z62927" s="258"/>
    </row>
    <row r="62928" spans="1:26" ht="12.75" customHeight="1" x14ac:dyDescent="0.2">
      <c r="A62928" s="258"/>
      <c r="Z62928" s="258"/>
    </row>
    <row r="62929" spans="1:26" ht="12.75" customHeight="1" x14ac:dyDescent="0.2">
      <c r="A62929" s="258"/>
      <c r="Z62929" s="258"/>
    </row>
    <row r="62930" spans="1:26" ht="12.75" customHeight="1" x14ac:dyDescent="0.2">
      <c r="A62930" s="258"/>
      <c r="Z62930" s="258"/>
    </row>
    <row r="62931" spans="1:26" ht="12.75" customHeight="1" x14ac:dyDescent="0.2">
      <c r="A62931" s="258"/>
      <c r="Z62931" s="258"/>
    </row>
    <row r="62932" spans="1:26" ht="12.75" customHeight="1" x14ac:dyDescent="0.2">
      <c r="A62932" s="258"/>
      <c r="Z62932" s="258"/>
    </row>
    <row r="62933" spans="1:26" ht="12.75" customHeight="1" x14ac:dyDescent="0.2">
      <c r="A62933" s="258"/>
      <c r="Z62933" s="258"/>
    </row>
    <row r="62934" spans="1:26" ht="12.75" customHeight="1" x14ac:dyDescent="0.2">
      <c r="A62934" s="258"/>
      <c r="Z62934" s="258"/>
    </row>
    <row r="62935" spans="1:26" ht="12.75" customHeight="1" x14ac:dyDescent="0.2">
      <c r="A62935" s="258"/>
      <c r="Z62935" s="258"/>
    </row>
    <row r="62936" spans="1:26" ht="12.75" customHeight="1" x14ac:dyDescent="0.2">
      <c r="A62936" s="258"/>
      <c r="Z62936" s="258"/>
    </row>
    <row r="62937" spans="1:26" ht="12.75" customHeight="1" x14ac:dyDescent="0.2">
      <c r="A62937" s="258"/>
      <c r="Z62937" s="258"/>
    </row>
    <row r="62938" spans="1:26" ht="12.75" customHeight="1" x14ac:dyDescent="0.2">
      <c r="A62938" s="258"/>
      <c r="Z62938" s="258"/>
    </row>
    <row r="62939" spans="1:26" ht="12.75" customHeight="1" x14ac:dyDescent="0.2">
      <c r="A62939" s="258"/>
      <c r="Z62939" s="258"/>
    </row>
    <row r="62940" spans="1:26" ht="12.75" customHeight="1" x14ac:dyDescent="0.2">
      <c r="A62940" s="258"/>
      <c r="Z62940" s="258"/>
    </row>
    <row r="62941" spans="1:26" ht="12.75" customHeight="1" x14ac:dyDescent="0.2">
      <c r="A62941" s="258"/>
      <c r="Z62941" s="258"/>
    </row>
    <row r="62942" spans="1:26" ht="12.75" customHeight="1" x14ac:dyDescent="0.2">
      <c r="A62942" s="258"/>
      <c r="Z62942" s="258"/>
    </row>
    <row r="62943" spans="1:26" ht="12.75" customHeight="1" x14ac:dyDescent="0.2">
      <c r="A62943" s="258"/>
      <c r="Z62943" s="258"/>
    </row>
    <row r="62944" spans="1:26" ht="12.75" customHeight="1" x14ac:dyDescent="0.2">
      <c r="A62944" s="258"/>
      <c r="Z62944" s="258"/>
    </row>
    <row r="62945" spans="1:26" ht="12.75" customHeight="1" x14ac:dyDescent="0.2">
      <c r="A62945" s="258"/>
      <c r="Z62945" s="258"/>
    </row>
    <row r="62946" spans="1:26" ht="12.75" customHeight="1" x14ac:dyDescent="0.2">
      <c r="A62946" s="258"/>
      <c r="Z62946" s="258"/>
    </row>
    <row r="62947" spans="1:26" ht="12.75" customHeight="1" x14ac:dyDescent="0.2">
      <c r="A62947" s="258"/>
      <c r="Z62947" s="258"/>
    </row>
    <row r="62948" spans="1:26" ht="12.75" customHeight="1" x14ac:dyDescent="0.2">
      <c r="A62948" s="258"/>
      <c r="Z62948" s="258"/>
    </row>
    <row r="62949" spans="1:26" ht="12.75" customHeight="1" x14ac:dyDescent="0.2">
      <c r="A62949" s="258"/>
      <c r="Z62949" s="258"/>
    </row>
    <row r="62950" spans="1:26" ht="12.75" customHeight="1" x14ac:dyDescent="0.2">
      <c r="A62950" s="258"/>
      <c r="Z62950" s="258"/>
    </row>
    <row r="62951" spans="1:26" ht="12.75" customHeight="1" x14ac:dyDescent="0.2">
      <c r="A62951" s="258"/>
      <c r="Z62951" s="258"/>
    </row>
    <row r="62952" spans="1:26" ht="12.75" customHeight="1" x14ac:dyDescent="0.2">
      <c r="A62952" s="258"/>
      <c r="Z62952" s="258"/>
    </row>
    <row r="62953" spans="1:26" ht="12.75" customHeight="1" x14ac:dyDescent="0.2">
      <c r="A62953" s="258"/>
      <c r="Z62953" s="258"/>
    </row>
    <row r="62954" spans="1:26" ht="12.75" customHeight="1" x14ac:dyDescent="0.2">
      <c r="A62954" s="258"/>
      <c r="Z62954" s="258"/>
    </row>
    <row r="62955" spans="1:26" ht="12.75" customHeight="1" x14ac:dyDescent="0.2">
      <c r="A62955" s="258"/>
      <c r="Z62955" s="258"/>
    </row>
    <row r="62956" spans="1:26" ht="12.75" customHeight="1" x14ac:dyDescent="0.2">
      <c r="A62956" s="258"/>
      <c r="Z62956" s="258"/>
    </row>
    <row r="62957" spans="1:26" ht="12.75" customHeight="1" x14ac:dyDescent="0.2">
      <c r="A62957" s="258"/>
      <c r="Z62957" s="258"/>
    </row>
    <row r="62958" spans="1:26" ht="12.75" customHeight="1" x14ac:dyDescent="0.2">
      <c r="A62958" s="258"/>
      <c r="Z62958" s="258"/>
    </row>
    <row r="62959" spans="1:26" ht="12.75" customHeight="1" x14ac:dyDescent="0.2">
      <c r="A62959" s="258"/>
      <c r="Z62959" s="258"/>
    </row>
    <row r="62960" spans="1:26" ht="12.75" customHeight="1" x14ac:dyDescent="0.2">
      <c r="A62960" s="258"/>
      <c r="Z62960" s="258"/>
    </row>
    <row r="62961" spans="1:26" ht="12.75" customHeight="1" x14ac:dyDescent="0.2">
      <c r="A62961" s="258"/>
      <c r="Z62961" s="258"/>
    </row>
    <row r="62962" spans="1:26" ht="12.75" customHeight="1" x14ac:dyDescent="0.2">
      <c r="A62962" s="258"/>
      <c r="Z62962" s="258"/>
    </row>
    <row r="62963" spans="1:26" ht="12.75" customHeight="1" x14ac:dyDescent="0.2">
      <c r="A62963" s="258"/>
      <c r="Z62963" s="258"/>
    </row>
    <row r="62964" spans="1:26" ht="12.75" customHeight="1" x14ac:dyDescent="0.2">
      <c r="A62964" s="258"/>
      <c r="Z62964" s="258"/>
    </row>
    <row r="62965" spans="1:26" ht="12.75" customHeight="1" x14ac:dyDescent="0.2">
      <c r="A62965" s="258"/>
      <c r="Z62965" s="258"/>
    </row>
    <row r="62966" spans="1:26" ht="12.75" customHeight="1" x14ac:dyDescent="0.2">
      <c r="A62966" s="258"/>
      <c r="Z62966" s="258"/>
    </row>
    <row r="62967" spans="1:26" ht="12.75" customHeight="1" x14ac:dyDescent="0.2">
      <c r="A62967" s="258"/>
      <c r="Z62967" s="258"/>
    </row>
    <row r="62968" spans="1:26" ht="12.75" customHeight="1" x14ac:dyDescent="0.2">
      <c r="A62968" s="258"/>
      <c r="Z62968" s="258"/>
    </row>
    <row r="62969" spans="1:26" ht="12.75" customHeight="1" x14ac:dyDescent="0.2">
      <c r="A62969" s="258"/>
      <c r="Z62969" s="258"/>
    </row>
    <row r="62970" spans="1:26" ht="12.75" customHeight="1" x14ac:dyDescent="0.2">
      <c r="A62970" s="258"/>
      <c r="Z62970" s="258"/>
    </row>
    <row r="62971" spans="1:26" ht="12.75" customHeight="1" x14ac:dyDescent="0.2">
      <c r="A62971" s="258"/>
      <c r="Z62971" s="258"/>
    </row>
    <row r="62972" spans="1:26" ht="12.75" customHeight="1" x14ac:dyDescent="0.2">
      <c r="A62972" s="258"/>
      <c r="Z62972" s="258"/>
    </row>
    <row r="62973" spans="1:26" ht="12.75" customHeight="1" x14ac:dyDescent="0.2">
      <c r="A62973" s="258"/>
      <c r="Z62973" s="258"/>
    </row>
    <row r="62974" spans="1:26" ht="12.75" customHeight="1" x14ac:dyDescent="0.2">
      <c r="A62974" s="258"/>
      <c r="Z62974" s="258"/>
    </row>
    <row r="62975" spans="1:26" ht="12.75" customHeight="1" x14ac:dyDescent="0.2">
      <c r="A62975" s="258"/>
      <c r="Z62975" s="258"/>
    </row>
    <row r="62976" spans="1:26" ht="12.75" customHeight="1" x14ac:dyDescent="0.2">
      <c r="A62976" s="258"/>
      <c r="Z62976" s="258"/>
    </row>
    <row r="62977" spans="1:26" ht="12.75" customHeight="1" x14ac:dyDescent="0.2">
      <c r="A62977" s="258"/>
      <c r="Z62977" s="258"/>
    </row>
    <row r="62978" spans="1:26" ht="12.75" customHeight="1" x14ac:dyDescent="0.2">
      <c r="A62978" s="258"/>
      <c r="Z62978" s="258"/>
    </row>
    <row r="62979" spans="1:26" ht="12.75" customHeight="1" x14ac:dyDescent="0.2">
      <c r="A62979" s="258"/>
      <c r="Z62979" s="258"/>
    </row>
    <row r="62980" spans="1:26" ht="12.75" customHeight="1" x14ac:dyDescent="0.2">
      <c r="A62980" s="258"/>
      <c r="Z62980" s="258"/>
    </row>
    <row r="62981" spans="1:26" ht="12.75" customHeight="1" x14ac:dyDescent="0.2">
      <c r="A62981" s="258"/>
      <c r="Z62981" s="258"/>
    </row>
    <row r="62982" spans="1:26" ht="12.75" customHeight="1" x14ac:dyDescent="0.2">
      <c r="A62982" s="258"/>
      <c r="Z62982" s="258"/>
    </row>
    <row r="62983" spans="1:26" ht="12.75" customHeight="1" x14ac:dyDescent="0.2">
      <c r="A62983" s="258"/>
      <c r="Z62983" s="258"/>
    </row>
    <row r="62984" spans="1:26" ht="12.75" customHeight="1" x14ac:dyDescent="0.2">
      <c r="A62984" s="258"/>
      <c r="Z62984" s="258"/>
    </row>
    <row r="62985" spans="1:26" ht="12.75" customHeight="1" x14ac:dyDescent="0.2">
      <c r="A62985" s="258"/>
      <c r="Z62985" s="258"/>
    </row>
    <row r="62986" spans="1:26" ht="12.75" customHeight="1" x14ac:dyDescent="0.2">
      <c r="A62986" s="258"/>
      <c r="Z62986" s="258"/>
    </row>
    <row r="62987" spans="1:26" ht="12.75" customHeight="1" x14ac:dyDescent="0.2">
      <c r="A62987" s="258"/>
      <c r="Z62987" s="258"/>
    </row>
    <row r="62988" spans="1:26" ht="12.75" customHeight="1" x14ac:dyDescent="0.2">
      <c r="A62988" s="258"/>
      <c r="Z62988" s="258"/>
    </row>
    <row r="62989" spans="1:26" ht="12.75" customHeight="1" x14ac:dyDescent="0.2">
      <c r="A62989" s="258"/>
      <c r="Z62989" s="258"/>
    </row>
    <row r="62990" spans="1:26" ht="12.75" customHeight="1" x14ac:dyDescent="0.2">
      <c r="A62990" s="258"/>
      <c r="Z62990" s="258"/>
    </row>
    <row r="62991" spans="1:26" ht="12.75" customHeight="1" x14ac:dyDescent="0.2">
      <c r="A62991" s="258"/>
      <c r="Z62991" s="258"/>
    </row>
    <row r="62992" spans="1:26" ht="12.75" customHeight="1" x14ac:dyDescent="0.2">
      <c r="A62992" s="258"/>
      <c r="Z62992" s="258"/>
    </row>
    <row r="62993" spans="1:26" ht="12.75" customHeight="1" x14ac:dyDescent="0.2">
      <c r="A62993" s="258"/>
      <c r="Z62993" s="258"/>
    </row>
    <row r="62994" spans="1:26" ht="12.75" customHeight="1" x14ac:dyDescent="0.2">
      <c r="A62994" s="258"/>
      <c r="Z62994" s="258"/>
    </row>
    <row r="62995" spans="1:26" ht="12.75" customHeight="1" x14ac:dyDescent="0.2">
      <c r="A62995" s="258"/>
      <c r="Z62995" s="258"/>
    </row>
    <row r="62996" spans="1:26" ht="12.75" customHeight="1" x14ac:dyDescent="0.2">
      <c r="A62996" s="258"/>
      <c r="Z62996" s="258"/>
    </row>
    <row r="62997" spans="1:26" ht="12.75" customHeight="1" x14ac:dyDescent="0.2">
      <c r="A62997" s="258"/>
      <c r="Z62997" s="258"/>
    </row>
    <row r="62998" spans="1:26" ht="12.75" customHeight="1" x14ac:dyDescent="0.2">
      <c r="A62998" s="258"/>
      <c r="Z62998" s="258"/>
    </row>
    <row r="62999" spans="1:26" ht="12.75" customHeight="1" x14ac:dyDescent="0.2">
      <c r="A62999" s="258"/>
      <c r="Z62999" s="258"/>
    </row>
    <row r="63000" spans="1:26" ht="12.75" customHeight="1" x14ac:dyDescent="0.2">
      <c r="A63000" s="258"/>
      <c r="Z63000" s="258"/>
    </row>
    <row r="63001" spans="1:26" ht="12.75" customHeight="1" x14ac:dyDescent="0.2">
      <c r="A63001" s="258"/>
      <c r="Z63001" s="258"/>
    </row>
    <row r="63002" spans="1:26" ht="12.75" customHeight="1" x14ac:dyDescent="0.2">
      <c r="A63002" s="258"/>
      <c r="Z63002" s="258"/>
    </row>
    <row r="63003" spans="1:26" ht="12.75" customHeight="1" x14ac:dyDescent="0.2">
      <c r="A63003" s="258"/>
      <c r="Z63003" s="258"/>
    </row>
    <row r="63004" spans="1:26" ht="12.75" customHeight="1" x14ac:dyDescent="0.2">
      <c r="A63004" s="258"/>
      <c r="Z63004" s="258"/>
    </row>
    <row r="63005" spans="1:26" ht="12.75" customHeight="1" x14ac:dyDescent="0.2">
      <c r="A63005" s="258"/>
      <c r="Z63005" s="258"/>
    </row>
    <row r="63006" spans="1:26" ht="12.75" customHeight="1" x14ac:dyDescent="0.2">
      <c r="A63006" s="258"/>
      <c r="Z63006" s="258"/>
    </row>
    <row r="63007" spans="1:26" ht="12.75" customHeight="1" x14ac:dyDescent="0.2">
      <c r="A63007" s="258"/>
      <c r="Z63007" s="258"/>
    </row>
    <row r="63008" spans="1:26" ht="12.75" customHeight="1" x14ac:dyDescent="0.2">
      <c r="A63008" s="258"/>
      <c r="Z63008" s="258"/>
    </row>
    <row r="63009" spans="1:26" ht="12.75" customHeight="1" x14ac:dyDescent="0.2">
      <c r="A63009" s="258"/>
      <c r="Z63009" s="258"/>
    </row>
    <row r="63010" spans="1:26" ht="12.75" customHeight="1" x14ac:dyDescent="0.2">
      <c r="A63010" s="258"/>
      <c r="Z63010" s="258"/>
    </row>
    <row r="63011" spans="1:26" ht="12.75" customHeight="1" x14ac:dyDescent="0.2">
      <c r="A63011" s="258"/>
      <c r="Z63011" s="258"/>
    </row>
    <row r="63012" spans="1:26" ht="12.75" customHeight="1" x14ac:dyDescent="0.2">
      <c r="A63012" s="258"/>
      <c r="Z63012" s="258"/>
    </row>
    <row r="63013" spans="1:26" ht="12.75" customHeight="1" x14ac:dyDescent="0.2">
      <c r="A63013" s="258"/>
      <c r="Z63013" s="258"/>
    </row>
    <row r="63014" spans="1:26" ht="12.75" customHeight="1" x14ac:dyDescent="0.2">
      <c r="A63014" s="258"/>
      <c r="Z63014" s="258"/>
    </row>
    <row r="63015" spans="1:26" ht="12.75" customHeight="1" x14ac:dyDescent="0.2">
      <c r="A63015" s="258"/>
      <c r="Z63015" s="258"/>
    </row>
    <row r="63016" spans="1:26" ht="12.75" customHeight="1" x14ac:dyDescent="0.2">
      <c r="A63016" s="258"/>
      <c r="Z63016" s="258"/>
    </row>
    <row r="63017" spans="1:26" ht="12.75" customHeight="1" x14ac:dyDescent="0.2">
      <c r="A63017" s="258"/>
      <c r="Z63017" s="258"/>
    </row>
    <row r="63018" spans="1:26" ht="12.75" customHeight="1" x14ac:dyDescent="0.2">
      <c r="A63018" s="258"/>
      <c r="Z63018" s="258"/>
    </row>
    <row r="63019" spans="1:26" ht="12.75" customHeight="1" x14ac:dyDescent="0.2">
      <c r="A63019" s="258"/>
      <c r="Z63019" s="258"/>
    </row>
    <row r="63020" spans="1:26" ht="12.75" customHeight="1" x14ac:dyDescent="0.2">
      <c r="A63020" s="258"/>
      <c r="Z63020" s="258"/>
    </row>
    <row r="63021" spans="1:26" ht="12.75" customHeight="1" x14ac:dyDescent="0.2">
      <c r="A63021" s="258"/>
      <c r="Z63021" s="258"/>
    </row>
    <row r="63022" spans="1:26" ht="12.75" customHeight="1" x14ac:dyDescent="0.2">
      <c r="A63022" s="258"/>
      <c r="Z63022" s="258"/>
    </row>
    <row r="63023" spans="1:26" ht="12.75" customHeight="1" x14ac:dyDescent="0.2">
      <c r="A63023" s="258"/>
      <c r="Z63023" s="258"/>
    </row>
    <row r="63024" spans="1:26" ht="12.75" customHeight="1" x14ac:dyDescent="0.2">
      <c r="A63024" s="258"/>
      <c r="Z63024" s="258"/>
    </row>
    <row r="63025" spans="1:26" ht="12.75" customHeight="1" x14ac:dyDescent="0.2">
      <c r="A63025" s="258"/>
      <c r="Z63025" s="258"/>
    </row>
    <row r="63026" spans="1:26" ht="12.75" customHeight="1" x14ac:dyDescent="0.2">
      <c r="A63026" s="258"/>
      <c r="Z63026" s="258"/>
    </row>
    <row r="63027" spans="1:26" ht="12.75" customHeight="1" x14ac:dyDescent="0.2">
      <c r="A63027" s="258"/>
      <c r="Z63027" s="258"/>
    </row>
    <row r="63028" spans="1:26" ht="12.75" customHeight="1" x14ac:dyDescent="0.2">
      <c r="A63028" s="258"/>
      <c r="Z63028" s="258"/>
    </row>
    <row r="63029" spans="1:26" ht="12.75" customHeight="1" x14ac:dyDescent="0.2">
      <c r="A63029" s="258"/>
      <c r="Z63029" s="258"/>
    </row>
    <row r="63030" spans="1:26" ht="12.75" customHeight="1" x14ac:dyDescent="0.2">
      <c r="A63030" s="258"/>
      <c r="Z63030" s="258"/>
    </row>
    <row r="63031" spans="1:26" ht="12.75" customHeight="1" x14ac:dyDescent="0.2">
      <c r="A63031" s="258"/>
      <c r="Z63031" s="258"/>
    </row>
    <row r="63032" spans="1:26" ht="12.75" customHeight="1" x14ac:dyDescent="0.2">
      <c r="A63032" s="258"/>
      <c r="Z63032" s="258"/>
    </row>
    <row r="63033" spans="1:26" ht="12.75" customHeight="1" x14ac:dyDescent="0.2">
      <c r="A63033" s="258"/>
      <c r="Z63033" s="258"/>
    </row>
    <row r="63034" spans="1:26" ht="12.75" customHeight="1" x14ac:dyDescent="0.2">
      <c r="A63034" s="258"/>
      <c r="Z63034" s="258"/>
    </row>
    <row r="63035" spans="1:26" ht="12.75" customHeight="1" x14ac:dyDescent="0.2">
      <c r="A63035" s="258"/>
      <c r="Z63035" s="258"/>
    </row>
    <row r="63036" spans="1:26" ht="12.75" customHeight="1" x14ac:dyDescent="0.2">
      <c r="A63036" s="258"/>
      <c r="Z63036" s="258"/>
    </row>
    <row r="63037" spans="1:26" ht="12.75" customHeight="1" x14ac:dyDescent="0.2">
      <c r="A63037" s="258"/>
      <c r="Z63037" s="258"/>
    </row>
    <row r="63038" spans="1:26" ht="12.75" customHeight="1" x14ac:dyDescent="0.2">
      <c r="A63038" s="258"/>
      <c r="Z63038" s="258"/>
    </row>
    <row r="63039" spans="1:26" ht="12.75" customHeight="1" x14ac:dyDescent="0.2">
      <c r="A63039" s="258"/>
      <c r="Z63039" s="258"/>
    </row>
    <row r="63040" spans="1:26" ht="12.75" customHeight="1" x14ac:dyDescent="0.2">
      <c r="A63040" s="258"/>
      <c r="Z63040" s="258"/>
    </row>
    <row r="63041" spans="1:26" ht="12.75" customHeight="1" x14ac:dyDescent="0.2">
      <c r="A63041" s="258"/>
      <c r="Z63041" s="258"/>
    </row>
    <row r="63042" spans="1:26" ht="12.75" customHeight="1" x14ac:dyDescent="0.2">
      <c r="A63042" s="258"/>
      <c r="Z63042" s="258"/>
    </row>
    <row r="63043" spans="1:26" ht="12.75" customHeight="1" x14ac:dyDescent="0.2">
      <c r="A63043" s="258"/>
      <c r="Z63043" s="258"/>
    </row>
    <row r="63044" spans="1:26" ht="12.75" customHeight="1" x14ac:dyDescent="0.2">
      <c r="A63044" s="258"/>
      <c r="Z63044" s="258"/>
    </row>
    <row r="63045" spans="1:26" ht="12.75" customHeight="1" x14ac:dyDescent="0.2">
      <c r="A63045" s="258"/>
      <c r="Z63045" s="258"/>
    </row>
    <row r="63046" spans="1:26" ht="12.75" customHeight="1" x14ac:dyDescent="0.2">
      <c r="A63046" s="258"/>
      <c r="Z63046" s="258"/>
    </row>
    <row r="63047" spans="1:26" ht="12.75" customHeight="1" x14ac:dyDescent="0.2">
      <c r="A63047" s="258"/>
      <c r="Z63047" s="258"/>
    </row>
    <row r="63048" spans="1:26" ht="12.75" customHeight="1" x14ac:dyDescent="0.2">
      <c r="A63048" s="258"/>
      <c r="Z63048" s="258"/>
    </row>
    <row r="63049" spans="1:26" ht="12.75" customHeight="1" x14ac:dyDescent="0.2">
      <c r="A63049" s="258"/>
      <c r="Z63049" s="258"/>
    </row>
    <row r="63050" spans="1:26" ht="12.75" customHeight="1" x14ac:dyDescent="0.2">
      <c r="A63050" s="258"/>
      <c r="Z63050" s="258"/>
    </row>
    <row r="63051" spans="1:26" ht="12.75" customHeight="1" x14ac:dyDescent="0.2">
      <c r="A63051" s="258"/>
      <c r="Z63051" s="258"/>
    </row>
    <row r="63052" spans="1:26" ht="12.75" customHeight="1" x14ac:dyDescent="0.2">
      <c r="A63052" s="258"/>
      <c r="Z63052" s="258"/>
    </row>
    <row r="63053" spans="1:26" ht="12.75" customHeight="1" x14ac:dyDescent="0.2">
      <c r="A63053" s="258"/>
      <c r="Z63053" s="258"/>
    </row>
    <row r="63054" spans="1:26" ht="12.75" customHeight="1" x14ac:dyDescent="0.2">
      <c r="A63054" s="258"/>
      <c r="Z63054" s="258"/>
    </row>
    <row r="63055" spans="1:26" ht="12.75" customHeight="1" x14ac:dyDescent="0.2">
      <c r="A63055" s="258"/>
      <c r="Z63055" s="258"/>
    </row>
    <row r="63056" spans="1:26" ht="12.75" customHeight="1" x14ac:dyDescent="0.2">
      <c r="A63056" s="258"/>
      <c r="Z63056" s="258"/>
    </row>
    <row r="63057" spans="1:26" ht="12.75" customHeight="1" x14ac:dyDescent="0.2">
      <c r="A63057" s="258"/>
      <c r="Z63057" s="258"/>
    </row>
    <row r="63058" spans="1:26" ht="12.75" customHeight="1" x14ac:dyDescent="0.2">
      <c r="A63058" s="258"/>
      <c r="Z63058" s="258"/>
    </row>
    <row r="63059" spans="1:26" ht="12.75" customHeight="1" x14ac:dyDescent="0.2">
      <c r="A63059" s="258"/>
      <c r="Z63059" s="258"/>
    </row>
    <row r="63060" spans="1:26" ht="12.75" customHeight="1" x14ac:dyDescent="0.2">
      <c r="A63060" s="258"/>
      <c r="Z63060" s="258"/>
    </row>
    <row r="63061" spans="1:26" ht="12.75" customHeight="1" x14ac:dyDescent="0.2">
      <c r="A63061" s="258"/>
      <c r="Z63061" s="258"/>
    </row>
    <row r="63062" spans="1:26" ht="12.75" customHeight="1" x14ac:dyDescent="0.2">
      <c r="A63062" s="258"/>
      <c r="Z63062" s="258"/>
    </row>
    <row r="63063" spans="1:26" ht="12.75" customHeight="1" x14ac:dyDescent="0.2">
      <c r="A63063" s="258"/>
      <c r="Z63063" s="258"/>
    </row>
    <row r="63064" spans="1:26" ht="12.75" customHeight="1" x14ac:dyDescent="0.2">
      <c r="A63064" s="258"/>
      <c r="Z63064" s="258"/>
    </row>
    <row r="63065" spans="1:26" ht="12.75" customHeight="1" x14ac:dyDescent="0.2">
      <c r="A63065" s="258"/>
      <c r="Z63065" s="258"/>
    </row>
    <row r="63066" spans="1:26" ht="12.75" customHeight="1" x14ac:dyDescent="0.2">
      <c r="A63066" s="258"/>
      <c r="Z63066" s="258"/>
    </row>
    <row r="63067" spans="1:26" ht="12.75" customHeight="1" x14ac:dyDescent="0.2">
      <c r="A63067" s="258"/>
      <c r="Z63067" s="258"/>
    </row>
    <row r="63068" spans="1:26" ht="12.75" customHeight="1" x14ac:dyDescent="0.2">
      <c r="A63068" s="258"/>
      <c r="Z63068" s="258"/>
    </row>
    <row r="63069" spans="1:26" ht="12.75" customHeight="1" x14ac:dyDescent="0.2">
      <c r="A63069" s="258"/>
      <c r="Z63069" s="258"/>
    </row>
    <row r="63070" spans="1:26" ht="12.75" customHeight="1" x14ac:dyDescent="0.2">
      <c r="A63070" s="258"/>
      <c r="Z63070" s="258"/>
    </row>
    <row r="63071" spans="1:26" ht="12.75" customHeight="1" x14ac:dyDescent="0.2">
      <c r="A63071" s="258"/>
      <c r="Z63071" s="258"/>
    </row>
    <row r="63072" spans="1:26" ht="12.75" customHeight="1" x14ac:dyDescent="0.2">
      <c r="A63072" s="258"/>
      <c r="Z63072" s="258"/>
    </row>
    <row r="63073" spans="1:26" ht="12.75" customHeight="1" x14ac:dyDescent="0.2">
      <c r="A63073" s="258"/>
      <c r="Z63073" s="258"/>
    </row>
    <row r="63074" spans="1:26" ht="12.75" customHeight="1" x14ac:dyDescent="0.2">
      <c r="A63074" s="258"/>
      <c r="Z63074" s="258"/>
    </row>
    <row r="63075" spans="1:26" ht="12.75" customHeight="1" x14ac:dyDescent="0.2">
      <c r="A63075" s="258"/>
      <c r="Z63075" s="258"/>
    </row>
    <row r="63076" spans="1:26" ht="12.75" customHeight="1" x14ac:dyDescent="0.2">
      <c r="A63076" s="258"/>
      <c r="Z63076" s="258"/>
    </row>
    <row r="63077" spans="1:26" ht="12.75" customHeight="1" x14ac:dyDescent="0.2">
      <c r="A63077" s="258"/>
      <c r="Z63077" s="258"/>
    </row>
    <row r="63078" spans="1:26" ht="12.75" customHeight="1" x14ac:dyDescent="0.2">
      <c r="A63078" s="258"/>
      <c r="Z63078" s="258"/>
    </row>
    <row r="63079" spans="1:26" ht="12.75" customHeight="1" x14ac:dyDescent="0.2">
      <c r="A63079" s="258"/>
      <c r="Z63079" s="258"/>
    </row>
    <row r="63080" spans="1:26" ht="12.75" customHeight="1" x14ac:dyDescent="0.2">
      <c r="A63080" s="258"/>
      <c r="Z63080" s="258"/>
    </row>
    <row r="63081" spans="1:26" ht="12.75" customHeight="1" x14ac:dyDescent="0.2">
      <c r="A63081" s="258"/>
      <c r="Z63081" s="258"/>
    </row>
    <row r="63082" spans="1:26" ht="12.75" customHeight="1" x14ac:dyDescent="0.2">
      <c r="A63082" s="258"/>
      <c r="Z63082" s="258"/>
    </row>
    <row r="63083" spans="1:26" ht="12.75" customHeight="1" x14ac:dyDescent="0.2">
      <c r="A63083" s="258"/>
      <c r="Z63083" s="258"/>
    </row>
    <row r="63084" spans="1:26" ht="12.75" customHeight="1" x14ac:dyDescent="0.2">
      <c r="A63084" s="258"/>
      <c r="Z63084" s="258"/>
    </row>
    <row r="63085" spans="1:26" ht="12.75" customHeight="1" x14ac:dyDescent="0.2">
      <c r="A63085" s="258"/>
      <c r="Z63085" s="258"/>
    </row>
    <row r="63086" spans="1:26" ht="12.75" customHeight="1" x14ac:dyDescent="0.2">
      <c r="A63086" s="258"/>
      <c r="Z63086" s="258"/>
    </row>
    <row r="63087" spans="1:26" ht="12.75" customHeight="1" x14ac:dyDescent="0.2">
      <c r="A63087" s="258"/>
      <c r="Z63087" s="258"/>
    </row>
    <row r="63088" spans="1:26" ht="12.75" customHeight="1" x14ac:dyDescent="0.2">
      <c r="A63088" s="258"/>
      <c r="Z63088" s="258"/>
    </row>
    <row r="63089" spans="1:26" ht="12.75" customHeight="1" x14ac:dyDescent="0.2">
      <c r="A63089" s="258"/>
      <c r="Z63089" s="258"/>
    </row>
    <row r="63090" spans="1:26" ht="12.75" customHeight="1" x14ac:dyDescent="0.2">
      <c r="A63090" s="258"/>
      <c r="Z63090" s="258"/>
    </row>
    <row r="63091" spans="1:26" ht="12.75" customHeight="1" x14ac:dyDescent="0.2">
      <c r="A63091" s="258"/>
      <c r="Z63091" s="258"/>
    </row>
    <row r="63092" spans="1:26" ht="12.75" customHeight="1" x14ac:dyDescent="0.2">
      <c r="A63092" s="258"/>
      <c r="Z63092" s="258"/>
    </row>
    <row r="63093" spans="1:26" ht="12.75" customHeight="1" x14ac:dyDescent="0.2">
      <c r="A63093" s="258"/>
      <c r="Z63093" s="258"/>
    </row>
    <row r="63094" spans="1:26" ht="12.75" customHeight="1" x14ac:dyDescent="0.2">
      <c r="A63094" s="258"/>
      <c r="Z63094" s="258"/>
    </row>
    <row r="63095" spans="1:26" ht="12.75" customHeight="1" x14ac:dyDescent="0.2">
      <c r="A63095" s="258"/>
      <c r="Z63095" s="258"/>
    </row>
    <row r="63096" spans="1:26" ht="12.75" customHeight="1" x14ac:dyDescent="0.2">
      <c r="A63096" s="258"/>
      <c r="Z63096" s="258"/>
    </row>
    <row r="63097" spans="1:26" ht="12.75" customHeight="1" x14ac:dyDescent="0.2">
      <c r="A63097" s="258"/>
      <c r="Z63097" s="258"/>
    </row>
    <row r="63098" spans="1:26" ht="12.75" customHeight="1" x14ac:dyDescent="0.2">
      <c r="A63098" s="258"/>
      <c r="Z63098" s="258"/>
    </row>
    <row r="63099" spans="1:26" ht="12.75" customHeight="1" x14ac:dyDescent="0.2">
      <c r="A63099" s="258"/>
      <c r="Z63099" s="258"/>
    </row>
    <row r="63100" spans="1:26" ht="12.75" customHeight="1" x14ac:dyDescent="0.2">
      <c r="A63100" s="258"/>
      <c r="Z63100" s="258"/>
    </row>
    <row r="63101" spans="1:26" ht="12.75" customHeight="1" x14ac:dyDescent="0.2">
      <c r="A63101" s="258"/>
      <c r="Z63101" s="258"/>
    </row>
    <row r="63102" spans="1:26" ht="12.75" customHeight="1" x14ac:dyDescent="0.2">
      <c r="A63102" s="258"/>
      <c r="Z63102" s="258"/>
    </row>
    <row r="63103" spans="1:26" ht="12.75" customHeight="1" x14ac:dyDescent="0.2">
      <c r="A63103" s="258"/>
      <c r="Z63103" s="258"/>
    </row>
    <row r="63104" spans="1:26" ht="12.75" customHeight="1" x14ac:dyDescent="0.2">
      <c r="A63104" s="258"/>
      <c r="Z63104" s="258"/>
    </row>
    <row r="63105" spans="1:26" ht="12.75" customHeight="1" x14ac:dyDescent="0.2">
      <c r="A63105" s="258"/>
      <c r="Z63105" s="258"/>
    </row>
    <row r="63106" spans="1:26" ht="12.75" customHeight="1" x14ac:dyDescent="0.2">
      <c r="A63106" s="258"/>
      <c r="Z63106" s="258"/>
    </row>
    <row r="63107" spans="1:26" ht="12.75" customHeight="1" x14ac:dyDescent="0.2">
      <c r="A63107" s="258"/>
      <c r="Z63107" s="258"/>
    </row>
    <row r="63108" spans="1:26" ht="12.75" customHeight="1" x14ac:dyDescent="0.2">
      <c r="A63108" s="258"/>
      <c r="Z63108" s="258"/>
    </row>
    <row r="63109" spans="1:26" ht="12.75" customHeight="1" x14ac:dyDescent="0.2">
      <c r="A63109" s="258"/>
      <c r="Z63109" s="258"/>
    </row>
    <row r="63110" spans="1:26" ht="12.75" customHeight="1" x14ac:dyDescent="0.2">
      <c r="A63110" s="258"/>
      <c r="Z63110" s="258"/>
    </row>
    <row r="63111" spans="1:26" ht="12.75" customHeight="1" x14ac:dyDescent="0.2">
      <c r="A63111" s="258"/>
      <c r="Z63111" s="258"/>
    </row>
    <row r="63112" spans="1:26" ht="12.75" customHeight="1" x14ac:dyDescent="0.2">
      <c r="A63112" s="258"/>
      <c r="Z63112" s="258"/>
    </row>
    <row r="63113" spans="1:26" ht="12.75" customHeight="1" x14ac:dyDescent="0.2">
      <c r="A63113" s="258"/>
      <c r="Z63113" s="258"/>
    </row>
    <row r="63114" spans="1:26" ht="12.75" customHeight="1" x14ac:dyDescent="0.2">
      <c r="A63114" s="258"/>
      <c r="Z63114" s="258"/>
    </row>
    <row r="63115" spans="1:26" ht="12.75" customHeight="1" x14ac:dyDescent="0.2">
      <c r="A63115" s="258"/>
      <c r="Z63115" s="258"/>
    </row>
    <row r="63116" spans="1:26" ht="12.75" customHeight="1" x14ac:dyDescent="0.2">
      <c r="A63116" s="258"/>
      <c r="Z63116" s="258"/>
    </row>
    <row r="63117" spans="1:26" ht="12.75" customHeight="1" x14ac:dyDescent="0.2">
      <c r="A63117" s="258"/>
      <c r="Z63117" s="258"/>
    </row>
    <row r="63118" spans="1:26" ht="12.75" customHeight="1" x14ac:dyDescent="0.2">
      <c r="A63118" s="258"/>
      <c r="Z63118" s="258"/>
    </row>
    <row r="63119" spans="1:26" ht="12.75" customHeight="1" x14ac:dyDescent="0.2">
      <c r="A63119" s="258"/>
      <c r="Z63119" s="258"/>
    </row>
    <row r="63120" spans="1:26" ht="12.75" customHeight="1" x14ac:dyDescent="0.2">
      <c r="A63120" s="258"/>
      <c r="Z63120" s="258"/>
    </row>
    <row r="63121" spans="1:26" ht="12.75" customHeight="1" x14ac:dyDescent="0.2">
      <c r="A63121" s="258"/>
      <c r="Z63121" s="258"/>
    </row>
    <row r="63122" spans="1:26" ht="12.75" customHeight="1" x14ac:dyDescent="0.2">
      <c r="A63122" s="258"/>
      <c r="Z63122" s="258"/>
    </row>
    <row r="63123" spans="1:26" ht="12.75" customHeight="1" x14ac:dyDescent="0.2">
      <c r="A63123" s="258"/>
      <c r="Z63123" s="258"/>
    </row>
    <row r="63124" spans="1:26" ht="12.75" customHeight="1" x14ac:dyDescent="0.2">
      <c r="A63124" s="258"/>
      <c r="Z63124" s="258"/>
    </row>
    <row r="63125" spans="1:26" ht="12.75" customHeight="1" x14ac:dyDescent="0.2">
      <c r="A63125" s="258"/>
      <c r="Z63125" s="258"/>
    </row>
    <row r="63126" spans="1:26" ht="12.75" customHeight="1" x14ac:dyDescent="0.2">
      <c r="A63126" s="258"/>
      <c r="Z63126" s="258"/>
    </row>
    <row r="63127" spans="1:26" ht="12.75" customHeight="1" x14ac:dyDescent="0.2">
      <c r="A63127" s="258"/>
      <c r="Z63127" s="258"/>
    </row>
    <row r="63128" spans="1:26" ht="12.75" customHeight="1" x14ac:dyDescent="0.2">
      <c r="A63128" s="258"/>
      <c r="Z63128" s="258"/>
    </row>
    <row r="63129" spans="1:26" ht="12.75" customHeight="1" x14ac:dyDescent="0.2">
      <c r="A63129" s="258"/>
      <c r="Z63129" s="258"/>
    </row>
    <row r="63130" spans="1:26" ht="12.75" customHeight="1" x14ac:dyDescent="0.2">
      <c r="A63130" s="258"/>
      <c r="Z63130" s="258"/>
    </row>
    <row r="63131" spans="1:26" ht="12.75" customHeight="1" x14ac:dyDescent="0.2">
      <c r="A63131" s="258"/>
      <c r="Z63131" s="258"/>
    </row>
    <row r="63132" spans="1:26" ht="12.75" customHeight="1" x14ac:dyDescent="0.2">
      <c r="A63132" s="258"/>
      <c r="Z63132" s="258"/>
    </row>
    <row r="63133" spans="1:26" ht="12.75" customHeight="1" x14ac:dyDescent="0.2">
      <c r="A63133" s="258"/>
      <c r="Z63133" s="258"/>
    </row>
    <row r="63134" spans="1:26" ht="12.75" customHeight="1" x14ac:dyDescent="0.2">
      <c r="A63134" s="258"/>
      <c r="Z63134" s="258"/>
    </row>
    <row r="63135" spans="1:26" ht="12.75" customHeight="1" x14ac:dyDescent="0.2">
      <c r="A63135" s="258"/>
      <c r="Z63135" s="258"/>
    </row>
    <row r="63136" spans="1:26" ht="12.75" customHeight="1" x14ac:dyDescent="0.2">
      <c r="A63136" s="258"/>
      <c r="Z63136" s="258"/>
    </row>
    <row r="63137" spans="1:26" ht="12.75" customHeight="1" x14ac:dyDescent="0.2">
      <c r="A63137" s="258"/>
      <c r="Z63137" s="258"/>
    </row>
    <row r="63138" spans="1:26" ht="12.75" customHeight="1" x14ac:dyDescent="0.2">
      <c r="A63138" s="258"/>
      <c r="Z63138" s="258"/>
    </row>
    <row r="63139" spans="1:26" ht="12.75" customHeight="1" x14ac:dyDescent="0.2">
      <c r="A63139" s="258"/>
      <c r="Z63139" s="258"/>
    </row>
    <row r="63140" spans="1:26" ht="12.75" customHeight="1" x14ac:dyDescent="0.2">
      <c r="A63140" s="258"/>
      <c r="Z63140" s="258"/>
    </row>
    <row r="63141" spans="1:26" ht="12.75" customHeight="1" x14ac:dyDescent="0.2">
      <c r="A63141" s="258"/>
      <c r="Z63141" s="258"/>
    </row>
    <row r="63142" spans="1:26" ht="12.75" customHeight="1" x14ac:dyDescent="0.2">
      <c r="A63142" s="258"/>
      <c r="Z63142" s="258"/>
    </row>
    <row r="63143" spans="1:26" ht="12.75" customHeight="1" x14ac:dyDescent="0.2">
      <c r="A63143" s="258"/>
      <c r="Z63143" s="258"/>
    </row>
    <row r="63144" spans="1:26" ht="12.75" customHeight="1" x14ac:dyDescent="0.2">
      <c r="A63144" s="258"/>
      <c r="Z63144" s="258"/>
    </row>
    <row r="63145" spans="1:26" ht="12.75" customHeight="1" x14ac:dyDescent="0.2">
      <c r="A63145" s="258"/>
      <c r="Z63145" s="258"/>
    </row>
    <row r="63146" spans="1:26" ht="12.75" customHeight="1" x14ac:dyDescent="0.2">
      <c r="A63146" s="258"/>
      <c r="Z63146" s="258"/>
    </row>
    <row r="63147" spans="1:26" ht="12.75" customHeight="1" x14ac:dyDescent="0.2">
      <c r="A63147" s="258"/>
      <c r="Z63147" s="258"/>
    </row>
    <row r="63148" spans="1:26" ht="12.75" customHeight="1" x14ac:dyDescent="0.2">
      <c r="A63148" s="258"/>
      <c r="Z63148" s="258"/>
    </row>
    <row r="63149" spans="1:26" ht="12.75" customHeight="1" x14ac:dyDescent="0.2">
      <c r="A63149" s="258"/>
      <c r="Z63149" s="258"/>
    </row>
    <row r="63150" spans="1:26" ht="12.75" customHeight="1" x14ac:dyDescent="0.2">
      <c r="A63150" s="258"/>
      <c r="Z63150" s="258"/>
    </row>
    <row r="63151" spans="1:26" ht="12.75" customHeight="1" x14ac:dyDescent="0.2">
      <c r="A63151" s="258"/>
      <c r="Z63151" s="258"/>
    </row>
    <row r="63152" spans="1:26" ht="12.75" customHeight="1" x14ac:dyDescent="0.2">
      <c r="A63152" s="258"/>
      <c r="Z63152" s="258"/>
    </row>
    <row r="63153" spans="1:26" ht="12.75" customHeight="1" x14ac:dyDescent="0.2">
      <c r="A63153" s="258"/>
      <c r="Z63153" s="258"/>
    </row>
    <row r="63154" spans="1:26" ht="12.75" customHeight="1" x14ac:dyDescent="0.2">
      <c r="A63154" s="258"/>
      <c r="Z63154" s="258"/>
    </row>
    <row r="63155" spans="1:26" ht="12.75" customHeight="1" x14ac:dyDescent="0.2">
      <c r="A63155" s="258"/>
      <c r="Z63155" s="258"/>
    </row>
    <row r="63156" spans="1:26" ht="12.75" customHeight="1" x14ac:dyDescent="0.2">
      <c r="A63156" s="258"/>
      <c r="Z63156" s="258"/>
    </row>
    <row r="63157" spans="1:26" ht="12.75" customHeight="1" x14ac:dyDescent="0.2">
      <c r="A63157" s="258"/>
      <c r="Z63157" s="258"/>
    </row>
    <row r="63158" spans="1:26" ht="12.75" customHeight="1" x14ac:dyDescent="0.2">
      <c r="A63158" s="258"/>
      <c r="Z63158" s="258"/>
    </row>
    <row r="63159" spans="1:26" ht="12.75" customHeight="1" x14ac:dyDescent="0.2">
      <c r="A63159" s="258"/>
      <c r="Z63159" s="258"/>
    </row>
    <row r="63160" spans="1:26" ht="12.75" customHeight="1" x14ac:dyDescent="0.2">
      <c r="A63160" s="258"/>
      <c r="Z63160" s="258"/>
    </row>
    <row r="63161" spans="1:26" ht="12.75" customHeight="1" x14ac:dyDescent="0.2">
      <c r="A63161" s="258"/>
      <c r="Z63161" s="258"/>
    </row>
    <row r="63162" spans="1:26" ht="12.75" customHeight="1" x14ac:dyDescent="0.2">
      <c r="A63162" s="258"/>
      <c r="Z63162" s="258"/>
    </row>
    <row r="63163" spans="1:26" ht="12.75" customHeight="1" x14ac:dyDescent="0.2">
      <c r="A63163" s="258"/>
      <c r="Z63163" s="258"/>
    </row>
    <row r="63164" spans="1:26" ht="12.75" customHeight="1" x14ac:dyDescent="0.2">
      <c r="A63164" s="258"/>
      <c r="Z63164" s="258"/>
    </row>
    <row r="63165" spans="1:26" ht="12.75" customHeight="1" x14ac:dyDescent="0.2">
      <c r="A63165" s="258"/>
      <c r="Z63165" s="258"/>
    </row>
    <row r="63166" spans="1:26" ht="12.75" customHeight="1" x14ac:dyDescent="0.2">
      <c r="A63166" s="258"/>
      <c r="Z63166" s="258"/>
    </row>
    <row r="63167" spans="1:26" ht="12.75" customHeight="1" x14ac:dyDescent="0.2">
      <c r="A63167" s="258"/>
      <c r="Z63167" s="258"/>
    </row>
    <row r="63168" spans="1:26" ht="12.75" customHeight="1" x14ac:dyDescent="0.2">
      <c r="A63168" s="258"/>
      <c r="Z63168" s="258"/>
    </row>
    <row r="63169" spans="1:26" ht="12.75" customHeight="1" x14ac:dyDescent="0.2">
      <c r="A63169" s="258"/>
      <c r="Z63169" s="258"/>
    </row>
    <row r="63170" spans="1:26" ht="12.75" customHeight="1" x14ac:dyDescent="0.2">
      <c r="A63170" s="258"/>
      <c r="Z63170" s="258"/>
    </row>
    <row r="63171" spans="1:26" ht="12.75" customHeight="1" x14ac:dyDescent="0.2">
      <c r="A63171" s="258"/>
      <c r="Z63171" s="258"/>
    </row>
    <row r="63172" spans="1:26" ht="12.75" customHeight="1" x14ac:dyDescent="0.2">
      <c r="A63172" s="258"/>
      <c r="Z63172" s="258"/>
    </row>
    <row r="63173" spans="1:26" ht="12.75" customHeight="1" x14ac:dyDescent="0.2">
      <c r="A63173" s="258"/>
      <c r="Z63173" s="258"/>
    </row>
    <row r="63174" spans="1:26" ht="12.75" customHeight="1" x14ac:dyDescent="0.2">
      <c r="A63174" s="258"/>
      <c r="Z63174" s="258"/>
    </row>
    <row r="63175" spans="1:26" ht="12.75" customHeight="1" x14ac:dyDescent="0.2">
      <c r="A63175" s="258"/>
      <c r="Z63175" s="258"/>
    </row>
    <row r="63176" spans="1:26" ht="12.75" customHeight="1" x14ac:dyDescent="0.2">
      <c r="A63176" s="258"/>
      <c r="Z63176" s="258"/>
    </row>
    <row r="63177" spans="1:26" ht="12.75" customHeight="1" x14ac:dyDescent="0.2">
      <c r="A63177" s="258"/>
      <c r="Z63177" s="258"/>
    </row>
    <row r="63178" spans="1:26" ht="12.75" customHeight="1" x14ac:dyDescent="0.2">
      <c r="A63178" s="258"/>
      <c r="Z63178" s="258"/>
    </row>
    <row r="63179" spans="1:26" ht="12.75" customHeight="1" x14ac:dyDescent="0.2">
      <c r="A63179" s="258"/>
      <c r="Z63179" s="258"/>
    </row>
    <row r="63180" spans="1:26" ht="12.75" customHeight="1" x14ac:dyDescent="0.2">
      <c r="A63180" s="258"/>
      <c r="Z63180" s="258"/>
    </row>
    <row r="63181" spans="1:26" ht="12.75" customHeight="1" x14ac:dyDescent="0.2">
      <c r="A63181" s="258"/>
      <c r="Z63181" s="258"/>
    </row>
    <row r="63182" spans="1:26" ht="12.75" customHeight="1" x14ac:dyDescent="0.2">
      <c r="A63182" s="258"/>
      <c r="Z63182" s="258"/>
    </row>
    <row r="63183" spans="1:26" ht="12.75" customHeight="1" x14ac:dyDescent="0.2">
      <c r="A63183" s="258"/>
      <c r="Z63183" s="258"/>
    </row>
    <row r="63184" spans="1:26" ht="12.75" customHeight="1" x14ac:dyDescent="0.2">
      <c r="A63184" s="258"/>
      <c r="Z63184" s="258"/>
    </row>
    <row r="63185" spans="1:26" ht="12.75" customHeight="1" x14ac:dyDescent="0.2">
      <c r="A63185" s="258"/>
      <c r="Z63185" s="258"/>
    </row>
    <row r="63186" spans="1:26" ht="12.75" customHeight="1" x14ac:dyDescent="0.2">
      <c r="A63186" s="258"/>
      <c r="Z63186" s="258"/>
    </row>
    <row r="63187" spans="1:26" ht="12.75" customHeight="1" x14ac:dyDescent="0.2">
      <c r="A63187" s="258"/>
      <c r="Z63187" s="258"/>
    </row>
    <row r="63188" spans="1:26" ht="12.75" customHeight="1" x14ac:dyDescent="0.2">
      <c r="A63188" s="258"/>
      <c r="Z63188" s="258"/>
    </row>
    <row r="63189" spans="1:26" ht="12.75" customHeight="1" x14ac:dyDescent="0.2">
      <c r="A63189" s="258"/>
      <c r="Z63189" s="258"/>
    </row>
    <row r="63190" spans="1:26" ht="12.75" customHeight="1" x14ac:dyDescent="0.2">
      <c r="A63190" s="258"/>
      <c r="Z63190" s="258"/>
    </row>
    <row r="63191" spans="1:26" ht="12.75" customHeight="1" x14ac:dyDescent="0.2">
      <c r="A63191" s="258"/>
      <c r="Z63191" s="258"/>
    </row>
    <row r="63192" spans="1:26" ht="12.75" customHeight="1" x14ac:dyDescent="0.2">
      <c r="A63192" s="258"/>
      <c r="Z63192" s="258"/>
    </row>
    <row r="63193" spans="1:26" ht="12.75" customHeight="1" x14ac:dyDescent="0.2">
      <c r="A63193" s="258"/>
      <c r="Z63193" s="258"/>
    </row>
    <row r="63194" spans="1:26" ht="12.75" customHeight="1" x14ac:dyDescent="0.2">
      <c r="A63194" s="258"/>
      <c r="Z63194" s="258"/>
    </row>
    <row r="63195" spans="1:26" ht="12.75" customHeight="1" x14ac:dyDescent="0.2">
      <c r="A63195" s="258"/>
      <c r="Z63195" s="258"/>
    </row>
    <row r="63196" spans="1:26" ht="12.75" customHeight="1" x14ac:dyDescent="0.2">
      <c r="A63196" s="258"/>
      <c r="Z63196" s="258"/>
    </row>
    <row r="63197" spans="1:26" ht="12.75" customHeight="1" x14ac:dyDescent="0.2">
      <c r="A63197" s="258"/>
      <c r="Z63197" s="258"/>
    </row>
    <row r="63198" spans="1:26" ht="12.75" customHeight="1" x14ac:dyDescent="0.2">
      <c r="A63198" s="258"/>
      <c r="Z63198" s="258"/>
    </row>
    <row r="63199" spans="1:26" ht="12.75" customHeight="1" x14ac:dyDescent="0.2">
      <c r="A63199" s="258"/>
      <c r="Z63199" s="258"/>
    </row>
    <row r="63200" spans="1:26" ht="12.75" customHeight="1" x14ac:dyDescent="0.2">
      <c r="A63200" s="258"/>
      <c r="Z63200" s="258"/>
    </row>
    <row r="63201" spans="1:26" ht="12.75" customHeight="1" x14ac:dyDescent="0.2">
      <c r="A63201" s="258"/>
      <c r="Z63201" s="258"/>
    </row>
    <row r="63202" spans="1:26" ht="12.75" customHeight="1" x14ac:dyDescent="0.2">
      <c r="A63202" s="258"/>
      <c r="Z63202" s="258"/>
    </row>
    <row r="63203" spans="1:26" ht="12.75" customHeight="1" x14ac:dyDescent="0.2">
      <c r="A63203" s="258"/>
      <c r="Z63203" s="258"/>
    </row>
    <row r="63204" spans="1:26" ht="12.75" customHeight="1" x14ac:dyDescent="0.2">
      <c r="A63204" s="258"/>
      <c r="Z63204" s="258"/>
    </row>
    <row r="63205" spans="1:26" ht="12.75" customHeight="1" x14ac:dyDescent="0.2">
      <c r="A63205" s="258"/>
      <c r="Z63205" s="258"/>
    </row>
    <row r="63206" spans="1:26" ht="12.75" customHeight="1" x14ac:dyDescent="0.2">
      <c r="A63206" s="258"/>
      <c r="Z63206" s="258"/>
    </row>
    <row r="63207" spans="1:26" ht="12.75" customHeight="1" x14ac:dyDescent="0.2">
      <c r="A63207" s="258"/>
      <c r="Z63207" s="258"/>
    </row>
    <row r="63208" spans="1:26" ht="12.75" customHeight="1" x14ac:dyDescent="0.2">
      <c r="A63208" s="258"/>
      <c r="Z63208" s="258"/>
    </row>
    <row r="63209" spans="1:26" ht="12.75" customHeight="1" x14ac:dyDescent="0.2">
      <c r="A63209" s="258"/>
      <c r="Z63209" s="258"/>
    </row>
    <row r="63210" spans="1:26" ht="12.75" customHeight="1" x14ac:dyDescent="0.2">
      <c r="A63210" s="258"/>
      <c r="Z63210" s="258"/>
    </row>
    <row r="63211" spans="1:26" ht="12.75" customHeight="1" x14ac:dyDescent="0.2">
      <c r="A63211" s="258"/>
      <c r="Z63211" s="258"/>
    </row>
    <row r="63212" spans="1:26" ht="12.75" customHeight="1" x14ac:dyDescent="0.2">
      <c r="A63212" s="258"/>
      <c r="Z63212" s="258"/>
    </row>
    <row r="63213" spans="1:26" ht="12.75" customHeight="1" x14ac:dyDescent="0.2">
      <c r="A63213" s="258"/>
      <c r="Z63213" s="258"/>
    </row>
    <row r="63214" spans="1:26" ht="12.75" customHeight="1" x14ac:dyDescent="0.2">
      <c r="A63214" s="258"/>
      <c r="Z63214" s="258"/>
    </row>
    <row r="63215" spans="1:26" ht="12.75" customHeight="1" x14ac:dyDescent="0.2">
      <c r="A63215" s="258"/>
      <c r="Z63215" s="258"/>
    </row>
    <row r="63216" spans="1:26" ht="12.75" customHeight="1" x14ac:dyDescent="0.2">
      <c r="A63216" s="258"/>
      <c r="Z63216" s="258"/>
    </row>
    <row r="63217" spans="1:26" ht="12.75" customHeight="1" x14ac:dyDescent="0.2">
      <c r="A63217" s="258"/>
      <c r="Z63217" s="258"/>
    </row>
    <row r="63218" spans="1:26" ht="12.75" customHeight="1" x14ac:dyDescent="0.2">
      <c r="A63218" s="258"/>
      <c r="Z63218" s="258"/>
    </row>
    <row r="63219" spans="1:26" ht="12.75" customHeight="1" x14ac:dyDescent="0.2">
      <c r="A63219" s="258"/>
      <c r="Z63219" s="258"/>
    </row>
    <row r="63220" spans="1:26" ht="12.75" customHeight="1" x14ac:dyDescent="0.2">
      <c r="A63220" s="258"/>
      <c r="Z63220" s="258"/>
    </row>
    <row r="63221" spans="1:26" ht="12.75" customHeight="1" x14ac:dyDescent="0.2">
      <c r="A63221" s="258"/>
      <c r="Z63221" s="258"/>
    </row>
    <row r="63222" spans="1:26" ht="12.75" customHeight="1" x14ac:dyDescent="0.2">
      <c r="A63222" s="258"/>
      <c r="Z63222" s="258"/>
    </row>
    <row r="63223" spans="1:26" ht="12.75" customHeight="1" x14ac:dyDescent="0.2">
      <c r="A63223" s="258"/>
      <c r="Z63223" s="258"/>
    </row>
    <row r="63224" spans="1:26" ht="12.75" customHeight="1" x14ac:dyDescent="0.2">
      <c r="A63224" s="258"/>
      <c r="Z63224" s="258"/>
    </row>
    <row r="63225" spans="1:26" ht="12.75" customHeight="1" x14ac:dyDescent="0.2">
      <c r="A63225" s="258"/>
      <c r="Z63225" s="258"/>
    </row>
    <row r="63226" spans="1:26" ht="12.75" customHeight="1" x14ac:dyDescent="0.2">
      <c r="A63226" s="258"/>
      <c r="Z63226" s="258"/>
    </row>
    <row r="63227" spans="1:26" ht="12.75" customHeight="1" x14ac:dyDescent="0.2">
      <c r="A63227" s="258"/>
      <c r="Z63227" s="258"/>
    </row>
    <row r="63228" spans="1:26" ht="12.75" customHeight="1" x14ac:dyDescent="0.2">
      <c r="A63228" s="258"/>
      <c r="Z63228" s="258"/>
    </row>
    <row r="63229" spans="1:26" ht="12.75" customHeight="1" x14ac:dyDescent="0.2">
      <c r="A63229" s="258"/>
      <c r="Z63229" s="258"/>
    </row>
    <row r="63230" spans="1:26" ht="12.75" customHeight="1" x14ac:dyDescent="0.2">
      <c r="A63230" s="258"/>
      <c r="Z63230" s="258"/>
    </row>
    <row r="63231" spans="1:26" ht="12.75" customHeight="1" x14ac:dyDescent="0.2">
      <c r="A63231" s="258"/>
      <c r="Z63231" s="258"/>
    </row>
    <row r="63232" spans="1:26" ht="12.75" customHeight="1" x14ac:dyDescent="0.2">
      <c r="A63232" s="258"/>
      <c r="Z63232" s="258"/>
    </row>
    <row r="63233" spans="1:26" ht="12.75" customHeight="1" x14ac:dyDescent="0.2">
      <c r="A63233" s="258"/>
      <c r="Z63233" s="258"/>
    </row>
    <row r="63234" spans="1:26" ht="12.75" customHeight="1" x14ac:dyDescent="0.2">
      <c r="A63234" s="258"/>
      <c r="Z63234" s="258"/>
    </row>
    <row r="63235" spans="1:26" ht="12.75" customHeight="1" x14ac:dyDescent="0.2">
      <c r="A63235" s="258"/>
      <c r="Z63235" s="258"/>
    </row>
    <row r="63236" spans="1:26" ht="12.75" customHeight="1" x14ac:dyDescent="0.2">
      <c r="A63236" s="258"/>
      <c r="Z63236" s="258"/>
    </row>
    <row r="63237" spans="1:26" ht="12.75" customHeight="1" x14ac:dyDescent="0.2">
      <c r="A63237" s="258"/>
      <c r="Z63237" s="258"/>
    </row>
    <row r="63238" spans="1:26" ht="12.75" customHeight="1" x14ac:dyDescent="0.2">
      <c r="A63238" s="258"/>
      <c r="Z63238" s="258"/>
    </row>
    <row r="63239" spans="1:26" ht="12.75" customHeight="1" x14ac:dyDescent="0.2">
      <c r="A63239" s="258"/>
      <c r="Z63239" s="258"/>
    </row>
    <row r="63240" spans="1:26" ht="12.75" customHeight="1" x14ac:dyDescent="0.2">
      <c r="A63240" s="258"/>
      <c r="Z63240" s="258"/>
    </row>
    <row r="63241" spans="1:26" ht="12.75" customHeight="1" x14ac:dyDescent="0.2">
      <c r="A63241" s="258"/>
      <c r="Z63241" s="258"/>
    </row>
    <row r="63242" spans="1:26" ht="12.75" customHeight="1" x14ac:dyDescent="0.2">
      <c r="A63242" s="258"/>
      <c r="Z63242" s="258"/>
    </row>
    <row r="63243" spans="1:26" ht="12.75" customHeight="1" x14ac:dyDescent="0.2">
      <c r="A63243" s="258"/>
      <c r="Z63243" s="258"/>
    </row>
    <row r="63244" spans="1:26" ht="12.75" customHeight="1" x14ac:dyDescent="0.2">
      <c r="A63244" s="258"/>
      <c r="Z63244" s="258"/>
    </row>
    <row r="63245" spans="1:26" ht="12.75" customHeight="1" x14ac:dyDescent="0.2">
      <c r="A63245" s="258"/>
      <c r="Z63245" s="258"/>
    </row>
    <row r="63246" spans="1:26" ht="12.75" customHeight="1" x14ac:dyDescent="0.2">
      <c r="A63246" s="258"/>
      <c r="Z63246" s="258"/>
    </row>
    <row r="63247" spans="1:26" ht="12.75" customHeight="1" x14ac:dyDescent="0.2">
      <c r="A63247" s="258"/>
      <c r="Z63247" s="258"/>
    </row>
    <row r="63248" spans="1:26" ht="12.75" customHeight="1" x14ac:dyDescent="0.2">
      <c r="A63248" s="258"/>
      <c r="Z63248" s="258"/>
    </row>
    <row r="63249" spans="1:26" ht="12.75" customHeight="1" x14ac:dyDescent="0.2">
      <c r="A63249" s="258"/>
      <c r="Z63249" s="258"/>
    </row>
    <row r="63250" spans="1:26" ht="12.75" customHeight="1" x14ac:dyDescent="0.2">
      <c r="A63250" s="258"/>
      <c r="Z63250" s="258"/>
    </row>
    <row r="63251" spans="1:26" ht="12.75" customHeight="1" x14ac:dyDescent="0.2">
      <c r="A63251" s="258"/>
      <c r="Z63251" s="258"/>
    </row>
    <row r="63252" spans="1:26" ht="12.75" customHeight="1" x14ac:dyDescent="0.2">
      <c r="A63252" s="258"/>
      <c r="Z63252" s="258"/>
    </row>
    <row r="63253" spans="1:26" ht="12.75" customHeight="1" x14ac:dyDescent="0.2">
      <c r="A63253" s="258"/>
      <c r="Z63253" s="258"/>
    </row>
    <row r="63254" spans="1:26" ht="12.75" customHeight="1" x14ac:dyDescent="0.2">
      <c r="A63254" s="258"/>
      <c r="Z63254" s="258"/>
    </row>
    <row r="63255" spans="1:26" ht="12.75" customHeight="1" x14ac:dyDescent="0.2">
      <c r="A63255" s="258"/>
      <c r="Z63255" s="258"/>
    </row>
    <row r="63256" spans="1:26" ht="12.75" customHeight="1" x14ac:dyDescent="0.2">
      <c r="A63256" s="258"/>
      <c r="Z63256" s="258"/>
    </row>
    <row r="63257" spans="1:26" ht="12.75" customHeight="1" x14ac:dyDescent="0.2">
      <c r="A63257" s="258"/>
      <c r="Z63257" s="258"/>
    </row>
    <row r="63258" spans="1:26" ht="12.75" customHeight="1" x14ac:dyDescent="0.2">
      <c r="A63258" s="258"/>
      <c r="Z63258" s="258"/>
    </row>
    <row r="63259" spans="1:26" ht="12.75" customHeight="1" x14ac:dyDescent="0.2">
      <c r="A63259" s="258"/>
      <c r="Z63259" s="258"/>
    </row>
    <row r="63260" spans="1:26" ht="12.75" customHeight="1" x14ac:dyDescent="0.2">
      <c r="A63260" s="258"/>
      <c r="Z63260" s="258"/>
    </row>
    <row r="63261" spans="1:26" ht="12.75" customHeight="1" x14ac:dyDescent="0.2">
      <c r="A63261" s="258"/>
      <c r="Z63261" s="258"/>
    </row>
    <row r="63262" spans="1:26" ht="12.75" customHeight="1" x14ac:dyDescent="0.2">
      <c r="A63262" s="258"/>
      <c r="Z63262" s="258"/>
    </row>
    <row r="63263" spans="1:26" ht="12.75" customHeight="1" x14ac:dyDescent="0.2">
      <c r="A63263" s="258"/>
      <c r="Z63263" s="258"/>
    </row>
    <row r="63264" spans="1:26" ht="12.75" customHeight="1" x14ac:dyDescent="0.2">
      <c r="A63264" s="258"/>
      <c r="Z63264" s="258"/>
    </row>
    <row r="63265" spans="1:26" ht="12.75" customHeight="1" x14ac:dyDescent="0.2">
      <c r="A63265" s="258"/>
      <c r="Z63265" s="258"/>
    </row>
    <row r="63266" spans="1:26" ht="12.75" customHeight="1" x14ac:dyDescent="0.2">
      <c r="A63266" s="258"/>
      <c r="Z63266" s="258"/>
    </row>
    <row r="63267" spans="1:26" ht="12.75" customHeight="1" x14ac:dyDescent="0.2">
      <c r="A63267" s="258"/>
      <c r="Z63267" s="258"/>
    </row>
    <row r="63268" spans="1:26" ht="12.75" customHeight="1" x14ac:dyDescent="0.2">
      <c r="A63268" s="258"/>
      <c r="Z63268" s="258"/>
    </row>
    <row r="63269" spans="1:26" ht="12.75" customHeight="1" x14ac:dyDescent="0.2">
      <c r="A63269" s="258"/>
      <c r="Z63269" s="258"/>
    </row>
    <row r="63270" spans="1:26" ht="12.75" customHeight="1" x14ac:dyDescent="0.2">
      <c r="A63270" s="258"/>
      <c r="Z63270" s="258"/>
    </row>
    <row r="63271" spans="1:26" ht="12.75" customHeight="1" x14ac:dyDescent="0.2">
      <c r="A63271" s="258"/>
      <c r="Z63271" s="258"/>
    </row>
    <row r="63272" spans="1:26" ht="12.75" customHeight="1" x14ac:dyDescent="0.2">
      <c r="A63272" s="258"/>
      <c r="Z63272" s="258"/>
    </row>
    <row r="63273" spans="1:26" ht="12.75" customHeight="1" x14ac:dyDescent="0.2">
      <c r="A63273" s="258"/>
      <c r="Z63273" s="258"/>
    </row>
    <row r="63274" spans="1:26" ht="12.75" customHeight="1" x14ac:dyDescent="0.2">
      <c r="A63274" s="258"/>
      <c r="Z63274" s="258"/>
    </row>
    <row r="63275" spans="1:26" ht="12.75" customHeight="1" x14ac:dyDescent="0.2">
      <c r="A63275" s="258"/>
      <c r="Z63275" s="258"/>
    </row>
    <row r="63276" spans="1:26" ht="12.75" customHeight="1" x14ac:dyDescent="0.2">
      <c r="A63276" s="258"/>
      <c r="Z63276" s="258"/>
    </row>
    <row r="63277" spans="1:26" ht="12.75" customHeight="1" x14ac:dyDescent="0.2">
      <c r="A63277" s="258"/>
      <c r="Z63277" s="258"/>
    </row>
    <row r="63278" spans="1:26" ht="12.75" customHeight="1" x14ac:dyDescent="0.2">
      <c r="A63278" s="258"/>
      <c r="Z63278" s="258"/>
    </row>
    <row r="63279" spans="1:26" ht="12.75" customHeight="1" x14ac:dyDescent="0.2">
      <c r="A63279" s="258"/>
      <c r="Z63279" s="258"/>
    </row>
    <row r="63280" spans="1:26" ht="12.75" customHeight="1" x14ac:dyDescent="0.2">
      <c r="A63280" s="258"/>
      <c r="Z63280" s="258"/>
    </row>
    <row r="63281" spans="1:26" ht="12.75" customHeight="1" x14ac:dyDescent="0.2">
      <c r="A63281" s="258"/>
      <c r="Z63281" s="258"/>
    </row>
    <row r="63282" spans="1:26" ht="12.75" customHeight="1" x14ac:dyDescent="0.2">
      <c r="A63282" s="258"/>
      <c r="Z63282" s="258"/>
    </row>
    <row r="63283" spans="1:26" ht="12.75" customHeight="1" x14ac:dyDescent="0.2">
      <c r="A63283" s="258"/>
      <c r="Z63283" s="258"/>
    </row>
    <row r="63284" spans="1:26" ht="12.75" customHeight="1" x14ac:dyDescent="0.2">
      <c r="A63284" s="258"/>
      <c r="Z63284" s="258"/>
    </row>
    <row r="63285" spans="1:26" ht="12.75" customHeight="1" x14ac:dyDescent="0.2">
      <c r="A63285" s="258"/>
      <c r="Z63285" s="258"/>
    </row>
    <row r="63286" spans="1:26" ht="12.75" customHeight="1" x14ac:dyDescent="0.2">
      <c r="A63286" s="258"/>
      <c r="Z63286" s="258"/>
    </row>
    <row r="63287" spans="1:26" ht="12.75" customHeight="1" x14ac:dyDescent="0.2">
      <c r="A63287" s="258"/>
      <c r="Z63287" s="258"/>
    </row>
    <row r="63288" spans="1:26" ht="12.75" customHeight="1" x14ac:dyDescent="0.2">
      <c r="A63288" s="258"/>
      <c r="Z63288" s="258"/>
    </row>
    <row r="63289" spans="1:26" ht="12.75" customHeight="1" x14ac:dyDescent="0.2">
      <c r="A63289" s="258"/>
      <c r="Z63289" s="258"/>
    </row>
    <row r="63290" spans="1:26" ht="12.75" customHeight="1" x14ac:dyDescent="0.2">
      <c r="A63290" s="258"/>
      <c r="Z63290" s="258"/>
    </row>
    <row r="63291" spans="1:26" ht="12.75" customHeight="1" x14ac:dyDescent="0.2">
      <c r="A63291" s="258"/>
      <c r="Z63291" s="258"/>
    </row>
    <row r="63292" spans="1:26" ht="12.75" customHeight="1" x14ac:dyDescent="0.2">
      <c r="A63292" s="258"/>
      <c r="Z63292" s="258"/>
    </row>
    <row r="63293" spans="1:26" ht="12.75" customHeight="1" x14ac:dyDescent="0.2">
      <c r="A63293" s="258"/>
      <c r="Z63293" s="258"/>
    </row>
    <row r="63294" spans="1:26" ht="12.75" customHeight="1" x14ac:dyDescent="0.2">
      <c r="A63294" s="258"/>
      <c r="Z63294" s="258"/>
    </row>
    <row r="63295" spans="1:26" ht="12.75" customHeight="1" x14ac:dyDescent="0.2">
      <c r="A63295" s="258"/>
      <c r="Z63295" s="258"/>
    </row>
    <row r="63296" spans="1:26" ht="12.75" customHeight="1" x14ac:dyDescent="0.2">
      <c r="A63296" s="258"/>
      <c r="Z63296" s="258"/>
    </row>
    <row r="63297" spans="1:26" ht="12.75" customHeight="1" x14ac:dyDescent="0.2">
      <c r="A63297" s="258"/>
      <c r="Z63297" s="258"/>
    </row>
    <row r="63298" spans="1:26" ht="12.75" customHeight="1" x14ac:dyDescent="0.2">
      <c r="A63298" s="258"/>
      <c r="Z63298" s="258"/>
    </row>
    <row r="63299" spans="1:26" ht="12.75" customHeight="1" x14ac:dyDescent="0.2">
      <c r="A63299" s="258"/>
      <c r="Z63299" s="258"/>
    </row>
    <row r="63300" spans="1:26" ht="12.75" customHeight="1" x14ac:dyDescent="0.2">
      <c r="A63300" s="258"/>
      <c r="Z63300" s="258"/>
    </row>
    <row r="63301" spans="1:26" ht="12.75" customHeight="1" x14ac:dyDescent="0.2">
      <c r="A63301" s="258"/>
      <c r="Z63301" s="258"/>
    </row>
    <row r="63302" spans="1:26" ht="12.75" customHeight="1" x14ac:dyDescent="0.2">
      <c r="A63302" s="258"/>
      <c r="Z63302" s="258"/>
    </row>
    <row r="63303" spans="1:26" ht="12.75" customHeight="1" x14ac:dyDescent="0.2">
      <c r="A63303" s="258"/>
      <c r="Z63303" s="258"/>
    </row>
    <row r="63304" spans="1:26" ht="12.75" customHeight="1" x14ac:dyDescent="0.2">
      <c r="A63304" s="258"/>
      <c r="Z63304" s="258"/>
    </row>
    <row r="63305" spans="1:26" ht="12.75" customHeight="1" x14ac:dyDescent="0.2">
      <c r="A63305" s="258"/>
      <c r="Z63305" s="258"/>
    </row>
    <row r="63306" spans="1:26" ht="12.75" customHeight="1" x14ac:dyDescent="0.2">
      <c r="A63306" s="258"/>
      <c r="Z63306" s="258"/>
    </row>
    <row r="63307" spans="1:26" ht="12.75" customHeight="1" x14ac:dyDescent="0.2">
      <c r="A63307" s="258"/>
      <c r="Z63307" s="258"/>
    </row>
    <row r="63308" spans="1:26" ht="12.75" customHeight="1" x14ac:dyDescent="0.2">
      <c r="A63308" s="258"/>
      <c r="Z63308" s="258"/>
    </row>
    <row r="63309" spans="1:26" ht="12.75" customHeight="1" x14ac:dyDescent="0.2">
      <c r="A63309" s="258"/>
      <c r="Z63309" s="258"/>
    </row>
    <row r="63310" spans="1:26" ht="12.75" customHeight="1" x14ac:dyDescent="0.2">
      <c r="A63310" s="258"/>
      <c r="Z63310" s="258"/>
    </row>
    <row r="63311" spans="1:26" ht="12.75" customHeight="1" x14ac:dyDescent="0.2">
      <c r="A63311" s="258"/>
      <c r="Z63311" s="258"/>
    </row>
    <row r="63312" spans="1:26" ht="12.75" customHeight="1" x14ac:dyDescent="0.2">
      <c r="A63312" s="258"/>
      <c r="Z63312" s="258"/>
    </row>
    <row r="63313" spans="1:26" ht="12.75" customHeight="1" x14ac:dyDescent="0.2">
      <c r="A63313" s="258"/>
      <c r="Z63313" s="258"/>
    </row>
    <row r="63314" spans="1:26" ht="12.75" customHeight="1" x14ac:dyDescent="0.2">
      <c r="A63314" s="258"/>
      <c r="Z63314" s="258"/>
    </row>
    <row r="63315" spans="1:26" ht="12.75" customHeight="1" x14ac:dyDescent="0.2">
      <c r="A63315" s="258"/>
      <c r="Z63315" s="258"/>
    </row>
    <row r="63316" spans="1:26" ht="12.75" customHeight="1" x14ac:dyDescent="0.2">
      <c r="A63316" s="258"/>
      <c r="Z63316" s="258"/>
    </row>
    <row r="63317" spans="1:26" ht="12.75" customHeight="1" x14ac:dyDescent="0.2">
      <c r="A63317" s="258"/>
      <c r="Z63317" s="258"/>
    </row>
    <row r="63318" spans="1:26" ht="12.75" customHeight="1" x14ac:dyDescent="0.2">
      <c r="A63318" s="258"/>
      <c r="Z63318" s="258"/>
    </row>
    <row r="63319" spans="1:26" ht="12.75" customHeight="1" x14ac:dyDescent="0.2">
      <c r="A63319" s="258"/>
      <c r="Z63319" s="258"/>
    </row>
    <row r="63320" spans="1:26" ht="12.75" customHeight="1" x14ac:dyDescent="0.2">
      <c r="A63320" s="258"/>
      <c r="Z63320" s="258"/>
    </row>
    <row r="63321" spans="1:26" ht="12.75" customHeight="1" x14ac:dyDescent="0.2">
      <c r="A63321" s="258"/>
      <c r="Z63321" s="258"/>
    </row>
    <row r="63322" spans="1:26" ht="12.75" customHeight="1" x14ac:dyDescent="0.2">
      <c r="A63322" s="258"/>
      <c r="Z63322" s="258"/>
    </row>
    <row r="63323" spans="1:26" ht="12.75" customHeight="1" x14ac:dyDescent="0.2">
      <c r="A63323" s="258"/>
      <c r="Z63323" s="258"/>
    </row>
    <row r="63324" spans="1:26" ht="12.75" customHeight="1" x14ac:dyDescent="0.2">
      <c r="A63324" s="258"/>
      <c r="Z63324" s="258"/>
    </row>
    <row r="63325" spans="1:26" ht="12.75" customHeight="1" x14ac:dyDescent="0.2">
      <c r="A63325" s="258"/>
      <c r="Z63325" s="258"/>
    </row>
    <row r="63326" spans="1:26" ht="12.75" customHeight="1" x14ac:dyDescent="0.2">
      <c r="A63326" s="258"/>
      <c r="Z63326" s="258"/>
    </row>
    <row r="63327" spans="1:26" ht="12.75" customHeight="1" x14ac:dyDescent="0.2">
      <c r="A63327" s="258"/>
      <c r="Z63327" s="258"/>
    </row>
    <row r="63328" spans="1:26" ht="12.75" customHeight="1" x14ac:dyDescent="0.2">
      <c r="A63328" s="258"/>
      <c r="Z63328" s="258"/>
    </row>
    <row r="63329" spans="1:26" ht="12.75" customHeight="1" x14ac:dyDescent="0.2">
      <c r="A63329" s="258"/>
      <c r="Z63329" s="258"/>
    </row>
    <row r="63330" spans="1:26" ht="12.75" customHeight="1" x14ac:dyDescent="0.2">
      <c r="A63330" s="258"/>
      <c r="Z63330" s="258"/>
    </row>
    <row r="63331" spans="1:26" ht="12.75" customHeight="1" x14ac:dyDescent="0.2">
      <c r="A63331" s="258"/>
      <c r="Z63331" s="258"/>
    </row>
    <row r="63332" spans="1:26" ht="12.75" customHeight="1" x14ac:dyDescent="0.2">
      <c r="A63332" s="258"/>
      <c r="Z63332" s="258"/>
    </row>
    <row r="63333" spans="1:26" ht="12.75" customHeight="1" x14ac:dyDescent="0.2">
      <c r="A63333" s="258"/>
      <c r="Z63333" s="258"/>
    </row>
    <row r="63334" spans="1:26" ht="12.75" customHeight="1" x14ac:dyDescent="0.2">
      <c r="A63334" s="258"/>
      <c r="Z63334" s="258"/>
    </row>
    <row r="63335" spans="1:26" ht="12.75" customHeight="1" x14ac:dyDescent="0.2">
      <c r="A63335" s="258"/>
      <c r="Z63335" s="258"/>
    </row>
    <row r="63336" spans="1:26" ht="12.75" customHeight="1" x14ac:dyDescent="0.2">
      <c r="A63336" s="258"/>
      <c r="Z63336" s="258"/>
    </row>
    <row r="63337" spans="1:26" ht="12.75" customHeight="1" x14ac:dyDescent="0.2">
      <c r="A63337" s="258"/>
      <c r="Z63337" s="258"/>
    </row>
    <row r="63338" spans="1:26" ht="12.75" customHeight="1" x14ac:dyDescent="0.2">
      <c r="A63338" s="258"/>
      <c r="Z63338" s="258"/>
    </row>
    <row r="63339" spans="1:26" ht="12.75" customHeight="1" x14ac:dyDescent="0.2">
      <c r="A63339" s="258"/>
      <c r="Z63339" s="258"/>
    </row>
    <row r="63340" spans="1:26" ht="12.75" customHeight="1" x14ac:dyDescent="0.2">
      <c r="A63340" s="258"/>
      <c r="Z63340" s="258"/>
    </row>
    <row r="63341" spans="1:26" ht="12.75" customHeight="1" x14ac:dyDescent="0.2">
      <c r="A63341" s="258"/>
      <c r="Z63341" s="258"/>
    </row>
    <row r="63342" spans="1:26" ht="12.75" customHeight="1" x14ac:dyDescent="0.2">
      <c r="A63342" s="258"/>
      <c r="Z63342" s="258"/>
    </row>
    <row r="63343" spans="1:26" ht="12.75" customHeight="1" x14ac:dyDescent="0.2">
      <c r="A63343" s="258"/>
      <c r="Z63343" s="258"/>
    </row>
    <row r="63344" spans="1:26" ht="12.75" customHeight="1" x14ac:dyDescent="0.2">
      <c r="A63344" s="258"/>
      <c r="Z63344" s="258"/>
    </row>
    <row r="63345" spans="1:26" ht="12.75" customHeight="1" x14ac:dyDescent="0.2">
      <c r="A63345" s="258"/>
      <c r="Z63345" s="258"/>
    </row>
    <row r="63346" spans="1:26" ht="12.75" customHeight="1" x14ac:dyDescent="0.2">
      <c r="A63346" s="258"/>
      <c r="Z63346" s="258"/>
    </row>
    <row r="63347" spans="1:26" ht="12.75" customHeight="1" x14ac:dyDescent="0.2">
      <c r="A63347" s="258"/>
      <c r="Z63347" s="258"/>
    </row>
    <row r="63348" spans="1:26" ht="12.75" customHeight="1" x14ac:dyDescent="0.2">
      <c r="A63348" s="258"/>
      <c r="Z63348" s="258"/>
    </row>
    <row r="63349" spans="1:26" ht="12.75" customHeight="1" x14ac:dyDescent="0.2">
      <c r="A63349" s="258"/>
      <c r="Z63349" s="258"/>
    </row>
    <row r="63350" spans="1:26" ht="12.75" customHeight="1" x14ac:dyDescent="0.2">
      <c r="A63350" s="258"/>
      <c r="Z63350" s="258"/>
    </row>
    <row r="63351" spans="1:26" ht="12.75" customHeight="1" x14ac:dyDescent="0.2">
      <c r="A63351" s="258"/>
      <c r="Z63351" s="258"/>
    </row>
    <row r="63352" spans="1:26" ht="12.75" customHeight="1" x14ac:dyDescent="0.2">
      <c r="A63352" s="258"/>
      <c r="Z63352" s="258"/>
    </row>
    <row r="63353" spans="1:26" ht="12.75" customHeight="1" x14ac:dyDescent="0.2">
      <c r="A63353" s="258"/>
      <c r="Z63353" s="258"/>
    </row>
    <row r="63354" spans="1:26" ht="12.75" customHeight="1" x14ac:dyDescent="0.2">
      <c r="A63354" s="258"/>
      <c r="Z63354" s="258"/>
    </row>
    <row r="63355" spans="1:26" ht="12.75" customHeight="1" x14ac:dyDescent="0.2">
      <c r="A63355" s="258"/>
      <c r="Z63355" s="258"/>
    </row>
    <row r="63356" spans="1:26" ht="12.75" customHeight="1" x14ac:dyDescent="0.2">
      <c r="A63356" s="258"/>
      <c r="Z63356" s="258"/>
    </row>
    <row r="63357" spans="1:26" ht="12.75" customHeight="1" x14ac:dyDescent="0.2">
      <c r="A63357" s="258"/>
      <c r="Z63357" s="258"/>
    </row>
    <row r="63358" spans="1:26" ht="12.75" customHeight="1" x14ac:dyDescent="0.2">
      <c r="A63358" s="258"/>
      <c r="Z63358" s="258"/>
    </row>
    <row r="63359" spans="1:26" ht="12.75" customHeight="1" x14ac:dyDescent="0.2">
      <c r="A63359" s="258"/>
      <c r="Z63359" s="258"/>
    </row>
    <row r="63360" spans="1:26" ht="12.75" customHeight="1" x14ac:dyDescent="0.2">
      <c r="A63360" s="258"/>
      <c r="Z63360" s="258"/>
    </row>
    <row r="63361" spans="1:26" ht="12.75" customHeight="1" x14ac:dyDescent="0.2">
      <c r="A63361" s="258"/>
      <c r="Z63361" s="258"/>
    </row>
    <row r="63362" spans="1:26" ht="12.75" customHeight="1" x14ac:dyDescent="0.2">
      <c r="A63362" s="258"/>
      <c r="Z63362" s="258"/>
    </row>
    <row r="63363" spans="1:26" ht="12.75" customHeight="1" x14ac:dyDescent="0.2">
      <c r="A63363" s="258"/>
      <c r="Z63363" s="258"/>
    </row>
    <row r="63364" spans="1:26" ht="12.75" customHeight="1" x14ac:dyDescent="0.2">
      <c r="A63364" s="258"/>
      <c r="Z63364" s="258"/>
    </row>
    <row r="63365" spans="1:26" ht="12.75" customHeight="1" x14ac:dyDescent="0.2">
      <c r="A63365" s="258"/>
      <c r="Z63365" s="258"/>
    </row>
    <row r="63366" spans="1:26" ht="12.75" customHeight="1" x14ac:dyDescent="0.2">
      <c r="A63366" s="258"/>
      <c r="Z63366" s="258"/>
    </row>
    <row r="63367" spans="1:26" ht="12.75" customHeight="1" x14ac:dyDescent="0.2">
      <c r="A63367" s="258"/>
      <c r="Z63367" s="258"/>
    </row>
    <row r="63368" spans="1:26" ht="12.75" customHeight="1" x14ac:dyDescent="0.2">
      <c r="A63368" s="258"/>
      <c r="Z63368" s="258"/>
    </row>
    <row r="63369" spans="1:26" ht="12.75" customHeight="1" x14ac:dyDescent="0.2">
      <c r="A63369" s="258"/>
      <c r="Z63369" s="258"/>
    </row>
    <row r="63370" spans="1:26" ht="12.75" customHeight="1" x14ac:dyDescent="0.2">
      <c r="A63370" s="258"/>
      <c r="Z63370" s="258"/>
    </row>
    <row r="63371" spans="1:26" ht="12.75" customHeight="1" x14ac:dyDescent="0.2">
      <c r="A63371" s="258"/>
      <c r="Z63371" s="258"/>
    </row>
    <row r="63372" spans="1:26" ht="12.75" customHeight="1" x14ac:dyDescent="0.2">
      <c r="A63372" s="258"/>
      <c r="Z63372" s="258"/>
    </row>
    <row r="63373" spans="1:26" ht="12.75" customHeight="1" x14ac:dyDescent="0.2">
      <c r="A63373" s="258"/>
      <c r="Z63373" s="258"/>
    </row>
    <row r="63374" spans="1:26" ht="12.75" customHeight="1" x14ac:dyDescent="0.2">
      <c r="A63374" s="258"/>
      <c r="Z63374" s="258"/>
    </row>
    <row r="63375" spans="1:26" ht="12.75" customHeight="1" x14ac:dyDescent="0.2">
      <c r="A63375" s="258"/>
      <c r="Z63375" s="258"/>
    </row>
    <row r="63376" spans="1:26" ht="12.75" customHeight="1" x14ac:dyDescent="0.2">
      <c r="A63376" s="258"/>
      <c r="Z63376" s="258"/>
    </row>
    <row r="63377" spans="1:26" ht="12.75" customHeight="1" x14ac:dyDescent="0.2">
      <c r="A63377" s="258"/>
      <c r="Z63377" s="258"/>
    </row>
    <row r="63378" spans="1:26" ht="12.75" customHeight="1" x14ac:dyDescent="0.2">
      <c r="A63378" s="258"/>
      <c r="Z63378" s="258"/>
    </row>
    <row r="63379" spans="1:26" ht="12.75" customHeight="1" x14ac:dyDescent="0.2">
      <c r="A63379" s="258"/>
      <c r="Z63379" s="258"/>
    </row>
    <row r="63380" spans="1:26" ht="12.75" customHeight="1" x14ac:dyDescent="0.2">
      <c r="A63380" s="258"/>
      <c r="Z63380" s="258"/>
    </row>
    <row r="63381" spans="1:26" ht="12.75" customHeight="1" x14ac:dyDescent="0.2">
      <c r="A63381" s="258"/>
      <c r="Z63381" s="258"/>
    </row>
    <row r="63382" spans="1:26" ht="12.75" customHeight="1" x14ac:dyDescent="0.2">
      <c r="A63382" s="258"/>
      <c r="Z63382" s="258"/>
    </row>
    <row r="63383" spans="1:26" ht="12.75" customHeight="1" x14ac:dyDescent="0.2">
      <c r="A63383" s="258"/>
      <c r="Z63383" s="258"/>
    </row>
    <row r="63384" spans="1:26" ht="12.75" customHeight="1" x14ac:dyDescent="0.2">
      <c r="A63384" s="258"/>
      <c r="Z63384" s="258"/>
    </row>
    <row r="63385" spans="1:26" ht="12.75" customHeight="1" x14ac:dyDescent="0.2">
      <c r="A63385" s="258"/>
      <c r="Z63385" s="258"/>
    </row>
    <row r="63386" spans="1:26" ht="12.75" customHeight="1" x14ac:dyDescent="0.2">
      <c r="A63386" s="258"/>
      <c r="Z63386" s="258"/>
    </row>
    <row r="63387" spans="1:26" ht="12.75" customHeight="1" x14ac:dyDescent="0.2">
      <c r="A63387" s="258"/>
      <c r="Z63387" s="258"/>
    </row>
    <row r="63388" spans="1:26" ht="12.75" customHeight="1" x14ac:dyDescent="0.2">
      <c r="A63388" s="258"/>
      <c r="Z63388" s="258"/>
    </row>
    <row r="63389" spans="1:26" ht="12.75" customHeight="1" x14ac:dyDescent="0.2">
      <c r="A63389" s="258"/>
      <c r="Z63389" s="258"/>
    </row>
    <row r="63390" spans="1:26" ht="12.75" customHeight="1" x14ac:dyDescent="0.2">
      <c r="A63390" s="258"/>
      <c r="Z63390" s="258"/>
    </row>
    <row r="63391" spans="1:26" ht="12.75" customHeight="1" x14ac:dyDescent="0.2">
      <c r="A63391" s="258"/>
      <c r="Z63391" s="258"/>
    </row>
    <row r="63392" spans="1:26" ht="12.75" customHeight="1" x14ac:dyDescent="0.2">
      <c r="A63392" s="258"/>
      <c r="Z63392" s="258"/>
    </row>
    <row r="63393" spans="1:26" ht="12.75" customHeight="1" x14ac:dyDescent="0.2">
      <c r="A63393" s="258"/>
      <c r="Z63393" s="258"/>
    </row>
    <row r="63394" spans="1:26" ht="12.75" customHeight="1" x14ac:dyDescent="0.2">
      <c r="A63394" s="258"/>
      <c r="Z63394" s="258"/>
    </row>
    <row r="63395" spans="1:26" ht="12.75" customHeight="1" x14ac:dyDescent="0.2">
      <c r="A63395" s="258"/>
      <c r="Z63395" s="258"/>
    </row>
    <row r="63396" spans="1:26" ht="12.75" customHeight="1" x14ac:dyDescent="0.2">
      <c r="A63396" s="258"/>
      <c r="Z63396" s="258"/>
    </row>
    <row r="63397" spans="1:26" ht="12.75" customHeight="1" x14ac:dyDescent="0.2">
      <c r="A63397" s="258"/>
      <c r="Z63397" s="258"/>
    </row>
    <row r="63398" spans="1:26" ht="12.75" customHeight="1" x14ac:dyDescent="0.2">
      <c r="A63398" s="258"/>
      <c r="Z63398" s="258"/>
    </row>
    <row r="63399" spans="1:26" ht="12.75" customHeight="1" x14ac:dyDescent="0.2">
      <c r="A63399" s="258"/>
      <c r="Z63399" s="258"/>
    </row>
    <row r="63400" spans="1:26" ht="12.75" customHeight="1" x14ac:dyDescent="0.2">
      <c r="A63400" s="258"/>
      <c r="Z63400" s="258"/>
    </row>
    <row r="63401" spans="1:26" ht="12.75" customHeight="1" x14ac:dyDescent="0.2">
      <c r="A63401" s="258"/>
      <c r="Z63401" s="258"/>
    </row>
    <row r="63402" spans="1:26" ht="12.75" customHeight="1" x14ac:dyDescent="0.2">
      <c r="A63402" s="258"/>
      <c r="Z63402" s="258"/>
    </row>
    <row r="63403" spans="1:26" ht="12.75" customHeight="1" x14ac:dyDescent="0.2">
      <c r="A63403" s="258"/>
      <c r="Z63403" s="258"/>
    </row>
    <row r="63404" spans="1:26" ht="12.75" customHeight="1" x14ac:dyDescent="0.2">
      <c r="A63404" s="258"/>
      <c r="Z63404" s="258"/>
    </row>
    <row r="63405" spans="1:26" ht="12.75" customHeight="1" x14ac:dyDescent="0.2">
      <c r="A63405" s="258"/>
      <c r="Z63405" s="258"/>
    </row>
    <row r="63406" spans="1:26" ht="12.75" customHeight="1" x14ac:dyDescent="0.2">
      <c r="A63406" s="258"/>
      <c r="Z63406" s="258"/>
    </row>
    <row r="63407" spans="1:26" ht="12.75" customHeight="1" x14ac:dyDescent="0.2">
      <c r="A63407" s="258"/>
      <c r="Z63407" s="258"/>
    </row>
    <row r="63408" spans="1:26" ht="12.75" customHeight="1" x14ac:dyDescent="0.2">
      <c r="A63408" s="258"/>
      <c r="Z63408" s="258"/>
    </row>
    <row r="63409" spans="1:26" ht="12.75" customHeight="1" x14ac:dyDescent="0.2">
      <c r="A63409" s="258"/>
      <c r="Z63409" s="258"/>
    </row>
    <row r="63410" spans="1:26" ht="12.75" customHeight="1" x14ac:dyDescent="0.2">
      <c r="A63410" s="258"/>
      <c r="Z63410" s="258"/>
    </row>
    <row r="63411" spans="1:26" ht="12.75" customHeight="1" x14ac:dyDescent="0.2">
      <c r="A63411" s="258"/>
      <c r="Z63411" s="258"/>
    </row>
    <row r="63412" spans="1:26" ht="12.75" customHeight="1" x14ac:dyDescent="0.2">
      <c r="A63412" s="258"/>
      <c r="Z63412" s="258"/>
    </row>
    <row r="63413" spans="1:26" ht="12.75" customHeight="1" x14ac:dyDescent="0.2">
      <c r="A63413" s="258"/>
      <c r="Z63413" s="258"/>
    </row>
    <row r="63414" spans="1:26" ht="12.75" customHeight="1" x14ac:dyDescent="0.2">
      <c r="A63414" s="258"/>
      <c r="Z63414" s="258"/>
    </row>
    <row r="63415" spans="1:26" ht="12.75" customHeight="1" x14ac:dyDescent="0.2">
      <c r="A63415" s="258"/>
      <c r="Z63415" s="258"/>
    </row>
    <row r="63416" spans="1:26" ht="12.75" customHeight="1" x14ac:dyDescent="0.2">
      <c r="A63416" s="258"/>
      <c r="Z63416" s="258"/>
    </row>
    <row r="63417" spans="1:26" ht="12.75" customHeight="1" x14ac:dyDescent="0.2">
      <c r="A63417" s="258"/>
      <c r="Z63417" s="258"/>
    </row>
    <row r="63418" spans="1:26" ht="12.75" customHeight="1" x14ac:dyDescent="0.2">
      <c r="A63418" s="258"/>
      <c r="Z63418" s="258"/>
    </row>
    <row r="63419" spans="1:26" ht="12.75" customHeight="1" x14ac:dyDescent="0.2">
      <c r="A63419" s="258"/>
      <c r="Z63419" s="258"/>
    </row>
    <row r="63420" spans="1:26" ht="12.75" customHeight="1" x14ac:dyDescent="0.2">
      <c r="A63420" s="258"/>
      <c r="Z63420" s="258"/>
    </row>
    <row r="63421" spans="1:26" ht="12.75" customHeight="1" x14ac:dyDescent="0.2">
      <c r="A63421" s="258"/>
      <c r="Z63421" s="258"/>
    </row>
    <row r="63422" spans="1:26" ht="12.75" customHeight="1" x14ac:dyDescent="0.2">
      <c r="A63422" s="258"/>
      <c r="Z63422" s="258"/>
    </row>
    <row r="63423" spans="1:26" ht="12.75" customHeight="1" x14ac:dyDescent="0.2">
      <c r="A63423" s="258"/>
      <c r="Z63423" s="258"/>
    </row>
    <row r="63424" spans="1:26" ht="12.75" customHeight="1" x14ac:dyDescent="0.2">
      <c r="A63424" s="258"/>
      <c r="Z63424" s="258"/>
    </row>
    <row r="63425" spans="1:26" ht="12.75" customHeight="1" x14ac:dyDescent="0.2">
      <c r="A63425" s="258"/>
      <c r="Z63425" s="258"/>
    </row>
    <row r="63426" spans="1:26" ht="12.75" customHeight="1" x14ac:dyDescent="0.2">
      <c r="A63426" s="258"/>
      <c r="Z63426" s="258"/>
    </row>
    <row r="63427" spans="1:26" ht="12.75" customHeight="1" x14ac:dyDescent="0.2">
      <c r="A63427" s="258"/>
      <c r="Z63427" s="258"/>
    </row>
    <row r="63428" spans="1:26" ht="12.75" customHeight="1" x14ac:dyDescent="0.2">
      <c r="A63428" s="258"/>
      <c r="Z63428" s="258"/>
    </row>
    <row r="63429" spans="1:26" ht="12.75" customHeight="1" x14ac:dyDescent="0.2">
      <c r="A63429" s="258"/>
      <c r="Z63429" s="258"/>
    </row>
    <row r="63430" spans="1:26" ht="12.75" customHeight="1" x14ac:dyDescent="0.2">
      <c r="A63430" s="258"/>
      <c r="Z63430" s="258"/>
    </row>
    <row r="63431" spans="1:26" ht="12.75" customHeight="1" x14ac:dyDescent="0.2">
      <c r="A63431" s="258"/>
      <c r="Z63431" s="258"/>
    </row>
    <row r="63432" spans="1:26" ht="12.75" customHeight="1" x14ac:dyDescent="0.2">
      <c r="A63432" s="258"/>
      <c r="Z63432" s="258"/>
    </row>
    <row r="63433" spans="1:26" ht="12.75" customHeight="1" x14ac:dyDescent="0.2">
      <c r="A63433" s="258"/>
      <c r="Z63433" s="258"/>
    </row>
    <row r="63434" spans="1:26" ht="12.75" customHeight="1" x14ac:dyDescent="0.2">
      <c r="A63434" s="258"/>
      <c r="Z63434" s="258"/>
    </row>
    <row r="63435" spans="1:26" ht="12.75" customHeight="1" x14ac:dyDescent="0.2">
      <c r="A63435" s="258"/>
      <c r="Z63435" s="258"/>
    </row>
    <row r="63436" spans="1:26" ht="12.75" customHeight="1" x14ac:dyDescent="0.2">
      <c r="A63436" s="258"/>
      <c r="Z63436" s="258"/>
    </row>
    <row r="63437" spans="1:26" ht="12.75" customHeight="1" x14ac:dyDescent="0.2">
      <c r="A63437" s="258"/>
      <c r="Z63437" s="258"/>
    </row>
    <row r="63438" spans="1:26" ht="12.75" customHeight="1" x14ac:dyDescent="0.2">
      <c r="A63438" s="258"/>
      <c r="Z63438" s="258"/>
    </row>
    <row r="63439" spans="1:26" ht="12.75" customHeight="1" x14ac:dyDescent="0.2">
      <c r="A63439" s="258"/>
      <c r="Z63439" s="258"/>
    </row>
    <row r="63440" spans="1:26" ht="12.75" customHeight="1" x14ac:dyDescent="0.2">
      <c r="A63440" s="258"/>
      <c r="Z63440" s="258"/>
    </row>
    <row r="63441" spans="1:26" ht="12.75" customHeight="1" x14ac:dyDescent="0.2">
      <c r="A63441" s="258"/>
      <c r="Z63441" s="258"/>
    </row>
    <row r="63442" spans="1:26" ht="12.75" customHeight="1" x14ac:dyDescent="0.2">
      <c r="A63442" s="258"/>
      <c r="Z63442" s="258"/>
    </row>
    <row r="63443" spans="1:26" ht="12.75" customHeight="1" x14ac:dyDescent="0.2">
      <c r="A63443" s="258"/>
      <c r="Z63443" s="258"/>
    </row>
    <row r="63444" spans="1:26" ht="12.75" customHeight="1" x14ac:dyDescent="0.2">
      <c r="A63444" s="258"/>
      <c r="Z63444" s="258"/>
    </row>
    <row r="63445" spans="1:26" ht="12.75" customHeight="1" x14ac:dyDescent="0.2">
      <c r="A63445" s="258"/>
      <c r="Z63445" s="258"/>
    </row>
    <row r="63446" spans="1:26" ht="12.75" customHeight="1" x14ac:dyDescent="0.2">
      <c r="A63446" s="258"/>
      <c r="Z63446" s="258"/>
    </row>
    <row r="63447" spans="1:26" ht="12.75" customHeight="1" x14ac:dyDescent="0.2">
      <c r="A63447" s="258"/>
      <c r="Z63447" s="258"/>
    </row>
    <row r="63448" spans="1:26" ht="12.75" customHeight="1" x14ac:dyDescent="0.2">
      <c r="A63448" s="258"/>
      <c r="Z63448" s="258"/>
    </row>
    <row r="63449" spans="1:26" ht="12.75" customHeight="1" x14ac:dyDescent="0.2">
      <c r="A63449" s="258"/>
      <c r="Z63449" s="258"/>
    </row>
    <row r="63450" spans="1:26" ht="12.75" customHeight="1" x14ac:dyDescent="0.2">
      <c r="A63450" s="258"/>
      <c r="Z63450" s="258"/>
    </row>
    <row r="63451" spans="1:26" ht="12.75" customHeight="1" x14ac:dyDescent="0.2">
      <c r="A63451" s="258"/>
      <c r="Z63451" s="258"/>
    </row>
    <row r="63452" spans="1:26" ht="12.75" customHeight="1" x14ac:dyDescent="0.2">
      <c r="A63452" s="258"/>
      <c r="Z63452" s="258"/>
    </row>
    <row r="63453" spans="1:26" ht="12.75" customHeight="1" x14ac:dyDescent="0.2">
      <c r="A63453" s="258"/>
      <c r="Z63453" s="258"/>
    </row>
    <row r="63454" spans="1:26" ht="12.75" customHeight="1" x14ac:dyDescent="0.2">
      <c r="A63454" s="258"/>
      <c r="Z63454" s="258"/>
    </row>
    <row r="63455" spans="1:26" ht="12.75" customHeight="1" x14ac:dyDescent="0.2">
      <c r="A63455" s="258"/>
      <c r="Z63455" s="258"/>
    </row>
    <row r="63456" spans="1:26" ht="12.75" customHeight="1" x14ac:dyDescent="0.2">
      <c r="A63456" s="258"/>
      <c r="Z63456" s="258"/>
    </row>
    <row r="63457" spans="1:26" ht="12.75" customHeight="1" x14ac:dyDescent="0.2">
      <c r="A63457" s="258"/>
      <c r="Z63457" s="258"/>
    </row>
    <row r="63458" spans="1:26" ht="12.75" customHeight="1" x14ac:dyDescent="0.2">
      <c r="A63458" s="258"/>
      <c r="Z63458" s="258"/>
    </row>
    <row r="63459" spans="1:26" ht="12.75" customHeight="1" x14ac:dyDescent="0.2">
      <c r="A63459" s="258"/>
      <c r="Z63459" s="258"/>
    </row>
    <row r="63460" spans="1:26" ht="12.75" customHeight="1" x14ac:dyDescent="0.2">
      <c r="A63460" s="258"/>
      <c r="Z63460" s="258"/>
    </row>
    <row r="63461" spans="1:26" ht="12.75" customHeight="1" x14ac:dyDescent="0.2">
      <c r="A63461" s="258"/>
      <c r="Z63461" s="258"/>
    </row>
    <row r="63462" spans="1:26" ht="12.75" customHeight="1" x14ac:dyDescent="0.2">
      <c r="A63462" s="258"/>
      <c r="Z63462" s="258"/>
    </row>
    <row r="63463" spans="1:26" ht="12.75" customHeight="1" x14ac:dyDescent="0.2">
      <c r="A63463" s="258"/>
      <c r="Z63463" s="258"/>
    </row>
    <row r="63464" spans="1:26" ht="12.75" customHeight="1" x14ac:dyDescent="0.2">
      <c r="A63464" s="258"/>
      <c r="Z63464" s="258"/>
    </row>
    <row r="63465" spans="1:26" ht="12.75" customHeight="1" x14ac:dyDescent="0.2">
      <c r="A63465" s="258"/>
      <c r="Z63465" s="258"/>
    </row>
    <row r="63466" spans="1:26" ht="12.75" customHeight="1" x14ac:dyDescent="0.2">
      <c r="A63466" s="258"/>
      <c r="Z63466" s="258"/>
    </row>
    <row r="63467" spans="1:26" ht="12.75" customHeight="1" x14ac:dyDescent="0.2">
      <c r="A63467" s="258"/>
      <c r="Z63467" s="258"/>
    </row>
    <row r="63468" spans="1:26" ht="12.75" customHeight="1" x14ac:dyDescent="0.2">
      <c r="A63468" s="258"/>
      <c r="Z63468" s="258"/>
    </row>
    <row r="63469" spans="1:26" ht="12.75" customHeight="1" x14ac:dyDescent="0.2">
      <c r="A63469" s="258"/>
      <c r="Z63469" s="258"/>
    </row>
    <row r="63470" spans="1:26" ht="12.75" customHeight="1" x14ac:dyDescent="0.2">
      <c r="A63470" s="258"/>
      <c r="Z63470" s="258"/>
    </row>
    <row r="63471" spans="1:26" ht="12.75" customHeight="1" x14ac:dyDescent="0.2">
      <c r="A63471" s="258"/>
      <c r="Z63471" s="258"/>
    </row>
    <row r="63472" spans="1:26" ht="12.75" customHeight="1" x14ac:dyDescent="0.2">
      <c r="A63472" s="258"/>
      <c r="Z63472" s="258"/>
    </row>
    <row r="63473" spans="1:26" ht="12.75" customHeight="1" x14ac:dyDescent="0.2">
      <c r="A63473" s="258"/>
      <c r="Z63473" s="258"/>
    </row>
    <row r="63474" spans="1:26" ht="12.75" customHeight="1" x14ac:dyDescent="0.2">
      <c r="A63474" s="258"/>
      <c r="Z63474" s="258"/>
    </row>
    <row r="63475" spans="1:26" ht="12.75" customHeight="1" x14ac:dyDescent="0.2">
      <c r="A63475" s="258"/>
      <c r="Z63475" s="258"/>
    </row>
    <row r="63476" spans="1:26" ht="12.75" customHeight="1" x14ac:dyDescent="0.2">
      <c r="A63476" s="258"/>
      <c r="Z63476" s="258"/>
    </row>
    <row r="63477" spans="1:26" ht="12.75" customHeight="1" x14ac:dyDescent="0.2">
      <c r="A63477" s="258"/>
      <c r="Z63477" s="258"/>
    </row>
    <row r="63478" spans="1:26" ht="12.75" customHeight="1" x14ac:dyDescent="0.2">
      <c r="A63478" s="258"/>
      <c r="Z63478" s="258"/>
    </row>
    <row r="63479" spans="1:26" ht="12.75" customHeight="1" x14ac:dyDescent="0.2">
      <c r="A63479" s="258"/>
      <c r="Z63479" s="258"/>
    </row>
    <row r="63480" spans="1:26" ht="12.75" customHeight="1" x14ac:dyDescent="0.2">
      <c r="A63480" s="258"/>
      <c r="Z63480" s="258"/>
    </row>
    <row r="63481" spans="1:26" ht="12.75" customHeight="1" x14ac:dyDescent="0.2">
      <c r="A63481" s="258"/>
      <c r="Z63481" s="258"/>
    </row>
    <row r="63482" spans="1:26" ht="12.75" customHeight="1" x14ac:dyDescent="0.2">
      <c r="A63482" s="258"/>
      <c r="Z63482" s="258"/>
    </row>
    <row r="63483" spans="1:26" ht="12.75" customHeight="1" x14ac:dyDescent="0.2">
      <c r="A63483" s="258"/>
      <c r="Z63483" s="258"/>
    </row>
    <row r="63484" spans="1:26" ht="12.75" customHeight="1" x14ac:dyDescent="0.2">
      <c r="A63484" s="258"/>
      <c r="Z63484" s="258"/>
    </row>
    <row r="63485" spans="1:26" ht="12.75" customHeight="1" x14ac:dyDescent="0.2">
      <c r="A63485" s="258"/>
      <c r="Z63485" s="258"/>
    </row>
    <row r="63486" spans="1:26" ht="12.75" customHeight="1" x14ac:dyDescent="0.2">
      <c r="A63486" s="258"/>
      <c r="Z63486" s="258"/>
    </row>
    <row r="63487" spans="1:26" ht="12.75" customHeight="1" x14ac:dyDescent="0.2">
      <c r="A63487" s="258"/>
      <c r="Z63487" s="258"/>
    </row>
    <row r="63488" spans="1:26" ht="12.75" customHeight="1" x14ac:dyDescent="0.2">
      <c r="A63488" s="258"/>
      <c r="Z63488" s="258"/>
    </row>
    <row r="63489" spans="1:26" ht="12.75" customHeight="1" x14ac:dyDescent="0.2">
      <c r="A63489" s="258"/>
      <c r="Z63489" s="258"/>
    </row>
    <row r="63490" spans="1:26" ht="12.75" customHeight="1" x14ac:dyDescent="0.2">
      <c r="A63490" s="258"/>
      <c r="Z63490" s="258"/>
    </row>
    <row r="63491" spans="1:26" ht="12.75" customHeight="1" x14ac:dyDescent="0.2">
      <c r="A63491" s="258"/>
      <c r="Z63491" s="258"/>
    </row>
    <row r="63492" spans="1:26" ht="12.75" customHeight="1" x14ac:dyDescent="0.2">
      <c r="A63492" s="258"/>
      <c r="Z63492" s="258"/>
    </row>
    <row r="63493" spans="1:26" ht="12.75" customHeight="1" x14ac:dyDescent="0.2">
      <c r="A63493" s="258"/>
      <c r="Z63493" s="258"/>
    </row>
    <row r="63494" spans="1:26" ht="12.75" customHeight="1" x14ac:dyDescent="0.2">
      <c r="A63494" s="258"/>
      <c r="Z63494" s="258"/>
    </row>
    <row r="63495" spans="1:26" ht="12.75" customHeight="1" x14ac:dyDescent="0.2">
      <c r="A63495" s="258"/>
      <c r="Z63495" s="258"/>
    </row>
    <row r="63496" spans="1:26" ht="12.75" customHeight="1" x14ac:dyDescent="0.2">
      <c r="A63496" s="258"/>
      <c r="Z63496" s="258"/>
    </row>
    <row r="63497" spans="1:26" ht="12.75" customHeight="1" x14ac:dyDescent="0.2">
      <c r="A63497" s="258"/>
      <c r="Z63497" s="258"/>
    </row>
    <row r="63498" spans="1:26" ht="12.75" customHeight="1" x14ac:dyDescent="0.2">
      <c r="A63498" s="258"/>
      <c r="Z63498" s="258"/>
    </row>
    <row r="63499" spans="1:26" ht="12.75" customHeight="1" x14ac:dyDescent="0.2">
      <c r="A63499" s="258"/>
      <c r="Z63499" s="258"/>
    </row>
    <row r="63500" spans="1:26" ht="12.75" customHeight="1" x14ac:dyDescent="0.2">
      <c r="A63500" s="258"/>
      <c r="Z63500" s="258"/>
    </row>
    <row r="63501" spans="1:26" ht="12.75" customHeight="1" x14ac:dyDescent="0.2">
      <c r="A63501" s="258"/>
      <c r="Z63501" s="258"/>
    </row>
    <row r="63502" spans="1:26" ht="12.75" customHeight="1" x14ac:dyDescent="0.2">
      <c r="A63502" s="258"/>
      <c r="Z63502" s="258"/>
    </row>
    <row r="63503" spans="1:26" ht="12.75" customHeight="1" x14ac:dyDescent="0.2">
      <c r="A63503" s="258"/>
      <c r="Z63503" s="258"/>
    </row>
    <row r="63504" spans="1:26" ht="12.75" customHeight="1" x14ac:dyDescent="0.2">
      <c r="A63504" s="258"/>
      <c r="Z63504" s="258"/>
    </row>
    <row r="63505" spans="1:26" ht="12.75" customHeight="1" x14ac:dyDescent="0.2">
      <c r="A63505" s="258"/>
      <c r="Z63505" s="258"/>
    </row>
    <row r="63506" spans="1:26" ht="12.75" customHeight="1" x14ac:dyDescent="0.2">
      <c r="A63506" s="258"/>
      <c r="Z63506" s="258"/>
    </row>
    <row r="63507" spans="1:26" ht="12.75" customHeight="1" x14ac:dyDescent="0.2">
      <c r="A63507" s="258"/>
      <c r="Z63507" s="258"/>
    </row>
    <row r="63508" spans="1:26" ht="12.75" customHeight="1" x14ac:dyDescent="0.2">
      <c r="A63508" s="258"/>
      <c r="Z63508" s="258"/>
    </row>
    <row r="63509" spans="1:26" ht="12.75" customHeight="1" x14ac:dyDescent="0.2">
      <c r="A63509" s="258"/>
      <c r="Z63509" s="258"/>
    </row>
    <row r="63510" spans="1:26" ht="12.75" customHeight="1" x14ac:dyDescent="0.2">
      <c r="A63510" s="258"/>
      <c r="Z63510" s="258"/>
    </row>
    <row r="63511" spans="1:26" ht="12.75" customHeight="1" x14ac:dyDescent="0.2">
      <c r="A63511" s="258"/>
      <c r="Z63511" s="258"/>
    </row>
    <row r="63512" spans="1:26" ht="12.75" customHeight="1" x14ac:dyDescent="0.2">
      <c r="A63512" s="258"/>
      <c r="Z63512" s="258"/>
    </row>
    <row r="63513" spans="1:26" ht="12.75" customHeight="1" x14ac:dyDescent="0.2">
      <c r="A63513" s="258"/>
      <c r="Z63513" s="258"/>
    </row>
    <row r="63514" spans="1:26" ht="12.75" customHeight="1" x14ac:dyDescent="0.2">
      <c r="A63514" s="258"/>
      <c r="Z63514" s="258"/>
    </row>
    <row r="63515" spans="1:26" ht="12.75" customHeight="1" x14ac:dyDescent="0.2">
      <c r="A63515" s="258"/>
      <c r="Z63515" s="258"/>
    </row>
    <row r="63516" spans="1:26" ht="12.75" customHeight="1" x14ac:dyDescent="0.2">
      <c r="A63516" s="258"/>
      <c r="Z63516" s="258"/>
    </row>
    <row r="63517" spans="1:26" ht="12.75" customHeight="1" x14ac:dyDescent="0.2">
      <c r="A63517" s="258"/>
      <c r="Z63517" s="258"/>
    </row>
    <row r="63518" spans="1:26" ht="12.75" customHeight="1" x14ac:dyDescent="0.2">
      <c r="A63518" s="258"/>
      <c r="Z63518" s="258"/>
    </row>
    <row r="63519" spans="1:26" ht="12.75" customHeight="1" x14ac:dyDescent="0.2">
      <c r="A63519" s="258"/>
      <c r="Z63519" s="258"/>
    </row>
    <row r="63520" spans="1:26" ht="12.75" customHeight="1" x14ac:dyDescent="0.2">
      <c r="A63520" s="258"/>
      <c r="Z63520" s="258"/>
    </row>
    <row r="63521" spans="1:26" ht="12.75" customHeight="1" x14ac:dyDescent="0.2">
      <c r="A63521" s="258"/>
      <c r="Z63521" s="258"/>
    </row>
    <row r="63522" spans="1:26" ht="12.75" customHeight="1" x14ac:dyDescent="0.2">
      <c r="A63522" s="258"/>
      <c r="Z63522" s="258"/>
    </row>
    <row r="63523" spans="1:26" ht="12.75" customHeight="1" x14ac:dyDescent="0.2">
      <c r="A63523" s="258"/>
      <c r="Z63523" s="258"/>
    </row>
    <row r="63524" spans="1:26" ht="12.75" customHeight="1" x14ac:dyDescent="0.2">
      <c r="A63524" s="258"/>
      <c r="Z63524" s="258"/>
    </row>
    <row r="63525" spans="1:26" ht="12.75" customHeight="1" x14ac:dyDescent="0.2">
      <c r="A63525" s="258"/>
      <c r="Z63525" s="258"/>
    </row>
    <row r="63526" spans="1:26" ht="12.75" customHeight="1" x14ac:dyDescent="0.2">
      <c r="A63526" s="258"/>
      <c r="Z63526" s="258"/>
    </row>
    <row r="63527" spans="1:26" ht="12.75" customHeight="1" x14ac:dyDescent="0.2">
      <c r="A63527" s="258"/>
      <c r="Z63527" s="258"/>
    </row>
    <row r="63528" spans="1:26" ht="12.75" customHeight="1" x14ac:dyDescent="0.2">
      <c r="A63528" s="258"/>
      <c r="Z63528" s="258"/>
    </row>
    <row r="63529" spans="1:26" ht="12.75" customHeight="1" x14ac:dyDescent="0.2">
      <c r="A63529" s="258"/>
      <c r="Z63529" s="258"/>
    </row>
    <row r="63530" spans="1:26" ht="12.75" customHeight="1" x14ac:dyDescent="0.2">
      <c r="A63530" s="258"/>
      <c r="Z63530" s="258"/>
    </row>
    <row r="63531" spans="1:26" ht="12.75" customHeight="1" x14ac:dyDescent="0.2">
      <c r="A63531" s="258"/>
      <c r="Z63531" s="258"/>
    </row>
    <row r="63532" spans="1:26" ht="12.75" customHeight="1" x14ac:dyDescent="0.2">
      <c r="A63532" s="258"/>
      <c r="Z63532" s="258"/>
    </row>
    <row r="63533" spans="1:26" ht="12.75" customHeight="1" x14ac:dyDescent="0.2">
      <c r="A63533" s="258"/>
      <c r="Z63533" s="258"/>
    </row>
    <row r="63534" spans="1:26" ht="12.75" customHeight="1" x14ac:dyDescent="0.2">
      <c r="A63534" s="258"/>
      <c r="Z63534" s="258"/>
    </row>
    <row r="63535" spans="1:26" ht="12.75" customHeight="1" x14ac:dyDescent="0.2">
      <c r="A63535" s="258"/>
      <c r="Z63535" s="258"/>
    </row>
    <row r="63536" spans="1:26" ht="12.75" customHeight="1" x14ac:dyDescent="0.2">
      <c r="A63536" s="258"/>
      <c r="Z63536" s="258"/>
    </row>
    <row r="63537" spans="1:26" ht="12.75" customHeight="1" x14ac:dyDescent="0.2">
      <c r="A63537" s="258"/>
      <c r="Z63537" s="258"/>
    </row>
    <row r="63538" spans="1:26" ht="12.75" customHeight="1" x14ac:dyDescent="0.2">
      <c r="A63538" s="258"/>
      <c r="Z63538" s="258"/>
    </row>
    <row r="63539" spans="1:26" ht="12.75" customHeight="1" x14ac:dyDescent="0.2">
      <c r="A63539" s="258"/>
      <c r="Z63539" s="258"/>
    </row>
    <row r="63540" spans="1:26" ht="12.75" customHeight="1" x14ac:dyDescent="0.2">
      <c r="A63540" s="258"/>
      <c r="Z63540" s="258"/>
    </row>
    <row r="63541" spans="1:26" ht="12.75" customHeight="1" x14ac:dyDescent="0.2">
      <c r="A63541" s="258"/>
      <c r="Z63541" s="258"/>
    </row>
    <row r="63542" spans="1:26" ht="12.75" customHeight="1" x14ac:dyDescent="0.2">
      <c r="A63542" s="258"/>
      <c r="Z63542" s="258"/>
    </row>
    <row r="63543" spans="1:26" ht="12.75" customHeight="1" x14ac:dyDescent="0.2">
      <c r="A63543" s="258"/>
      <c r="Z63543" s="258"/>
    </row>
    <row r="63544" spans="1:26" ht="12.75" customHeight="1" x14ac:dyDescent="0.2">
      <c r="A63544" s="258"/>
      <c r="Z63544" s="258"/>
    </row>
    <row r="63545" spans="1:26" ht="12.75" customHeight="1" x14ac:dyDescent="0.2">
      <c r="A63545" s="258"/>
      <c r="Z63545" s="258"/>
    </row>
    <row r="63546" spans="1:26" ht="12.75" customHeight="1" x14ac:dyDescent="0.2">
      <c r="A63546" s="258"/>
      <c r="Z63546" s="258"/>
    </row>
    <row r="63547" spans="1:26" ht="12.75" customHeight="1" x14ac:dyDescent="0.2">
      <c r="A63547" s="258"/>
      <c r="Z63547" s="258"/>
    </row>
    <row r="63548" spans="1:26" ht="12.75" customHeight="1" x14ac:dyDescent="0.2">
      <c r="A63548" s="258"/>
      <c r="Z63548" s="258"/>
    </row>
    <row r="63549" spans="1:26" ht="12.75" customHeight="1" x14ac:dyDescent="0.2">
      <c r="A63549" s="258"/>
      <c r="Z63549" s="258"/>
    </row>
    <row r="63550" spans="1:26" ht="12.75" customHeight="1" x14ac:dyDescent="0.2">
      <c r="A63550" s="258"/>
      <c r="Z63550" s="258"/>
    </row>
    <row r="63551" spans="1:26" ht="12.75" customHeight="1" x14ac:dyDescent="0.2">
      <c r="A63551" s="258"/>
      <c r="Z63551" s="258"/>
    </row>
    <row r="63552" spans="1:26" ht="12.75" customHeight="1" x14ac:dyDescent="0.2">
      <c r="A63552" s="258"/>
      <c r="Z63552" s="258"/>
    </row>
    <row r="63553" spans="1:26" ht="12.75" customHeight="1" x14ac:dyDescent="0.2">
      <c r="A63553" s="258"/>
      <c r="Z63553" s="258"/>
    </row>
    <row r="63554" spans="1:26" ht="12.75" customHeight="1" x14ac:dyDescent="0.2">
      <c r="A63554" s="258"/>
      <c r="Z63554" s="258"/>
    </row>
    <row r="63555" spans="1:26" ht="12.75" customHeight="1" x14ac:dyDescent="0.2">
      <c r="A63555" s="258"/>
      <c r="Z63555" s="258"/>
    </row>
    <row r="63556" spans="1:26" ht="12.75" customHeight="1" x14ac:dyDescent="0.2">
      <c r="A63556" s="258"/>
      <c r="Z63556" s="258"/>
    </row>
    <row r="63557" spans="1:26" ht="12.75" customHeight="1" x14ac:dyDescent="0.2">
      <c r="A63557" s="258"/>
      <c r="Z63557" s="258"/>
    </row>
    <row r="63558" spans="1:26" ht="12.75" customHeight="1" x14ac:dyDescent="0.2">
      <c r="A63558" s="258"/>
      <c r="Z63558" s="258"/>
    </row>
    <row r="63559" spans="1:26" ht="12.75" customHeight="1" x14ac:dyDescent="0.2">
      <c r="A63559" s="258"/>
      <c r="Z63559" s="258"/>
    </row>
    <row r="63560" spans="1:26" ht="12.75" customHeight="1" x14ac:dyDescent="0.2">
      <c r="A63560" s="258"/>
      <c r="Z63560" s="258"/>
    </row>
    <row r="63561" spans="1:26" ht="12.75" customHeight="1" x14ac:dyDescent="0.2">
      <c r="A63561" s="258"/>
      <c r="Z63561" s="258"/>
    </row>
    <row r="63562" spans="1:26" ht="12.75" customHeight="1" x14ac:dyDescent="0.2">
      <c r="A63562" s="258"/>
      <c r="Z63562" s="258"/>
    </row>
    <row r="63563" spans="1:26" ht="12.75" customHeight="1" x14ac:dyDescent="0.2">
      <c r="A63563" s="258"/>
      <c r="Z63563" s="258"/>
    </row>
    <row r="63564" spans="1:26" ht="12.75" customHeight="1" x14ac:dyDescent="0.2">
      <c r="A63564" s="258"/>
      <c r="Z63564" s="258"/>
    </row>
    <row r="63565" spans="1:26" ht="12.75" customHeight="1" x14ac:dyDescent="0.2">
      <c r="A63565" s="258"/>
      <c r="Z63565" s="258"/>
    </row>
    <row r="63566" spans="1:26" ht="12.75" customHeight="1" x14ac:dyDescent="0.2">
      <c r="A63566" s="258"/>
      <c r="Z63566" s="258"/>
    </row>
    <row r="63567" spans="1:26" ht="12.75" customHeight="1" x14ac:dyDescent="0.2">
      <c r="A63567" s="258"/>
      <c r="Z63567" s="258"/>
    </row>
    <row r="63568" spans="1:26" ht="12.75" customHeight="1" x14ac:dyDescent="0.2">
      <c r="A63568" s="258"/>
      <c r="Z63568" s="258"/>
    </row>
    <row r="63569" spans="1:26" ht="12.75" customHeight="1" x14ac:dyDescent="0.2">
      <c r="A63569" s="258"/>
      <c r="Z63569" s="258"/>
    </row>
    <row r="63570" spans="1:26" ht="12.75" customHeight="1" x14ac:dyDescent="0.2">
      <c r="A63570" s="258"/>
      <c r="Z63570" s="258"/>
    </row>
    <row r="63571" spans="1:26" ht="12.75" customHeight="1" x14ac:dyDescent="0.2">
      <c r="A63571" s="258"/>
      <c r="Z63571" s="258"/>
    </row>
    <row r="63572" spans="1:26" ht="12.75" customHeight="1" x14ac:dyDescent="0.2">
      <c r="A63572" s="258"/>
      <c r="Z63572" s="258"/>
    </row>
    <row r="63573" spans="1:26" ht="12.75" customHeight="1" x14ac:dyDescent="0.2">
      <c r="A63573" s="258"/>
      <c r="Z63573" s="258"/>
    </row>
    <row r="63574" spans="1:26" ht="12.75" customHeight="1" x14ac:dyDescent="0.2">
      <c r="A63574" s="258"/>
      <c r="Z63574" s="258"/>
    </row>
    <row r="63575" spans="1:26" ht="12.75" customHeight="1" x14ac:dyDescent="0.2">
      <c r="A63575" s="258"/>
      <c r="Z63575" s="258"/>
    </row>
    <row r="63576" spans="1:26" ht="12.75" customHeight="1" x14ac:dyDescent="0.2">
      <c r="A63576" s="258"/>
      <c r="Z63576" s="258"/>
    </row>
    <row r="63577" spans="1:26" ht="12.75" customHeight="1" x14ac:dyDescent="0.2">
      <c r="A63577" s="258"/>
      <c r="Z63577" s="258"/>
    </row>
    <row r="63578" spans="1:26" ht="12.75" customHeight="1" x14ac:dyDescent="0.2">
      <c r="A63578" s="258"/>
      <c r="Z63578" s="258"/>
    </row>
    <row r="63579" spans="1:26" ht="12.75" customHeight="1" x14ac:dyDescent="0.2">
      <c r="A63579" s="258"/>
      <c r="Z63579" s="258"/>
    </row>
    <row r="63580" spans="1:26" ht="12.75" customHeight="1" x14ac:dyDescent="0.2">
      <c r="A63580" s="258"/>
      <c r="Z63580" s="258"/>
    </row>
    <row r="63581" spans="1:26" ht="12.75" customHeight="1" x14ac:dyDescent="0.2">
      <c r="A63581" s="258"/>
      <c r="Z63581" s="258"/>
    </row>
    <row r="63582" spans="1:26" ht="12.75" customHeight="1" x14ac:dyDescent="0.2">
      <c r="A63582" s="258"/>
      <c r="Z63582" s="258"/>
    </row>
    <row r="63583" spans="1:26" ht="12.75" customHeight="1" x14ac:dyDescent="0.2">
      <c r="A63583" s="258"/>
      <c r="Z63583" s="258"/>
    </row>
    <row r="63584" spans="1:26" ht="12.75" customHeight="1" x14ac:dyDescent="0.2">
      <c r="A63584" s="258"/>
      <c r="Z63584" s="258"/>
    </row>
    <row r="63585" spans="1:26" ht="12.75" customHeight="1" x14ac:dyDescent="0.2">
      <c r="A63585" s="258"/>
      <c r="Z63585" s="258"/>
    </row>
    <row r="63586" spans="1:26" ht="12.75" customHeight="1" x14ac:dyDescent="0.2">
      <c r="A63586" s="258"/>
      <c r="Z63586" s="258"/>
    </row>
    <row r="63587" spans="1:26" ht="12.75" customHeight="1" x14ac:dyDescent="0.2">
      <c r="A63587" s="258"/>
      <c r="Z63587" s="258"/>
    </row>
    <row r="63588" spans="1:26" ht="12.75" customHeight="1" x14ac:dyDescent="0.2">
      <c r="A63588" s="258"/>
      <c r="Z63588" s="258"/>
    </row>
    <row r="63589" spans="1:26" ht="12.75" customHeight="1" x14ac:dyDescent="0.2">
      <c r="A63589" s="258"/>
      <c r="Z63589" s="258"/>
    </row>
    <row r="63590" spans="1:26" ht="12.75" customHeight="1" x14ac:dyDescent="0.2">
      <c r="A63590" s="258"/>
      <c r="Z63590" s="258"/>
    </row>
    <row r="63591" spans="1:26" ht="12.75" customHeight="1" x14ac:dyDescent="0.2">
      <c r="A63591" s="258"/>
      <c r="Z63591" s="258"/>
    </row>
    <row r="63592" spans="1:26" ht="12.75" customHeight="1" x14ac:dyDescent="0.2">
      <c r="A63592" s="258"/>
      <c r="Z63592" s="258"/>
    </row>
    <row r="63593" spans="1:26" ht="12.75" customHeight="1" x14ac:dyDescent="0.2">
      <c r="A63593" s="258"/>
      <c r="Z63593" s="258"/>
    </row>
    <row r="63594" spans="1:26" ht="12.75" customHeight="1" x14ac:dyDescent="0.2">
      <c r="A63594" s="258"/>
      <c r="Z63594" s="258"/>
    </row>
    <row r="63595" spans="1:26" ht="12.75" customHeight="1" x14ac:dyDescent="0.2">
      <c r="A63595" s="258"/>
      <c r="Z63595" s="258"/>
    </row>
    <row r="63596" spans="1:26" ht="12.75" customHeight="1" x14ac:dyDescent="0.2">
      <c r="A63596" s="258"/>
      <c r="Z63596" s="258"/>
    </row>
    <row r="63597" spans="1:26" ht="12.75" customHeight="1" x14ac:dyDescent="0.2">
      <c r="A63597" s="258"/>
      <c r="Z63597" s="258"/>
    </row>
    <row r="63598" spans="1:26" ht="12.75" customHeight="1" x14ac:dyDescent="0.2">
      <c r="A63598" s="258"/>
      <c r="Z63598" s="258"/>
    </row>
    <row r="63599" spans="1:26" ht="12.75" customHeight="1" x14ac:dyDescent="0.2">
      <c r="A63599" s="258"/>
      <c r="Z63599" s="258"/>
    </row>
    <row r="63600" spans="1:26" ht="12.75" customHeight="1" x14ac:dyDescent="0.2">
      <c r="A63600" s="258"/>
      <c r="Z63600" s="258"/>
    </row>
    <row r="63601" spans="1:26" ht="12.75" customHeight="1" x14ac:dyDescent="0.2">
      <c r="A63601" s="258"/>
      <c r="Z63601" s="258"/>
    </row>
    <row r="63602" spans="1:26" ht="12.75" customHeight="1" x14ac:dyDescent="0.2">
      <c r="A63602" s="258"/>
      <c r="Z63602" s="258"/>
    </row>
    <row r="63603" spans="1:26" ht="12.75" customHeight="1" x14ac:dyDescent="0.2">
      <c r="A63603" s="258"/>
      <c r="Z63603" s="258"/>
    </row>
    <row r="63604" spans="1:26" ht="12.75" customHeight="1" x14ac:dyDescent="0.2">
      <c r="A63604" s="258"/>
      <c r="Z63604" s="258"/>
    </row>
    <row r="63605" spans="1:26" ht="12.75" customHeight="1" x14ac:dyDescent="0.2">
      <c r="A63605" s="258"/>
      <c r="Z63605" s="258"/>
    </row>
    <row r="63606" spans="1:26" ht="12.75" customHeight="1" x14ac:dyDescent="0.2">
      <c r="A63606" s="258"/>
      <c r="Z63606" s="258"/>
    </row>
    <row r="63607" spans="1:26" ht="12.75" customHeight="1" x14ac:dyDescent="0.2">
      <c r="A63607" s="258"/>
      <c r="Z63607" s="258"/>
    </row>
    <row r="63608" spans="1:26" ht="12.75" customHeight="1" x14ac:dyDescent="0.2">
      <c r="A63608" s="258"/>
      <c r="Z63608" s="258"/>
    </row>
    <row r="63609" spans="1:26" ht="12.75" customHeight="1" x14ac:dyDescent="0.2">
      <c r="A63609" s="258"/>
      <c r="Z63609" s="258"/>
    </row>
    <row r="63610" spans="1:26" ht="12.75" customHeight="1" x14ac:dyDescent="0.2">
      <c r="A63610" s="258"/>
      <c r="Z63610" s="258"/>
    </row>
    <row r="63611" spans="1:26" ht="12.75" customHeight="1" x14ac:dyDescent="0.2">
      <c r="A63611" s="258"/>
      <c r="Z63611" s="258"/>
    </row>
    <row r="63612" spans="1:26" ht="12.75" customHeight="1" x14ac:dyDescent="0.2">
      <c r="A63612" s="258"/>
      <c r="Z63612" s="258"/>
    </row>
    <row r="63613" spans="1:26" ht="12.75" customHeight="1" x14ac:dyDescent="0.2">
      <c r="A63613" s="258"/>
      <c r="Z63613" s="258"/>
    </row>
    <row r="63614" spans="1:26" ht="12.75" customHeight="1" x14ac:dyDescent="0.2">
      <c r="A63614" s="258"/>
      <c r="Z63614" s="258"/>
    </row>
    <row r="63615" spans="1:26" ht="12.75" customHeight="1" x14ac:dyDescent="0.2">
      <c r="A63615" s="258"/>
      <c r="Z63615" s="258"/>
    </row>
    <row r="63616" spans="1:26" ht="12.75" customHeight="1" x14ac:dyDescent="0.2">
      <c r="A63616" s="258"/>
      <c r="Z63616" s="258"/>
    </row>
    <row r="63617" spans="1:26" ht="12.75" customHeight="1" x14ac:dyDescent="0.2">
      <c r="A63617" s="258"/>
      <c r="Z63617" s="258"/>
    </row>
    <row r="63618" spans="1:26" ht="12.75" customHeight="1" x14ac:dyDescent="0.2">
      <c r="A63618" s="258"/>
      <c r="Z63618" s="258"/>
    </row>
    <row r="63619" spans="1:26" ht="12.75" customHeight="1" x14ac:dyDescent="0.2">
      <c r="A63619" s="258"/>
      <c r="Z63619" s="258"/>
    </row>
    <row r="63620" spans="1:26" ht="12.75" customHeight="1" x14ac:dyDescent="0.2">
      <c r="A63620" s="258"/>
      <c r="Z63620" s="258"/>
    </row>
    <row r="63621" spans="1:26" ht="12.75" customHeight="1" x14ac:dyDescent="0.2">
      <c r="A63621" s="258"/>
      <c r="Z63621" s="258"/>
    </row>
    <row r="63622" spans="1:26" ht="12.75" customHeight="1" x14ac:dyDescent="0.2">
      <c r="A63622" s="258"/>
      <c r="Z63622" s="258"/>
    </row>
    <row r="63623" spans="1:26" ht="12.75" customHeight="1" x14ac:dyDescent="0.2">
      <c r="A63623" s="258"/>
      <c r="Z63623" s="258"/>
    </row>
    <row r="63624" spans="1:26" ht="12.75" customHeight="1" x14ac:dyDescent="0.2">
      <c r="A63624" s="258"/>
      <c r="Z63624" s="258"/>
    </row>
    <row r="63625" spans="1:26" ht="12.75" customHeight="1" x14ac:dyDescent="0.2">
      <c r="A63625" s="258"/>
      <c r="Z63625" s="258"/>
    </row>
    <row r="63626" spans="1:26" ht="12.75" customHeight="1" x14ac:dyDescent="0.2">
      <c r="A63626" s="258"/>
      <c r="Z63626" s="258"/>
    </row>
    <row r="63627" spans="1:26" ht="12.75" customHeight="1" x14ac:dyDescent="0.2">
      <c r="A63627" s="258"/>
      <c r="Z63627" s="258"/>
    </row>
    <row r="63628" spans="1:26" ht="12.75" customHeight="1" x14ac:dyDescent="0.2">
      <c r="A63628" s="258"/>
      <c r="Z63628" s="258"/>
    </row>
    <row r="63629" spans="1:26" ht="12.75" customHeight="1" x14ac:dyDescent="0.2">
      <c r="A63629" s="258"/>
      <c r="Z63629" s="258"/>
    </row>
    <row r="63630" spans="1:26" ht="12.75" customHeight="1" x14ac:dyDescent="0.2">
      <c r="A63630" s="258"/>
      <c r="Z63630" s="258"/>
    </row>
    <row r="63631" spans="1:26" ht="12.75" customHeight="1" x14ac:dyDescent="0.2">
      <c r="A63631" s="258"/>
      <c r="Z63631" s="258"/>
    </row>
    <row r="63632" spans="1:26" ht="12.75" customHeight="1" x14ac:dyDescent="0.2">
      <c r="A63632" s="258"/>
      <c r="Z63632" s="258"/>
    </row>
    <row r="63633" spans="1:26" ht="12.75" customHeight="1" x14ac:dyDescent="0.2">
      <c r="A63633" s="258"/>
      <c r="Z63633" s="258"/>
    </row>
    <row r="63634" spans="1:26" ht="12.75" customHeight="1" x14ac:dyDescent="0.2">
      <c r="A63634" s="258"/>
      <c r="Z63634" s="258"/>
    </row>
    <row r="63635" spans="1:26" ht="12.75" customHeight="1" x14ac:dyDescent="0.2">
      <c r="A63635" s="258"/>
      <c r="Z63635" s="258"/>
    </row>
    <row r="63636" spans="1:26" ht="12.75" customHeight="1" x14ac:dyDescent="0.2">
      <c r="A63636" s="258"/>
      <c r="Z63636" s="258"/>
    </row>
    <row r="63637" spans="1:26" ht="12.75" customHeight="1" x14ac:dyDescent="0.2">
      <c r="A63637" s="258"/>
      <c r="Z63637" s="258"/>
    </row>
    <row r="63638" spans="1:26" ht="12.75" customHeight="1" x14ac:dyDescent="0.2">
      <c r="A63638" s="258"/>
      <c r="Z63638" s="258"/>
    </row>
    <row r="63639" spans="1:26" ht="12.75" customHeight="1" x14ac:dyDescent="0.2">
      <c r="A63639" s="258"/>
      <c r="Z63639" s="258"/>
    </row>
    <row r="63640" spans="1:26" ht="12.75" customHeight="1" x14ac:dyDescent="0.2">
      <c r="A63640" s="258"/>
      <c r="Z63640" s="258"/>
    </row>
    <row r="63641" spans="1:26" ht="12.75" customHeight="1" x14ac:dyDescent="0.2">
      <c r="A63641" s="258"/>
      <c r="Z63641" s="258"/>
    </row>
    <row r="63642" spans="1:26" ht="12.75" customHeight="1" x14ac:dyDescent="0.2">
      <c r="A63642" s="258"/>
      <c r="Z63642" s="258"/>
    </row>
    <row r="63643" spans="1:26" ht="12.75" customHeight="1" x14ac:dyDescent="0.2">
      <c r="A63643" s="258"/>
      <c r="Z63643" s="258"/>
    </row>
    <row r="63644" spans="1:26" ht="12.75" customHeight="1" x14ac:dyDescent="0.2">
      <c r="A63644" s="258"/>
      <c r="Z63644" s="258"/>
    </row>
    <row r="63645" spans="1:26" ht="12.75" customHeight="1" x14ac:dyDescent="0.2">
      <c r="A63645" s="258"/>
      <c r="Z63645" s="258"/>
    </row>
    <row r="63646" spans="1:26" ht="12.75" customHeight="1" x14ac:dyDescent="0.2">
      <c r="A63646" s="258"/>
      <c r="Z63646" s="258"/>
    </row>
    <row r="63647" spans="1:26" ht="12.75" customHeight="1" x14ac:dyDescent="0.2">
      <c r="A63647" s="258"/>
      <c r="Z63647" s="258"/>
    </row>
    <row r="63648" spans="1:26" ht="12.75" customHeight="1" x14ac:dyDescent="0.2">
      <c r="A63648" s="258"/>
      <c r="Z63648" s="258"/>
    </row>
    <row r="63649" spans="1:26" ht="12.75" customHeight="1" x14ac:dyDescent="0.2">
      <c r="A63649" s="258"/>
      <c r="Z63649" s="258"/>
    </row>
    <row r="63650" spans="1:26" ht="12.75" customHeight="1" x14ac:dyDescent="0.2">
      <c r="A63650" s="258"/>
      <c r="Z63650" s="258"/>
    </row>
    <row r="63651" spans="1:26" ht="12.75" customHeight="1" x14ac:dyDescent="0.2">
      <c r="A63651" s="258"/>
      <c r="Z63651" s="258"/>
    </row>
    <row r="63652" spans="1:26" ht="12.75" customHeight="1" x14ac:dyDescent="0.2">
      <c r="A63652" s="258"/>
      <c r="Z63652" s="258"/>
    </row>
    <row r="63653" spans="1:26" ht="12.75" customHeight="1" x14ac:dyDescent="0.2">
      <c r="A63653" s="258"/>
      <c r="Z63653" s="258"/>
    </row>
    <row r="63654" spans="1:26" ht="12.75" customHeight="1" x14ac:dyDescent="0.2">
      <c r="A63654" s="258"/>
      <c r="Z63654" s="258"/>
    </row>
    <row r="63655" spans="1:26" ht="12.75" customHeight="1" x14ac:dyDescent="0.2">
      <c r="A63655" s="258"/>
      <c r="Z63655" s="258"/>
    </row>
    <row r="63656" spans="1:26" ht="12.75" customHeight="1" x14ac:dyDescent="0.2">
      <c r="A63656" s="258"/>
      <c r="Z63656" s="258"/>
    </row>
    <row r="63657" spans="1:26" ht="12.75" customHeight="1" x14ac:dyDescent="0.2">
      <c r="A63657" s="258"/>
      <c r="Z63657" s="258"/>
    </row>
    <row r="63658" spans="1:26" ht="12.75" customHeight="1" x14ac:dyDescent="0.2">
      <c r="A63658" s="258"/>
      <c r="Z63658" s="258"/>
    </row>
    <row r="63659" spans="1:26" ht="12.75" customHeight="1" x14ac:dyDescent="0.2">
      <c r="A63659" s="258"/>
      <c r="Z63659" s="258"/>
    </row>
    <row r="63660" spans="1:26" ht="12.75" customHeight="1" x14ac:dyDescent="0.2">
      <c r="A63660" s="258"/>
      <c r="Z63660" s="258"/>
    </row>
    <row r="63661" spans="1:26" ht="12.75" customHeight="1" x14ac:dyDescent="0.2">
      <c r="A63661" s="258"/>
      <c r="Z63661" s="258"/>
    </row>
    <row r="63662" spans="1:26" ht="12.75" customHeight="1" x14ac:dyDescent="0.2">
      <c r="A63662" s="258"/>
      <c r="Z63662" s="258"/>
    </row>
    <row r="63663" spans="1:26" ht="12.75" customHeight="1" x14ac:dyDescent="0.2">
      <c r="A63663" s="258"/>
      <c r="Z63663" s="258"/>
    </row>
    <row r="63664" spans="1:26" ht="12.75" customHeight="1" x14ac:dyDescent="0.2">
      <c r="A63664" s="258"/>
      <c r="Z63664" s="258"/>
    </row>
    <row r="63665" spans="1:26" ht="12.75" customHeight="1" x14ac:dyDescent="0.2">
      <c r="A63665" s="258"/>
      <c r="Z63665" s="258"/>
    </row>
    <row r="63666" spans="1:26" ht="12.75" customHeight="1" x14ac:dyDescent="0.2">
      <c r="A63666" s="258"/>
      <c r="Z63666" s="258"/>
    </row>
    <row r="63667" spans="1:26" ht="12.75" customHeight="1" x14ac:dyDescent="0.2">
      <c r="A63667" s="258"/>
      <c r="Z63667" s="258"/>
    </row>
    <row r="63668" spans="1:26" ht="12.75" customHeight="1" x14ac:dyDescent="0.2">
      <c r="A63668" s="258"/>
      <c r="Z63668" s="258"/>
    </row>
    <row r="63669" spans="1:26" ht="12.75" customHeight="1" x14ac:dyDescent="0.2">
      <c r="A63669" s="258"/>
      <c r="Z63669" s="258"/>
    </row>
    <row r="63670" spans="1:26" ht="12.75" customHeight="1" x14ac:dyDescent="0.2">
      <c r="A63670" s="258"/>
      <c r="Z63670" s="258"/>
    </row>
    <row r="63671" spans="1:26" ht="12.75" customHeight="1" x14ac:dyDescent="0.2">
      <c r="A63671" s="258"/>
      <c r="Z63671" s="258"/>
    </row>
    <row r="63672" spans="1:26" ht="12.75" customHeight="1" x14ac:dyDescent="0.2">
      <c r="A63672" s="258"/>
      <c r="Z63672" s="258"/>
    </row>
    <row r="63673" spans="1:26" ht="12.75" customHeight="1" x14ac:dyDescent="0.2">
      <c r="A63673" s="258"/>
      <c r="Z63673" s="258"/>
    </row>
    <row r="63674" spans="1:26" ht="12.75" customHeight="1" x14ac:dyDescent="0.2">
      <c r="A63674" s="258"/>
      <c r="Z63674" s="258"/>
    </row>
    <row r="63675" spans="1:26" ht="12.75" customHeight="1" x14ac:dyDescent="0.2">
      <c r="A63675" s="258"/>
      <c r="Z63675" s="258"/>
    </row>
    <row r="63676" spans="1:26" ht="12.75" customHeight="1" x14ac:dyDescent="0.2">
      <c r="A63676" s="258"/>
      <c r="Z63676" s="258"/>
    </row>
    <row r="63677" spans="1:26" ht="12.75" customHeight="1" x14ac:dyDescent="0.2">
      <c r="A63677" s="258"/>
      <c r="Z63677" s="258"/>
    </row>
    <row r="63678" spans="1:26" ht="12.75" customHeight="1" x14ac:dyDescent="0.2">
      <c r="A63678" s="258"/>
      <c r="Z63678" s="258"/>
    </row>
    <row r="63679" spans="1:26" ht="12.75" customHeight="1" x14ac:dyDescent="0.2">
      <c r="A63679" s="258"/>
      <c r="Z63679" s="258"/>
    </row>
    <row r="63680" spans="1:26" ht="12.75" customHeight="1" x14ac:dyDescent="0.2">
      <c r="A63680" s="258"/>
      <c r="Z63680" s="258"/>
    </row>
    <row r="63681" spans="1:26" ht="12.75" customHeight="1" x14ac:dyDescent="0.2">
      <c r="A63681" s="258"/>
      <c r="Z63681" s="258"/>
    </row>
    <row r="63682" spans="1:26" ht="12.75" customHeight="1" x14ac:dyDescent="0.2">
      <c r="A63682" s="258"/>
      <c r="Z63682" s="258"/>
    </row>
    <row r="63683" spans="1:26" ht="12.75" customHeight="1" x14ac:dyDescent="0.2">
      <c r="A63683" s="258"/>
      <c r="Z63683" s="258"/>
    </row>
    <row r="63684" spans="1:26" ht="12.75" customHeight="1" x14ac:dyDescent="0.2">
      <c r="A63684" s="258"/>
      <c r="Z63684" s="258"/>
    </row>
    <row r="63685" spans="1:26" ht="12.75" customHeight="1" x14ac:dyDescent="0.2">
      <c r="A63685" s="258"/>
      <c r="Z63685" s="258"/>
    </row>
    <row r="63686" spans="1:26" ht="12.75" customHeight="1" x14ac:dyDescent="0.2">
      <c r="A63686" s="258"/>
      <c r="Z63686" s="258"/>
    </row>
    <row r="63687" spans="1:26" ht="12.75" customHeight="1" x14ac:dyDescent="0.2">
      <c r="A63687" s="258"/>
      <c r="Z63687" s="258"/>
    </row>
    <row r="63688" spans="1:26" ht="12.75" customHeight="1" x14ac:dyDescent="0.2">
      <c r="A63688" s="258"/>
      <c r="Z63688" s="258"/>
    </row>
    <row r="63689" spans="1:26" ht="12.75" customHeight="1" x14ac:dyDescent="0.2">
      <c r="A63689" s="258"/>
      <c r="Z63689" s="258"/>
    </row>
    <row r="63690" spans="1:26" ht="12.75" customHeight="1" x14ac:dyDescent="0.2">
      <c r="A63690" s="258"/>
      <c r="Z63690" s="258"/>
    </row>
    <row r="63691" spans="1:26" ht="12.75" customHeight="1" x14ac:dyDescent="0.2">
      <c r="A63691" s="258"/>
      <c r="Z63691" s="258"/>
    </row>
    <row r="63692" spans="1:26" ht="12.75" customHeight="1" x14ac:dyDescent="0.2">
      <c r="A63692" s="258"/>
      <c r="Z63692" s="258"/>
    </row>
    <row r="63693" spans="1:26" ht="12.75" customHeight="1" x14ac:dyDescent="0.2">
      <c r="A63693" s="258"/>
      <c r="Z63693" s="258"/>
    </row>
    <row r="63694" spans="1:26" ht="12.75" customHeight="1" x14ac:dyDescent="0.2">
      <c r="A63694" s="258"/>
      <c r="Z63694" s="258"/>
    </row>
    <row r="63695" spans="1:26" ht="12.75" customHeight="1" x14ac:dyDescent="0.2">
      <c r="A63695" s="258"/>
      <c r="Z63695" s="258"/>
    </row>
    <row r="63696" spans="1:26" ht="12.75" customHeight="1" x14ac:dyDescent="0.2">
      <c r="A63696" s="258"/>
      <c r="Z63696" s="258"/>
    </row>
    <row r="63697" spans="1:26" ht="12.75" customHeight="1" x14ac:dyDescent="0.2">
      <c r="A63697" s="258"/>
      <c r="Z63697" s="258"/>
    </row>
    <row r="63698" spans="1:26" ht="12.75" customHeight="1" x14ac:dyDescent="0.2">
      <c r="A63698" s="258"/>
      <c r="Z63698" s="258"/>
    </row>
    <row r="63699" spans="1:26" ht="12.75" customHeight="1" x14ac:dyDescent="0.2">
      <c r="A63699" s="258"/>
      <c r="Z63699" s="258"/>
    </row>
    <row r="63700" spans="1:26" ht="12.75" customHeight="1" x14ac:dyDescent="0.2">
      <c r="A63700" s="258"/>
      <c r="Z63700" s="258"/>
    </row>
    <row r="63701" spans="1:26" ht="12.75" customHeight="1" x14ac:dyDescent="0.2">
      <c r="A63701" s="258"/>
      <c r="Z63701" s="258"/>
    </row>
    <row r="63702" spans="1:26" ht="12.75" customHeight="1" x14ac:dyDescent="0.2">
      <c r="A63702" s="258"/>
      <c r="Z63702" s="258"/>
    </row>
    <row r="63703" spans="1:26" ht="12.75" customHeight="1" x14ac:dyDescent="0.2">
      <c r="A63703" s="258"/>
      <c r="Z63703" s="258"/>
    </row>
    <row r="63704" spans="1:26" ht="12.75" customHeight="1" x14ac:dyDescent="0.2">
      <c r="A63704" s="258"/>
      <c r="Z63704" s="258"/>
    </row>
    <row r="63705" spans="1:26" ht="12.75" customHeight="1" x14ac:dyDescent="0.2">
      <c r="A63705" s="258"/>
      <c r="Z63705" s="258"/>
    </row>
    <row r="63706" spans="1:26" ht="12.75" customHeight="1" x14ac:dyDescent="0.2">
      <c r="A63706" s="258"/>
      <c r="Z63706" s="258"/>
    </row>
    <row r="63707" spans="1:26" ht="12.75" customHeight="1" x14ac:dyDescent="0.2">
      <c r="A63707" s="258"/>
      <c r="Z63707" s="258"/>
    </row>
    <row r="63708" spans="1:26" ht="12.75" customHeight="1" x14ac:dyDescent="0.2">
      <c r="A63708" s="258"/>
      <c r="Z63708" s="258"/>
    </row>
    <row r="63709" spans="1:26" ht="12.75" customHeight="1" x14ac:dyDescent="0.2">
      <c r="A63709" s="258"/>
      <c r="Z63709" s="258"/>
    </row>
    <row r="63710" spans="1:26" ht="12.75" customHeight="1" x14ac:dyDescent="0.2">
      <c r="A63710" s="258"/>
      <c r="Z63710" s="258"/>
    </row>
    <row r="63711" spans="1:26" ht="12.75" customHeight="1" x14ac:dyDescent="0.2">
      <c r="A63711" s="258"/>
      <c r="Z63711" s="258"/>
    </row>
    <row r="63712" spans="1:26" ht="12.75" customHeight="1" x14ac:dyDescent="0.2">
      <c r="A63712" s="258"/>
      <c r="Z63712" s="258"/>
    </row>
    <row r="63713" spans="1:26" ht="12.75" customHeight="1" x14ac:dyDescent="0.2">
      <c r="A63713" s="258"/>
      <c r="Z63713" s="258"/>
    </row>
    <row r="63714" spans="1:26" ht="12.75" customHeight="1" x14ac:dyDescent="0.2">
      <c r="A63714" s="258"/>
      <c r="Z63714" s="258"/>
    </row>
    <row r="63715" spans="1:26" ht="12.75" customHeight="1" x14ac:dyDescent="0.2">
      <c r="A63715" s="258"/>
      <c r="Z63715" s="258"/>
    </row>
    <row r="63716" spans="1:26" ht="12.75" customHeight="1" x14ac:dyDescent="0.2">
      <c r="A63716" s="258"/>
      <c r="Z63716" s="258"/>
    </row>
    <row r="63717" spans="1:26" ht="12.75" customHeight="1" x14ac:dyDescent="0.2">
      <c r="A63717" s="258"/>
      <c r="Z63717" s="258"/>
    </row>
    <row r="63718" spans="1:26" ht="12.75" customHeight="1" x14ac:dyDescent="0.2">
      <c r="A63718" s="258"/>
      <c r="Z63718" s="258"/>
    </row>
    <row r="63719" spans="1:26" ht="12.75" customHeight="1" x14ac:dyDescent="0.2">
      <c r="A63719" s="258"/>
      <c r="Z63719" s="258"/>
    </row>
    <row r="63720" spans="1:26" ht="12.75" customHeight="1" x14ac:dyDescent="0.2">
      <c r="A63720" s="258"/>
      <c r="Z63720" s="258"/>
    </row>
    <row r="63721" spans="1:26" ht="12.75" customHeight="1" x14ac:dyDescent="0.2">
      <c r="A63721" s="258"/>
      <c r="Z63721" s="258"/>
    </row>
    <row r="63722" spans="1:26" ht="12.75" customHeight="1" x14ac:dyDescent="0.2">
      <c r="A63722" s="258"/>
      <c r="Z63722" s="258"/>
    </row>
    <row r="63723" spans="1:26" ht="12.75" customHeight="1" x14ac:dyDescent="0.2">
      <c r="A63723" s="258"/>
      <c r="Z63723" s="258"/>
    </row>
    <row r="63724" spans="1:26" ht="12.75" customHeight="1" x14ac:dyDescent="0.2">
      <c r="A63724" s="258"/>
      <c r="Z63724" s="258"/>
    </row>
    <row r="63725" spans="1:26" ht="12.75" customHeight="1" x14ac:dyDescent="0.2">
      <c r="A63725" s="258"/>
      <c r="Z63725" s="258"/>
    </row>
    <row r="63726" spans="1:26" ht="12.75" customHeight="1" x14ac:dyDescent="0.2">
      <c r="A63726" s="258"/>
      <c r="Z63726" s="258"/>
    </row>
    <row r="63727" spans="1:26" ht="12.75" customHeight="1" x14ac:dyDescent="0.2">
      <c r="A63727" s="258"/>
      <c r="Z63727" s="258"/>
    </row>
    <row r="63728" spans="1:26" ht="12.75" customHeight="1" x14ac:dyDescent="0.2">
      <c r="A63728" s="258"/>
      <c r="Z63728" s="258"/>
    </row>
    <row r="63729" spans="1:26" ht="12.75" customHeight="1" x14ac:dyDescent="0.2">
      <c r="A63729" s="258"/>
      <c r="Z63729" s="258"/>
    </row>
    <row r="63730" spans="1:26" ht="12.75" customHeight="1" x14ac:dyDescent="0.2">
      <c r="A63730" s="258"/>
      <c r="Z63730" s="258"/>
    </row>
    <row r="63731" spans="1:26" ht="12.75" customHeight="1" x14ac:dyDescent="0.2">
      <c r="A63731" s="258"/>
      <c r="Z63731" s="258"/>
    </row>
    <row r="63732" spans="1:26" ht="12.75" customHeight="1" x14ac:dyDescent="0.2">
      <c r="A63732" s="258"/>
      <c r="Z63732" s="258"/>
    </row>
    <row r="63733" spans="1:26" ht="12.75" customHeight="1" x14ac:dyDescent="0.2">
      <c r="A63733" s="258"/>
      <c r="Z63733" s="258"/>
    </row>
    <row r="63734" spans="1:26" ht="12.75" customHeight="1" x14ac:dyDescent="0.2">
      <c r="A63734" s="258"/>
      <c r="Z63734" s="258"/>
    </row>
    <row r="63735" spans="1:26" ht="12.75" customHeight="1" x14ac:dyDescent="0.2">
      <c r="A63735" s="258"/>
      <c r="Z63735" s="258"/>
    </row>
    <row r="63736" spans="1:26" ht="12.75" customHeight="1" x14ac:dyDescent="0.2">
      <c r="A63736" s="258"/>
      <c r="Z63736" s="258"/>
    </row>
    <row r="63737" spans="1:26" ht="12.75" customHeight="1" x14ac:dyDescent="0.2">
      <c r="A63737" s="258"/>
      <c r="Z63737" s="258"/>
    </row>
    <row r="63738" spans="1:26" ht="12.75" customHeight="1" x14ac:dyDescent="0.2">
      <c r="A63738" s="258"/>
      <c r="Z63738" s="258"/>
    </row>
    <row r="63739" spans="1:26" ht="12.75" customHeight="1" x14ac:dyDescent="0.2">
      <c r="A63739" s="258"/>
      <c r="Z63739" s="258"/>
    </row>
    <row r="63740" spans="1:26" ht="12.75" customHeight="1" x14ac:dyDescent="0.2">
      <c r="A63740" s="258"/>
      <c r="Z63740" s="258"/>
    </row>
    <row r="63741" spans="1:26" ht="12.75" customHeight="1" x14ac:dyDescent="0.2">
      <c r="A63741" s="258"/>
      <c r="Z63741" s="258"/>
    </row>
    <row r="63742" spans="1:26" ht="12.75" customHeight="1" x14ac:dyDescent="0.2">
      <c r="A63742" s="258"/>
      <c r="Z63742" s="258"/>
    </row>
    <row r="63743" spans="1:26" ht="12.75" customHeight="1" x14ac:dyDescent="0.2">
      <c r="A63743" s="258"/>
      <c r="Z63743" s="258"/>
    </row>
    <row r="63744" spans="1:26" ht="12.75" customHeight="1" x14ac:dyDescent="0.2">
      <c r="A63744" s="258"/>
      <c r="Z63744" s="258"/>
    </row>
    <row r="63745" spans="1:26" ht="12.75" customHeight="1" x14ac:dyDescent="0.2">
      <c r="A63745" s="258"/>
      <c r="Z63745" s="258"/>
    </row>
    <row r="63746" spans="1:26" ht="12.75" customHeight="1" x14ac:dyDescent="0.2">
      <c r="A63746" s="258"/>
      <c r="Z63746" s="258"/>
    </row>
    <row r="63747" spans="1:26" ht="12.75" customHeight="1" x14ac:dyDescent="0.2">
      <c r="A63747" s="258"/>
      <c r="Z63747" s="258"/>
    </row>
    <row r="63748" spans="1:26" ht="12.75" customHeight="1" x14ac:dyDescent="0.2">
      <c r="A63748" s="258"/>
      <c r="Z63748" s="258"/>
    </row>
    <row r="63749" spans="1:26" ht="12.75" customHeight="1" x14ac:dyDescent="0.2">
      <c r="A63749" s="258"/>
      <c r="Z63749" s="258"/>
    </row>
    <row r="63750" spans="1:26" ht="12.75" customHeight="1" x14ac:dyDescent="0.2">
      <c r="A63750" s="258"/>
      <c r="Z63750" s="258"/>
    </row>
    <row r="63751" spans="1:26" ht="12.75" customHeight="1" x14ac:dyDescent="0.2">
      <c r="A63751" s="258"/>
      <c r="Z63751" s="258"/>
    </row>
    <row r="63752" spans="1:26" ht="12.75" customHeight="1" x14ac:dyDescent="0.2">
      <c r="A63752" s="258"/>
      <c r="Z63752" s="258"/>
    </row>
    <row r="63753" spans="1:26" ht="12.75" customHeight="1" x14ac:dyDescent="0.2">
      <c r="A63753" s="258"/>
      <c r="Z63753" s="258"/>
    </row>
    <row r="63754" spans="1:26" ht="12.75" customHeight="1" x14ac:dyDescent="0.2">
      <c r="A63754" s="258"/>
      <c r="Z63754" s="258"/>
    </row>
    <row r="63755" spans="1:26" ht="12.75" customHeight="1" x14ac:dyDescent="0.2">
      <c r="A63755" s="258"/>
      <c r="Z63755" s="258"/>
    </row>
    <row r="63756" spans="1:26" ht="12.75" customHeight="1" x14ac:dyDescent="0.2">
      <c r="A63756" s="258"/>
      <c r="Z63756" s="258"/>
    </row>
    <row r="63757" spans="1:26" ht="12.75" customHeight="1" x14ac:dyDescent="0.2">
      <c r="A63757" s="258"/>
      <c r="Z63757" s="258"/>
    </row>
    <row r="63758" spans="1:26" ht="12.75" customHeight="1" x14ac:dyDescent="0.2">
      <c r="A63758" s="258"/>
      <c r="Z63758" s="258"/>
    </row>
    <row r="63759" spans="1:26" ht="12.75" customHeight="1" x14ac:dyDescent="0.2">
      <c r="A63759" s="258"/>
      <c r="Z63759" s="258"/>
    </row>
    <row r="63760" spans="1:26" ht="12.75" customHeight="1" x14ac:dyDescent="0.2">
      <c r="A63760" s="258"/>
      <c r="Z63760" s="258"/>
    </row>
    <row r="63761" spans="1:26" ht="12.75" customHeight="1" x14ac:dyDescent="0.2">
      <c r="A63761" s="258"/>
      <c r="Z63761" s="258"/>
    </row>
    <row r="63762" spans="1:26" ht="12.75" customHeight="1" x14ac:dyDescent="0.2">
      <c r="A63762" s="258"/>
      <c r="Z63762" s="258"/>
    </row>
    <row r="63763" spans="1:26" ht="12.75" customHeight="1" x14ac:dyDescent="0.2">
      <c r="A63763" s="258"/>
      <c r="Z63763" s="258"/>
    </row>
    <row r="63764" spans="1:26" ht="12.75" customHeight="1" x14ac:dyDescent="0.2">
      <c r="A63764" s="258"/>
      <c r="Z63764" s="258"/>
    </row>
    <row r="63765" spans="1:26" ht="12.75" customHeight="1" x14ac:dyDescent="0.2">
      <c r="A63765" s="258"/>
      <c r="Z63765" s="258"/>
    </row>
    <row r="63766" spans="1:26" ht="12.75" customHeight="1" x14ac:dyDescent="0.2">
      <c r="A63766" s="258"/>
      <c r="Z63766" s="258"/>
    </row>
    <row r="63767" spans="1:26" ht="12.75" customHeight="1" x14ac:dyDescent="0.2">
      <c r="A63767" s="258"/>
      <c r="Z63767" s="258"/>
    </row>
    <row r="63768" spans="1:26" ht="12.75" customHeight="1" x14ac:dyDescent="0.2">
      <c r="A63768" s="258"/>
      <c r="Z63768" s="258"/>
    </row>
    <row r="63769" spans="1:26" ht="12.75" customHeight="1" x14ac:dyDescent="0.2">
      <c r="A63769" s="258"/>
      <c r="Z63769" s="258"/>
    </row>
    <row r="63770" spans="1:26" ht="12.75" customHeight="1" x14ac:dyDescent="0.2">
      <c r="A63770" s="258"/>
      <c r="Z63770" s="258"/>
    </row>
    <row r="63771" spans="1:26" ht="12.75" customHeight="1" x14ac:dyDescent="0.2">
      <c r="A63771" s="258"/>
      <c r="Z63771" s="258"/>
    </row>
    <row r="63772" spans="1:26" ht="12.75" customHeight="1" x14ac:dyDescent="0.2">
      <c r="A63772" s="258"/>
      <c r="Z63772" s="258"/>
    </row>
    <row r="63773" spans="1:26" ht="12.75" customHeight="1" x14ac:dyDescent="0.2">
      <c r="A63773" s="258"/>
      <c r="Z63773" s="258"/>
    </row>
    <row r="63774" spans="1:26" ht="12.75" customHeight="1" x14ac:dyDescent="0.2">
      <c r="A63774" s="258"/>
      <c r="Z63774" s="258"/>
    </row>
    <row r="63775" spans="1:26" ht="12.75" customHeight="1" x14ac:dyDescent="0.2">
      <c r="A63775" s="258"/>
      <c r="Z63775" s="258"/>
    </row>
    <row r="63776" spans="1:26" ht="12.75" customHeight="1" x14ac:dyDescent="0.2">
      <c r="A63776" s="258"/>
      <c r="Z63776" s="258"/>
    </row>
    <row r="63777" spans="1:26" ht="12.75" customHeight="1" x14ac:dyDescent="0.2">
      <c r="A63777" s="258"/>
      <c r="Z63777" s="258"/>
    </row>
    <row r="63778" spans="1:26" ht="12.75" customHeight="1" x14ac:dyDescent="0.2">
      <c r="A63778" s="258"/>
      <c r="Z63778" s="258"/>
    </row>
    <row r="63779" spans="1:26" ht="12.75" customHeight="1" x14ac:dyDescent="0.2">
      <c r="A63779" s="258"/>
      <c r="Z63779" s="258"/>
    </row>
    <row r="63780" spans="1:26" ht="12.75" customHeight="1" x14ac:dyDescent="0.2">
      <c r="A63780" s="258"/>
      <c r="Z63780" s="258"/>
    </row>
    <row r="63781" spans="1:26" ht="12.75" customHeight="1" x14ac:dyDescent="0.2">
      <c r="A63781" s="258"/>
      <c r="Z63781" s="258"/>
    </row>
    <row r="63782" spans="1:26" ht="12.75" customHeight="1" x14ac:dyDescent="0.2">
      <c r="A63782" s="258"/>
      <c r="Z63782" s="258"/>
    </row>
    <row r="63783" spans="1:26" ht="12.75" customHeight="1" x14ac:dyDescent="0.2">
      <c r="A63783" s="258"/>
      <c r="Z63783" s="258"/>
    </row>
    <row r="63784" spans="1:26" ht="12.75" customHeight="1" x14ac:dyDescent="0.2">
      <c r="A63784" s="258"/>
      <c r="Z63784" s="258"/>
    </row>
    <row r="63785" spans="1:26" ht="12.75" customHeight="1" x14ac:dyDescent="0.2">
      <c r="A63785" s="258"/>
      <c r="Z63785" s="258"/>
    </row>
    <row r="63786" spans="1:26" ht="12.75" customHeight="1" x14ac:dyDescent="0.2">
      <c r="A63786" s="258"/>
      <c r="Z63786" s="258"/>
    </row>
    <row r="63787" spans="1:26" ht="12.75" customHeight="1" x14ac:dyDescent="0.2">
      <c r="A63787" s="258"/>
      <c r="Z63787" s="258"/>
    </row>
    <row r="63788" spans="1:26" ht="12.75" customHeight="1" x14ac:dyDescent="0.2">
      <c r="A63788" s="258"/>
      <c r="Z63788" s="258"/>
    </row>
    <row r="63789" spans="1:26" ht="12.75" customHeight="1" x14ac:dyDescent="0.2">
      <c r="A63789" s="258"/>
      <c r="Z63789" s="258"/>
    </row>
    <row r="63790" spans="1:26" ht="12.75" customHeight="1" x14ac:dyDescent="0.2">
      <c r="A63790" s="258"/>
      <c r="Z63790" s="258"/>
    </row>
    <row r="63791" spans="1:26" ht="12.75" customHeight="1" x14ac:dyDescent="0.2">
      <c r="A63791" s="258"/>
      <c r="Z63791" s="258"/>
    </row>
    <row r="63792" spans="1:26" ht="12.75" customHeight="1" x14ac:dyDescent="0.2">
      <c r="A63792" s="258"/>
      <c r="Z63792" s="258"/>
    </row>
    <row r="63793" spans="1:26" ht="12.75" customHeight="1" x14ac:dyDescent="0.2">
      <c r="A63793" s="258"/>
      <c r="Z63793" s="258"/>
    </row>
    <row r="63794" spans="1:26" ht="12.75" customHeight="1" x14ac:dyDescent="0.2">
      <c r="A63794" s="258"/>
      <c r="Z63794" s="258"/>
    </row>
    <row r="63795" spans="1:26" ht="12.75" customHeight="1" x14ac:dyDescent="0.2">
      <c r="A63795" s="258"/>
      <c r="Z63795" s="258"/>
    </row>
    <row r="63796" spans="1:26" ht="12.75" customHeight="1" x14ac:dyDescent="0.2">
      <c r="A63796" s="258"/>
      <c r="Z63796" s="258"/>
    </row>
    <row r="63797" spans="1:26" ht="12.75" customHeight="1" x14ac:dyDescent="0.2">
      <c r="A63797" s="258"/>
      <c r="Z63797" s="258"/>
    </row>
    <row r="63798" spans="1:26" ht="12.75" customHeight="1" x14ac:dyDescent="0.2">
      <c r="A63798" s="258"/>
      <c r="Z63798" s="258"/>
    </row>
    <row r="63799" spans="1:26" ht="12.75" customHeight="1" x14ac:dyDescent="0.2">
      <c r="A63799" s="258"/>
      <c r="Z63799" s="258"/>
    </row>
    <row r="63800" spans="1:26" ht="12.75" customHeight="1" x14ac:dyDescent="0.2">
      <c r="A63800" s="258"/>
      <c r="Z63800" s="258"/>
    </row>
    <row r="63801" spans="1:26" ht="12.75" customHeight="1" x14ac:dyDescent="0.2">
      <c r="A63801" s="258"/>
      <c r="Z63801" s="258"/>
    </row>
    <row r="63802" spans="1:26" ht="12.75" customHeight="1" x14ac:dyDescent="0.2">
      <c r="A63802" s="258"/>
      <c r="Z63802" s="258"/>
    </row>
    <row r="63803" spans="1:26" ht="12.75" customHeight="1" x14ac:dyDescent="0.2">
      <c r="A63803" s="258"/>
      <c r="Z63803" s="258"/>
    </row>
    <row r="63804" spans="1:26" ht="12.75" customHeight="1" x14ac:dyDescent="0.2">
      <c r="A63804" s="258"/>
      <c r="Z63804" s="258"/>
    </row>
    <row r="63805" spans="1:26" ht="12.75" customHeight="1" x14ac:dyDescent="0.2">
      <c r="A63805" s="258"/>
      <c r="Z63805" s="258"/>
    </row>
    <row r="63806" spans="1:26" ht="12.75" customHeight="1" x14ac:dyDescent="0.2">
      <c r="A63806" s="258"/>
      <c r="Z63806" s="258"/>
    </row>
    <row r="63807" spans="1:26" ht="12.75" customHeight="1" x14ac:dyDescent="0.2">
      <c r="A63807" s="258"/>
      <c r="Z63807" s="258"/>
    </row>
    <row r="63808" spans="1:26" ht="12.75" customHeight="1" x14ac:dyDescent="0.2">
      <c r="A63808" s="258"/>
      <c r="Z63808" s="258"/>
    </row>
    <row r="63809" spans="1:26" ht="12.75" customHeight="1" x14ac:dyDescent="0.2">
      <c r="A63809" s="258"/>
      <c r="Z63809" s="258"/>
    </row>
    <row r="63810" spans="1:26" ht="12.75" customHeight="1" x14ac:dyDescent="0.2">
      <c r="A63810" s="258"/>
      <c r="Z63810" s="258"/>
    </row>
    <row r="63811" spans="1:26" ht="12.75" customHeight="1" x14ac:dyDescent="0.2">
      <c r="A63811" s="258"/>
      <c r="Z63811" s="258"/>
    </row>
    <row r="63812" spans="1:26" ht="12.75" customHeight="1" x14ac:dyDescent="0.2">
      <c r="A63812" s="258"/>
      <c r="Z63812" s="258"/>
    </row>
    <row r="63813" spans="1:26" ht="12.75" customHeight="1" x14ac:dyDescent="0.2">
      <c r="A63813" s="258"/>
      <c r="Z63813" s="258"/>
    </row>
    <row r="63814" spans="1:26" ht="12.75" customHeight="1" x14ac:dyDescent="0.2">
      <c r="A63814" s="258"/>
      <c r="Z63814" s="258"/>
    </row>
    <row r="63815" spans="1:26" ht="12.75" customHeight="1" x14ac:dyDescent="0.2">
      <c r="A63815" s="258"/>
      <c r="Z63815" s="258"/>
    </row>
    <row r="63816" spans="1:26" ht="12.75" customHeight="1" x14ac:dyDescent="0.2">
      <c r="A63816" s="258"/>
      <c r="Z63816" s="258"/>
    </row>
    <row r="63817" spans="1:26" ht="12.75" customHeight="1" x14ac:dyDescent="0.2">
      <c r="A63817" s="258"/>
      <c r="Z63817" s="258"/>
    </row>
    <row r="63818" spans="1:26" ht="12.75" customHeight="1" x14ac:dyDescent="0.2">
      <c r="A63818" s="258"/>
      <c r="Z63818" s="258"/>
    </row>
    <row r="63819" spans="1:26" ht="12.75" customHeight="1" x14ac:dyDescent="0.2">
      <c r="A63819" s="258"/>
      <c r="Z63819" s="258"/>
    </row>
    <row r="63820" spans="1:26" ht="12.75" customHeight="1" x14ac:dyDescent="0.2">
      <c r="A63820" s="258"/>
      <c r="Z63820" s="258"/>
    </row>
    <row r="63821" spans="1:26" ht="12.75" customHeight="1" x14ac:dyDescent="0.2">
      <c r="A63821" s="258"/>
      <c r="Z63821" s="258"/>
    </row>
    <row r="63822" spans="1:26" ht="12.75" customHeight="1" x14ac:dyDescent="0.2">
      <c r="A63822" s="258"/>
      <c r="Z63822" s="258"/>
    </row>
    <row r="63823" spans="1:26" ht="12.75" customHeight="1" x14ac:dyDescent="0.2">
      <c r="A63823" s="258"/>
      <c r="Z63823" s="258"/>
    </row>
    <row r="63824" spans="1:26" ht="12.75" customHeight="1" x14ac:dyDescent="0.2">
      <c r="A63824" s="258"/>
      <c r="Z63824" s="258"/>
    </row>
    <row r="63825" spans="1:26" ht="12.75" customHeight="1" x14ac:dyDescent="0.2">
      <c r="A63825" s="258"/>
      <c r="Z63825" s="258"/>
    </row>
    <row r="63826" spans="1:26" ht="12.75" customHeight="1" x14ac:dyDescent="0.2">
      <c r="A63826" s="258"/>
      <c r="Z63826" s="258"/>
    </row>
    <row r="63827" spans="1:26" ht="12.75" customHeight="1" x14ac:dyDescent="0.2">
      <c r="A63827" s="258"/>
      <c r="Z63827" s="258"/>
    </row>
    <row r="63828" spans="1:26" ht="12.75" customHeight="1" x14ac:dyDescent="0.2">
      <c r="A63828" s="258"/>
      <c r="Z63828" s="258"/>
    </row>
    <row r="63829" spans="1:26" ht="12.75" customHeight="1" x14ac:dyDescent="0.2">
      <c r="A63829" s="258"/>
      <c r="Z63829" s="258"/>
    </row>
    <row r="63830" spans="1:26" ht="12.75" customHeight="1" x14ac:dyDescent="0.2">
      <c r="A63830" s="258"/>
      <c r="Z63830" s="258"/>
    </row>
    <row r="63831" spans="1:26" ht="12.75" customHeight="1" x14ac:dyDescent="0.2">
      <c r="A63831" s="258"/>
      <c r="Z63831" s="258"/>
    </row>
    <row r="63832" spans="1:26" ht="12.75" customHeight="1" x14ac:dyDescent="0.2">
      <c r="A63832" s="258"/>
      <c r="Z63832" s="258"/>
    </row>
    <row r="63833" spans="1:26" ht="12.75" customHeight="1" x14ac:dyDescent="0.2">
      <c r="A63833" s="258"/>
      <c r="Z63833" s="258"/>
    </row>
    <row r="63834" spans="1:26" ht="12.75" customHeight="1" x14ac:dyDescent="0.2">
      <c r="A63834" s="258"/>
      <c r="Z63834" s="258"/>
    </row>
    <row r="63835" spans="1:26" ht="12.75" customHeight="1" x14ac:dyDescent="0.2">
      <c r="A63835" s="258"/>
      <c r="Z63835" s="258"/>
    </row>
    <row r="63836" spans="1:26" ht="12.75" customHeight="1" x14ac:dyDescent="0.2">
      <c r="A63836" s="258"/>
      <c r="Z63836" s="258"/>
    </row>
    <row r="63837" spans="1:26" ht="12.75" customHeight="1" x14ac:dyDescent="0.2">
      <c r="A63837" s="258"/>
      <c r="Z63837" s="258"/>
    </row>
    <row r="63838" spans="1:26" ht="12.75" customHeight="1" x14ac:dyDescent="0.2">
      <c r="A63838" s="258"/>
      <c r="Z63838" s="258"/>
    </row>
    <row r="63839" spans="1:26" ht="12.75" customHeight="1" x14ac:dyDescent="0.2">
      <c r="A63839" s="258"/>
      <c r="Z63839" s="258"/>
    </row>
    <row r="63840" spans="1:26" ht="12.75" customHeight="1" x14ac:dyDescent="0.2">
      <c r="A63840" s="258"/>
      <c r="Z63840" s="258"/>
    </row>
    <row r="63841" spans="1:26" ht="12.75" customHeight="1" x14ac:dyDescent="0.2">
      <c r="A63841" s="258"/>
      <c r="Z63841" s="258"/>
    </row>
    <row r="63842" spans="1:26" ht="12.75" customHeight="1" x14ac:dyDescent="0.2">
      <c r="A63842" s="258"/>
      <c r="Z63842" s="258"/>
    </row>
    <row r="63843" spans="1:26" ht="12.75" customHeight="1" x14ac:dyDescent="0.2">
      <c r="A63843" s="258"/>
      <c r="Z63843" s="258"/>
    </row>
    <row r="63844" spans="1:26" ht="12.75" customHeight="1" x14ac:dyDescent="0.2">
      <c r="A63844" s="258"/>
      <c r="Z63844" s="258"/>
    </row>
    <row r="63845" spans="1:26" ht="12.75" customHeight="1" x14ac:dyDescent="0.2">
      <c r="A63845" s="258"/>
      <c r="Z63845" s="258"/>
    </row>
    <row r="63846" spans="1:26" ht="12.75" customHeight="1" x14ac:dyDescent="0.2">
      <c r="A63846" s="258"/>
      <c r="Z63846" s="258"/>
    </row>
    <row r="63847" spans="1:26" ht="12.75" customHeight="1" x14ac:dyDescent="0.2">
      <c r="A63847" s="258"/>
      <c r="Z63847" s="258"/>
    </row>
    <row r="63848" spans="1:26" ht="12.75" customHeight="1" x14ac:dyDescent="0.2">
      <c r="A63848" s="258"/>
      <c r="Z63848" s="258"/>
    </row>
    <row r="63849" spans="1:26" ht="12.75" customHeight="1" x14ac:dyDescent="0.2">
      <c r="A63849" s="258"/>
      <c r="Z63849" s="258"/>
    </row>
    <row r="63850" spans="1:26" ht="12.75" customHeight="1" x14ac:dyDescent="0.2">
      <c r="A63850" s="258"/>
      <c r="Z63850" s="258"/>
    </row>
    <row r="63851" spans="1:26" ht="12.75" customHeight="1" x14ac:dyDescent="0.2">
      <c r="A63851" s="258"/>
      <c r="Z63851" s="258"/>
    </row>
    <row r="63852" spans="1:26" ht="12.75" customHeight="1" x14ac:dyDescent="0.2">
      <c r="A63852" s="258"/>
      <c r="Z63852" s="258"/>
    </row>
    <row r="63853" spans="1:26" ht="12.75" customHeight="1" x14ac:dyDescent="0.2">
      <c r="A63853" s="258"/>
      <c r="Z63853" s="258"/>
    </row>
    <row r="63854" spans="1:26" ht="12.75" customHeight="1" x14ac:dyDescent="0.2">
      <c r="A63854" s="258"/>
      <c r="Z63854" s="258"/>
    </row>
    <row r="63855" spans="1:26" ht="12.75" customHeight="1" x14ac:dyDescent="0.2">
      <c r="A63855" s="258"/>
      <c r="Z63855" s="258"/>
    </row>
    <row r="63856" spans="1:26" ht="12.75" customHeight="1" x14ac:dyDescent="0.2">
      <c r="A63856" s="258"/>
      <c r="Z63856" s="258"/>
    </row>
    <row r="63857" spans="1:26" ht="12.75" customHeight="1" x14ac:dyDescent="0.2">
      <c r="A63857" s="258"/>
      <c r="Z63857" s="258"/>
    </row>
    <row r="63858" spans="1:26" ht="12.75" customHeight="1" x14ac:dyDescent="0.2">
      <c r="A63858" s="258"/>
      <c r="Z63858" s="258"/>
    </row>
    <row r="63859" spans="1:26" ht="12.75" customHeight="1" x14ac:dyDescent="0.2">
      <c r="A63859" s="258"/>
      <c r="Z63859" s="258"/>
    </row>
    <row r="63860" spans="1:26" ht="12.75" customHeight="1" x14ac:dyDescent="0.2">
      <c r="A63860" s="258"/>
      <c r="Z63860" s="258"/>
    </row>
    <row r="63861" spans="1:26" ht="12.75" customHeight="1" x14ac:dyDescent="0.2">
      <c r="A63861" s="258"/>
      <c r="Z63861" s="258"/>
    </row>
    <row r="63862" spans="1:26" ht="12.75" customHeight="1" x14ac:dyDescent="0.2">
      <c r="A63862" s="258"/>
      <c r="Z63862" s="258"/>
    </row>
    <row r="63863" spans="1:26" ht="12.75" customHeight="1" x14ac:dyDescent="0.2">
      <c r="A63863" s="258"/>
      <c r="Z63863" s="258"/>
    </row>
    <row r="63864" spans="1:26" ht="12.75" customHeight="1" x14ac:dyDescent="0.2">
      <c r="A63864" s="258"/>
      <c r="Z63864" s="258"/>
    </row>
    <row r="63865" spans="1:26" ht="12.75" customHeight="1" x14ac:dyDescent="0.2">
      <c r="A63865" s="258"/>
      <c r="Z63865" s="258"/>
    </row>
    <row r="63866" spans="1:26" ht="12.75" customHeight="1" x14ac:dyDescent="0.2">
      <c r="A63866" s="258"/>
      <c r="Z63866" s="258"/>
    </row>
    <row r="63867" spans="1:26" ht="12.75" customHeight="1" x14ac:dyDescent="0.2">
      <c r="A63867" s="258"/>
      <c r="Z63867" s="258"/>
    </row>
    <row r="63868" spans="1:26" ht="12.75" customHeight="1" x14ac:dyDescent="0.2">
      <c r="A63868" s="258"/>
      <c r="Z63868" s="258"/>
    </row>
    <row r="63869" spans="1:26" ht="12.75" customHeight="1" x14ac:dyDescent="0.2">
      <c r="A63869" s="258"/>
      <c r="Z63869" s="258"/>
    </row>
    <row r="63870" spans="1:26" ht="12.75" customHeight="1" x14ac:dyDescent="0.2">
      <c r="A63870" s="258"/>
      <c r="Z63870" s="258"/>
    </row>
    <row r="63871" spans="1:26" ht="12.75" customHeight="1" x14ac:dyDescent="0.2">
      <c r="A63871" s="258"/>
      <c r="Z63871" s="258"/>
    </row>
    <row r="63872" spans="1:26" ht="12.75" customHeight="1" x14ac:dyDescent="0.2">
      <c r="A63872" s="258"/>
      <c r="Z63872" s="258"/>
    </row>
    <row r="63873" spans="1:26" ht="12.75" customHeight="1" x14ac:dyDescent="0.2">
      <c r="A63873" s="258"/>
      <c r="Z63873" s="258"/>
    </row>
    <row r="63874" spans="1:26" ht="12.75" customHeight="1" x14ac:dyDescent="0.2">
      <c r="A63874" s="258"/>
      <c r="Z63874" s="258"/>
    </row>
    <row r="63875" spans="1:26" ht="12.75" customHeight="1" x14ac:dyDescent="0.2">
      <c r="A63875" s="258"/>
      <c r="Z63875" s="258"/>
    </row>
    <row r="63876" spans="1:26" ht="12.75" customHeight="1" x14ac:dyDescent="0.2">
      <c r="A63876" s="258"/>
      <c r="Z63876" s="258"/>
    </row>
    <row r="63877" spans="1:26" ht="12.75" customHeight="1" x14ac:dyDescent="0.2">
      <c r="A63877" s="258"/>
      <c r="Z63877" s="258"/>
    </row>
    <row r="63878" spans="1:26" ht="12.75" customHeight="1" x14ac:dyDescent="0.2">
      <c r="A63878" s="258"/>
      <c r="Z63878" s="258"/>
    </row>
    <row r="63879" spans="1:26" ht="12.75" customHeight="1" x14ac:dyDescent="0.2">
      <c r="A63879" s="258"/>
      <c r="Z63879" s="258"/>
    </row>
    <row r="63880" spans="1:26" ht="12.75" customHeight="1" x14ac:dyDescent="0.2">
      <c r="A63880" s="258"/>
      <c r="Z63880" s="258"/>
    </row>
    <row r="63881" spans="1:26" ht="12.75" customHeight="1" x14ac:dyDescent="0.2">
      <c r="A63881" s="258"/>
      <c r="Z63881" s="258"/>
    </row>
    <row r="63882" spans="1:26" ht="12.75" customHeight="1" x14ac:dyDescent="0.2">
      <c r="A63882" s="258"/>
      <c r="Z63882" s="258"/>
    </row>
    <row r="63883" spans="1:26" ht="12.75" customHeight="1" x14ac:dyDescent="0.2">
      <c r="A63883" s="258"/>
      <c r="Z63883" s="258"/>
    </row>
    <row r="63884" spans="1:26" ht="12.75" customHeight="1" x14ac:dyDescent="0.2">
      <c r="A63884" s="258"/>
      <c r="Z63884" s="258"/>
    </row>
    <row r="63885" spans="1:26" ht="12.75" customHeight="1" x14ac:dyDescent="0.2">
      <c r="A63885" s="258"/>
      <c r="Z63885" s="258"/>
    </row>
    <row r="63886" spans="1:26" ht="12.75" customHeight="1" x14ac:dyDescent="0.2">
      <c r="A63886" s="258"/>
      <c r="Z63886" s="258"/>
    </row>
    <row r="63887" spans="1:26" ht="12.75" customHeight="1" x14ac:dyDescent="0.2">
      <c r="A63887" s="258"/>
      <c r="Z63887" s="258"/>
    </row>
    <row r="63888" spans="1:26" ht="12.75" customHeight="1" x14ac:dyDescent="0.2">
      <c r="A63888" s="258"/>
      <c r="Z63888" s="258"/>
    </row>
    <row r="63889" spans="1:26" ht="12.75" customHeight="1" x14ac:dyDescent="0.2">
      <c r="A63889" s="258"/>
      <c r="Z63889" s="258"/>
    </row>
    <row r="63890" spans="1:26" ht="12.75" customHeight="1" x14ac:dyDescent="0.2">
      <c r="A63890" s="258"/>
      <c r="Z63890" s="258"/>
    </row>
    <row r="63891" spans="1:26" ht="12.75" customHeight="1" x14ac:dyDescent="0.2">
      <c r="A63891" s="258"/>
      <c r="Z63891" s="258"/>
    </row>
    <row r="63892" spans="1:26" ht="12.75" customHeight="1" x14ac:dyDescent="0.2">
      <c r="A63892" s="258"/>
      <c r="Z63892" s="258"/>
    </row>
    <row r="63893" spans="1:26" ht="12.75" customHeight="1" x14ac:dyDescent="0.2">
      <c r="A63893" s="258"/>
      <c r="Z63893" s="258"/>
    </row>
    <row r="63894" spans="1:26" ht="12.75" customHeight="1" x14ac:dyDescent="0.2">
      <c r="A63894" s="258"/>
      <c r="Z63894" s="258"/>
    </row>
    <row r="63895" spans="1:26" ht="12.75" customHeight="1" x14ac:dyDescent="0.2">
      <c r="A63895" s="258"/>
      <c r="Z63895" s="258"/>
    </row>
    <row r="63896" spans="1:26" ht="12.75" customHeight="1" x14ac:dyDescent="0.2">
      <c r="A63896" s="258"/>
      <c r="Z63896" s="258"/>
    </row>
    <row r="63897" spans="1:26" ht="12.75" customHeight="1" x14ac:dyDescent="0.2">
      <c r="A63897" s="258"/>
      <c r="Z63897" s="258"/>
    </row>
    <row r="63898" spans="1:26" ht="12.75" customHeight="1" x14ac:dyDescent="0.2">
      <c r="A63898" s="258"/>
      <c r="Z63898" s="258"/>
    </row>
    <row r="63899" spans="1:26" ht="12.75" customHeight="1" x14ac:dyDescent="0.2">
      <c r="A63899" s="258"/>
      <c r="Z63899" s="258"/>
    </row>
    <row r="63900" spans="1:26" ht="12.75" customHeight="1" x14ac:dyDescent="0.2">
      <c r="A63900" s="258"/>
      <c r="Z63900" s="258"/>
    </row>
    <row r="63901" spans="1:26" ht="12.75" customHeight="1" x14ac:dyDescent="0.2">
      <c r="A63901" s="258"/>
      <c r="Z63901" s="258"/>
    </row>
    <row r="63902" spans="1:26" ht="12.75" customHeight="1" x14ac:dyDescent="0.2">
      <c r="A63902" s="258"/>
      <c r="Z63902" s="258"/>
    </row>
    <row r="63903" spans="1:26" ht="12.75" customHeight="1" x14ac:dyDescent="0.2">
      <c r="A63903" s="258"/>
      <c r="Z63903" s="258"/>
    </row>
    <row r="63904" spans="1:26" ht="12.75" customHeight="1" x14ac:dyDescent="0.2">
      <c r="A63904" s="258"/>
      <c r="Z63904" s="258"/>
    </row>
    <row r="63905" spans="1:26" ht="12.75" customHeight="1" x14ac:dyDescent="0.2">
      <c r="A63905" s="258"/>
      <c r="Z63905" s="258"/>
    </row>
    <row r="63906" spans="1:26" ht="12.75" customHeight="1" x14ac:dyDescent="0.2">
      <c r="A63906" s="258"/>
      <c r="Z63906" s="258"/>
    </row>
    <row r="63907" spans="1:26" ht="12.75" customHeight="1" x14ac:dyDescent="0.2">
      <c r="A63907" s="258"/>
      <c r="Z63907" s="258"/>
    </row>
    <row r="63908" spans="1:26" ht="12.75" customHeight="1" x14ac:dyDescent="0.2">
      <c r="A63908" s="258"/>
      <c r="Z63908" s="258"/>
    </row>
    <row r="63909" spans="1:26" ht="12.75" customHeight="1" x14ac:dyDescent="0.2">
      <c r="A63909" s="258"/>
      <c r="Z63909" s="258"/>
    </row>
    <row r="63910" spans="1:26" ht="12.75" customHeight="1" x14ac:dyDescent="0.2">
      <c r="A63910" s="258"/>
      <c r="Z63910" s="258"/>
    </row>
    <row r="63911" spans="1:26" ht="12.75" customHeight="1" x14ac:dyDescent="0.2">
      <c r="A63911" s="258"/>
      <c r="Z63911" s="258"/>
    </row>
    <row r="63912" spans="1:26" ht="12.75" customHeight="1" x14ac:dyDescent="0.2">
      <c r="A63912" s="258"/>
      <c r="Z63912" s="258"/>
    </row>
    <row r="63913" spans="1:26" ht="12.75" customHeight="1" x14ac:dyDescent="0.2">
      <c r="A63913" s="258"/>
      <c r="Z63913" s="258"/>
    </row>
    <row r="63914" spans="1:26" ht="12.75" customHeight="1" x14ac:dyDescent="0.2">
      <c r="A63914" s="258"/>
      <c r="Z63914" s="258"/>
    </row>
    <row r="63915" spans="1:26" ht="12.75" customHeight="1" x14ac:dyDescent="0.2">
      <c r="A63915" s="258"/>
      <c r="Z63915" s="258"/>
    </row>
    <row r="63916" spans="1:26" ht="12.75" customHeight="1" x14ac:dyDescent="0.2">
      <c r="A63916" s="258"/>
      <c r="Z63916" s="258"/>
    </row>
    <row r="63917" spans="1:26" ht="12.75" customHeight="1" x14ac:dyDescent="0.2">
      <c r="A63917" s="258"/>
      <c r="Z63917" s="258"/>
    </row>
    <row r="63918" spans="1:26" ht="12.75" customHeight="1" x14ac:dyDescent="0.2">
      <c r="A63918" s="258"/>
      <c r="Z63918" s="258"/>
    </row>
    <row r="63919" spans="1:26" ht="12.75" customHeight="1" x14ac:dyDescent="0.2">
      <c r="A63919" s="258"/>
      <c r="Z63919" s="258"/>
    </row>
    <row r="63920" spans="1:26" ht="12.75" customHeight="1" x14ac:dyDescent="0.2">
      <c r="A63920" s="258"/>
      <c r="Z63920" s="258"/>
    </row>
    <row r="63921" spans="1:26" ht="12.75" customHeight="1" x14ac:dyDescent="0.2">
      <c r="A63921" s="258"/>
      <c r="Z63921" s="258"/>
    </row>
    <row r="63922" spans="1:26" ht="12.75" customHeight="1" x14ac:dyDescent="0.2">
      <c r="A63922" s="258"/>
      <c r="Z63922" s="258"/>
    </row>
    <row r="63923" spans="1:26" ht="12.75" customHeight="1" x14ac:dyDescent="0.2">
      <c r="A63923" s="258"/>
      <c r="Z63923" s="258"/>
    </row>
    <row r="63924" spans="1:26" ht="12.75" customHeight="1" x14ac:dyDescent="0.2">
      <c r="A63924" s="258"/>
      <c r="Z63924" s="258"/>
    </row>
    <row r="63925" spans="1:26" ht="12.75" customHeight="1" x14ac:dyDescent="0.2">
      <c r="A63925" s="258"/>
      <c r="Z63925" s="258"/>
    </row>
    <row r="63926" spans="1:26" ht="12.75" customHeight="1" x14ac:dyDescent="0.2">
      <c r="A63926" s="258"/>
      <c r="Z63926" s="258"/>
    </row>
    <row r="63927" spans="1:26" ht="12.75" customHeight="1" x14ac:dyDescent="0.2">
      <c r="A63927" s="258"/>
      <c r="Z63927" s="258"/>
    </row>
    <row r="63928" spans="1:26" ht="12.75" customHeight="1" x14ac:dyDescent="0.2">
      <c r="A63928" s="258"/>
      <c r="Z63928" s="258"/>
    </row>
    <row r="63929" spans="1:26" ht="12.75" customHeight="1" x14ac:dyDescent="0.2">
      <c r="A63929" s="258"/>
      <c r="Z63929" s="258"/>
    </row>
    <row r="63930" spans="1:26" ht="12.75" customHeight="1" x14ac:dyDescent="0.2">
      <c r="A63930" s="258"/>
      <c r="Z63930" s="258"/>
    </row>
    <row r="63931" spans="1:26" ht="12.75" customHeight="1" x14ac:dyDescent="0.2">
      <c r="A63931" s="258"/>
      <c r="Z63931" s="258"/>
    </row>
    <row r="63932" spans="1:26" ht="12.75" customHeight="1" x14ac:dyDescent="0.2">
      <c r="A63932" s="258"/>
      <c r="Z63932" s="258"/>
    </row>
    <row r="63933" spans="1:26" ht="12.75" customHeight="1" x14ac:dyDescent="0.2">
      <c r="A63933" s="258"/>
      <c r="Z63933" s="258"/>
    </row>
    <row r="63934" spans="1:26" ht="12.75" customHeight="1" x14ac:dyDescent="0.2">
      <c r="A63934" s="258"/>
      <c r="Z63934" s="258"/>
    </row>
    <row r="63935" spans="1:26" ht="12.75" customHeight="1" x14ac:dyDescent="0.2">
      <c r="A63935" s="258"/>
      <c r="Z63935" s="258"/>
    </row>
    <row r="63936" spans="1:26" ht="12.75" customHeight="1" x14ac:dyDescent="0.2">
      <c r="A63936" s="258"/>
      <c r="Z63936" s="258"/>
    </row>
    <row r="63937" spans="1:26" ht="12.75" customHeight="1" x14ac:dyDescent="0.2">
      <c r="A63937" s="258"/>
      <c r="Z63937" s="258"/>
    </row>
    <row r="63938" spans="1:26" ht="12.75" customHeight="1" x14ac:dyDescent="0.2">
      <c r="A63938" s="258"/>
      <c r="Z63938" s="258"/>
    </row>
    <row r="63939" spans="1:26" ht="12.75" customHeight="1" x14ac:dyDescent="0.2">
      <c r="A63939" s="258"/>
      <c r="Z63939" s="258"/>
    </row>
    <row r="63940" spans="1:26" ht="12.75" customHeight="1" x14ac:dyDescent="0.2">
      <c r="A63940" s="258"/>
      <c r="Z63940" s="258"/>
    </row>
    <row r="63941" spans="1:26" ht="12.75" customHeight="1" x14ac:dyDescent="0.2">
      <c r="A63941" s="258"/>
      <c r="Z63941" s="258"/>
    </row>
    <row r="63942" spans="1:26" ht="12.75" customHeight="1" x14ac:dyDescent="0.2">
      <c r="A63942" s="258"/>
      <c r="Z63942" s="258"/>
    </row>
    <row r="63943" spans="1:26" ht="12.75" customHeight="1" x14ac:dyDescent="0.2">
      <c r="A63943" s="258"/>
      <c r="Z63943" s="258"/>
    </row>
    <row r="63944" spans="1:26" ht="12.75" customHeight="1" x14ac:dyDescent="0.2">
      <c r="A63944" s="258"/>
      <c r="Z63944" s="258"/>
    </row>
    <row r="63945" spans="1:26" ht="12.75" customHeight="1" x14ac:dyDescent="0.2">
      <c r="A63945" s="258"/>
      <c r="Z63945" s="258"/>
    </row>
    <row r="63946" spans="1:26" ht="12.75" customHeight="1" x14ac:dyDescent="0.2">
      <c r="A63946" s="258"/>
      <c r="Z63946" s="258"/>
    </row>
    <row r="63947" spans="1:26" ht="12.75" customHeight="1" x14ac:dyDescent="0.2">
      <c r="A63947" s="258"/>
      <c r="Z63947" s="258"/>
    </row>
    <row r="63948" spans="1:26" ht="12.75" customHeight="1" x14ac:dyDescent="0.2">
      <c r="A63948" s="258"/>
      <c r="Z63948" s="258"/>
    </row>
    <row r="63949" spans="1:26" ht="12.75" customHeight="1" x14ac:dyDescent="0.2">
      <c r="A63949" s="258"/>
      <c r="Z63949" s="258"/>
    </row>
    <row r="63950" spans="1:26" ht="12.75" customHeight="1" x14ac:dyDescent="0.2">
      <c r="A63950" s="258"/>
      <c r="Z63950" s="258"/>
    </row>
    <row r="63951" spans="1:26" ht="12.75" customHeight="1" x14ac:dyDescent="0.2">
      <c r="A63951" s="258"/>
      <c r="Z63951" s="258"/>
    </row>
    <row r="63952" spans="1:26" ht="12.75" customHeight="1" x14ac:dyDescent="0.2">
      <c r="A63952" s="258"/>
      <c r="Z63952" s="258"/>
    </row>
    <row r="63953" spans="1:26" ht="12.75" customHeight="1" x14ac:dyDescent="0.2">
      <c r="A63953" s="258"/>
      <c r="Z63953" s="258"/>
    </row>
    <row r="63954" spans="1:26" ht="12.75" customHeight="1" x14ac:dyDescent="0.2">
      <c r="A63954" s="258"/>
      <c r="Z63954" s="258"/>
    </row>
    <row r="63955" spans="1:26" ht="12.75" customHeight="1" x14ac:dyDescent="0.2">
      <c r="A63955" s="258"/>
      <c r="Z63955" s="258"/>
    </row>
    <row r="63956" spans="1:26" ht="12.75" customHeight="1" x14ac:dyDescent="0.2">
      <c r="A63956" s="258"/>
      <c r="Z63956" s="258"/>
    </row>
    <row r="63957" spans="1:26" ht="12.75" customHeight="1" x14ac:dyDescent="0.2">
      <c r="A63957" s="258"/>
      <c r="Z63957" s="258"/>
    </row>
    <row r="63958" spans="1:26" ht="12.75" customHeight="1" x14ac:dyDescent="0.2">
      <c r="A63958" s="258"/>
      <c r="Z63958" s="258"/>
    </row>
    <row r="63959" spans="1:26" ht="12.75" customHeight="1" x14ac:dyDescent="0.2">
      <c r="A63959" s="258"/>
      <c r="Z63959" s="258"/>
    </row>
    <row r="63960" spans="1:26" ht="12.75" customHeight="1" x14ac:dyDescent="0.2">
      <c r="A63960" s="258"/>
      <c r="Z63960" s="258"/>
    </row>
    <row r="63961" spans="1:26" ht="12.75" customHeight="1" x14ac:dyDescent="0.2">
      <c r="A63961" s="258"/>
      <c r="Z63961" s="258"/>
    </row>
    <row r="63962" spans="1:26" ht="12.75" customHeight="1" x14ac:dyDescent="0.2">
      <c r="A63962" s="258"/>
      <c r="Z63962" s="258"/>
    </row>
    <row r="63963" spans="1:26" ht="12.75" customHeight="1" x14ac:dyDescent="0.2">
      <c r="A63963" s="258"/>
      <c r="Z63963" s="258"/>
    </row>
    <row r="63964" spans="1:26" ht="12.75" customHeight="1" x14ac:dyDescent="0.2">
      <c r="A63964" s="258"/>
      <c r="Z63964" s="258"/>
    </row>
    <row r="63965" spans="1:26" ht="12.75" customHeight="1" x14ac:dyDescent="0.2">
      <c r="A63965" s="258"/>
      <c r="Z63965" s="258"/>
    </row>
    <row r="63966" spans="1:26" ht="12.75" customHeight="1" x14ac:dyDescent="0.2">
      <c r="A63966" s="258"/>
      <c r="Z63966" s="258"/>
    </row>
    <row r="63967" spans="1:26" ht="12.75" customHeight="1" x14ac:dyDescent="0.2">
      <c r="A63967" s="258"/>
      <c r="Z63967" s="258"/>
    </row>
    <row r="63968" spans="1:26" ht="12.75" customHeight="1" x14ac:dyDescent="0.2">
      <c r="A63968" s="258"/>
      <c r="Z63968" s="258"/>
    </row>
    <row r="63969" spans="1:26" ht="12.75" customHeight="1" x14ac:dyDescent="0.2">
      <c r="A63969" s="258"/>
      <c r="Z63969" s="258"/>
    </row>
    <row r="63970" spans="1:26" ht="12.75" customHeight="1" x14ac:dyDescent="0.2">
      <c r="A63970" s="258"/>
      <c r="Z63970" s="258"/>
    </row>
    <row r="63971" spans="1:26" ht="12.75" customHeight="1" x14ac:dyDescent="0.2">
      <c r="A63971" s="258"/>
      <c r="Z63971" s="258"/>
    </row>
    <row r="63972" spans="1:26" ht="12.75" customHeight="1" x14ac:dyDescent="0.2">
      <c r="A63972" s="258"/>
      <c r="Z63972" s="258"/>
    </row>
    <row r="63973" spans="1:26" ht="12.75" customHeight="1" x14ac:dyDescent="0.2">
      <c r="A63973" s="258"/>
      <c r="Z63973" s="258"/>
    </row>
    <row r="63974" spans="1:26" ht="12.75" customHeight="1" x14ac:dyDescent="0.2">
      <c r="A63974" s="258"/>
      <c r="Z63974" s="258"/>
    </row>
    <row r="63975" spans="1:26" ht="12.75" customHeight="1" x14ac:dyDescent="0.2">
      <c r="A63975" s="258"/>
      <c r="Z63975" s="258"/>
    </row>
    <row r="63976" spans="1:26" ht="12.75" customHeight="1" x14ac:dyDescent="0.2">
      <c r="A63976" s="258"/>
      <c r="Z63976" s="258"/>
    </row>
    <row r="63977" spans="1:26" ht="12.75" customHeight="1" x14ac:dyDescent="0.2">
      <c r="A63977" s="258"/>
      <c r="Z63977" s="258"/>
    </row>
    <row r="63978" spans="1:26" ht="12.75" customHeight="1" x14ac:dyDescent="0.2">
      <c r="A63978" s="258"/>
      <c r="Z63978" s="258"/>
    </row>
    <row r="63979" spans="1:26" ht="12.75" customHeight="1" x14ac:dyDescent="0.2">
      <c r="A63979" s="258"/>
      <c r="Z63979" s="258"/>
    </row>
    <row r="63980" spans="1:26" ht="12.75" customHeight="1" x14ac:dyDescent="0.2">
      <c r="A63980" s="258"/>
      <c r="Z63980" s="258"/>
    </row>
    <row r="63981" spans="1:26" ht="12.75" customHeight="1" x14ac:dyDescent="0.2">
      <c r="A63981" s="258"/>
      <c r="Z63981" s="258"/>
    </row>
    <row r="63982" spans="1:26" ht="12.75" customHeight="1" x14ac:dyDescent="0.2">
      <c r="A63982" s="258"/>
      <c r="Z63982" s="258"/>
    </row>
    <row r="63983" spans="1:26" ht="12.75" customHeight="1" x14ac:dyDescent="0.2">
      <c r="A63983" s="258"/>
      <c r="Z63983" s="258"/>
    </row>
    <row r="63984" spans="1:26" ht="12.75" customHeight="1" x14ac:dyDescent="0.2">
      <c r="A63984" s="258"/>
      <c r="Z63984" s="258"/>
    </row>
    <row r="63985" spans="1:26" ht="12.75" customHeight="1" x14ac:dyDescent="0.2">
      <c r="A63985" s="258"/>
      <c r="Z63985" s="258"/>
    </row>
    <row r="63986" spans="1:26" ht="12.75" customHeight="1" x14ac:dyDescent="0.2">
      <c r="A63986" s="258"/>
      <c r="Z63986" s="258"/>
    </row>
    <row r="63987" spans="1:26" ht="12.75" customHeight="1" x14ac:dyDescent="0.2">
      <c r="A63987" s="258"/>
      <c r="Z63987" s="258"/>
    </row>
    <row r="63988" spans="1:26" ht="12.75" customHeight="1" x14ac:dyDescent="0.2">
      <c r="A63988" s="258"/>
      <c r="Z63988" s="258"/>
    </row>
    <row r="63989" spans="1:26" ht="12.75" customHeight="1" x14ac:dyDescent="0.2">
      <c r="A63989" s="258"/>
      <c r="Z63989" s="258"/>
    </row>
    <row r="63990" spans="1:26" ht="12.75" customHeight="1" x14ac:dyDescent="0.2">
      <c r="A63990" s="258"/>
      <c r="Z63990" s="258"/>
    </row>
    <row r="63991" spans="1:26" ht="12.75" customHeight="1" x14ac:dyDescent="0.2">
      <c r="A63991" s="258"/>
      <c r="Z63991" s="258"/>
    </row>
    <row r="63992" spans="1:26" ht="12.75" customHeight="1" x14ac:dyDescent="0.2">
      <c r="A63992" s="258"/>
      <c r="Z63992" s="258"/>
    </row>
    <row r="63993" spans="1:26" ht="12.75" customHeight="1" x14ac:dyDescent="0.2">
      <c r="A63993" s="258"/>
      <c r="Z63993" s="258"/>
    </row>
    <row r="63994" spans="1:26" ht="12.75" customHeight="1" x14ac:dyDescent="0.2">
      <c r="A63994" s="258"/>
      <c r="Z63994" s="258"/>
    </row>
    <row r="63995" spans="1:26" ht="12.75" customHeight="1" x14ac:dyDescent="0.2">
      <c r="A63995" s="258"/>
      <c r="Z63995" s="258"/>
    </row>
    <row r="63996" spans="1:26" ht="12.75" customHeight="1" x14ac:dyDescent="0.2">
      <c r="A63996" s="258"/>
      <c r="Z63996" s="258"/>
    </row>
    <row r="63997" spans="1:26" ht="12.75" customHeight="1" x14ac:dyDescent="0.2">
      <c r="A63997" s="258"/>
      <c r="Z63997" s="258"/>
    </row>
    <row r="63998" spans="1:26" ht="12.75" customHeight="1" x14ac:dyDescent="0.2">
      <c r="A63998" s="258"/>
      <c r="Z63998" s="258"/>
    </row>
    <row r="63999" spans="1:26" ht="12.75" customHeight="1" x14ac:dyDescent="0.2">
      <c r="A63999" s="258"/>
      <c r="Z63999" s="258"/>
    </row>
    <row r="64000" spans="1:26" ht="12.75" customHeight="1" x14ac:dyDescent="0.2">
      <c r="A64000" s="258"/>
      <c r="Z64000" s="258"/>
    </row>
    <row r="64001" spans="1:26" ht="12.75" customHeight="1" x14ac:dyDescent="0.2">
      <c r="A64001" s="258"/>
      <c r="Z64001" s="258"/>
    </row>
    <row r="64002" spans="1:26" ht="12.75" customHeight="1" x14ac:dyDescent="0.2">
      <c r="A64002" s="258"/>
      <c r="Z64002" s="258"/>
    </row>
    <row r="64003" spans="1:26" ht="12.75" customHeight="1" x14ac:dyDescent="0.2">
      <c r="A64003" s="258"/>
      <c r="Z64003" s="258"/>
    </row>
    <row r="64004" spans="1:26" ht="12.75" customHeight="1" x14ac:dyDescent="0.2">
      <c r="A64004" s="258"/>
      <c r="Z64004" s="258"/>
    </row>
    <row r="64005" spans="1:26" ht="12.75" customHeight="1" x14ac:dyDescent="0.2">
      <c r="A64005" s="258"/>
      <c r="Z64005" s="258"/>
    </row>
    <row r="64006" spans="1:26" ht="12.75" customHeight="1" x14ac:dyDescent="0.2">
      <c r="A64006" s="258"/>
      <c r="Z64006" s="258"/>
    </row>
    <row r="64007" spans="1:26" ht="12.75" customHeight="1" x14ac:dyDescent="0.2">
      <c r="A64007" s="258"/>
      <c r="Z64007" s="258"/>
    </row>
    <row r="64008" spans="1:26" ht="12.75" customHeight="1" x14ac:dyDescent="0.2">
      <c r="A64008" s="258"/>
      <c r="Z64008" s="258"/>
    </row>
    <row r="64009" spans="1:26" ht="12.75" customHeight="1" x14ac:dyDescent="0.2">
      <c r="A64009" s="258"/>
      <c r="Z64009" s="258"/>
    </row>
    <row r="64010" spans="1:26" ht="12.75" customHeight="1" x14ac:dyDescent="0.2">
      <c r="A64010" s="258"/>
      <c r="Z64010" s="258"/>
    </row>
    <row r="64011" spans="1:26" ht="12.75" customHeight="1" x14ac:dyDescent="0.2">
      <c r="A64011" s="258"/>
      <c r="Z64011" s="258"/>
    </row>
    <row r="64012" spans="1:26" ht="12.75" customHeight="1" x14ac:dyDescent="0.2">
      <c r="A64012" s="258"/>
      <c r="Z64012" s="258"/>
    </row>
    <row r="64013" spans="1:26" ht="12.75" customHeight="1" x14ac:dyDescent="0.2">
      <c r="A64013" s="258"/>
      <c r="Z64013" s="258"/>
    </row>
    <row r="64014" spans="1:26" ht="12.75" customHeight="1" x14ac:dyDescent="0.2">
      <c r="A64014" s="258"/>
      <c r="Z64014" s="258"/>
    </row>
    <row r="64015" spans="1:26" ht="12.75" customHeight="1" x14ac:dyDescent="0.2">
      <c r="A64015" s="258"/>
      <c r="Z64015" s="258"/>
    </row>
    <row r="64016" spans="1:26" ht="12.75" customHeight="1" x14ac:dyDescent="0.2">
      <c r="A64016" s="258"/>
      <c r="Z64016" s="258"/>
    </row>
    <row r="64017" spans="1:26" ht="12.75" customHeight="1" x14ac:dyDescent="0.2">
      <c r="A64017" s="258"/>
      <c r="Z64017" s="258"/>
    </row>
    <row r="64018" spans="1:26" ht="12.75" customHeight="1" x14ac:dyDescent="0.2">
      <c r="A64018" s="258"/>
      <c r="Z64018" s="258"/>
    </row>
    <row r="64019" spans="1:26" ht="12.75" customHeight="1" x14ac:dyDescent="0.2">
      <c r="A64019" s="258"/>
      <c r="Z64019" s="258"/>
    </row>
    <row r="64020" spans="1:26" ht="12.75" customHeight="1" x14ac:dyDescent="0.2">
      <c r="A64020" s="258"/>
      <c r="Z64020" s="258"/>
    </row>
    <row r="64021" spans="1:26" ht="12.75" customHeight="1" x14ac:dyDescent="0.2">
      <c r="A64021" s="258"/>
      <c r="Z64021" s="258"/>
    </row>
    <row r="64022" spans="1:26" ht="12.75" customHeight="1" x14ac:dyDescent="0.2">
      <c r="A64022" s="258"/>
      <c r="Z64022" s="258"/>
    </row>
    <row r="64023" spans="1:26" ht="12.75" customHeight="1" x14ac:dyDescent="0.2">
      <c r="A64023" s="258"/>
      <c r="Z64023" s="258"/>
    </row>
    <row r="64024" spans="1:26" ht="12.75" customHeight="1" x14ac:dyDescent="0.2">
      <c r="A64024" s="258"/>
      <c r="Z64024" s="258"/>
    </row>
    <row r="64025" spans="1:26" ht="12.75" customHeight="1" x14ac:dyDescent="0.2">
      <c r="A64025" s="258"/>
      <c r="Z64025" s="258"/>
    </row>
    <row r="64026" spans="1:26" ht="12.75" customHeight="1" x14ac:dyDescent="0.2">
      <c r="A64026" s="258"/>
      <c r="Z64026" s="258"/>
    </row>
    <row r="64027" spans="1:26" ht="12.75" customHeight="1" x14ac:dyDescent="0.2">
      <c r="A64027" s="258"/>
      <c r="Z64027" s="258"/>
    </row>
    <row r="64028" spans="1:26" ht="12.75" customHeight="1" x14ac:dyDescent="0.2">
      <c r="A64028" s="258"/>
      <c r="Z64028" s="258"/>
    </row>
    <row r="64029" spans="1:26" ht="12.75" customHeight="1" x14ac:dyDescent="0.2">
      <c r="A64029" s="258"/>
      <c r="Z64029" s="258"/>
    </row>
    <row r="64030" spans="1:26" ht="12.75" customHeight="1" x14ac:dyDescent="0.2">
      <c r="A64030" s="258"/>
      <c r="Z64030" s="258"/>
    </row>
    <row r="64031" spans="1:26" ht="12.75" customHeight="1" x14ac:dyDescent="0.2">
      <c r="A64031" s="258"/>
      <c r="Z64031" s="258"/>
    </row>
    <row r="64032" spans="1:26" ht="12.75" customHeight="1" x14ac:dyDescent="0.2">
      <c r="A64032" s="258"/>
      <c r="Z64032" s="258"/>
    </row>
    <row r="64033" spans="1:26" ht="12.75" customHeight="1" x14ac:dyDescent="0.2">
      <c r="A64033" s="258"/>
      <c r="Z64033" s="258"/>
    </row>
    <row r="64034" spans="1:26" ht="12.75" customHeight="1" x14ac:dyDescent="0.2">
      <c r="A64034" s="258"/>
      <c r="Z64034" s="258"/>
    </row>
    <row r="64035" spans="1:26" ht="12.75" customHeight="1" x14ac:dyDescent="0.2">
      <c r="A64035" s="258"/>
      <c r="Z64035" s="258"/>
    </row>
    <row r="64036" spans="1:26" ht="12.75" customHeight="1" x14ac:dyDescent="0.2">
      <c r="A64036" s="258"/>
      <c r="Z64036" s="258"/>
    </row>
    <row r="64037" spans="1:26" ht="12.75" customHeight="1" x14ac:dyDescent="0.2">
      <c r="A64037" s="258"/>
      <c r="Z64037" s="258"/>
    </row>
    <row r="64038" spans="1:26" ht="12.75" customHeight="1" x14ac:dyDescent="0.2">
      <c r="A64038" s="258"/>
      <c r="Z64038" s="258"/>
    </row>
    <row r="64039" spans="1:26" ht="12.75" customHeight="1" x14ac:dyDescent="0.2">
      <c r="A64039" s="258"/>
      <c r="Z64039" s="258"/>
    </row>
    <row r="64040" spans="1:26" ht="12.75" customHeight="1" x14ac:dyDescent="0.2">
      <c r="A64040" s="258"/>
      <c r="Z64040" s="258"/>
    </row>
    <row r="64041" spans="1:26" ht="12.75" customHeight="1" x14ac:dyDescent="0.2">
      <c r="A64041" s="258"/>
      <c r="Z64041" s="258"/>
    </row>
    <row r="64042" spans="1:26" ht="12.75" customHeight="1" x14ac:dyDescent="0.2">
      <c r="A64042" s="258"/>
      <c r="Z64042" s="258"/>
    </row>
    <row r="64043" spans="1:26" ht="12.75" customHeight="1" x14ac:dyDescent="0.2">
      <c r="A64043" s="258"/>
      <c r="Z64043" s="258"/>
    </row>
    <row r="64044" spans="1:26" ht="12.75" customHeight="1" x14ac:dyDescent="0.2">
      <c r="A64044" s="258"/>
      <c r="Z64044" s="258"/>
    </row>
    <row r="64045" spans="1:26" ht="12.75" customHeight="1" x14ac:dyDescent="0.2">
      <c r="A64045" s="258"/>
      <c r="Z64045" s="258"/>
    </row>
    <row r="64046" spans="1:26" ht="12.75" customHeight="1" x14ac:dyDescent="0.2">
      <c r="A64046" s="258"/>
      <c r="Z64046" s="258"/>
    </row>
    <row r="64047" spans="1:26" ht="12.75" customHeight="1" x14ac:dyDescent="0.2">
      <c r="A64047" s="258"/>
      <c r="Z64047" s="258"/>
    </row>
    <row r="64048" spans="1:26" ht="12.75" customHeight="1" x14ac:dyDescent="0.2">
      <c r="A64048" s="258"/>
      <c r="Z64048" s="258"/>
    </row>
    <row r="64049" spans="1:26" ht="12.75" customHeight="1" x14ac:dyDescent="0.2">
      <c r="A64049" s="258"/>
      <c r="Z64049" s="258"/>
    </row>
    <row r="64050" spans="1:26" ht="12.75" customHeight="1" x14ac:dyDescent="0.2">
      <c r="A64050" s="258"/>
      <c r="Z64050" s="258"/>
    </row>
    <row r="64051" spans="1:26" ht="12.75" customHeight="1" x14ac:dyDescent="0.2">
      <c r="A64051" s="258"/>
      <c r="Z64051" s="258"/>
    </row>
    <row r="64052" spans="1:26" ht="12.75" customHeight="1" x14ac:dyDescent="0.2">
      <c r="A64052" s="258"/>
      <c r="Z64052" s="258"/>
    </row>
    <row r="64053" spans="1:26" ht="12.75" customHeight="1" x14ac:dyDescent="0.2">
      <c r="A64053" s="258"/>
      <c r="Z64053" s="258"/>
    </row>
    <row r="64054" spans="1:26" ht="12.75" customHeight="1" x14ac:dyDescent="0.2">
      <c r="A64054" s="258"/>
      <c r="Z64054" s="258"/>
    </row>
    <row r="64055" spans="1:26" ht="12.75" customHeight="1" x14ac:dyDescent="0.2">
      <c r="A64055" s="258"/>
      <c r="Z64055" s="258"/>
    </row>
    <row r="64056" spans="1:26" ht="12.75" customHeight="1" x14ac:dyDescent="0.2">
      <c r="A64056" s="258"/>
      <c r="Z64056" s="258"/>
    </row>
    <row r="64057" spans="1:26" ht="12.75" customHeight="1" x14ac:dyDescent="0.2">
      <c r="A64057" s="258"/>
      <c r="Z64057" s="258"/>
    </row>
    <row r="64058" spans="1:26" ht="12.75" customHeight="1" x14ac:dyDescent="0.2">
      <c r="A64058" s="258"/>
      <c r="Z64058" s="258"/>
    </row>
    <row r="64059" spans="1:26" ht="12.75" customHeight="1" x14ac:dyDescent="0.2">
      <c r="A64059" s="258"/>
      <c r="Z64059" s="258"/>
    </row>
    <row r="64060" spans="1:26" ht="12.75" customHeight="1" x14ac:dyDescent="0.2">
      <c r="A64060" s="258"/>
      <c r="Z64060" s="258"/>
    </row>
    <row r="64061" spans="1:26" ht="12.75" customHeight="1" x14ac:dyDescent="0.2">
      <c r="A64061" s="258"/>
      <c r="Z64061" s="258"/>
    </row>
    <row r="64062" spans="1:26" ht="12.75" customHeight="1" x14ac:dyDescent="0.2">
      <c r="A64062" s="258"/>
      <c r="Z64062" s="258"/>
    </row>
    <row r="64063" spans="1:26" ht="12.75" customHeight="1" x14ac:dyDescent="0.2">
      <c r="A64063" s="258"/>
      <c r="Z64063" s="258"/>
    </row>
    <row r="64064" spans="1:26" ht="12.75" customHeight="1" x14ac:dyDescent="0.2">
      <c r="A64064" s="258"/>
      <c r="Z64064" s="258"/>
    </row>
    <row r="64065" spans="1:26" ht="12.75" customHeight="1" x14ac:dyDescent="0.2">
      <c r="A64065" s="258"/>
      <c r="Z64065" s="258"/>
    </row>
    <row r="64066" spans="1:26" ht="12.75" customHeight="1" x14ac:dyDescent="0.2">
      <c r="A64066" s="258"/>
      <c r="Z64066" s="258"/>
    </row>
    <row r="64067" spans="1:26" ht="12.75" customHeight="1" x14ac:dyDescent="0.2">
      <c r="A64067" s="258"/>
      <c r="Z64067" s="258"/>
    </row>
    <row r="64068" spans="1:26" ht="12.75" customHeight="1" x14ac:dyDescent="0.2">
      <c r="A64068" s="258"/>
      <c r="Z64068" s="258"/>
    </row>
    <row r="64069" spans="1:26" ht="12.75" customHeight="1" x14ac:dyDescent="0.2">
      <c r="A64069" s="258"/>
      <c r="Z64069" s="258"/>
    </row>
    <row r="64070" spans="1:26" ht="12.75" customHeight="1" x14ac:dyDescent="0.2">
      <c r="A64070" s="258"/>
      <c r="Z64070" s="258"/>
    </row>
    <row r="64071" spans="1:26" ht="12.75" customHeight="1" x14ac:dyDescent="0.2">
      <c r="A64071" s="258"/>
      <c r="Z64071" s="258"/>
    </row>
    <row r="64072" spans="1:26" ht="12.75" customHeight="1" x14ac:dyDescent="0.2">
      <c r="A64072" s="258"/>
      <c r="Z64072" s="258"/>
    </row>
    <row r="64073" spans="1:26" ht="12.75" customHeight="1" x14ac:dyDescent="0.2">
      <c r="A64073" s="258"/>
      <c r="Z64073" s="258"/>
    </row>
    <row r="64074" spans="1:26" ht="12.75" customHeight="1" x14ac:dyDescent="0.2">
      <c r="A64074" s="258"/>
      <c r="Z64074" s="258"/>
    </row>
    <row r="64075" spans="1:26" ht="12.75" customHeight="1" x14ac:dyDescent="0.2">
      <c r="A64075" s="258"/>
      <c r="Z64075" s="258"/>
    </row>
    <row r="64076" spans="1:26" ht="12.75" customHeight="1" x14ac:dyDescent="0.2">
      <c r="A64076" s="258"/>
      <c r="Z64076" s="258"/>
    </row>
    <row r="64077" spans="1:26" ht="12.75" customHeight="1" x14ac:dyDescent="0.2">
      <c r="A64077" s="258"/>
      <c r="Z64077" s="258"/>
    </row>
    <row r="64078" spans="1:26" ht="12.75" customHeight="1" x14ac:dyDescent="0.2">
      <c r="A64078" s="258"/>
      <c r="Z64078" s="258"/>
    </row>
    <row r="64079" spans="1:26" ht="12.75" customHeight="1" x14ac:dyDescent="0.2">
      <c r="A64079" s="258"/>
      <c r="Z64079" s="258"/>
    </row>
    <row r="64080" spans="1:26" ht="12.75" customHeight="1" x14ac:dyDescent="0.2">
      <c r="A64080" s="258"/>
      <c r="Z64080" s="258"/>
    </row>
    <row r="64081" spans="1:26" ht="12.75" customHeight="1" x14ac:dyDescent="0.2">
      <c r="A64081" s="258"/>
      <c r="Z64081" s="258"/>
    </row>
    <row r="64082" spans="1:26" ht="12.75" customHeight="1" x14ac:dyDescent="0.2">
      <c r="A64082" s="258"/>
      <c r="Z64082" s="258"/>
    </row>
    <row r="64083" spans="1:26" ht="12.75" customHeight="1" x14ac:dyDescent="0.2">
      <c r="A64083" s="258"/>
      <c r="Z64083" s="258"/>
    </row>
    <row r="64084" spans="1:26" ht="12.75" customHeight="1" x14ac:dyDescent="0.2">
      <c r="A64084" s="258"/>
      <c r="Z64084" s="258"/>
    </row>
    <row r="64085" spans="1:26" ht="12.75" customHeight="1" x14ac:dyDescent="0.2">
      <c r="A64085" s="258"/>
      <c r="Z64085" s="258"/>
    </row>
    <row r="64086" spans="1:26" ht="12.75" customHeight="1" x14ac:dyDescent="0.2">
      <c r="A64086" s="258"/>
      <c r="Z64086" s="258"/>
    </row>
    <row r="64087" spans="1:26" ht="12.75" customHeight="1" x14ac:dyDescent="0.2">
      <c r="A64087" s="258"/>
      <c r="Z64087" s="258"/>
    </row>
    <row r="64088" spans="1:26" ht="12.75" customHeight="1" x14ac:dyDescent="0.2">
      <c r="A64088" s="258"/>
      <c r="Z64088" s="258"/>
    </row>
    <row r="64089" spans="1:26" ht="12.75" customHeight="1" x14ac:dyDescent="0.2">
      <c r="A64089" s="258"/>
      <c r="Z64089" s="258"/>
    </row>
    <row r="64090" spans="1:26" ht="12.75" customHeight="1" x14ac:dyDescent="0.2">
      <c r="A64090" s="258"/>
      <c r="Z64090" s="258"/>
    </row>
    <row r="64091" spans="1:26" ht="12.75" customHeight="1" x14ac:dyDescent="0.2">
      <c r="A64091" s="258"/>
      <c r="Z64091" s="258"/>
    </row>
    <row r="64092" spans="1:26" ht="12.75" customHeight="1" x14ac:dyDescent="0.2">
      <c r="A64092" s="258"/>
      <c r="Z64092" s="258"/>
    </row>
    <row r="64093" spans="1:26" ht="12.75" customHeight="1" x14ac:dyDescent="0.2">
      <c r="A64093" s="258"/>
      <c r="Z64093" s="258"/>
    </row>
    <row r="64094" spans="1:26" ht="12.75" customHeight="1" x14ac:dyDescent="0.2">
      <c r="A64094" s="258"/>
      <c r="Z64094" s="258"/>
    </row>
    <row r="64095" spans="1:26" ht="12.75" customHeight="1" x14ac:dyDescent="0.2">
      <c r="A64095" s="258"/>
      <c r="Z64095" s="258"/>
    </row>
    <row r="64096" spans="1:26" ht="12.75" customHeight="1" x14ac:dyDescent="0.2">
      <c r="A64096" s="258"/>
      <c r="Z64096" s="258"/>
    </row>
    <row r="64097" spans="1:26" ht="12.75" customHeight="1" x14ac:dyDescent="0.2">
      <c r="A64097" s="258"/>
      <c r="Z64097" s="258"/>
    </row>
    <row r="64098" spans="1:26" ht="12.75" customHeight="1" x14ac:dyDescent="0.2">
      <c r="A64098" s="258"/>
      <c r="Z64098" s="258"/>
    </row>
    <row r="64099" spans="1:26" ht="12.75" customHeight="1" x14ac:dyDescent="0.2">
      <c r="A64099" s="258"/>
      <c r="Z64099" s="258"/>
    </row>
    <row r="64100" spans="1:26" ht="12.75" customHeight="1" x14ac:dyDescent="0.2">
      <c r="A64100" s="258"/>
      <c r="Z64100" s="258"/>
    </row>
    <row r="64101" spans="1:26" ht="12.75" customHeight="1" x14ac:dyDescent="0.2">
      <c r="A64101" s="258"/>
      <c r="Z64101" s="258"/>
    </row>
    <row r="64102" spans="1:26" ht="12.75" customHeight="1" x14ac:dyDescent="0.2">
      <c r="A64102" s="258"/>
      <c r="Z64102" s="258"/>
    </row>
    <row r="64103" spans="1:26" ht="12.75" customHeight="1" x14ac:dyDescent="0.2">
      <c r="A64103" s="258"/>
      <c r="Z64103" s="258"/>
    </row>
    <row r="64104" spans="1:26" ht="12.75" customHeight="1" x14ac:dyDescent="0.2">
      <c r="A64104" s="258"/>
      <c r="Z64104" s="258"/>
    </row>
    <row r="64105" spans="1:26" ht="12.75" customHeight="1" x14ac:dyDescent="0.2">
      <c r="A64105" s="258"/>
      <c r="Z64105" s="258"/>
    </row>
    <row r="64106" spans="1:26" ht="12.75" customHeight="1" x14ac:dyDescent="0.2">
      <c r="A64106" s="258"/>
      <c r="Z64106" s="258"/>
    </row>
    <row r="64107" spans="1:26" ht="12.75" customHeight="1" x14ac:dyDescent="0.2">
      <c r="A64107" s="258"/>
      <c r="Z64107" s="258"/>
    </row>
    <row r="64108" spans="1:26" ht="12.75" customHeight="1" x14ac:dyDescent="0.2">
      <c r="A64108" s="258"/>
      <c r="Z64108" s="258"/>
    </row>
    <row r="64109" spans="1:26" ht="12.75" customHeight="1" x14ac:dyDescent="0.2">
      <c r="A64109" s="258"/>
      <c r="Z64109" s="258"/>
    </row>
    <row r="64110" spans="1:26" ht="12.75" customHeight="1" x14ac:dyDescent="0.2">
      <c r="A64110" s="258"/>
      <c r="Z64110" s="258"/>
    </row>
    <row r="64111" spans="1:26" ht="12.75" customHeight="1" x14ac:dyDescent="0.2">
      <c r="A64111" s="258"/>
      <c r="Z64111" s="258"/>
    </row>
    <row r="64112" spans="1:26" ht="12.75" customHeight="1" x14ac:dyDescent="0.2">
      <c r="A64112" s="258"/>
      <c r="Z64112" s="258"/>
    </row>
    <row r="64113" spans="1:26" ht="12.75" customHeight="1" x14ac:dyDescent="0.2">
      <c r="A64113" s="258"/>
      <c r="Z64113" s="258"/>
    </row>
    <row r="64114" spans="1:26" ht="12.75" customHeight="1" x14ac:dyDescent="0.2">
      <c r="A64114" s="258"/>
      <c r="Z64114" s="258"/>
    </row>
    <row r="64115" spans="1:26" ht="12.75" customHeight="1" x14ac:dyDescent="0.2">
      <c r="A64115" s="258"/>
      <c r="Z64115" s="258"/>
    </row>
    <row r="64116" spans="1:26" ht="12.75" customHeight="1" x14ac:dyDescent="0.2">
      <c r="A64116" s="258"/>
      <c r="Z64116" s="258"/>
    </row>
    <row r="64117" spans="1:26" ht="12.75" customHeight="1" x14ac:dyDescent="0.2">
      <c r="A64117" s="258"/>
      <c r="Z64117" s="258"/>
    </row>
    <row r="64118" spans="1:26" ht="12.75" customHeight="1" x14ac:dyDescent="0.2">
      <c r="A64118" s="258"/>
      <c r="Z64118" s="258"/>
    </row>
    <row r="64119" spans="1:26" ht="12.75" customHeight="1" x14ac:dyDescent="0.2">
      <c r="A64119" s="258"/>
      <c r="Z64119" s="258"/>
    </row>
    <row r="64120" spans="1:26" ht="12.75" customHeight="1" x14ac:dyDescent="0.2">
      <c r="A64120" s="258"/>
      <c r="Z64120" s="258"/>
    </row>
    <row r="64121" spans="1:26" ht="12.75" customHeight="1" x14ac:dyDescent="0.2">
      <c r="A64121" s="258"/>
      <c r="Z64121" s="258"/>
    </row>
    <row r="64122" spans="1:26" ht="12.75" customHeight="1" x14ac:dyDescent="0.2">
      <c r="A64122" s="258"/>
      <c r="Z64122" s="258"/>
    </row>
    <row r="64123" spans="1:26" ht="12.75" customHeight="1" x14ac:dyDescent="0.2">
      <c r="A64123" s="258"/>
      <c r="Z64123" s="258"/>
    </row>
    <row r="64124" spans="1:26" ht="12.75" customHeight="1" x14ac:dyDescent="0.2">
      <c r="A64124" s="258"/>
      <c r="Z64124" s="258"/>
    </row>
    <row r="64125" spans="1:26" ht="12.75" customHeight="1" x14ac:dyDescent="0.2">
      <c r="A64125" s="258"/>
      <c r="Z64125" s="258"/>
    </row>
    <row r="64126" spans="1:26" ht="12.75" customHeight="1" x14ac:dyDescent="0.2">
      <c r="A64126" s="258"/>
      <c r="Z64126" s="258"/>
    </row>
    <row r="64127" spans="1:26" ht="12.75" customHeight="1" x14ac:dyDescent="0.2">
      <c r="A64127" s="258"/>
      <c r="Z64127" s="258"/>
    </row>
    <row r="64128" spans="1:26" ht="12.75" customHeight="1" x14ac:dyDescent="0.2">
      <c r="A64128" s="258"/>
      <c r="Z64128" s="258"/>
    </row>
    <row r="64129" spans="1:26" ht="12.75" customHeight="1" x14ac:dyDescent="0.2">
      <c r="A64129" s="258"/>
      <c r="Z64129" s="258"/>
    </row>
    <row r="64130" spans="1:26" ht="12.75" customHeight="1" x14ac:dyDescent="0.2">
      <c r="A64130" s="258"/>
      <c r="Z64130" s="258"/>
    </row>
    <row r="64131" spans="1:26" ht="12.75" customHeight="1" x14ac:dyDescent="0.2">
      <c r="A64131" s="258"/>
      <c r="Z64131" s="258"/>
    </row>
    <row r="64132" spans="1:26" ht="12.75" customHeight="1" x14ac:dyDescent="0.2">
      <c r="A64132" s="258"/>
      <c r="Z64132" s="258"/>
    </row>
    <row r="64133" spans="1:26" ht="12.75" customHeight="1" x14ac:dyDescent="0.2">
      <c r="A64133" s="258"/>
      <c r="Z64133" s="258"/>
    </row>
    <row r="64134" spans="1:26" ht="12.75" customHeight="1" x14ac:dyDescent="0.2">
      <c r="A64134" s="258"/>
      <c r="Z64134" s="258"/>
    </row>
    <row r="64135" spans="1:26" ht="12.75" customHeight="1" x14ac:dyDescent="0.2">
      <c r="A64135" s="258"/>
      <c r="Z64135" s="258"/>
    </row>
    <row r="64136" spans="1:26" ht="12.75" customHeight="1" x14ac:dyDescent="0.2">
      <c r="A64136" s="258"/>
      <c r="Z64136" s="258"/>
    </row>
    <row r="64137" spans="1:26" ht="12.75" customHeight="1" x14ac:dyDescent="0.2">
      <c r="A64137" s="258"/>
      <c r="Z64137" s="258"/>
    </row>
    <row r="64138" spans="1:26" ht="12.75" customHeight="1" x14ac:dyDescent="0.2">
      <c r="A64138" s="258"/>
      <c r="Z64138" s="258"/>
    </row>
    <row r="64139" spans="1:26" ht="12.75" customHeight="1" x14ac:dyDescent="0.2">
      <c r="A64139" s="258"/>
      <c r="Z64139" s="258"/>
    </row>
    <row r="64140" spans="1:26" ht="12.75" customHeight="1" x14ac:dyDescent="0.2">
      <c r="A64140" s="258"/>
      <c r="Z64140" s="258"/>
    </row>
    <row r="64141" spans="1:26" ht="12.75" customHeight="1" x14ac:dyDescent="0.2">
      <c r="A64141" s="258"/>
      <c r="Z64141" s="258"/>
    </row>
    <row r="64142" spans="1:26" ht="12.75" customHeight="1" x14ac:dyDescent="0.2">
      <c r="A64142" s="258"/>
      <c r="Z64142" s="258"/>
    </row>
    <row r="64143" spans="1:26" ht="12.75" customHeight="1" x14ac:dyDescent="0.2">
      <c r="A64143" s="258"/>
      <c r="Z64143" s="258"/>
    </row>
    <row r="64144" spans="1:26" ht="12.75" customHeight="1" x14ac:dyDescent="0.2">
      <c r="A64144" s="258"/>
      <c r="Z64144" s="258"/>
    </row>
    <row r="64145" spans="1:26" ht="12.75" customHeight="1" x14ac:dyDescent="0.2">
      <c r="A64145" s="258"/>
      <c r="Z64145" s="258"/>
    </row>
    <row r="64146" spans="1:26" ht="12.75" customHeight="1" x14ac:dyDescent="0.2">
      <c r="A64146" s="258"/>
      <c r="Z64146" s="258"/>
    </row>
    <row r="64147" spans="1:26" ht="12.75" customHeight="1" x14ac:dyDescent="0.2">
      <c r="A64147" s="258"/>
      <c r="Z64147" s="258"/>
    </row>
    <row r="64148" spans="1:26" ht="12.75" customHeight="1" x14ac:dyDescent="0.2">
      <c r="A64148" s="258"/>
      <c r="Z64148" s="258"/>
    </row>
    <row r="64149" spans="1:26" ht="12.75" customHeight="1" x14ac:dyDescent="0.2">
      <c r="A64149" s="258"/>
      <c r="Z64149" s="258"/>
    </row>
    <row r="64150" spans="1:26" ht="12.75" customHeight="1" x14ac:dyDescent="0.2">
      <c r="A64150" s="258"/>
      <c r="Z64150" s="258"/>
    </row>
    <row r="64151" spans="1:26" ht="12.75" customHeight="1" x14ac:dyDescent="0.2">
      <c r="A64151" s="258"/>
      <c r="Z64151" s="258"/>
    </row>
    <row r="64152" spans="1:26" ht="12.75" customHeight="1" x14ac:dyDescent="0.2">
      <c r="A64152" s="258"/>
      <c r="Z64152" s="258"/>
    </row>
    <row r="64153" spans="1:26" ht="12.75" customHeight="1" x14ac:dyDescent="0.2">
      <c r="A64153" s="258"/>
      <c r="Z64153" s="258"/>
    </row>
    <row r="64154" spans="1:26" ht="12.75" customHeight="1" x14ac:dyDescent="0.2">
      <c r="A64154" s="258"/>
      <c r="Z64154" s="258"/>
    </row>
    <row r="64155" spans="1:26" ht="12.75" customHeight="1" x14ac:dyDescent="0.2">
      <c r="A64155" s="258"/>
      <c r="Z64155" s="258"/>
    </row>
    <row r="64156" spans="1:26" ht="12.75" customHeight="1" x14ac:dyDescent="0.2">
      <c r="A64156" s="258"/>
      <c r="Z64156" s="258"/>
    </row>
    <row r="64157" spans="1:26" ht="12.75" customHeight="1" x14ac:dyDescent="0.2">
      <c r="A64157" s="258"/>
      <c r="Z64157" s="258"/>
    </row>
    <row r="64158" spans="1:26" ht="12.75" customHeight="1" x14ac:dyDescent="0.2">
      <c r="A64158" s="258"/>
      <c r="Z64158" s="258"/>
    </row>
    <row r="64159" spans="1:26" ht="12.75" customHeight="1" x14ac:dyDescent="0.2">
      <c r="A64159" s="258"/>
      <c r="Z64159" s="258"/>
    </row>
    <row r="64160" spans="1:26" ht="12.75" customHeight="1" x14ac:dyDescent="0.2">
      <c r="A64160" s="258"/>
      <c r="Z64160" s="258"/>
    </row>
    <row r="64161" spans="1:26" ht="12.75" customHeight="1" x14ac:dyDescent="0.2">
      <c r="A64161" s="258"/>
      <c r="Z64161" s="258"/>
    </row>
    <row r="64162" spans="1:26" ht="12.75" customHeight="1" x14ac:dyDescent="0.2">
      <c r="A64162" s="258"/>
      <c r="Z64162" s="258"/>
    </row>
    <row r="64163" spans="1:26" ht="12.75" customHeight="1" x14ac:dyDescent="0.2">
      <c r="A64163" s="258"/>
      <c r="Z64163" s="258"/>
    </row>
    <row r="64164" spans="1:26" ht="12.75" customHeight="1" x14ac:dyDescent="0.2">
      <c r="A64164" s="258"/>
      <c r="Z64164" s="258"/>
    </row>
    <row r="64165" spans="1:26" ht="12.75" customHeight="1" x14ac:dyDescent="0.2">
      <c r="A64165" s="258"/>
      <c r="Z64165" s="258"/>
    </row>
    <row r="64166" spans="1:26" ht="12.75" customHeight="1" x14ac:dyDescent="0.2">
      <c r="A64166" s="258"/>
      <c r="Z64166" s="258"/>
    </row>
    <row r="64167" spans="1:26" ht="12.75" customHeight="1" x14ac:dyDescent="0.2">
      <c r="A64167" s="258"/>
      <c r="Z64167" s="258"/>
    </row>
    <row r="64168" spans="1:26" ht="12.75" customHeight="1" x14ac:dyDescent="0.2">
      <c r="A64168" s="258"/>
      <c r="Z64168" s="258"/>
    </row>
    <row r="64169" spans="1:26" ht="12.75" customHeight="1" x14ac:dyDescent="0.2">
      <c r="A64169" s="258"/>
      <c r="Z64169" s="258"/>
    </row>
    <row r="64170" spans="1:26" ht="12.75" customHeight="1" x14ac:dyDescent="0.2">
      <c r="A64170" s="258"/>
      <c r="Z64170" s="258"/>
    </row>
    <row r="64171" spans="1:26" ht="12.75" customHeight="1" x14ac:dyDescent="0.2">
      <c r="A64171" s="258"/>
      <c r="Z64171" s="258"/>
    </row>
    <row r="64172" spans="1:26" ht="12.75" customHeight="1" x14ac:dyDescent="0.2">
      <c r="A64172" s="258"/>
      <c r="Z64172" s="258"/>
    </row>
    <row r="64173" spans="1:26" ht="12.75" customHeight="1" x14ac:dyDescent="0.2">
      <c r="A64173" s="258"/>
      <c r="Z64173" s="258"/>
    </row>
    <row r="64174" spans="1:26" ht="12.75" customHeight="1" x14ac:dyDescent="0.2">
      <c r="A64174" s="258"/>
      <c r="Z64174" s="258"/>
    </row>
    <row r="64175" spans="1:26" ht="12.75" customHeight="1" x14ac:dyDescent="0.2">
      <c r="A64175" s="258"/>
      <c r="Z64175" s="258"/>
    </row>
    <row r="64176" spans="1:26" ht="12.75" customHeight="1" x14ac:dyDescent="0.2">
      <c r="A64176" s="258"/>
      <c r="Z64176" s="258"/>
    </row>
    <row r="64177" spans="1:26" ht="12.75" customHeight="1" x14ac:dyDescent="0.2">
      <c r="A64177" s="258"/>
      <c r="Z64177" s="258"/>
    </row>
    <row r="64178" spans="1:26" ht="12.75" customHeight="1" x14ac:dyDescent="0.2">
      <c r="A64178" s="258"/>
      <c r="Z64178" s="258"/>
    </row>
    <row r="64179" spans="1:26" ht="12.75" customHeight="1" x14ac:dyDescent="0.2">
      <c r="A64179" s="258"/>
      <c r="Z64179" s="258"/>
    </row>
    <row r="64180" spans="1:26" ht="12.75" customHeight="1" x14ac:dyDescent="0.2">
      <c r="A64180" s="258"/>
      <c r="Z64180" s="258"/>
    </row>
    <row r="64181" spans="1:26" ht="12.75" customHeight="1" x14ac:dyDescent="0.2">
      <c r="A64181" s="258"/>
      <c r="Z64181" s="258"/>
    </row>
    <row r="64182" spans="1:26" ht="12.75" customHeight="1" x14ac:dyDescent="0.2">
      <c r="A64182" s="258"/>
      <c r="Z64182" s="258"/>
    </row>
    <row r="64183" spans="1:26" ht="12.75" customHeight="1" x14ac:dyDescent="0.2">
      <c r="A64183" s="258"/>
      <c r="Z64183" s="258"/>
    </row>
    <row r="64184" spans="1:26" ht="12.75" customHeight="1" x14ac:dyDescent="0.2">
      <c r="A64184" s="258"/>
      <c r="Z64184" s="258"/>
    </row>
    <row r="64185" spans="1:26" ht="12.75" customHeight="1" x14ac:dyDescent="0.2">
      <c r="A64185" s="258"/>
      <c r="Z64185" s="258"/>
    </row>
    <row r="64186" spans="1:26" ht="12.75" customHeight="1" x14ac:dyDescent="0.2">
      <c r="A64186" s="258"/>
      <c r="Z64186" s="258"/>
    </row>
    <row r="64187" spans="1:26" ht="12.75" customHeight="1" x14ac:dyDescent="0.2">
      <c r="A64187" s="258"/>
      <c r="Z64187" s="258"/>
    </row>
    <row r="64188" spans="1:26" ht="12.75" customHeight="1" x14ac:dyDescent="0.2">
      <c r="A64188" s="258"/>
      <c r="Z64188" s="258"/>
    </row>
    <row r="64189" spans="1:26" ht="12.75" customHeight="1" x14ac:dyDescent="0.2">
      <c r="A64189" s="258"/>
      <c r="Z64189" s="258"/>
    </row>
    <row r="64190" spans="1:26" ht="12.75" customHeight="1" x14ac:dyDescent="0.2">
      <c r="A64190" s="258"/>
      <c r="Z64190" s="258"/>
    </row>
    <row r="64191" spans="1:26" ht="12.75" customHeight="1" x14ac:dyDescent="0.2">
      <c r="A64191" s="258"/>
      <c r="Z64191" s="258"/>
    </row>
    <row r="64192" spans="1:26" ht="12.75" customHeight="1" x14ac:dyDescent="0.2">
      <c r="A64192" s="258"/>
      <c r="Z64192" s="258"/>
    </row>
    <row r="64193" spans="1:26" ht="12.75" customHeight="1" x14ac:dyDescent="0.2">
      <c r="A64193" s="258"/>
      <c r="Z64193" s="258"/>
    </row>
    <row r="64194" spans="1:26" ht="12.75" customHeight="1" x14ac:dyDescent="0.2">
      <c r="A64194" s="258"/>
      <c r="Z64194" s="258"/>
    </row>
    <row r="64195" spans="1:26" ht="12.75" customHeight="1" x14ac:dyDescent="0.2">
      <c r="A64195" s="258"/>
      <c r="Z64195" s="258"/>
    </row>
    <row r="64196" spans="1:26" ht="12.75" customHeight="1" x14ac:dyDescent="0.2">
      <c r="A64196" s="258"/>
      <c r="Z64196" s="258"/>
    </row>
    <row r="64197" spans="1:26" ht="12.75" customHeight="1" x14ac:dyDescent="0.2">
      <c r="A64197" s="258"/>
      <c r="Z64197" s="258"/>
    </row>
    <row r="64198" spans="1:26" ht="12.75" customHeight="1" x14ac:dyDescent="0.2">
      <c r="A64198" s="258"/>
      <c r="Z64198" s="258"/>
    </row>
    <row r="64199" spans="1:26" ht="12.75" customHeight="1" x14ac:dyDescent="0.2">
      <c r="A64199" s="258"/>
      <c r="Z64199" s="258"/>
    </row>
    <row r="64200" spans="1:26" ht="12.75" customHeight="1" x14ac:dyDescent="0.2">
      <c r="A64200" s="258"/>
      <c r="Z64200" s="258"/>
    </row>
    <row r="64201" spans="1:26" ht="12.75" customHeight="1" x14ac:dyDescent="0.2">
      <c r="A64201" s="258"/>
      <c r="Z64201" s="258"/>
    </row>
    <row r="64202" spans="1:26" ht="12.75" customHeight="1" x14ac:dyDescent="0.2">
      <c r="A64202" s="258"/>
      <c r="Z64202" s="258"/>
    </row>
    <row r="64203" spans="1:26" ht="12.75" customHeight="1" x14ac:dyDescent="0.2">
      <c r="A64203" s="258"/>
      <c r="Z64203" s="258"/>
    </row>
    <row r="64204" spans="1:26" ht="12.75" customHeight="1" x14ac:dyDescent="0.2">
      <c r="A64204" s="258"/>
      <c r="Z64204" s="258"/>
    </row>
    <row r="64205" spans="1:26" ht="12.75" customHeight="1" x14ac:dyDescent="0.2">
      <c r="A64205" s="258"/>
      <c r="Z64205" s="258"/>
    </row>
    <row r="64206" spans="1:26" ht="12.75" customHeight="1" x14ac:dyDescent="0.2">
      <c r="A64206" s="258"/>
      <c r="Z64206" s="258"/>
    </row>
    <row r="64207" spans="1:26" ht="12.75" customHeight="1" x14ac:dyDescent="0.2">
      <c r="A64207" s="258"/>
      <c r="Z64207" s="258"/>
    </row>
    <row r="64208" spans="1:26" ht="12.75" customHeight="1" x14ac:dyDescent="0.2">
      <c r="A64208" s="258"/>
      <c r="Z64208" s="258"/>
    </row>
    <row r="64209" spans="1:26" ht="12.75" customHeight="1" x14ac:dyDescent="0.2">
      <c r="A64209" s="258"/>
      <c r="Z64209" s="258"/>
    </row>
    <row r="64210" spans="1:26" ht="12.75" customHeight="1" x14ac:dyDescent="0.2">
      <c r="A64210" s="258"/>
      <c r="Z64210" s="258"/>
    </row>
    <row r="64211" spans="1:26" ht="12.75" customHeight="1" x14ac:dyDescent="0.2">
      <c r="A64211" s="258"/>
      <c r="Z64211" s="258"/>
    </row>
    <row r="64212" spans="1:26" ht="12.75" customHeight="1" x14ac:dyDescent="0.2">
      <c r="A64212" s="258"/>
      <c r="Z64212" s="258"/>
    </row>
    <row r="64213" spans="1:26" ht="12.75" customHeight="1" x14ac:dyDescent="0.2">
      <c r="A64213" s="258"/>
      <c r="Z64213" s="258"/>
    </row>
    <row r="64214" spans="1:26" ht="12.75" customHeight="1" x14ac:dyDescent="0.2">
      <c r="A64214" s="258"/>
      <c r="Z64214" s="258"/>
    </row>
    <row r="64215" spans="1:26" ht="12.75" customHeight="1" x14ac:dyDescent="0.2">
      <c r="A64215" s="258"/>
      <c r="Z64215" s="258"/>
    </row>
    <row r="64216" spans="1:26" ht="12.75" customHeight="1" x14ac:dyDescent="0.2">
      <c r="A64216" s="258"/>
      <c r="Z64216" s="258"/>
    </row>
    <row r="64217" spans="1:26" ht="12.75" customHeight="1" x14ac:dyDescent="0.2">
      <c r="A64217" s="258"/>
      <c r="Z64217" s="258"/>
    </row>
    <row r="64218" spans="1:26" ht="12.75" customHeight="1" x14ac:dyDescent="0.2">
      <c r="A64218" s="258"/>
      <c r="Z64218" s="258"/>
    </row>
    <row r="64219" spans="1:26" ht="12.75" customHeight="1" x14ac:dyDescent="0.2">
      <c r="A64219" s="258"/>
      <c r="Z64219" s="258"/>
    </row>
    <row r="64220" spans="1:26" ht="12.75" customHeight="1" x14ac:dyDescent="0.2">
      <c r="A64220" s="258"/>
      <c r="Z64220" s="258"/>
    </row>
    <row r="64221" spans="1:26" ht="12.75" customHeight="1" x14ac:dyDescent="0.2">
      <c r="A64221" s="258"/>
      <c r="Z64221" s="258"/>
    </row>
    <row r="64222" spans="1:26" ht="12.75" customHeight="1" x14ac:dyDescent="0.2">
      <c r="A64222" s="258"/>
      <c r="Z64222" s="258"/>
    </row>
    <row r="64223" spans="1:26" ht="12.75" customHeight="1" x14ac:dyDescent="0.2">
      <c r="A64223" s="258"/>
      <c r="Z64223" s="258"/>
    </row>
    <row r="64224" spans="1:26" ht="12.75" customHeight="1" x14ac:dyDescent="0.2">
      <c r="A64224" s="258"/>
      <c r="Z64224" s="258"/>
    </row>
    <row r="64225" spans="1:26" ht="12.75" customHeight="1" x14ac:dyDescent="0.2">
      <c r="A64225" s="258"/>
      <c r="Z64225" s="258"/>
    </row>
    <row r="64226" spans="1:26" ht="12.75" customHeight="1" x14ac:dyDescent="0.2">
      <c r="A64226" s="258"/>
      <c r="Z64226" s="258"/>
    </row>
    <row r="64227" spans="1:26" ht="12.75" customHeight="1" x14ac:dyDescent="0.2">
      <c r="A64227" s="258"/>
      <c r="Z64227" s="258"/>
    </row>
    <row r="64228" spans="1:26" ht="12.75" customHeight="1" x14ac:dyDescent="0.2">
      <c r="A64228" s="258"/>
      <c r="Z64228" s="258"/>
    </row>
    <row r="64229" spans="1:26" ht="12.75" customHeight="1" x14ac:dyDescent="0.2">
      <c r="A64229" s="258"/>
      <c r="Z64229" s="258"/>
    </row>
    <row r="64230" spans="1:26" ht="12.75" customHeight="1" x14ac:dyDescent="0.2">
      <c r="A64230" s="258"/>
      <c r="Z64230" s="258"/>
    </row>
    <row r="64231" spans="1:26" ht="12.75" customHeight="1" x14ac:dyDescent="0.2">
      <c r="A64231" s="258"/>
      <c r="Z64231" s="258"/>
    </row>
    <row r="64232" spans="1:26" ht="12.75" customHeight="1" x14ac:dyDescent="0.2">
      <c r="A64232" s="258"/>
      <c r="Z64232" s="258"/>
    </row>
    <row r="64233" spans="1:26" ht="12.75" customHeight="1" x14ac:dyDescent="0.2">
      <c r="A64233" s="258"/>
      <c r="Z64233" s="258"/>
    </row>
    <row r="64234" spans="1:26" ht="12.75" customHeight="1" x14ac:dyDescent="0.2">
      <c r="A64234" s="258"/>
      <c r="Z64234" s="258"/>
    </row>
    <row r="64235" spans="1:26" ht="12.75" customHeight="1" x14ac:dyDescent="0.2">
      <c r="A64235" s="258"/>
      <c r="Z64235" s="258"/>
    </row>
    <row r="64236" spans="1:26" ht="12.75" customHeight="1" x14ac:dyDescent="0.2">
      <c r="A64236" s="258"/>
      <c r="Z64236" s="258"/>
    </row>
    <row r="64237" spans="1:26" ht="12.75" customHeight="1" x14ac:dyDescent="0.2">
      <c r="A64237" s="258"/>
      <c r="Z64237" s="258"/>
    </row>
    <row r="64238" spans="1:26" ht="12.75" customHeight="1" x14ac:dyDescent="0.2">
      <c r="A64238" s="258"/>
      <c r="Z64238" s="258"/>
    </row>
    <row r="64239" spans="1:26" ht="12.75" customHeight="1" x14ac:dyDescent="0.2">
      <c r="A64239" s="258"/>
      <c r="Z64239" s="258"/>
    </row>
    <row r="64240" spans="1:26" ht="12.75" customHeight="1" x14ac:dyDescent="0.2">
      <c r="A64240" s="258"/>
      <c r="Z64240" s="258"/>
    </row>
    <row r="64241" spans="1:26" ht="12.75" customHeight="1" x14ac:dyDescent="0.2">
      <c r="A64241" s="258"/>
      <c r="Z64241" s="258"/>
    </row>
    <row r="64242" spans="1:26" ht="12.75" customHeight="1" x14ac:dyDescent="0.2">
      <c r="A64242" s="258"/>
      <c r="Z64242" s="258"/>
    </row>
    <row r="64243" spans="1:26" ht="12.75" customHeight="1" x14ac:dyDescent="0.2">
      <c r="A64243" s="258"/>
      <c r="Z64243" s="258"/>
    </row>
    <row r="64244" spans="1:26" ht="12.75" customHeight="1" x14ac:dyDescent="0.2">
      <c r="A64244" s="258"/>
      <c r="Z64244" s="258"/>
    </row>
    <row r="64245" spans="1:26" ht="12.75" customHeight="1" x14ac:dyDescent="0.2">
      <c r="A64245" s="258"/>
      <c r="Z64245" s="258"/>
    </row>
    <row r="64246" spans="1:26" ht="12.75" customHeight="1" x14ac:dyDescent="0.2">
      <c r="A64246" s="258"/>
      <c r="Z64246" s="258"/>
    </row>
    <row r="64247" spans="1:26" ht="12.75" customHeight="1" x14ac:dyDescent="0.2">
      <c r="A64247" s="258"/>
      <c r="Z64247" s="258"/>
    </row>
    <row r="64248" spans="1:26" ht="12.75" customHeight="1" x14ac:dyDescent="0.2">
      <c r="A64248" s="258"/>
      <c r="Z64248" s="258"/>
    </row>
    <row r="64249" spans="1:26" ht="12.75" customHeight="1" x14ac:dyDescent="0.2">
      <c r="A64249" s="258"/>
      <c r="Z64249" s="258"/>
    </row>
    <row r="64250" spans="1:26" ht="12.75" customHeight="1" x14ac:dyDescent="0.2">
      <c r="A64250" s="258"/>
      <c r="Z64250" s="258"/>
    </row>
    <row r="64251" spans="1:26" ht="12.75" customHeight="1" x14ac:dyDescent="0.2">
      <c r="A64251" s="258"/>
      <c r="Z64251" s="258"/>
    </row>
    <row r="64252" spans="1:26" ht="12.75" customHeight="1" x14ac:dyDescent="0.2">
      <c r="A64252" s="258"/>
      <c r="Z64252" s="258"/>
    </row>
    <row r="64253" spans="1:26" ht="12.75" customHeight="1" x14ac:dyDescent="0.2">
      <c r="A64253" s="258"/>
      <c r="Z64253" s="258"/>
    </row>
    <row r="64254" spans="1:26" ht="12.75" customHeight="1" x14ac:dyDescent="0.2">
      <c r="A64254" s="258"/>
      <c r="Z64254" s="258"/>
    </row>
    <row r="64255" spans="1:26" ht="12.75" customHeight="1" x14ac:dyDescent="0.2">
      <c r="A64255" s="258"/>
      <c r="Z64255" s="258"/>
    </row>
    <row r="64256" spans="1:26" ht="12.75" customHeight="1" x14ac:dyDescent="0.2">
      <c r="A64256" s="258"/>
      <c r="Z64256" s="258"/>
    </row>
    <row r="64257" spans="1:26" ht="12.75" customHeight="1" x14ac:dyDescent="0.2">
      <c r="A64257" s="258"/>
      <c r="Z64257" s="258"/>
    </row>
    <row r="64258" spans="1:26" ht="12.75" customHeight="1" x14ac:dyDescent="0.2">
      <c r="A64258" s="258"/>
      <c r="Z64258" s="258"/>
    </row>
    <row r="64259" spans="1:26" ht="12.75" customHeight="1" x14ac:dyDescent="0.2">
      <c r="A64259" s="258"/>
      <c r="Z64259" s="258"/>
    </row>
    <row r="64260" spans="1:26" ht="12.75" customHeight="1" x14ac:dyDescent="0.2">
      <c r="A64260" s="258"/>
      <c r="Z64260" s="258"/>
    </row>
    <row r="64261" spans="1:26" ht="12.75" customHeight="1" x14ac:dyDescent="0.2">
      <c r="A64261" s="258"/>
      <c r="Z64261" s="258"/>
    </row>
    <row r="64262" spans="1:26" ht="12.75" customHeight="1" x14ac:dyDescent="0.2">
      <c r="A64262" s="258"/>
      <c r="Z64262" s="258"/>
    </row>
    <row r="64263" spans="1:26" ht="12.75" customHeight="1" x14ac:dyDescent="0.2">
      <c r="A64263" s="258"/>
      <c r="Z64263" s="258"/>
    </row>
    <row r="64264" spans="1:26" ht="12.75" customHeight="1" x14ac:dyDescent="0.2">
      <c r="A64264" s="258"/>
      <c r="Z64264" s="258"/>
    </row>
    <row r="64265" spans="1:26" ht="12.75" customHeight="1" x14ac:dyDescent="0.2">
      <c r="A64265" s="258"/>
      <c r="Z64265" s="258"/>
    </row>
    <row r="64266" spans="1:26" ht="12.75" customHeight="1" x14ac:dyDescent="0.2">
      <c r="A64266" s="258"/>
      <c r="Z64266" s="258"/>
    </row>
    <row r="64267" spans="1:26" ht="12.75" customHeight="1" x14ac:dyDescent="0.2">
      <c r="A64267" s="258"/>
      <c r="Z64267" s="258"/>
    </row>
    <row r="64268" spans="1:26" ht="12.75" customHeight="1" x14ac:dyDescent="0.2">
      <c r="A64268" s="258"/>
      <c r="Z64268" s="258"/>
    </row>
    <row r="64269" spans="1:26" ht="12.75" customHeight="1" x14ac:dyDescent="0.2">
      <c r="A64269" s="258"/>
      <c r="Z64269" s="258"/>
    </row>
    <row r="64270" spans="1:26" ht="12.75" customHeight="1" x14ac:dyDescent="0.2">
      <c r="A64270" s="258"/>
      <c r="Z64270" s="258"/>
    </row>
    <row r="64271" spans="1:26" ht="12.75" customHeight="1" x14ac:dyDescent="0.2">
      <c r="A64271" s="258"/>
      <c r="Z64271" s="258"/>
    </row>
    <row r="64272" spans="1:26" ht="12.75" customHeight="1" x14ac:dyDescent="0.2">
      <c r="A64272" s="258"/>
      <c r="Z64272" s="258"/>
    </row>
    <row r="64273" spans="1:26" ht="12.75" customHeight="1" x14ac:dyDescent="0.2">
      <c r="A64273" s="258"/>
      <c r="Z64273" s="258"/>
    </row>
    <row r="64274" spans="1:26" ht="12.75" customHeight="1" x14ac:dyDescent="0.2">
      <c r="A64274" s="258"/>
      <c r="Z64274" s="258"/>
    </row>
    <row r="64275" spans="1:26" ht="12.75" customHeight="1" x14ac:dyDescent="0.2">
      <c r="A64275" s="258"/>
      <c r="Z64275" s="258"/>
    </row>
    <row r="64276" spans="1:26" ht="12.75" customHeight="1" x14ac:dyDescent="0.2">
      <c r="A64276" s="258"/>
      <c r="Z64276" s="258"/>
    </row>
    <row r="64277" spans="1:26" ht="12.75" customHeight="1" x14ac:dyDescent="0.2">
      <c r="A64277" s="258"/>
      <c r="Z64277" s="258"/>
    </row>
    <row r="64278" spans="1:26" ht="12.75" customHeight="1" x14ac:dyDescent="0.2">
      <c r="A64278" s="258"/>
      <c r="Z64278" s="258"/>
    </row>
    <row r="64279" spans="1:26" ht="12.75" customHeight="1" x14ac:dyDescent="0.2">
      <c r="A64279" s="258"/>
      <c r="Z64279" s="258"/>
    </row>
    <row r="64280" spans="1:26" ht="12.75" customHeight="1" x14ac:dyDescent="0.2">
      <c r="A64280" s="258"/>
      <c r="Z64280" s="258"/>
    </row>
    <row r="64281" spans="1:26" ht="12.75" customHeight="1" x14ac:dyDescent="0.2">
      <c r="A64281" s="258"/>
      <c r="Z64281" s="258"/>
    </row>
    <row r="64282" spans="1:26" ht="12.75" customHeight="1" x14ac:dyDescent="0.2">
      <c r="A64282" s="258"/>
      <c r="Z64282" s="258"/>
    </row>
    <row r="64283" spans="1:26" ht="12.75" customHeight="1" x14ac:dyDescent="0.2">
      <c r="A64283" s="258"/>
      <c r="Z64283" s="258"/>
    </row>
    <row r="64284" spans="1:26" ht="12.75" customHeight="1" x14ac:dyDescent="0.2">
      <c r="A64284" s="258"/>
      <c r="Z64284" s="258"/>
    </row>
    <row r="64285" spans="1:26" ht="12.75" customHeight="1" x14ac:dyDescent="0.2">
      <c r="A64285" s="258"/>
      <c r="Z64285" s="258"/>
    </row>
    <row r="64286" spans="1:26" ht="12.75" customHeight="1" x14ac:dyDescent="0.2">
      <c r="A64286" s="258"/>
      <c r="Z64286" s="258"/>
    </row>
    <row r="64287" spans="1:26" ht="12.75" customHeight="1" x14ac:dyDescent="0.2">
      <c r="A64287" s="258"/>
      <c r="Z64287" s="258"/>
    </row>
    <row r="64288" spans="1:26" ht="12.75" customHeight="1" x14ac:dyDescent="0.2">
      <c r="A64288" s="258"/>
      <c r="Z64288" s="258"/>
    </row>
    <row r="64289" spans="1:26" ht="12.75" customHeight="1" x14ac:dyDescent="0.2">
      <c r="A64289" s="258"/>
      <c r="Z64289" s="258"/>
    </row>
    <row r="64290" spans="1:26" ht="12.75" customHeight="1" x14ac:dyDescent="0.2">
      <c r="A64290" s="258"/>
      <c r="Z64290" s="258"/>
    </row>
    <row r="64291" spans="1:26" ht="12.75" customHeight="1" x14ac:dyDescent="0.2">
      <c r="A64291" s="258"/>
      <c r="Z64291" s="258"/>
    </row>
    <row r="64292" spans="1:26" ht="12.75" customHeight="1" x14ac:dyDescent="0.2">
      <c r="A64292" s="258"/>
      <c r="Z64292" s="258"/>
    </row>
    <row r="64293" spans="1:26" ht="12.75" customHeight="1" x14ac:dyDescent="0.2">
      <c r="A64293" s="258"/>
      <c r="Z64293" s="258"/>
    </row>
    <row r="64294" spans="1:26" ht="12.75" customHeight="1" x14ac:dyDescent="0.2">
      <c r="A64294" s="258"/>
      <c r="Z64294" s="258"/>
    </row>
    <row r="64295" spans="1:26" ht="12.75" customHeight="1" x14ac:dyDescent="0.2">
      <c r="A64295" s="258"/>
      <c r="Z64295" s="258"/>
    </row>
    <row r="64296" spans="1:26" ht="12.75" customHeight="1" x14ac:dyDescent="0.2">
      <c r="A64296" s="258"/>
      <c r="Z64296" s="258"/>
    </row>
    <row r="64297" spans="1:26" ht="12.75" customHeight="1" x14ac:dyDescent="0.2">
      <c r="A64297" s="258"/>
      <c r="Z64297" s="258"/>
    </row>
    <row r="64298" spans="1:26" ht="12.75" customHeight="1" x14ac:dyDescent="0.2">
      <c r="A64298" s="258"/>
      <c r="Z64298" s="258"/>
    </row>
    <row r="64299" spans="1:26" ht="12.75" customHeight="1" x14ac:dyDescent="0.2">
      <c r="A64299" s="258"/>
      <c r="Z64299" s="258"/>
    </row>
    <row r="64300" spans="1:26" ht="12.75" customHeight="1" x14ac:dyDescent="0.2">
      <c r="A64300" s="258"/>
      <c r="Z64300" s="258"/>
    </row>
    <row r="64301" spans="1:26" ht="12.75" customHeight="1" x14ac:dyDescent="0.2">
      <c r="A64301" s="258"/>
      <c r="Z64301" s="258"/>
    </row>
    <row r="64302" spans="1:26" ht="12.75" customHeight="1" x14ac:dyDescent="0.2">
      <c r="A64302" s="258"/>
      <c r="Z64302" s="258"/>
    </row>
    <row r="64303" spans="1:26" ht="12.75" customHeight="1" x14ac:dyDescent="0.2">
      <c r="A64303" s="258"/>
      <c r="Z64303" s="258"/>
    </row>
    <row r="64304" spans="1:26" ht="12.75" customHeight="1" x14ac:dyDescent="0.2">
      <c r="A64304" s="258"/>
      <c r="Z64304" s="258"/>
    </row>
    <row r="64305" spans="1:26" ht="12.75" customHeight="1" x14ac:dyDescent="0.2">
      <c r="A64305" s="258"/>
      <c r="Z64305" s="258"/>
    </row>
    <row r="64306" spans="1:26" ht="12.75" customHeight="1" x14ac:dyDescent="0.2">
      <c r="A64306" s="258"/>
      <c r="Z64306" s="258"/>
    </row>
    <row r="64307" spans="1:26" ht="12.75" customHeight="1" x14ac:dyDescent="0.2">
      <c r="A64307" s="258"/>
      <c r="Z64307" s="258"/>
    </row>
    <row r="64308" spans="1:26" ht="12.75" customHeight="1" x14ac:dyDescent="0.2">
      <c r="A64308" s="258"/>
      <c r="Z64308" s="258"/>
    </row>
    <row r="64309" spans="1:26" ht="12.75" customHeight="1" x14ac:dyDescent="0.2">
      <c r="A64309" s="258"/>
      <c r="Z64309" s="258"/>
    </row>
    <row r="64310" spans="1:26" ht="12.75" customHeight="1" x14ac:dyDescent="0.2">
      <c r="A64310" s="258"/>
      <c r="Z64310" s="258"/>
    </row>
    <row r="64311" spans="1:26" ht="12.75" customHeight="1" x14ac:dyDescent="0.2">
      <c r="A64311" s="258"/>
      <c r="Z64311" s="258"/>
    </row>
    <row r="64312" spans="1:26" ht="12.75" customHeight="1" x14ac:dyDescent="0.2">
      <c r="A64312" s="258"/>
      <c r="Z64312" s="258"/>
    </row>
    <row r="64313" spans="1:26" ht="12.75" customHeight="1" x14ac:dyDescent="0.2">
      <c r="A64313" s="258"/>
      <c r="Z64313" s="258"/>
    </row>
    <row r="64314" spans="1:26" ht="12.75" customHeight="1" x14ac:dyDescent="0.2">
      <c r="A64314" s="258"/>
      <c r="Z64314" s="258"/>
    </row>
    <row r="64315" spans="1:26" ht="12.75" customHeight="1" x14ac:dyDescent="0.2">
      <c r="A64315" s="258"/>
      <c r="Z64315" s="258"/>
    </row>
    <row r="64316" spans="1:26" ht="12.75" customHeight="1" x14ac:dyDescent="0.2">
      <c r="A64316" s="258"/>
      <c r="Z64316" s="258"/>
    </row>
    <row r="64317" spans="1:26" ht="12.75" customHeight="1" x14ac:dyDescent="0.2">
      <c r="A64317" s="258"/>
      <c r="Z64317" s="258"/>
    </row>
    <row r="64318" spans="1:26" ht="12.75" customHeight="1" x14ac:dyDescent="0.2">
      <c r="A64318" s="258"/>
      <c r="Z64318" s="258"/>
    </row>
    <row r="64319" spans="1:26" ht="12.75" customHeight="1" x14ac:dyDescent="0.2">
      <c r="A64319" s="258"/>
      <c r="Z64319" s="258"/>
    </row>
    <row r="64320" spans="1:26" ht="12.75" customHeight="1" x14ac:dyDescent="0.2">
      <c r="A64320" s="258"/>
      <c r="Z64320" s="258"/>
    </row>
    <row r="64321" spans="1:26" ht="12.75" customHeight="1" x14ac:dyDescent="0.2">
      <c r="A64321" s="258"/>
      <c r="Z64321" s="258"/>
    </row>
    <row r="64322" spans="1:26" ht="12.75" customHeight="1" x14ac:dyDescent="0.2">
      <c r="A64322" s="258"/>
      <c r="Z64322" s="258"/>
    </row>
    <row r="64323" spans="1:26" ht="12.75" customHeight="1" x14ac:dyDescent="0.2">
      <c r="A64323" s="258"/>
      <c r="Z64323" s="258"/>
    </row>
    <row r="64324" spans="1:26" ht="12.75" customHeight="1" x14ac:dyDescent="0.2">
      <c r="A64324" s="258"/>
      <c r="Z64324" s="258"/>
    </row>
    <row r="64325" spans="1:26" ht="12.75" customHeight="1" x14ac:dyDescent="0.2">
      <c r="A64325" s="258"/>
      <c r="Z64325" s="258"/>
    </row>
    <row r="64326" spans="1:26" ht="12.75" customHeight="1" x14ac:dyDescent="0.2">
      <c r="A64326" s="258"/>
      <c r="Z64326" s="258"/>
    </row>
    <row r="64327" spans="1:26" ht="12.75" customHeight="1" x14ac:dyDescent="0.2">
      <c r="A64327" s="258"/>
      <c r="Z64327" s="258"/>
    </row>
    <row r="64328" spans="1:26" ht="12.75" customHeight="1" x14ac:dyDescent="0.2">
      <c r="A64328" s="258"/>
      <c r="Z64328" s="258"/>
    </row>
    <row r="64329" spans="1:26" ht="12.75" customHeight="1" x14ac:dyDescent="0.2">
      <c r="A64329" s="258"/>
      <c r="Z64329" s="258"/>
    </row>
    <row r="64330" spans="1:26" ht="12.75" customHeight="1" x14ac:dyDescent="0.2">
      <c r="A64330" s="258"/>
      <c r="Z64330" s="258"/>
    </row>
    <row r="64331" spans="1:26" ht="12.75" customHeight="1" x14ac:dyDescent="0.2">
      <c r="A64331" s="258"/>
      <c r="Z64331" s="258"/>
    </row>
    <row r="64332" spans="1:26" ht="12.75" customHeight="1" x14ac:dyDescent="0.2">
      <c r="A64332" s="258"/>
      <c r="Z64332" s="258"/>
    </row>
    <row r="64333" spans="1:26" ht="12.75" customHeight="1" x14ac:dyDescent="0.2">
      <c r="A64333" s="258"/>
      <c r="Z64333" s="258"/>
    </row>
    <row r="64334" spans="1:26" ht="12.75" customHeight="1" x14ac:dyDescent="0.2">
      <c r="A64334" s="258"/>
      <c r="Z64334" s="258"/>
    </row>
    <row r="64335" spans="1:26" ht="12.75" customHeight="1" x14ac:dyDescent="0.2">
      <c r="A64335" s="258"/>
      <c r="Z64335" s="258"/>
    </row>
    <row r="64336" spans="1:26" ht="12.75" customHeight="1" x14ac:dyDescent="0.2">
      <c r="A64336" s="258"/>
      <c r="Z64336" s="258"/>
    </row>
    <row r="64337" spans="1:26" ht="12.75" customHeight="1" x14ac:dyDescent="0.2">
      <c r="A64337" s="258"/>
      <c r="Z64337" s="258"/>
    </row>
    <row r="64338" spans="1:26" ht="12.75" customHeight="1" x14ac:dyDescent="0.2">
      <c r="A64338" s="258"/>
      <c r="Z64338" s="258"/>
    </row>
    <row r="64339" spans="1:26" ht="12.75" customHeight="1" x14ac:dyDescent="0.2">
      <c r="A64339" s="258"/>
      <c r="Z64339" s="258"/>
    </row>
    <row r="64340" spans="1:26" ht="12.75" customHeight="1" x14ac:dyDescent="0.2">
      <c r="A64340" s="258"/>
      <c r="Z64340" s="258"/>
    </row>
    <row r="64341" spans="1:26" ht="12.75" customHeight="1" x14ac:dyDescent="0.2">
      <c r="A64341" s="258"/>
      <c r="Z64341" s="258"/>
    </row>
    <row r="64342" spans="1:26" ht="12.75" customHeight="1" x14ac:dyDescent="0.2">
      <c r="A64342" s="258"/>
      <c r="Z64342" s="258"/>
    </row>
    <row r="64343" spans="1:26" ht="12.75" customHeight="1" x14ac:dyDescent="0.2">
      <c r="A64343" s="258"/>
      <c r="Z64343" s="258"/>
    </row>
    <row r="64344" spans="1:26" ht="12.75" customHeight="1" x14ac:dyDescent="0.2">
      <c r="A64344" s="258"/>
      <c r="Z64344" s="258"/>
    </row>
    <row r="64345" spans="1:26" ht="12.75" customHeight="1" x14ac:dyDescent="0.2">
      <c r="A64345" s="258"/>
      <c r="Z64345" s="258"/>
    </row>
    <row r="64346" spans="1:26" ht="12.75" customHeight="1" x14ac:dyDescent="0.2">
      <c r="A64346" s="258"/>
      <c r="Z64346" s="258"/>
    </row>
    <row r="64347" spans="1:26" ht="12.75" customHeight="1" x14ac:dyDescent="0.2">
      <c r="A64347" s="258"/>
      <c r="Z64347" s="258"/>
    </row>
    <row r="64348" spans="1:26" ht="12.75" customHeight="1" x14ac:dyDescent="0.2">
      <c r="A64348" s="258"/>
      <c r="Z64348" s="258"/>
    </row>
    <row r="64349" spans="1:26" ht="12.75" customHeight="1" x14ac:dyDescent="0.2">
      <c r="A64349" s="258"/>
      <c r="Z64349" s="258"/>
    </row>
    <row r="64350" spans="1:26" ht="12.75" customHeight="1" x14ac:dyDescent="0.2">
      <c r="A64350" s="258"/>
      <c r="Z64350" s="258"/>
    </row>
    <row r="64351" spans="1:26" ht="12.75" customHeight="1" x14ac:dyDescent="0.2">
      <c r="A64351" s="258"/>
      <c r="Z64351" s="258"/>
    </row>
    <row r="64352" spans="1:26" ht="12.75" customHeight="1" x14ac:dyDescent="0.2">
      <c r="A64352" s="258"/>
      <c r="Z64352" s="258"/>
    </row>
    <row r="64353" spans="1:26" ht="12.75" customHeight="1" x14ac:dyDescent="0.2">
      <c r="A64353" s="258"/>
      <c r="Z64353" s="258"/>
    </row>
    <row r="64354" spans="1:26" ht="12.75" customHeight="1" x14ac:dyDescent="0.2">
      <c r="A64354" s="258"/>
      <c r="Z64354" s="258"/>
    </row>
    <row r="64355" spans="1:26" ht="12.75" customHeight="1" x14ac:dyDescent="0.2">
      <c r="A64355" s="258"/>
      <c r="Z64355" s="258"/>
    </row>
    <row r="64356" spans="1:26" ht="12.75" customHeight="1" x14ac:dyDescent="0.2">
      <c r="A64356" s="258"/>
      <c r="Z64356" s="258"/>
    </row>
    <row r="64357" spans="1:26" ht="12.75" customHeight="1" x14ac:dyDescent="0.2">
      <c r="A64357" s="258"/>
      <c r="Z64357" s="258"/>
    </row>
    <row r="64358" spans="1:26" ht="12.75" customHeight="1" x14ac:dyDescent="0.2">
      <c r="A64358" s="258"/>
      <c r="Z64358" s="258"/>
    </row>
    <row r="64359" spans="1:26" ht="12.75" customHeight="1" x14ac:dyDescent="0.2">
      <c r="A64359" s="258"/>
      <c r="Z64359" s="258"/>
    </row>
    <row r="64360" spans="1:26" ht="12.75" customHeight="1" x14ac:dyDescent="0.2">
      <c r="A64360" s="258"/>
      <c r="Z64360" s="258"/>
    </row>
    <row r="64361" spans="1:26" ht="12.75" customHeight="1" x14ac:dyDescent="0.2">
      <c r="A64361" s="258"/>
      <c r="Z64361" s="258"/>
    </row>
    <row r="64362" spans="1:26" ht="12.75" customHeight="1" x14ac:dyDescent="0.2">
      <c r="A64362" s="258"/>
      <c r="Z64362" s="258"/>
    </row>
    <row r="64363" spans="1:26" ht="12.75" customHeight="1" x14ac:dyDescent="0.2">
      <c r="A64363" s="258"/>
      <c r="Z64363" s="258"/>
    </row>
    <row r="64364" spans="1:26" ht="12.75" customHeight="1" x14ac:dyDescent="0.2">
      <c r="A64364" s="258"/>
      <c r="Z64364" s="258"/>
    </row>
    <row r="64365" spans="1:26" ht="12.75" customHeight="1" x14ac:dyDescent="0.2">
      <c r="A64365" s="258"/>
      <c r="Z64365" s="258"/>
    </row>
    <row r="64366" spans="1:26" ht="12.75" customHeight="1" x14ac:dyDescent="0.2">
      <c r="A64366" s="258"/>
      <c r="Z64366" s="258"/>
    </row>
    <row r="64367" spans="1:26" ht="12.75" customHeight="1" x14ac:dyDescent="0.2">
      <c r="A64367" s="258"/>
      <c r="Z64367" s="258"/>
    </row>
    <row r="64368" spans="1:26" ht="12.75" customHeight="1" x14ac:dyDescent="0.2">
      <c r="A64368" s="258"/>
      <c r="Z64368" s="258"/>
    </row>
    <row r="64369" spans="1:26" ht="12.75" customHeight="1" x14ac:dyDescent="0.2">
      <c r="A64369" s="258"/>
      <c r="Z64369" s="258"/>
    </row>
    <row r="64370" spans="1:26" ht="12.75" customHeight="1" x14ac:dyDescent="0.2">
      <c r="A64370" s="258"/>
      <c r="Z64370" s="258"/>
    </row>
    <row r="64371" spans="1:26" ht="12.75" customHeight="1" x14ac:dyDescent="0.2">
      <c r="A64371" s="258"/>
      <c r="Z64371" s="258"/>
    </row>
    <row r="64372" spans="1:26" ht="12.75" customHeight="1" x14ac:dyDescent="0.2">
      <c r="A64372" s="258"/>
      <c r="Z64372" s="258"/>
    </row>
    <row r="64373" spans="1:26" ht="12.75" customHeight="1" x14ac:dyDescent="0.2">
      <c r="A64373" s="258"/>
      <c r="Z64373" s="258"/>
    </row>
    <row r="64374" spans="1:26" ht="12.75" customHeight="1" x14ac:dyDescent="0.2">
      <c r="A64374" s="258"/>
      <c r="Z64374" s="258"/>
    </row>
    <row r="64375" spans="1:26" ht="12.75" customHeight="1" x14ac:dyDescent="0.2">
      <c r="A64375" s="258"/>
      <c r="Z64375" s="258"/>
    </row>
    <row r="64376" spans="1:26" ht="12.75" customHeight="1" x14ac:dyDescent="0.2">
      <c r="A64376" s="258"/>
      <c r="Z64376" s="258"/>
    </row>
    <row r="64377" spans="1:26" ht="12.75" customHeight="1" x14ac:dyDescent="0.2">
      <c r="A64377" s="258"/>
      <c r="Z64377" s="258"/>
    </row>
    <row r="64378" spans="1:26" ht="12.75" customHeight="1" x14ac:dyDescent="0.2">
      <c r="A64378" s="258"/>
      <c r="Z64378" s="258"/>
    </row>
    <row r="64379" spans="1:26" ht="12.75" customHeight="1" x14ac:dyDescent="0.2">
      <c r="A64379" s="258"/>
      <c r="Z64379" s="258"/>
    </row>
    <row r="64380" spans="1:26" ht="12.75" customHeight="1" x14ac:dyDescent="0.2">
      <c r="A64380" s="258"/>
      <c r="Z64380" s="258"/>
    </row>
    <row r="64381" spans="1:26" ht="12.75" customHeight="1" x14ac:dyDescent="0.2">
      <c r="A64381" s="258"/>
      <c r="Z64381" s="258"/>
    </row>
    <row r="64382" spans="1:26" ht="12.75" customHeight="1" x14ac:dyDescent="0.2">
      <c r="A64382" s="258"/>
      <c r="Z64382" s="258"/>
    </row>
    <row r="64383" spans="1:26" ht="12.75" customHeight="1" x14ac:dyDescent="0.2">
      <c r="A64383" s="258"/>
      <c r="Z64383" s="258"/>
    </row>
    <row r="64384" spans="1:26" ht="12.75" customHeight="1" x14ac:dyDescent="0.2">
      <c r="A64384" s="258"/>
      <c r="Z64384" s="258"/>
    </row>
    <row r="64385" spans="1:26" ht="12.75" customHeight="1" x14ac:dyDescent="0.2">
      <c r="A64385" s="258"/>
      <c r="Z64385" s="258"/>
    </row>
    <row r="64386" spans="1:26" ht="12.75" customHeight="1" x14ac:dyDescent="0.2">
      <c r="A64386" s="258"/>
      <c r="Z64386" s="258"/>
    </row>
    <row r="64387" spans="1:26" ht="12.75" customHeight="1" x14ac:dyDescent="0.2">
      <c r="A64387" s="258"/>
      <c r="Z64387" s="258"/>
    </row>
    <row r="64388" spans="1:26" ht="12.75" customHeight="1" x14ac:dyDescent="0.2">
      <c r="A64388" s="258"/>
      <c r="Z64388" s="258"/>
    </row>
    <row r="64389" spans="1:26" ht="12.75" customHeight="1" x14ac:dyDescent="0.2">
      <c r="A64389" s="258"/>
      <c r="Z64389" s="258"/>
    </row>
    <row r="64390" spans="1:26" ht="12.75" customHeight="1" x14ac:dyDescent="0.2">
      <c r="A64390" s="258"/>
      <c r="Z64390" s="258"/>
    </row>
    <row r="64391" spans="1:26" ht="12.75" customHeight="1" x14ac:dyDescent="0.2">
      <c r="A64391" s="258"/>
      <c r="Z64391" s="258"/>
    </row>
    <row r="64392" spans="1:26" ht="12.75" customHeight="1" x14ac:dyDescent="0.2">
      <c r="A64392" s="258"/>
      <c r="Z64392" s="258"/>
    </row>
    <row r="64393" spans="1:26" ht="12.75" customHeight="1" x14ac:dyDescent="0.2">
      <c r="A64393" s="258"/>
      <c r="Z64393" s="258"/>
    </row>
    <row r="64394" spans="1:26" ht="12.75" customHeight="1" x14ac:dyDescent="0.2">
      <c r="A64394" s="258"/>
      <c r="Z64394" s="258"/>
    </row>
    <row r="64395" spans="1:26" ht="12.75" customHeight="1" x14ac:dyDescent="0.2">
      <c r="A64395" s="258"/>
      <c r="Z64395" s="258"/>
    </row>
    <row r="64396" spans="1:26" ht="12.75" customHeight="1" x14ac:dyDescent="0.2">
      <c r="A64396" s="258"/>
      <c r="Z64396" s="258"/>
    </row>
    <row r="64397" spans="1:26" ht="12.75" customHeight="1" x14ac:dyDescent="0.2">
      <c r="A64397" s="258"/>
      <c r="Z64397" s="258"/>
    </row>
    <row r="64398" spans="1:26" ht="12.75" customHeight="1" x14ac:dyDescent="0.2">
      <c r="A64398" s="258"/>
      <c r="Z64398" s="258"/>
    </row>
    <row r="64399" spans="1:26" ht="12.75" customHeight="1" x14ac:dyDescent="0.2">
      <c r="A64399" s="258"/>
      <c r="Z64399" s="258"/>
    </row>
    <row r="64400" spans="1:26" ht="12.75" customHeight="1" x14ac:dyDescent="0.2">
      <c r="A64400" s="258"/>
      <c r="Z64400" s="258"/>
    </row>
    <row r="64401" spans="1:26" ht="12.75" customHeight="1" x14ac:dyDescent="0.2">
      <c r="A64401" s="258"/>
      <c r="Z64401" s="258"/>
    </row>
    <row r="64402" spans="1:26" ht="12.75" customHeight="1" x14ac:dyDescent="0.2">
      <c r="A64402" s="258"/>
      <c r="Z64402" s="258"/>
    </row>
    <row r="64403" spans="1:26" ht="12.75" customHeight="1" x14ac:dyDescent="0.2">
      <c r="A64403" s="258"/>
      <c r="Z64403" s="258"/>
    </row>
    <row r="64404" spans="1:26" ht="12.75" customHeight="1" x14ac:dyDescent="0.2">
      <c r="A64404" s="258"/>
      <c r="Z64404" s="258"/>
    </row>
    <row r="64405" spans="1:26" ht="12.75" customHeight="1" x14ac:dyDescent="0.2">
      <c r="A64405" s="258"/>
      <c r="Z64405" s="258"/>
    </row>
    <row r="64406" spans="1:26" ht="12.75" customHeight="1" x14ac:dyDescent="0.2">
      <c r="A64406" s="258"/>
      <c r="Z64406" s="258"/>
    </row>
    <row r="64407" spans="1:26" ht="12.75" customHeight="1" x14ac:dyDescent="0.2">
      <c r="A64407" s="258"/>
      <c r="Z64407" s="258"/>
    </row>
    <row r="64408" spans="1:26" ht="12.75" customHeight="1" x14ac:dyDescent="0.2">
      <c r="A64408" s="258"/>
      <c r="Z64408" s="258"/>
    </row>
    <row r="64409" spans="1:26" ht="12.75" customHeight="1" x14ac:dyDescent="0.2">
      <c r="A64409" s="258"/>
      <c r="Z64409" s="258"/>
    </row>
    <row r="64410" spans="1:26" ht="12.75" customHeight="1" x14ac:dyDescent="0.2">
      <c r="A64410" s="258"/>
      <c r="Z64410" s="258"/>
    </row>
    <row r="64411" spans="1:26" ht="12.75" customHeight="1" x14ac:dyDescent="0.2">
      <c r="A64411" s="258"/>
      <c r="Z64411" s="258"/>
    </row>
    <row r="64412" spans="1:26" ht="12.75" customHeight="1" x14ac:dyDescent="0.2">
      <c r="A64412" s="258"/>
      <c r="Z64412" s="258"/>
    </row>
    <row r="64413" spans="1:26" ht="12.75" customHeight="1" x14ac:dyDescent="0.2">
      <c r="A64413" s="258"/>
      <c r="Z64413" s="258"/>
    </row>
    <row r="64414" spans="1:26" ht="12.75" customHeight="1" x14ac:dyDescent="0.2">
      <c r="A64414" s="258"/>
      <c r="Z64414" s="258"/>
    </row>
    <row r="64415" spans="1:26" ht="12.75" customHeight="1" x14ac:dyDescent="0.2">
      <c r="A64415" s="258"/>
      <c r="Z64415" s="258"/>
    </row>
    <row r="64416" spans="1:26" ht="12.75" customHeight="1" x14ac:dyDescent="0.2">
      <c r="A64416" s="258"/>
      <c r="Z64416" s="258"/>
    </row>
    <row r="64417" spans="1:26" ht="12.75" customHeight="1" x14ac:dyDescent="0.2">
      <c r="A64417" s="258"/>
      <c r="Z64417" s="258"/>
    </row>
    <row r="64418" spans="1:26" ht="12.75" customHeight="1" x14ac:dyDescent="0.2">
      <c r="A64418" s="258"/>
      <c r="Z64418" s="258"/>
    </row>
    <row r="64419" spans="1:26" ht="12.75" customHeight="1" x14ac:dyDescent="0.2">
      <c r="A64419" s="258"/>
      <c r="Z64419" s="258"/>
    </row>
    <row r="64420" spans="1:26" ht="12.75" customHeight="1" x14ac:dyDescent="0.2">
      <c r="A64420" s="258"/>
      <c r="Z64420" s="258"/>
    </row>
    <row r="64421" spans="1:26" ht="12.75" customHeight="1" x14ac:dyDescent="0.2">
      <c r="A64421" s="258"/>
      <c r="Z64421" s="258"/>
    </row>
    <row r="64422" spans="1:26" ht="12.75" customHeight="1" x14ac:dyDescent="0.2">
      <c r="A64422" s="258"/>
      <c r="Z64422" s="258"/>
    </row>
    <row r="64423" spans="1:26" ht="12.75" customHeight="1" x14ac:dyDescent="0.2">
      <c r="A64423" s="258"/>
      <c r="Z64423" s="258"/>
    </row>
    <row r="64424" spans="1:26" ht="12.75" customHeight="1" x14ac:dyDescent="0.2">
      <c r="A64424" s="258"/>
      <c r="Z64424" s="258"/>
    </row>
    <row r="64425" spans="1:26" ht="12.75" customHeight="1" x14ac:dyDescent="0.2">
      <c r="A64425" s="258"/>
      <c r="Z64425" s="258"/>
    </row>
    <row r="64426" spans="1:26" ht="12.75" customHeight="1" x14ac:dyDescent="0.2">
      <c r="A64426" s="258"/>
      <c r="Z64426" s="258"/>
    </row>
    <row r="64427" spans="1:26" ht="12.75" customHeight="1" x14ac:dyDescent="0.2">
      <c r="A64427" s="258"/>
      <c r="Z64427" s="258"/>
    </row>
    <row r="64428" spans="1:26" ht="12.75" customHeight="1" x14ac:dyDescent="0.2">
      <c r="A64428" s="258"/>
      <c r="Z64428" s="258"/>
    </row>
    <row r="64429" spans="1:26" ht="12.75" customHeight="1" x14ac:dyDescent="0.2">
      <c r="A64429" s="258"/>
      <c r="Z64429" s="258"/>
    </row>
    <row r="64430" spans="1:26" ht="12.75" customHeight="1" x14ac:dyDescent="0.2">
      <c r="A64430" s="258"/>
      <c r="Z64430" s="258"/>
    </row>
    <row r="64431" spans="1:26" ht="12.75" customHeight="1" x14ac:dyDescent="0.2">
      <c r="A64431" s="258"/>
      <c r="Z64431" s="258"/>
    </row>
    <row r="64432" spans="1:26" ht="12.75" customHeight="1" x14ac:dyDescent="0.2">
      <c r="A64432" s="258"/>
      <c r="Z64432" s="258"/>
    </row>
    <row r="64433" spans="1:26" ht="12.75" customHeight="1" x14ac:dyDescent="0.2">
      <c r="A64433" s="258"/>
      <c r="Z64433" s="258"/>
    </row>
    <row r="64434" spans="1:26" ht="12.75" customHeight="1" x14ac:dyDescent="0.2">
      <c r="A64434" s="258"/>
      <c r="Z64434" s="258"/>
    </row>
    <row r="64435" spans="1:26" ht="12.75" customHeight="1" x14ac:dyDescent="0.2">
      <c r="A64435" s="258"/>
      <c r="Z64435" s="258"/>
    </row>
    <row r="64436" spans="1:26" ht="12.75" customHeight="1" x14ac:dyDescent="0.2">
      <c r="A64436" s="258"/>
      <c r="Z64436" s="258"/>
    </row>
    <row r="64437" spans="1:26" ht="12.75" customHeight="1" x14ac:dyDescent="0.2">
      <c r="A64437" s="258"/>
      <c r="Z64437" s="258"/>
    </row>
    <row r="64438" spans="1:26" ht="12.75" customHeight="1" x14ac:dyDescent="0.2">
      <c r="A64438" s="258"/>
      <c r="Z64438" s="258"/>
    </row>
    <row r="64439" spans="1:26" ht="12.75" customHeight="1" x14ac:dyDescent="0.2">
      <c r="A64439" s="258"/>
      <c r="Z64439" s="258"/>
    </row>
    <row r="64440" spans="1:26" ht="12.75" customHeight="1" x14ac:dyDescent="0.2">
      <c r="A64440" s="258"/>
      <c r="Z64440" s="258"/>
    </row>
    <row r="64441" spans="1:26" ht="12.75" customHeight="1" x14ac:dyDescent="0.2">
      <c r="A64441" s="258"/>
      <c r="Z64441" s="258"/>
    </row>
    <row r="64442" spans="1:26" ht="12.75" customHeight="1" x14ac:dyDescent="0.2">
      <c r="A64442" s="258"/>
      <c r="Z64442" s="258"/>
    </row>
    <row r="64443" spans="1:26" ht="12.75" customHeight="1" x14ac:dyDescent="0.2">
      <c r="A64443" s="258"/>
      <c r="Z64443" s="258"/>
    </row>
    <row r="64444" spans="1:26" ht="12.75" customHeight="1" x14ac:dyDescent="0.2">
      <c r="A64444" s="258"/>
      <c r="Z64444" s="258"/>
    </row>
    <row r="64445" spans="1:26" ht="12.75" customHeight="1" x14ac:dyDescent="0.2">
      <c r="A64445" s="258"/>
      <c r="Z64445" s="258"/>
    </row>
    <row r="64446" spans="1:26" ht="12.75" customHeight="1" x14ac:dyDescent="0.2">
      <c r="A64446" s="258"/>
      <c r="Z64446" s="258"/>
    </row>
    <row r="64447" spans="1:26" ht="12.75" customHeight="1" x14ac:dyDescent="0.2">
      <c r="A64447" s="258"/>
      <c r="Z64447" s="258"/>
    </row>
    <row r="64448" spans="1:26" ht="12.75" customHeight="1" x14ac:dyDescent="0.2">
      <c r="A64448" s="258"/>
      <c r="Z64448" s="258"/>
    </row>
    <row r="64449" spans="1:26" ht="12.75" customHeight="1" x14ac:dyDescent="0.2">
      <c r="A64449" s="258"/>
      <c r="Z64449" s="258"/>
    </row>
    <row r="64450" spans="1:26" ht="12.75" customHeight="1" x14ac:dyDescent="0.2">
      <c r="A64450" s="258"/>
      <c r="Z64450" s="258"/>
    </row>
    <row r="64451" spans="1:26" ht="12.75" customHeight="1" x14ac:dyDescent="0.2">
      <c r="A64451" s="258"/>
      <c r="Z64451" s="258"/>
    </row>
    <row r="64452" spans="1:26" ht="12.75" customHeight="1" x14ac:dyDescent="0.2">
      <c r="A64452" s="258"/>
      <c r="Z64452" s="258"/>
    </row>
    <row r="64453" spans="1:26" ht="12.75" customHeight="1" x14ac:dyDescent="0.2">
      <c r="A64453" s="258"/>
      <c r="Z64453" s="258"/>
    </row>
    <row r="64454" spans="1:26" ht="12.75" customHeight="1" x14ac:dyDescent="0.2">
      <c r="A64454" s="258"/>
      <c r="Z64454" s="258"/>
    </row>
    <row r="64455" spans="1:26" ht="12.75" customHeight="1" x14ac:dyDescent="0.2">
      <c r="A64455" s="258"/>
      <c r="Z64455" s="258"/>
    </row>
    <row r="64456" spans="1:26" ht="12.75" customHeight="1" x14ac:dyDescent="0.2">
      <c r="A64456" s="258"/>
      <c r="Z64456" s="258"/>
    </row>
    <row r="64457" spans="1:26" ht="12.75" customHeight="1" x14ac:dyDescent="0.2">
      <c r="A64457" s="258"/>
      <c r="Z64457" s="258"/>
    </row>
    <row r="64458" spans="1:26" ht="12.75" customHeight="1" x14ac:dyDescent="0.2">
      <c r="A64458" s="258"/>
      <c r="Z64458" s="258"/>
    </row>
    <row r="64459" spans="1:26" ht="12.75" customHeight="1" x14ac:dyDescent="0.2">
      <c r="A64459" s="258"/>
      <c r="Z64459" s="258"/>
    </row>
    <row r="64460" spans="1:26" ht="12.75" customHeight="1" x14ac:dyDescent="0.2">
      <c r="A64460" s="258"/>
      <c r="Z64460" s="258"/>
    </row>
    <row r="64461" spans="1:26" ht="12.75" customHeight="1" x14ac:dyDescent="0.2">
      <c r="A64461" s="258"/>
      <c r="Z64461" s="258"/>
    </row>
    <row r="64462" spans="1:26" ht="12.75" customHeight="1" x14ac:dyDescent="0.2">
      <c r="A64462" s="258"/>
      <c r="Z64462" s="258"/>
    </row>
    <row r="64463" spans="1:26" ht="12.75" customHeight="1" x14ac:dyDescent="0.2">
      <c r="A64463" s="258"/>
      <c r="Z64463" s="258"/>
    </row>
    <row r="64464" spans="1:26" ht="12.75" customHeight="1" x14ac:dyDescent="0.2">
      <c r="A64464" s="258"/>
      <c r="Z64464" s="258"/>
    </row>
    <row r="64465" spans="1:26" ht="12.75" customHeight="1" x14ac:dyDescent="0.2">
      <c r="A64465" s="258"/>
      <c r="Z64465" s="258"/>
    </row>
    <row r="64466" spans="1:26" ht="12.75" customHeight="1" x14ac:dyDescent="0.2">
      <c r="A64466" s="258"/>
      <c r="Z64466" s="258"/>
    </row>
    <row r="64467" spans="1:26" ht="12.75" customHeight="1" x14ac:dyDescent="0.2">
      <c r="A64467" s="258"/>
      <c r="Z64467" s="258"/>
    </row>
    <row r="64468" spans="1:26" ht="12.75" customHeight="1" x14ac:dyDescent="0.2">
      <c r="A64468" s="258"/>
      <c r="Z64468" s="258"/>
    </row>
    <row r="64469" spans="1:26" ht="12.75" customHeight="1" x14ac:dyDescent="0.2">
      <c r="A64469" s="258"/>
      <c r="Z64469" s="258"/>
    </row>
    <row r="64470" spans="1:26" ht="12.75" customHeight="1" x14ac:dyDescent="0.2">
      <c r="A64470" s="258"/>
      <c r="Z64470" s="258"/>
    </row>
    <row r="64471" spans="1:26" ht="12.75" customHeight="1" x14ac:dyDescent="0.2">
      <c r="A64471" s="258"/>
      <c r="Z64471" s="258"/>
    </row>
    <row r="64472" spans="1:26" ht="12.75" customHeight="1" x14ac:dyDescent="0.2">
      <c r="A64472" s="258"/>
      <c r="Z64472" s="258"/>
    </row>
    <row r="64473" spans="1:26" ht="12.75" customHeight="1" x14ac:dyDescent="0.2">
      <c r="A64473" s="258"/>
      <c r="Z64473" s="258"/>
    </row>
    <row r="64474" spans="1:26" ht="12.75" customHeight="1" x14ac:dyDescent="0.2">
      <c r="A64474" s="258"/>
      <c r="Z64474" s="258"/>
    </row>
    <row r="64475" spans="1:26" ht="12.75" customHeight="1" x14ac:dyDescent="0.2">
      <c r="A64475" s="258"/>
      <c r="Z64475" s="258"/>
    </row>
    <row r="64476" spans="1:26" ht="12.75" customHeight="1" x14ac:dyDescent="0.2">
      <c r="A64476" s="258"/>
      <c r="Z64476" s="258"/>
    </row>
    <row r="64477" spans="1:26" ht="12.75" customHeight="1" x14ac:dyDescent="0.2">
      <c r="A64477" s="258"/>
      <c r="Z64477" s="258"/>
    </row>
    <row r="64478" spans="1:26" ht="12.75" customHeight="1" x14ac:dyDescent="0.2">
      <c r="A64478" s="258"/>
      <c r="Z64478" s="258"/>
    </row>
    <row r="64479" spans="1:26" ht="12.75" customHeight="1" x14ac:dyDescent="0.2">
      <c r="A64479" s="258"/>
      <c r="Z64479" s="258"/>
    </row>
    <row r="64480" spans="1:26" ht="12.75" customHeight="1" x14ac:dyDescent="0.2">
      <c r="A64480" s="258"/>
      <c r="Z64480" s="258"/>
    </row>
    <row r="64481" spans="1:26" ht="12.75" customHeight="1" x14ac:dyDescent="0.2">
      <c r="A64481" s="258"/>
      <c r="Z64481" s="258"/>
    </row>
    <row r="64482" spans="1:26" ht="12.75" customHeight="1" x14ac:dyDescent="0.2">
      <c r="A64482" s="258"/>
      <c r="Z64482" s="258"/>
    </row>
    <row r="64483" spans="1:26" ht="12.75" customHeight="1" x14ac:dyDescent="0.2">
      <c r="A64483" s="258"/>
      <c r="Z64483" s="258"/>
    </row>
    <row r="64484" spans="1:26" ht="12.75" customHeight="1" x14ac:dyDescent="0.2">
      <c r="A64484" s="258"/>
      <c r="Z64484" s="258"/>
    </row>
    <row r="64485" spans="1:26" ht="12.75" customHeight="1" x14ac:dyDescent="0.2">
      <c r="A64485" s="258"/>
      <c r="Z64485" s="258"/>
    </row>
    <row r="64486" spans="1:26" ht="12.75" customHeight="1" x14ac:dyDescent="0.2">
      <c r="A64486" s="258"/>
      <c r="Z64486" s="258"/>
    </row>
    <row r="64487" spans="1:26" ht="12.75" customHeight="1" x14ac:dyDescent="0.2">
      <c r="A64487" s="258"/>
      <c r="Z64487" s="258"/>
    </row>
    <row r="64488" spans="1:26" ht="12.75" customHeight="1" x14ac:dyDescent="0.2">
      <c r="A64488" s="258"/>
      <c r="Z64488" s="258"/>
    </row>
    <row r="64489" spans="1:26" ht="12.75" customHeight="1" x14ac:dyDescent="0.2">
      <c r="A64489" s="258"/>
      <c r="Z64489" s="258"/>
    </row>
    <row r="64490" spans="1:26" ht="12.75" customHeight="1" x14ac:dyDescent="0.2">
      <c r="A64490" s="258"/>
      <c r="Z64490" s="258"/>
    </row>
    <row r="64491" spans="1:26" ht="12.75" customHeight="1" x14ac:dyDescent="0.2">
      <c r="A64491" s="258"/>
      <c r="Z64491" s="258"/>
    </row>
    <row r="64492" spans="1:26" ht="12.75" customHeight="1" x14ac:dyDescent="0.2">
      <c r="A64492" s="258"/>
      <c r="Z64492" s="258"/>
    </row>
    <row r="64493" spans="1:26" ht="12.75" customHeight="1" x14ac:dyDescent="0.2">
      <c r="A64493" s="258"/>
      <c r="Z64493" s="258"/>
    </row>
    <row r="64494" spans="1:26" ht="12.75" customHeight="1" x14ac:dyDescent="0.2">
      <c r="A64494" s="258"/>
      <c r="Z64494" s="258"/>
    </row>
    <row r="64495" spans="1:26" ht="12.75" customHeight="1" x14ac:dyDescent="0.2">
      <c r="A64495" s="258"/>
      <c r="Z64495" s="258"/>
    </row>
    <row r="64496" spans="1:26" ht="12.75" customHeight="1" x14ac:dyDescent="0.2">
      <c r="A64496" s="258"/>
      <c r="Z64496" s="258"/>
    </row>
    <row r="64497" spans="1:26" ht="12.75" customHeight="1" x14ac:dyDescent="0.2">
      <c r="A64497" s="258"/>
      <c r="Z64497" s="258"/>
    </row>
    <row r="64498" spans="1:26" ht="12.75" customHeight="1" x14ac:dyDescent="0.2">
      <c r="A64498" s="258"/>
      <c r="Z64498" s="258"/>
    </row>
    <row r="64499" spans="1:26" ht="12.75" customHeight="1" x14ac:dyDescent="0.2">
      <c r="A64499" s="258"/>
      <c r="Z64499" s="258"/>
    </row>
    <row r="64500" spans="1:26" ht="12.75" customHeight="1" x14ac:dyDescent="0.2">
      <c r="A64500" s="258"/>
      <c r="Z64500" s="258"/>
    </row>
    <row r="64501" spans="1:26" ht="12.75" customHeight="1" x14ac:dyDescent="0.2">
      <c r="A64501" s="258"/>
      <c r="Z64501" s="258"/>
    </row>
    <row r="64502" spans="1:26" ht="12.75" customHeight="1" x14ac:dyDescent="0.2">
      <c r="A64502" s="258"/>
      <c r="Z64502" s="258"/>
    </row>
    <row r="64503" spans="1:26" ht="12.75" customHeight="1" x14ac:dyDescent="0.2">
      <c r="A64503" s="258"/>
      <c r="Z64503" s="258"/>
    </row>
    <row r="64504" spans="1:26" ht="12.75" customHeight="1" x14ac:dyDescent="0.2">
      <c r="A64504" s="258"/>
      <c r="Z64504" s="258"/>
    </row>
    <row r="64505" spans="1:26" ht="12.75" customHeight="1" x14ac:dyDescent="0.2">
      <c r="A64505" s="258"/>
      <c r="Z64505" s="258"/>
    </row>
    <row r="64506" spans="1:26" ht="12.75" customHeight="1" x14ac:dyDescent="0.2">
      <c r="A64506" s="258"/>
      <c r="Z64506" s="258"/>
    </row>
    <row r="64507" spans="1:26" ht="12.75" customHeight="1" x14ac:dyDescent="0.2">
      <c r="A64507" s="258"/>
      <c r="Z64507" s="258"/>
    </row>
    <row r="64508" spans="1:26" ht="12.75" customHeight="1" x14ac:dyDescent="0.2">
      <c r="A64508" s="258"/>
      <c r="Z64508" s="258"/>
    </row>
    <row r="64509" spans="1:26" ht="12.75" customHeight="1" x14ac:dyDescent="0.2">
      <c r="A64509" s="258"/>
      <c r="Z64509" s="258"/>
    </row>
    <row r="64510" spans="1:26" ht="12.75" customHeight="1" x14ac:dyDescent="0.2">
      <c r="A64510" s="258"/>
      <c r="Z64510" s="258"/>
    </row>
    <row r="64511" spans="1:26" ht="12.75" customHeight="1" x14ac:dyDescent="0.2">
      <c r="A64511" s="258"/>
      <c r="Z64511" s="258"/>
    </row>
    <row r="64512" spans="1:26" ht="12.75" customHeight="1" x14ac:dyDescent="0.2">
      <c r="A64512" s="258"/>
      <c r="Z64512" s="258"/>
    </row>
    <row r="64513" spans="1:26" ht="12.75" customHeight="1" x14ac:dyDescent="0.2">
      <c r="A64513" s="258"/>
      <c r="Z64513" s="258"/>
    </row>
    <row r="64514" spans="1:26" ht="12.75" customHeight="1" x14ac:dyDescent="0.2">
      <c r="A64514" s="258"/>
      <c r="Z64514" s="258"/>
    </row>
    <row r="64515" spans="1:26" ht="12.75" customHeight="1" x14ac:dyDescent="0.2">
      <c r="A64515" s="258"/>
      <c r="Z64515" s="258"/>
    </row>
    <row r="64516" spans="1:26" ht="12.75" customHeight="1" x14ac:dyDescent="0.2">
      <c r="A64516" s="258"/>
      <c r="Z64516" s="258"/>
    </row>
    <row r="64517" spans="1:26" ht="12.75" customHeight="1" x14ac:dyDescent="0.2">
      <c r="A64517" s="258"/>
      <c r="Z64517" s="258"/>
    </row>
    <row r="64518" spans="1:26" ht="12.75" customHeight="1" x14ac:dyDescent="0.2">
      <c r="A64518" s="258"/>
      <c r="Z64518" s="258"/>
    </row>
    <row r="64519" spans="1:26" ht="12.75" customHeight="1" x14ac:dyDescent="0.2">
      <c r="A64519" s="258"/>
      <c r="Z64519" s="258"/>
    </row>
    <row r="64520" spans="1:26" ht="12.75" customHeight="1" x14ac:dyDescent="0.2">
      <c r="A64520" s="258"/>
      <c r="Z64520" s="258"/>
    </row>
    <row r="64521" spans="1:26" ht="12.75" customHeight="1" x14ac:dyDescent="0.2">
      <c r="A64521" s="258"/>
      <c r="Z64521" s="258"/>
    </row>
    <row r="64522" spans="1:26" ht="12.75" customHeight="1" x14ac:dyDescent="0.2">
      <c r="A64522" s="258"/>
      <c r="Z64522" s="258"/>
    </row>
    <row r="64523" spans="1:26" ht="12.75" customHeight="1" x14ac:dyDescent="0.2">
      <c r="A64523" s="258"/>
      <c r="Z64523" s="258"/>
    </row>
    <row r="64524" spans="1:26" ht="12.75" customHeight="1" x14ac:dyDescent="0.2">
      <c r="A64524" s="258"/>
      <c r="Z64524" s="258"/>
    </row>
    <row r="64525" spans="1:26" ht="12.75" customHeight="1" x14ac:dyDescent="0.2">
      <c r="A64525" s="258"/>
      <c r="Z64525" s="258"/>
    </row>
    <row r="64526" spans="1:26" ht="12.75" customHeight="1" x14ac:dyDescent="0.2">
      <c r="A64526" s="258"/>
      <c r="Z64526" s="258"/>
    </row>
    <row r="64527" spans="1:26" ht="12.75" customHeight="1" x14ac:dyDescent="0.2">
      <c r="A64527" s="258"/>
      <c r="Z64527" s="258"/>
    </row>
    <row r="64528" spans="1:26" ht="12.75" customHeight="1" x14ac:dyDescent="0.2">
      <c r="A64528" s="258"/>
      <c r="Z64528" s="258"/>
    </row>
    <row r="64529" spans="1:26" ht="12.75" customHeight="1" x14ac:dyDescent="0.2">
      <c r="A64529" s="258"/>
      <c r="Z64529" s="258"/>
    </row>
    <row r="64530" spans="1:26" ht="12.75" customHeight="1" x14ac:dyDescent="0.2">
      <c r="A64530" s="258"/>
      <c r="Z64530" s="258"/>
    </row>
    <row r="64531" spans="1:26" ht="12.75" customHeight="1" x14ac:dyDescent="0.2">
      <c r="A64531" s="258"/>
      <c r="Z64531" s="258"/>
    </row>
    <row r="64532" spans="1:26" ht="12.75" customHeight="1" x14ac:dyDescent="0.2">
      <c r="A64532" s="258"/>
      <c r="Z64532" s="258"/>
    </row>
    <row r="64533" spans="1:26" ht="12.75" customHeight="1" x14ac:dyDescent="0.2">
      <c r="A64533" s="258"/>
      <c r="Z64533" s="258"/>
    </row>
    <row r="64534" spans="1:26" ht="12.75" customHeight="1" x14ac:dyDescent="0.2">
      <c r="A64534" s="258"/>
      <c r="Z64534" s="258"/>
    </row>
    <row r="64535" spans="1:26" ht="12.75" customHeight="1" x14ac:dyDescent="0.2">
      <c r="A64535" s="258"/>
      <c r="Z64535" s="258"/>
    </row>
    <row r="64536" spans="1:26" ht="12.75" customHeight="1" x14ac:dyDescent="0.2">
      <c r="A64536" s="258"/>
      <c r="Z64536" s="258"/>
    </row>
    <row r="64537" spans="1:26" ht="12.75" customHeight="1" x14ac:dyDescent="0.2">
      <c r="A64537" s="258"/>
      <c r="Z64537" s="258"/>
    </row>
    <row r="64538" spans="1:26" ht="12.75" customHeight="1" x14ac:dyDescent="0.2">
      <c r="A64538" s="258"/>
      <c r="Z64538" s="258"/>
    </row>
    <row r="64539" spans="1:26" ht="12.75" customHeight="1" x14ac:dyDescent="0.2">
      <c r="A64539" s="258"/>
      <c r="Z64539" s="258"/>
    </row>
    <row r="64540" spans="1:26" ht="12.75" customHeight="1" x14ac:dyDescent="0.2">
      <c r="A64540" s="258"/>
      <c r="Z64540" s="258"/>
    </row>
    <row r="64541" spans="1:26" ht="12.75" customHeight="1" x14ac:dyDescent="0.2">
      <c r="A64541" s="258"/>
      <c r="Z64541" s="258"/>
    </row>
    <row r="64542" spans="1:26" ht="12.75" customHeight="1" x14ac:dyDescent="0.2">
      <c r="A64542" s="258"/>
      <c r="Z64542" s="258"/>
    </row>
    <row r="64543" spans="1:26" ht="12.75" customHeight="1" x14ac:dyDescent="0.2">
      <c r="A64543" s="258"/>
      <c r="Z64543" s="258"/>
    </row>
    <row r="64544" spans="1:26" ht="12.75" customHeight="1" x14ac:dyDescent="0.2">
      <c r="A64544" s="258"/>
      <c r="Z64544" s="258"/>
    </row>
    <row r="64545" spans="1:26" ht="12.75" customHeight="1" x14ac:dyDescent="0.2">
      <c r="A64545" s="258"/>
      <c r="Z64545" s="258"/>
    </row>
    <row r="64546" spans="1:26" ht="12.75" customHeight="1" x14ac:dyDescent="0.2">
      <c r="A64546" s="258"/>
      <c r="Z64546" s="258"/>
    </row>
    <row r="64547" spans="1:26" ht="12.75" customHeight="1" x14ac:dyDescent="0.2">
      <c r="A64547" s="258"/>
      <c r="Z64547" s="258"/>
    </row>
    <row r="64548" spans="1:26" ht="12.75" customHeight="1" x14ac:dyDescent="0.2">
      <c r="A64548" s="258"/>
      <c r="Z64548" s="258"/>
    </row>
    <row r="64549" spans="1:26" ht="12.75" customHeight="1" x14ac:dyDescent="0.2">
      <c r="A64549" s="258"/>
      <c r="Z64549" s="258"/>
    </row>
    <row r="64550" spans="1:26" ht="12.75" customHeight="1" x14ac:dyDescent="0.2">
      <c r="A64550" s="258"/>
      <c r="Z64550" s="258"/>
    </row>
    <row r="64551" spans="1:26" ht="12.75" customHeight="1" x14ac:dyDescent="0.2">
      <c r="A64551" s="258"/>
      <c r="Z64551" s="258"/>
    </row>
    <row r="64552" spans="1:26" ht="12.75" customHeight="1" x14ac:dyDescent="0.2">
      <c r="A64552" s="258"/>
      <c r="Z64552" s="258"/>
    </row>
    <row r="64553" spans="1:26" ht="12.75" customHeight="1" x14ac:dyDescent="0.2">
      <c r="A64553" s="258"/>
      <c r="Z64553" s="258"/>
    </row>
    <row r="64554" spans="1:26" ht="12.75" customHeight="1" x14ac:dyDescent="0.2">
      <c r="A64554" s="258"/>
      <c r="Z64554" s="258"/>
    </row>
    <row r="64555" spans="1:26" ht="12.75" customHeight="1" x14ac:dyDescent="0.2">
      <c r="A64555" s="258"/>
      <c r="Z64555" s="258"/>
    </row>
    <row r="64556" spans="1:26" ht="12.75" customHeight="1" x14ac:dyDescent="0.2">
      <c r="A64556" s="258"/>
      <c r="Z64556" s="258"/>
    </row>
    <row r="64557" spans="1:26" ht="12.75" customHeight="1" x14ac:dyDescent="0.2">
      <c r="A64557" s="258"/>
      <c r="Z64557" s="258"/>
    </row>
    <row r="64558" spans="1:26" ht="12.75" customHeight="1" x14ac:dyDescent="0.2">
      <c r="A64558" s="258"/>
      <c r="Z64558" s="258"/>
    </row>
    <row r="64559" spans="1:26" ht="12.75" customHeight="1" x14ac:dyDescent="0.2">
      <c r="A64559" s="258"/>
      <c r="Z64559" s="258"/>
    </row>
    <row r="64560" spans="1:26" ht="12.75" customHeight="1" x14ac:dyDescent="0.2">
      <c r="A64560" s="258"/>
      <c r="Z64560" s="258"/>
    </row>
    <row r="64561" spans="1:26" ht="12.75" customHeight="1" x14ac:dyDescent="0.2">
      <c r="A64561" s="258"/>
      <c r="Z64561" s="258"/>
    </row>
    <row r="64562" spans="1:26" ht="12.75" customHeight="1" x14ac:dyDescent="0.2">
      <c r="A64562" s="258"/>
      <c r="Z64562" s="258"/>
    </row>
    <row r="64563" spans="1:26" ht="12.75" customHeight="1" x14ac:dyDescent="0.2">
      <c r="A64563" s="258"/>
      <c r="Z64563" s="258"/>
    </row>
    <row r="64564" spans="1:26" ht="12.75" customHeight="1" x14ac:dyDescent="0.2">
      <c r="A64564" s="258"/>
      <c r="Z64564" s="258"/>
    </row>
    <row r="64565" spans="1:26" ht="12.75" customHeight="1" x14ac:dyDescent="0.2">
      <c r="A64565" s="258"/>
      <c r="Z64565" s="258"/>
    </row>
    <row r="64566" spans="1:26" ht="12.75" customHeight="1" x14ac:dyDescent="0.2">
      <c r="A64566" s="258"/>
      <c r="Z64566" s="258"/>
    </row>
    <row r="64567" spans="1:26" ht="12.75" customHeight="1" x14ac:dyDescent="0.2">
      <c r="A64567" s="258"/>
      <c r="Z64567" s="258"/>
    </row>
    <row r="64568" spans="1:26" ht="12.75" customHeight="1" x14ac:dyDescent="0.2">
      <c r="A64568" s="258"/>
      <c r="Z64568" s="258"/>
    </row>
    <row r="64569" spans="1:26" ht="12.75" customHeight="1" x14ac:dyDescent="0.2">
      <c r="A64569" s="258"/>
      <c r="Z64569" s="258"/>
    </row>
    <row r="64570" spans="1:26" ht="12.75" customHeight="1" x14ac:dyDescent="0.2">
      <c r="A64570" s="258"/>
      <c r="Z64570" s="258"/>
    </row>
    <row r="64571" spans="1:26" ht="12.75" customHeight="1" x14ac:dyDescent="0.2">
      <c r="A64571" s="258"/>
      <c r="Z64571" s="258"/>
    </row>
    <row r="64572" spans="1:26" ht="12.75" customHeight="1" x14ac:dyDescent="0.2">
      <c r="A64572" s="258"/>
      <c r="Z64572" s="258"/>
    </row>
    <row r="64573" spans="1:26" ht="12.75" customHeight="1" x14ac:dyDescent="0.2">
      <c r="A64573" s="258"/>
      <c r="Z64573" s="258"/>
    </row>
    <row r="64574" spans="1:26" ht="12.75" customHeight="1" x14ac:dyDescent="0.2">
      <c r="A64574" s="258"/>
      <c r="Z64574" s="258"/>
    </row>
    <row r="64575" spans="1:26" ht="12.75" customHeight="1" x14ac:dyDescent="0.2">
      <c r="A64575" s="258"/>
      <c r="Z64575" s="258"/>
    </row>
    <row r="64576" spans="1:26" ht="12.75" customHeight="1" x14ac:dyDescent="0.2">
      <c r="A64576" s="258"/>
      <c r="Z64576" s="258"/>
    </row>
    <row r="64577" spans="1:26" ht="12.75" customHeight="1" x14ac:dyDescent="0.2">
      <c r="A64577" s="258"/>
      <c r="Z64577" s="258"/>
    </row>
    <row r="64578" spans="1:26" ht="12.75" customHeight="1" x14ac:dyDescent="0.2">
      <c r="A64578" s="258"/>
      <c r="Z64578" s="258"/>
    </row>
    <row r="64579" spans="1:26" ht="12.75" customHeight="1" x14ac:dyDescent="0.2">
      <c r="A64579" s="258"/>
      <c r="Z64579" s="258"/>
    </row>
    <row r="64580" spans="1:26" ht="12.75" customHeight="1" x14ac:dyDescent="0.2">
      <c r="A64580" s="258"/>
      <c r="Z64580" s="258"/>
    </row>
    <row r="64581" spans="1:26" ht="12.75" customHeight="1" x14ac:dyDescent="0.2">
      <c r="A64581" s="258"/>
      <c r="Z64581" s="258"/>
    </row>
    <row r="64582" spans="1:26" ht="12.75" customHeight="1" x14ac:dyDescent="0.2">
      <c r="A64582" s="258"/>
      <c r="Z64582" s="258"/>
    </row>
    <row r="64583" spans="1:26" ht="12.75" customHeight="1" x14ac:dyDescent="0.2">
      <c r="A64583" s="258"/>
      <c r="Z64583" s="258"/>
    </row>
    <row r="64584" spans="1:26" ht="12.75" customHeight="1" x14ac:dyDescent="0.2">
      <c r="A64584" s="258"/>
      <c r="Z64584" s="258"/>
    </row>
    <row r="64585" spans="1:26" ht="12.75" customHeight="1" x14ac:dyDescent="0.2">
      <c r="A64585" s="258"/>
      <c r="Z64585" s="258"/>
    </row>
    <row r="64586" spans="1:26" ht="12.75" customHeight="1" x14ac:dyDescent="0.2">
      <c r="A64586" s="258"/>
      <c r="Z64586" s="258"/>
    </row>
    <row r="64587" spans="1:26" ht="12.75" customHeight="1" x14ac:dyDescent="0.2">
      <c r="A64587" s="258"/>
      <c r="Z64587" s="258"/>
    </row>
    <row r="64588" spans="1:26" ht="12.75" customHeight="1" x14ac:dyDescent="0.2">
      <c r="A64588" s="258"/>
      <c r="Z64588" s="258"/>
    </row>
    <row r="64589" spans="1:26" ht="12.75" customHeight="1" x14ac:dyDescent="0.2">
      <c r="A64589" s="258"/>
      <c r="Z64589" s="258"/>
    </row>
    <row r="64590" spans="1:26" ht="12.75" customHeight="1" x14ac:dyDescent="0.2">
      <c r="A64590" s="258"/>
      <c r="Z64590" s="258"/>
    </row>
    <row r="64591" spans="1:26" ht="12.75" customHeight="1" x14ac:dyDescent="0.2">
      <c r="A64591" s="258"/>
      <c r="Z64591" s="258"/>
    </row>
    <row r="64592" spans="1:26" ht="12.75" customHeight="1" x14ac:dyDescent="0.2">
      <c r="A64592" s="258"/>
      <c r="Z64592" s="258"/>
    </row>
    <row r="64593" spans="1:26" ht="12.75" customHeight="1" x14ac:dyDescent="0.2">
      <c r="A64593" s="258"/>
      <c r="Z64593" s="258"/>
    </row>
    <row r="64594" spans="1:26" ht="12.75" customHeight="1" x14ac:dyDescent="0.2">
      <c r="A64594" s="258"/>
      <c r="Z64594" s="258"/>
    </row>
    <row r="64595" spans="1:26" ht="12.75" customHeight="1" x14ac:dyDescent="0.2">
      <c r="A64595" s="258"/>
      <c r="Z64595" s="258"/>
    </row>
    <row r="64596" spans="1:26" ht="12.75" customHeight="1" x14ac:dyDescent="0.2">
      <c r="A64596" s="258"/>
      <c r="Z64596" s="258"/>
    </row>
    <row r="64597" spans="1:26" ht="12.75" customHeight="1" x14ac:dyDescent="0.2">
      <c r="A64597" s="258"/>
      <c r="Z64597" s="258"/>
    </row>
    <row r="64598" spans="1:26" ht="12.75" customHeight="1" x14ac:dyDescent="0.2">
      <c r="A64598" s="258"/>
      <c r="Z64598" s="258"/>
    </row>
    <row r="64599" spans="1:26" ht="12.75" customHeight="1" x14ac:dyDescent="0.2">
      <c r="A64599" s="258"/>
      <c r="Z64599" s="258"/>
    </row>
    <row r="64600" spans="1:26" ht="12.75" customHeight="1" x14ac:dyDescent="0.2">
      <c r="A64600" s="258"/>
      <c r="Z64600" s="258"/>
    </row>
    <row r="64601" spans="1:26" ht="12.75" customHeight="1" x14ac:dyDescent="0.2">
      <c r="A64601" s="258"/>
      <c r="Z64601" s="258"/>
    </row>
    <row r="64602" spans="1:26" ht="12.75" customHeight="1" x14ac:dyDescent="0.2">
      <c r="A64602" s="258"/>
      <c r="Z64602" s="258"/>
    </row>
    <row r="64603" spans="1:26" ht="12.75" customHeight="1" x14ac:dyDescent="0.2">
      <c r="A64603" s="258"/>
      <c r="Z64603" s="258"/>
    </row>
    <row r="64604" spans="1:26" ht="12.75" customHeight="1" x14ac:dyDescent="0.2">
      <c r="A64604" s="258"/>
      <c r="Z64604" s="258"/>
    </row>
    <row r="64605" spans="1:26" ht="12.75" customHeight="1" x14ac:dyDescent="0.2">
      <c r="A64605" s="258"/>
      <c r="Z64605" s="258"/>
    </row>
    <row r="64606" spans="1:26" ht="12.75" customHeight="1" x14ac:dyDescent="0.2">
      <c r="A64606" s="258"/>
      <c r="Z64606" s="258"/>
    </row>
    <row r="64607" spans="1:26" ht="12.75" customHeight="1" x14ac:dyDescent="0.2">
      <c r="A64607" s="258"/>
      <c r="Z64607" s="258"/>
    </row>
    <row r="64608" spans="1:26" ht="12.75" customHeight="1" x14ac:dyDescent="0.2">
      <c r="A64608" s="258"/>
      <c r="Z64608" s="258"/>
    </row>
    <row r="64609" spans="1:26" ht="12.75" customHeight="1" x14ac:dyDescent="0.2">
      <c r="A64609" s="258"/>
      <c r="Z64609" s="258"/>
    </row>
    <row r="64610" spans="1:26" ht="12.75" customHeight="1" x14ac:dyDescent="0.2">
      <c r="A64610" s="258"/>
      <c r="Z64610" s="258"/>
    </row>
    <row r="64611" spans="1:26" ht="12.75" customHeight="1" x14ac:dyDescent="0.2">
      <c r="A64611" s="258"/>
      <c r="Z64611" s="258"/>
    </row>
    <row r="64612" spans="1:26" ht="12.75" customHeight="1" x14ac:dyDescent="0.2">
      <c r="A64612" s="258"/>
      <c r="Z64612" s="258"/>
    </row>
    <row r="64613" spans="1:26" ht="12.75" customHeight="1" x14ac:dyDescent="0.2">
      <c r="A64613" s="258"/>
      <c r="Z64613" s="258"/>
    </row>
    <row r="64614" spans="1:26" ht="12.75" customHeight="1" x14ac:dyDescent="0.2">
      <c r="A64614" s="258"/>
      <c r="Z64614" s="258"/>
    </row>
    <row r="64615" spans="1:26" ht="12.75" customHeight="1" x14ac:dyDescent="0.2">
      <c r="A64615" s="258"/>
      <c r="Z64615" s="258"/>
    </row>
    <row r="64616" spans="1:26" ht="12.75" customHeight="1" x14ac:dyDescent="0.2">
      <c r="A64616" s="258"/>
      <c r="Z64616" s="258"/>
    </row>
    <row r="64617" spans="1:26" ht="12.75" customHeight="1" x14ac:dyDescent="0.2">
      <c r="A64617" s="258"/>
      <c r="Z64617" s="258"/>
    </row>
    <row r="64618" spans="1:26" ht="12.75" customHeight="1" x14ac:dyDescent="0.2">
      <c r="A64618" s="258"/>
      <c r="Z64618" s="258"/>
    </row>
    <row r="64619" spans="1:26" ht="12.75" customHeight="1" x14ac:dyDescent="0.2">
      <c r="A64619" s="258"/>
      <c r="Z64619" s="258"/>
    </row>
    <row r="64620" spans="1:26" ht="12.75" customHeight="1" x14ac:dyDescent="0.2">
      <c r="A64620" s="258"/>
      <c r="Z64620" s="258"/>
    </row>
    <row r="64621" spans="1:26" ht="12.75" customHeight="1" x14ac:dyDescent="0.2">
      <c r="A64621" s="258"/>
      <c r="Z64621" s="258"/>
    </row>
    <row r="64622" spans="1:26" ht="12.75" customHeight="1" x14ac:dyDescent="0.2">
      <c r="A64622" s="258"/>
      <c r="Z64622" s="258"/>
    </row>
    <row r="64623" spans="1:26" ht="12.75" customHeight="1" x14ac:dyDescent="0.2">
      <c r="A64623" s="258"/>
      <c r="Z64623" s="258"/>
    </row>
    <row r="64624" spans="1:26" ht="12.75" customHeight="1" x14ac:dyDescent="0.2">
      <c r="A64624" s="258"/>
      <c r="Z64624" s="258"/>
    </row>
    <row r="64625" spans="1:26" ht="12.75" customHeight="1" x14ac:dyDescent="0.2">
      <c r="A64625" s="258"/>
      <c r="Z64625" s="258"/>
    </row>
    <row r="64626" spans="1:26" ht="12.75" customHeight="1" x14ac:dyDescent="0.2">
      <c r="A64626" s="258"/>
      <c r="Z64626" s="258"/>
    </row>
    <row r="64627" spans="1:26" ht="12.75" customHeight="1" x14ac:dyDescent="0.2">
      <c r="A64627" s="258"/>
      <c r="Z64627" s="258"/>
    </row>
    <row r="64628" spans="1:26" ht="12.75" customHeight="1" x14ac:dyDescent="0.2">
      <c r="A64628" s="258"/>
      <c r="Z64628" s="258"/>
    </row>
    <row r="64629" spans="1:26" ht="12.75" customHeight="1" x14ac:dyDescent="0.2">
      <c r="A64629" s="258"/>
      <c r="Z64629" s="258"/>
    </row>
    <row r="64630" spans="1:26" ht="12.75" customHeight="1" x14ac:dyDescent="0.2">
      <c r="A64630" s="258"/>
      <c r="Z64630" s="258"/>
    </row>
    <row r="64631" spans="1:26" ht="12.75" customHeight="1" x14ac:dyDescent="0.2">
      <c r="A64631" s="258"/>
      <c r="Z64631" s="258"/>
    </row>
    <row r="64632" spans="1:26" ht="12.75" customHeight="1" x14ac:dyDescent="0.2">
      <c r="A64632" s="258"/>
      <c r="Z64632" s="258"/>
    </row>
    <row r="64633" spans="1:26" ht="12.75" customHeight="1" x14ac:dyDescent="0.2">
      <c r="A64633" s="258"/>
      <c r="Z64633" s="258"/>
    </row>
    <row r="64634" spans="1:26" ht="12.75" customHeight="1" x14ac:dyDescent="0.2">
      <c r="A64634" s="258"/>
      <c r="Z64634" s="258"/>
    </row>
    <row r="64635" spans="1:26" ht="12.75" customHeight="1" x14ac:dyDescent="0.2">
      <c r="A64635" s="258"/>
      <c r="Z64635" s="258"/>
    </row>
    <row r="64636" spans="1:26" ht="12.75" customHeight="1" x14ac:dyDescent="0.2">
      <c r="A64636" s="258"/>
      <c r="Z64636" s="258"/>
    </row>
    <row r="64637" spans="1:26" ht="12.75" customHeight="1" x14ac:dyDescent="0.2">
      <c r="A64637" s="258"/>
      <c r="Z64637" s="258"/>
    </row>
    <row r="64638" spans="1:26" ht="12.75" customHeight="1" x14ac:dyDescent="0.2">
      <c r="A64638" s="258"/>
      <c r="Z64638" s="258"/>
    </row>
    <row r="64639" spans="1:26" ht="12.75" customHeight="1" x14ac:dyDescent="0.2">
      <c r="A64639" s="258"/>
      <c r="Z64639" s="258"/>
    </row>
    <row r="64640" spans="1:26" ht="12.75" customHeight="1" x14ac:dyDescent="0.2">
      <c r="A64640" s="258"/>
      <c r="Z64640" s="258"/>
    </row>
    <row r="64641" spans="1:26" ht="12.75" customHeight="1" x14ac:dyDescent="0.2">
      <c r="A64641" s="258"/>
      <c r="Z64641" s="258"/>
    </row>
    <row r="64642" spans="1:26" ht="12.75" customHeight="1" x14ac:dyDescent="0.2">
      <c r="A64642" s="258"/>
      <c r="Z64642" s="258"/>
    </row>
    <row r="64643" spans="1:26" ht="12.75" customHeight="1" x14ac:dyDescent="0.2">
      <c r="A64643" s="258"/>
      <c r="Z64643" s="258"/>
    </row>
    <row r="64644" spans="1:26" ht="12.75" customHeight="1" x14ac:dyDescent="0.2">
      <c r="A64644" s="258"/>
      <c r="Z64644" s="258"/>
    </row>
    <row r="64645" spans="1:26" ht="12.75" customHeight="1" x14ac:dyDescent="0.2">
      <c r="A64645" s="258"/>
      <c r="Z64645" s="258"/>
    </row>
    <row r="64646" spans="1:26" ht="12.75" customHeight="1" x14ac:dyDescent="0.2">
      <c r="A64646" s="258"/>
      <c r="Z64646" s="258"/>
    </row>
    <row r="64647" spans="1:26" ht="12.75" customHeight="1" x14ac:dyDescent="0.2">
      <c r="A64647" s="258"/>
      <c r="Z64647" s="258"/>
    </row>
    <row r="64648" spans="1:26" ht="12.75" customHeight="1" x14ac:dyDescent="0.2">
      <c r="A64648" s="258"/>
      <c r="Z64648" s="258"/>
    </row>
    <row r="64649" spans="1:26" ht="12.75" customHeight="1" x14ac:dyDescent="0.2">
      <c r="A64649" s="258"/>
      <c r="Z64649" s="258"/>
    </row>
    <row r="64650" spans="1:26" ht="12.75" customHeight="1" x14ac:dyDescent="0.2">
      <c r="A64650" s="258"/>
      <c r="Z64650" s="258"/>
    </row>
    <row r="64651" spans="1:26" ht="12.75" customHeight="1" x14ac:dyDescent="0.2">
      <c r="A64651" s="258"/>
      <c r="Z64651" s="258"/>
    </row>
    <row r="64652" spans="1:26" ht="12.75" customHeight="1" x14ac:dyDescent="0.2">
      <c r="A64652" s="258"/>
      <c r="Z64652" s="258"/>
    </row>
    <row r="64653" spans="1:26" ht="12.75" customHeight="1" x14ac:dyDescent="0.2">
      <c r="A64653" s="258"/>
      <c r="Z64653" s="258"/>
    </row>
    <row r="64654" spans="1:26" ht="12.75" customHeight="1" x14ac:dyDescent="0.2">
      <c r="A64654" s="258"/>
      <c r="Z64654" s="258"/>
    </row>
    <row r="64655" spans="1:26" ht="12.75" customHeight="1" x14ac:dyDescent="0.2">
      <c r="A64655" s="258"/>
      <c r="Z64655" s="258"/>
    </row>
    <row r="64656" spans="1:26" ht="12.75" customHeight="1" x14ac:dyDescent="0.2">
      <c r="A64656" s="258"/>
      <c r="Z64656" s="258"/>
    </row>
    <row r="64657" spans="1:26" ht="12.75" customHeight="1" x14ac:dyDescent="0.2">
      <c r="A64657" s="258"/>
      <c r="Z64657" s="258"/>
    </row>
    <row r="64658" spans="1:26" ht="12.75" customHeight="1" x14ac:dyDescent="0.2">
      <c r="A64658" s="258"/>
      <c r="Z64658" s="258"/>
    </row>
    <row r="64659" spans="1:26" ht="12.75" customHeight="1" x14ac:dyDescent="0.2">
      <c r="A64659" s="258"/>
      <c r="Z64659" s="258"/>
    </row>
    <row r="64660" spans="1:26" ht="12.75" customHeight="1" x14ac:dyDescent="0.2">
      <c r="A64660" s="258"/>
      <c r="Z64660" s="258"/>
    </row>
    <row r="64661" spans="1:26" ht="12.75" customHeight="1" x14ac:dyDescent="0.2">
      <c r="A64661" s="258"/>
      <c r="Z64661" s="258"/>
    </row>
    <row r="64662" spans="1:26" ht="12.75" customHeight="1" x14ac:dyDescent="0.2">
      <c r="A64662" s="258"/>
      <c r="Z64662" s="258"/>
    </row>
    <row r="64663" spans="1:26" ht="12.75" customHeight="1" x14ac:dyDescent="0.2">
      <c r="A64663" s="258"/>
      <c r="Z64663" s="258"/>
    </row>
    <row r="64664" spans="1:26" ht="12.75" customHeight="1" x14ac:dyDescent="0.2">
      <c r="A64664" s="258"/>
      <c r="Z64664" s="258"/>
    </row>
    <row r="64665" spans="1:26" ht="12.75" customHeight="1" x14ac:dyDescent="0.2">
      <c r="A64665" s="258"/>
      <c r="Z64665" s="258"/>
    </row>
    <row r="64666" spans="1:26" ht="12.75" customHeight="1" x14ac:dyDescent="0.2">
      <c r="A64666" s="258"/>
      <c r="Z64666" s="258"/>
    </row>
    <row r="64667" spans="1:26" ht="12.75" customHeight="1" x14ac:dyDescent="0.2">
      <c r="A64667" s="258"/>
      <c r="Z64667" s="258"/>
    </row>
    <row r="64668" spans="1:26" ht="12.75" customHeight="1" x14ac:dyDescent="0.2">
      <c r="A64668" s="258"/>
      <c r="Z64668" s="258"/>
    </row>
    <row r="64669" spans="1:26" ht="12.75" customHeight="1" x14ac:dyDescent="0.2">
      <c r="A64669" s="258"/>
      <c r="Z64669" s="258"/>
    </row>
    <row r="64670" spans="1:26" ht="12.75" customHeight="1" x14ac:dyDescent="0.2">
      <c r="A64670" s="258"/>
      <c r="Z64670" s="258"/>
    </row>
    <row r="64671" spans="1:26" ht="12.75" customHeight="1" x14ac:dyDescent="0.2">
      <c r="A64671" s="258"/>
      <c r="Z64671" s="258"/>
    </row>
    <row r="64672" spans="1:26" ht="12.75" customHeight="1" x14ac:dyDescent="0.2">
      <c r="A64672" s="258"/>
      <c r="Z64672" s="258"/>
    </row>
    <row r="64673" spans="1:26" ht="12.75" customHeight="1" x14ac:dyDescent="0.2">
      <c r="A64673" s="258"/>
      <c r="Z64673" s="258"/>
    </row>
    <row r="64674" spans="1:26" ht="12.75" customHeight="1" x14ac:dyDescent="0.2">
      <c r="A64674" s="258"/>
      <c r="Z64674" s="258"/>
    </row>
    <row r="64675" spans="1:26" ht="12.75" customHeight="1" x14ac:dyDescent="0.2">
      <c r="A64675" s="258"/>
      <c r="Z64675" s="258"/>
    </row>
    <row r="64676" spans="1:26" ht="12.75" customHeight="1" x14ac:dyDescent="0.2">
      <c r="A64676" s="258"/>
      <c r="Z64676" s="258"/>
    </row>
    <row r="64677" spans="1:26" ht="12.75" customHeight="1" x14ac:dyDescent="0.2">
      <c r="A64677" s="258"/>
      <c r="Z64677" s="258"/>
    </row>
    <row r="64678" spans="1:26" ht="12.75" customHeight="1" x14ac:dyDescent="0.2">
      <c r="A64678" s="258"/>
      <c r="Z64678" s="258"/>
    </row>
    <row r="64679" spans="1:26" ht="12.75" customHeight="1" x14ac:dyDescent="0.2">
      <c r="A64679" s="258"/>
      <c r="Z64679" s="258"/>
    </row>
    <row r="64680" spans="1:26" ht="12.75" customHeight="1" x14ac:dyDescent="0.2">
      <c r="A64680" s="258"/>
      <c r="Z64680" s="258"/>
    </row>
    <row r="64681" spans="1:26" ht="12.75" customHeight="1" x14ac:dyDescent="0.2">
      <c r="A64681" s="258"/>
      <c r="Z64681" s="258"/>
    </row>
    <row r="64682" spans="1:26" ht="12.75" customHeight="1" x14ac:dyDescent="0.2">
      <c r="A64682" s="258"/>
      <c r="Z64682" s="258"/>
    </row>
    <row r="64683" spans="1:26" ht="12.75" customHeight="1" x14ac:dyDescent="0.2">
      <c r="A64683" s="258"/>
      <c r="Z64683" s="258"/>
    </row>
    <row r="64684" spans="1:26" ht="12.75" customHeight="1" x14ac:dyDescent="0.2">
      <c r="A64684" s="258"/>
      <c r="Z64684" s="258"/>
    </row>
    <row r="64685" spans="1:26" ht="12.75" customHeight="1" x14ac:dyDescent="0.2">
      <c r="A64685" s="258"/>
      <c r="Z64685" s="258"/>
    </row>
    <row r="64686" spans="1:26" ht="12.75" customHeight="1" x14ac:dyDescent="0.2">
      <c r="A64686" s="258"/>
      <c r="Z64686" s="258"/>
    </row>
    <row r="64687" spans="1:26" ht="12.75" customHeight="1" x14ac:dyDescent="0.2">
      <c r="A64687" s="258"/>
      <c r="Z64687" s="258"/>
    </row>
    <row r="64688" spans="1:26" ht="12.75" customHeight="1" x14ac:dyDescent="0.2">
      <c r="A64688" s="258"/>
      <c r="Z64688" s="258"/>
    </row>
    <row r="64689" spans="1:26" ht="12.75" customHeight="1" x14ac:dyDescent="0.2">
      <c r="A64689" s="258"/>
      <c r="Z64689" s="258"/>
    </row>
    <row r="64690" spans="1:26" ht="12.75" customHeight="1" x14ac:dyDescent="0.2">
      <c r="A64690" s="258"/>
      <c r="Z64690" s="258"/>
    </row>
    <row r="64691" spans="1:26" ht="12.75" customHeight="1" x14ac:dyDescent="0.2">
      <c r="A64691" s="258"/>
      <c r="Z64691" s="258"/>
    </row>
    <row r="64692" spans="1:26" ht="12.75" customHeight="1" x14ac:dyDescent="0.2">
      <c r="A64692" s="258"/>
      <c r="Z64692" s="258"/>
    </row>
    <row r="64693" spans="1:26" ht="12.75" customHeight="1" x14ac:dyDescent="0.2">
      <c r="A64693" s="258"/>
      <c r="Z64693" s="258"/>
    </row>
    <row r="64694" spans="1:26" ht="12.75" customHeight="1" x14ac:dyDescent="0.2">
      <c r="A64694" s="258"/>
      <c r="Z64694" s="258"/>
    </row>
    <row r="64695" spans="1:26" ht="12.75" customHeight="1" x14ac:dyDescent="0.2">
      <c r="A64695" s="258"/>
      <c r="Z64695" s="258"/>
    </row>
    <row r="64696" spans="1:26" ht="12.75" customHeight="1" x14ac:dyDescent="0.2">
      <c r="A64696" s="258"/>
      <c r="Z64696" s="258"/>
    </row>
    <row r="64697" spans="1:26" ht="12.75" customHeight="1" x14ac:dyDescent="0.2">
      <c r="A64697" s="258"/>
      <c r="Z64697" s="258"/>
    </row>
    <row r="64698" spans="1:26" ht="12.75" customHeight="1" x14ac:dyDescent="0.2">
      <c r="A64698" s="258"/>
      <c r="Z64698" s="258"/>
    </row>
    <row r="64699" spans="1:26" ht="12.75" customHeight="1" x14ac:dyDescent="0.2">
      <c r="A64699" s="258"/>
      <c r="Z64699" s="258"/>
    </row>
    <row r="64700" spans="1:26" ht="12.75" customHeight="1" x14ac:dyDescent="0.2">
      <c r="A64700" s="258"/>
      <c r="Z64700" s="258"/>
    </row>
    <row r="64701" spans="1:26" ht="12.75" customHeight="1" x14ac:dyDescent="0.2">
      <c r="A64701" s="258"/>
      <c r="Z64701" s="258"/>
    </row>
    <row r="64702" spans="1:26" ht="12.75" customHeight="1" x14ac:dyDescent="0.2">
      <c r="A64702" s="258"/>
      <c r="Z64702" s="258"/>
    </row>
    <row r="64703" spans="1:26" ht="12.75" customHeight="1" x14ac:dyDescent="0.2">
      <c r="A64703" s="258"/>
      <c r="Z64703" s="258"/>
    </row>
    <row r="64704" spans="1:26" ht="12.75" customHeight="1" x14ac:dyDescent="0.2">
      <c r="A64704" s="258"/>
      <c r="Z64704" s="258"/>
    </row>
    <row r="64705" spans="1:26" ht="12.75" customHeight="1" x14ac:dyDescent="0.2">
      <c r="A64705" s="258"/>
      <c r="Z64705" s="258"/>
    </row>
    <row r="64706" spans="1:26" ht="12.75" customHeight="1" x14ac:dyDescent="0.2">
      <c r="A64706" s="258"/>
      <c r="Z64706" s="258"/>
    </row>
    <row r="64707" spans="1:26" ht="12.75" customHeight="1" x14ac:dyDescent="0.2">
      <c r="A64707" s="258"/>
      <c r="Z64707" s="258"/>
    </row>
    <row r="64708" spans="1:26" ht="12.75" customHeight="1" x14ac:dyDescent="0.2">
      <c r="A64708" s="258"/>
      <c r="Z64708" s="258"/>
    </row>
    <row r="64709" spans="1:26" ht="12.75" customHeight="1" x14ac:dyDescent="0.2">
      <c r="A64709" s="258"/>
      <c r="Z64709" s="258"/>
    </row>
    <row r="64710" spans="1:26" ht="12.75" customHeight="1" x14ac:dyDescent="0.2">
      <c r="A64710" s="258"/>
      <c r="Z64710" s="258"/>
    </row>
    <row r="64711" spans="1:26" ht="12.75" customHeight="1" x14ac:dyDescent="0.2">
      <c r="A64711" s="258"/>
      <c r="Z64711" s="258"/>
    </row>
    <row r="64712" spans="1:26" ht="12.75" customHeight="1" x14ac:dyDescent="0.2">
      <c r="A64712" s="258"/>
      <c r="Z64712" s="258"/>
    </row>
    <row r="64713" spans="1:26" ht="12.75" customHeight="1" x14ac:dyDescent="0.2">
      <c r="A64713" s="258"/>
      <c r="Z64713" s="258"/>
    </row>
    <row r="64714" spans="1:26" ht="12.75" customHeight="1" x14ac:dyDescent="0.2">
      <c r="A64714" s="258"/>
      <c r="Z64714" s="258"/>
    </row>
    <row r="64715" spans="1:26" ht="12.75" customHeight="1" x14ac:dyDescent="0.2">
      <c r="A64715" s="258"/>
      <c r="Z64715" s="258"/>
    </row>
    <row r="64716" spans="1:26" ht="12.75" customHeight="1" x14ac:dyDescent="0.2">
      <c r="A64716" s="258"/>
      <c r="Z64716" s="258"/>
    </row>
    <row r="64717" spans="1:26" ht="12.75" customHeight="1" x14ac:dyDescent="0.2">
      <c r="A64717" s="258"/>
      <c r="Z64717" s="258"/>
    </row>
    <row r="64718" spans="1:26" ht="12.75" customHeight="1" x14ac:dyDescent="0.2">
      <c r="A64718" s="258"/>
      <c r="Z64718" s="258"/>
    </row>
    <row r="64719" spans="1:26" ht="12.75" customHeight="1" x14ac:dyDescent="0.2">
      <c r="A64719" s="258"/>
      <c r="Z64719" s="258"/>
    </row>
    <row r="64720" spans="1:26" ht="12.75" customHeight="1" x14ac:dyDescent="0.2">
      <c r="A64720" s="258"/>
      <c r="Z64720" s="258"/>
    </row>
    <row r="64721" spans="1:26" ht="12.75" customHeight="1" x14ac:dyDescent="0.2">
      <c r="A64721" s="258"/>
      <c r="Z64721" s="258"/>
    </row>
    <row r="64722" spans="1:26" ht="12.75" customHeight="1" x14ac:dyDescent="0.2">
      <c r="A64722" s="258"/>
      <c r="Z64722" s="258"/>
    </row>
    <row r="64723" spans="1:26" ht="12.75" customHeight="1" x14ac:dyDescent="0.2">
      <c r="A64723" s="258"/>
      <c r="Z64723" s="258"/>
    </row>
    <row r="64724" spans="1:26" ht="12.75" customHeight="1" x14ac:dyDescent="0.2">
      <c r="A64724" s="258"/>
      <c r="Z64724" s="258"/>
    </row>
    <row r="64725" spans="1:26" ht="12.75" customHeight="1" x14ac:dyDescent="0.2">
      <c r="A64725" s="258"/>
      <c r="Z64725" s="258"/>
    </row>
    <row r="64726" spans="1:26" ht="12.75" customHeight="1" x14ac:dyDescent="0.2">
      <c r="A64726" s="258"/>
      <c r="Z64726" s="258"/>
    </row>
    <row r="64727" spans="1:26" ht="12.75" customHeight="1" x14ac:dyDescent="0.2">
      <c r="A64727" s="258"/>
      <c r="Z64727" s="258"/>
    </row>
    <row r="64728" spans="1:26" ht="12.75" customHeight="1" x14ac:dyDescent="0.2">
      <c r="A64728" s="258"/>
      <c r="Z64728" s="258"/>
    </row>
    <row r="64729" spans="1:26" ht="12.75" customHeight="1" x14ac:dyDescent="0.2">
      <c r="A64729" s="258"/>
      <c r="Z64729" s="258"/>
    </row>
    <row r="64730" spans="1:26" ht="12.75" customHeight="1" x14ac:dyDescent="0.2">
      <c r="A64730" s="258"/>
      <c r="Z64730" s="258"/>
    </row>
    <row r="64731" spans="1:26" ht="12.75" customHeight="1" x14ac:dyDescent="0.2">
      <c r="A64731" s="258"/>
      <c r="Z64731" s="258"/>
    </row>
    <row r="64732" spans="1:26" ht="12.75" customHeight="1" x14ac:dyDescent="0.2">
      <c r="A64732" s="258"/>
      <c r="Z64732" s="258"/>
    </row>
    <row r="64733" spans="1:26" ht="12.75" customHeight="1" x14ac:dyDescent="0.2">
      <c r="A64733" s="258"/>
      <c r="Z64733" s="258"/>
    </row>
    <row r="64734" spans="1:26" ht="12.75" customHeight="1" x14ac:dyDescent="0.2">
      <c r="A64734" s="258"/>
      <c r="Z64734" s="258"/>
    </row>
    <row r="64735" spans="1:26" ht="12.75" customHeight="1" x14ac:dyDescent="0.2">
      <c r="A64735" s="258"/>
      <c r="Z64735" s="258"/>
    </row>
    <row r="64736" spans="1:26" ht="12.75" customHeight="1" x14ac:dyDescent="0.2">
      <c r="A64736" s="258"/>
      <c r="Z64736" s="258"/>
    </row>
    <row r="64737" spans="1:26" ht="12.75" customHeight="1" x14ac:dyDescent="0.2">
      <c r="A64737" s="258"/>
      <c r="Z64737" s="258"/>
    </row>
    <row r="64738" spans="1:26" ht="12.75" customHeight="1" x14ac:dyDescent="0.2">
      <c r="A64738" s="258"/>
      <c r="Z64738" s="258"/>
    </row>
    <row r="64739" spans="1:26" ht="12.75" customHeight="1" x14ac:dyDescent="0.2">
      <c r="A64739" s="258"/>
      <c r="Z64739" s="258"/>
    </row>
    <row r="64740" spans="1:26" ht="12.75" customHeight="1" x14ac:dyDescent="0.2">
      <c r="A64740" s="258"/>
      <c r="Z64740" s="258"/>
    </row>
    <row r="64741" spans="1:26" ht="12.75" customHeight="1" x14ac:dyDescent="0.2">
      <c r="A64741" s="258"/>
      <c r="Z64741" s="258"/>
    </row>
    <row r="64742" spans="1:26" ht="12.75" customHeight="1" x14ac:dyDescent="0.2">
      <c r="A64742" s="258"/>
      <c r="Z64742" s="258"/>
    </row>
    <row r="64743" spans="1:26" ht="12.75" customHeight="1" x14ac:dyDescent="0.2">
      <c r="A64743" s="258"/>
      <c r="Z64743" s="258"/>
    </row>
    <row r="64744" spans="1:26" ht="12.75" customHeight="1" x14ac:dyDescent="0.2">
      <c r="A64744" s="258"/>
      <c r="Z64744" s="258"/>
    </row>
    <row r="64745" spans="1:26" ht="12.75" customHeight="1" x14ac:dyDescent="0.2">
      <c r="A64745" s="258"/>
      <c r="Z64745" s="258"/>
    </row>
    <row r="64746" spans="1:26" ht="12.75" customHeight="1" x14ac:dyDescent="0.2">
      <c r="A64746" s="258"/>
      <c r="Z64746" s="258"/>
    </row>
    <row r="64747" spans="1:26" ht="12.75" customHeight="1" x14ac:dyDescent="0.2">
      <c r="A64747" s="258"/>
      <c r="Z64747" s="258"/>
    </row>
    <row r="64748" spans="1:26" ht="12.75" customHeight="1" x14ac:dyDescent="0.2">
      <c r="A64748" s="258"/>
      <c r="Z64748" s="258"/>
    </row>
    <row r="64749" spans="1:26" ht="12.75" customHeight="1" x14ac:dyDescent="0.2">
      <c r="A64749" s="258"/>
      <c r="Z64749" s="258"/>
    </row>
    <row r="64750" spans="1:26" ht="12.75" customHeight="1" x14ac:dyDescent="0.2">
      <c r="A64750" s="258"/>
      <c r="Z64750" s="258"/>
    </row>
    <row r="64751" spans="1:26" ht="12.75" customHeight="1" x14ac:dyDescent="0.2">
      <c r="A64751" s="258"/>
      <c r="Z64751" s="258"/>
    </row>
    <row r="64752" spans="1:26" ht="12.75" customHeight="1" x14ac:dyDescent="0.2">
      <c r="A64752" s="258"/>
      <c r="Z64752" s="258"/>
    </row>
    <row r="64753" spans="1:26" ht="12.75" customHeight="1" x14ac:dyDescent="0.2">
      <c r="A64753" s="258"/>
      <c r="Z64753" s="258"/>
    </row>
    <row r="64754" spans="1:26" ht="12.75" customHeight="1" x14ac:dyDescent="0.2">
      <c r="A64754" s="258"/>
      <c r="Z64754" s="258"/>
    </row>
    <row r="64755" spans="1:26" ht="12.75" customHeight="1" x14ac:dyDescent="0.2">
      <c r="A64755" s="258"/>
      <c r="Z64755" s="258"/>
    </row>
    <row r="64756" spans="1:26" ht="12.75" customHeight="1" x14ac:dyDescent="0.2">
      <c r="A64756" s="258"/>
      <c r="Z64756" s="258"/>
    </row>
    <row r="64757" spans="1:26" ht="12.75" customHeight="1" x14ac:dyDescent="0.2">
      <c r="A64757" s="258"/>
      <c r="Z64757" s="258"/>
    </row>
    <row r="64758" spans="1:26" ht="12.75" customHeight="1" x14ac:dyDescent="0.2">
      <c r="A64758" s="258"/>
      <c r="Z64758" s="258"/>
    </row>
    <row r="64759" spans="1:26" ht="12.75" customHeight="1" x14ac:dyDescent="0.2">
      <c r="A64759" s="258"/>
      <c r="Z64759" s="258"/>
    </row>
    <row r="64760" spans="1:26" ht="12.75" customHeight="1" x14ac:dyDescent="0.2">
      <c r="A64760" s="258"/>
      <c r="Z64760" s="258"/>
    </row>
    <row r="64761" spans="1:26" ht="12.75" customHeight="1" x14ac:dyDescent="0.2">
      <c r="A64761" s="258"/>
      <c r="Z64761" s="258"/>
    </row>
    <row r="64762" spans="1:26" ht="12.75" customHeight="1" x14ac:dyDescent="0.2">
      <c r="A64762" s="258"/>
      <c r="Z64762" s="258"/>
    </row>
    <row r="64763" spans="1:26" ht="12.75" customHeight="1" x14ac:dyDescent="0.2">
      <c r="A64763" s="258"/>
      <c r="Z64763" s="258"/>
    </row>
    <row r="64764" spans="1:26" ht="12.75" customHeight="1" x14ac:dyDescent="0.2">
      <c r="A64764" s="258"/>
      <c r="Z64764" s="258"/>
    </row>
    <row r="64765" spans="1:26" ht="12.75" customHeight="1" x14ac:dyDescent="0.2">
      <c r="A64765" s="258"/>
      <c r="Z64765" s="258"/>
    </row>
    <row r="64766" spans="1:26" ht="12.75" customHeight="1" x14ac:dyDescent="0.2">
      <c r="A64766" s="258"/>
      <c r="Z64766" s="258"/>
    </row>
    <row r="64767" spans="1:26" ht="12.75" customHeight="1" x14ac:dyDescent="0.2">
      <c r="A64767" s="258"/>
      <c r="Z64767" s="258"/>
    </row>
    <row r="64768" spans="1:26" ht="12.75" customHeight="1" x14ac:dyDescent="0.2">
      <c r="A64768" s="258"/>
      <c r="Z64768" s="258"/>
    </row>
    <row r="64769" spans="1:26" ht="12.75" customHeight="1" x14ac:dyDescent="0.2">
      <c r="A64769" s="258"/>
      <c r="Z64769" s="258"/>
    </row>
    <row r="64770" spans="1:26" ht="12.75" customHeight="1" x14ac:dyDescent="0.2">
      <c r="A64770" s="258"/>
      <c r="Z64770" s="258"/>
    </row>
    <row r="64771" spans="1:26" ht="12.75" customHeight="1" x14ac:dyDescent="0.2">
      <c r="A64771" s="258"/>
      <c r="Z64771" s="258"/>
    </row>
    <row r="64772" spans="1:26" ht="12.75" customHeight="1" x14ac:dyDescent="0.2">
      <c r="A64772" s="258"/>
      <c r="Z64772" s="258"/>
    </row>
    <row r="64773" spans="1:26" ht="12.75" customHeight="1" x14ac:dyDescent="0.2">
      <c r="A64773" s="258"/>
      <c r="Z64773" s="258"/>
    </row>
    <row r="64774" spans="1:26" ht="12.75" customHeight="1" x14ac:dyDescent="0.2">
      <c r="A64774" s="258"/>
      <c r="Z64774" s="258"/>
    </row>
    <row r="64775" spans="1:26" ht="12.75" customHeight="1" x14ac:dyDescent="0.2">
      <c r="A64775" s="258"/>
      <c r="Z64775" s="258"/>
    </row>
    <row r="64776" spans="1:26" ht="12.75" customHeight="1" x14ac:dyDescent="0.2">
      <c r="A64776" s="258"/>
      <c r="Z64776" s="258"/>
    </row>
    <row r="64777" spans="1:26" ht="12.75" customHeight="1" x14ac:dyDescent="0.2">
      <c r="A64777" s="258"/>
      <c r="Z64777" s="258"/>
    </row>
    <row r="64778" spans="1:26" ht="12.75" customHeight="1" x14ac:dyDescent="0.2">
      <c r="A64778" s="258"/>
      <c r="Z64778" s="258"/>
    </row>
    <row r="64779" spans="1:26" ht="12.75" customHeight="1" x14ac:dyDescent="0.2">
      <c r="A64779" s="258"/>
      <c r="Z64779" s="258"/>
    </row>
    <row r="64780" spans="1:26" ht="12.75" customHeight="1" x14ac:dyDescent="0.2">
      <c r="A64780" s="258"/>
      <c r="Z64780" s="258"/>
    </row>
    <row r="64781" spans="1:26" ht="12.75" customHeight="1" x14ac:dyDescent="0.2">
      <c r="A64781" s="258"/>
      <c r="Z64781" s="258"/>
    </row>
    <row r="64782" spans="1:26" ht="12.75" customHeight="1" x14ac:dyDescent="0.2">
      <c r="A64782" s="258"/>
      <c r="Z64782" s="258"/>
    </row>
    <row r="64783" spans="1:26" ht="12.75" customHeight="1" x14ac:dyDescent="0.2">
      <c r="A64783" s="258"/>
      <c r="Z64783" s="258"/>
    </row>
    <row r="64784" spans="1:26" ht="12.75" customHeight="1" x14ac:dyDescent="0.2">
      <c r="A64784" s="258"/>
      <c r="Z64784" s="258"/>
    </row>
    <row r="64785" spans="1:26" ht="12.75" customHeight="1" x14ac:dyDescent="0.2">
      <c r="A64785" s="258"/>
      <c r="Z64785" s="258"/>
    </row>
    <row r="64786" spans="1:26" ht="12.75" customHeight="1" x14ac:dyDescent="0.2">
      <c r="A64786" s="258"/>
      <c r="Z64786" s="258"/>
    </row>
    <row r="64787" spans="1:26" ht="12.75" customHeight="1" x14ac:dyDescent="0.2">
      <c r="A64787" s="258"/>
      <c r="Z64787" s="258"/>
    </row>
    <row r="64788" spans="1:26" ht="12.75" customHeight="1" x14ac:dyDescent="0.2">
      <c r="A64788" s="258"/>
      <c r="Z64788" s="258"/>
    </row>
    <row r="64789" spans="1:26" ht="12.75" customHeight="1" x14ac:dyDescent="0.2">
      <c r="A64789" s="258"/>
      <c r="Z64789" s="258"/>
    </row>
    <row r="64790" spans="1:26" ht="12.75" customHeight="1" x14ac:dyDescent="0.2">
      <c r="A64790" s="258"/>
      <c r="Z64790" s="258"/>
    </row>
    <row r="64791" spans="1:26" ht="12.75" customHeight="1" x14ac:dyDescent="0.2">
      <c r="A64791" s="258"/>
      <c r="Z64791" s="258"/>
    </row>
    <row r="64792" spans="1:26" ht="12.75" customHeight="1" x14ac:dyDescent="0.2">
      <c r="A64792" s="258"/>
      <c r="Z64792" s="258"/>
    </row>
    <row r="64793" spans="1:26" ht="12.75" customHeight="1" x14ac:dyDescent="0.2">
      <c r="A64793" s="258"/>
      <c r="Z64793" s="258"/>
    </row>
    <row r="64794" spans="1:26" ht="12.75" customHeight="1" x14ac:dyDescent="0.2">
      <c r="A64794" s="258"/>
      <c r="Z64794" s="258"/>
    </row>
    <row r="64795" spans="1:26" ht="12.75" customHeight="1" x14ac:dyDescent="0.2">
      <c r="A64795" s="258"/>
      <c r="Z64795" s="258"/>
    </row>
    <row r="64796" spans="1:26" ht="12.75" customHeight="1" x14ac:dyDescent="0.2">
      <c r="A64796" s="258"/>
      <c r="Z64796" s="258"/>
    </row>
    <row r="64797" spans="1:26" ht="12.75" customHeight="1" x14ac:dyDescent="0.2">
      <c r="A64797" s="258"/>
      <c r="Z64797" s="258"/>
    </row>
    <row r="64798" spans="1:26" ht="12.75" customHeight="1" x14ac:dyDescent="0.2">
      <c r="A64798" s="258"/>
      <c r="Z64798" s="258"/>
    </row>
    <row r="64799" spans="1:26" ht="12.75" customHeight="1" x14ac:dyDescent="0.2">
      <c r="A64799" s="258"/>
      <c r="Z64799" s="258"/>
    </row>
    <row r="64800" spans="1:26" ht="12.75" customHeight="1" x14ac:dyDescent="0.2">
      <c r="A64800" s="258"/>
      <c r="Z64800" s="258"/>
    </row>
    <row r="64801" spans="1:26" ht="12.75" customHeight="1" x14ac:dyDescent="0.2">
      <c r="A64801" s="258"/>
      <c r="Z64801" s="258"/>
    </row>
    <row r="64802" spans="1:26" ht="12.75" customHeight="1" x14ac:dyDescent="0.2">
      <c r="A64802" s="258"/>
      <c r="Z64802" s="258"/>
    </row>
    <row r="64803" spans="1:26" ht="12.75" customHeight="1" x14ac:dyDescent="0.2">
      <c r="A64803" s="258"/>
      <c r="Z64803" s="258"/>
    </row>
    <row r="64804" spans="1:26" ht="12.75" customHeight="1" x14ac:dyDescent="0.2">
      <c r="A64804" s="258"/>
      <c r="Z64804" s="258"/>
    </row>
    <row r="64805" spans="1:26" ht="12.75" customHeight="1" x14ac:dyDescent="0.2">
      <c r="A64805" s="258"/>
      <c r="Z64805" s="258"/>
    </row>
    <row r="64806" spans="1:26" ht="12.75" customHeight="1" x14ac:dyDescent="0.2">
      <c r="A64806" s="258"/>
      <c r="Z64806" s="258"/>
    </row>
    <row r="64807" spans="1:26" ht="12.75" customHeight="1" x14ac:dyDescent="0.2">
      <c r="A64807" s="258"/>
      <c r="Z64807" s="258"/>
    </row>
    <row r="64808" spans="1:26" ht="12.75" customHeight="1" x14ac:dyDescent="0.2">
      <c r="A64808" s="258"/>
      <c r="Z64808" s="258"/>
    </row>
    <row r="64809" spans="1:26" ht="12.75" customHeight="1" x14ac:dyDescent="0.2">
      <c r="A64809" s="258"/>
      <c r="Z64809" s="258"/>
    </row>
    <row r="64810" spans="1:26" ht="12.75" customHeight="1" x14ac:dyDescent="0.2">
      <c r="A64810" s="258"/>
      <c r="Z64810" s="258"/>
    </row>
    <row r="64811" spans="1:26" ht="12.75" customHeight="1" x14ac:dyDescent="0.2">
      <c r="A64811" s="258"/>
      <c r="Z64811" s="258"/>
    </row>
    <row r="64812" spans="1:26" ht="12.75" customHeight="1" x14ac:dyDescent="0.2">
      <c r="A64812" s="258"/>
      <c r="Z64812" s="258"/>
    </row>
    <row r="64813" spans="1:26" ht="12.75" customHeight="1" x14ac:dyDescent="0.2">
      <c r="A64813" s="258"/>
      <c r="Z64813" s="258"/>
    </row>
    <row r="64814" spans="1:26" ht="12.75" customHeight="1" x14ac:dyDescent="0.2">
      <c r="A64814" s="258"/>
      <c r="Z64814" s="258"/>
    </row>
    <row r="64815" spans="1:26" ht="12.75" customHeight="1" x14ac:dyDescent="0.2">
      <c r="A64815" s="258"/>
      <c r="Z64815" s="258"/>
    </row>
    <row r="64816" spans="1:26" ht="12.75" customHeight="1" x14ac:dyDescent="0.2">
      <c r="A64816" s="258"/>
      <c r="Z64816" s="258"/>
    </row>
    <row r="64817" spans="1:26" ht="12.75" customHeight="1" x14ac:dyDescent="0.2">
      <c r="A64817" s="258"/>
      <c r="Z64817" s="258"/>
    </row>
    <row r="64818" spans="1:26" ht="12.75" customHeight="1" x14ac:dyDescent="0.2">
      <c r="A64818" s="258"/>
      <c r="Z64818" s="258"/>
    </row>
    <row r="64819" spans="1:26" ht="12.75" customHeight="1" x14ac:dyDescent="0.2">
      <c r="A64819" s="258"/>
      <c r="Z64819" s="258"/>
    </row>
    <row r="64820" spans="1:26" ht="12.75" customHeight="1" x14ac:dyDescent="0.2">
      <c r="A64820" s="258"/>
      <c r="Z64820" s="258"/>
    </row>
    <row r="64821" spans="1:26" ht="12.75" customHeight="1" x14ac:dyDescent="0.2">
      <c r="A64821" s="258"/>
      <c r="Z64821" s="258"/>
    </row>
    <row r="64822" spans="1:26" ht="12.75" customHeight="1" x14ac:dyDescent="0.2">
      <c r="A64822" s="258"/>
      <c r="Z64822" s="258"/>
    </row>
    <row r="64823" spans="1:26" ht="12.75" customHeight="1" x14ac:dyDescent="0.2">
      <c r="A64823" s="258"/>
      <c r="Z64823" s="258"/>
    </row>
    <row r="64824" spans="1:26" ht="12.75" customHeight="1" x14ac:dyDescent="0.2">
      <c r="A64824" s="258"/>
      <c r="Z64824" s="258"/>
    </row>
    <row r="64825" spans="1:26" ht="12.75" customHeight="1" x14ac:dyDescent="0.2">
      <c r="A64825" s="258"/>
      <c r="Z64825" s="258"/>
    </row>
    <row r="64826" spans="1:26" ht="12.75" customHeight="1" x14ac:dyDescent="0.2">
      <c r="A64826" s="258"/>
      <c r="Z64826" s="258"/>
    </row>
    <row r="64827" spans="1:26" ht="12.75" customHeight="1" x14ac:dyDescent="0.2">
      <c r="A64827" s="258"/>
      <c r="Z64827" s="258"/>
    </row>
    <row r="64828" spans="1:26" ht="12.75" customHeight="1" x14ac:dyDescent="0.2">
      <c r="A64828" s="258"/>
      <c r="Z64828" s="258"/>
    </row>
    <row r="64829" spans="1:26" ht="12.75" customHeight="1" x14ac:dyDescent="0.2">
      <c r="A64829" s="258"/>
      <c r="Z64829" s="258"/>
    </row>
    <row r="64830" spans="1:26" ht="12.75" customHeight="1" x14ac:dyDescent="0.2">
      <c r="A64830" s="258"/>
      <c r="Z64830" s="258"/>
    </row>
    <row r="64831" spans="1:26" ht="12.75" customHeight="1" x14ac:dyDescent="0.2">
      <c r="A64831" s="258"/>
      <c r="Z64831" s="258"/>
    </row>
    <row r="64832" spans="1:26" ht="12.75" customHeight="1" x14ac:dyDescent="0.2">
      <c r="A64832" s="258"/>
      <c r="Z64832" s="258"/>
    </row>
    <row r="64833" spans="1:26" ht="12.75" customHeight="1" x14ac:dyDescent="0.2">
      <c r="A64833" s="258"/>
      <c r="Z64833" s="258"/>
    </row>
    <row r="64834" spans="1:26" ht="12.75" customHeight="1" x14ac:dyDescent="0.2">
      <c r="A64834" s="258"/>
      <c r="Z64834" s="258"/>
    </row>
    <row r="64835" spans="1:26" ht="12.75" customHeight="1" x14ac:dyDescent="0.2">
      <c r="A64835" s="258"/>
      <c r="Z64835" s="258"/>
    </row>
    <row r="64836" spans="1:26" ht="12.75" customHeight="1" x14ac:dyDescent="0.2">
      <c r="A64836" s="258"/>
      <c r="Z64836" s="258"/>
    </row>
    <row r="64837" spans="1:26" ht="12.75" customHeight="1" x14ac:dyDescent="0.2">
      <c r="A64837" s="258"/>
      <c r="Z64837" s="258"/>
    </row>
    <row r="64838" spans="1:26" ht="12.75" customHeight="1" x14ac:dyDescent="0.2">
      <c r="A64838" s="258"/>
      <c r="Z64838" s="258"/>
    </row>
    <row r="64839" spans="1:26" ht="12.75" customHeight="1" x14ac:dyDescent="0.2">
      <c r="A64839" s="258"/>
      <c r="Z64839" s="258"/>
    </row>
    <row r="64840" spans="1:26" ht="12.75" customHeight="1" x14ac:dyDescent="0.2">
      <c r="A64840" s="258"/>
      <c r="Z64840" s="258"/>
    </row>
    <row r="64841" spans="1:26" ht="12.75" customHeight="1" x14ac:dyDescent="0.2">
      <c r="A64841" s="258"/>
      <c r="Z64841" s="258"/>
    </row>
    <row r="64842" spans="1:26" ht="12.75" customHeight="1" x14ac:dyDescent="0.2">
      <c r="A64842" s="258"/>
      <c r="Z64842" s="258"/>
    </row>
    <row r="64843" spans="1:26" ht="12.75" customHeight="1" x14ac:dyDescent="0.2">
      <c r="A64843" s="258"/>
      <c r="Z64843" s="258"/>
    </row>
    <row r="64844" spans="1:26" ht="12.75" customHeight="1" x14ac:dyDescent="0.2">
      <c r="A64844" s="258"/>
      <c r="Z64844" s="258"/>
    </row>
    <row r="64845" spans="1:26" ht="12.75" customHeight="1" x14ac:dyDescent="0.2">
      <c r="A64845" s="258"/>
      <c r="Z64845" s="258"/>
    </row>
    <row r="64846" spans="1:26" ht="12.75" customHeight="1" x14ac:dyDescent="0.2">
      <c r="A64846" s="258"/>
      <c r="Z64846" s="258"/>
    </row>
    <row r="64847" spans="1:26" ht="12.75" customHeight="1" x14ac:dyDescent="0.2">
      <c r="A64847" s="258"/>
      <c r="Z64847" s="258"/>
    </row>
    <row r="64848" spans="1:26" ht="12.75" customHeight="1" x14ac:dyDescent="0.2">
      <c r="A64848" s="258"/>
      <c r="Z64848" s="258"/>
    </row>
    <row r="64849" spans="1:26" ht="12.75" customHeight="1" x14ac:dyDescent="0.2">
      <c r="A64849" s="258"/>
      <c r="Z64849" s="258"/>
    </row>
    <row r="64850" spans="1:26" ht="12.75" customHeight="1" x14ac:dyDescent="0.2">
      <c r="A64850" s="258"/>
      <c r="Z64850" s="258"/>
    </row>
    <row r="64851" spans="1:26" ht="12.75" customHeight="1" x14ac:dyDescent="0.2">
      <c r="A64851" s="258"/>
      <c r="Z64851" s="258"/>
    </row>
    <row r="64852" spans="1:26" ht="12.75" customHeight="1" x14ac:dyDescent="0.2">
      <c r="A64852" s="258"/>
      <c r="Z64852" s="258"/>
    </row>
    <row r="64853" spans="1:26" ht="12.75" customHeight="1" x14ac:dyDescent="0.2">
      <c r="A64853" s="258"/>
      <c r="Z64853" s="258"/>
    </row>
    <row r="64854" spans="1:26" ht="12.75" customHeight="1" x14ac:dyDescent="0.2">
      <c r="A64854" s="258"/>
      <c r="Z64854" s="258"/>
    </row>
    <row r="64855" spans="1:26" ht="12.75" customHeight="1" x14ac:dyDescent="0.2">
      <c r="A64855" s="258"/>
      <c r="Z64855" s="258"/>
    </row>
    <row r="64856" spans="1:26" ht="12.75" customHeight="1" x14ac:dyDescent="0.2">
      <c r="A64856" s="258"/>
      <c r="Z64856" s="258"/>
    </row>
    <row r="64857" spans="1:26" ht="12.75" customHeight="1" x14ac:dyDescent="0.2">
      <c r="A64857" s="258"/>
      <c r="Z64857" s="258"/>
    </row>
    <row r="64858" spans="1:26" ht="12.75" customHeight="1" x14ac:dyDescent="0.2">
      <c r="A64858" s="258"/>
      <c r="Z64858" s="258"/>
    </row>
    <row r="64859" spans="1:26" ht="12.75" customHeight="1" x14ac:dyDescent="0.2">
      <c r="A64859" s="258"/>
      <c r="Z64859" s="258"/>
    </row>
    <row r="64860" spans="1:26" ht="12.75" customHeight="1" x14ac:dyDescent="0.2">
      <c r="A64860" s="258"/>
      <c r="Z64860" s="258"/>
    </row>
    <row r="64861" spans="1:26" ht="12.75" customHeight="1" x14ac:dyDescent="0.2">
      <c r="A64861" s="258"/>
      <c r="Z64861" s="258"/>
    </row>
    <row r="64862" spans="1:26" ht="12.75" customHeight="1" x14ac:dyDescent="0.2">
      <c r="A64862" s="258"/>
      <c r="Z64862" s="258"/>
    </row>
    <row r="64863" spans="1:26" ht="12.75" customHeight="1" x14ac:dyDescent="0.2">
      <c r="A64863" s="258"/>
      <c r="Z64863" s="258"/>
    </row>
    <row r="64864" spans="1:26" ht="12.75" customHeight="1" x14ac:dyDescent="0.2">
      <c r="A64864" s="258"/>
      <c r="Z64864" s="258"/>
    </row>
    <row r="64865" spans="1:26" ht="12.75" customHeight="1" x14ac:dyDescent="0.2">
      <c r="A64865" s="258"/>
      <c r="Z64865" s="258"/>
    </row>
    <row r="64866" spans="1:26" ht="12.75" customHeight="1" x14ac:dyDescent="0.2">
      <c r="A64866" s="258"/>
      <c r="Z64866" s="258"/>
    </row>
    <row r="64867" spans="1:26" ht="12.75" customHeight="1" x14ac:dyDescent="0.2">
      <c r="A64867" s="258"/>
      <c r="Z64867" s="258"/>
    </row>
    <row r="64868" spans="1:26" ht="12.75" customHeight="1" x14ac:dyDescent="0.2">
      <c r="A64868" s="258"/>
      <c r="Z64868" s="258"/>
    </row>
    <row r="64869" spans="1:26" ht="12.75" customHeight="1" x14ac:dyDescent="0.2">
      <c r="A64869" s="258"/>
      <c r="Z64869" s="258"/>
    </row>
    <row r="64870" spans="1:26" ht="12.75" customHeight="1" x14ac:dyDescent="0.2">
      <c r="A64870" s="258"/>
      <c r="Z64870" s="258"/>
    </row>
    <row r="64871" spans="1:26" ht="12.75" customHeight="1" x14ac:dyDescent="0.2">
      <c r="A64871" s="258"/>
      <c r="Z64871" s="258"/>
    </row>
    <row r="64872" spans="1:26" ht="12.75" customHeight="1" x14ac:dyDescent="0.2">
      <c r="A64872" s="258"/>
      <c r="Z64872" s="258"/>
    </row>
    <row r="64873" spans="1:26" ht="12.75" customHeight="1" x14ac:dyDescent="0.2">
      <c r="A64873" s="258"/>
      <c r="Z64873" s="258"/>
    </row>
    <row r="64874" spans="1:26" ht="12.75" customHeight="1" x14ac:dyDescent="0.2">
      <c r="A64874" s="258"/>
      <c r="Z64874" s="258"/>
    </row>
    <row r="64875" spans="1:26" ht="12.75" customHeight="1" x14ac:dyDescent="0.2">
      <c r="A64875" s="258"/>
      <c r="Z64875" s="258"/>
    </row>
    <row r="64876" spans="1:26" ht="12.75" customHeight="1" x14ac:dyDescent="0.2">
      <c r="A64876" s="258"/>
      <c r="Z64876" s="258"/>
    </row>
    <row r="64877" spans="1:26" ht="12.75" customHeight="1" x14ac:dyDescent="0.2">
      <c r="A64877" s="258"/>
      <c r="Z64877" s="258"/>
    </row>
    <row r="64878" spans="1:26" ht="12.75" customHeight="1" x14ac:dyDescent="0.2">
      <c r="A64878" s="258"/>
      <c r="Z64878" s="258"/>
    </row>
    <row r="64879" spans="1:26" ht="12.75" customHeight="1" x14ac:dyDescent="0.2">
      <c r="A64879" s="258"/>
      <c r="Z64879" s="258"/>
    </row>
    <row r="64880" spans="1:26" ht="12.75" customHeight="1" x14ac:dyDescent="0.2">
      <c r="A64880" s="258"/>
      <c r="Z64880" s="258"/>
    </row>
    <row r="64881" spans="1:26" ht="12.75" customHeight="1" x14ac:dyDescent="0.2">
      <c r="A64881" s="258"/>
      <c r="Z64881" s="258"/>
    </row>
    <row r="64882" spans="1:26" ht="12.75" customHeight="1" x14ac:dyDescent="0.2">
      <c r="A64882" s="258"/>
      <c r="Z64882" s="258"/>
    </row>
    <row r="64883" spans="1:26" ht="12.75" customHeight="1" x14ac:dyDescent="0.2">
      <c r="A64883" s="258"/>
      <c r="Z64883" s="258"/>
    </row>
    <row r="64884" spans="1:26" ht="12.75" customHeight="1" x14ac:dyDescent="0.2">
      <c r="A64884" s="258"/>
      <c r="Z64884" s="258"/>
    </row>
    <row r="64885" spans="1:26" ht="12.75" customHeight="1" x14ac:dyDescent="0.2">
      <c r="A64885" s="258"/>
      <c r="Z64885" s="258"/>
    </row>
    <row r="64886" spans="1:26" ht="12.75" customHeight="1" x14ac:dyDescent="0.2">
      <c r="A64886" s="258"/>
      <c r="Z64886" s="258"/>
    </row>
    <row r="64887" spans="1:26" ht="12.75" customHeight="1" x14ac:dyDescent="0.2">
      <c r="A64887" s="258"/>
      <c r="Z64887" s="258"/>
    </row>
    <row r="64888" spans="1:26" ht="12.75" customHeight="1" x14ac:dyDescent="0.2">
      <c r="A64888" s="258"/>
      <c r="Z64888" s="258"/>
    </row>
    <row r="64889" spans="1:26" ht="12.75" customHeight="1" x14ac:dyDescent="0.2">
      <c r="A64889" s="258"/>
      <c r="Z64889" s="258"/>
    </row>
    <row r="64890" spans="1:26" ht="12.75" customHeight="1" x14ac:dyDescent="0.2">
      <c r="A64890" s="258"/>
      <c r="Z64890" s="258"/>
    </row>
    <row r="64891" spans="1:26" ht="12.75" customHeight="1" x14ac:dyDescent="0.2">
      <c r="A64891" s="258"/>
      <c r="Z64891" s="258"/>
    </row>
    <row r="64892" spans="1:26" ht="12.75" customHeight="1" x14ac:dyDescent="0.2">
      <c r="A64892" s="258"/>
      <c r="Z64892" s="258"/>
    </row>
    <row r="64893" spans="1:26" ht="12.75" customHeight="1" x14ac:dyDescent="0.2">
      <c r="A64893" s="258"/>
      <c r="Z64893" s="258"/>
    </row>
    <row r="64894" spans="1:26" ht="12.75" customHeight="1" x14ac:dyDescent="0.2">
      <c r="A64894" s="258"/>
      <c r="Z64894" s="258"/>
    </row>
    <row r="64895" spans="1:26" ht="12.75" customHeight="1" x14ac:dyDescent="0.2">
      <c r="A64895" s="258"/>
      <c r="Z64895" s="258"/>
    </row>
    <row r="64896" spans="1:26" ht="12.75" customHeight="1" x14ac:dyDescent="0.2">
      <c r="A64896" s="258"/>
      <c r="Z64896" s="258"/>
    </row>
    <row r="64897" spans="1:26" ht="12.75" customHeight="1" x14ac:dyDescent="0.2">
      <c r="A64897" s="258"/>
      <c r="Z64897" s="258"/>
    </row>
    <row r="64898" spans="1:26" ht="12.75" customHeight="1" x14ac:dyDescent="0.2">
      <c r="A64898" s="258"/>
      <c r="Z64898" s="258"/>
    </row>
    <row r="64899" spans="1:26" ht="12.75" customHeight="1" x14ac:dyDescent="0.2">
      <c r="A64899" s="258"/>
      <c r="Z64899" s="258"/>
    </row>
    <row r="64900" spans="1:26" ht="12.75" customHeight="1" x14ac:dyDescent="0.2">
      <c r="A64900" s="258"/>
      <c r="Z64900" s="258"/>
    </row>
    <row r="64901" spans="1:26" ht="12.75" customHeight="1" x14ac:dyDescent="0.2">
      <c r="A64901" s="258"/>
      <c r="Z64901" s="258"/>
    </row>
    <row r="64902" spans="1:26" ht="12.75" customHeight="1" x14ac:dyDescent="0.2">
      <c r="A64902" s="258"/>
      <c r="Z64902" s="258"/>
    </row>
    <row r="64903" spans="1:26" ht="12.75" customHeight="1" x14ac:dyDescent="0.2">
      <c r="A64903" s="258"/>
      <c r="Z64903" s="258"/>
    </row>
    <row r="64904" spans="1:26" ht="12.75" customHeight="1" x14ac:dyDescent="0.2">
      <c r="A64904" s="258"/>
      <c r="Z64904" s="258"/>
    </row>
    <row r="64905" spans="1:26" ht="12.75" customHeight="1" x14ac:dyDescent="0.2">
      <c r="A64905" s="258"/>
      <c r="Z64905" s="258"/>
    </row>
    <row r="64906" spans="1:26" ht="12.75" customHeight="1" x14ac:dyDescent="0.2">
      <c r="A64906" s="258"/>
      <c r="Z64906" s="258"/>
    </row>
    <row r="64907" spans="1:26" ht="12.75" customHeight="1" x14ac:dyDescent="0.2">
      <c r="A64907" s="258"/>
      <c r="Z64907" s="258"/>
    </row>
    <row r="64908" spans="1:26" ht="12.75" customHeight="1" x14ac:dyDescent="0.2">
      <c r="A64908" s="258"/>
      <c r="Z64908" s="258"/>
    </row>
    <row r="64909" spans="1:26" ht="12.75" customHeight="1" x14ac:dyDescent="0.2">
      <c r="A64909" s="258"/>
      <c r="Z64909" s="258"/>
    </row>
    <row r="64910" spans="1:26" ht="12.75" customHeight="1" x14ac:dyDescent="0.2">
      <c r="A64910" s="258"/>
      <c r="Z64910" s="258"/>
    </row>
    <row r="64911" spans="1:26" ht="12.75" customHeight="1" x14ac:dyDescent="0.2">
      <c r="A64911" s="258"/>
      <c r="Z64911" s="258"/>
    </row>
    <row r="64912" spans="1:26" ht="12.75" customHeight="1" x14ac:dyDescent="0.2">
      <c r="A64912" s="258"/>
      <c r="Z64912" s="258"/>
    </row>
    <row r="64913" spans="1:26" ht="12.75" customHeight="1" x14ac:dyDescent="0.2">
      <c r="A64913" s="258"/>
      <c r="Z64913" s="258"/>
    </row>
    <row r="64914" spans="1:26" ht="12.75" customHeight="1" x14ac:dyDescent="0.2">
      <c r="A64914" s="258"/>
      <c r="Z64914" s="258"/>
    </row>
    <row r="64915" spans="1:26" ht="12.75" customHeight="1" x14ac:dyDescent="0.2">
      <c r="A64915" s="258"/>
      <c r="Z64915" s="258"/>
    </row>
    <row r="64916" spans="1:26" ht="12.75" customHeight="1" x14ac:dyDescent="0.2">
      <c r="A64916" s="258"/>
      <c r="Z64916" s="258"/>
    </row>
    <row r="64917" spans="1:26" ht="12.75" customHeight="1" x14ac:dyDescent="0.2">
      <c r="A64917" s="258"/>
      <c r="Z64917" s="258"/>
    </row>
    <row r="64918" spans="1:26" ht="12.75" customHeight="1" x14ac:dyDescent="0.2">
      <c r="A64918" s="258"/>
      <c r="Z64918" s="258"/>
    </row>
    <row r="64919" spans="1:26" ht="12.75" customHeight="1" x14ac:dyDescent="0.2">
      <c r="A64919" s="258"/>
      <c r="Z64919" s="258"/>
    </row>
    <row r="64920" spans="1:26" ht="12.75" customHeight="1" x14ac:dyDescent="0.2">
      <c r="A64920" s="258"/>
      <c r="Z64920" s="258"/>
    </row>
    <row r="64921" spans="1:26" ht="12.75" customHeight="1" x14ac:dyDescent="0.2">
      <c r="A64921" s="258"/>
      <c r="Z64921" s="258"/>
    </row>
    <row r="64922" spans="1:26" ht="12.75" customHeight="1" x14ac:dyDescent="0.2">
      <c r="A64922" s="258"/>
      <c r="Z64922" s="258"/>
    </row>
    <row r="64923" spans="1:26" ht="12.75" customHeight="1" x14ac:dyDescent="0.2">
      <c r="A64923" s="258"/>
      <c r="Z64923" s="258"/>
    </row>
    <row r="64924" spans="1:26" ht="12.75" customHeight="1" x14ac:dyDescent="0.2">
      <c r="A64924" s="258"/>
      <c r="Z64924" s="258"/>
    </row>
    <row r="64925" spans="1:26" ht="12.75" customHeight="1" x14ac:dyDescent="0.2">
      <c r="A64925" s="258"/>
      <c r="Z64925" s="258"/>
    </row>
    <row r="64926" spans="1:26" ht="12.75" customHeight="1" x14ac:dyDescent="0.2">
      <c r="A64926" s="258"/>
      <c r="Z64926" s="258"/>
    </row>
    <row r="64927" spans="1:26" ht="12.75" customHeight="1" x14ac:dyDescent="0.2">
      <c r="A64927" s="258"/>
      <c r="Z64927" s="258"/>
    </row>
    <row r="64928" spans="1:26" ht="12.75" customHeight="1" x14ac:dyDescent="0.2">
      <c r="A64928" s="258"/>
      <c r="Z64928" s="258"/>
    </row>
    <row r="64929" spans="1:26" ht="12.75" customHeight="1" x14ac:dyDescent="0.2">
      <c r="A64929" s="258"/>
      <c r="Z64929" s="258"/>
    </row>
    <row r="64930" spans="1:26" ht="12.75" customHeight="1" x14ac:dyDescent="0.2">
      <c r="A64930" s="258"/>
      <c r="Z64930" s="258"/>
    </row>
    <row r="64931" spans="1:26" ht="12.75" customHeight="1" x14ac:dyDescent="0.2">
      <c r="A64931" s="258"/>
      <c r="Z64931" s="258"/>
    </row>
    <row r="64932" spans="1:26" ht="12.75" customHeight="1" x14ac:dyDescent="0.2">
      <c r="A64932" s="258"/>
      <c r="Z64932" s="258"/>
    </row>
    <row r="64933" spans="1:26" ht="12.75" customHeight="1" x14ac:dyDescent="0.2">
      <c r="A64933" s="258"/>
      <c r="Z64933" s="258"/>
    </row>
    <row r="64934" spans="1:26" ht="12.75" customHeight="1" x14ac:dyDescent="0.2">
      <c r="A64934" s="258"/>
      <c r="Z64934" s="258"/>
    </row>
    <row r="64935" spans="1:26" ht="12.75" customHeight="1" x14ac:dyDescent="0.2">
      <c r="A64935" s="258"/>
      <c r="Z64935" s="258"/>
    </row>
    <row r="64936" spans="1:26" ht="12.75" customHeight="1" x14ac:dyDescent="0.2">
      <c r="A64936" s="258"/>
      <c r="Z64936" s="258"/>
    </row>
    <row r="64937" spans="1:26" ht="12.75" customHeight="1" x14ac:dyDescent="0.2">
      <c r="A64937" s="258"/>
      <c r="Z64937" s="258"/>
    </row>
    <row r="64938" spans="1:26" ht="12.75" customHeight="1" x14ac:dyDescent="0.2">
      <c r="A64938" s="258"/>
      <c r="Z64938" s="258"/>
    </row>
    <row r="64939" spans="1:26" ht="12.75" customHeight="1" x14ac:dyDescent="0.2">
      <c r="A64939" s="258"/>
      <c r="Z64939" s="258"/>
    </row>
    <row r="64940" spans="1:26" ht="12.75" customHeight="1" x14ac:dyDescent="0.2">
      <c r="A64940" s="258"/>
      <c r="Z64940" s="258"/>
    </row>
    <row r="64941" spans="1:26" ht="12.75" customHeight="1" x14ac:dyDescent="0.2">
      <c r="A64941" s="258"/>
      <c r="Z64941" s="258"/>
    </row>
    <row r="64942" spans="1:26" ht="12.75" customHeight="1" x14ac:dyDescent="0.2">
      <c r="A64942" s="258"/>
      <c r="Z64942" s="258"/>
    </row>
    <row r="64943" spans="1:26" ht="12.75" customHeight="1" x14ac:dyDescent="0.2">
      <c r="A64943" s="258"/>
      <c r="Z64943" s="258"/>
    </row>
    <row r="64944" spans="1:26" ht="12.75" customHeight="1" x14ac:dyDescent="0.2">
      <c r="A64944" s="258"/>
      <c r="Z64944" s="258"/>
    </row>
    <row r="64945" spans="1:26" ht="12.75" customHeight="1" x14ac:dyDescent="0.2">
      <c r="A64945" s="258"/>
      <c r="Z64945" s="258"/>
    </row>
    <row r="64946" spans="1:26" ht="12.75" customHeight="1" x14ac:dyDescent="0.2">
      <c r="A64946" s="258"/>
      <c r="Z64946" s="258"/>
    </row>
    <row r="64947" spans="1:26" ht="12.75" customHeight="1" x14ac:dyDescent="0.2">
      <c r="A64947" s="258"/>
      <c r="Z64947" s="258"/>
    </row>
    <row r="64948" spans="1:26" ht="12.75" customHeight="1" x14ac:dyDescent="0.2">
      <c r="A64948" s="258"/>
      <c r="Z64948" s="258"/>
    </row>
    <row r="64949" spans="1:26" ht="12.75" customHeight="1" x14ac:dyDescent="0.2">
      <c r="A64949" s="258"/>
      <c r="Z64949" s="258"/>
    </row>
    <row r="64950" spans="1:26" ht="12.75" customHeight="1" x14ac:dyDescent="0.2">
      <c r="A64950" s="258"/>
      <c r="Z64950" s="258"/>
    </row>
    <row r="64951" spans="1:26" ht="12.75" customHeight="1" x14ac:dyDescent="0.2">
      <c r="A64951" s="258"/>
      <c r="Z64951" s="258"/>
    </row>
    <row r="64952" spans="1:26" ht="12.75" customHeight="1" x14ac:dyDescent="0.2">
      <c r="A64952" s="258"/>
      <c r="Z64952" s="258"/>
    </row>
    <row r="64953" spans="1:26" ht="12.75" customHeight="1" x14ac:dyDescent="0.2">
      <c r="A64953" s="258"/>
      <c r="Z64953" s="258"/>
    </row>
    <row r="64954" spans="1:26" ht="12.75" customHeight="1" x14ac:dyDescent="0.2">
      <c r="A64954" s="258"/>
      <c r="Z64954" s="258"/>
    </row>
    <row r="64955" spans="1:26" ht="12.75" customHeight="1" x14ac:dyDescent="0.2">
      <c r="A64955" s="258"/>
      <c r="Z64955" s="258"/>
    </row>
    <row r="64956" spans="1:26" ht="12.75" customHeight="1" x14ac:dyDescent="0.2">
      <c r="A64956" s="258"/>
      <c r="Z64956" s="258"/>
    </row>
    <row r="64957" spans="1:26" ht="12.75" customHeight="1" x14ac:dyDescent="0.2">
      <c r="A64957" s="258"/>
      <c r="Z64957" s="258"/>
    </row>
    <row r="64958" spans="1:26" ht="12.75" customHeight="1" x14ac:dyDescent="0.2">
      <c r="A64958" s="258"/>
      <c r="Z64958" s="258"/>
    </row>
    <row r="64959" spans="1:26" ht="12.75" customHeight="1" x14ac:dyDescent="0.2">
      <c r="A64959" s="258"/>
      <c r="Z64959" s="258"/>
    </row>
    <row r="64960" spans="1:26" ht="12.75" customHeight="1" x14ac:dyDescent="0.2">
      <c r="A64960" s="258"/>
      <c r="Z64960" s="258"/>
    </row>
    <row r="64961" spans="1:26" ht="12.75" customHeight="1" x14ac:dyDescent="0.2">
      <c r="A64961" s="258"/>
      <c r="Z64961" s="258"/>
    </row>
    <row r="64962" spans="1:26" ht="12.75" customHeight="1" x14ac:dyDescent="0.2">
      <c r="A64962" s="258"/>
      <c r="Z64962" s="258"/>
    </row>
    <row r="64963" spans="1:26" ht="12.75" customHeight="1" x14ac:dyDescent="0.2">
      <c r="A64963" s="258"/>
      <c r="Z64963" s="258"/>
    </row>
    <row r="64964" spans="1:26" ht="12.75" customHeight="1" x14ac:dyDescent="0.2">
      <c r="A64964" s="258"/>
      <c r="Z64964" s="258"/>
    </row>
    <row r="64965" spans="1:26" ht="12.75" customHeight="1" x14ac:dyDescent="0.2">
      <c r="A64965" s="258"/>
      <c r="Z64965" s="258"/>
    </row>
    <row r="64966" spans="1:26" ht="12.75" customHeight="1" x14ac:dyDescent="0.2">
      <c r="A64966" s="258"/>
      <c r="Z64966" s="258"/>
    </row>
    <row r="64967" spans="1:26" ht="12.75" customHeight="1" x14ac:dyDescent="0.2">
      <c r="A64967" s="258"/>
      <c r="Z64967" s="258"/>
    </row>
    <row r="64968" spans="1:26" ht="12.75" customHeight="1" x14ac:dyDescent="0.2">
      <c r="A64968" s="258"/>
      <c r="Z64968" s="258"/>
    </row>
    <row r="64969" spans="1:26" ht="12.75" customHeight="1" x14ac:dyDescent="0.2">
      <c r="A64969" s="258"/>
      <c r="Z64969" s="258"/>
    </row>
    <row r="64970" spans="1:26" ht="12.75" customHeight="1" x14ac:dyDescent="0.2">
      <c r="A64970" s="258"/>
      <c r="Z64970" s="258"/>
    </row>
    <row r="64971" spans="1:26" ht="12.75" customHeight="1" x14ac:dyDescent="0.2">
      <c r="A64971" s="258"/>
      <c r="Z64971" s="258"/>
    </row>
    <row r="64972" spans="1:26" ht="12.75" customHeight="1" x14ac:dyDescent="0.2">
      <c r="A64972" s="258"/>
      <c r="Z64972" s="258"/>
    </row>
    <row r="64973" spans="1:26" ht="12.75" customHeight="1" x14ac:dyDescent="0.2">
      <c r="A64973" s="258"/>
      <c r="Z64973" s="258"/>
    </row>
    <row r="64974" spans="1:26" ht="12.75" customHeight="1" x14ac:dyDescent="0.2">
      <c r="A64974" s="258"/>
      <c r="Z64974" s="258"/>
    </row>
    <row r="64975" spans="1:26" ht="12.75" customHeight="1" x14ac:dyDescent="0.2">
      <c r="A64975" s="258"/>
      <c r="Z64975" s="258"/>
    </row>
    <row r="64976" spans="1:26" ht="12.75" customHeight="1" x14ac:dyDescent="0.2">
      <c r="A64976" s="258"/>
      <c r="Z64976" s="258"/>
    </row>
    <row r="64977" spans="1:26" ht="12.75" customHeight="1" x14ac:dyDescent="0.2">
      <c r="A64977" s="258"/>
      <c r="Z64977" s="258"/>
    </row>
    <row r="64978" spans="1:26" ht="12.75" customHeight="1" x14ac:dyDescent="0.2">
      <c r="A64978" s="258"/>
      <c r="Z64978" s="258"/>
    </row>
    <row r="64979" spans="1:26" ht="12.75" customHeight="1" x14ac:dyDescent="0.2">
      <c r="A64979" s="258"/>
      <c r="Z64979" s="258"/>
    </row>
    <row r="64980" spans="1:26" ht="12.75" customHeight="1" x14ac:dyDescent="0.2">
      <c r="A64980" s="258"/>
      <c r="Z64980" s="258"/>
    </row>
    <row r="64981" spans="1:26" ht="12.75" customHeight="1" x14ac:dyDescent="0.2">
      <c r="A64981" s="258"/>
      <c r="Z64981" s="258"/>
    </row>
    <row r="64982" spans="1:26" ht="12.75" customHeight="1" x14ac:dyDescent="0.2">
      <c r="A64982" s="258"/>
      <c r="Z64982" s="258"/>
    </row>
    <row r="64983" spans="1:26" ht="12.75" customHeight="1" x14ac:dyDescent="0.2">
      <c r="A64983" s="258"/>
      <c r="Z64983" s="258"/>
    </row>
    <row r="64984" spans="1:26" ht="12.75" customHeight="1" x14ac:dyDescent="0.2">
      <c r="A64984" s="258"/>
      <c r="Z64984" s="258"/>
    </row>
    <row r="64985" spans="1:26" ht="12.75" customHeight="1" x14ac:dyDescent="0.2">
      <c r="A64985" s="258"/>
      <c r="Z64985" s="258"/>
    </row>
    <row r="64986" spans="1:26" ht="12.75" customHeight="1" x14ac:dyDescent="0.2">
      <c r="A64986" s="258"/>
      <c r="Z64986" s="258"/>
    </row>
    <row r="64987" spans="1:26" ht="12.75" customHeight="1" x14ac:dyDescent="0.2">
      <c r="A64987" s="258"/>
      <c r="Z64987" s="258"/>
    </row>
    <row r="64988" spans="1:26" ht="12.75" customHeight="1" x14ac:dyDescent="0.2">
      <c r="A64988" s="258"/>
      <c r="Z64988" s="258"/>
    </row>
    <row r="64989" spans="1:26" ht="12.75" customHeight="1" x14ac:dyDescent="0.2">
      <c r="A64989" s="258"/>
      <c r="Z64989" s="258"/>
    </row>
    <row r="64990" spans="1:26" ht="12.75" customHeight="1" x14ac:dyDescent="0.2">
      <c r="A64990" s="258"/>
      <c r="Z64990" s="258"/>
    </row>
    <row r="64991" spans="1:26" ht="12.75" customHeight="1" x14ac:dyDescent="0.2">
      <c r="A64991" s="258"/>
      <c r="Z64991" s="258"/>
    </row>
    <row r="64992" spans="1:26" ht="12.75" customHeight="1" x14ac:dyDescent="0.2">
      <c r="A64992" s="258"/>
      <c r="Z64992" s="258"/>
    </row>
    <row r="64993" spans="1:26" ht="12.75" customHeight="1" x14ac:dyDescent="0.2">
      <c r="A64993" s="258"/>
      <c r="Z64993" s="258"/>
    </row>
    <row r="64994" spans="1:26" ht="12.75" customHeight="1" x14ac:dyDescent="0.2">
      <c r="A64994" s="258"/>
      <c r="Z64994" s="258"/>
    </row>
    <row r="64995" spans="1:26" ht="12.75" customHeight="1" x14ac:dyDescent="0.2">
      <c r="A64995" s="258"/>
      <c r="Z64995" s="258"/>
    </row>
    <row r="64996" spans="1:26" ht="12.75" customHeight="1" x14ac:dyDescent="0.2">
      <c r="A64996" s="258"/>
      <c r="Z64996" s="258"/>
    </row>
    <row r="64997" spans="1:26" ht="12.75" customHeight="1" x14ac:dyDescent="0.2">
      <c r="A64997" s="258"/>
      <c r="Z64997" s="258"/>
    </row>
    <row r="64998" spans="1:26" ht="12.75" customHeight="1" x14ac:dyDescent="0.2">
      <c r="A64998" s="258"/>
      <c r="Z64998" s="258"/>
    </row>
    <row r="64999" spans="1:26" ht="12.75" customHeight="1" x14ac:dyDescent="0.2">
      <c r="A64999" s="258"/>
      <c r="Z64999" s="258"/>
    </row>
    <row r="65000" spans="1:26" ht="12.75" customHeight="1" x14ac:dyDescent="0.2">
      <c r="A65000" s="258"/>
      <c r="Z65000" s="258"/>
    </row>
    <row r="65001" spans="1:26" ht="12.75" customHeight="1" x14ac:dyDescent="0.2">
      <c r="A65001" s="258"/>
      <c r="Z65001" s="258"/>
    </row>
    <row r="65002" spans="1:26" ht="12.75" customHeight="1" x14ac:dyDescent="0.2">
      <c r="A65002" s="258"/>
      <c r="Z65002" s="258"/>
    </row>
    <row r="65003" spans="1:26" ht="12.75" customHeight="1" x14ac:dyDescent="0.2">
      <c r="A65003" s="258"/>
      <c r="Z65003" s="258"/>
    </row>
    <row r="65004" spans="1:26" ht="12.75" customHeight="1" x14ac:dyDescent="0.2">
      <c r="A65004" s="258"/>
      <c r="Z65004" s="258"/>
    </row>
    <row r="65005" spans="1:26" ht="12.75" customHeight="1" x14ac:dyDescent="0.2">
      <c r="A65005" s="258"/>
      <c r="Z65005" s="258"/>
    </row>
    <row r="65006" spans="1:26" ht="12.75" customHeight="1" x14ac:dyDescent="0.2">
      <c r="A65006" s="258"/>
      <c r="Z65006" s="258"/>
    </row>
    <row r="65007" spans="1:26" ht="12.75" customHeight="1" x14ac:dyDescent="0.2">
      <c r="A65007" s="258"/>
      <c r="Z65007" s="258"/>
    </row>
    <row r="65008" spans="1:26" ht="12.75" customHeight="1" x14ac:dyDescent="0.2">
      <c r="A65008" s="258"/>
      <c r="Z65008" s="258"/>
    </row>
    <row r="65009" spans="1:26" ht="12.75" customHeight="1" x14ac:dyDescent="0.2">
      <c r="A65009" s="258"/>
      <c r="Z65009" s="258"/>
    </row>
    <row r="65010" spans="1:26" ht="12.75" customHeight="1" x14ac:dyDescent="0.2">
      <c r="A65010" s="258"/>
      <c r="Z65010" s="258"/>
    </row>
    <row r="65011" spans="1:26" ht="12.75" customHeight="1" x14ac:dyDescent="0.2">
      <c r="A65011" s="258"/>
      <c r="Z65011" s="258"/>
    </row>
    <row r="65012" spans="1:26" ht="12.75" customHeight="1" x14ac:dyDescent="0.2">
      <c r="A65012" s="258"/>
      <c r="Z65012" s="258"/>
    </row>
    <row r="65013" spans="1:26" ht="12.75" customHeight="1" x14ac:dyDescent="0.2">
      <c r="A65013" s="258"/>
      <c r="Z65013" s="258"/>
    </row>
    <row r="65014" spans="1:26" ht="12.75" customHeight="1" x14ac:dyDescent="0.2">
      <c r="A65014" s="258"/>
      <c r="Z65014" s="258"/>
    </row>
    <row r="65015" spans="1:26" ht="12.75" customHeight="1" x14ac:dyDescent="0.2">
      <c r="A65015" s="258"/>
      <c r="Z65015" s="258"/>
    </row>
    <row r="65016" spans="1:26" ht="12.75" customHeight="1" x14ac:dyDescent="0.2">
      <c r="A65016" s="258"/>
      <c r="Z65016" s="258"/>
    </row>
    <row r="65017" spans="1:26" ht="12.75" customHeight="1" x14ac:dyDescent="0.2">
      <c r="A65017" s="258"/>
      <c r="Z65017" s="258"/>
    </row>
    <row r="65018" spans="1:26" ht="12.75" customHeight="1" x14ac:dyDescent="0.2">
      <c r="A65018" s="258"/>
      <c r="Z65018" s="258"/>
    </row>
    <row r="65019" spans="1:26" ht="12.75" customHeight="1" x14ac:dyDescent="0.2">
      <c r="A65019" s="258"/>
      <c r="Z65019" s="258"/>
    </row>
    <row r="65020" spans="1:26" ht="12.75" customHeight="1" x14ac:dyDescent="0.2">
      <c r="A65020" s="258"/>
      <c r="Z65020" s="258"/>
    </row>
    <row r="65021" spans="1:26" ht="12.75" customHeight="1" x14ac:dyDescent="0.2">
      <c r="A65021" s="258"/>
      <c r="Z65021" s="258"/>
    </row>
    <row r="65022" spans="1:26" ht="12.75" customHeight="1" x14ac:dyDescent="0.2">
      <c r="A65022" s="258"/>
      <c r="Z65022" s="258"/>
    </row>
    <row r="65023" spans="1:26" ht="12.75" customHeight="1" x14ac:dyDescent="0.2">
      <c r="A65023" s="258"/>
      <c r="Z65023" s="258"/>
    </row>
    <row r="65024" spans="1:26" ht="12.75" customHeight="1" x14ac:dyDescent="0.2">
      <c r="A65024" s="258"/>
      <c r="Z65024" s="258"/>
    </row>
    <row r="65025" spans="1:26" ht="12.75" customHeight="1" x14ac:dyDescent="0.2">
      <c r="A65025" s="258"/>
      <c r="Z65025" s="258"/>
    </row>
    <row r="65026" spans="1:26" ht="12.75" customHeight="1" x14ac:dyDescent="0.2">
      <c r="A65026" s="258"/>
      <c r="Z65026" s="258"/>
    </row>
    <row r="65027" spans="1:26" ht="12.75" customHeight="1" x14ac:dyDescent="0.2">
      <c r="A65027" s="258"/>
      <c r="Z65027" s="258"/>
    </row>
    <row r="65028" spans="1:26" ht="12.75" customHeight="1" x14ac:dyDescent="0.2">
      <c r="A65028" s="258"/>
      <c r="Z65028" s="258"/>
    </row>
    <row r="65029" spans="1:26" ht="12.75" customHeight="1" x14ac:dyDescent="0.2">
      <c r="A65029" s="258"/>
      <c r="Z65029" s="258"/>
    </row>
    <row r="65030" spans="1:26" ht="12.75" customHeight="1" x14ac:dyDescent="0.2">
      <c r="A65030" s="258"/>
      <c r="Z65030" s="258"/>
    </row>
    <row r="65031" spans="1:26" ht="12.75" customHeight="1" x14ac:dyDescent="0.2">
      <c r="A65031" s="258"/>
      <c r="Z65031" s="258"/>
    </row>
    <row r="65032" spans="1:26" ht="12.75" customHeight="1" x14ac:dyDescent="0.2">
      <c r="A65032" s="258"/>
      <c r="Z65032" s="258"/>
    </row>
    <row r="65033" spans="1:26" ht="12.75" customHeight="1" x14ac:dyDescent="0.2">
      <c r="A65033" s="258"/>
      <c r="Z65033" s="258"/>
    </row>
    <row r="65034" spans="1:26" ht="12.75" customHeight="1" x14ac:dyDescent="0.2">
      <c r="A65034" s="258"/>
      <c r="Z65034" s="258"/>
    </row>
    <row r="65035" spans="1:26" ht="12.75" customHeight="1" x14ac:dyDescent="0.2">
      <c r="A65035" s="258"/>
      <c r="Z65035" s="258"/>
    </row>
    <row r="65036" spans="1:26" ht="12.75" customHeight="1" x14ac:dyDescent="0.2">
      <c r="A65036" s="258"/>
      <c r="Z65036" s="258"/>
    </row>
    <row r="65037" spans="1:26" ht="12.75" customHeight="1" x14ac:dyDescent="0.2">
      <c r="A65037" s="258"/>
      <c r="Z65037" s="258"/>
    </row>
    <row r="65038" spans="1:26" ht="12.75" customHeight="1" x14ac:dyDescent="0.2">
      <c r="A65038" s="258"/>
      <c r="Z65038" s="258"/>
    </row>
    <row r="65039" spans="1:26" ht="12.75" customHeight="1" x14ac:dyDescent="0.2">
      <c r="A65039" s="258"/>
      <c r="Z65039" s="258"/>
    </row>
    <row r="65040" spans="1:26" ht="12.75" customHeight="1" x14ac:dyDescent="0.2">
      <c r="A65040" s="258"/>
      <c r="Z65040" s="258"/>
    </row>
    <row r="65041" spans="1:26" ht="12.75" customHeight="1" x14ac:dyDescent="0.2">
      <c r="A65041" s="258"/>
      <c r="Z65041" s="258"/>
    </row>
    <row r="65042" spans="1:26" ht="12.75" customHeight="1" x14ac:dyDescent="0.2">
      <c r="A65042" s="258"/>
      <c r="Z65042" s="258"/>
    </row>
    <row r="65043" spans="1:26" ht="12.75" customHeight="1" x14ac:dyDescent="0.2">
      <c r="A65043" s="258"/>
      <c r="Z65043" s="258"/>
    </row>
    <row r="65044" spans="1:26" ht="12.75" customHeight="1" x14ac:dyDescent="0.2">
      <c r="A65044" s="258"/>
      <c r="Z65044" s="258"/>
    </row>
    <row r="65045" spans="1:26" ht="12.75" customHeight="1" x14ac:dyDescent="0.2">
      <c r="A65045" s="258"/>
      <c r="Z65045" s="258"/>
    </row>
    <row r="65046" spans="1:26" ht="12.75" customHeight="1" x14ac:dyDescent="0.2">
      <c r="A65046" s="258"/>
      <c r="Z65046" s="258"/>
    </row>
    <row r="65047" spans="1:26" ht="12.75" customHeight="1" x14ac:dyDescent="0.2">
      <c r="A65047" s="258"/>
      <c r="Z65047" s="258"/>
    </row>
    <row r="65048" spans="1:26" ht="12.75" customHeight="1" x14ac:dyDescent="0.2">
      <c r="A65048" s="258"/>
      <c r="Z65048" s="258"/>
    </row>
    <row r="65049" spans="1:26" ht="12.75" customHeight="1" x14ac:dyDescent="0.2">
      <c r="A65049" s="258"/>
      <c r="Z65049" s="258"/>
    </row>
    <row r="65050" spans="1:26" ht="12.75" customHeight="1" x14ac:dyDescent="0.2">
      <c r="A65050" s="258"/>
      <c r="Z65050" s="258"/>
    </row>
    <row r="65051" spans="1:26" ht="12.75" customHeight="1" x14ac:dyDescent="0.2">
      <c r="A65051" s="258"/>
      <c r="Z65051" s="258"/>
    </row>
    <row r="65052" spans="1:26" ht="12.75" customHeight="1" x14ac:dyDescent="0.2">
      <c r="A65052" s="258"/>
      <c r="Z65052" s="258"/>
    </row>
    <row r="65053" spans="1:26" ht="12.75" customHeight="1" x14ac:dyDescent="0.2">
      <c r="A65053" s="258"/>
      <c r="Z65053" s="258"/>
    </row>
    <row r="65054" spans="1:26" ht="12.75" customHeight="1" x14ac:dyDescent="0.2">
      <c r="A65054" s="258"/>
      <c r="Z65054" s="258"/>
    </row>
    <row r="65055" spans="1:26" ht="12.75" customHeight="1" x14ac:dyDescent="0.2">
      <c r="A65055" s="258"/>
      <c r="Z65055" s="258"/>
    </row>
    <row r="65056" spans="1:26" ht="12.75" customHeight="1" x14ac:dyDescent="0.2">
      <c r="A65056" s="258"/>
      <c r="Z65056" s="258"/>
    </row>
    <row r="65057" spans="1:26" ht="12.75" customHeight="1" x14ac:dyDescent="0.2">
      <c r="A65057" s="258"/>
      <c r="Z65057" s="258"/>
    </row>
    <row r="65058" spans="1:26" ht="12.75" customHeight="1" x14ac:dyDescent="0.2">
      <c r="A65058" s="258"/>
      <c r="Z65058" s="258"/>
    </row>
    <row r="65059" spans="1:26" ht="12.75" customHeight="1" x14ac:dyDescent="0.2">
      <c r="A65059" s="258"/>
      <c r="Z65059" s="258"/>
    </row>
    <row r="65060" spans="1:26" ht="12.75" customHeight="1" x14ac:dyDescent="0.2">
      <c r="A65060" s="258"/>
      <c r="Z65060" s="258"/>
    </row>
    <row r="65061" spans="1:26" ht="12.75" customHeight="1" x14ac:dyDescent="0.2">
      <c r="A65061" s="258"/>
      <c r="Z65061" s="258"/>
    </row>
    <row r="65062" spans="1:26" ht="12.75" customHeight="1" x14ac:dyDescent="0.2">
      <c r="A65062" s="258"/>
      <c r="Z65062" s="258"/>
    </row>
    <row r="65063" spans="1:26" ht="12.75" customHeight="1" x14ac:dyDescent="0.2">
      <c r="A65063" s="258"/>
      <c r="Z65063" s="258"/>
    </row>
    <row r="65064" spans="1:26" ht="12.75" customHeight="1" x14ac:dyDescent="0.2">
      <c r="A65064" s="258"/>
      <c r="Z65064" s="258"/>
    </row>
    <row r="65065" spans="1:26" ht="12.75" customHeight="1" x14ac:dyDescent="0.2">
      <c r="A65065" s="258"/>
      <c r="Z65065" s="258"/>
    </row>
    <row r="65066" spans="1:26" ht="12.75" customHeight="1" x14ac:dyDescent="0.2">
      <c r="A65066" s="258"/>
      <c r="Z65066" s="258"/>
    </row>
    <row r="65067" spans="1:26" ht="12.75" customHeight="1" x14ac:dyDescent="0.2">
      <c r="A65067" s="258"/>
      <c r="Z65067" s="258"/>
    </row>
    <row r="65068" spans="1:26" ht="12.75" customHeight="1" x14ac:dyDescent="0.2">
      <c r="A65068" s="258"/>
      <c r="Z65068" s="258"/>
    </row>
    <row r="65069" spans="1:26" ht="12.75" customHeight="1" x14ac:dyDescent="0.2">
      <c r="A65069" s="258"/>
      <c r="Z65069" s="258"/>
    </row>
    <row r="65070" spans="1:26" ht="12.75" customHeight="1" x14ac:dyDescent="0.2">
      <c r="A65070" s="258"/>
      <c r="Z65070" s="258"/>
    </row>
    <row r="65071" spans="1:26" ht="12.75" customHeight="1" x14ac:dyDescent="0.2">
      <c r="A65071" s="258"/>
      <c r="Z65071" s="258"/>
    </row>
    <row r="65072" spans="1:26" ht="12.75" customHeight="1" x14ac:dyDescent="0.2">
      <c r="A65072" s="258"/>
      <c r="Z65072" s="258"/>
    </row>
    <row r="65073" spans="1:26" ht="12.75" customHeight="1" x14ac:dyDescent="0.2">
      <c r="A65073" s="258"/>
      <c r="Z65073" s="258"/>
    </row>
    <row r="65074" spans="1:26" ht="12.75" customHeight="1" x14ac:dyDescent="0.2">
      <c r="A65074" s="258"/>
      <c r="Z65074" s="258"/>
    </row>
    <row r="65075" spans="1:26" ht="12.75" customHeight="1" x14ac:dyDescent="0.2">
      <c r="A65075" s="258"/>
      <c r="Z65075" s="258"/>
    </row>
    <row r="65076" spans="1:26" ht="12.75" customHeight="1" x14ac:dyDescent="0.2">
      <c r="A65076" s="258"/>
      <c r="Z65076" s="258"/>
    </row>
    <row r="65077" spans="1:26" ht="12.75" customHeight="1" x14ac:dyDescent="0.2">
      <c r="A65077" s="258"/>
      <c r="Z65077" s="258"/>
    </row>
    <row r="65078" spans="1:26" ht="12.75" customHeight="1" x14ac:dyDescent="0.2">
      <c r="A65078" s="258"/>
      <c r="Z65078" s="258"/>
    </row>
    <row r="65079" spans="1:26" ht="12.75" customHeight="1" x14ac:dyDescent="0.2">
      <c r="A65079" s="258"/>
      <c r="Z65079" s="258"/>
    </row>
    <row r="65080" spans="1:26" ht="12.75" customHeight="1" x14ac:dyDescent="0.2">
      <c r="A65080" s="258"/>
      <c r="Z65080" s="258"/>
    </row>
    <row r="65081" spans="1:26" ht="12.75" customHeight="1" x14ac:dyDescent="0.2">
      <c r="A65081" s="258"/>
      <c r="Z65081" s="258"/>
    </row>
    <row r="65082" spans="1:26" ht="12.75" customHeight="1" x14ac:dyDescent="0.2">
      <c r="A65082" s="258"/>
      <c r="Z65082" s="258"/>
    </row>
    <row r="65083" spans="1:26" ht="12.75" customHeight="1" x14ac:dyDescent="0.2">
      <c r="A65083" s="258"/>
      <c r="Z65083" s="258"/>
    </row>
    <row r="65084" spans="1:26" ht="12.75" customHeight="1" x14ac:dyDescent="0.2">
      <c r="A65084" s="258"/>
      <c r="Z65084" s="258"/>
    </row>
    <row r="65085" spans="1:26" ht="12.75" customHeight="1" x14ac:dyDescent="0.2">
      <c r="A65085" s="258"/>
      <c r="Z65085" s="258"/>
    </row>
    <row r="65086" spans="1:26" ht="12.75" customHeight="1" x14ac:dyDescent="0.2">
      <c r="A65086" s="258"/>
      <c r="Z65086" s="258"/>
    </row>
    <row r="65087" spans="1:26" ht="12.75" customHeight="1" x14ac:dyDescent="0.2">
      <c r="A65087" s="258"/>
      <c r="Z65087" s="258"/>
    </row>
    <row r="65088" spans="1:26" ht="12.75" customHeight="1" x14ac:dyDescent="0.2">
      <c r="A65088" s="258"/>
      <c r="Z65088" s="258"/>
    </row>
    <row r="65089" spans="1:26" ht="12.75" customHeight="1" x14ac:dyDescent="0.2">
      <c r="A65089" s="258"/>
      <c r="Z65089" s="258"/>
    </row>
    <row r="65090" spans="1:26" ht="12.75" customHeight="1" x14ac:dyDescent="0.2">
      <c r="A65090" s="258"/>
      <c r="Z65090" s="258"/>
    </row>
    <row r="65091" spans="1:26" ht="12.75" customHeight="1" x14ac:dyDescent="0.2">
      <c r="A65091" s="258"/>
      <c r="Z65091" s="258"/>
    </row>
    <row r="65092" spans="1:26" ht="12.75" customHeight="1" x14ac:dyDescent="0.2">
      <c r="A65092" s="258"/>
      <c r="Z65092" s="258"/>
    </row>
    <row r="65093" spans="1:26" ht="12.75" customHeight="1" x14ac:dyDescent="0.2">
      <c r="A65093" s="258"/>
      <c r="Z65093" s="258"/>
    </row>
    <row r="65094" spans="1:26" ht="12.75" customHeight="1" x14ac:dyDescent="0.2">
      <c r="A65094" s="258"/>
      <c r="Z65094" s="258"/>
    </row>
    <row r="65095" spans="1:26" ht="12.75" customHeight="1" x14ac:dyDescent="0.2">
      <c r="A65095" s="258"/>
      <c r="Z65095" s="258"/>
    </row>
    <row r="65096" spans="1:26" ht="12.75" customHeight="1" x14ac:dyDescent="0.2">
      <c r="A65096" s="258"/>
      <c r="Z65096" s="258"/>
    </row>
    <row r="65097" spans="1:26" ht="12.75" customHeight="1" x14ac:dyDescent="0.2">
      <c r="A65097" s="258"/>
      <c r="Z65097" s="258"/>
    </row>
    <row r="65098" spans="1:26" ht="12.75" customHeight="1" x14ac:dyDescent="0.2">
      <c r="A65098" s="258"/>
      <c r="Z65098" s="258"/>
    </row>
    <row r="65099" spans="1:26" ht="12.75" customHeight="1" x14ac:dyDescent="0.2">
      <c r="A65099" s="258"/>
      <c r="Z65099" s="258"/>
    </row>
    <row r="65100" spans="1:26" ht="12.75" customHeight="1" x14ac:dyDescent="0.2">
      <c r="A65100" s="258"/>
      <c r="Z65100" s="258"/>
    </row>
    <row r="65101" spans="1:26" ht="12.75" customHeight="1" x14ac:dyDescent="0.2">
      <c r="A65101" s="258"/>
      <c r="Z65101" s="258"/>
    </row>
    <row r="65102" spans="1:26" ht="12.75" customHeight="1" x14ac:dyDescent="0.2">
      <c r="A65102" s="258"/>
      <c r="Z65102" s="258"/>
    </row>
    <row r="65103" spans="1:26" ht="12.75" customHeight="1" x14ac:dyDescent="0.2">
      <c r="A65103" s="258"/>
      <c r="Z65103" s="258"/>
    </row>
    <row r="65104" spans="1:26" ht="12.75" customHeight="1" x14ac:dyDescent="0.2">
      <c r="A65104" s="258"/>
      <c r="Z65104" s="258"/>
    </row>
    <row r="65105" spans="1:26" ht="12.75" customHeight="1" x14ac:dyDescent="0.2">
      <c r="A65105" s="258"/>
      <c r="Z65105" s="258"/>
    </row>
    <row r="65106" spans="1:26" ht="12.75" customHeight="1" x14ac:dyDescent="0.2">
      <c r="A65106" s="258"/>
      <c r="Z65106" s="258"/>
    </row>
    <row r="65107" spans="1:26" ht="12.75" customHeight="1" x14ac:dyDescent="0.2">
      <c r="A65107" s="258"/>
      <c r="Z65107" s="258"/>
    </row>
    <row r="65108" spans="1:26" ht="12.75" customHeight="1" x14ac:dyDescent="0.2">
      <c r="A65108" s="258"/>
      <c r="Z65108" s="258"/>
    </row>
    <row r="65109" spans="1:26" ht="12.75" customHeight="1" x14ac:dyDescent="0.2">
      <c r="A65109" s="258"/>
      <c r="Z65109" s="258"/>
    </row>
    <row r="65110" spans="1:26" ht="12.75" customHeight="1" x14ac:dyDescent="0.2">
      <c r="A65110" s="258"/>
      <c r="Z65110" s="258"/>
    </row>
    <row r="65111" spans="1:26" ht="12.75" customHeight="1" x14ac:dyDescent="0.2">
      <c r="A65111" s="258"/>
      <c r="Z65111" s="258"/>
    </row>
    <row r="65112" spans="1:26" ht="12.75" customHeight="1" x14ac:dyDescent="0.2">
      <c r="A65112" s="258"/>
      <c r="Z65112" s="258"/>
    </row>
    <row r="65113" spans="1:26" ht="12.75" customHeight="1" x14ac:dyDescent="0.2">
      <c r="A65113" s="258"/>
      <c r="Z65113" s="258"/>
    </row>
    <row r="65114" spans="1:26" ht="12.75" customHeight="1" x14ac:dyDescent="0.2">
      <c r="A65114" s="258"/>
      <c r="Z65114" s="258"/>
    </row>
    <row r="65115" spans="1:26" ht="12.75" customHeight="1" x14ac:dyDescent="0.2">
      <c r="A65115" s="258"/>
      <c r="Z65115" s="258"/>
    </row>
    <row r="65116" spans="1:26" ht="12.75" customHeight="1" x14ac:dyDescent="0.2">
      <c r="A65116" s="258"/>
      <c r="Z65116" s="258"/>
    </row>
    <row r="65117" spans="1:26" ht="12.75" customHeight="1" x14ac:dyDescent="0.2">
      <c r="A65117" s="258"/>
      <c r="Z65117" s="258"/>
    </row>
    <row r="65118" spans="1:26" ht="12.75" customHeight="1" x14ac:dyDescent="0.2">
      <c r="A65118" s="258"/>
      <c r="Z65118" s="258"/>
    </row>
    <row r="65119" spans="1:26" ht="12.75" customHeight="1" x14ac:dyDescent="0.2">
      <c r="A65119" s="258"/>
      <c r="Z65119" s="258"/>
    </row>
    <row r="65120" spans="1:26" ht="12.75" customHeight="1" x14ac:dyDescent="0.2">
      <c r="A65120" s="258"/>
      <c r="Z65120" s="258"/>
    </row>
    <row r="65121" spans="1:26" ht="12.75" customHeight="1" x14ac:dyDescent="0.2">
      <c r="A65121" s="258"/>
      <c r="Z65121" s="258"/>
    </row>
    <row r="65122" spans="1:26" ht="12.75" customHeight="1" x14ac:dyDescent="0.2">
      <c r="A65122" s="258"/>
      <c r="Z65122" s="258"/>
    </row>
    <row r="65123" spans="1:26" ht="12.75" customHeight="1" x14ac:dyDescent="0.2">
      <c r="A65123" s="258"/>
      <c r="Z65123" s="258"/>
    </row>
    <row r="65124" spans="1:26" ht="12.75" customHeight="1" x14ac:dyDescent="0.2">
      <c r="A65124" s="258"/>
      <c r="Z65124" s="258"/>
    </row>
    <row r="65125" spans="1:26" ht="12.75" customHeight="1" x14ac:dyDescent="0.2">
      <c r="A65125" s="258"/>
      <c r="Z65125" s="258"/>
    </row>
    <row r="65126" spans="1:26" ht="12.75" customHeight="1" x14ac:dyDescent="0.2">
      <c r="A65126" s="258"/>
      <c r="Z65126" s="258"/>
    </row>
    <row r="65127" spans="1:26" ht="12.75" customHeight="1" x14ac:dyDescent="0.2">
      <c r="A65127" s="258"/>
      <c r="Z65127" s="258"/>
    </row>
    <row r="65128" spans="1:26" ht="12.75" customHeight="1" x14ac:dyDescent="0.2">
      <c r="A65128" s="258"/>
      <c r="Z65128" s="258"/>
    </row>
    <row r="65129" spans="1:26" ht="12.75" customHeight="1" x14ac:dyDescent="0.2">
      <c r="A65129" s="258"/>
      <c r="Z65129" s="258"/>
    </row>
    <row r="65130" spans="1:26" ht="12.75" customHeight="1" x14ac:dyDescent="0.2">
      <c r="A65130" s="258"/>
      <c r="Z65130" s="258"/>
    </row>
    <row r="65131" spans="1:26" ht="12.75" customHeight="1" x14ac:dyDescent="0.2">
      <c r="A65131" s="258"/>
      <c r="Z65131" s="258"/>
    </row>
    <row r="65132" spans="1:26" ht="12.75" customHeight="1" x14ac:dyDescent="0.2">
      <c r="A65132" s="258"/>
      <c r="Z65132" s="258"/>
    </row>
    <row r="65133" spans="1:26" ht="12.75" customHeight="1" x14ac:dyDescent="0.2">
      <c r="A65133" s="258"/>
      <c r="Z65133" s="258"/>
    </row>
    <row r="65134" spans="1:26" ht="12.75" customHeight="1" x14ac:dyDescent="0.2">
      <c r="A65134" s="258"/>
      <c r="Z65134" s="258"/>
    </row>
    <row r="65135" spans="1:26" ht="12.75" customHeight="1" x14ac:dyDescent="0.2">
      <c r="A65135" s="258"/>
      <c r="Z65135" s="258"/>
    </row>
    <row r="65136" spans="1:26" ht="12.75" customHeight="1" x14ac:dyDescent="0.2">
      <c r="A65136" s="258"/>
      <c r="Z65136" s="258"/>
    </row>
    <row r="65137" spans="1:26" ht="12.75" customHeight="1" x14ac:dyDescent="0.2">
      <c r="A65137" s="258"/>
      <c r="Z65137" s="258"/>
    </row>
    <row r="65138" spans="1:26" ht="12.75" customHeight="1" x14ac:dyDescent="0.2">
      <c r="A65138" s="258"/>
      <c r="Z65138" s="258"/>
    </row>
    <row r="65139" spans="1:26" ht="12.75" customHeight="1" x14ac:dyDescent="0.2">
      <c r="A65139" s="258"/>
      <c r="Z65139" s="258"/>
    </row>
    <row r="65140" spans="1:26" ht="12.75" customHeight="1" x14ac:dyDescent="0.2">
      <c r="A65140" s="258"/>
      <c r="Z65140" s="258"/>
    </row>
    <row r="65141" spans="1:26" ht="12.75" customHeight="1" x14ac:dyDescent="0.2">
      <c r="A65141" s="258"/>
      <c r="Z65141" s="258"/>
    </row>
    <row r="65142" spans="1:26" ht="12.75" customHeight="1" x14ac:dyDescent="0.2">
      <c r="A65142" s="258"/>
      <c r="Z65142" s="258"/>
    </row>
    <row r="65143" spans="1:26" ht="12.75" customHeight="1" x14ac:dyDescent="0.2">
      <c r="A65143" s="258"/>
      <c r="Z65143" s="258"/>
    </row>
    <row r="65144" spans="1:26" ht="12.75" customHeight="1" x14ac:dyDescent="0.2">
      <c r="A65144" s="258"/>
      <c r="Z65144" s="258"/>
    </row>
    <row r="65145" spans="1:26" ht="12.75" customHeight="1" x14ac:dyDescent="0.2">
      <c r="A65145" s="258"/>
      <c r="Z65145" s="258"/>
    </row>
    <row r="65146" spans="1:26" ht="12.75" customHeight="1" x14ac:dyDescent="0.2">
      <c r="A65146" s="258"/>
      <c r="Z65146" s="258"/>
    </row>
    <row r="65147" spans="1:26" ht="12.75" customHeight="1" x14ac:dyDescent="0.2">
      <c r="A65147" s="258"/>
      <c r="Z65147" s="258"/>
    </row>
    <row r="65148" spans="1:26" ht="12.75" customHeight="1" x14ac:dyDescent="0.2">
      <c r="A65148" s="258"/>
      <c r="Z65148" s="258"/>
    </row>
    <row r="65149" spans="1:26" ht="12.75" customHeight="1" x14ac:dyDescent="0.2">
      <c r="A65149" s="258"/>
      <c r="Z65149" s="258"/>
    </row>
    <row r="65150" spans="1:26" ht="12.75" customHeight="1" x14ac:dyDescent="0.2">
      <c r="A65150" s="258"/>
      <c r="Z65150" s="258"/>
    </row>
    <row r="65151" spans="1:26" ht="12.75" customHeight="1" x14ac:dyDescent="0.2">
      <c r="A65151" s="258"/>
      <c r="Z65151" s="258"/>
    </row>
    <row r="65152" spans="1:26" ht="12.75" customHeight="1" x14ac:dyDescent="0.2">
      <c r="A65152" s="258"/>
      <c r="Z65152" s="258"/>
    </row>
    <row r="65153" spans="1:26" ht="12.75" customHeight="1" x14ac:dyDescent="0.2">
      <c r="A65153" s="258"/>
      <c r="Z65153" s="258"/>
    </row>
    <row r="65154" spans="1:26" ht="12.75" customHeight="1" x14ac:dyDescent="0.2">
      <c r="A65154" s="258"/>
      <c r="Z65154" s="258"/>
    </row>
    <row r="65155" spans="1:26" ht="12.75" customHeight="1" x14ac:dyDescent="0.2">
      <c r="A65155" s="258"/>
      <c r="Z65155" s="258"/>
    </row>
    <row r="65156" spans="1:26" ht="12.75" customHeight="1" x14ac:dyDescent="0.2">
      <c r="A65156" s="258"/>
      <c r="Z65156" s="258"/>
    </row>
    <row r="65157" spans="1:26" ht="12.75" customHeight="1" x14ac:dyDescent="0.2">
      <c r="A65157" s="258"/>
      <c r="Z65157" s="258"/>
    </row>
    <row r="65158" spans="1:26" ht="12.75" customHeight="1" x14ac:dyDescent="0.2">
      <c r="A65158" s="258"/>
      <c r="Z65158" s="258"/>
    </row>
    <row r="65159" spans="1:26" ht="12.75" customHeight="1" x14ac:dyDescent="0.2">
      <c r="A65159" s="258"/>
      <c r="Z65159" s="258"/>
    </row>
    <row r="65160" spans="1:26" ht="12.75" customHeight="1" x14ac:dyDescent="0.2">
      <c r="A65160" s="258"/>
      <c r="Z65160" s="258"/>
    </row>
    <row r="65161" spans="1:26" ht="12.75" customHeight="1" x14ac:dyDescent="0.2">
      <c r="A65161" s="258"/>
      <c r="Z65161" s="258"/>
    </row>
    <row r="65162" spans="1:26" ht="12.75" customHeight="1" x14ac:dyDescent="0.2">
      <c r="A65162" s="258"/>
      <c r="Z65162" s="258"/>
    </row>
    <row r="65163" spans="1:26" ht="12.75" customHeight="1" x14ac:dyDescent="0.2">
      <c r="A65163" s="258"/>
      <c r="Z65163" s="258"/>
    </row>
    <row r="65164" spans="1:26" ht="12.75" customHeight="1" x14ac:dyDescent="0.2">
      <c r="A65164" s="258"/>
      <c r="Z65164" s="258"/>
    </row>
    <row r="65165" spans="1:26" ht="12.75" customHeight="1" x14ac:dyDescent="0.2">
      <c r="A65165" s="258"/>
      <c r="Z65165" s="258"/>
    </row>
    <row r="65166" spans="1:26" ht="12.75" customHeight="1" x14ac:dyDescent="0.2">
      <c r="A65166" s="258"/>
      <c r="Z65166" s="258"/>
    </row>
    <row r="65167" spans="1:26" ht="12.75" customHeight="1" x14ac:dyDescent="0.2">
      <c r="A65167" s="258"/>
      <c r="Z65167" s="258"/>
    </row>
    <row r="65168" spans="1:26" ht="12.75" customHeight="1" x14ac:dyDescent="0.2">
      <c r="A65168" s="258"/>
      <c r="Z65168" s="258"/>
    </row>
    <row r="65169" spans="1:26" ht="12.75" customHeight="1" x14ac:dyDescent="0.2">
      <c r="A65169" s="258"/>
      <c r="Z65169" s="258"/>
    </row>
    <row r="65170" spans="1:26" ht="12.75" customHeight="1" x14ac:dyDescent="0.2">
      <c r="A65170" s="258"/>
      <c r="Z65170" s="258"/>
    </row>
    <row r="65171" spans="1:26" ht="12.75" customHeight="1" x14ac:dyDescent="0.2">
      <c r="A65171" s="258"/>
      <c r="Z65171" s="258"/>
    </row>
    <row r="65172" spans="1:26" ht="12.75" customHeight="1" x14ac:dyDescent="0.2">
      <c r="A65172" s="258"/>
      <c r="Z65172" s="258"/>
    </row>
    <row r="65173" spans="1:26" ht="12.75" customHeight="1" x14ac:dyDescent="0.2">
      <c r="A65173" s="258"/>
      <c r="Z65173" s="258"/>
    </row>
    <row r="65174" spans="1:26" ht="12.75" customHeight="1" x14ac:dyDescent="0.2">
      <c r="A65174" s="258"/>
      <c r="Z65174" s="258"/>
    </row>
    <row r="65175" spans="1:26" ht="12.75" customHeight="1" x14ac:dyDescent="0.2">
      <c r="A65175" s="258"/>
      <c r="Z65175" s="258"/>
    </row>
    <row r="65176" spans="1:26" ht="12.75" customHeight="1" x14ac:dyDescent="0.2">
      <c r="A65176" s="258"/>
      <c r="Z65176" s="258"/>
    </row>
    <row r="65177" spans="1:26" ht="12.75" customHeight="1" x14ac:dyDescent="0.2">
      <c r="A65177" s="258"/>
      <c r="Z65177" s="258"/>
    </row>
    <row r="65178" spans="1:26" ht="12.75" customHeight="1" x14ac:dyDescent="0.2">
      <c r="A65178" s="258"/>
      <c r="Z65178" s="258"/>
    </row>
    <row r="65179" spans="1:26" ht="12.75" customHeight="1" x14ac:dyDescent="0.2">
      <c r="A65179" s="258"/>
      <c r="Z65179" s="258"/>
    </row>
    <row r="65180" spans="1:26" ht="12.75" customHeight="1" x14ac:dyDescent="0.2">
      <c r="A65180" s="258"/>
      <c r="Z65180" s="258"/>
    </row>
    <row r="65181" spans="1:26" ht="12.75" customHeight="1" x14ac:dyDescent="0.2">
      <c r="A65181" s="258"/>
      <c r="Z65181" s="258"/>
    </row>
    <row r="65182" spans="1:26" ht="12.75" customHeight="1" x14ac:dyDescent="0.2">
      <c r="A65182" s="258"/>
      <c r="Z65182" s="258"/>
    </row>
    <row r="65183" spans="1:26" ht="12.75" customHeight="1" x14ac:dyDescent="0.2">
      <c r="A65183" s="258"/>
      <c r="Z65183" s="258"/>
    </row>
    <row r="65184" spans="1:26" ht="12.75" customHeight="1" x14ac:dyDescent="0.2">
      <c r="A65184" s="258"/>
      <c r="Z65184" s="258"/>
    </row>
    <row r="65185" spans="1:26" ht="12.75" customHeight="1" x14ac:dyDescent="0.2">
      <c r="A65185" s="258"/>
      <c r="Z65185" s="258"/>
    </row>
    <row r="65186" spans="1:26" ht="12.75" customHeight="1" x14ac:dyDescent="0.2">
      <c r="A65186" s="258"/>
      <c r="Z65186" s="258"/>
    </row>
    <row r="65187" spans="1:26" ht="12.75" customHeight="1" x14ac:dyDescent="0.2">
      <c r="A65187" s="258"/>
      <c r="Z65187" s="258"/>
    </row>
    <row r="65188" spans="1:26" ht="12.75" customHeight="1" x14ac:dyDescent="0.2">
      <c r="A65188" s="258"/>
      <c r="Z65188" s="258"/>
    </row>
    <row r="65189" spans="1:26" ht="12.75" customHeight="1" x14ac:dyDescent="0.2">
      <c r="A65189" s="258"/>
      <c r="Z65189" s="258"/>
    </row>
    <row r="65190" spans="1:26" ht="12.75" customHeight="1" x14ac:dyDescent="0.2">
      <c r="A65190" s="258"/>
      <c r="Z65190" s="258"/>
    </row>
    <row r="65191" spans="1:26" ht="12.75" customHeight="1" x14ac:dyDescent="0.2">
      <c r="A65191" s="258"/>
      <c r="Z65191" s="258"/>
    </row>
    <row r="65192" spans="1:26" ht="12.75" customHeight="1" x14ac:dyDescent="0.2">
      <c r="A65192" s="258"/>
      <c r="Z65192" s="258"/>
    </row>
    <row r="65193" spans="1:26" ht="12.75" customHeight="1" x14ac:dyDescent="0.2">
      <c r="A65193" s="258"/>
      <c r="Z65193" s="258"/>
    </row>
    <row r="65194" spans="1:26" ht="12.75" customHeight="1" x14ac:dyDescent="0.2">
      <c r="A65194" s="258"/>
      <c r="Z65194" s="258"/>
    </row>
    <row r="65195" spans="1:26" ht="12.75" customHeight="1" x14ac:dyDescent="0.2">
      <c r="A65195" s="258"/>
      <c r="Z65195" s="258"/>
    </row>
    <row r="65196" spans="1:26" ht="12.75" customHeight="1" x14ac:dyDescent="0.2">
      <c r="A65196" s="258"/>
      <c r="Z65196" s="258"/>
    </row>
    <row r="65197" spans="1:26" ht="12.75" customHeight="1" x14ac:dyDescent="0.2">
      <c r="A65197" s="258"/>
      <c r="Z65197" s="258"/>
    </row>
    <row r="65198" spans="1:26" ht="12.75" customHeight="1" x14ac:dyDescent="0.2">
      <c r="A65198" s="258"/>
      <c r="Z65198" s="258"/>
    </row>
    <row r="65199" spans="1:26" ht="12.75" customHeight="1" x14ac:dyDescent="0.2">
      <c r="A65199" s="258"/>
      <c r="Z65199" s="258"/>
    </row>
    <row r="65200" spans="1:26" ht="12.75" customHeight="1" x14ac:dyDescent="0.2">
      <c r="A65200" s="258"/>
      <c r="Z65200" s="258"/>
    </row>
    <row r="65201" spans="1:26" ht="12.75" customHeight="1" x14ac:dyDescent="0.2">
      <c r="A65201" s="258"/>
      <c r="Z65201" s="258"/>
    </row>
    <row r="65202" spans="1:26" ht="12.75" customHeight="1" x14ac:dyDescent="0.2">
      <c r="A65202" s="258"/>
      <c r="Z65202" s="258"/>
    </row>
    <row r="65203" spans="1:26" ht="12.75" customHeight="1" x14ac:dyDescent="0.2">
      <c r="A65203" s="258"/>
      <c r="Z65203" s="258"/>
    </row>
    <row r="65204" spans="1:26" ht="12.75" customHeight="1" x14ac:dyDescent="0.2">
      <c r="A65204" s="258"/>
      <c r="Z65204" s="258"/>
    </row>
    <row r="65205" spans="1:26" ht="12.75" customHeight="1" x14ac:dyDescent="0.2">
      <c r="A65205" s="258"/>
      <c r="Z65205" s="258"/>
    </row>
    <row r="65206" spans="1:26" ht="12.75" customHeight="1" x14ac:dyDescent="0.2">
      <c r="A65206" s="258"/>
      <c r="Z65206" s="258"/>
    </row>
    <row r="65207" spans="1:26" ht="12.75" customHeight="1" x14ac:dyDescent="0.2">
      <c r="A65207" s="258"/>
      <c r="Z65207" s="258"/>
    </row>
    <row r="65208" spans="1:26" ht="12.75" customHeight="1" x14ac:dyDescent="0.2">
      <c r="A65208" s="258"/>
      <c r="Z65208" s="258"/>
    </row>
    <row r="65209" spans="1:26" ht="12.75" customHeight="1" x14ac:dyDescent="0.2">
      <c r="A65209" s="258"/>
      <c r="Z65209" s="258"/>
    </row>
    <row r="65210" spans="1:26" ht="12.75" customHeight="1" x14ac:dyDescent="0.2">
      <c r="A65210" s="258"/>
      <c r="Z65210" s="258"/>
    </row>
    <row r="65211" spans="1:26" ht="12.75" customHeight="1" x14ac:dyDescent="0.2">
      <c r="A65211" s="258"/>
      <c r="Z65211" s="258"/>
    </row>
    <row r="65212" spans="1:26" ht="12.75" customHeight="1" x14ac:dyDescent="0.2">
      <c r="A65212" s="258"/>
      <c r="Z65212" s="258"/>
    </row>
    <row r="65213" spans="1:26" ht="12.75" customHeight="1" x14ac:dyDescent="0.2">
      <c r="A65213" s="258"/>
      <c r="Z65213" s="258"/>
    </row>
    <row r="65214" spans="1:26" ht="12.75" customHeight="1" x14ac:dyDescent="0.2">
      <c r="A65214" s="258"/>
      <c r="Z65214" s="258"/>
    </row>
    <row r="65215" spans="1:26" ht="12.75" customHeight="1" x14ac:dyDescent="0.2">
      <c r="A65215" s="258"/>
      <c r="Z65215" s="258"/>
    </row>
    <row r="65216" spans="1:26" ht="12.75" customHeight="1" x14ac:dyDescent="0.2">
      <c r="A65216" s="258"/>
      <c r="Z65216" s="258"/>
    </row>
    <row r="65217" spans="1:26" ht="12.75" customHeight="1" x14ac:dyDescent="0.2">
      <c r="A65217" s="258"/>
      <c r="Z65217" s="258"/>
    </row>
    <row r="65218" spans="1:26" ht="12.75" customHeight="1" x14ac:dyDescent="0.2">
      <c r="A65218" s="258"/>
      <c r="Z65218" s="258"/>
    </row>
    <row r="65219" spans="1:26" ht="12.75" customHeight="1" x14ac:dyDescent="0.2">
      <c r="A65219" s="258"/>
      <c r="Z65219" s="258"/>
    </row>
    <row r="65220" spans="1:26" ht="12.75" customHeight="1" x14ac:dyDescent="0.2">
      <c r="A65220" s="258"/>
      <c r="Z65220" s="258"/>
    </row>
    <row r="65221" spans="1:26" ht="12.75" customHeight="1" x14ac:dyDescent="0.2">
      <c r="A65221" s="258"/>
      <c r="Z65221" s="258"/>
    </row>
    <row r="65222" spans="1:26" ht="12.75" customHeight="1" x14ac:dyDescent="0.2">
      <c r="A65222" s="258"/>
      <c r="Z65222" s="258"/>
    </row>
    <row r="65223" spans="1:26" ht="12.75" customHeight="1" x14ac:dyDescent="0.2">
      <c r="A65223" s="258"/>
      <c r="Z65223" s="258"/>
    </row>
    <row r="65224" spans="1:26" ht="12.75" customHeight="1" x14ac:dyDescent="0.2">
      <c r="A65224" s="258"/>
      <c r="Z65224" s="258"/>
    </row>
    <row r="65225" spans="1:26" ht="12.75" customHeight="1" x14ac:dyDescent="0.2">
      <c r="A65225" s="258"/>
      <c r="Z65225" s="258"/>
    </row>
    <row r="65226" spans="1:26" ht="12.75" customHeight="1" x14ac:dyDescent="0.2">
      <c r="A65226" s="258"/>
      <c r="Z65226" s="258"/>
    </row>
    <row r="65227" spans="1:26" ht="12.75" customHeight="1" x14ac:dyDescent="0.2">
      <c r="A65227" s="258"/>
      <c r="Z65227" s="258"/>
    </row>
    <row r="65228" spans="1:26" ht="12.75" customHeight="1" x14ac:dyDescent="0.2">
      <c r="A65228" s="258"/>
      <c r="Z65228" s="258"/>
    </row>
    <row r="65229" spans="1:26" ht="12.75" customHeight="1" x14ac:dyDescent="0.2">
      <c r="A65229" s="258"/>
      <c r="Z65229" s="258"/>
    </row>
    <row r="65230" spans="1:26" ht="12.75" customHeight="1" x14ac:dyDescent="0.2">
      <c r="A65230" s="258"/>
      <c r="Z65230" s="258"/>
    </row>
    <row r="65231" spans="1:26" ht="12.75" customHeight="1" x14ac:dyDescent="0.2">
      <c r="A65231" s="258"/>
      <c r="Z65231" s="258"/>
    </row>
    <row r="65232" spans="1:26" ht="12.75" customHeight="1" x14ac:dyDescent="0.2">
      <c r="A65232" s="258"/>
      <c r="Z65232" s="258"/>
    </row>
    <row r="65233" spans="1:26" ht="12.75" customHeight="1" x14ac:dyDescent="0.2">
      <c r="A65233" s="258"/>
      <c r="Z65233" s="258"/>
    </row>
    <row r="65234" spans="1:26" ht="12.75" customHeight="1" x14ac:dyDescent="0.2">
      <c r="A65234" s="258"/>
      <c r="Z65234" s="258"/>
    </row>
    <row r="65235" spans="1:26" ht="12.75" customHeight="1" x14ac:dyDescent="0.2">
      <c r="A65235" s="258"/>
      <c r="Z65235" s="258"/>
    </row>
    <row r="65236" spans="1:26" ht="12.75" customHeight="1" x14ac:dyDescent="0.2">
      <c r="A65236" s="258"/>
      <c r="Z65236" s="258"/>
    </row>
    <row r="65237" spans="1:26" ht="12.75" customHeight="1" x14ac:dyDescent="0.2">
      <c r="A65237" s="258"/>
      <c r="Z65237" s="258"/>
    </row>
    <row r="65238" spans="1:26" ht="12.75" customHeight="1" x14ac:dyDescent="0.2">
      <c r="A65238" s="258"/>
      <c r="Z65238" s="258"/>
    </row>
    <row r="65239" spans="1:26" ht="12.75" customHeight="1" x14ac:dyDescent="0.2">
      <c r="A65239" s="258"/>
      <c r="Z65239" s="258"/>
    </row>
    <row r="65240" spans="1:26" ht="12.75" customHeight="1" x14ac:dyDescent="0.2">
      <c r="A65240" s="258"/>
      <c r="Z65240" s="258"/>
    </row>
    <row r="65241" spans="1:26" ht="12.75" customHeight="1" x14ac:dyDescent="0.2">
      <c r="A65241" s="258"/>
      <c r="Z65241" s="258"/>
    </row>
    <row r="65242" spans="1:26" ht="12.75" customHeight="1" x14ac:dyDescent="0.2">
      <c r="A65242" s="258"/>
      <c r="Z65242" s="258"/>
    </row>
    <row r="65243" spans="1:26" ht="12.75" customHeight="1" x14ac:dyDescent="0.2">
      <c r="A65243" s="258"/>
      <c r="Z65243" s="258"/>
    </row>
    <row r="65244" spans="1:26" ht="12.75" customHeight="1" x14ac:dyDescent="0.2">
      <c r="A65244" s="258"/>
      <c r="Z65244" s="258"/>
    </row>
    <row r="65245" spans="1:26" ht="12.75" customHeight="1" x14ac:dyDescent="0.2">
      <c r="A65245" s="258"/>
      <c r="Z65245" s="258"/>
    </row>
    <row r="65246" spans="1:26" ht="12.75" customHeight="1" x14ac:dyDescent="0.2">
      <c r="A65246" s="258"/>
      <c r="Z65246" s="258"/>
    </row>
    <row r="65247" spans="1:26" ht="12.75" customHeight="1" x14ac:dyDescent="0.2">
      <c r="A65247" s="258"/>
      <c r="Z65247" s="258"/>
    </row>
    <row r="65248" spans="1:26" ht="12.75" customHeight="1" x14ac:dyDescent="0.2">
      <c r="A65248" s="258"/>
      <c r="Z65248" s="258"/>
    </row>
    <row r="65249" spans="1:26" ht="12.75" customHeight="1" x14ac:dyDescent="0.2">
      <c r="A65249" s="258"/>
      <c r="Z65249" s="258"/>
    </row>
    <row r="65250" spans="1:26" ht="12.75" customHeight="1" x14ac:dyDescent="0.2">
      <c r="A65250" s="258"/>
      <c r="Z65250" s="258"/>
    </row>
    <row r="65251" spans="1:26" ht="12.75" customHeight="1" x14ac:dyDescent="0.2">
      <c r="A65251" s="258"/>
      <c r="Z65251" s="258"/>
    </row>
    <row r="65252" spans="1:26" ht="12.75" customHeight="1" x14ac:dyDescent="0.2">
      <c r="A65252" s="258"/>
      <c r="Z65252" s="258"/>
    </row>
    <row r="65253" spans="1:26" ht="12.75" customHeight="1" x14ac:dyDescent="0.2">
      <c r="A65253" s="258"/>
      <c r="Z65253" s="258"/>
    </row>
    <row r="65254" spans="1:26" ht="12.75" customHeight="1" x14ac:dyDescent="0.2">
      <c r="A65254" s="258"/>
      <c r="Z65254" s="258"/>
    </row>
    <row r="65255" spans="1:26" ht="12.75" customHeight="1" x14ac:dyDescent="0.2">
      <c r="A65255" s="258"/>
      <c r="Z65255" s="258"/>
    </row>
    <row r="65256" spans="1:26" ht="12.75" customHeight="1" x14ac:dyDescent="0.2">
      <c r="A65256" s="258"/>
      <c r="Z65256" s="258"/>
    </row>
    <row r="65257" spans="1:26" ht="12.75" customHeight="1" x14ac:dyDescent="0.2">
      <c r="A65257" s="258"/>
      <c r="Z65257" s="258"/>
    </row>
    <row r="65258" spans="1:26" ht="12.75" customHeight="1" x14ac:dyDescent="0.2">
      <c r="A65258" s="258"/>
      <c r="Z65258" s="258"/>
    </row>
    <row r="65259" spans="1:26" ht="12.75" customHeight="1" x14ac:dyDescent="0.2">
      <c r="A65259" s="258"/>
      <c r="Z65259" s="258"/>
    </row>
    <row r="65260" spans="1:26" ht="12.75" customHeight="1" x14ac:dyDescent="0.2">
      <c r="A65260" s="258"/>
      <c r="Z65260" s="258"/>
    </row>
    <row r="65261" spans="1:26" ht="12.75" customHeight="1" x14ac:dyDescent="0.2">
      <c r="A65261" s="258"/>
      <c r="Z65261" s="258"/>
    </row>
    <row r="65262" spans="1:26" ht="12.75" customHeight="1" x14ac:dyDescent="0.2">
      <c r="A65262" s="258"/>
      <c r="Z65262" s="258"/>
    </row>
    <row r="65263" spans="1:26" ht="12.75" customHeight="1" x14ac:dyDescent="0.2">
      <c r="A65263" s="258"/>
      <c r="Z65263" s="258"/>
    </row>
    <row r="65264" spans="1:26" ht="12.75" customHeight="1" x14ac:dyDescent="0.2">
      <c r="A65264" s="258"/>
      <c r="Z65264" s="258"/>
    </row>
    <row r="65265" spans="1:26" ht="12.75" customHeight="1" x14ac:dyDescent="0.2">
      <c r="A65265" s="258"/>
      <c r="Z65265" s="258"/>
    </row>
    <row r="65266" spans="1:26" ht="12.75" customHeight="1" x14ac:dyDescent="0.2">
      <c r="A65266" s="258"/>
      <c r="Z65266" s="258"/>
    </row>
    <row r="65267" spans="1:26" ht="12.75" customHeight="1" x14ac:dyDescent="0.2">
      <c r="A65267" s="258"/>
      <c r="Z65267" s="258"/>
    </row>
    <row r="65268" spans="1:26" ht="12.75" customHeight="1" x14ac:dyDescent="0.2">
      <c r="A65268" s="258"/>
      <c r="Z65268" s="258"/>
    </row>
    <row r="65269" spans="1:26" ht="12.75" customHeight="1" x14ac:dyDescent="0.2">
      <c r="A65269" s="258"/>
      <c r="Z65269" s="258"/>
    </row>
    <row r="65270" spans="1:26" ht="12.75" customHeight="1" x14ac:dyDescent="0.2">
      <c r="A65270" s="258"/>
      <c r="Z65270" s="258"/>
    </row>
    <row r="65271" spans="1:26" ht="12.75" customHeight="1" x14ac:dyDescent="0.2">
      <c r="A65271" s="258"/>
      <c r="Z65271" s="258"/>
    </row>
    <row r="65272" spans="1:26" ht="12.75" customHeight="1" x14ac:dyDescent="0.2">
      <c r="A65272" s="258"/>
      <c r="Z65272" s="258"/>
    </row>
    <row r="65273" spans="1:26" ht="12.75" customHeight="1" x14ac:dyDescent="0.2">
      <c r="A65273" s="258"/>
      <c r="Z65273" s="258"/>
    </row>
    <row r="65274" spans="1:26" ht="12.75" customHeight="1" x14ac:dyDescent="0.2">
      <c r="A65274" s="258"/>
      <c r="Z65274" s="258"/>
    </row>
    <row r="65275" spans="1:26" ht="12.75" customHeight="1" x14ac:dyDescent="0.2">
      <c r="A65275" s="258"/>
      <c r="Z65275" s="258"/>
    </row>
    <row r="65276" spans="1:26" ht="12.75" customHeight="1" x14ac:dyDescent="0.2">
      <c r="A65276" s="258"/>
      <c r="Z65276" s="258"/>
    </row>
    <row r="65277" spans="1:26" ht="12.75" customHeight="1" x14ac:dyDescent="0.2">
      <c r="A65277" s="258"/>
      <c r="Z65277" s="258"/>
    </row>
    <row r="65278" spans="1:26" ht="12.75" customHeight="1" x14ac:dyDescent="0.2">
      <c r="A65278" s="258"/>
      <c r="Z65278" s="258"/>
    </row>
    <row r="65279" spans="1:26" ht="12.75" customHeight="1" x14ac:dyDescent="0.2">
      <c r="A65279" s="258"/>
      <c r="Z65279" s="258"/>
    </row>
    <row r="65280" spans="1:26" ht="12.75" customHeight="1" x14ac:dyDescent="0.2">
      <c r="A65280" s="258"/>
      <c r="Z65280" s="258"/>
    </row>
    <row r="65281" spans="1:26" ht="12.75" customHeight="1" x14ac:dyDescent="0.2">
      <c r="A65281" s="258"/>
      <c r="Z65281" s="258"/>
    </row>
    <row r="65282" spans="1:26" ht="12.75" customHeight="1" x14ac:dyDescent="0.2">
      <c r="A65282" s="258"/>
      <c r="Z65282" s="258"/>
    </row>
    <row r="65283" spans="1:26" ht="12.75" customHeight="1" x14ac:dyDescent="0.2">
      <c r="A65283" s="258"/>
      <c r="Z65283" s="258"/>
    </row>
    <row r="65284" spans="1:26" ht="12.75" customHeight="1" x14ac:dyDescent="0.2">
      <c r="A65284" s="258"/>
      <c r="Z65284" s="258"/>
    </row>
    <row r="65285" spans="1:26" ht="12.75" customHeight="1" x14ac:dyDescent="0.2">
      <c r="A65285" s="258"/>
      <c r="Z65285" s="258"/>
    </row>
    <row r="65286" spans="1:26" ht="12.75" customHeight="1" x14ac:dyDescent="0.2">
      <c r="A65286" s="258"/>
      <c r="Z65286" s="258"/>
    </row>
    <row r="65287" spans="1:26" ht="12.75" customHeight="1" x14ac:dyDescent="0.2">
      <c r="A65287" s="258"/>
      <c r="Z65287" s="258"/>
    </row>
    <row r="65288" spans="1:26" ht="12.75" customHeight="1" x14ac:dyDescent="0.2">
      <c r="A65288" s="258"/>
      <c r="Z65288" s="258"/>
    </row>
    <row r="65289" spans="1:26" ht="12.75" customHeight="1" x14ac:dyDescent="0.2">
      <c r="A65289" s="258"/>
      <c r="Z65289" s="258"/>
    </row>
    <row r="65290" spans="1:26" ht="12.75" customHeight="1" x14ac:dyDescent="0.2">
      <c r="A65290" s="258"/>
      <c r="Z65290" s="258"/>
    </row>
    <row r="65291" spans="1:26" ht="12.75" customHeight="1" x14ac:dyDescent="0.2">
      <c r="A65291" s="258"/>
      <c r="Z65291" s="258"/>
    </row>
    <row r="65292" spans="1:26" ht="12.75" customHeight="1" x14ac:dyDescent="0.2">
      <c r="A65292" s="258"/>
      <c r="Z65292" s="258"/>
    </row>
    <row r="65293" spans="1:26" ht="12.75" customHeight="1" x14ac:dyDescent="0.2">
      <c r="A65293" s="258"/>
      <c r="Z65293" s="258"/>
    </row>
    <row r="65294" spans="1:26" ht="12.75" customHeight="1" x14ac:dyDescent="0.2">
      <c r="A65294" s="258"/>
      <c r="Z65294" s="258"/>
    </row>
    <row r="65295" spans="1:26" ht="12.75" customHeight="1" x14ac:dyDescent="0.2">
      <c r="A65295" s="258"/>
      <c r="Z65295" s="258"/>
    </row>
    <row r="65296" spans="1:26" ht="12.75" customHeight="1" x14ac:dyDescent="0.2">
      <c r="A65296" s="258"/>
      <c r="Z65296" s="258"/>
    </row>
    <row r="65297" spans="1:26" ht="12.75" customHeight="1" x14ac:dyDescent="0.2">
      <c r="A65297" s="258"/>
      <c r="Z65297" s="258"/>
    </row>
    <row r="65298" spans="1:26" ht="12.75" customHeight="1" x14ac:dyDescent="0.2">
      <c r="A65298" s="258"/>
      <c r="Z65298" s="258"/>
    </row>
    <row r="65299" spans="1:26" ht="12.75" customHeight="1" x14ac:dyDescent="0.2">
      <c r="A65299" s="258"/>
      <c r="Z65299" s="258"/>
    </row>
    <row r="65300" spans="1:26" ht="12.75" customHeight="1" x14ac:dyDescent="0.2">
      <c r="A65300" s="258"/>
      <c r="Z65300" s="258"/>
    </row>
    <row r="65301" spans="1:26" ht="12.75" customHeight="1" x14ac:dyDescent="0.2">
      <c r="A65301" s="258"/>
      <c r="Z65301" s="258"/>
    </row>
    <row r="65302" spans="1:26" ht="12.75" customHeight="1" x14ac:dyDescent="0.2">
      <c r="A65302" s="258"/>
      <c r="Z65302" s="258"/>
    </row>
    <row r="65303" spans="1:26" ht="12.75" customHeight="1" x14ac:dyDescent="0.2">
      <c r="A65303" s="258"/>
      <c r="Z65303" s="258"/>
    </row>
    <row r="65304" spans="1:26" ht="12.75" customHeight="1" x14ac:dyDescent="0.2">
      <c r="A65304" s="258"/>
      <c r="Z65304" s="258"/>
    </row>
    <row r="65305" spans="1:26" ht="12.75" customHeight="1" x14ac:dyDescent="0.2">
      <c r="A65305" s="258"/>
      <c r="Z65305" s="258"/>
    </row>
    <row r="65306" spans="1:26" ht="12.75" customHeight="1" x14ac:dyDescent="0.2">
      <c r="A65306" s="258"/>
      <c r="Z65306" s="258"/>
    </row>
    <row r="65307" spans="1:26" ht="12.75" customHeight="1" x14ac:dyDescent="0.2">
      <c r="A65307" s="258"/>
      <c r="Z65307" s="258"/>
    </row>
    <row r="65308" spans="1:26" ht="12.75" customHeight="1" x14ac:dyDescent="0.2">
      <c r="A65308" s="258"/>
      <c r="Z65308" s="258"/>
    </row>
    <row r="65309" spans="1:26" ht="12.75" customHeight="1" x14ac:dyDescent="0.2">
      <c r="A65309" s="258"/>
      <c r="Z65309" s="258"/>
    </row>
    <row r="65310" spans="1:26" ht="12.75" customHeight="1" x14ac:dyDescent="0.2">
      <c r="A65310" s="258"/>
      <c r="Z65310" s="258"/>
    </row>
    <row r="65311" spans="1:26" ht="12.75" customHeight="1" x14ac:dyDescent="0.2">
      <c r="A65311" s="258"/>
      <c r="Z65311" s="258"/>
    </row>
    <row r="65312" spans="1:26" ht="12.75" customHeight="1" x14ac:dyDescent="0.2">
      <c r="A65312" s="258"/>
      <c r="Z65312" s="258"/>
    </row>
    <row r="65313" spans="1:26" ht="12.75" customHeight="1" x14ac:dyDescent="0.2">
      <c r="A65313" s="258"/>
      <c r="Z65313" s="258"/>
    </row>
    <row r="65314" spans="1:26" ht="12.75" customHeight="1" x14ac:dyDescent="0.2">
      <c r="A65314" s="258"/>
      <c r="Z65314" s="258"/>
    </row>
    <row r="65315" spans="1:26" ht="12.75" customHeight="1" x14ac:dyDescent="0.2">
      <c r="A65315" s="258"/>
      <c r="Z65315" s="258"/>
    </row>
    <row r="65316" spans="1:26" ht="12.75" customHeight="1" x14ac:dyDescent="0.2">
      <c r="A65316" s="258"/>
      <c r="Z65316" s="258"/>
    </row>
    <row r="65317" spans="1:26" ht="12.75" customHeight="1" x14ac:dyDescent="0.2">
      <c r="A65317" s="258"/>
      <c r="Z65317" s="258"/>
    </row>
    <row r="65318" spans="1:26" ht="12.75" customHeight="1" x14ac:dyDescent="0.2">
      <c r="A65318" s="258"/>
      <c r="Z65318" s="258"/>
    </row>
    <row r="65319" spans="1:26" ht="12.75" customHeight="1" x14ac:dyDescent="0.2">
      <c r="A65319" s="258"/>
      <c r="Z65319" s="258"/>
    </row>
    <row r="65320" spans="1:26" ht="12.75" customHeight="1" x14ac:dyDescent="0.2">
      <c r="A65320" s="258"/>
      <c r="Z65320" s="258"/>
    </row>
    <row r="65321" spans="1:26" ht="12.75" customHeight="1" x14ac:dyDescent="0.2">
      <c r="A65321" s="258"/>
      <c r="Z65321" s="258"/>
    </row>
    <row r="65322" spans="1:26" ht="12.75" customHeight="1" x14ac:dyDescent="0.2">
      <c r="A65322" s="258"/>
      <c r="Z65322" s="258"/>
    </row>
    <row r="65323" spans="1:26" ht="12.75" customHeight="1" x14ac:dyDescent="0.2">
      <c r="A65323" s="258"/>
      <c r="Z65323" s="258"/>
    </row>
    <row r="65324" spans="1:26" ht="12.75" customHeight="1" x14ac:dyDescent="0.2">
      <c r="A65324" s="258"/>
      <c r="Z65324" s="258"/>
    </row>
    <row r="65325" spans="1:26" ht="12.75" customHeight="1" x14ac:dyDescent="0.2">
      <c r="A65325" s="258"/>
      <c r="Z65325" s="258"/>
    </row>
    <row r="65326" spans="1:26" ht="12.75" customHeight="1" x14ac:dyDescent="0.2">
      <c r="A65326" s="258"/>
      <c r="Z65326" s="258"/>
    </row>
    <row r="65327" spans="1:26" ht="12.75" customHeight="1" x14ac:dyDescent="0.2">
      <c r="A65327" s="258"/>
      <c r="Z65327" s="258"/>
    </row>
    <row r="65328" spans="1:26" ht="12.75" customHeight="1" x14ac:dyDescent="0.2">
      <c r="A65328" s="258"/>
      <c r="Z65328" s="258"/>
    </row>
    <row r="65329" spans="1:26" ht="12.75" customHeight="1" x14ac:dyDescent="0.2">
      <c r="A65329" s="258"/>
      <c r="Z65329" s="258"/>
    </row>
    <row r="65330" spans="1:26" ht="12.75" customHeight="1" x14ac:dyDescent="0.2">
      <c r="A65330" s="258"/>
      <c r="Z65330" s="258"/>
    </row>
    <row r="65331" spans="1:26" ht="12.75" customHeight="1" x14ac:dyDescent="0.2">
      <c r="A65331" s="258"/>
      <c r="Z65331" s="258"/>
    </row>
    <row r="65332" spans="1:26" ht="12.75" customHeight="1" x14ac:dyDescent="0.2">
      <c r="A65332" s="258"/>
      <c r="Z65332" s="258"/>
    </row>
    <row r="65333" spans="1:26" ht="12.75" customHeight="1" x14ac:dyDescent="0.2">
      <c r="A65333" s="258"/>
      <c r="Z65333" s="258"/>
    </row>
    <row r="65334" spans="1:26" ht="12.75" customHeight="1" x14ac:dyDescent="0.2">
      <c r="A65334" s="258"/>
      <c r="Z65334" s="258"/>
    </row>
    <row r="65335" spans="1:26" ht="12.75" customHeight="1" x14ac:dyDescent="0.2">
      <c r="A65335" s="258"/>
      <c r="Z65335" s="258"/>
    </row>
    <row r="65336" spans="1:26" ht="12.75" customHeight="1" x14ac:dyDescent="0.2">
      <c r="A65336" s="258"/>
      <c r="Z65336" s="258"/>
    </row>
    <row r="65337" spans="1:26" ht="12.75" customHeight="1" x14ac:dyDescent="0.2">
      <c r="A65337" s="258"/>
      <c r="Z65337" s="258"/>
    </row>
    <row r="65338" spans="1:26" ht="12.75" customHeight="1" x14ac:dyDescent="0.2">
      <c r="A65338" s="258"/>
      <c r="Z65338" s="258"/>
    </row>
    <row r="65339" spans="1:26" ht="12.75" customHeight="1" x14ac:dyDescent="0.2">
      <c r="A65339" s="258"/>
      <c r="Z65339" s="258"/>
    </row>
    <row r="65340" spans="1:26" ht="12.75" customHeight="1" x14ac:dyDescent="0.2">
      <c r="A65340" s="258"/>
      <c r="Z65340" s="258"/>
    </row>
    <row r="65341" spans="1:26" ht="12.75" customHeight="1" x14ac:dyDescent="0.2">
      <c r="A65341" s="258"/>
      <c r="Z65341" s="258"/>
    </row>
    <row r="65342" spans="1:26" ht="12.75" customHeight="1" x14ac:dyDescent="0.2">
      <c r="A65342" s="258"/>
      <c r="Z65342" s="258"/>
    </row>
    <row r="65343" spans="1:26" ht="12.75" customHeight="1" x14ac:dyDescent="0.2">
      <c r="A65343" s="258"/>
      <c r="Z65343" s="258"/>
    </row>
    <row r="65344" spans="1:26" ht="12.75" customHeight="1" x14ac:dyDescent="0.2">
      <c r="A65344" s="258"/>
      <c r="Z65344" s="258"/>
    </row>
    <row r="65345" spans="1:26" ht="12.75" customHeight="1" x14ac:dyDescent="0.2">
      <c r="A65345" s="258"/>
      <c r="Z65345" s="258"/>
    </row>
    <row r="65346" spans="1:26" ht="12.75" customHeight="1" x14ac:dyDescent="0.2">
      <c r="A65346" s="258"/>
      <c r="Z65346" s="258"/>
    </row>
    <row r="65347" spans="1:26" ht="12.75" customHeight="1" x14ac:dyDescent="0.2">
      <c r="A65347" s="258"/>
      <c r="Z65347" s="258"/>
    </row>
    <row r="65348" spans="1:26" ht="12.75" customHeight="1" x14ac:dyDescent="0.2">
      <c r="A65348" s="258"/>
      <c r="Z65348" s="258"/>
    </row>
    <row r="65349" spans="1:26" ht="12.75" customHeight="1" x14ac:dyDescent="0.2">
      <c r="A65349" s="258"/>
      <c r="Z65349" s="258"/>
    </row>
    <row r="65350" spans="1:26" ht="12.75" customHeight="1" x14ac:dyDescent="0.2">
      <c r="A65350" s="258"/>
      <c r="Z65350" s="258"/>
    </row>
    <row r="65351" spans="1:26" ht="12.75" customHeight="1" x14ac:dyDescent="0.2">
      <c r="A65351" s="258"/>
      <c r="Z65351" s="258"/>
    </row>
    <row r="65352" spans="1:26" ht="12.75" customHeight="1" x14ac:dyDescent="0.2">
      <c r="A65352" s="258"/>
      <c r="Z65352" s="258"/>
    </row>
    <row r="65353" spans="1:26" ht="12.75" customHeight="1" x14ac:dyDescent="0.2">
      <c r="A65353" s="258"/>
      <c r="Z65353" s="258"/>
    </row>
    <row r="65354" spans="1:26" ht="12.75" customHeight="1" x14ac:dyDescent="0.2">
      <c r="A65354" s="258"/>
      <c r="Z65354" s="258"/>
    </row>
    <row r="65355" spans="1:26" ht="12.75" customHeight="1" x14ac:dyDescent="0.2">
      <c r="A65355" s="258"/>
      <c r="Z65355" s="258"/>
    </row>
    <row r="65356" spans="1:26" ht="12.75" customHeight="1" x14ac:dyDescent="0.2">
      <c r="A65356" s="258"/>
      <c r="Z65356" s="258"/>
    </row>
    <row r="65357" spans="1:26" ht="12.75" customHeight="1" x14ac:dyDescent="0.2">
      <c r="A65357" s="258"/>
      <c r="Z65357" s="258"/>
    </row>
    <row r="65358" spans="1:26" ht="12.75" customHeight="1" x14ac:dyDescent="0.2">
      <c r="A65358" s="258"/>
      <c r="Z65358" s="258"/>
    </row>
    <row r="65359" spans="1:26" ht="12.75" customHeight="1" x14ac:dyDescent="0.2">
      <c r="A65359" s="258"/>
      <c r="Z65359" s="258"/>
    </row>
    <row r="65360" spans="1:26" ht="12.75" customHeight="1" x14ac:dyDescent="0.2">
      <c r="A65360" s="258"/>
      <c r="Z65360" s="258"/>
    </row>
    <row r="65361" spans="1:26" ht="12.75" customHeight="1" x14ac:dyDescent="0.2">
      <c r="A65361" s="258"/>
      <c r="Z65361" s="258"/>
    </row>
    <row r="65362" spans="1:26" ht="12.75" customHeight="1" x14ac:dyDescent="0.2">
      <c r="A65362" s="258"/>
      <c r="Z65362" s="258"/>
    </row>
    <row r="65363" spans="1:26" ht="12.75" customHeight="1" x14ac:dyDescent="0.2">
      <c r="A65363" s="258"/>
      <c r="Z65363" s="258"/>
    </row>
    <row r="65364" spans="1:26" ht="12.75" customHeight="1" x14ac:dyDescent="0.2">
      <c r="A65364" s="258"/>
      <c r="Z65364" s="258"/>
    </row>
    <row r="65365" spans="1:26" ht="12.75" customHeight="1" x14ac:dyDescent="0.2">
      <c r="A65365" s="258"/>
      <c r="Z65365" s="258"/>
    </row>
    <row r="65366" spans="1:26" ht="12.75" customHeight="1" x14ac:dyDescent="0.2">
      <c r="A65366" s="258"/>
      <c r="Z65366" s="258"/>
    </row>
    <row r="65367" spans="1:26" ht="12.75" customHeight="1" x14ac:dyDescent="0.2">
      <c r="A65367" s="258"/>
      <c r="Z65367" s="258"/>
    </row>
    <row r="65368" spans="1:26" ht="12.75" customHeight="1" x14ac:dyDescent="0.2">
      <c r="A65368" s="258"/>
      <c r="Z65368" s="258"/>
    </row>
    <row r="65369" spans="1:26" ht="12.75" customHeight="1" x14ac:dyDescent="0.2">
      <c r="A65369" s="258"/>
      <c r="Z65369" s="258"/>
    </row>
    <row r="65370" spans="1:26" ht="12.75" customHeight="1" x14ac:dyDescent="0.2">
      <c r="A65370" s="258"/>
      <c r="Z65370" s="258"/>
    </row>
    <row r="65371" spans="1:26" ht="12.75" customHeight="1" x14ac:dyDescent="0.2">
      <c r="A65371" s="258"/>
      <c r="Z65371" s="258"/>
    </row>
    <row r="65372" spans="1:26" ht="12.75" customHeight="1" x14ac:dyDescent="0.2">
      <c r="A65372" s="258"/>
      <c r="Z65372" s="258"/>
    </row>
    <row r="65373" spans="1:26" ht="12.75" customHeight="1" x14ac:dyDescent="0.2">
      <c r="A65373" s="258"/>
      <c r="Z65373" s="258"/>
    </row>
    <row r="65374" spans="1:26" ht="12.75" customHeight="1" x14ac:dyDescent="0.2">
      <c r="A65374" s="258"/>
      <c r="Z65374" s="258"/>
    </row>
    <row r="65375" spans="1:26" ht="12.75" customHeight="1" x14ac:dyDescent="0.2">
      <c r="A65375" s="258"/>
      <c r="Z65375" s="258"/>
    </row>
    <row r="65376" spans="1:26" ht="12.75" customHeight="1" x14ac:dyDescent="0.2">
      <c r="A65376" s="258"/>
      <c r="Z65376" s="258"/>
    </row>
    <row r="65377" spans="1:26" ht="12.75" customHeight="1" x14ac:dyDescent="0.2">
      <c r="A65377" s="258"/>
      <c r="Z65377" s="258"/>
    </row>
    <row r="65378" spans="1:26" ht="12.75" customHeight="1" x14ac:dyDescent="0.2">
      <c r="A65378" s="258"/>
      <c r="Z65378" s="258"/>
    </row>
    <row r="65379" spans="1:26" ht="12.75" customHeight="1" x14ac:dyDescent="0.2">
      <c r="A65379" s="258"/>
      <c r="Z65379" s="258"/>
    </row>
    <row r="65380" spans="1:26" ht="12.75" customHeight="1" x14ac:dyDescent="0.2">
      <c r="A65380" s="258"/>
      <c r="Z65380" s="258"/>
    </row>
    <row r="65381" spans="1:26" ht="12.75" customHeight="1" x14ac:dyDescent="0.2">
      <c r="A65381" s="258"/>
      <c r="Z65381" s="258"/>
    </row>
    <row r="65382" spans="1:26" ht="12.75" customHeight="1" x14ac:dyDescent="0.2">
      <c r="A65382" s="258"/>
      <c r="Z65382" s="258"/>
    </row>
    <row r="65383" spans="1:26" ht="12.75" customHeight="1" x14ac:dyDescent="0.2">
      <c r="A65383" s="258"/>
      <c r="Z65383" s="258"/>
    </row>
    <row r="65384" spans="1:26" ht="12.75" customHeight="1" x14ac:dyDescent="0.2">
      <c r="A65384" s="258"/>
      <c r="Z65384" s="258"/>
    </row>
    <row r="65385" spans="1:26" ht="12.75" customHeight="1" x14ac:dyDescent="0.2">
      <c r="A65385" s="258"/>
      <c r="Z65385" s="258"/>
    </row>
    <row r="65386" spans="1:26" ht="12.75" customHeight="1" x14ac:dyDescent="0.2">
      <c r="A65386" s="258"/>
      <c r="Z65386" s="258"/>
    </row>
    <row r="65387" spans="1:26" ht="12.75" customHeight="1" x14ac:dyDescent="0.2">
      <c r="A65387" s="258"/>
      <c r="Z65387" s="258"/>
    </row>
    <row r="65388" spans="1:26" ht="12.75" customHeight="1" x14ac:dyDescent="0.2">
      <c r="A65388" s="258"/>
      <c r="Z65388" s="258"/>
    </row>
    <row r="65389" spans="1:26" ht="12.75" customHeight="1" x14ac:dyDescent="0.2">
      <c r="A65389" s="258"/>
      <c r="Z65389" s="258"/>
    </row>
    <row r="65390" spans="1:26" ht="12.75" customHeight="1" x14ac:dyDescent="0.2">
      <c r="A65390" s="258"/>
      <c r="Z65390" s="258"/>
    </row>
    <row r="65391" spans="1:26" ht="12.75" customHeight="1" x14ac:dyDescent="0.2">
      <c r="A65391" s="258"/>
      <c r="Z65391" s="258"/>
    </row>
    <row r="65392" spans="1:26" ht="12.75" customHeight="1" x14ac:dyDescent="0.2">
      <c r="A65392" s="258"/>
      <c r="Z65392" s="258"/>
    </row>
    <row r="65393" spans="1:26" ht="12.75" customHeight="1" x14ac:dyDescent="0.2">
      <c r="A65393" s="258"/>
      <c r="Z65393" s="258"/>
    </row>
    <row r="65394" spans="1:26" ht="12.75" customHeight="1" x14ac:dyDescent="0.2">
      <c r="A65394" s="258"/>
      <c r="Z65394" s="258"/>
    </row>
    <row r="65395" spans="1:26" ht="12.75" customHeight="1" x14ac:dyDescent="0.2">
      <c r="A65395" s="258"/>
      <c r="Z65395" s="258"/>
    </row>
    <row r="65396" spans="1:26" ht="12.75" customHeight="1" x14ac:dyDescent="0.2">
      <c r="A65396" s="258"/>
      <c r="Z65396" s="258"/>
    </row>
    <row r="65397" spans="1:26" ht="12.75" customHeight="1" x14ac:dyDescent="0.2">
      <c r="A65397" s="258"/>
      <c r="Z65397" s="258"/>
    </row>
    <row r="65398" spans="1:26" ht="12.75" customHeight="1" x14ac:dyDescent="0.2">
      <c r="A65398" s="258"/>
      <c r="Z65398" s="258"/>
    </row>
    <row r="65399" spans="1:26" ht="12.75" customHeight="1" x14ac:dyDescent="0.2">
      <c r="A65399" s="258"/>
      <c r="Z65399" s="258"/>
    </row>
    <row r="65400" spans="1:26" ht="12.75" customHeight="1" x14ac:dyDescent="0.2">
      <c r="A65400" s="258"/>
      <c r="Z65400" s="258"/>
    </row>
    <row r="65401" spans="1:26" ht="12.75" customHeight="1" x14ac:dyDescent="0.2">
      <c r="A65401" s="258"/>
      <c r="Z65401" s="258"/>
    </row>
    <row r="65402" spans="1:26" ht="12.75" customHeight="1" x14ac:dyDescent="0.2">
      <c r="A65402" s="258"/>
      <c r="Z65402" s="258"/>
    </row>
    <row r="65403" spans="1:26" ht="12.75" customHeight="1" x14ac:dyDescent="0.2">
      <c r="A65403" s="258"/>
      <c r="Z65403" s="258"/>
    </row>
    <row r="65404" spans="1:26" ht="12.75" customHeight="1" x14ac:dyDescent="0.2">
      <c r="A65404" s="258"/>
      <c r="Z65404" s="258"/>
    </row>
    <row r="65405" spans="1:26" ht="12.75" customHeight="1" x14ac:dyDescent="0.2">
      <c r="A65405" s="258"/>
      <c r="Z65405" s="258"/>
    </row>
    <row r="65406" spans="1:26" ht="12.75" customHeight="1" x14ac:dyDescent="0.2">
      <c r="A65406" s="258"/>
      <c r="Z65406" s="258"/>
    </row>
    <row r="65407" spans="1:26" ht="12.75" customHeight="1" x14ac:dyDescent="0.2">
      <c r="A65407" s="258"/>
      <c r="Z65407" s="258"/>
    </row>
    <row r="65408" spans="1:26" ht="12.75" customHeight="1" x14ac:dyDescent="0.2">
      <c r="A65408" s="258"/>
      <c r="Z65408" s="258"/>
    </row>
    <row r="65409" spans="1:26" ht="12.75" customHeight="1" x14ac:dyDescent="0.2">
      <c r="A65409" s="258"/>
      <c r="Z65409" s="258"/>
    </row>
    <row r="65410" spans="1:26" ht="12.75" customHeight="1" x14ac:dyDescent="0.2">
      <c r="A65410" s="258"/>
      <c r="Z65410" s="258"/>
    </row>
    <row r="65411" spans="1:26" ht="12.75" customHeight="1" x14ac:dyDescent="0.2">
      <c r="A65411" s="258"/>
      <c r="Z65411" s="258"/>
    </row>
    <row r="65412" spans="1:26" ht="12.75" customHeight="1" x14ac:dyDescent="0.2">
      <c r="A65412" s="258"/>
      <c r="Z65412" s="258"/>
    </row>
    <row r="65413" spans="1:26" ht="12.75" customHeight="1" x14ac:dyDescent="0.2">
      <c r="A65413" s="258"/>
      <c r="Z65413" s="258"/>
    </row>
    <row r="65414" spans="1:26" ht="12.75" customHeight="1" x14ac:dyDescent="0.2">
      <c r="A65414" s="258"/>
      <c r="Z65414" s="258"/>
    </row>
    <row r="65415" spans="1:26" ht="12.75" customHeight="1" x14ac:dyDescent="0.2">
      <c r="A65415" s="258"/>
      <c r="Z65415" s="258"/>
    </row>
    <row r="65416" spans="1:26" ht="12.75" customHeight="1" x14ac:dyDescent="0.2">
      <c r="A65416" s="258"/>
      <c r="Z65416" s="258"/>
    </row>
    <row r="65417" spans="1:26" ht="12.75" customHeight="1" x14ac:dyDescent="0.2">
      <c r="A65417" s="258"/>
      <c r="Z65417" s="258"/>
    </row>
    <row r="65418" spans="1:26" ht="12.75" customHeight="1" x14ac:dyDescent="0.2">
      <c r="A65418" s="258"/>
      <c r="Z65418" s="258"/>
    </row>
    <row r="65419" spans="1:26" ht="12.75" customHeight="1" x14ac:dyDescent="0.2">
      <c r="A65419" s="258"/>
      <c r="Z65419" s="258"/>
    </row>
    <row r="65420" spans="1:26" ht="12.75" customHeight="1" x14ac:dyDescent="0.2">
      <c r="A65420" s="258"/>
      <c r="Z65420" s="258"/>
    </row>
    <row r="65421" spans="1:26" ht="12.75" customHeight="1" x14ac:dyDescent="0.2">
      <c r="A65421" s="258"/>
      <c r="Z65421" s="258"/>
    </row>
    <row r="65422" spans="1:26" ht="12.75" customHeight="1" x14ac:dyDescent="0.2">
      <c r="A65422" s="258"/>
      <c r="Z65422" s="258"/>
    </row>
    <row r="65423" spans="1:26" ht="12.75" customHeight="1" x14ac:dyDescent="0.2">
      <c r="A65423" s="258"/>
      <c r="Z65423" s="258"/>
    </row>
    <row r="65424" spans="1:26" ht="12.75" customHeight="1" x14ac:dyDescent="0.2">
      <c r="A65424" s="258"/>
      <c r="Z65424" s="258"/>
    </row>
    <row r="65425" spans="1:26" ht="12.75" customHeight="1" x14ac:dyDescent="0.2">
      <c r="A65425" s="258"/>
      <c r="Z65425" s="258"/>
    </row>
    <row r="65426" spans="1:26" ht="12.75" customHeight="1" x14ac:dyDescent="0.2">
      <c r="A65426" s="258"/>
      <c r="Z65426" s="258"/>
    </row>
    <row r="65427" spans="1:26" ht="12.75" customHeight="1" x14ac:dyDescent="0.2">
      <c r="A65427" s="258"/>
      <c r="Z65427" s="258"/>
    </row>
    <row r="65428" spans="1:26" ht="12.75" customHeight="1" x14ac:dyDescent="0.2">
      <c r="A65428" s="258"/>
      <c r="Z65428" s="258"/>
    </row>
    <row r="65429" spans="1:26" ht="12.75" customHeight="1" x14ac:dyDescent="0.2">
      <c r="A65429" s="258"/>
      <c r="Z65429" s="258"/>
    </row>
    <row r="65430" spans="1:26" ht="12.75" customHeight="1" x14ac:dyDescent="0.2">
      <c r="A65430" s="258"/>
      <c r="Z65430" s="258"/>
    </row>
    <row r="65431" spans="1:26" ht="12.75" customHeight="1" x14ac:dyDescent="0.2">
      <c r="A65431" s="258"/>
      <c r="Z65431" s="258"/>
    </row>
    <row r="65432" spans="1:26" ht="12.75" customHeight="1" x14ac:dyDescent="0.2">
      <c r="A65432" s="258"/>
      <c r="Z65432" s="258"/>
    </row>
    <row r="65433" spans="1:26" ht="12.75" customHeight="1" x14ac:dyDescent="0.2">
      <c r="A65433" s="258"/>
      <c r="Z65433" s="258"/>
    </row>
    <row r="65434" spans="1:26" ht="12.75" customHeight="1" x14ac:dyDescent="0.2">
      <c r="A65434" s="258"/>
      <c r="Z65434" s="258"/>
    </row>
    <row r="65435" spans="1:26" ht="12.75" customHeight="1" x14ac:dyDescent="0.2">
      <c r="A65435" s="258"/>
      <c r="Z65435" s="258"/>
    </row>
    <row r="65436" spans="1:26" ht="12.75" customHeight="1" x14ac:dyDescent="0.2">
      <c r="A65436" s="258"/>
      <c r="Z65436" s="258"/>
    </row>
    <row r="65437" spans="1:26" ht="12.75" customHeight="1" x14ac:dyDescent="0.2">
      <c r="A65437" s="258"/>
      <c r="Z65437" s="258"/>
    </row>
    <row r="65438" spans="1:26" ht="12.75" customHeight="1" x14ac:dyDescent="0.2">
      <c r="A65438" s="258"/>
      <c r="Z65438" s="258"/>
    </row>
    <row r="65439" spans="1:26" ht="12.75" customHeight="1" x14ac:dyDescent="0.2">
      <c r="A65439" s="258"/>
      <c r="Z65439" s="258"/>
    </row>
    <row r="65440" spans="1:26" ht="12.75" customHeight="1" x14ac:dyDescent="0.2">
      <c r="A65440" s="258"/>
      <c r="Z65440" s="258"/>
    </row>
    <row r="65441" spans="1:26" ht="12.75" customHeight="1" x14ac:dyDescent="0.2">
      <c r="A65441" s="258"/>
      <c r="Z65441" s="258"/>
    </row>
    <row r="65442" spans="1:26" ht="12.75" customHeight="1" x14ac:dyDescent="0.2">
      <c r="A65442" s="258"/>
      <c r="Z65442" s="258"/>
    </row>
    <row r="65443" spans="1:26" ht="12.75" customHeight="1" x14ac:dyDescent="0.2">
      <c r="A65443" s="258"/>
      <c r="Z65443" s="258"/>
    </row>
    <row r="65444" spans="1:26" ht="12.75" customHeight="1" x14ac:dyDescent="0.2">
      <c r="A65444" s="258"/>
      <c r="Z65444" s="258"/>
    </row>
    <row r="65445" spans="1:26" ht="12.75" customHeight="1" x14ac:dyDescent="0.2">
      <c r="A65445" s="258"/>
      <c r="Z65445" s="258"/>
    </row>
    <row r="65446" spans="1:26" ht="12.75" customHeight="1" x14ac:dyDescent="0.2">
      <c r="A65446" s="258"/>
      <c r="Z65446" s="258"/>
    </row>
    <row r="65447" spans="1:26" ht="12.75" customHeight="1" x14ac:dyDescent="0.2">
      <c r="A65447" s="258"/>
      <c r="Z65447" s="258"/>
    </row>
    <row r="65448" spans="1:26" ht="12.75" customHeight="1" x14ac:dyDescent="0.2">
      <c r="A65448" s="258"/>
      <c r="Z65448" s="258"/>
    </row>
    <row r="65449" spans="1:26" ht="12.75" customHeight="1" x14ac:dyDescent="0.2">
      <c r="A65449" s="258"/>
      <c r="Z65449" s="258"/>
    </row>
    <row r="65450" spans="1:26" ht="12.75" customHeight="1" x14ac:dyDescent="0.2">
      <c r="A65450" s="258"/>
      <c r="Z65450" s="258"/>
    </row>
    <row r="65451" spans="1:26" ht="12.75" customHeight="1" x14ac:dyDescent="0.2">
      <c r="A65451" s="258"/>
      <c r="Z65451" s="258"/>
    </row>
    <row r="65452" spans="1:26" ht="12.75" customHeight="1" x14ac:dyDescent="0.2">
      <c r="A65452" s="258"/>
      <c r="Z65452" s="258"/>
    </row>
    <row r="65453" spans="1:26" ht="12.75" customHeight="1" x14ac:dyDescent="0.2">
      <c r="A65453" s="258"/>
      <c r="Z65453" s="258"/>
    </row>
    <row r="65454" spans="1:26" ht="12.75" customHeight="1" x14ac:dyDescent="0.2">
      <c r="A65454" s="258"/>
      <c r="Z65454" s="258"/>
    </row>
    <row r="65455" spans="1:26" ht="12.75" customHeight="1" x14ac:dyDescent="0.2">
      <c r="A65455" s="258"/>
      <c r="Z65455" s="258"/>
    </row>
    <row r="65456" spans="1:26" ht="12.75" customHeight="1" x14ac:dyDescent="0.2">
      <c r="A65456" s="258"/>
      <c r="Z65456" s="258"/>
    </row>
    <row r="65457" spans="1:26" ht="12.75" customHeight="1" x14ac:dyDescent="0.2">
      <c r="A65457" s="258"/>
      <c r="Z65457" s="258"/>
    </row>
    <row r="65458" spans="1:26" ht="12.75" customHeight="1" x14ac:dyDescent="0.2">
      <c r="A65458" s="258"/>
      <c r="Z65458" s="258"/>
    </row>
    <row r="65459" spans="1:26" ht="12.75" customHeight="1" x14ac:dyDescent="0.2">
      <c r="A65459" s="258"/>
      <c r="Z65459" s="258"/>
    </row>
    <row r="65460" spans="1:26" ht="12.75" customHeight="1" x14ac:dyDescent="0.2">
      <c r="A65460" s="258"/>
      <c r="Z65460" s="258"/>
    </row>
    <row r="65461" spans="1:26" ht="12.75" customHeight="1" x14ac:dyDescent="0.2">
      <c r="A65461" s="258"/>
      <c r="Z65461" s="258"/>
    </row>
    <row r="65462" spans="1:26" ht="12.75" customHeight="1" x14ac:dyDescent="0.2">
      <c r="A65462" s="258"/>
      <c r="Z65462" s="258"/>
    </row>
    <row r="65463" spans="1:26" ht="12.75" customHeight="1" x14ac:dyDescent="0.2">
      <c r="A65463" s="258"/>
      <c r="Z65463" s="258"/>
    </row>
    <row r="65464" spans="1:26" ht="12.75" customHeight="1" x14ac:dyDescent="0.2">
      <c r="A65464" s="258"/>
      <c r="Z65464" s="258"/>
    </row>
    <row r="65465" spans="1:26" ht="12.75" customHeight="1" x14ac:dyDescent="0.2">
      <c r="A65465" s="258"/>
      <c r="Z65465" s="258"/>
    </row>
    <row r="65466" spans="1:26" ht="12.75" customHeight="1" x14ac:dyDescent="0.2">
      <c r="A65466" s="258"/>
      <c r="Z65466" s="258"/>
    </row>
    <row r="65467" spans="1:26" ht="12.75" customHeight="1" x14ac:dyDescent="0.2">
      <c r="A65467" s="258"/>
      <c r="Z65467" s="258"/>
    </row>
    <row r="65468" spans="1:26" ht="12.75" customHeight="1" x14ac:dyDescent="0.2">
      <c r="A65468" s="258"/>
      <c r="Z65468" s="258"/>
    </row>
    <row r="65469" spans="1:26" ht="12.75" customHeight="1" x14ac:dyDescent="0.2">
      <c r="A65469" s="258"/>
      <c r="Z65469" s="258"/>
    </row>
    <row r="65470" spans="1:26" ht="12.75" customHeight="1" x14ac:dyDescent="0.2">
      <c r="A65470" s="258"/>
      <c r="Z65470" s="258"/>
    </row>
    <row r="65471" spans="1:26" ht="12.75" customHeight="1" x14ac:dyDescent="0.2">
      <c r="A65471" s="258"/>
      <c r="Z65471" s="258"/>
    </row>
    <row r="65472" spans="1:26" ht="12.75" customHeight="1" x14ac:dyDescent="0.2">
      <c r="A65472" s="258"/>
      <c r="Z65472" s="258"/>
    </row>
    <row r="65473" spans="1:26" ht="12.75" customHeight="1" x14ac:dyDescent="0.2">
      <c r="A65473" s="258"/>
      <c r="Z65473" s="258"/>
    </row>
    <row r="65474" spans="1:26" ht="12.75" customHeight="1" x14ac:dyDescent="0.2">
      <c r="A65474" s="258"/>
      <c r="Z65474" s="258"/>
    </row>
    <row r="65475" spans="1:26" ht="12.75" customHeight="1" x14ac:dyDescent="0.2">
      <c r="A65475" s="258"/>
      <c r="Z65475" s="258"/>
    </row>
    <row r="65476" spans="1:26" ht="12.75" customHeight="1" x14ac:dyDescent="0.2">
      <c r="A65476" s="258"/>
      <c r="Z65476" s="258"/>
    </row>
    <row r="65477" spans="1:26" ht="12.75" customHeight="1" x14ac:dyDescent="0.2">
      <c r="A65477" s="258"/>
      <c r="Z65477" s="258"/>
    </row>
    <row r="65478" spans="1:26" ht="12.75" customHeight="1" x14ac:dyDescent="0.2">
      <c r="A65478" s="258"/>
      <c r="Z65478" s="258"/>
    </row>
    <row r="65479" spans="1:26" ht="12.75" customHeight="1" x14ac:dyDescent="0.2">
      <c r="A65479" s="258"/>
      <c r="Z65479" s="258"/>
    </row>
    <row r="65480" spans="1:26" ht="12.75" customHeight="1" x14ac:dyDescent="0.2">
      <c r="A65480" s="258"/>
      <c r="Z65480" s="258"/>
    </row>
    <row r="65481" spans="1:26" ht="12.75" customHeight="1" x14ac:dyDescent="0.2">
      <c r="A65481" s="258"/>
      <c r="Z65481" s="258"/>
    </row>
    <row r="65482" spans="1:26" ht="12.75" customHeight="1" x14ac:dyDescent="0.2">
      <c r="A65482" s="258"/>
      <c r="Z65482" s="258"/>
    </row>
    <row r="65483" spans="1:26" ht="12.75" customHeight="1" x14ac:dyDescent="0.2">
      <c r="A65483" s="258"/>
      <c r="Z65483" s="258"/>
    </row>
    <row r="65484" spans="1:26" ht="12.75" customHeight="1" x14ac:dyDescent="0.2">
      <c r="A65484" s="258"/>
      <c r="Z65484" s="258"/>
    </row>
    <row r="65485" spans="1:26" ht="12.75" customHeight="1" x14ac:dyDescent="0.2">
      <c r="A65485" s="258"/>
      <c r="Z65485" s="258"/>
    </row>
    <row r="65486" spans="1:26" ht="12.75" customHeight="1" x14ac:dyDescent="0.2">
      <c r="A65486" s="258"/>
      <c r="Z65486" s="258"/>
    </row>
    <row r="65487" spans="1:26" ht="12.75" customHeight="1" x14ac:dyDescent="0.2">
      <c r="A65487" s="258"/>
      <c r="Z65487" s="258"/>
    </row>
    <row r="65488" spans="1:26" ht="12.75" customHeight="1" x14ac:dyDescent="0.2">
      <c r="A65488" s="258"/>
      <c r="Z65488" s="258"/>
    </row>
    <row r="65489" spans="1:26" ht="12.75" customHeight="1" x14ac:dyDescent="0.2">
      <c r="A65489" s="258"/>
      <c r="Z65489" s="258"/>
    </row>
    <row r="65490" spans="1:26" ht="12.75" customHeight="1" x14ac:dyDescent="0.2">
      <c r="A65490" s="258"/>
      <c r="Z65490" s="258"/>
    </row>
    <row r="65491" spans="1:26" ht="12.75" customHeight="1" x14ac:dyDescent="0.2">
      <c r="A65491" s="258"/>
      <c r="Z65491" s="258"/>
    </row>
    <row r="65492" spans="1:26" ht="12.75" customHeight="1" x14ac:dyDescent="0.2">
      <c r="A65492" s="258"/>
      <c r="Z65492" s="258"/>
    </row>
    <row r="65493" spans="1:26" ht="12.75" customHeight="1" x14ac:dyDescent="0.2">
      <c r="A65493" s="258"/>
      <c r="Z65493" s="258"/>
    </row>
    <row r="65494" spans="1:26" ht="12.75" customHeight="1" x14ac:dyDescent="0.2">
      <c r="A65494" s="258"/>
      <c r="Z65494" s="258"/>
    </row>
    <row r="65495" spans="1:26" ht="12.75" customHeight="1" x14ac:dyDescent="0.2">
      <c r="A65495" s="258"/>
      <c r="Z65495" s="258"/>
    </row>
    <row r="65496" spans="1:26" ht="12.75" customHeight="1" x14ac:dyDescent="0.2">
      <c r="A65496" s="258"/>
      <c r="Z65496" s="258"/>
    </row>
    <row r="65497" spans="1:26" ht="12.75" customHeight="1" x14ac:dyDescent="0.2">
      <c r="A65497" s="258"/>
      <c r="Z65497" s="258"/>
    </row>
    <row r="65498" spans="1:26" ht="12.75" customHeight="1" x14ac:dyDescent="0.2">
      <c r="A65498" s="258"/>
      <c r="Z65498" s="258"/>
    </row>
    <row r="65499" spans="1:26" ht="12.75" customHeight="1" x14ac:dyDescent="0.2">
      <c r="A65499" s="258"/>
      <c r="Z65499" s="258"/>
    </row>
    <row r="65500" spans="1:26" ht="12.75" customHeight="1" x14ac:dyDescent="0.2">
      <c r="A65500" s="258"/>
      <c r="Z65500" s="258"/>
    </row>
    <row r="65501" spans="1:26" ht="12.75" customHeight="1" x14ac:dyDescent="0.2">
      <c r="A65501" s="258"/>
      <c r="Z65501" s="258"/>
    </row>
    <row r="65502" spans="1:26" ht="12.75" customHeight="1" x14ac:dyDescent="0.2">
      <c r="A65502" s="258"/>
      <c r="Z65502" s="258"/>
    </row>
    <row r="65503" spans="1:26" ht="12.75" customHeight="1" x14ac:dyDescent="0.2">
      <c r="A65503" s="258"/>
      <c r="Z65503" s="258"/>
    </row>
    <row r="65504" spans="1:26" ht="12.75" customHeight="1" x14ac:dyDescent="0.2">
      <c r="A65504" s="258"/>
      <c r="Z65504" s="258"/>
    </row>
    <row r="65505" spans="1:26" ht="12.75" customHeight="1" x14ac:dyDescent="0.2">
      <c r="A65505" s="258"/>
      <c r="Z65505" s="258"/>
    </row>
    <row r="65506" spans="1:26" ht="12.75" customHeight="1" x14ac:dyDescent="0.2">
      <c r="A65506" s="258"/>
      <c r="Z65506" s="258"/>
    </row>
    <row r="65507" spans="1:26" ht="12.75" customHeight="1" x14ac:dyDescent="0.2">
      <c r="A65507" s="258"/>
      <c r="Z65507" s="258"/>
    </row>
    <row r="65508" spans="1:26" ht="12.75" customHeight="1" x14ac:dyDescent="0.2">
      <c r="A65508" s="258"/>
      <c r="Z65508" s="258"/>
    </row>
    <row r="65509" spans="1:26" ht="12.75" customHeight="1" x14ac:dyDescent="0.2">
      <c r="A65509" s="258"/>
      <c r="Z65509" s="258"/>
    </row>
    <row r="65510" spans="1:26" ht="12.75" customHeight="1" x14ac:dyDescent="0.2">
      <c r="A65510" s="258"/>
      <c r="Z65510" s="258"/>
    </row>
    <row r="65511" spans="1:26" ht="12.75" customHeight="1" x14ac:dyDescent="0.2">
      <c r="A65511" s="258"/>
      <c r="Z65511" s="258"/>
    </row>
    <row r="65512" spans="1:26" ht="12.75" customHeight="1" x14ac:dyDescent="0.2">
      <c r="A65512" s="258"/>
      <c r="Z65512" s="258"/>
    </row>
    <row r="65513" spans="1:26" ht="12.75" customHeight="1" x14ac:dyDescent="0.2">
      <c r="A65513" s="258"/>
      <c r="Z65513" s="258"/>
    </row>
    <row r="65514" spans="1:26" ht="12.75" customHeight="1" x14ac:dyDescent="0.2">
      <c r="A65514" s="258"/>
      <c r="Z65514" s="258"/>
    </row>
    <row r="65515" spans="1:26" ht="12.75" customHeight="1" x14ac:dyDescent="0.2">
      <c r="A65515" s="258"/>
      <c r="Z65515" s="258"/>
    </row>
    <row r="65516" spans="1:26" ht="12.75" customHeight="1" x14ac:dyDescent="0.2">
      <c r="A65516" s="258"/>
      <c r="Z65516" s="258"/>
    </row>
    <row r="65517" spans="1:26" ht="12.75" customHeight="1" x14ac:dyDescent="0.2">
      <c r="A65517" s="258"/>
      <c r="Z65517" s="258"/>
    </row>
    <row r="65518" spans="1:26" ht="12.75" customHeight="1" x14ac:dyDescent="0.2">
      <c r="A65518" s="258"/>
      <c r="Z65518" s="258"/>
    </row>
    <row r="65519" spans="1:26" ht="12.75" customHeight="1" x14ac:dyDescent="0.2">
      <c r="A65519" s="258"/>
      <c r="Z65519" s="258"/>
    </row>
    <row r="65520" spans="1:26" ht="12.75" customHeight="1" x14ac:dyDescent="0.2">
      <c r="A65520" s="258"/>
      <c r="Z65520" s="258"/>
    </row>
    <row r="65521" spans="1:26" ht="12.75" customHeight="1" x14ac:dyDescent="0.2">
      <c r="A65521" s="258"/>
      <c r="Z65521" s="258"/>
    </row>
    <row r="65522" spans="1:26" ht="12.75" customHeight="1" x14ac:dyDescent="0.2">
      <c r="A65522" s="258"/>
      <c r="Z65522" s="258"/>
    </row>
    <row r="65523" spans="1:26" ht="12.75" customHeight="1" x14ac:dyDescent="0.2">
      <c r="A65523" s="258"/>
      <c r="Z65523" s="258"/>
    </row>
    <row r="65524" spans="1:26" ht="12.75" customHeight="1" x14ac:dyDescent="0.2">
      <c r="A65524" s="258"/>
      <c r="Z65524" s="258"/>
    </row>
    <row r="65525" spans="1:26" ht="12.75" customHeight="1" x14ac:dyDescent="0.2">
      <c r="A65525" s="258"/>
      <c r="Z65525" s="258"/>
    </row>
  </sheetData>
  <mergeCells count="4">
    <mergeCell ref="A1:A2"/>
    <mergeCell ref="AK429:AS429"/>
    <mergeCell ref="AK451:AS451"/>
    <mergeCell ref="AK464:AS464"/>
  </mergeCells>
  <phoneticPr fontId="8" type="noConversion"/>
  <pageMargins left="0.75" right="0.75" top="1" bottom="1" header="0.5" footer="0.5"/>
  <pageSetup scale="57" orientation="landscape" r:id="rId1"/>
  <headerFooter alignWithMargins="0"/>
  <rowBreaks count="6" manualBreakCount="6">
    <brk id="26" max="17" man="1"/>
    <brk id="51" max="17" man="1"/>
    <brk id="80" max="49" man="1"/>
    <brk id="115" max="49" man="1"/>
    <brk id="179" max="49" man="1"/>
    <brk id="251" max="4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1" bestFit="1" customWidth="1"/>
    <col min="2" max="2" width="19.85546875" style="908" customWidth="1"/>
    <col min="3" max="3" width="12" style="1" bestFit="1" customWidth="1"/>
    <col min="4" max="256" width="9.140625" style="1"/>
    <col min="257" max="257" width="29.5703125" style="1" bestFit="1" customWidth="1"/>
    <col min="258" max="258" width="19.85546875" style="1" customWidth="1"/>
    <col min="259" max="259" width="12" style="1" bestFit="1" customWidth="1"/>
    <col min="260" max="512" width="9.140625" style="1"/>
    <col min="513" max="513" width="29.5703125" style="1" bestFit="1" customWidth="1"/>
    <col min="514" max="514" width="19.85546875" style="1" customWidth="1"/>
    <col min="515" max="515" width="12" style="1" bestFit="1" customWidth="1"/>
    <col min="516" max="768" width="9.140625" style="1"/>
    <col min="769" max="769" width="29.5703125" style="1" bestFit="1" customWidth="1"/>
    <col min="770" max="770" width="19.85546875" style="1" customWidth="1"/>
    <col min="771" max="771" width="12" style="1" bestFit="1" customWidth="1"/>
    <col min="772" max="1024" width="9.140625" style="1"/>
    <col min="1025" max="1025" width="29.5703125" style="1" bestFit="1" customWidth="1"/>
    <col min="1026" max="1026" width="19.85546875" style="1" customWidth="1"/>
    <col min="1027" max="1027" width="12" style="1" bestFit="1" customWidth="1"/>
    <col min="1028" max="1280" width="9.140625" style="1"/>
    <col min="1281" max="1281" width="29.5703125" style="1" bestFit="1" customWidth="1"/>
    <col min="1282" max="1282" width="19.85546875" style="1" customWidth="1"/>
    <col min="1283" max="1283" width="12" style="1" bestFit="1" customWidth="1"/>
    <col min="1284" max="1536" width="9.140625" style="1"/>
    <col min="1537" max="1537" width="29.5703125" style="1" bestFit="1" customWidth="1"/>
    <col min="1538" max="1538" width="19.85546875" style="1" customWidth="1"/>
    <col min="1539" max="1539" width="12" style="1" bestFit="1" customWidth="1"/>
    <col min="1540" max="1792" width="9.140625" style="1"/>
    <col min="1793" max="1793" width="29.5703125" style="1" bestFit="1" customWidth="1"/>
    <col min="1794" max="1794" width="19.85546875" style="1" customWidth="1"/>
    <col min="1795" max="1795" width="12" style="1" bestFit="1" customWidth="1"/>
    <col min="1796" max="2048" width="9.140625" style="1"/>
    <col min="2049" max="2049" width="29.5703125" style="1" bestFit="1" customWidth="1"/>
    <col min="2050" max="2050" width="19.85546875" style="1" customWidth="1"/>
    <col min="2051" max="2051" width="12" style="1" bestFit="1" customWidth="1"/>
    <col min="2052" max="2304" width="9.140625" style="1"/>
    <col min="2305" max="2305" width="29.5703125" style="1" bestFit="1" customWidth="1"/>
    <col min="2306" max="2306" width="19.85546875" style="1" customWidth="1"/>
    <col min="2307" max="2307" width="12" style="1" bestFit="1" customWidth="1"/>
    <col min="2308" max="2560" width="9.140625" style="1"/>
    <col min="2561" max="2561" width="29.5703125" style="1" bestFit="1" customWidth="1"/>
    <col min="2562" max="2562" width="19.85546875" style="1" customWidth="1"/>
    <col min="2563" max="2563" width="12" style="1" bestFit="1" customWidth="1"/>
    <col min="2564" max="2816" width="9.140625" style="1"/>
    <col min="2817" max="2817" width="29.5703125" style="1" bestFit="1" customWidth="1"/>
    <col min="2818" max="2818" width="19.85546875" style="1" customWidth="1"/>
    <col min="2819" max="2819" width="12" style="1" bestFit="1" customWidth="1"/>
    <col min="2820" max="3072" width="9.140625" style="1"/>
    <col min="3073" max="3073" width="29.5703125" style="1" bestFit="1" customWidth="1"/>
    <col min="3074" max="3074" width="19.85546875" style="1" customWidth="1"/>
    <col min="3075" max="3075" width="12" style="1" bestFit="1" customWidth="1"/>
    <col min="3076" max="3328" width="9.140625" style="1"/>
    <col min="3329" max="3329" width="29.5703125" style="1" bestFit="1" customWidth="1"/>
    <col min="3330" max="3330" width="19.85546875" style="1" customWidth="1"/>
    <col min="3331" max="3331" width="12" style="1" bestFit="1" customWidth="1"/>
    <col min="3332" max="3584" width="9.140625" style="1"/>
    <col min="3585" max="3585" width="29.5703125" style="1" bestFit="1" customWidth="1"/>
    <col min="3586" max="3586" width="19.85546875" style="1" customWidth="1"/>
    <col min="3587" max="3587" width="12" style="1" bestFit="1" customWidth="1"/>
    <col min="3588" max="3840" width="9.140625" style="1"/>
    <col min="3841" max="3841" width="29.5703125" style="1" bestFit="1" customWidth="1"/>
    <col min="3842" max="3842" width="19.85546875" style="1" customWidth="1"/>
    <col min="3843" max="3843" width="12" style="1" bestFit="1" customWidth="1"/>
    <col min="3844" max="4096" width="9.140625" style="1"/>
    <col min="4097" max="4097" width="29.5703125" style="1" bestFit="1" customWidth="1"/>
    <col min="4098" max="4098" width="19.85546875" style="1" customWidth="1"/>
    <col min="4099" max="4099" width="12" style="1" bestFit="1" customWidth="1"/>
    <col min="4100" max="4352" width="9.140625" style="1"/>
    <col min="4353" max="4353" width="29.5703125" style="1" bestFit="1" customWidth="1"/>
    <col min="4354" max="4354" width="19.85546875" style="1" customWidth="1"/>
    <col min="4355" max="4355" width="12" style="1" bestFit="1" customWidth="1"/>
    <col min="4356" max="4608" width="9.140625" style="1"/>
    <col min="4609" max="4609" width="29.5703125" style="1" bestFit="1" customWidth="1"/>
    <col min="4610" max="4610" width="19.85546875" style="1" customWidth="1"/>
    <col min="4611" max="4611" width="12" style="1" bestFit="1" customWidth="1"/>
    <col min="4612" max="4864" width="9.140625" style="1"/>
    <col min="4865" max="4865" width="29.5703125" style="1" bestFit="1" customWidth="1"/>
    <col min="4866" max="4866" width="19.85546875" style="1" customWidth="1"/>
    <col min="4867" max="4867" width="12" style="1" bestFit="1" customWidth="1"/>
    <col min="4868" max="5120" width="9.140625" style="1"/>
    <col min="5121" max="5121" width="29.5703125" style="1" bestFit="1" customWidth="1"/>
    <col min="5122" max="5122" width="19.85546875" style="1" customWidth="1"/>
    <col min="5123" max="5123" width="12" style="1" bestFit="1" customWidth="1"/>
    <col min="5124" max="5376" width="9.140625" style="1"/>
    <col min="5377" max="5377" width="29.5703125" style="1" bestFit="1" customWidth="1"/>
    <col min="5378" max="5378" width="19.85546875" style="1" customWidth="1"/>
    <col min="5379" max="5379" width="12" style="1" bestFit="1" customWidth="1"/>
    <col min="5380" max="5632" width="9.140625" style="1"/>
    <col min="5633" max="5633" width="29.5703125" style="1" bestFit="1" customWidth="1"/>
    <col min="5634" max="5634" width="19.85546875" style="1" customWidth="1"/>
    <col min="5635" max="5635" width="12" style="1" bestFit="1" customWidth="1"/>
    <col min="5636" max="5888" width="9.140625" style="1"/>
    <col min="5889" max="5889" width="29.5703125" style="1" bestFit="1" customWidth="1"/>
    <col min="5890" max="5890" width="19.85546875" style="1" customWidth="1"/>
    <col min="5891" max="5891" width="12" style="1" bestFit="1" customWidth="1"/>
    <col min="5892" max="6144" width="9.140625" style="1"/>
    <col min="6145" max="6145" width="29.5703125" style="1" bestFit="1" customWidth="1"/>
    <col min="6146" max="6146" width="19.85546875" style="1" customWidth="1"/>
    <col min="6147" max="6147" width="12" style="1" bestFit="1" customWidth="1"/>
    <col min="6148" max="6400" width="9.140625" style="1"/>
    <col min="6401" max="6401" width="29.5703125" style="1" bestFit="1" customWidth="1"/>
    <col min="6402" max="6402" width="19.85546875" style="1" customWidth="1"/>
    <col min="6403" max="6403" width="12" style="1" bestFit="1" customWidth="1"/>
    <col min="6404" max="6656" width="9.140625" style="1"/>
    <col min="6657" max="6657" width="29.5703125" style="1" bestFit="1" customWidth="1"/>
    <col min="6658" max="6658" width="19.85546875" style="1" customWidth="1"/>
    <col min="6659" max="6659" width="12" style="1" bestFit="1" customWidth="1"/>
    <col min="6660" max="6912" width="9.140625" style="1"/>
    <col min="6913" max="6913" width="29.5703125" style="1" bestFit="1" customWidth="1"/>
    <col min="6914" max="6914" width="19.85546875" style="1" customWidth="1"/>
    <col min="6915" max="6915" width="12" style="1" bestFit="1" customWidth="1"/>
    <col min="6916" max="7168" width="9.140625" style="1"/>
    <col min="7169" max="7169" width="29.5703125" style="1" bestFit="1" customWidth="1"/>
    <col min="7170" max="7170" width="19.85546875" style="1" customWidth="1"/>
    <col min="7171" max="7171" width="12" style="1" bestFit="1" customWidth="1"/>
    <col min="7172" max="7424" width="9.140625" style="1"/>
    <col min="7425" max="7425" width="29.5703125" style="1" bestFit="1" customWidth="1"/>
    <col min="7426" max="7426" width="19.85546875" style="1" customWidth="1"/>
    <col min="7427" max="7427" width="12" style="1" bestFit="1" customWidth="1"/>
    <col min="7428" max="7680" width="9.140625" style="1"/>
    <col min="7681" max="7681" width="29.5703125" style="1" bestFit="1" customWidth="1"/>
    <col min="7682" max="7682" width="19.85546875" style="1" customWidth="1"/>
    <col min="7683" max="7683" width="12" style="1" bestFit="1" customWidth="1"/>
    <col min="7684" max="7936" width="9.140625" style="1"/>
    <col min="7937" max="7937" width="29.5703125" style="1" bestFit="1" customWidth="1"/>
    <col min="7938" max="7938" width="19.85546875" style="1" customWidth="1"/>
    <col min="7939" max="7939" width="12" style="1" bestFit="1" customWidth="1"/>
    <col min="7940" max="8192" width="9.140625" style="1"/>
    <col min="8193" max="8193" width="29.5703125" style="1" bestFit="1" customWidth="1"/>
    <col min="8194" max="8194" width="19.85546875" style="1" customWidth="1"/>
    <col min="8195" max="8195" width="12" style="1" bestFit="1" customWidth="1"/>
    <col min="8196" max="8448" width="9.140625" style="1"/>
    <col min="8449" max="8449" width="29.5703125" style="1" bestFit="1" customWidth="1"/>
    <col min="8450" max="8450" width="19.85546875" style="1" customWidth="1"/>
    <col min="8451" max="8451" width="12" style="1" bestFit="1" customWidth="1"/>
    <col min="8452" max="8704" width="9.140625" style="1"/>
    <col min="8705" max="8705" width="29.5703125" style="1" bestFit="1" customWidth="1"/>
    <col min="8706" max="8706" width="19.85546875" style="1" customWidth="1"/>
    <col min="8707" max="8707" width="12" style="1" bestFit="1" customWidth="1"/>
    <col min="8708" max="8960" width="9.140625" style="1"/>
    <col min="8961" max="8961" width="29.5703125" style="1" bestFit="1" customWidth="1"/>
    <col min="8962" max="8962" width="19.85546875" style="1" customWidth="1"/>
    <col min="8963" max="8963" width="12" style="1" bestFit="1" customWidth="1"/>
    <col min="8964" max="9216" width="9.140625" style="1"/>
    <col min="9217" max="9217" width="29.5703125" style="1" bestFit="1" customWidth="1"/>
    <col min="9218" max="9218" width="19.85546875" style="1" customWidth="1"/>
    <col min="9219" max="9219" width="12" style="1" bestFit="1" customWidth="1"/>
    <col min="9220" max="9472" width="9.140625" style="1"/>
    <col min="9473" max="9473" width="29.5703125" style="1" bestFit="1" customWidth="1"/>
    <col min="9474" max="9474" width="19.85546875" style="1" customWidth="1"/>
    <col min="9475" max="9475" width="12" style="1" bestFit="1" customWidth="1"/>
    <col min="9476" max="9728" width="9.140625" style="1"/>
    <col min="9729" max="9729" width="29.5703125" style="1" bestFit="1" customWidth="1"/>
    <col min="9730" max="9730" width="19.85546875" style="1" customWidth="1"/>
    <col min="9731" max="9731" width="12" style="1" bestFit="1" customWidth="1"/>
    <col min="9732" max="9984" width="9.140625" style="1"/>
    <col min="9985" max="9985" width="29.5703125" style="1" bestFit="1" customWidth="1"/>
    <col min="9986" max="9986" width="19.85546875" style="1" customWidth="1"/>
    <col min="9987" max="9987" width="12" style="1" bestFit="1" customWidth="1"/>
    <col min="9988" max="10240" width="9.140625" style="1"/>
    <col min="10241" max="10241" width="29.5703125" style="1" bestFit="1" customWidth="1"/>
    <col min="10242" max="10242" width="19.85546875" style="1" customWidth="1"/>
    <col min="10243" max="10243" width="12" style="1" bestFit="1" customWidth="1"/>
    <col min="10244" max="10496" width="9.140625" style="1"/>
    <col min="10497" max="10497" width="29.5703125" style="1" bestFit="1" customWidth="1"/>
    <col min="10498" max="10498" width="19.85546875" style="1" customWidth="1"/>
    <col min="10499" max="10499" width="12" style="1" bestFit="1" customWidth="1"/>
    <col min="10500" max="10752" width="9.140625" style="1"/>
    <col min="10753" max="10753" width="29.5703125" style="1" bestFit="1" customWidth="1"/>
    <col min="10754" max="10754" width="19.85546875" style="1" customWidth="1"/>
    <col min="10755" max="10755" width="12" style="1" bestFit="1" customWidth="1"/>
    <col min="10756" max="11008" width="9.140625" style="1"/>
    <col min="11009" max="11009" width="29.5703125" style="1" bestFit="1" customWidth="1"/>
    <col min="11010" max="11010" width="19.85546875" style="1" customWidth="1"/>
    <col min="11011" max="11011" width="12" style="1" bestFit="1" customWidth="1"/>
    <col min="11012" max="11264" width="9.140625" style="1"/>
    <col min="11265" max="11265" width="29.5703125" style="1" bestFit="1" customWidth="1"/>
    <col min="11266" max="11266" width="19.85546875" style="1" customWidth="1"/>
    <col min="11267" max="11267" width="12" style="1" bestFit="1" customWidth="1"/>
    <col min="11268" max="11520" width="9.140625" style="1"/>
    <col min="11521" max="11521" width="29.5703125" style="1" bestFit="1" customWidth="1"/>
    <col min="11522" max="11522" width="19.85546875" style="1" customWidth="1"/>
    <col min="11523" max="11523" width="12" style="1" bestFit="1" customWidth="1"/>
    <col min="11524" max="11776" width="9.140625" style="1"/>
    <col min="11777" max="11777" width="29.5703125" style="1" bestFit="1" customWidth="1"/>
    <col min="11778" max="11778" width="19.85546875" style="1" customWidth="1"/>
    <col min="11779" max="11779" width="12" style="1" bestFit="1" customWidth="1"/>
    <col min="11780" max="12032" width="9.140625" style="1"/>
    <col min="12033" max="12033" width="29.5703125" style="1" bestFit="1" customWidth="1"/>
    <col min="12034" max="12034" width="19.85546875" style="1" customWidth="1"/>
    <col min="12035" max="12035" width="12" style="1" bestFit="1" customWidth="1"/>
    <col min="12036" max="12288" width="9.140625" style="1"/>
    <col min="12289" max="12289" width="29.5703125" style="1" bestFit="1" customWidth="1"/>
    <col min="12290" max="12290" width="19.85546875" style="1" customWidth="1"/>
    <col min="12291" max="12291" width="12" style="1" bestFit="1" customWidth="1"/>
    <col min="12292" max="12544" width="9.140625" style="1"/>
    <col min="12545" max="12545" width="29.5703125" style="1" bestFit="1" customWidth="1"/>
    <col min="12546" max="12546" width="19.85546875" style="1" customWidth="1"/>
    <col min="12547" max="12547" width="12" style="1" bestFit="1" customWidth="1"/>
    <col min="12548" max="12800" width="9.140625" style="1"/>
    <col min="12801" max="12801" width="29.5703125" style="1" bestFit="1" customWidth="1"/>
    <col min="12802" max="12802" width="19.85546875" style="1" customWidth="1"/>
    <col min="12803" max="12803" width="12" style="1" bestFit="1" customWidth="1"/>
    <col min="12804" max="13056" width="9.140625" style="1"/>
    <col min="13057" max="13057" width="29.5703125" style="1" bestFit="1" customWidth="1"/>
    <col min="13058" max="13058" width="19.85546875" style="1" customWidth="1"/>
    <col min="13059" max="13059" width="12" style="1" bestFit="1" customWidth="1"/>
    <col min="13060" max="13312" width="9.140625" style="1"/>
    <col min="13313" max="13313" width="29.5703125" style="1" bestFit="1" customWidth="1"/>
    <col min="13314" max="13314" width="19.85546875" style="1" customWidth="1"/>
    <col min="13315" max="13315" width="12" style="1" bestFit="1" customWidth="1"/>
    <col min="13316" max="13568" width="9.140625" style="1"/>
    <col min="13569" max="13569" width="29.5703125" style="1" bestFit="1" customWidth="1"/>
    <col min="13570" max="13570" width="19.85546875" style="1" customWidth="1"/>
    <col min="13571" max="13571" width="12" style="1" bestFit="1" customWidth="1"/>
    <col min="13572" max="13824" width="9.140625" style="1"/>
    <col min="13825" max="13825" width="29.5703125" style="1" bestFit="1" customWidth="1"/>
    <col min="13826" max="13826" width="19.85546875" style="1" customWidth="1"/>
    <col min="13827" max="13827" width="12" style="1" bestFit="1" customWidth="1"/>
    <col min="13828" max="14080" width="9.140625" style="1"/>
    <col min="14081" max="14081" width="29.5703125" style="1" bestFit="1" customWidth="1"/>
    <col min="14082" max="14082" width="19.85546875" style="1" customWidth="1"/>
    <col min="14083" max="14083" width="12" style="1" bestFit="1" customWidth="1"/>
    <col min="14084" max="14336" width="9.140625" style="1"/>
    <col min="14337" max="14337" width="29.5703125" style="1" bestFit="1" customWidth="1"/>
    <col min="14338" max="14338" width="19.85546875" style="1" customWidth="1"/>
    <col min="14339" max="14339" width="12" style="1" bestFit="1" customWidth="1"/>
    <col min="14340" max="14592" width="9.140625" style="1"/>
    <col min="14593" max="14593" width="29.5703125" style="1" bestFit="1" customWidth="1"/>
    <col min="14594" max="14594" width="19.85546875" style="1" customWidth="1"/>
    <col min="14595" max="14595" width="12" style="1" bestFit="1" customWidth="1"/>
    <col min="14596" max="14848" width="9.140625" style="1"/>
    <col min="14849" max="14849" width="29.5703125" style="1" bestFit="1" customWidth="1"/>
    <col min="14850" max="14850" width="19.85546875" style="1" customWidth="1"/>
    <col min="14851" max="14851" width="12" style="1" bestFit="1" customWidth="1"/>
    <col min="14852" max="15104" width="9.140625" style="1"/>
    <col min="15105" max="15105" width="29.5703125" style="1" bestFit="1" customWidth="1"/>
    <col min="15106" max="15106" width="19.85546875" style="1" customWidth="1"/>
    <col min="15107" max="15107" width="12" style="1" bestFit="1" customWidth="1"/>
    <col min="15108" max="15360" width="9.140625" style="1"/>
    <col min="15361" max="15361" width="29.5703125" style="1" bestFit="1" customWidth="1"/>
    <col min="15362" max="15362" width="19.85546875" style="1" customWidth="1"/>
    <col min="15363" max="15363" width="12" style="1" bestFit="1" customWidth="1"/>
    <col min="15364" max="15616" width="9.140625" style="1"/>
    <col min="15617" max="15617" width="29.5703125" style="1" bestFit="1" customWidth="1"/>
    <col min="15618" max="15618" width="19.85546875" style="1" customWidth="1"/>
    <col min="15619" max="15619" width="12" style="1" bestFit="1" customWidth="1"/>
    <col min="15620" max="15872" width="9.140625" style="1"/>
    <col min="15873" max="15873" width="29.5703125" style="1" bestFit="1" customWidth="1"/>
    <col min="15874" max="15874" width="19.85546875" style="1" customWidth="1"/>
    <col min="15875" max="15875" width="12" style="1" bestFit="1" customWidth="1"/>
    <col min="15876" max="16128" width="9.140625" style="1"/>
    <col min="16129" max="16129" width="29.5703125" style="1" bestFit="1" customWidth="1"/>
    <col min="16130" max="16130" width="19.85546875" style="1" customWidth="1"/>
    <col min="16131" max="16131" width="12" style="1" bestFit="1" customWidth="1"/>
    <col min="16132" max="16384" width="9.140625" style="1"/>
  </cols>
  <sheetData>
    <row r="1" spans="1:2" x14ac:dyDescent="0.2">
      <c r="A1" s="1" t="s">
        <v>840</v>
      </c>
      <c r="B1" s="907">
        <v>6.1</v>
      </c>
    </row>
    <row r="2" spans="1:2" x14ac:dyDescent="0.2">
      <c r="A2" s="1" t="s">
        <v>841</v>
      </c>
      <c r="B2" s="911">
        <v>43201.509409722225</v>
      </c>
    </row>
    <row r="3" spans="1:2" x14ac:dyDescent="0.2">
      <c r="A3" s="1" t="s">
        <v>842</v>
      </c>
      <c r="B3" s="908" t="s">
        <v>538</v>
      </c>
    </row>
    <row r="4" spans="1:2" x14ac:dyDescent="0.2">
      <c r="A4" s="1" t="s">
        <v>843</v>
      </c>
      <c r="B4" s="908" t="s">
        <v>844</v>
      </c>
    </row>
    <row r="5" spans="1:2" x14ac:dyDescent="0.2">
      <c r="A5" s="1" t="s">
        <v>845</v>
      </c>
      <c r="B5" s="908" t="s">
        <v>846</v>
      </c>
    </row>
    <row r="6" spans="1:2" x14ac:dyDescent="0.2">
      <c r="A6" s="1" t="s">
        <v>847</v>
      </c>
    </row>
    <row r="7" spans="1:2" x14ac:dyDescent="0.2">
      <c r="A7" s="1" t="s">
        <v>848</v>
      </c>
      <c r="B7" s="908" t="s">
        <v>92</v>
      </c>
    </row>
    <row r="8" spans="1:2" x14ac:dyDescent="0.2">
      <c r="A8" s="1" t="s">
        <v>849</v>
      </c>
      <c r="B8" s="908" t="s">
        <v>850</v>
      </c>
    </row>
    <row r="9" spans="1:2" x14ac:dyDescent="0.2">
      <c r="A9" s="1" t="s">
        <v>851</v>
      </c>
      <c r="B9" s="908" t="s">
        <v>888</v>
      </c>
    </row>
    <row r="10" spans="1:2" x14ac:dyDescent="0.2">
      <c r="A10" s="1" t="s">
        <v>852</v>
      </c>
    </row>
    <row r="11" spans="1:2" x14ac:dyDescent="0.2">
      <c r="A11" s="1" t="s">
        <v>853</v>
      </c>
    </row>
    <row r="12" spans="1:2" x14ac:dyDescent="0.2">
      <c r="A12" s="1" t="s">
        <v>854</v>
      </c>
    </row>
    <row r="13" spans="1:2" x14ac:dyDescent="0.2">
      <c r="A13" s="1" t="s">
        <v>855</v>
      </c>
    </row>
    <row r="14" spans="1:2" x14ac:dyDescent="0.2">
      <c r="A14" s="1" t="s">
        <v>856</v>
      </c>
    </row>
    <row r="15" spans="1:2" x14ac:dyDescent="0.2">
      <c r="A15" s="1" t="s">
        <v>857</v>
      </c>
    </row>
    <row r="16" spans="1:2" x14ac:dyDescent="0.2">
      <c r="A16" s="1" t="s">
        <v>858</v>
      </c>
    </row>
    <row r="17" spans="1:4" x14ac:dyDescent="0.2">
      <c r="A17" s="1" t="s">
        <v>859</v>
      </c>
      <c r="B17" s="908" t="s">
        <v>889</v>
      </c>
    </row>
    <row r="18" spans="1:4" x14ac:dyDescent="0.2">
      <c r="A18" s="1" t="s">
        <v>860</v>
      </c>
      <c r="B18" s="908" t="s">
        <v>539</v>
      </c>
    </row>
    <row r="19" spans="1:4" x14ac:dyDescent="0.2">
      <c r="A19" s="1" t="s">
        <v>861</v>
      </c>
      <c r="B19" s="908" t="s">
        <v>478</v>
      </c>
    </row>
    <row r="20" spans="1:4" x14ac:dyDescent="0.2">
      <c r="A20" s="1" t="s">
        <v>862</v>
      </c>
      <c r="B20" s="909">
        <v>848577102</v>
      </c>
    </row>
    <row r="21" spans="1:4" x14ac:dyDescent="0.2">
      <c r="A21" s="1" t="s">
        <v>863</v>
      </c>
      <c r="B21" s="908" t="s">
        <v>478</v>
      </c>
    </row>
    <row r="22" spans="1:4" x14ac:dyDescent="0.2">
      <c r="A22" s="1" t="s">
        <v>864</v>
      </c>
      <c r="B22" s="909" t="s">
        <v>98</v>
      </c>
    </row>
    <row r="23" spans="1:4" x14ac:dyDescent="0.2">
      <c r="A23" s="1" t="s">
        <v>96</v>
      </c>
      <c r="B23" s="907">
        <v>35.86</v>
      </c>
    </row>
    <row r="24" spans="1:4" x14ac:dyDescent="0.2">
      <c r="A24" s="1" t="s">
        <v>95</v>
      </c>
      <c r="B24" s="908" t="s">
        <v>90</v>
      </c>
      <c r="D24" s="1" t="s">
        <v>865</v>
      </c>
    </row>
    <row r="25" spans="1:4" x14ac:dyDescent="0.2">
      <c r="A25" s="1" t="s">
        <v>866</v>
      </c>
      <c r="B25" s="908" t="s">
        <v>892</v>
      </c>
    </row>
    <row r="26" spans="1:4" x14ac:dyDescent="0.2">
      <c r="A26" s="1" t="s">
        <v>134</v>
      </c>
      <c r="B26" s="908">
        <v>0</v>
      </c>
    </row>
    <row r="27" spans="1:4" x14ac:dyDescent="0.2">
      <c r="A27" s="1" t="s">
        <v>867</v>
      </c>
      <c r="B27" s="908" t="s">
        <v>868</v>
      </c>
    </row>
    <row r="28" spans="1:4" x14ac:dyDescent="0.2">
      <c r="A28" s="1" t="s">
        <v>869</v>
      </c>
      <c r="B28" s="908" t="s">
        <v>870</v>
      </c>
    </row>
    <row r="29" spans="1:4" x14ac:dyDescent="0.2">
      <c r="A29" s="1" t="s">
        <v>871</v>
      </c>
    </row>
    <row r="30" spans="1:4" x14ac:dyDescent="0.2">
      <c r="A30" s="1" t="s">
        <v>872</v>
      </c>
    </row>
    <row r="31" spans="1:4" x14ac:dyDescent="0.2">
      <c r="A31" s="1" t="s">
        <v>873</v>
      </c>
    </row>
    <row r="32" spans="1:4" x14ac:dyDescent="0.2">
      <c r="A32" s="1" t="s">
        <v>874</v>
      </c>
      <c r="B32" s="907"/>
    </row>
    <row r="33" spans="1:2" x14ac:dyDescent="0.2">
      <c r="A33" s="1" t="s">
        <v>875</v>
      </c>
      <c r="B33" s="907"/>
    </row>
    <row r="34" spans="1:2" x14ac:dyDescent="0.2">
      <c r="A34" s="1" t="s">
        <v>876</v>
      </c>
      <c r="B34" s="907"/>
    </row>
    <row r="35" spans="1:2" x14ac:dyDescent="0.2">
      <c r="A35" s="1" t="s">
        <v>877</v>
      </c>
      <c r="B35" s="908">
        <v>1000000</v>
      </c>
    </row>
    <row r="36" spans="1:2" x14ac:dyDescent="0.2">
      <c r="A36" s="1" t="s">
        <v>878</v>
      </c>
      <c r="B36" s="908" t="s">
        <v>890</v>
      </c>
    </row>
    <row r="37" spans="1:2" x14ac:dyDescent="0.2">
      <c r="A37" s="1" t="s">
        <v>879</v>
      </c>
      <c r="B37" s="908" t="s">
        <v>880</v>
      </c>
    </row>
    <row r="38" spans="1:2" x14ac:dyDescent="0.2">
      <c r="A38" s="1" t="s">
        <v>881</v>
      </c>
      <c r="B38" s="908" t="s">
        <v>882</v>
      </c>
    </row>
    <row r="39" spans="1:2" x14ac:dyDescent="0.2">
      <c r="A39" s="1" t="s">
        <v>883</v>
      </c>
      <c r="B39" s="908" t="s">
        <v>891</v>
      </c>
    </row>
    <row r="40" spans="1:2" x14ac:dyDescent="0.2">
      <c r="A40" s="1" t="s">
        <v>884</v>
      </c>
      <c r="B40" s="908">
        <v>1500005409</v>
      </c>
    </row>
    <row r="41" spans="1:2" x14ac:dyDescent="0.2">
      <c r="A41" s="1" t="s">
        <v>885</v>
      </c>
      <c r="B41" s="908">
        <v>1</v>
      </c>
    </row>
    <row r="42" spans="1:2" x14ac:dyDescent="0.2">
      <c r="A42" s="910" t="s">
        <v>886</v>
      </c>
    </row>
    <row r="43" spans="1:2" x14ac:dyDescent="0.2">
      <c r="A43" s="1" t="s">
        <v>887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1" bestFit="1" customWidth="1"/>
    <col min="2" max="256" width="9.140625" style="1"/>
    <col min="257" max="257" width="28.5703125" style="1" bestFit="1" customWidth="1"/>
    <col min="258" max="512" width="9.140625" style="1"/>
    <col min="513" max="513" width="28.5703125" style="1" bestFit="1" customWidth="1"/>
    <col min="514" max="768" width="9.140625" style="1"/>
    <col min="769" max="769" width="28.5703125" style="1" bestFit="1" customWidth="1"/>
    <col min="770" max="1024" width="9.140625" style="1"/>
    <col min="1025" max="1025" width="28.5703125" style="1" bestFit="1" customWidth="1"/>
    <col min="1026" max="1280" width="9.140625" style="1"/>
    <col min="1281" max="1281" width="28.5703125" style="1" bestFit="1" customWidth="1"/>
    <col min="1282" max="1536" width="9.140625" style="1"/>
    <col min="1537" max="1537" width="28.5703125" style="1" bestFit="1" customWidth="1"/>
    <col min="1538" max="1792" width="9.140625" style="1"/>
    <col min="1793" max="1793" width="28.5703125" style="1" bestFit="1" customWidth="1"/>
    <col min="1794" max="2048" width="9.140625" style="1"/>
    <col min="2049" max="2049" width="28.5703125" style="1" bestFit="1" customWidth="1"/>
    <col min="2050" max="2304" width="9.140625" style="1"/>
    <col min="2305" max="2305" width="28.5703125" style="1" bestFit="1" customWidth="1"/>
    <col min="2306" max="2560" width="9.140625" style="1"/>
    <col min="2561" max="2561" width="28.5703125" style="1" bestFit="1" customWidth="1"/>
    <col min="2562" max="2816" width="9.140625" style="1"/>
    <col min="2817" max="2817" width="28.5703125" style="1" bestFit="1" customWidth="1"/>
    <col min="2818" max="3072" width="9.140625" style="1"/>
    <col min="3073" max="3073" width="28.5703125" style="1" bestFit="1" customWidth="1"/>
    <col min="3074" max="3328" width="9.140625" style="1"/>
    <col min="3329" max="3329" width="28.5703125" style="1" bestFit="1" customWidth="1"/>
    <col min="3330" max="3584" width="9.140625" style="1"/>
    <col min="3585" max="3585" width="28.5703125" style="1" bestFit="1" customWidth="1"/>
    <col min="3586" max="3840" width="9.140625" style="1"/>
    <col min="3841" max="3841" width="28.5703125" style="1" bestFit="1" customWidth="1"/>
    <col min="3842" max="4096" width="9.140625" style="1"/>
    <col min="4097" max="4097" width="28.5703125" style="1" bestFit="1" customWidth="1"/>
    <col min="4098" max="4352" width="9.140625" style="1"/>
    <col min="4353" max="4353" width="28.5703125" style="1" bestFit="1" customWidth="1"/>
    <col min="4354" max="4608" width="9.140625" style="1"/>
    <col min="4609" max="4609" width="28.5703125" style="1" bestFit="1" customWidth="1"/>
    <col min="4610" max="4864" width="9.140625" style="1"/>
    <col min="4865" max="4865" width="28.5703125" style="1" bestFit="1" customWidth="1"/>
    <col min="4866" max="5120" width="9.140625" style="1"/>
    <col min="5121" max="5121" width="28.5703125" style="1" bestFit="1" customWidth="1"/>
    <col min="5122" max="5376" width="9.140625" style="1"/>
    <col min="5377" max="5377" width="28.5703125" style="1" bestFit="1" customWidth="1"/>
    <col min="5378" max="5632" width="9.140625" style="1"/>
    <col min="5633" max="5633" width="28.5703125" style="1" bestFit="1" customWidth="1"/>
    <col min="5634" max="5888" width="9.140625" style="1"/>
    <col min="5889" max="5889" width="28.5703125" style="1" bestFit="1" customWidth="1"/>
    <col min="5890" max="6144" width="9.140625" style="1"/>
    <col min="6145" max="6145" width="28.5703125" style="1" bestFit="1" customWidth="1"/>
    <col min="6146" max="6400" width="9.140625" style="1"/>
    <col min="6401" max="6401" width="28.5703125" style="1" bestFit="1" customWidth="1"/>
    <col min="6402" max="6656" width="9.140625" style="1"/>
    <col min="6657" max="6657" width="28.5703125" style="1" bestFit="1" customWidth="1"/>
    <col min="6658" max="6912" width="9.140625" style="1"/>
    <col min="6913" max="6913" width="28.5703125" style="1" bestFit="1" customWidth="1"/>
    <col min="6914" max="7168" width="9.140625" style="1"/>
    <col min="7169" max="7169" width="28.5703125" style="1" bestFit="1" customWidth="1"/>
    <col min="7170" max="7424" width="9.140625" style="1"/>
    <col min="7425" max="7425" width="28.5703125" style="1" bestFit="1" customWidth="1"/>
    <col min="7426" max="7680" width="9.140625" style="1"/>
    <col min="7681" max="7681" width="28.5703125" style="1" bestFit="1" customWidth="1"/>
    <col min="7682" max="7936" width="9.140625" style="1"/>
    <col min="7937" max="7937" width="28.5703125" style="1" bestFit="1" customWidth="1"/>
    <col min="7938" max="8192" width="9.140625" style="1"/>
    <col min="8193" max="8193" width="28.5703125" style="1" bestFit="1" customWidth="1"/>
    <col min="8194" max="8448" width="9.140625" style="1"/>
    <col min="8449" max="8449" width="28.5703125" style="1" bestFit="1" customWidth="1"/>
    <col min="8450" max="8704" width="9.140625" style="1"/>
    <col min="8705" max="8705" width="28.5703125" style="1" bestFit="1" customWidth="1"/>
    <col min="8706" max="8960" width="9.140625" style="1"/>
    <col min="8961" max="8961" width="28.5703125" style="1" bestFit="1" customWidth="1"/>
    <col min="8962" max="9216" width="9.140625" style="1"/>
    <col min="9217" max="9217" width="28.5703125" style="1" bestFit="1" customWidth="1"/>
    <col min="9218" max="9472" width="9.140625" style="1"/>
    <col min="9473" max="9473" width="28.5703125" style="1" bestFit="1" customWidth="1"/>
    <col min="9474" max="9728" width="9.140625" style="1"/>
    <col min="9729" max="9729" width="28.5703125" style="1" bestFit="1" customWidth="1"/>
    <col min="9730" max="9984" width="9.140625" style="1"/>
    <col min="9985" max="9985" width="28.5703125" style="1" bestFit="1" customWidth="1"/>
    <col min="9986" max="10240" width="9.140625" style="1"/>
    <col min="10241" max="10241" width="28.5703125" style="1" bestFit="1" customWidth="1"/>
    <col min="10242" max="10496" width="9.140625" style="1"/>
    <col min="10497" max="10497" width="28.5703125" style="1" bestFit="1" customWidth="1"/>
    <col min="10498" max="10752" width="9.140625" style="1"/>
    <col min="10753" max="10753" width="28.5703125" style="1" bestFit="1" customWidth="1"/>
    <col min="10754" max="11008" width="9.140625" style="1"/>
    <col min="11009" max="11009" width="28.5703125" style="1" bestFit="1" customWidth="1"/>
    <col min="11010" max="11264" width="9.140625" style="1"/>
    <col min="11265" max="11265" width="28.5703125" style="1" bestFit="1" customWidth="1"/>
    <col min="11266" max="11520" width="9.140625" style="1"/>
    <col min="11521" max="11521" width="28.5703125" style="1" bestFit="1" customWidth="1"/>
    <col min="11522" max="11776" width="9.140625" style="1"/>
    <col min="11777" max="11777" width="28.5703125" style="1" bestFit="1" customWidth="1"/>
    <col min="11778" max="12032" width="9.140625" style="1"/>
    <col min="12033" max="12033" width="28.5703125" style="1" bestFit="1" customWidth="1"/>
    <col min="12034" max="12288" width="9.140625" style="1"/>
    <col min="12289" max="12289" width="28.5703125" style="1" bestFit="1" customWidth="1"/>
    <col min="12290" max="12544" width="9.140625" style="1"/>
    <col min="12545" max="12545" width="28.5703125" style="1" bestFit="1" customWidth="1"/>
    <col min="12546" max="12800" width="9.140625" style="1"/>
    <col min="12801" max="12801" width="28.5703125" style="1" bestFit="1" customWidth="1"/>
    <col min="12802" max="13056" width="9.140625" style="1"/>
    <col min="13057" max="13057" width="28.5703125" style="1" bestFit="1" customWidth="1"/>
    <col min="13058" max="13312" width="9.140625" style="1"/>
    <col min="13313" max="13313" width="28.5703125" style="1" bestFit="1" customWidth="1"/>
    <col min="13314" max="13568" width="9.140625" style="1"/>
    <col min="13569" max="13569" width="28.5703125" style="1" bestFit="1" customWidth="1"/>
    <col min="13570" max="13824" width="9.140625" style="1"/>
    <col min="13825" max="13825" width="28.5703125" style="1" bestFit="1" customWidth="1"/>
    <col min="13826" max="14080" width="9.140625" style="1"/>
    <col min="14081" max="14081" width="28.5703125" style="1" bestFit="1" customWidth="1"/>
    <col min="14082" max="14336" width="9.140625" style="1"/>
    <col min="14337" max="14337" width="28.5703125" style="1" bestFit="1" customWidth="1"/>
    <col min="14338" max="14592" width="9.140625" style="1"/>
    <col min="14593" max="14593" width="28.5703125" style="1" bestFit="1" customWidth="1"/>
    <col min="14594" max="14848" width="9.140625" style="1"/>
    <col min="14849" max="14849" width="28.5703125" style="1" bestFit="1" customWidth="1"/>
    <col min="14850" max="15104" width="9.140625" style="1"/>
    <col min="15105" max="15105" width="28.5703125" style="1" bestFit="1" customWidth="1"/>
    <col min="15106" max="15360" width="9.140625" style="1"/>
    <col min="15361" max="15361" width="28.5703125" style="1" bestFit="1" customWidth="1"/>
    <col min="15362" max="15616" width="9.140625" style="1"/>
    <col min="15617" max="15617" width="28.5703125" style="1" bestFit="1" customWidth="1"/>
    <col min="15618" max="15872" width="9.140625" style="1"/>
    <col min="15873" max="15873" width="28.5703125" style="1" bestFit="1" customWidth="1"/>
    <col min="15874" max="16128" width="9.140625" style="1"/>
    <col min="16129" max="16129" width="28.5703125" style="1" bestFit="1" customWidth="1"/>
    <col min="16130" max="16384" width="9.140625" style="1"/>
  </cols>
  <sheetData>
    <row r="1" spans="1:1" x14ac:dyDescent="0.2">
      <c r="A1" s="912" t="s">
        <v>893</v>
      </c>
    </row>
    <row r="2" spans="1:1" x14ac:dyDescent="0.2">
      <c r="A2" s="912" t="s">
        <v>898</v>
      </c>
    </row>
    <row r="3" spans="1:1" x14ac:dyDescent="0.2">
      <c r="A3" s="912" t="s">
        <v>899</v>
      </c>
    </row>
    <row r="4" spans="1:1" x14ac:dyDescent="0.2">
      <c r="A4" s="912" t="s">
        <v>900</v>
      </c>
    </row>
    <row r="5" spans="1:1" x14ac:dyDescent="0.2">
      <c r="A5" s="912" t="s">
        <v>901</v>
      </c>
    </row>
    <row r="6" spans="1:1" x14ac:dyDescent="0.2">
      <c r="A6" s="912" t="s">
        <v>894</v>
      </c>
    </row>
    <row r="7" spans="1:1" x14ac:dyDescent="0.2">
      <c r="A7" s="912" t="s">
        <v>902</v>
      </c>
    </row>
    <row r="8" spans="1:1" x14ac:dyDescent="0.2">
      <c r="A8" s="912" t="s">
        <v>903</v>
      </c>
    </row>
    <row r="9" spans="1:1" x14ac:dyDescent="0.2">
      <c r="A9" s="912" t="s">
        <v>904</v>
      </c>
    </row>
    <row r="10" spans="1:1" x14ac:dyDescent="0.2">
      <c r="A10" s="912" t="s">
        <v>895</v>
      </c>
    </row>
    <row r="11" spans="1:1" x14ac:dyDescent="0.2">
      <c r="A11" s="912" t="s">
        <v>905</v>
      </c>
    </row>
    <row r="12" spans="1:1" x14ac:dyDescent="0.2">
      <c r="A12" s="912" t="s">
        <v>896</v>
      </c>
    </row>
    <row r="13" spans="1:1" x14ac:dyDescent="0.2">
      <c r="A13" s="912" t="s">
        <v>897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T2"/>
  <sheetViews>
    <sheetView workbookViewId="0"/>
  </sheetViews>
  <sheetFormatPr defaultRowHeight="12.75" x14ac:dyDescent="0.2"/>
  <sheetData>
    <row r="1" spans="1:46" x14ac:dyDescent="0.2">
      <c r="A1" t="s">
        <v>481</v>
      </c>
    </row>
    <row r="2" spans="1:46" x14ac:dyDescent="0.2">
      <c r="A2" s="7" t="s">
        <v>490</v>
      </c>
      <c r="B2" s="7" t="s">
        <v>491</v>
      </c>
      <c r="C2" s="7" t="s">
        <v>482</v>
      </c>
      <c r="D2" s="7" t="s">
        <v>485</v>
      </c>
      <c r="E2" s="7" t="s">
        <v>492</v>
      </c>
      <c r="F2" s="7" t="s">
        <v>495</v>
      </c>
      <c r="G2" s="7" t="s">
        <v>483</v>
      </c>
      <c r="H2" s="7" t="s">
        <v>90</v>
      </c>
      <c r="I2" s="7" t="s">
        <v>493</v>
      </c>
      <c r="J2" s="7" t="s">
        <v>90</v>
      </c>
      <c r="K2" s="7" t="s">
        <v>487</v>
      </c>
      <c r="L2" s="7" t="s">
        <v>489</v>
      </c>
      <c r="M2" s="7" t="s">
        <v>479</v>
      </c>
      <c r="N2" s="7" t="s">
        <v>98</v>
      </c>
      <c r="O2" s="7" t="s">
        <v>494</v>
      </c>
      <c r="P2" s="7" t="s">
        <v>495</v>
      </c>
      <c r="Q2" s="7" t="s">
        <v>488</v>
      </c>
      <c r="R2" s="7" t="s">
        <v>489</v>
      </c>
      <c r="S2" s="7" t="s">
        <v>486</v>
      </c>
      <c r="T2" s="7" t="s">
        <v>489</v>
      </c>
      <c r="U2" s="7" t="s">
        <v>480</v>
      </c>
      <c r="V2" s="7" t="s">
        <v>90</v>
      </c>
      <c r="W2" s="7" t="s">
        <v>484</v>
      </c>
      <c r="X2" s="7" t="s">
        <v>518</v>
      </c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2.75" x14ac:dyDescent="0.2"/>
  <sheetData>
    <row r="1" spans="1:2" x14ac:dyDescent="0.2">
      <c r="B1" t="s">
        <v>39</v>
      </c>
    </row>
  </sheetData>
  <phoneticPr fontId="8" type="noConversion"/>
  <pageMargins left="0.75" right="0.75" top="1" bottom="1" header="0.5" footer="0.5"/>
  <pageSetup orientation="portrait" r:id="rId1"/>
  <headerFooter alignWithMargins="0"/>
  <legacyDrawing r:id="rId2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834C662B-A7FA-43AA-8761-29C19B9160B2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BEEC746A-0976-426A-853B-F3E11AD17274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80</vt:i4>
      </vt:variant>
    </vt:vector>
  </HeadingPairs>
  <TitlesOfParts>
    <vt:vector size="87" baseType="lpstr">
      <vt:lpstr>ImportantDisclosures</vt:lpstr>
      <vt:lpstr>CircularReferenceAlert</vt:lpstr>
      <vt:lpstr>Cover</vt:lpstr>
      <vt:lpstr>Valuation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Linking_4</vt:lpstr>
      <vt:lpstr>Linking_5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Valuation!Print_Area</vt:lpstr>
      <vt:lpstr>Model!Print_Titles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2009-12-21T15:35:16Z</dcterms:created>
  <dc:creator>nedgill</dc:creator>
  <cp:lastModifiedBy>Jenson, Andrea (Research)</cp:lastModifiedBy>
  <cp:lastPrinted>2018-03-29T18:17:37Z</cp:lastPrinted>
  <dcterms:modified xsi:type="dcterms:W3CDTF">2018-04-11T16:18:31Z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761030</vt:lpwstr>
  </property>
  <property fmtid="{D5CDD505-2E9C-101B-9397-08002B2CF9AE}" name="ERModPubCompanyName" pid="5">
    <vt:lpwstr>Spirit Airlines Inc.</vt:lpwstr>
  </property>
  <property fmtid="{D5CDD505-2E9C-101B-9397-08002B2CF9AE}" name="ERModPubMaxIterations" pid="6">
    <vt:i4>100</vt:i4>
  </property>
  <property fmtid="{D5CDD505-2E9C-101B-9397-08002B2CF9AE}" name="ERModPubMaxChange" pid="7">
    <vt:r8>0.001</vt:r8>
  </property>
  <property fmtid="{D5CDD505-2E9C-101B-9397-08002B2CF9AE}" name="MSDH34TAG" pid="8">
    <vt:lpwstr>.TEZUF76X5TAHATHESADREYAK-00-INB160+*94600-06=4d91095c/-3da3/-11e8/-b3f7/-7a79cfe26848,MD=20180411122848/-0400,ZZ=000Z-8eb3.</vt:lpwstr>
  </property>
</Properties>
</file>